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7.xml" ContentType="application/vnd.openxmlformats-officedocument.drawing+xml"/>
  <Override PartName="/xl/drawings/drawing6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worksheets/sheet1.xml" ContentType="application/vnd.openxmlformats-officedocument.spreadsheetml.worksheet+xml"/>
  <Override PartName="/xl/drawings/drawing24.xml" ContentType="application/vnd.openxmlformats-officedocument.drawing+xml"/>
  <Override PartName="/xl/drawings/drawing23.xml" ContentType="application/vnd.openxmlformats-officedocument.drawing+xml"/>
  <Override PartName="/xl/drawings/drawing22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5.xml" ContentType="application/vnd.openxmlformats-officedocument.drawing+xml"/>
  <Override PartName="/xl/drawings/drawing18.xml" ContentType="application/vnd.openxmlformats-officedocument.drawing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7.xml" ContentType="application/vnd.openxmlformats-officedocument.spreadsheetml.worksheet+xml"/>
  <Override PartName="/xl/worksheets/sheet76.xml" ContentType="application/vnd.openxmlformats-officedocument.spreadsheetml.worksheet+xml"/>
  <Override PartName="/xl/worksheets/sheet75.xml" ContentType="application/vnd.openxmlformats-officedocument.spreadsheetml.worksheet+xml"/>
  <Override PartName="/xl/worksheets/sheet74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drawings/drawing1.xml" ContentType="application/vnd.openxmlformats-officedocument.drawing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97.xml" ContentType="application/vnd.openxmlformats-officedocument.spreadsheetml.worksheet+xml"/>
  <Override PartName="/xl/worksheets/sheet96.xml" ContentType="application/vnd.openxmlformats-officedocument.spreadsheetml.worksheet+xml"/>
  <Override PartName="/xl/worksheets/sheet95.xml" ContentType="application/vnd.openxmlformats-officedocument.spreadsheetml.worksheet+xml"/>
  <Override PartName="/xl/worksheets/sheet94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01.xml" ContentType="application/vnd.openxmlformats-officedocument.spreadsheetml.worksheet+xml"/>
  <Override PartName="/xl/worksheets/sheet93.xml" ContentType="application/vnd.openxmlformats-officedocument.spreadsheetml.worksheet+xml"/>
  <Override PartName="/xl/worksheets/sheet92.xml" ContentType="application/vnd.openxmlformats-officedocument.spreadsheetml.worksheet+xml"/>
  <Override PartName="/xl/worksheets/sheet91.xml" ContentType="application/vnd.openxmlformats-officedocument.spreadsheetml.worksheet+xml"/>
  <Override PartName="/xl/worksheets/sheet84.xml" ContentType="application/vnd.openxmlformats-officedocument.spreadsheetml.worksheet+xml"/>
  <Override PartName="/xl/worksheets/sheet83.xml" ContentType="application/vnd.openxmlformats-officedocument.spreadsheetml.worksheet+xml"/>
  <Override PartName="/xl/worksheets/sheet82.xml" ContentType="application/vnd.openxmlformats-officedocument.spreadsheetml.worksheet+xml"/>
  <Override PartName="/xl/worksheets/sheet81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54.xml" ContentType="application/vnd.openxmlformats-officedocument.spreadsheetml.worksheet+xml"/>
  <Override PartName="/xl/worksheets/sheet52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53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drawings/drawing4.xml" ContentType="application/vnd.openxmlformats-officedocument.drawing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0.xml" ContentType="application/vnd.openxmlformats-officedocument.spreadsheetml.worksheet+xml"/>
  <Override PartName="/xl/worksheets/sheet45.xml" ContentType="application/vnd.openxmlformats-officedocument.spreadsheetml.worksheet+xml"/>
  <Override PartName="/xl/worksheets/sheet44.xml" ContentType="application/vnd.openxmlformats-officedocument.spreadsheetml.worksheet+xml"/>
  <Override PartName="/xl/worksheets/sheet43.xml" ContentType="application/vnd.openxmlformats-officedocument.spreadsheetml.worksheet+xml"/>
  <Override PartName="/xl/worksheets/sheet29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42.xml" ContentType="application/vnd.openxmlformats-officedocument.spreadsheetml.worksheet+xml"/>
  <Override PartName="/xl/drawings/drawing2.xml" ContentType="application/vnd.openxmlformats-officedocument.drawing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3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35.xml" ContentType="application/vnd.openxmlformats-officedocument.spreadsheetml.worksheet+xml"/>
  <Override PartName="/xl/worksheets/sheet34.xml" ContentType="application/vnd.openxmlformats-officedocument.spreadsheetml.worksheet+xml"/>
  <Override PartName="/xl/worksheets/sheet3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9.xml" ContentType="application/vnd.openxmlformats-officedocument.spreadsheetml.worksheet+xml"/>
  <Override PartName="/xl/drawings/drawing3.xml" ContentType="application/vnd.openxmlformats-officedocument.drawing+xml"/>
  <Override PartName="/xl/worksheets/sheet38.xml" ContentType="application/vnd.openxmlformats-officedocument.spreadsheetml.worksheet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comments14.xml" ContentType="application/vnd.openxmlformats-officedocument.spreadsheetml.comments+xml"/>
  <Override PartName="/xl/externalLinks/externalLink1.xml" ContentType="application/vnd.openxmlformats-officedocument.spreadsheetml.externalLink+xml"/>
  <Override PartName="/docProps/custom.xml" ContentType="application/vnd.openxmlformats-officedocument.custom-properties+xml"/>
  <Override PartName="/xl/comments7.xml" ContentType="application/vnd.openxmlformats-officedocument.spreadsheetml.comments+xml"/>
  <Override PartName="/xl/comments4.xml" ContentType="application/vnd.openxmlformats-officedocument.spreadsheetml.comments+xml"/>
  <Override PartName="/xl/comments3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8.xml" ContentType="application/vnd.openxmlformats-officedocument.spreadsheetml.comments+xml"/>
  <Override PartName="/xl/comments11.xml" ContentType="application/vnd.openxmlformats-officedocument.spreadsheetml.comments+xml"/>
  <Override PartName="/xl/comments2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.xml" ContentType="application/vnd.openxmlformats-officedocument.spreadsheetml.comment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fileSharing readOnlyRecommended="1"/>
  <workbookPr codeName="ThisWorkbook"/>
  <bookViews>
    <workbookView xWindow="14388" yWindow="-12" windowWidth="14436" windowHeight="11748" tabRatio="858" activeTab="6"/>
  </bookViews>
  <sheets>
    <sheet name="LOGO" sheetId="1" r:id="rId1"/>
    <sheet name="ALLOCTABLE" sheetId="7" r:id="rId2"/>
    <sheet name="BASE PERIOD" sheetId="5" r:id="rId3"/>
    <sheet name="BP Rev by Product" sheetId="136" r:id="rId4"/>
    <sheet name="FORECASTED PERIOD" sheetId="6" r:id="rId5"/>
    <sheet name="FP Rev by Product" sheetId="137" r:id="rId6"/>
    <sheet name="SCH_A" sheetId="127" r:id="rId7"/>
    <sheet name="SCH_B1" sheetId="11" r:id="rId8"/>
    <sheet name="SCH B-2" sheetId="90" r:id="rId9"/>
    <sheet name="SCH B-2.1" sheetId="91" r:id="rId10"/>
    <sheet name="SCH B-2.2" sheetId="92" r:id="rId11"/>
    <sheet name="WPB-2.2a-f - Base" sheetId="121" r:id="rId12"/>
    <sheet name="WPB-2.2g" sheetId="117" r:id="rId13"/>
    <sheet name="WPB-2.2h" sheetId="118" r:id="rId14"/>
    <sheet name="WPB-2.2i Erlanger" sheetId="132" r:id="rId15"/>
    <sheet name="SCH B-2.3" sheetId="93" r:id="rId16"/>
    <sheet name="SCH B-2.4" sheetId="94" r:id="rId17"/>
    <sheet name="SCH B-2.5" sheetId="95" r:id="rId18"/>
    <sheet name="SCH B-2.6" sheetId="96" r:id="rId19"/>
    <sheet name="SCH B-2.7" sheetId="97" r:id="rId20"/>
    <sheet name="SCH B-3" sheetId="98" r:id="rId21"/>
    <sheet name="SCH B-3.1" sheetId="99" r:id="rId22"/>
    <sheet name="WPB-3.1a" sheetId="120" r:id="rId23"/>
    <sheet name="SCH B-3.2 - Proposed Rate" sheetId="100" r:id="rId24"/>
    <sheet name="SCH B-3.2 - Current Rate" sheetId="134" state="hidden" r:id="rId25"/>
    <sheet name="SCH B-4" sheetId="101" r:id="rId26"/>
    <sheet name="SCH_B5s" sheetId="12" r:id="rId27"/>
    <sheet name="WPB-5's" sheetId="13" r:id="rId28"/>
    <sheet name="SCH_B6" sheetId="14" r:id="rId29"/>
    <sheet name="WPB-6's" sheetId="15" r:id="rId30"/>
    <sheet name="SCH_B7s" sheetId="16" r:id="rId31"/>
    <sheet name="SCH_B8" sheetId="17" r:id="rId32"/>
    <sheet name="SCH_C1" sheetId="18" r:id="rId33"/>
    <sheet name="SCH_C2" sheetId="19" r:id="rId34"/>
    <sheet name="WPC_2" sheetId="20" r:id="rId35"/>
    <sheet name="WPC-2e - Adj Summary" sheetId="144" r:id="rId36"/>
    <sheet name="SCH_C2.1 - Base Period" sheetId="21" r:id="rId37"/>
    <sheet name="SCH_C2.1 - Forecasted Period" sheetId="22" r:id="rId38"/>
    <sheet name="SCH_D1" sheetId="24" r:id="rId39"/>
    <sheet name="SCH_D2.1" sheetId="25" r:id="rId40"/>
    <sheet name="SCH_D2.2" sheetId="26" r:id="rId41"/>
    <sheet name="SCH_D2.3" sheetId="27" r:id="rId42"/>
    <sheet name="SCH_D2.4" sheetId="28" r:id="rId43"/>
    <sheet name="SCH_D2.5" sheetId="107" r:id="rId44"/>
    <sheet name="SCH_D2.6" sheetId="29" r:id="rId45"/>
    <sheet name="SCH_D2.7" sheetId="30" r:id="rId46"/>
    <sheet name="SCH_D2.8" sheetId="31" r:id="rId47"/>
    <sheet name="SCH_D2.9" sheetId="32" r:id="rId48"/>
    <sheet name="SCH_D2.10" sheetId="33" r:id="rId49"/>
    <sheet name="SCH_D2.11" sheetId="84" r:id="rId50"/>
    <sheet name="SCH_D2.12" sheetId="34" r:id="rId51"/>
    <sheet name="SCH_D2.13" sheetId="35" r:id="rId52"/>
    <sheet name="SCH_D2.14" sheetId="108" r:id="rId53"/>
    <sheet name="SCH_D2.15" sheetId="36" r:id="rId54"/>
    <sheet name="SCH_D2.16" sheetId="37" r:id="rId55"/>
    <sheet name="SCH_D2.17" sheetId="38" r:id="rId56"/>
    <sheet name="SCH_D2.18" sheetId="115" r:id="rId57"/>
    <sheet name="SCH_D2.19" sheetId="40" r:id="rId58"/>
    <sheet name="SCH_D2.20" sheetId="41" r:id="rId59"/>
    <sheet name="SCH_D2.21" sheetId="42" r:id="rId60"/>
    <sheet name="SCH_D2.22" sheetId="109" r:id="rId61"/>
    <sheet name="SCH_D2.23" sheetId="145" r:id="rId62"/>
    <sheet name="SCH_D2.24" sheetId="112" r:id="rId63"/>
    <sheet name="SCH_D2.25" sheetId="116" r:id="rId64"/>
    <sheet name="SCH_D2.26" sheetId="123" r:id="rId65"/>
    <sheet name="SCH_D2.27" sheetId="124" r:id="rId66"/>
    <sheet name="SCH_D2.28" sheetId="125" r:id="rId67"/>
    <sheet name="SCH_D2.29" sheetId="126" r:id="rId68"/>
    <sheet name="SCH_D3" sheetId="43" r:id="rId69"/>
    <sheet name="SCH_D4" sheetId="44" r:id="rId70"/>
    <sheet name="SCH_D5" sheetId="45" r:id="rId71"/>
    <sheet name="SCH_E1" sheetId="46" r:id="rId72"/>
    <sheet name="SCH_E2" sheetId="48" r:id="rId73"/>
    <sheet name="SCH_F1" sheetId="49" r:id="rId74"/>
    <sheet name="SCH_F2.1" sheetId="50" r:id="rId75"/>
    <sheet name="SCH_F2.2" sheetId="51" r:id="rId76"/>
    <sheet name="SCH_F2.3" sheetId="52" r:id="rId77"/>
    <sheet name="SCH_F3" sheetId="53" r:id="rId78"/>
    <sheet name="SCH_F4" sheetId="54" r:id="rId79"/>
    <sheet name="SCH_F5" sheetId="55" r:id="rId80"/>
    <sheet name="SCH_F6" sheetId="56" r:id="rId81"/>
    <sheet name="SCH_F7" sheetId="57" r:id="rId82"/>
    <sheet name="SCH_G1" sheetId="58" r:id="rId83"/>
    <sheet name="SCH_G2" sheetId="59" r:id="rId84"/>
    <sheet name="SCH_G3" sheetId="60" r:id="rId85"/>
    <sheet name="SCH_H" sheetId="61" r:id="rId86"/>
    <sheet name="SCH_I1 - Total Co." sheetId="62" r:id="rId87"/>
    <sheet name="SCH_I1 - Gas Only" sheetId="138" r:id="rId88"/>
    <sheet name="SCH_I2.1" sheetId="63" r:id="rId89"/>
    <sheet name="Base Period Cust" sheetId="64" r:id="rId90"/>
    <sheet name="MCF Sales" sheetId="139" r:id="rId91"/>
    <sheet name="SCH_I3" sheetId="65" r:id="rId92"/>
    <sheet name="SCH_I4" sheetId="66" r:id="rId93"/>
    <sheet name="SCH_I5" sheetId="67" r:id="rId94"/>
    <sheet name="SCH_J1 - Base" sheetId="76" r:id="rId95"/>
    <sheet name="SCH_J1 - Forecast" sheetId="68" r:id="rId96"/>
    <sheet name="SCH_J2 - Base" sheetId="70" r:id="rId97"/>
    <sheet name="SCH_J2 - Forecast" sheetId="80" r:id="rId98"/>
    <sheet name="SCH_J3 - Base" sheetId="71" r:id="rId99"/>
    <sheet name="SCH_J3 - Forecast" sheetId="81" r:id="rId100"/>
    <sheet name="SCH K DEK" sheetId="110" r:id="rId101"/>
  </sheets>
  <externalReferences>
    <externalReference r:id="rId102"/>
  </externalReferences>
  <definedNames>
    <definedName name="_Dist_Bin" localSheetId="24" hidden="1">#REF!</definedName>
    <definedName name="_Dist_Bin" localSheetId="11" hidden="1">#REF!</definedName>
    <definedName name="_Dist_Bin" hidden="1">#REF!</definedName>
    <definedName name="_Dist_Values" localSheetId="24" hidden="1">#REF!</definedName>
    <definedName name="_Dist_Values" localSheetId="11" hidden="1">#REF!</definedName>
    <definedName name="_Dist_Values" hidden="1">#REF!</definedName>
    <definedName name="_Fill" localSheetId="25" hidden="1">#REF!</definedName>
    <definedName name="_Fill" localSheetId="31" hidden="1">SCH_B8!$A$53:$A$61</definedName>
    <definedName name="_Fill" localSheetId="72" hidden="1">SCH_E1!$S$149:$S$172</definedName>
    <definedName name="_Fill" localSheetId="87" hidden="1">'SCH_I1 - Gas Only'!#REF!</definedName>
    <definedName name="_Fill" localSheetId="86" hidden="1">'SCH_I1 - Total Co.'!#REF!</definedName>
    <definedName name="_Regression_Int" localSheetId="31" hidden="1">1</definedName>
    <definedName name="_Regression_Int" localSheetId="71" hidden="1">1</definedName>
    <definedName name="_Regression_Int" localSheetId="72" hidden="1">1</definedName>
    <definedName name="_Regression_Int" localSheetId="87" hidden="1">1</definedName>
    <definedName name="_Regression_Int" localSheetId="86" hidden="1">1</definedName>
    <definedName name="_WIT1">LOGO!$G$6</definedName>
    <definedName name="_WIT10">LOGO!$G$15</definedName>
    <definedName name="_WIT2">LOGO!$G$7</definedName>
    <definedName name="_WIT3">LOGO!$G$8</definedName>
    <definedName name="_WIT4">LOGO!$G$9</definedName>
    <definedName name="_WIT5">LOGO!$G$10</definedName>
    <definedName name="_WIT6">LOGO!$G$11</definedName>
    <definedName name="_WIT7">LOGO!$G$12</definedName>
    <definedName name="_Wit8">LOGO!$G$13</definedName>
    <definedName name="_WIT9">LOGO!$G$14</definedName>
    <definedName name="AAABudget">#REF!</definedName>
    <definedName name="AAAfpBdgt">#REF!</definedName>
    <definedName name="AccountBP">'BASE PERIOD'!$A$12:$A$179</definedName>
    <definedName name="ALLOCTABLE">ALLOCTABLE!$A$1:$C$33</definedName>
    <definedName name="AmountBP">'BASE PERIOD'!$E$12:$E$179</definedName>
    <definedName name="AmountFP">'FORECASTED PERIOD'!$E$13:$E$180</definedName>
    <definedName name="APPORT">SCH_E1!$AJ$250</definedName>
    <definedName name="Base_Period">LOGO!$B$10</definedName>
    <definedName name="Base1">'BASE PERIOD'!$F$12:$F$179</definedName>
    <definedName name="Base10">'BASE PERIOD'!$O$12:$O$179</definedName>
    <definedName name="Base11">'BASE PERIOD'!$P$12:$P$179</definedName>
    <definedName name="Base12">'BASE PERIOD'!$Q$12:$Q$179</definedName>
    <definedName name="Base2">'BASE PERIOD'!$G$12:$G$179</definedName>
    <definedName name="Base3">'BASE PERIOD'!$H$12:$H$179</definedName>
    <definedName name="Base4">'BASE PERIOD'!$I$12:$I$179</definedName>
    <definedName name="Base5">'BASE PERIOD'!$J$12:$J$179</definedName>
    <definedName name="Base6">'BASE PERIOD'!$K$12:$K$179</definedName>
    <definedName name="Base7">'BASE PERIOD'!$L$12:$L$179</definedName>
    <definedName name="Base8">'BASE PERIOD'!$M$12:$M$179</definedName>
    <definedName name="Base9">'BASE PERIOD'!$N$12:$N$179</definedName>
    <definedName name="BaseFuelCurrent">LOGO!$C$31</definedName>
    <definedName name="BaseFuelProposed">LOGO!$C$32</definedName>
    <definedName name="BasePeriod">'BASE PERIOD'!$A$12:$Q$179</definedName>
    <definedName name="BPActRev1">#REF!</definedName>
    <definedName name="BPActRev2">#REF!</definedName>
    <definedName name="BPActRev3">#REF!</definedName>
    <definedName name="BPActRev4">#REF!</definedName>
    <definedName name="BPActRev5">#REF!</definedName>
    <definedName name="BPActRev6">#REF!</definedName>
    <definedName name="BPActRevAccount">#REF!</definedName>
    <definedName name="BPActRevProduct">#REF!</definedName>
    <definedName name="BPActual">'[1]BP Actual Exp'!$A$1:$N$213</definedName>
    <definedName name="BPActualRev">#REF!</definedName>
    <definedName name="BPBdgtRev1">#REF!</definedName>
    <definedName name="BPBdgtRev2">#REF!</definedName>
    <definedName name="BPBdgtRev3">#REF!</definedName>
    <definedName name="BPBdgtRev4">#REF!</definedName>
    <definedName name="BPBdgtRev5">#REF!</definedName>
    <definedName name="BPBdgtRev6">#REF!</definedName>
    <definedName name="BPBdgtRevAccount">#REF!</definedName>
    <definedName name="BPBdgtRevProduct">#REF!</definedName>
    <definedName name="BPRev1">'BP Rev by Product'!$G$12:$G$65</definedName>
    <definedName name="BPRev10">'BP Rev by Product'!$P$12:$P$65</definedName>
    <definedName name="BPrev11">'BP Rev by Product'!$Q$12:$Q$65</definedName>
    <definedName name="BPRev12">'BP Rev by Product'!$R$12:$R$65</definedName>
    <definedName name="BPRev2">'BP Rev by Product'!$H$12:$H$65</definedName>
    <definedName name="BPRev3">'BP Rev by Product'!$I$12:$I$65</definedName>
    <definedName name="BPRev4">'BP Rev by Product'!$J$12:$J$65</definedName>
    <definedName name="BPRev5">'BP Rev by Product'!$K$12:$K$65</definedName>
    <definedName name="BPRev6">'BP Rev by Product'!$L$12:$L$65</definedName>
    <definedName name="BPRev7">'BP Rev by Product'!$M$12:$M$65</definedName>
    <definedName name="BPRev8">'BP Rev by Product'!$N$12:$N$65</definedName>
    <definedName name="BPRev9">'BP Rev by Product'!$O$12:$O$65</definedName>
    <definedName name="BPREVACCT">'BP Rev by Product'!$A$12:$A$65</definedName>
    <definedName name="BPREVPROD">'BP Rev by Product'!$D$12:$D$65</definedName>
    <definedName name="BPrevTotal">'BP Rev by Product'!$F$12:$F$65</definedName>
    <definedName name="C_1_PROEXP">SCH_C1!$G$23</definedName>
    <definedName name="CASE">LOGO!$B$6</definedName>
    <definedName name="CheckTotal">SCH_D1!$AS$455</definedName>
    <definedName name="CODE">'BASE PERIOD'!$C$12:$C$179</definedName>
    <definedName name="CodeF">'FORECASTED PERIOD'!$C$13:$C$180</definedName>
    <definedName name="CommonE">'SCH B-2.1'!$C$259</definedName>
    <definedName name="CommonG">'SCH B-2.1'!$C$160</definedName>
    <definedName name="COMPANY">LOGO!$B$5</definedName>
    <definedName name="D_1_DEPR">SCH_D1!$E$43</definedName>
    <definedName name="D_1_INTADJ">SCH_D2.18!$AF$93</definedName>
    <definedName name="D_1_OMEXP">SCH_D1!$E$41</definedName>
    <definedName name="D_1_OTHTX">SCH_D1!$E$48</definedName>
    <definedName name="D_1_REV">SCH_D1!$E$21</definedName>
    <definedName name="Data">LOGO!$B$12</definedName>
    <definedName name="DataB">LOGO!$B$14</definedName>
    <definedName name="_xlnm.Database">'BASE PERIOD'!$A$11:$E$339</definedName>
    <definedName name="DataF">LOGO!$B$13</definedName>
    <definedName name="DEPT">LOGO!$B$9</definedName>
    <definedName name="ExpGRCF">SCH_H!$I$79</definedName>
    <definedName name="FERCBP">'BASE PERIOD'!$D$12:$D$179</definedName>
    <definedName name="FERCFP">'FORECASTED PERIOD'!$D$13:$D$180</definedName>
    <definedName name="FIT">LOGO!$C$23</definedName>
    <definedName name="Forecast">LOGO!$B$11</definedName>
    <definedName name="Forecast1">'FORECASTED PERIOD'!$F$13:$F$180</definedName>
    <definedName name="Forecast10">'FORECASTED PERIOD'!$O$13:$O$180</definedName>
    <definedName name="Forecast11">'FORECASTED PERIOD'!$P$13:$P$180</definedName>
    <definedName name="Forecast12">'FORECASTED PERIOD'!$Q$13:$Q$180</definedName>
    <definedName name="Forecast2">'FORECASTED PERIOD'!$G$13:$G$180</definedName>
    <definedName name="Forecast3">'FORECASTED PERIOD'!$H$13:$H$180</definedName>
    <definedName name="forecast4">'FORECASTED PERIOD'!$I$13:$I$180</definedName>
    <definedName name="Forecast5">'FORECASTED PERIOD'!$J$13:$J$180</definedName>
    <definedName name="Forecast6">'FORECASTED PERIOD'!$K$13:$K$180</definedName>
    <definedName name="Forecast7">'FORECASTED PERIOD'!$L$13:$L$180</definedName>
    <definedName name="Forecast8">'FORECASTED PERIOD'!$M$13:$M$180</definedName>
    <definedName name="Forecast9">'FORECASTED PERIOD'!$N$13:$N$180</definedName>
    <definedName name="FPERIOD">'FORECASTED PERIOD'!$A$12:$Q$180</definedName>
    <definedName name="FPRev1">'FP Rev by Product'!$G$12:$G$63</definedName>
    <definedName name="FPrev10">'FP Rev by Product'!$P$12:$P$63</definedName>
    <definedName name="FPRev11">'FP Rev by Product'!$Q$12:$Q$63</definedName>
    <definedName name="FPRev12">'FP Rev by Product'!$R$12:$R$63</definedName>
    <definedName name="FPRev2">'FP Rev by Product'!$H$12:$H$63</definedName>
    <definedName name="FPRev3">'FP Rev by Product'!$I$12:$I$63</definedName>
    <definedName name="FPRev4">'FP Rev by Product'!$J$12:$J$63</definedName>
    <definedName name="FPRev5">'FP Rev by Product'!$K$12:$K$63</definedName>
    <definedName name="FPRev6">'FP Rev by Product'!$L$12:$L$63</definedName>
    <definedName name="FPrev7">'FP Rev by Product'!$M$12:$M$63</definedName>
    <definedName name="FPRev8">'FP Rev by Product'!$N$12:$N$63</definedName>
    <definedName name="FPrev9">'FP Rev by Product'!$O$12:$O$63</definedName>
    <definedName name="FPRevAcct">'FP Rev by Product'!$A$12:$A$63</definedName>
    <definedName name="FPRevProd">'FP Rev by Product'!$D$12:$D$63</definedName>
    <definedName name="FPrevTotal">'FP Rev by Product'!$F$12:$F$63</definedName>
    <definedName name="FPunbilled">WPC_2!$T$49</definedName>
    <definedName name="GRCF">SCH_H!$I$34</definedName>
    <definedName name="GROSS_REVENUE_CONVERSION_FACTOR">SCH_H!$I$33</definedName>
    <definedName name="KPSC">LOGO!$C$21</definedName>
    <definedName name="KPSCMaint">LOGO!$C$23</definedName>
    <definedName name="MINCR">SCH_C1!$G$17</definedName>
    <definedName name="OMtable">#REF!</definedName>
    <definedName name="PayrollWit">LOGO!$B$19</definedName>
    <definedName name="PERIOD">LOGO!$B$7</definedName>
    <definedName name="PeriodF">LOGO!$B$8</definedName>
    <definedName name="PLANT_IN_SERVICE">SCH_B1!$I$18</definedName>
    <definedName name="_xlnm.Print_Area" localSheetId="89">'Base Period Cust'!$A$1:$P$67</definedName>
    <definedName name="_xlnm.Print_Area" localSheetId="4">'FORECASTED PERIOD'!$A$2:$Q$180</definedName>
    <definedName name="_xlnm.Print_Area" localSheetId="8">'SCH B-2'!$A$47:$G$91</definedName>
    <definedName name="_xlnm.Print_Area" localSheetId="9">'SCH B-2.1'!$A$291:$I$333</definedName>
    <definedName name="_xlnm.Print_Area" localSheetId="10">'SCH B-2.2'!$A$55:$I$106</definedName>
    <definedName name="_xlnm.Print_Area" localSheetId="15">'SCH B-2.3'!$A$303:$L$347</definedName>
    <definedName name="_xlnm.Print_Area" localSheetId="16">'SCH B-2.4'!$A$1:$J$30</definedName>
    <definedName name="_xlnm.Print_Area" localSheetId="17">'SCH B-2.5'!$A$35:$G$64</definedName>
    <definedName name="_xlnm.Print_Area" localSheetId="18">'SCH B-2.6'!$A$27:$M$49</definedName>
    <definedName name="_xlnm.Print_Area" localSheetId="19">'SCH B-2.7'!$A$45:$K$85</definedName>
    <definedName name="_xlnm.Print_Area" localSheetId="20">'SCH B-3'!$A$341:$K$396</definedName>
    <definedName name="_xlnm.Print_Area" localSheetId="21">'SCH B-3.1'!$A$54:$I$103</definedName>
    <definedName name="_xlnm.Print_Area" localSheetId="24">'SCH B-3.2 - Current Rate'!$A$151:$O$204</definedName>
    <definedName name="_xlnm.Print_Area" localSheetId="23">'SCH B-3.2 - Proposed Rate'!$A$150:$O$207</definedName>
    <definedName name="_xlnm.Print_Area" localSheetId="25">'SCH B-4'!$A$50:$F$94</definedName>
    <definedName name="_xlnm.Print_Area" localSheetId="100">'SCH K DEK'!$A$176:$N$209</definedName>
    <definedName name="_xlnm.Print_Area" localSheetId="6">SCH_A!$A$1:$J$39</definedName>
    <definedName name="_xlnm.Print_Area" localSheetId="7">SCH_B1!$A$1:$J$52</definedName>
    <definedName name="_xlnm.Print_Area" localSheetId="26">SCH_B5s!$Q$96:$Y$144</definedName>
    <definedName name="_xlnm.Print_Area" localSheetId="28">SCH_B6!$A$49:$Q$95</definedName>
    <definedName name="_xlnm.Print_Area" localSheetId="30">SCH_B7s!$V$72:$AC$100</definedName>
    <definedName name="_xlnm.Print_Area" localSheetId="31">SCH_B8!$A$68:$Q$131</definedName>
    <definedName name="_xlnm.Print_Area" localSheetId="32">SCH_C1!$J$38:$P$71</definedName>
    <definedName name="_xlnm.Print_Area" localSheetId="33">SCH_C2!$A$1:$N$62</definedName>
    <definedName name="_xlnm.Print_Area" localSheetId="36">'SCH_C2.1 - Base Period'!$C$288:$K$324</definedName>
    <definedName name="_xlnm.Print_Area" localSheetId="37">'SCH_C2.1 - Forecasted Period'!$C$288:$K$325</definedName>
    <definedName name="_xlnm.Print_Area" localSheetId="38">SCH_D1!$Q$326:$AE$388</definedName>
    <definedName name="_xlnm.Print_Area" localSheetId="39">SCH_D2.1!$L$41:$T$65</definedName>
    <definedName name="_xlnm.Print_Area" localSheetId="48">SCH_D2.10!$L$43:$T$60</definedName>
    <definedName name="_xlnm.Print_Area" localSheetId="49">SCH_D2.11!$L$43:$T$60</definedName>
    <definedName name="_xlnm.Print_Area" localSheetId="50">SCH_D2.12!$L$43:$T$60</definedName>
    <definedName name="_xlnm.Print_Area" localSheetId="51">SCH_D2.13!$L$46:$T$65</definedName>
    <definedName name="_xlnm.Print_Area" localSheetId="52">SCH_D2.14!$L$50:$T$80</definedName>
    <definedName name="_xlnm.Print_Area" localSheetId="53">SCH_D2.15!$AB$83:$AP$110</definedName>
    <definedName name="_xlnm.Print_Area" localSheetId="54">SCH_D2.16!$N$35:$U$58</definedName>
    <definedName name="_xlnm.Print_Area" localSheetId="55">SCH_D2.17!$L$40:$U$60</definedName>
    <definedName name="_xlnm.Print_Area" localSheetId="56">SCH_D2.18!$X$71:$AF$101</definedName>
    <definedName name="_xlnm.Print_Area" localSheetId="57">SCH_D2.19!$BI$267:$BP$290</definedName>
    <definedName name="_xlnm.Print_Area" localSheetId="40">SCH_D2.2!$L$46:$T$70</definedName>
    <definedName name="_xlnm.Print_Area" localSheetId="58">SCH_D2.20!$N$32:$U$60</definedName>
    <definedName name="_xlnm.Print_Area" localSheetId="59">SCH_D2.21!$N$40:$U$62</definedName>
    <definedName name="_xlnm.Print_Area" localSheetId="60">SCH_D2.22!$L$37:$U$110</definedName>
    <definedName name="_xlnm.Print_Area" localSheetId="61">SCH_D2.23!$K$35:$S$57</definedName>
    <definedName name="_xlnm.Print_Area" localSheetId="62">SCH_D2.24!$N$133:$V$155</definedName>
    <definedName name="_xlnm.Print_Area" localSheetId="63">SCH_D2.25!$A$1:$J$31</definedName>
    <definedName name="_xlnm.Print_Area" localSheetId="64">SCH_D2.26!$Z$68:$AL$99</definedName>
    <definedName name="_xlnm.Print_Area" localSheetId="65">SCH_D2.27!$A$1:$J$29</definedName>
    <definedName name="_xlnm.Print_Area" localSheetId="66">SCH_D2.28!$A$1:$J$30</definedName>
    <definedName name="_xlnm.Print_Area" localSheetId="41">SCH_D2.3!$L$43:$T$60</definedName>
    <definedName name="_xlnm.Print_Area" localSheetId="42">SCH_D2.4!$L$43:$T$60</definedName>
    <definedName name="_xlnm.Print_Area" localSheetId="43">SCH_D2.5!$L$43:$T$65</definedName>
    <definedName name="_xlnm.Print_Area" localSheetId="44">SCH_D2.6!$L$43:$T$70</definedName>
    <definedName name="_xlnm.Print_Area" localSheetId="45">SCH_D2.7!$L$43:$T$60</definedName>
    <definedName name="_xlnm.Print_Area" localSheetId="46">SCH_D2.8!$L$43:$T$60</definedName>
    <definedName name="_xlnm.Print_Area" localSheetId="47">SCH_D2.9!$L$43:$T$60</definedName>
    <definedName name="_xlnm.Print_Area" localSheetId="68">SCH_D3!$A$1:$K$40</definedName>
    <definedName name="_xlnm.Print_Area" localSheetId="69">SCH_D4!$A$1:$K$32</definedName>
    <definedName name="_xlnm.Print_Area" localSheetId="70">SCH_D5!$A$1:$H$34</definedName>
    <definedName name="_xlnm.Print_Area" localSheetId="71">SCH_E1!$AB$184:$AK$261</definedName>
    <definedName name="_xlnm.Print_Area" localSheetId="72">SCH_E2!$A$1:$H$27</definedName>
    <definedName name="_xlnm.Print_Area" localSheetId="73">SCH_F1!$A$1:$Q$42</definedName>
    <definedName name="_xlnm.Print_Area" localSheetId="74">SCH_F2.1!$A$1:$Q$61</definedName>
    <definedName name="_xlnm.Print_Area" localSheetId="75">SCH_F2.2!$A$1:$Q$25</definedName>
    <definedName name="_xlnm.Print_Area" localSheetId="76">SCH_F2.3!$A$1:$Q$28</definedName>
    <definedName name="_xlnm.Print_Area" localSheetId="77">SCH_F3!$B$1:$P$35</definedName>
    <definedName name="_xlnm.Print_Area" localSheetId="78">SCH_F4!$A$69:$K$114</definedName>
    <definedName name="_xlnm.Print_Area" localSheetId="79">SCH_F5!$M$105:$AA$134</definedName>
    <definedName name="_xlnm.Print_Area" localSheetId="80">SCH_F6!$A$1:$L$45</definedName>
    <definedName name="_xlnm.Print_Area" localSheetId="81">SCH_F7!$A$1:$Q$33</definedName>
    <definedName name="_xlnm.Print_Area" localSheetId="82">SCH_G1!$B$1:$L$36</definedName>
    <definedName name="_xlnm.Print_Area" localSheetId="83">SCH_G2!$B$1:$I$28</definedName>
    <definedName name="_xlnm.Print_Area" localSheetId="84">SCH_G3!$A$1:$I$43</definedName>
    <definedName name="_xlnm.Print_Area" localSheetId="85">SCH_H!$A$38:$I$71</definedName>
    <definedName name="_xlnm.Print_Area" localSheetId="87">'SCH_I1 - Gas Only'!$A$1:$V$78</definedName>
    <definedName name="_xlnm.Print_Area" localSheetId="86">'SCH_I1 - Total Co.'!$A$1:$W$64</definedName>
    <definedName name="_xlnm.Print_Area" localSheetId="88">SCH_I2.1!$A$1:$O$76</definedName>
    <definedName name="_xlnm.Print_Area" localSheetId="91">SCH_I3!$A$1:$O$76</definedName>
    <definedName name="_xlnm.Print_Area" localSheetId="92">SCH_I4!$A$1:$P$76</definedName>
    <definedName name="_xlnm.Print_Area" localSheetId="93">SCH_I5!$A$1:$O$75</definedName>
    <definedName name="_xlnm.Print_Area" localSheetId="94">'SCH_J1 - Base'!$A$1:$M$35</definedName>
    <definedName name="_xlnm.Print_Area" localSheetId="95">'SCH_J1 - Forecast'!$A$1:$M$39</definedName>
    <definedName name="_xlnm.Print_Area" localSheetId="96">'SCH_J2 - Base'!$A$1:$J$42</definedName>
    <definedName name="_xlnm.Print_Area" localSheetId="97">'SCH_J2 - Forecast'!$A$1:$J$46</definedName>
    <definedName name="_xlnm.Print_Area" localSheetId="98">'SCH_J3 - Base'!$A$1:$M$58</definedName>
    <definedName name="_xlnm.Print_Area" localSheetId="99">'SCH_J3 - Forecast'!$A$1:$M$60</definedName>
    <definedName name="_xlnm.Print_Area" localSheetId="11">'WPB-2.2a-f - Base'!$AE$239:$AU$293</definedName>
    <definedName name="_xlnm.Print_Area" localSheetId="12">'WPB-2.2g'!$A$1:$P$47</definedName>
    <definedName name="_xlnm.Print_Area" localSheetId="13">'WPB-2.2h'!$A$1:$R$30</definedName>
    <definedName name="_xlnm.Print_Area" localSheetId="14">'WPB-2.2i Erlanger'!$A$1:$H$60</definedName>
    <definedName name="_xlnm.Print_Area" localSheetId="22">'WPB-3.1a'!$A$1:$R$32</definedName>
    <definedName name="_xlnm.Print_Area" localSheetId="27">'WPB-5''s'!$CU$385:$DC$433</definedName>
    <definedName name="_xlnm.Print_Area" localSheetId="29">'WPB-6''s'!$Y$216:$AG$239</definedName>
    <definedName name="_xlnm.Print_Area" localSheetId="34">WPC_2!$W$72:$AM$132</definedName>
    <definedName name="_xlnm.Print_Area" localSheetId="35">'WPC-2e - Adj Summary'!$A$1:$P$24</definedName>
    <definedName name="_xlnm.Print_Titles" localSheetId="2">'BASE PERIOD'!$10:$11</definedName>
    <definedName name="_xlnm.Print_Titles" localSheetId="4">'FORECASTED PERIOD'!$A:$D,'FORECASTED PERIOD'!$1:$11</definedName>
    <definedName name="_xlnm.Print_Titles" localSheetId="14">'WPB-2.2i Erlanger'!$1:$7</definedName>
    <definedName name="RofR">'SCH_J1 - Forecast'!$M$21</definedName>
    <definedName name="SCH_A_RB">SCH_A!$A$1:$J$39</definedName>
    <definedName name="SCH_B1">SCH_B1!$A$1:$J$52</definedName>
    <definedName name="SCH_B2.1P1">'SCH B-2.1'!$A$1:$I$32</definedName>
    <definedName name="SCH_B2.1P2">'SCH B-2.1'!$A$33:$I$82</definedName>
    <definedName name="SCH_B2.1P3">'SCH B-2.1'!$A$83:$I$123</definedName>
    <definedName name="SCH_B2.1P4">'SCH B-2.1'!$A$124:$I$165</definedName>
    <definedName name="SCH_B2.1P5">'SCH B-2.1'!$A$167:$I$198</definedName>
    <definedName name="SCH_B2.1P6">'SCH B-2.1'!$A$199:$I$248</definedName>
    <definedName name="SCH_B2.1P7">'SCH B-2.1'!$A$249:$I$290</definedName>
    <definedName name="SCH_B2.1P8">'SCH B-2.1'!$A$291:$I$333</definedName>
    <definedName name="SCH_B2.2P1">'SCH B-2.2'!$A$1:$I$53</definedName>
    <definedName name="SCH_B2.2P2">'SCH B-2.2'!$A$55:$I$106</definedName>
    <definedName name="SCH_B2.3P1">'SCH B-2.3'!$A$1:$K$34</definedName>
    <definedName name="SCH_B2.3P2">'SCH B-2.3'!$A$35:$K$85</definedName>
    <definedName name="SCH_B2.3P3">'SCH B-2.3'!$A$86:$K$129</definedName>
    <definedName name="SCH_B2.3P4">'SCH B-2.3'!$A$130:$K$172</definedName>
    <definedName name="SCH_B2.3P5">'SCH B-2.3'!$A$174:$L$207</definedName>
    <definedName name="SCH_B2.3P6">'SCH B-2.3'!$A$208:$L$258</definedName>
    <definedName name="SCH_B2.3P7">'SCH B-2.3'!$A$259:$L$302</definedName>
    <definedName name="SCH_B2.3P8">'SCH B-2.3'!$A$303:$L$347</definedName>
    <definedName name="SCH_B2.4">'SCH B-2.4'!$A$1:$J$30</definedName>
    <definedName name="SCH_B2.5P1">'SCH B-2.5'!$A$1:$G$33</definedName>
    <definedName name="SCH_B2.5P2">'SCH B-2.5'!$A$35:$G$64</definedName>
    <definedName name="SCH_B2.6P1">'SCH B-2.6'!$A$1:$M$24</definedName>
    <definedName name="SCH_B2.6P2">'SCH B-2.6'!$A$27:$M$49</definedName>
    <definedName name="SCH_B2.7P1">'SCH B-2.7'!$A$1:$K$40</definedName>
    <definedName name="SCH_B2.7P2">'SCH B-2.7'!$A$45:$K$85</definedName>
    <definedName name="SCH_B2P1">'SCH B-2'!$A$1:$G$45</definedName>
    <definedName name="SCH_B2P2">'SCH B-2'!$A$47:$G$91</definedName>
    <definedName name="SCH_B3.1P1">'SCH B-3.1'!$A$1:$I$52</definedName>
    <definedName name="SCH_B3.1P2">'SCH B-3.1'!$A$54:$I$103</definedName>
    <definedName name="SCH_B3.2_Current_P1" localSheetId="24">'SCH B-3.2 - Current Rate'!$A$1:$O$42</definedName>
    <definedName name="SCH_B3.2_Current_P2" localSheetId="24">'SCH B-3.2 - Current Rate'!$A$43:$O$103</definedName>
    <definedName name="SCH_B3.2_Current_P3" localSheetId="24">'SCH B-3.2 - Current Rate'!$A$104:$O$150</definedName>
    <definedName name="SCH_B3.2_Current_P4" localSheetId="24">'SCH B-3.2 - Current Rate'!$A$151:$O$204</definedName>
    <definedName name="SCH_B3.2P1">'SCH B-3.2 - Proposed Rate'!$A$1:$O$37</definedName>
    <definedName name="SCH_B3.2P2">'SCH B-3.2 - Proposed Rate'!$A$42:$O$99</definedName>
    <definedName name="SCH_B3.2P3">'SCH B-3.2 - Proposed Rate'!$A$100:$O$149</definedName>
    <definedName name="SCH_B3.2P4">'SCH B-3.2 - Proposed Rate'!$A$150:$O$207</definedName>
    <definedName name="SCH_B3P1">'SCH B-3'!$A$1:$K$39</definedName>
    <definedName name="SCH_B3P2">'SCH B-3'!$A$40:$K$95</definedName>
    <definedName name="SCH_B3P3">'SCH B-3'!$A$96:$K$143</definedName>
    <definedName name="SCH_B3P4">'SCH B-3'!$A$144:$K$196</definedName>
    <definedName name="SCH_B3P5">'SCH B-3'!$A$199:$K$236</definedName>
    <definedName name="SCH_B3P6">'SCH B-3'!$A$237:$K$292</definedName>
    <definedName name="SCH_B3P7">'SCH B-3'!$A$293:$K$340</definedName>
    <definedName name="SCH_B3P8">'SCH B-3'!$A$341:$K$396</definedName>
    <definedName name="SCH_B4P1">'SCH B-4'!$A$1:$F$45</definedName>
    <definedName name="SCH_B4P2">'SCH B-4'!$A$50:$F$94</definedName>
    <definedName name="SCH_B5">SCH_B5s!$A$1:$P$49</definedName>
    <definedName name="SCH_B5.1">SCH_B5s!$Q$46:$Y$92</definedName>
    <definedName name="SCH_B5.1P2">SCH_B5s!$Q$96:$Y$144</definedName>
    <definedName name="SCH_B6P1">SCH_B6!$A$1:$Q$46</definedName>
    <definedName name="SCH_B6P2">SCH_B6!$A$49:$Q$95</definedName>
    <definedName name="SCH_B7.1">SCH_B7s!$L$40:$U$70</definedName>
    <definedName name="SCH_B7.2">SCH_B7s!$V$72:$AC$100</definedName>
    <definedName name="SCH_B7P1">SCH_B7s!$A$1:$K$30</definedName>
    <definedName name="SCH_B8P1">SCH_B8!$A$1:$Q$67</definedName>
    <definedName name="SCH_B8P2">SCH_B8!$A$68:$Q$131</definedName>
    <definedName name="SCH_C1">SCH_C1!$A$1:$I$37</definedName>
    <definedName name="SCH_C2">SCH_C2!$A$1:$N$62</definedName>
    <definedName name="SCH_C2.1FP1">'SCH_C2.1 - Forecasted Period'!$C$1:$K$30</definedName>
    <definedName name="SCH_C2.1FP2">'SCH_C2.1 - Forecasted Period'!$C$31:$K$65</definedName>
    <definedName name="SCH_C2.1FP3">'SCH_C2.1 - Forecasted Period'!$C$66:$K$117</definedName>
    <definedName name="SCH_C2.1FP4">'SCH_C2.1 - Forecasted Period'!$C$118:$K$154</definedName>
    <definedName name="SCH_C2.1FP5">'SCH_C2.1 - Forecasted Period'!$C$155:$K$197</definedName>
    <definedName name="SCH_C2.1FP6">'SCH_C2.1 - Forecasted Period'!$C$198:$K$249</definedName>
    <definedName name="SCH_C2.1FP7">'SCH_C2.1 - Forecasted Period'!$C$251:$K$287</definedName>
    <definedName name="SCH_C2.1FP8">'SCH_C2.1 - Forecasted Period'!$C$288:$K$325</definedName>
    <definedName name="SCH_C2.1P1">'SCH_C2.1 - Base Period'!$C$1:$K$30</definedName>
    <definedName name="SCH_C2.1P2">'SCH_C2.1 - Base Period'!$C$31:$K$65</definedName>
    <definedName name="SCH_C2.1P3">'SCH_C2.1 - Base Period'!$C$66:$K$117</definedName>
    <definedName name="SCH_C2.1P4">'SCH_C2.1 - Base Period'!$C$118:$K$154</definedName>
    <definedName name="SCH_C2.1P5">'SCH_C2.1 - Base Period'!$C$155:$K$197</definedName>
    <definedName name="SCH_C2.1P6">'SCH_C2.1 - Base Period'!$C$198:$K$250</definedName>
    <definedName name="SCH_C2.1P7">'SCH_C2.1 - Base Period'!$C$251:$K$287</definedName>
    <definedName name="SCH_C2.1P8">'SCH_C2.1 - Base Period'!$C$288:$K$324</definedName>
    <definedName name="SCH_D1P1">SCH_D1!$AG$393:$AQ$456</definedName>
    <definedName name="SCH_D1P2">SCH_D1!$A$1:$O$63</definedName>
    <definedName name="SCH_D1P3">SCH_D1!$A$66:$O$128</definedName>
    <definedName name="SCH_D1P4">SCH_D1!$A$131:$O$193</definedName>
    <definedName name="SCH_D1P5">SCH_D1!$Q$196:$AE$258</definedName>
    <definedName name="SCH_D1P6">SCH_D1!$Q$261:$AE$323</definedName>
    <definedName name="SCH_D1P7">SCH_D1!$Q$326:$AE$388</definedName>
    <definedName name="SCH_D2.1">SCH_D2.1!$A$1:$J$40</definedName>
    <definedName name="SCH_D2.10">SCH_D2.10!$A$1:$J$36</definedName>
    <definedName name="SCH_D2.11">SCH_D2.11!$A$1:$J$36</definedName>
    <definedName name="SCH_D2.12">SCH_D2.12!$A$1:$J$36</definedName>
    <definedName name="SCH_D2.13">SCH_D2.13!$A$1:$J$40</definedName>
    <definedName name="SCH_D2.14">SCH_D2.14!$A$1:$J$44</definedName>
    <definedName name="SCH_D2.15">SCH_D2.15!$A$1:$J$32</definedName>
    <definedName name="SCH_D2.16">SCH_D2.16!$A$1:$J$30</definedName>
    <definedName name="SCH_D2.17">SCH_D2.17!$A$1:$I$40</definedName>
    <definedName name="SCH_D2.18P1">SCH_D2.18!$A$1:$J$35</definedName>
    <definedName name="SCH_D2.18P2">SCH_D2.18!$L$34:$U$70</definedName>
    <definedName name="SCH_D2.19P1">SCH_D2.19!$A$1:$H$38</definedName>
    <definedName name="SCH_D2.19P2">SCH_D2.19!$J$34:$R$68</definedName>
    <definedName name="SCH_D2.19P3">SCH_D2.19!$V$71:$AD$103</definedName>
    <definedName name="SCH_D2.19P4">SCH_D2.19!$AG$106:$AO$149</definedName>
    <definedName name="SCH_D2.2">SCH_D2.2!$A$1:$J$36</definedName>
    <definedName name="SCH_D2.20">SCH_D2.20!$A$1:$J$31</definedName>
    <definedName name="SCH_D2.21">SCH_D2.21!$A$1:$I$30</definedName>
    <definedName name="SCH_D2.22">SCH_D2.22!$A$1:$J$36</definedName>
    <definedName name="SCH_D2.23">SCH_D2.23!$A$1:$J$32</definedName>
    <definedName name="SCH_D2.24">SCH_D2.24!$A$1:$J$41</definedName>
    <definedName name="SCH_D2.24P2">SCH_D2.24!$A$44:$J$73</definedName>
    <definedName name="SCH_D2.24P3">SCH_D2.24!$A$76:$J$105</definedName>
    <definedName name="SCH_D2.25">SCH_D2.25!$A$1:$J$31</definedName>
    <definedName name="SCH_D2.26">SCH_D2.26!$A$1:$J$35</definedName>
    <definedName name="SCH_D2.27">SCH_D2.27!$A$1:$J$29</definedName>
    <definedName name="SCH_D2.28">SCH_D2.28!$A$1:$J$30</definedName>
    <definedName name="SCH_D2.29">SCH_D2.29!$A$1:$J$29</definedName>
    <definedName name="SCH_D2.3">SCH_D2.3!$A$1:$J$36</definedName>
    <definedName name="SCH_D2.4">SCH_D2.4!$A$1:$J$36</definedName>
    <definedName name="SCH_D2.5">SCH_D2.5!$A$1:$J$40</definedName>
    <definedName name="SCH_D2.6">SCH_D2.6!$A$1:$J$33</definedName>
    <definedName name="SCH_D2.7">SCH_D2.7!$A$1:$J$36</definedName>
    <definedName name="SCH_D2.8">SCH_D2.8!$A$1:$J$36</definedName>
    <definedName name="SCH_D2.9">SCH_D2.9!$A$1:$J$36</definedName>
    <definedName name="SCH_D3">SCH_D3!$A$1:$K$40</definedName>
    <definedName name="SCH_D4">SCH_D4!$A$1:$K$32</definedName>
    <definedName name="SCH_D5">SCH_D5!$A$1:$H$34</definedName>
    <definedName name="Sch_E1P1">SCH_E1!$C$1:$Q$36</definedName>
    <definedName name="Sch_E1P2">SCH_E1!$C$37:$Q$78</definedName>
    <definedName name="Sch_E1P3">SCH_E1!$C$79:$Q$129</definedName>
    <definedName name="Sch_E2P1">SCH_E2!$A$1:$H$27</definedName>
    <definedName name="Sch_F1">SCH_F1!$A$1:$Q$42</definedName>
    <definedName name="SCH_F2.1">SCH_F2.1!$A$1:$Q$61</definedName>
    <definedName name="SCH_F2.2">SCH_F2.2!$A$1:$Q$25</definedName>
    <definedName name="SCH_F2.3">SCH_F2.3!$A$1:$Q$28</definedName>
    <definedName name="SCH_F3P1">SCH_F3!$B$1:$P$35</definedName>
    <definedName name="SCH_F4P1">SCH_F4!$A$1:$K$36</definedName>
    <definedName name="SCH_F4P2">SCH_F4!$A$69:$K$114</definedName>
    <definedName name="SCH_F5">SCH_F5!$A$1:$K$27</definedName>
    <definedName name="SCH_F5P2">SCH_F5!$A$29:$K$55</definedName>
    <definedName name="SCH_F6">SCH_F6!$A$1:$L$45</definedName>
    <definedName name="SCH_F7">SCH_F7!$A$1:$Q$33</definedName>
    <definedName name="SCH_G1">SCH_G1!$B$1:$L$36</definedName>
    <definedName name="SCH_G2">SCH_G2!$B$1:$I$28</definedName>
    <definedName name="SCH_G3">SCH_G3!$A$1:$I$43</definedName>
    <definedName name="SCH_H">SCH_H!$A$1:$I$36</definedName>
    <definedName name="SCH_H_FP">SCH_H!$A$38:$I$71</definedName>
    <definedName name="SCH_I1_Gas">'SCH_I1 - Gas Only'!$A$1:$V$78</definedName>
    <definedName name="SCH_I1_Total">'SCH_I1 - Total Co.'!$A$1:$W$64</definedName>
    <definedName name="SCH_I2.1">SCH_I2.1!$A$1:$O$76</definedName>
    <definedName name="SCH_I3">SCH_I3!$A$1:$O$76</definedName>
    <definedName name="SCH_I4">SCH_I4!$A$1:$P$76</definedName>
    <definedName name="SCH_I5">SCH_I5!$A$1:$O$75</definedName>
    <definedName name="SCH_J1_Base">'SCH_J1 - Base'!$A$1:$M$35</definedName>
    <definedName name="SCH_J1_Forecast">'SCH_J1 - Forecast'!$A$1:$M$39</definedName>
    <definedName name="SCH_J2_Base">'SCH_J2 - Base'!$A$1:$J$42</definedName>
    <definedName name="SCH_J2_Forecast">'SCH_J2 - Forecast'!$A$1:$J$46</definedName>
    <definedName name="SCH_J3_Base">'SCH_J3 - Base'!$A$1:$M$58</definedName>
    <definedName name="SCH_J3_Forecast">'SCH_J3 - Forecast'!$A$1:$M$60</definedName>
    <definedName name="SCH_K1P1">'SCH K DEK'!$A$1:$N$55</definedName>
    <definedName name="SCH_K1P2">'SCH K DEK'!$A$57:$N$103</definedName>
    <definedName name="SCH_K1P3">'SCH K DEK'!$A$104:$N$131</definedName>
    <definedName name="SCH_K1P4">'SCH K DEK'!$A$133:$N$173</definedName>
    <definedName name="SCH_K1P5">'SCH K DEK'!$A$176:$N$209</definedName>
    <definedName name="SIT">LOGO!$C$22</definedName>
    <definedName name="TAXRECONTABLE">SCH_E1!$T$150:$Z$158</definedName>
    <definedName name="Testyear">LOGO!$F$16</definedName>
    <definedName name="TESTYR">LOGO!$B$10</definedName>
    <definedName name="Type">LOGO!$B$15</definedName>
    <definedName name="UncollExp">LOGO!$C$22</definedName>
    <definedName name="UncollRatio">LOGO!$C$20</definedName>
    <definedName name="WCD">'SCH_J1 - Forecast'!$M$18</definedName>
    <definedName name="WORKING_CAPITAL">SCH_B5s!$O$36</definedName>
    <definedName name="WPB_2.2a">'WPB-2.2a-f - Base'!$A$1:$F$48</definedName>
    <definedName name="WPB_2.2b">'WPB-2.2a-f - Base'!$G$58:$L$95</definedName>
    <definedName name="WPB_2.2c">'WPB-2.2a-f - Base'!$M$99:$R$140</definedName>
    <definedName name="WPB_2.2d">'WPB-2.2a-f - Base'!$S$143:$X$184</definedName>
    <definedName name="WPB_2.2e">'WPB-2.2a-f - Base'!$Y$185:$AD$237</definedName>
    <definedName name="WPB_2.2f">'WPB-2.2a-f - Base'!$AE$239:$AU$293</definedName>
    <definedName name="WPB_2.2g">'WPB-2.2g'!$A$1:$P$47</definedName>
    <definedName name="WPB_2.2h">'WPB-2.2h'!$A$1:$R$30</definedName>
    <definedName name="WPB_2.2i">'WPB-2.2i Erlanger'!$A$1:$H$60</definedName>
    <definedName name="WPB_3.1a">'WPB-3.1a'!$A$1:$R$32</definedName>
    <definedName name="WPB_5.1a">'WPB-5''s'!$A$1:$G$37</definedName>
    <definedName name="WPB_5.1b">'WPB-5''s'!$I$38:$P$83</definedName>
    <definedName name="WPB_5.1c">'WPB-5''s'!$AO$145:$AZ$185</definedName>
    <definedName name="WPB_5.1d">'WPB-5''s'!$BN$234:$BW$281</definedName>
    <definedName name="WPB_5.1e">'WPB-5''s'!$Q$84:$AC$113</definedName>
    <definedName name="WPB_5.1f">'WPB-5''s'!$AF$117:$AM$144</definedName>
    <definedName name="WPB_5.1g">'WPB-5''s'!$BD$184:$BK$233</definedName>
    <definedName name="WPB_5.1h">'WPB-5''s'!$CA$286:$CI$333</definedName>
    <definedName name="WPB_5.1i">'WPB-5''s'!$CJ$334:$CS$384</definedName>
    <definedName name="WPB_5.1j">'WPB-5''s'!$CU$385:$DC$433</definedName>
    <definedName name="WPB_6a">'WPB-6''s'!$A$1:$M$82</definedName>
    <definedName name="WPB_6b">'WPB-6''s'!$A$87:$T$182</definedName>
    <definedName name="WPB_6c">'WPB-6''s'!$Y$191:$AG$214</definedName>
    <definedName name="WPB_6d">'WPB-6''s'!$Y$216:$AG$239</definedName>
    <definedName name="WPB2.2_iAccount">'WPB-2.2i Erlanger'!$C$9:$C$66</definedName>
    <definedName name="WPB2.2_iAllocCost">'WPB-2.2i Erlanger'!$E$9:$E$66</definedName>
    <definedName name="WPB2.2_iBook">'WPB-2.2i Erlanger'!$H$9:$H$66</definedName>
    <definedName name="WPB2.2i_AllocRes">'WPB-2.2i Erlanger'!$F$9:$F$66</definedName>
    <definedName name="WPB2_2iCode">'WPB-2.2i Erlanger'!$B$9:$B$66</definedName>
    <definedName name="WPC_1a">SCH_C1!$J$38:$P$71</definedName>
    <definedName name="WPC_2.1a">'FORECASTED PERIOD'!$A$2:$Q$180</definedName>
    <definedName name="WPC_2a">WPC_2!$B$1:$J$34</definedName>
    <definedName name="WPC_2b">WPC_2!$L$35:$T$68</definedName>
    <definedName name="WPC_2c">WPC_2!$W$72:$AM$132</definedName>
    <definedName name="WPC_2d">WPC_2!$W$149:$AM$206</definedName>
    <definedName name="WPC_2e">'WPC-2e - Adj Summary'!$A$1:$P$24</definedName>
    <definedName name="WPD_2.10a">SCH_D2.10!$L$43:$T$60</definedName>
    <definedName name="WPD_2.11a">SCH_D2.11!$L$43:$T$60</definedName>
    <definedName name="WPD_2.12a">SCH_D2.12!$L$43:$T$60</definedName>
    <definedName name="WPD_2.13a">SCH_D2.13!$L$46:$T$65</definedName>
    <definedName name="WPD_2.13b">SCH_D2.15!$M$44:$W$75</definedName>
    <definedName name="WPD_2.14a">SCH_D2.14!$L$50:$T$80</definedName>
    <definedName name="WPD_2.15a">SCH_D2.15!$M$41:$AA$83</definedName>
    <definedName name="WPD_2.15b">SCH_D2.15!$AB$83:$AP$110</definedName>
    <definedName name="WPD_2.16a">SCH_D2.16!$N$35:$U$58</definedName>
    <definedName name="WPD_2.17a">SCH_D2.17!$L$40:$U$60</definedName>
    <definedName name="WPD_2.18a">SCH_D2.18!$X$71:$AF$101</definedName>
    <definedName name="WPD_2.19aP1">SCH_D2.19!$AQ$150:$AY$207</definedName>
    <definedName name="WPD_2.19aP2">SCH_D2.19!$AQ$209:$AY$242</definedName>
    <definedName name="WPD_2.19b">SCH_D2.19!$AZ$244:$BG$266</definedName>
    <definedName name="WPD_2.19c">SCH_D2.19!$BR$293:$CB$321</definedName>
    <definedName name="WPD_2.19d">SCH_D2.19!$CD$322:$CN$342</definedName>
    <definedName name="WPD_2.19e">SCH_D2.19!$CO$352:$CZ$393</definedName>
    <definedName name="WPD_2.19f">SCH_D2.19!$BI$267:$BP$290</definedName>
    <definedName name="WPD_2.1a">SCH_D2.1!$L$41:$T$65</definedName>
    <definedName name="WPD_2.1e">'MCF Sales'!$A$1:$N$31</definedName>
    <definedName name="WPD_2.20a">SCH_D2.20!$N$32:$U$60</definedName>
    <definedName name="WPD_2.21a">SCH_D2.21!$N$40:$U$62</definedName>
    <definedName name="WPD_2.22a">SCH_D2.22!$L$37:$U$110</definedName>
    <definedName name="WPD_2.23a">SCH_D2.23!$K$35:$S$57</definedName>
    <definedName name="WPD_2.24a">SCH_D2.24!$N$108:$W$130</definedName>
    <definedName name="WPD_2.24b">SCH_D2.24!$N$133:$V$155</definedName>
    <definedName name="WPD_2.26a">SCH_D2.26!$L$36:$X$68</definedName>
    <definedName name="WPD_2.26b">SCH_D2.26!$Z$68:$AL$99</definedName>
    <definedName name="WPD_2.2a">SCH_D2.2!$L$46:$T$70</definedName>
    <definedName name="WPD_2.3a">SCH_D2.3!$L$43:$T$60</definedName>
    <definedName name="WPD_2.4a">SCH_D2.4!$L$43:$T$60</definedName>
    <definedName name="WPD_2.5a">SCH_D2.5!$L$43:$T$65</definedName>
    <definedName name="WPD_2.6a">SCH_D2.6!$L$43:$T$70</definedName>
    <definedName name="WPD_2.7a">SCH_D2.7!$L$43:$T$60</definedName>
    <definedName name="WPD_2.7b">SCH_D2.23!$K$58:$S$85</definedName>
    <definedName name="WPD_2.8a">SCH_D2.8!$L$43:$T$60</definedName>
    <definedName name="WPD_2.9a">SCH_D2.9!$L$43:$T$60</definedName>
    <definedName name="WPE_1a">SCH_E1!$S$134:$Z$179</definedName>
    <definedName name="WPE_1b">SCH_E1!$AB$184:$AK$261</definedName>
    <definedName name="WPF_4a">SCH_F4!$M$37:$AA$69</definedName>
    <definedName name="WPF_4b">SCH_F4!$M$108:$AA$137</definedName>
    <definedName name="WPF_5a">SCH_F5!$M$56:$AA$102</definedName>
    <definedName name="WPF_5b">SCH_F5!$M$107:$AA$134</definedName>
  </definedNames>
  <calcPr calcId="145621" iterate="1"/>
</workbook>
</file>

<file path=xl/calcChain.xml><?xml version="1.0" encoding="utf-8"?>
<calcChain xmlns="http://schemas.openxmlformats.org/spreadsheetml/2006/main">
  <c r="X14" i="138" l="1"/>
  <c r="X30" i="138"/>
  <c r="X40" i="138" s="1"/>
  <c r="X41" i="138" s="1"/>
  <c r="X73" i="138" s="1"/>
  <c r="X51" i="138"/>
  <c r="X56" i="138"/>
  <c r="X61" i="138"/>
  <c r="X62" i="138"/>
  <c r="X72" i="138"/>
  <c r="Q37" i="145" l="1"/>
  <c r="I9" i="145"/>
  <c r="A6" i="60"/>
  <c r="L111" i="110"/>
  <c r="AO149" i="13" l="1"/>
  <c r="D15" i="110"/>
  <c r="C15" i="110"/>
  <c r="D23" i="110" l="1"/>
  <c r="C23" i="110"/>
  <c r="W95" i="13" l="1"/>
  <c r="D69" i="63" l="1"/>
  <c r="I41" i="63"/>
  <c r="K37" i="56" l="1"/>
  <c r="U49" i="37" l="1"/>
  <c r="X65" i="123"/>
  <c r="AL97" i="123"/>
  <c r="J20" i="116" l="1"/>
  <c r="I9" i="116"/>
  <c r="C45" i="110" l="1"/>
  <c r="D45" i="110"/>
  <c r="AL167" i="20" l="1"/>
  <c r="AK167" i="20"/>
  <c r="AJ167" i="20"/>
  <c r="AI167" i="20"/>
  <c r="AH167" i="20"/>
  <c r="AG167" i="20"/>
  <c r="AF167" i="20"/>
  <c r="AE167" i="20"/>
  <c r="AD167" i="20"/>
  <c r="AC167" i="20"/>
  <c r="AB167" i="20"/>
  <c r="AL166" i="20"/>
  <c r="AK166" i="20"/>
  <c r="AJ166" i="20"/>
  <c r="AI166" i="20"/>
  <c r="AH166" i="20"/>
  <c r="AG166" i="20"/>
  <c r="AF166" i="20"/>
  <c r="AE166" i="20"/>
  <c r="AD166" i="20"/>
  <c r="AC166" i="20"/>
  <c r="AB166" i="20"/>
  <c r="AL165" i="20"/>
  <c r="AK165" i="20"/>
  <c r="AJ165" i="20"/>
  <c r="AI165" i="20"/>
  <c r="AH165" i="20"/>
  <c r="AG165" i="20"/>
  <c r="AF165" i="20"/>
  <c r="AE165" i="20"/>
  <c r="AD165" i="20"/>
  <c r="AC165" i="20"/>
  <c r="AB165" i="20"/>
  <c r="AL163" i="20"/>
  <c r="AK163" i="20"/>
  <c r="AJ163" i="20"/>
  <c r="AI163" i="20"/>
  <c r="AH163" i="20"/>
  <c r="AG163" i="20"/>
  <c r="AF163" i="20"/>
  <c r="AE163" i="20"/>
  <c r="AD163" i="20"/>
  <c r="AC163" i="20"/>
  <c r="AB163" i="20"/>
  <c r="AL162" i="20"/>
  <c r="AK162" i="20"/>
  <c r="AJ162" i="20"/>
  <c r="AI162" i="20"/>
  <c r="AH162" i="20"/>
  <c r="AG162" i="20"/>
  <c r="AF162" i="20"/>
  <c r="AE162" i="20"/>
  <c r="AD162" i="20"/>
  <c r="AC162" i="20"/>
  <c r="AB162" i="20"/>
  <c r="AA167" i="20"/>
  <c r="AA166" i="20"/>
  <c r="AA165" i="20"/>
  <c r="AA163" i="20"/>
  <c r="AA162" i="20"/>
  <c r="S60" i="36"/>
  <c r="W60" i="36"/>
  <c r="X60" i="36"/>
  <c r="Y60" i="36"/>
  <c r="AL186" i="20" l="1"/>
  <c r="AK186" i="20"/>
  <c r="AJ186" i="20"/>
  <c r="AI186" i="20"/>
  <c r="AH186" i="20"/>
  <c r="AG186" i="20"/>
  <c r="AF186" i="20"/>
  <c r="AE186" i="20"/>
  <c r="AD186" i="20"/>
  <c r="AC186" i="20"/>
  <c r="AB186" i="20"/>
  <c r="AL185" i="20"/>
  <c r="AK185" i="20"/>
  <c r="AJ185" i="20"/>
  <c r="AI185" i="20"/>
  <c r="AH185" i="20"/>
  <c r="AG185" i="20"/>
  <c r="AF185" i="20"/>
  <c r="AE185" i="20"/>
  <c r="AD185" i="20"/>
  <c r="AC185" i="20"/>
  <c r="AB185" i="20"/>
  <c r="AL183" i="20"/>
  <c r="AK183" i="20"/>
  <c r="AJ183" i="20"/>
  <c r="AI183" i="20"/>
  <c r="AH183" i="20"/>
  <c r="AG183" i="20"/>
  <c r="AF183" i="20"/>
  <c r="AE183" i="20"/>
  <c r="AD183" i="20"/>
  <c r="AC183" i="20"/>
  <c r="AB183" i="20"/>
  <c r="AL182" i="20"/>
  <c r="AK182" i="20"/>
  <c r="AJ182" i="20"/>
  <c r="AI182" i="20"/>
  <c r="AH182" i="20"/>
  <c r="AG182" i="20"/>
  <c r="AF182" i="20"/>
  <c r="AE182" i="20"/>
  <c r="AD182" i="20"/>
  <c r="AC182" i="20"/>
  <c r="AB182" i="20"/>
  <c r="AA186" i="20"/>
  <c r="AA185" i="20"/>
  <c r="AA183" i="20"/>
  <c r="AA182" i="20" l="1"/>
  <c r="E73" i="63" l="1"/>
  <c r="D73" i="63"/>
  <c r="D60" i="66"/>
  <c r="D73" i="66" s="1"/>
  <c r="D39" i="110" l="1"/>
  <c r="C165" i="110"/>
  <c r="D165" i="110"/>
  <c r="E69" i="63" l="1"/>
  <c r="L63" i="18" l="1"/>
  <c r="N165" i="110" l="1"/>
  <c r="M165" i="110"/>
  <c r="L165" i="110"/>
  <c r="K165" i="110"/>
  <c r="J165" i="110"/>
  <c r="I165" i="110"/>
  <c r="H165" i="110"/>
  <c r="G165" i="110"/>
  <c r="F165" i="110"/>
  <c r="E165" i="110"/>
  <c r="H9" i="42" l="1"/>
  <c r="U52" i="42"/>
  <c r="I20" i="42" s="1"/>
  <c r="N44" i="42"/>
  <c r="N43" i="42"/>
  <c r="T42" i="42"/>
  <c r="N42" i="42"/>
  <c r="N41" i="42"/>
  <c r="N40" i="42"/>
  <c r="D57" i="17" l="1"/>
  <c r="D123" i="17"/>
  <c r="F123" i="17"/>
  <c r="H124" i="17" l="1"/>
  <c r="D91" i="17"/>
  <c r="F91" i="17"/>
  <c r="F57" i="17"/>
  <c r="S193" i="15"/>
  <c r="S192" i="15"/>
  <c r="S191" i="15"/>
  <c r="S190" i="15"/>
  <c r="S189" i="15"/>
  <c r="R194" i="15"/>
  <c r="R193" i="15"/>
  <c r="R192" i="15"/>
  <c r="R191" i="15"/>
  <c r="R190" i="15"/>
  <c r="R189" i="15"/>
  <c r="D126" i="17"/>
  <c r="Q125" i="17"/>
  <c r="O125" i="17"/>
  <c r="M125" i="17"/>
  <c r="K125" i="17"/>
  <c r="I125" i="17"/>
  <c r="E125" i="17"/>
  <c r="S194" i="15" l="1"/>
  <c r="G125" i="17"/>
  <c r="D19" i="17" l="1"/>
  <c r="F16" i="17"/>
  <c r="F19" i="17"/>
  <c r="W50" i="145"/>
  <c r="Y50" i="145" s="1"/>
  <c r="D109" i="17" l="1"/>
  <c r="D107" i="17"/>
  <c r="D86" i="17"/>
  <c r="F107" i="17"/>
  <c r="F86" i="17"/>
  <c r="D122" i="17"/>
  <c r="D121" i="17"/>
  <c r="D39" i="17"/>
  <c r="D30" i="17"/>
  <c r="D16" i="17"/>
  <c r="F126" i="17"/>
  <c r="F122" i="17"/>
  <c r="F121" i="17"/>
  <c r="F41" i="17"/>
  <c r="F39" i="17"/>
  <c r="F30" i="17"/>
  <c r="N39" i="37" l="1"/>
  <c r="H119" i="17" l="1"/>
  <c r="R54" i="109" l="1"/>
  <c r="R47" i="109"/>
  <c r="T46" i="41" l="1"/>
  <c r="T47" i="41" l="1"/>
  <c r="AA131" i="55" l="1"/>
  <c r="X131" i="55"/>
  <c r="V131" i="55"/>
  <c r="S131" i="55"/>
  <c r="R131" i="55"/>
  <c r="Q131" i="55"/>
  <c r="P131" i="55"/>
  <c r="V99" i="55"/>
  <c r="U47" i="37" l="1"/>
  <c r="R102" i="109"/>
  <c r="T100" i="109"/>
  <c r="O25" i="120" l="1"/>
  <c r="K25" i="120"/>
  <c r="G25" i="120"/>
  <c r="C25" i="120"/>
  <c r="I20" i="59" l="1"/>
  <c r="I19" i="59"/>
  <c r="O22" i="118" l="1"/>
  <c r="G22" i="118"/>
  <c r="D22" i="118" l="1"/>
  <c r="A193" i="100"/>
  <c r="A197" i="100" s="1"/>
  <c r="A198" i="100" s="1"/>
  <c r="A199" i="100" s="1"/>
  <c r="A202" i="100" s="1"/>
  <c r="A162" i="100"/>
  <c r="M160" i="100"/>
  <c r="A154" i="100"/>
  <c r="A153" i="100"/>
  <c r="A152" i="100"/>
  <c r="A125" i="100"/>
  <c r="A126" i="100" s="1"/>
  <c r="A127" i="100" s="1"/>
  <c r="A128" i="100" s="1"/>
  <c r="A129" i="100" s="1"/>
  <c r="A130" i="100" s="1"/>
  <c r="A131" i="100" s="1"/>
  <c r="A132" i="100" s="1"/>
  <c r="A133" i="100" s="1"/>
  <c r="A134" i="100" s="1"/>
  <c r="A135" i="100" s="1"/>
  <c r="A139" i="100" s="1"/>
  <c r="A142" i="100" s="1"/>
  <c r="A112" i="100"/>
  <c r="M110" i="100"/>
  <c r="A104" i="100"/>
  <c r="A103" i="100"/>
  <c r="A102" i="100"/>
  <c r="A67" i="100"/>
  <c r="A68" i="100" s="1"/>
  <c r="A69" i="100" s="1"/>
  <c r="A70" i="100" s="1"/>
  <c r="A71" i="100" s="1"/>
  <c r="A72" i="100" s="1"/>
  <c r="A73" i="100" s="1"/>
  <c r="A74" i="100" s="1"/>
  <c r="A75" i="100" s="1"/>
  <c r="A76" i="100" s="1"/>
  <c r="A77" i="100" s="1"/>
  <c r="A78" i="100" s="1"/>
  <c r="A79" i="100" s="1"/>
  <c r="A80" i="100" s="1"/>
  <c r="A81" i="100" s="1"/>
  <c r="A82" i="100" s="1"/>
  <c r="A83" i="100" s="1"/>
  <c r="A84" i="100" s="1"/>
  <c r="A85" i="100" s="1"/>
  <c r="A86" i="100" s="1"/>
  <c r="A87" i="100" s="1"/>
  <c r="A88" i="100" s="1"/>
  <c r="A89" i="100" s="1"/>
  <c r="A92" i="100" s="1"/>
  <c r="A55" i="100"/>
  <c r="M53" i="100"/>
  <c r="A46" i="100"/>
  <c r="A45" i="100"/>
  <c r="A44" i="100"/>
  <c r="A33" i="100"/>
  <c r="M14" i="100"/>
  <c r="M112" i="100" s="1"/>
  <c r="T125" i="15"/>
  <c r="I57" i="61"/>
  <c r="P64" i="64"/>
  <c r="O64" i="64"/>
  <c r="N64" i="64"/>
  <c r="M64" i="64"/>
  <c r="L64" i="64"/>
  <c r="K64" i="64"/>
  <c r="J64" i="64"/>
  <c r="I64" i="64"/>
  <c r="H64" i="64"/>
  <c r="G64" i="64"/>
  <c r="F64" i="64"/>
  <c r="E64" i="64"/>
  <c r="D64" i="64"/>
  <c r="C64" i="64"/>
  <c r="P40" i="64"/>
  <c r="O40" i="64"/>
  <c r="N40" i="64"/>
  <c r="M40" i="64"/>
  <c r="L40" i="64"/>
  <c r="K40" i="64"/>
  <c r="J40" i="64"/>
  <c r="I40" i="64"/>
  <c r="H40" i="64"/>
  <c r="G40" i="64"/>
  <c r="F40" i="64"/>
  <c r="E40" i="64"/>
  <c r="D40" i="64"/>
  <c r="C40" i="64"/>
  <c r="H23" i="64"/>
  <c r="E23" i="64"/>
  <c r="O60" i="66"/>
  <c r="N60" i="66"/>
  <c r="M60" i="66"/>
  <c r="L60" i="66"/>
  <c r="K60" i="66"/>
  <c r="I60" i="66"/>
  <c r="G60" i="66"/>
  <c r="G73" i="66" s="1"/>
  <c r="E60" i="66"/>
  <c r="E73" i="66" s="1"/>
  <c r="O59" i="66"/>
  <c r="N59" i="66"/>
  <c r="M59" i="66"/>
  <c r="L59" i="66"/>
  <c r="K59" i="66"/>
  <c r="I59" i="66"/>
  <c r="G59" i="66"/>
  <c r="E59" i="66"/>
  <c r="D59" i="66"/>
  <c r="O58" i="66"/>
  <c r="N58" i="66"/>
  <c r="M58" i="66"/>
  <c r="L58" i="66"/>
  <c r="K58" i="66"/>
  <c r="G58" i="66"/>
  <c r="E58" i="66"/>
  <c r="D58" i="66"/>
  <c r="O57" i="66"/>
  <c r="N57" i="66"/>
  <c r="M57" i="66"/>
  <c r="L57" i="66"/>
  <c r="K57" i="66"/>
  <c r="G57" i="66"/>
  <c r="E57" i="66"/>
  <c r="D57" i="66"/>
  <c r="O44" i="66"/>
  <c r="N44" i="66"/>
  <c r="M44" i="66"/>
  <c r="L44" i="66"/>
  <c r="K44" i="66"/>
  <c r="I44" i="66"/>
  <c r="G44" i="66"/>
  <c r="E44" i="66"/>
  <c r="D44" i="66"/>
  <c r="O43" i="66"/>
  <c r="N43" i="66"/>
  <c r="M43" i="66"/>
  <c r="L43" i="66"/>
  <c r="K43" i="66"/>
  <c r="I43" i="66"/>
  <c r="G43" i="66"/>
  <c r="E43" i="66"/>
  <c r="D43" i="66"/>
  <c r="O42" i="66"/>
  <c r="N42" i="66"/>
  <c r="M42" i="66"/>
  <c r="L42" i="66"/>
  <c r="K42" i="66"/>
  <c r="G42" i="66"/>
  <c r="E42" i="66"/>
  <c r="D42" i="66"/>
  <c r="O41" i="66"/>
  <c r="N41" i="66"/>
  <c r="M41" i="66"/>
  <c r="L41" i="66"/>
  <c r="K41" i="66"/>
  <c r="I41" i="66"/>
  <c r="G41" i="66"/>
  <c r="E41" i="66"/>
  <c r="D41" i="66"/>
  <c r="I30" i="66"/>
  <c r="G30" i="66"/>
  <c r="E30" i="66"/>
  <c r="D30" i="66"/>
  <c r="N203" i="110"/>
  <c r="M203" i="110"/>
  <c r="L203" i="110"/>
  <c r="K203" i="110"/>
  <c r="J203" i="110"/>
  <c r="I203" i="110"/>
  <c r="H203" i="110"/>
  <c r="G203" i="110"/>
  <c r="F203" i="110"/>
  <c r="N195" i="110"/>
  <c r="M195" i="110"/>
  <c r="L195" i="110"/>
  <c r="K195" i="110"/>
  <c r="J195" i="110"/>
  <c r="I195" i="110"/>
  <c r="H195" i="110"/>
  <c r="G195" i="110"/>
  <c r="F195" i="110"/>
  <c r="L180" i="110"/>
  <c r="L137" i="110"/>
  <c r="L108" i="110"/>
  <c r="N93" i="110"/>
  <c r="M93" i="110"/>
  <c r="L93" i="110"/>
  <c r="K93" i="110"/>
  <c r="J93" i="110"/>
  <c r="I93" i="110"/>
  <c r="H93" i="110"/>
  <c r="G93" i="110"/>
  <c r="F93" i="110"/>
  <c r="N80" i="110"/>
  <c r="M80" i="110"/>
  <c r="L80" i="110"/>
  <c r="K80" i="110"/>
  <c r="N77" i="110"/>
  <c r="M77" i="110"/>
  <c r="L77" i="110"/>
  <c r="K77" i="110"/>
  <c r="L61" i="110"/>
  <c r="M162" i="100" l="1"/>
  <c r="M55" i="100"/>
  <c r="G117" i="46"/>
  <c r="G98" i="46"/>
  <c r="C22" i="120" l="1"/>
  <c r="A188" i="100" l="1"/>
  <c r="A189" i="100"/>
  <c r="A190" i="100"/>
  <c r="D189" i="100"/>
  <c r="C189" i="100"/>
  <c r="D134" i="100"/>
  <c r="C134" i="100"/>
  <c r="C88" i="100"/>
  <c r="D88" i="100"/>
  <c r="AC232" i="15" l="1"/>
  <c r="D21" i="118" l="1"/>
  <c r="D20" i="118"/>
  <c r="D19" i="118"/>
  <c r="D18" i="118"/>
  <c r="D17" i="118"/>
  <c r="D16" i="118"/>
  <c r="D15" i="118"/>
  <c r="D14" i="118"/>
  <c r="D13" i="118"/>
  <c r="D12" i="118"/>
  <c r="D11" i="118"/>
  <c r="D10" i="118"/>
  <c r="AG241" i="46" l="1"/>
  <c r="AH241" i="46"/>
  <c r="AJ241" i="46"/>
  <c r="A1" i="145"/>
  <c r="A2" i="145"/>
  <c r="A4" i="145"/>
  <c r="K39" i="145" s="1"/>
  <c r="A6" i="145"/>
  <c r="A7" i="145"/>
  <c r="A17" i="145"/>
  <c r="J24" i="145"/>
  <c r="K35" i="145"/>
  <c r="K36" i="145"/>
  <c r="K37" i="145"/>
  <c r="E44" i="132"/>
  <c r="AA205" i="121" l="1" a="1"/>
  <c r="AA205" i="121" s="1"/>
  <c r="U171" i="121" a="1"/>
  <c r="U171" i="121" s="1"/>
  <c r="U160" i="121" a="1"/>
  <c r="U160" i="121" s="1"/>
  <c r="O127" i="121" a="1"/>
  <c r="O127" i="121" s="1"/>
  <c r="O116" i="121" a="1"/>
  <c r="O116" i="121" s="1"/>
  <c r="I89" i="121" a="1"/>
  <c r="I89" i="121" s="1"/>
  <c r="I88" i="121" a="1"/>
  <c r="I88" i="121" s="1"/>
  <c r="I76" i="121" a="1"/>
  <c r="I76" i="121" s="1"/>
  <c r="C25" i="121" a="1"/>
  <c r="C25" i="121" s="1"/>
  <c r="C39" i="121" a="1"/>
  <c r="C39" i="121" s="1"/>
  <c r="C31" i="121" a="1"/>
  <c r="C31" i="121" s="1"/>
  <c r="C30" i="121" a="1"/>
  <c r="C30" i="121" s="1"/>
  <c r="C26" i="121" a="1"/>
  <c r="C26" i="121" s="1"/>
  <c r="C24" i="121" a="1"/>
  <c r="C24" i="121" s="1"/>
  <c r="AK199" i="46" l="1"/>
  <c r="Y150" i="46" s="1"/>
  <c r="J19" i="41" l="1"/>
  <c r="T34" i="41"/>
  <c r="N35" i="41"/>
  <c r="N34" i="41"/>
  <c r="N33" i="41"/>
  <c r="N32" i="41"/>
  <c r="Z158" i="46" l="1"/>
  <c r="K31" i="46"/>
  <c r="C324" i="98" l="1"/>
  <c r="D324" i="98"/>
  <c r="C224" i="98"/>
  <c r="D224" i="98"/>
  <c r="C126" i="98"/>
  <c r="C323" i="98" s="1"/>
  <c r="C133" i="100" s="1"/>
  <c r="B126" i="98"/>
  <c r="B323" i="98" s="1"/>
  <c r="B133" i="100" s="1"/>
  <c r="B125" i="98"/>
  <c r="B322" i="98" s="1"/>
  <c r="B132" i="100" s="1"/>
  <c r="D124" i="98"/>
  <c r="D321" i="98" s="1"/>
  <c r="D131" i="100" s="1"/>
  <c r="D123" i="98"/>
  <c r="D320" i="98" s="1"/>
  <c r="D130" i="100" s="1"/>
  <c r="C123" i="98"/>
  <c r="C320" i="98" s="1"/>
  <c r="C130" i="100" s="1"/>
  <c r="C122" i="98"/>
  <c r="C319" i="98" s="1"/>
  <c r="C129" i="100" s="1"/>
  <c r="B122" i="98"/>
  <c r="B319" i="98" s="1"/>
  <c r="B129" i="100" s="1"/>
  <c r="B121" i="98"/>
  <c r="B318" i="98" s="1"/>
  <c r="B128" i="100" s="1"/>
  <c r="D120" i="98"/>
  <c r="D317" i="98" s="1"/>
  <c r="D127" i="100" s="1"/>
  <c r="C120" i="98"/>
  <c r="C317" i="98" s="1"/>
  <c r="C127" i="100" s="1"/>
  <c r="D119" i="98"/>
  <c r="D316" i="98" s="1"/>
  <c r="D126" i="100" s="1"/>
  <c r="C119" i="98"/>
  <c r="C316" i="98" s="1"/>
  <c r="C126" i="100" s="1"/>
  <c r="B119" i="98"/>
  <c r="B316" i="98" s="1"/>
  <c r="B126" i="100" s="1"/>
  <c r="C118" i="98"/>
  <c r="C315" i="98" s="1"/>
  <c r="C125" i="100" s="1"/>
  <c r="B118" i="98"/>
  <c r="B315" i="98" s="1"/>
  <c r="B125" i="100" s="1"/>
  <c r="D117" i="98"/>
  <c r="D314" i="98" s="1"/>
  <c r="D124" i="100" s="1"/>
  <c r="B117" i="98"/>
  <c r="B314" i="98" s="1"/>
  <c r="B124" i="100" s="1"/>
  <c r="D334" i="93"/>
  <c r="D333" i="93"/>
  <c r="C333" i="93"/>
  <c r="C320" i="91" s="1"/>
  <c r="D332" i="93"/>
  <c r="C332" i="93"/>
  <c r="D331" i="93"/>
  <c r="C331" i="93"/>
  <c r="C318" i="91" s="1"/>
  <c r="D330" i="93"/>
  <c r="C330" i="93"/>
  <c r="D329" i="93"/>
  <c r="C329" i="93"/>
  <c r="C316" i="91" s="1"/>
  <c r="D328" i="93"/>
  <c r="C328" i="93"/>
  <c r="D327" i="93"/>
  <c r="C327" i="93"/>
  <c r="C314" i="91" s="1"/>
  <c r="D326" i="93"/>
  <c r="C326" i="93"/>
  <c r="D325" i="93"/>
  <c r="C325" i="93"/>
  <c r="D291" i="93"/>
  <c r="D290" i="93"/>
  <c r="D279" i="91" s="1"/>
  <c r="C290" i="93"/>
  <c r="B290" i="93"/>
  <c r="B279" i="91" s="1"/>
  <c r="D289" i="93"/>
  <c r="C289" i="93"/>
  <c r="B289" i="93"/>
  <c r="D288" i="93"/>
  <c r="D277" i="91" s="1"/>
  <c r="C288" i="93"/>
  <c r="B288" i="93"/>
  <c r="D287" i="93"/>
  <c r="C287" i="93"/>
  <c r="C276" i="91" s="1"/>
  <c r="B287" i="93"/>
  <c r="D286" i="93"/>
  <c r="C286" i="93"/>
  <c r="B286" i="93"/>
  <c r="B275" i="91" s="1"/>
  <c r="D285" i="93"/>
  <c r="D274" i="91" s="1"/>
  <c r="C285" i="93"/>
  <c r="B285" i="93"/>
  <c r="D284" i="93"/>
  <c r="D273" i="91" s="1"/>
  <c r="C284" i="93"/>
  <c r="B284" i="93"/>
  <c r="D283" i="93"/>
  <c r="C283" i="93"/>
  <c r="C272" i="91" s="1"/>
  <c r="B283" i="93"/>
  <c r="D282" i="93"/>
  <c r="C282" i="93"/>
  <c r="B282" i="93"/>
  <c r="B271" i="91" s="1"/>
  <c r="D281" i="93"/>
  <c r="C281" i="93"/>
  <c r="B281" i="93"/>
  <c r="D251" i="93"/>
  <c r="D241" i="91" s="1"/>
  <c r="D252" i="93"/>
  <c r="D250" i="93"/>
  <c r="C250" i="93"/>
  <c r="B250" i="93"/>
  <c r="D249" i="93"/>
  <c r="C249" i="93"/>
  <c r="C239" i="91" s="1"/>
  <c r="B249" i="93"/>
  <c r="D248" i="93"/>
  <c r="C248" i="93"/>
  <c r="B248" i="93"/>
  <c r="D247" i="93"/>
  <c r="C247" i="93"/>
  <c r="B247" i="93"/>
  <c r="D246" i="93"/>
  <c r="D236" i="91" s="1"/>
  <c r="C246" i="93"/>
  <c r="B246" i="93"/>
  <c r="D245" i="93"/>
  <c r="C245" i="93"/>
  <c r="B245" i="93"/>
  <c r="D244" i="93"/>
  <c r="C244" i="93"/>
  <c r="B244" i="93"/>
  <c r="B234" i="91" s="1"/>
  <c r="D243" i="93"/>
  <c r="C243" i="93"/>
  <c r="B243" i="93"/>
  <c r="D242" i="93"/>
  <c r="C242" i="93"/>
  <c r="B242" i="93"/>
  <c r="D241" i="93"/>
  <c r="C241" i="93"/>
  <c r="C231" i="91" s="1"/>
  <c r="B241" i="93"/>
  <c r="D240" i="93"/>
  <c r="C240" i="93"/>
  <c r="B240" i="93"/>
  <c r="D239" i="93"/>
  <c r="C239" i="93"/>
  <c r="B239" i="93"/>
  <c r="D238" i="93"/>
  <c r="D228" i="91" s="1"/>
  <c r="C238" i="93"/>
  <c r="B238" i="93"/>
  <c r="D237" i="93"/>
  <c r="C237" i="93"/>
  <c r="B237" i="93"/>
  <c r="D236" i="93"/>
  <c r="C236" i="93"/>
  <c r="B236" i="93"/>
  <c r="B226" i="91" s="1"/>
  <c r="D235" i="93"/>
  <c r="C235" i="93"/>
  <c r="B235" i="93"/>
  <c r="D234" i="93"/>
  <c r="C234" i="93"/>
  <c r="B234" i="93"/>
  <c r="D233" i="93"/>
  <c r="C233" i="93"/>
  <c r="C223" i="91" s="1"/>
  <c r="B233" i="93"/>
  <c r="D232" i="93"/>
  <c r="C232" i="93"/>
  <c r="B232" i="93"/>
  <c r="D231" i="93"/>
  <c r="C231" i="93"/>
  <c r="B231" i="93"/>
  <c r="D240" i="91"/>
  <c r="C240" i="91"/>
  <c r="B239" i="91"/>
  <c r="B238" i="91"/>
  <c r="D237" i="91"/>
  <c r="C236" i="91"/>
  <c r="C235" i="91"/>
  <c r="B235" i="91"/>
  <c r="D233" i="91"/>
  <c r="D232" i="91"/>
  <c r="C232" i="91"/>
  <c r="B231" i="91"/>
  <c r="B230" i="91"/>
  <c r="D229" i="91"/>
  <c r="C228" i="91"/>
  <c r="C227" i="91"/>
  <c r="B227" i="91"/>
  <c r="D225" i="91"/>
  <c r="D224" i="91"/>
  <c r="C224" i="91"/>
  <c r="B223" i="91"/>
  <c r="B222" i="91"/>
  <c r="D221" i="91"/>
  <c r="D230" i="93"/>
  <c r="D220" i="91" s="1"/>
  <c r="C230" i="93"/>
  <c r="C220" i="91" s="1"/>
  <c r="B230" i="93"/>
  <c r="D199" i="93"/>
  <c r="D191" i="91" s="1"/>
  <c r="C199" i="93"/>
  <c r="C191" i="91" s="1"/>
  <c r="B199" i="93"/>
  <c r="D198" i="93"/>
  <c r="C198" i="93"/>
  <c r="C190" i="91" s="1"/>
  <c r="B198" i="93"/>
  <c r="B190" i="91" s="1"/>
  <c r="D197" i="93"/>
  <c r="C197" i="93"/>
  <c r="B197" i="93"/>
  <c r="B189" i="91" s="1"/>
  <c r="C196" i="93"/>
  <c r="C188" i="91" s="1"/>
  <c r="D196" i="93"/>
  <c r="D188" i="91" s="1"/>
  <c r="B196" i="93"/>
  <c r="C81" i="98"/>
  <c r="C278" i="98" s="1"/>
  <c r="C86" i="100" s="1"/>
  <c r="B81" i="98"/>
  <c r="B278" i="98" s="1"/>
  <c r="B86" i="100" s="1"/>
  <c r="D80" i="98"/>
  <c r="D277" i="98" s="1"/>
  <c r="D85" i="100" s="1"/>
  <c r="B80" i="98"/>
  <c r="B277" i="98" s="1"/>
  <c r="B85" i="100" s="1"/>
  <c r="D79" i="98"/>
  <c r="D276" i="98" s="1"/>
  <c r="D84" i="100" s="1"/>
  <c r="C79" i="98"/>
  <c r="C276" i="98" s="1"/>
  <c r="C84" i="100" s="1"/>
  <c r="D78" i="98"/>
  <c r="D275" i="98" s="1"/>
  <c r="D83" i="100" s="1"/>
  <c r="C78" i="98"/>
  <c r="C275" i="98" s="1"/>
  <c r="C83" i="100" s="1"/>
  <c r="B78" i="98"/>
  <c r="B275" i="98" s="1"/>
  <c r="B83" i="100" s="1"/>
  <c r="C77" i="98"/>
  <c r="C274" i="98" s="1"/>
  <c r="C82" i="100" s="1"/>
  <c r="B77" i="98"/>
  <c r="B274" i="98" s="1"/>
  <c r="B82" i="100" s="1"/>
  <c r="D76" i="98"/>
  <c r="D273" i="98" s="1"/>
  <c r="D81" i="100" s="1"/>
  <c r="B76" i="98"/>
  <c r="B273" i="98" s="1"/>
  <c r="B81" i="100" s="1"/>
  <c r="D75" i="98"/>
  <c r="D272" i="98" s="1"/>
  <c r="D80" i="100" s="1"/>
  <c r="C75" i="98"/>
  <c r="C272" i="98" s="1"/>
  <c r="C80" i="100" s="1"/>
  <c r="D74" i="98"/>
  <c r="D271" i="98" s="1"/>
  <c r="D79" i="100" s="1"/>
  <c r="C74" i="98"/>
  <c r="C271" i="98" s="1"/>
  <c r="C79" i="100" s="1"/>
  <c r="B74" i="98"/>
  <c r="B271" i="98" s="1"/>
  <c r="B79" i="100" s="1"/>
  <c r="C73" i="98"/>
  <c r="C270" i="98" s="1"/>
  <c r="C78" i="100" s="1"/>
  <c r="B73" i="98"/>
  <c r="B270" i="98" s="1"/>
  <c r="B78" i="100" s="1"/>
  <c r="D72" i="98"/>
  <c r="D269" i="98" s="1"/>
  <c r="D77" i="100" s="1"/>
  <c r="B72" i="98"/>
  <c r="B269" i="98" s="1"/>
  <c r="B77" i="100" s="1"/>
  <c r="D71" i="98"/>
  <c r="D268" i="98" s="1"/>
  <c r="D76" i="100" s="1"/>
  <c r="C71" i="98"/>
  <c r="C268" i="98" s="1"/>
  <c r="C76" i="100" s="1"/>
  <c r="D70" i="98"/>
  <c r="D267" i="98" s="1"/>
  <c r="D75" i="100" s="1"/>
  <c r="C70" i="98"/>
  <c r="C267" i="98" s="1"/>
  <c r="C75" i="100" s="1"/>
  <c r="B70" i="98"/>
  <c r="B267" i="98" s="1"/>
  <c r="B75" i="100" s="1"/>
  <c r="C69" i="98"/>
  <c r="C266" i="98" s="1"/>
  <c r="C74" i="100" s="1"/>
  <c r="B69" i="98"/>
  <c r="B266" i="98" s="1"/>
  <c r="B74" i="100" s="1"/>
  <c r="D68" i="98"/>
  <c r="D265" i="98" s="1"/>
  <c r="D73" i="100" s="1"/>
  <c r="B68" i="98"/>
  <c r="B265" i="98" s="1"/>
  <c r="B73" i="100" s="1"/>
  <c r="D67" i="98"/>
  <c r="D264" i="98" s="1"/>
  <c r="D72" i="100" s="1"/>
  <c r="C67" i="98"/>
  <c r="C264" i="98" s="1"/>
  <c r="C72" i="100" s="1"/>
  <c r="D66" i="98"/>
  <c r="D263" i="98" s="1"/>
  <c r="D71" i="100" s="1"/>
  <c r="C66" i="98"/>
  <c r="C263" i="98" s="1"/>
  <c r="C71" i="100" s="1"/>
  <c r="B66" i="98"/>
  <c r="B263" i="98" s="1"/>
  <c r="B71" i="100" s="1"/>
  <c r="C65" i="98"/>
  <c r="C262" i="98" s="1"/>
  <c r="C70" i="100" s="1"/>
  <c r="B65" i="98"/>
  <c r="B262" i="98" s="1"/>
  <c r="B70" i="100" s="1"/>
  <c r="D64" i="98"/>
  <c r="D261" i="98" s="1"/>
  <c r="D69" i="100" s="1"/>
  <c r="B64" i="98"/>
  <c r="B261" i="98" s="1"/>
  <c r="B69" i="100" s="1"/>
  <c r="D63" i="98"/>
  <c r="D260" i="98" s="1"/>
  <c r="D68" i="100" s="1"/>
  <c r="C63" i="98"/>
  <c r="C260" i="98" s="1"/>
  <c r="C68" i="100" s="1"/>
  <c r="D62" i="98"/>
  <c r="D259" i="98" s="1"/>
  <c r="D67" i="100" s="1"/>
  <c r="C62" i="98"/>
  <c r="C259" i="98" s="1"/>
  <c r="C67" i="100" s="1"/>
  <c r="B62" i="98"/>
  <c r="B259" i="98" s="1"/>
  <c r="B67" i="100" s="1"/>
  <c r="D321" i="91"/>
  <c r="D320" i="91"/>
  <c r="D319" i="91"/>
  <c r="C319" i="91"/>
  <c r="D318" i="91"/>
  <c r="D317" i="91"/>
  <c r="C317" i="91"/>
  <c r="D316" i="91"/>
  <c r="D315" i="91"/>
  <c r="C315" i="91"/>
  <c r="D314" i="91"/>
  <c r="D313" i="91"/>
  <c r="C313" i="91"/>
  <c r="D312" i="91"/>
  <c r="C312" i="91"/>
  <c r="D280" i="91"/>
  <c r="C279" i="91"/>
  <c r="D278" i="91"/>
  <c r="C278" i="91"/>
  <c r="B278" i="91"/>
  <c r="C277" i="91"/>
  <c r="B277" i="91"/>
  <c r="D276" i="91"/>
  <c r="B276" i="91"/>
  <c r="D275" i="91"/>
  <c r="C275" i="91"/>
  <c r="C274" i="91"/>
  <c r="B274" i="91"/>
  <c r="C273" i="91"/>
  <c r="B273" i="91"/>
  <c r="D272" i="91"/>
  <c r="B272" i="91"/>
  <c r="D271" i="91"/>
  <c r="C271" i="91"/>
  <c r="D270" i="91"/>
  <c r="C270" i="91"/>
  <c r="B270" i="91"/>
  <c r="D242" i="91"/>
  <c r="B240" i="91"/>
  <c r="D239" i="91"/>
  <c r="D238" i="91"/>
  <c r="C238" i="91"/>
  <c r="C237" i="91"/>
  <c r="B237" i="91"/>
  <c r="B236" i="91"/>
  <c r="D235" i="91"/>
  <c r="D234" i="91"/>
  <c r="C234" i="91"/>
  <c r="C233" i="91"/>
  <c r="B233" i="91"/>
  <c r="B232" i="91"/>
  <c r="D231" i="91"/>
  <c r="D230" i="91"/>
  <c r="C230" i="91"/>
  <c r="C229" i="91"/>
  <c r="B229" i="91"/>
  <c r="B228" i="91"/>
  <c r="D227" i="91"/>
  <c r="D226" i="91"/>
  <c r="C226" i="91"/>
  <c r="C225" i="91"/>
  <c r="B225" i="91"/>
  <c r="B224" i="91"/>
  <c r="D223" i="91"/>
  <c r="D222" i="91"/>
  <c r="C222" i="91"/>
  <c r="C221" i="91"/>
  <c r="B221" i="91"/>
  <c r="B220" i="91"/>
  <c r="B191" i="91"/>
  <c r="D190" i="91"/>
  <c r="D189" i="91"/>
  <c r="C189" i="91"/>
  <c r="B188" i="91"/>
  <c r="C146" i="91"/>
  <c r="C147" i="91"/>
  <c r="C148" i="91"/>
  <c r="C149" i="91"/>
  <c r="C150" i="91"/>
  <c r="C151" i="91"/>
  <c r="C152" i="91"/>
  <c r="C153" i="91"/>
  <c r="D146" i="91"/>
  <c r="D147" i="91"/>
  <c r="D148" i="91"/>
  <c r="D149" i="91"/>
  <c r="D150" i="91"/>
  <c r="D151" i="91"/>
  <c r="D152" i="91"/>
  <c r="D153" i="91"/>
  <c r="D154" i="91"/>
  <c r="D145" i="91"/>
  <c r="C145" i="91"/>
  <c r="D114" i="91"/>
  <c r="D128" i="98" s="1"/>
  <c r="D113" i="91"/>
  <c r="D126" i="98" s="1"/>
  <c r="D323" i="98" s="1"/>
  <c r="D133" i="100" s="1"/>
  <c r="C113" i="91"/>
  <c r="B113" i="91"/>
  <c r="D112" i="91"/>
  <c r="D125" i="98" s="1"/>
  <c r="D322" i="98" s="1"/>
  <c r="D132" i="100" s="1"/>
  <c r="C112" i="91"/>
  <c r="C125" i="98" s="1"/>
  <c r="C322" i="98" s="1"/>
  <c r="C132" i="100" s="1"/>
  <c r="B112" i="91"/>
  <c r="D111" i="91"/>
  <c r="C111" i="91"/>
  <c r="C124" i="98" s="1"/>
  <c r="C321" i="98" s="1"/>
  <c r="C131" i="100" s="1"/>
  <c r="B111" i="91"/>
  <c r="B124" i="98" s="1"/>
  <c r="B321" i="98" s="1"/>
  <c r="B131" i="100" s="1"/>
  <c r="D110" i="91"/>
  <c r="C110" i="91"/>
  <c r="B110" i="91"/>
  <c r="B123" i="98" s="1"/>
  <c r="B320" i="98" s="1"/>
  <c r="B130" i="100" s="1"/>
  <c r="D109" i="91"/>
  <c r="D122" i="98" s="1"/>
  <c r="D319" i="98" s="1"/>
  <c r="D129" i="100" s="1"/>
  <c r="C109" i="91"/>
  <c r="B109" i="91"/>
  <c r="D108" i="91"/>
  <c r="D121" i="98" s="1"/>
  <c r="D318" i="98" s="1"/>
  <c r="D128" i="100" s="1"/>
  <c r="C108" i="91"/>
  <c r="C121" i="98" s="1"/>
  <c r="C318" i="98" s="1"/>
  <c r="C128" i="100" s="1"/>
  <c r="B108" i="91"/>
  <c r="D107" i="91"/>
  <c r="C107" i="91"/>
  <c r="B107" i="91"/>
  <c r="B120" i="98" s="1"/>
  <c r="B317" i="98" s="1"/>
  <c r="B127" i="100" s="1"/>
  <c r="D106" i="91"/>
  <c r="C106" i="91"/>
  <c r="B106" i="91"/>
  <c r="D105" i="91"/>
  <c r="D118" i="98" s="1"/>
  <c r="D315" i="98" s="1"/>
  <c r="D125" i="100" s="1"/>
  <c r="C105" i="91"/>
  <c r="B105" i="91"/>
  <c r="D104" i="91"/>
  <c r="C104" i="91"/>
  <c r="C117" i="98" s="1"/>
  <c r="C314" i="98" s="1"/>
  <c r="C124" i="100" s="1"/>
  <c r="B104" i="91"/>
  <c r="D76" i="91"/>
  <c r="D75" i="91"/>
  <c r="D82" i="98" s="1"/>
  <c r="D74" i="91"/>
  <c r="D81" i="98" s="1"/>
  <c r="D278" i="98" s="1"/>
  <c r="D86" i="100" s="1"/>
  <c r="C74" i="91"/>
  <c r="B74" i="91"/>
  <c r="D73" i="91"/>
  <c r="C73" i="91"/>
  <c r="C80" i="98" s="1"/>
  <c r="C277" i="98" s="1"/>
  <c r="C85" i="100" s="1"/>
  <c r="B73" i="91"/>
  <c r="D72" i="91"/>
  <c r="C72" i="91"/>
  <c r="B72" i="91"/>
  <c r="B79" i="98" s="1"/>
  <c r="B276" i="98" s="1"/>
  <c r="B84" i="100" s="1"/>
  <c r="D71" i="91"/>
  <c r="C71" i="91"/>
  <c r="B71" i="91"/>
  <c r="D70" i="91"/>
  <c r="D77" i="98" s="1"/>
  <c r="D274" i="98" s="1"/>
  <c r="D82" i="100" s="1"/>
  <c r="C70" i="91"/>
  <c r="B70" i="91"/>
  <c r="D69" i="91"/>
  <c r="C69" i="91"/>
  <c r="C76" i="98" s="1"/>
  <c r="C273" i="98" s="1"/>
  <c r="C81" i="100" s="1"/>
  <c r="B69" i="91"/>
  <c r="D68" i="91"/>
  <c r="C68" i="91"/>
  <c r="B68" i="91"/>
  <c r="B75" i="98" s="1"/>
  <c r="B272" i="98" s="1"/>
  <c r="B80" i="100" s="1"/>
  <c r="D67" i="91"/>
  <c r="C67" i="91"/>
  <c r="B67" i="91"/>
  <c r="D66" i="91"/>
  <c r="D73" i="98" s="1"/>
  <c r="D270" i="98" s="1"/>
  <c r="D78" i="100" s="1"/>
  <c r="C66" i="91"/>
  <c r="B66" i="91"/>
  <c r="D65" i="91"/>
  <c r="C65" i="91"/>
  <c r="C72" i="98" s="1"/>
  <c r="C269" i="98" s="1"/>
  <c r="C77" i="100" s="1"/>
  <c r="B65" i="91"/>
  <c r="D64" i="91"/>
  <c r="C64" i="91"/>
  <c r="B64" i="91"/>
  <c r="B71" i="98" s="1"/>
  <c r="B268" i="98" s="1"/>
  <c r="B76" i="100" s="1"/>
  <c r="D63" i="91"/>
  <c r="C63" i="91"/>
  <c r="B63" i="91"/>
  <c r="D62" i="91"/>
  <c r="D69" i="98" s="1"/>
  <c r="D266" i="98" s="1"/>
  <c r="D74" i="100" s="1"/>
  <c r="C62" i="91"/>
  <c r="B62" i="91"/>
  <c r="D61" i="91"/>
  <c r="C61" i="91"/>
  <c r="C68" i="98" s="1"/>
  <c r="C265" i="98" s="1"/>
  <c r="C73" i="100" s="1"/>
  <c r="B61" i="91"/>
  <c r="D60" i="91"/>
  <c r="C60" i="91"/>
  <c r="B60" i="91"/>
  <c r="B67" i="98" s="1"/>
  <c r="B264" i="98" s="1"/>
  <c r="B72" i="100" s="1"/>
  <c r="D59" i="91"/>
  <c r="C59" i="91"/>
  <c r="B59" i="91"/>
  <c r="D58" i="91"/>
  <c r="D65" i="98" s="1"/>
  <c r="D262" i="98" s="1"/>
  <c r="D70" i="100" s="1"/>
  <c r="C58" i="91"/>
  <c r="B58" i="91"/>
  <c r="D57" i="91"/>
  <c r="C57" i="91"/>
  <c r="C64" i="98" s="1"/>
  <c r="C261" i="98" s="1"/>
  <c r="C69" i="100" s="1"/>
  <c r="B57" i="91"/>
  <c r="D56" i="91"/>
  <c r="C56" i="91"/>
  <c r="B56" i="91"/>
  <c r="B63" i="98" s="1"/>
  <c r="B260" i="98" s="1"/>
  <c r="B68" i="100" s="1"/>
  <c r="D55" i="91"/>
  <c r="C55" i="91"/>
  <c r="B55" i="91"/>
  <c r="B54" i="91"/>
  <c r="B61" i="98" s="1"/>
  <c r="B258" i="98" s="1"/>
  <c r="B66" i="100" s="1"/>
  <c r="C54" i="91"/>
  <c r="C61" i="98" s="1"/>
  <c r="D54" i="91"/>
  <c r="D61" i="98" s="1"/>
  <c r="D258" i="98" s="1"/>
  <c r="D66" i="100" s="1"/>
  <c r="D26" i="91"/>
  <c r="D25" i="98" s="1"/>
  <c r="D223" i="98" s="1"/>
  <c r="D28" i="100" s="1"/>
  <c r="C26" i="91"/>
  <c r="C25" i="98" s="1"/>
  <c r="C223" i="98" s="1"/>
  <c r="C28" i="100" s="1"/>
  <c r="B26" i="91"/>
  <c r="B25" i="98" s="1"/>
  <c r="B223" i="98" s="1"/>
  <c r="B28" i="100" s="1"/>
  <c r="D25" i="91"/>
  <c r="D24" i="98" s="1"/>
  <c r="D222" i="98" s="1"/>
  <c r="D27" i="100" s="1"/>
  <c r="C25" i="91"/>
  <c r="C24" i="98" s="1"/>
  <c r="C222" i="98" s="1"/>
  <c r="C27" i="100" s="1"/>
  <c r="B25" i="91"/>
  <c r="B24" i="98" s="1"/>
  <c r="B222" i="98" s="1"/>
  <c r="B27" i="100" s="1"/>
  <c r="D24" i="91"/>
  <c r="D23" i="98" s="1"/>
  <c r="D221" i="98" s="1"/>
  <c r="D26" i="100" s="1"/>
  <c r="C24" i="91"/>
  <c r="C23" i="98" s="1"/>
  <c r="C221" i="98" s="1"/>
  <c r="C26" i="100" s="1"/>
  <c r="B24" i="91"/>
  <c r="B23" i="98" s="1"/>
  <c r="B221" i="98" s="1"/>
  <c r="B26" i="100" s="1"/>
  <c r="B23" i="91"/>
  <c r="B22" i="98" s="1"/>
  <c r="B220" i="98" s="1"/>
  <c r="B25" i="100" s="1"/>
  <c r="C23" i="91"/>
  <c r="C22" i="98" s="1"/>
  <c r="D23" i="91"/>
  <c r="D22" i="98" s="1"/>
  <c r="D220" i="98" s="1"/>
  <c r="D25" i="100" s="1"/>
  <c r="A168" i="98"/>
  <c r="A169" i="98" s="1"/>
  <c r="A170" i="98" s="1"/>
  <c r="A171" i="98" s="1"/>
  <c r="A172" i="98" s="1"/>
  <c r="A173" i="98" s="1"/>
  <c r="A174" i="98" s="1"/>
  <c r="A175" i="98" s="1"/>
  <c r="A176" i="98" s="1"/>
  <c r="A177" i="98" s="1"/>
  <c r="A178" i="98" s="1"/>
  <c r="A179" i="98" s="1"/>
  <c r="A180" i="98" s="1"/>
  <c r="A181" i="98" s="1"/>
  <c r="U84" i="12" l="1"/>
  <c r="U134" i="12"/>
  <c r="D22" i="66" l="1"/>
  <c r="E22" i="66"/>
  <c r="G28" i="66"/>
  <c r="G27" i="66"/>
  <c r="G26" i="66"/>
  <c r="G25" i="66"/>
  <c r="G22" i="66"/>
  <c r="G21" i="66"/>
  <c r="G20" i="66"/>
  <c r="G19" i="66"/>
  <c r="H9" i="60" l="1"/>
  <c r="Y164" i="46" l="1"/>
  <c r="CK336" i="40"/>
  <c r="DB387" i="13" l="1"/>
  <c r="CG288" i="13"/>
  <c r="AY147" i="13"/>
  <c r="X105" i="12"/>
  <c r="X55" i="12"/>
  <c r="M10" i="12"/>
  <c r="BZ306" i="40" l="1"/>
  <c r="BZ307" i="40"/>
  <c r="BZ308" i="40"/>
  <c r="BZ309" i="40"/>
  <c r="BZ310" i="40"/>
  <c r="BZ311" i="40"/>
  <c r="G24" i="76"/>
  <c r="H70" i="19" l="1"/>
  <c r="E70" i="19"/>
  <c r="M119" i="46"/>
  <c r="Q119" i="46" s="1"/>
  <c r="P147" i="112"/>
  <c r="G25" i="68" l="1"/>
  <c r="AB95" i="115" l="1"/>
  <c r="AS199" i="40"/>
  <c r="AE376" i="24"/>
  <c r="AC376" i="24"/>
  <c r="AA376" i="24"/>
  <c r="Y376" i="24"/>
  <c r="W376" i="24"/>
  <c r="G53" i="6"/>
  <c r="H53" i="6"/>
  <c r="I53" i="6"/>
  <c r="J53" i="6"/>
  <c r="K53" i="6"/>
  <c r="L53" i="6"/>
  <c r="M53" i="6"/>
  <c r="N53" i="6"/>
  <c r="O53" i="6"/>
  <c r="P53" i="6"/>
  <c r="F53" i="6"/>
  <c r="G31" i="14"/>
  <c r="Q53" i="6" l="1"/>
  <c r="T154" i="15" l="1"/>
  <c r="T153" i="15"/>
  <c r="T126" i="15"/>
  <c r="V76" i="16"/>
  <c r="AE218" i="15"/>
  <c r="AE193" i="15"/>
  <c r="S89" i="15"/>
  <c r="K3" i="15"/>
  <c r="O59" i="14"/>
  <c r="O11" i="14"/>
  <c r="H10" i="48" l="1"/>
  <c r="N55" i="37"/>
  <c r="N54" i="37"/>
  <c r="N53" i="37"/>
  <c r="I377" i="98" l="1"/>
  <c r="K377" i="98" s="1"/>
  <c r="H189" i="100" s="1"/>
  <c r="A377" i="98"/>
  <c r="I324" i="98"/>
  <c r="K324" i="98" s="1"/>
  <c r="H134" i="100" s="1"/>
  <c r="I280" i="98"/>
  <c r="K280" i="98" s="1"/>
  <c r="H88" i="100" s="1"/>
  <c r="I180" i="98"/>
  <c r="K180" i="98" s="1"/>
  <c r="I127" i="98"/>
  <c r="K127" i="98" s="1"/>
  <c r="I83" i="98"/>
  <c r="K83" i="98" s="1"/>
  <c r="G52" i="5" l="1"/>
  <c r="H52" i="5"/>
  <c r="I52" i="5"/>
  <c r="J52" i="5"/>
  <c r="K52" i="5"/>
  <c r="L52" i="5"/>
  <c r="M52" i="5"/>
  <c r="N52" i="5"/>
  <c r="O52" i="5"/>
  <c r="P52" i="5"/>
  <c r="F52" i="5"/>
  <c r="T112" i="109"/>
  <c r="J20" i="109" s="1"/>
  <c r="Y296" i="24" s="1"/>
  <c r="K16" i="144" s="1"/>
  <c r="T48" i="109"/>
  <c r="T49" i="109"/>
  <c r="T50" i="109"/>
  <c r="T51" i="109"/>
  <c r="T52" i="109"/>
  <c r="T53" i="109"/>
  <c r="T54" i="109"/>
  <c r="T115" i="109" s="1"/>
  <c r="T55" i="109"/>
  <c r="T56" i="109"/>
  <c r="T57" i="109"/>
  <c r="T58" i="109"/>
  <c r="T59" i="109"/>
  <c r="T60" i="109"/>
  <c r="T61" i="109"/>
  <c r="T62" i="109"/>
  <c r="T63" i="109"/>
  <c r="T64" i="109"/>
  <c r="T65" i="109"/>
  <c r="T66" i="109"/>
  <c r="T67" i="109"/>
  <c r="T68" i="109"/>
  <c r="T69" i="109"/>
  <c r="T70" i="109"/>
  <c r="T71" i="109"/>
  <c r="T72" i="109"/>
  <c r="T73" i="109"/>
  <c r="T74" i="109"/>
  <c r="T75" i="109"/>
  <c r="T76" i="109"/>
  <c r="T77" i="109"/>
  <c r="T78" i="109"/>
  <c r="T79" i="109"/>
  <c r="T80" i="109"/>
  <c r="T81" i="109"/>
  <c r="T82" i="109"/>
  <c r="T83" i="109"/>
  <c r="T84" i="109"/>
  <c r="T85" i="109"/>
  <c r="T86" i="109"/>
  <c r="T87" i="109"/>
  <c r="T88" i="109"/>
  <c r="T89" i="109"/>
  <c r="T90" i="109"/>
  <c r="T91" i="109"/>
  <c r="T92" i="109"/>
  <c r="T93" i="109"/>
  <c r="T94" i="109"/>
  <c r="T95" i="109"/>
  <c r="T96" i="109"/>
  <c r="T97" i="109"/>
  <c r="T98" i="109"/>
  <c r="T99" i="109"/>
  <c r="Q52" i="5" l="1"/>
  <c r="Y233" i="15" l="1"/>
  <c r="Y234" i="15"/>
  <c r="AC209" i="15"/>
  <c r="Y208" i="15"/>
  <c r="Y209" i="15"/>
  <c r="I118" i="46"/>
  <c r="I119" i="46"/>
  <c r="Q100" i="46"/>
  <c r="M100" i="46"/>
  <c r="I99" i="46"/>
  <c r="I100" i="46"/>
  <c r="B25" i="61" l="1"/>
  <c r="I25" i="61"/>
  <c r="D50" i="64" l="1"/>
  <c r="E50" i="64"/>
  <c r="F50" i="64"/>
  <c r="G50" i="64"/>
  <c r="H50" i="64"/>
  <c r="I50" i="64"/>
  <c r="J50" i="64"/>
  <c r="K50" i="64"/>
  <c r="L50" i="64"/>
  <c r="M50" i="64"/>
  <c r="N50" i="64"/>
  <c r="C50" i="64"/>
  <c r="H56" i="64"/>
  <c r="G56" i="64"/>
  <c r="F56" i="64"/>
  <c r="E56" i="64"/>
  <c r="D56" i="64"/>
  <c r="C56" i="64"/>
  <c r="H32" i="64"/>
  <c r="G32" i="64"/>
  <c r="F32" i="64"/>
  <c r="E32" i="64"/>
  <c r="D32" i="64"/>
  <c r="C32" i="64"/>
  <c r="H15" i="64"/>
  <c r="G15" i="64"/>
  <c r="F15" i="64"/>
  <c r="E15" i="64"/>
  <c r="D15" i="64"/>
  <c r="C15" i="64"/>
  <c r="L68" i="46" l="1"/>
  <c r="M68" i="46"/>
  <c r="O68" i="46"/>
  <c r="Q68" i="46"/>
  <c r="K68" i="46"/>
  <c r="AE241" i="46"/>
  <c r="AK202" i="46"/>
  <c r="AK203" i="46"/>
  <c r="AK204" i="46"/>
  <c r="AK205" i="46"/>
  <c r="AK206" i="46"/>
  <c r="AK207" i="46"/>
  <c r="AK208" i="46"/>
  <c r="AK209" i="46"/>
  <c r="Y156" i="46" s="1"/>
  <c r="AK210" i="46"/>
  <c r="AK211" i="46"/>
  <c r="AK212" i="46"/>
  <c r="AK213" i="46"/>
  <c r="AK214" i="46"/>
  <c r="AK215" i="46"/>
  <c r="AK216" i="46"/>
  <c r="AK217" i="46"/>
  <c r="AK218" i="46"/>
  <c r="AK219" i="46"/>
  <c r="AK220" i="46"/>
  <c r="AK221" i="46"/>
  <c r="AK222" i="46"/>
  <c r="AK223" i="46"/>
  <c r="AK224" i="46"/>
  <c r="AK225" i="46"/>
  <c r="AK226" i="46"/>
  <c r="AK227" i="46"/>
  <c r="AK228" i="46"/>
  <c r="Y157" i="46" s="1"/>
  <c r="G31" i="46" s="1"/>
  <c r="AK229" i="46"/>
  <c r="AK230" i="46"/>
  <c r="AK231" i="46"/>
  <c r="AK232" i="46"/>
  <c r="AK233" i="46"/>
  <c r="AK234" i="46"/>
  <c r="AK235" i="46"/>
  <c r="AK236" i="46"/>
  <c r="AK237" i="46"/>
  <c r="AK238" i="46"/>
  <c r="AK239" i="46"/>
  <c r="AK201" i="46"/>
  <c r="J25" i="14"/>
  <c r="S145" i="15"/>
  <c r="F56" i="15"/>
  <c r="G56" i="15"/>
  <c r="H56" i="15"/>
  <c r="I56" i="15"/>
  <c r="J56" i="15"/>
  <c r="K56" i="15"/>
  <c r="L56" i="15"/>
  <c r="N56" i="15"/>
  <c r="O56" i="15"/>
  <c r="P56" i="15"/>
  <c r="Q56" i="15"/>
  <c r="Y155" i="46" l="1"/>
  <c r="Y158" i="46"/>
  <c r="Y152" i="46"/>
  <c r="AK241" i="46"/>
  <c r="BG27" i="46" l="1"/>
  <c r="J21" i="20"/>
  <c r="AD83" i="123" l="1"/>
  <c r="AD81" i="123"/>
  <c r="AH79" i="123"/>
  <c r="AD79" i="123" s="1"/>
  <c r="AL95" i="123" s="1"/>
  <c r="AL93" i="123"/>
  <c r="AI87" i="123"/>
  <c r="AH87" i="123"/>
  <c r="AD85" i="123" s="1"/>
  <c r="AG87" i="123"/>
  <c r="AF87" i="123"/>
  <c r="AL85" i="123"/>
  <c r="AL83" i="123"/>
  <c r="AJ87" i="123"/>
  <c r="AL81" i="123"/>
  <c r="AL79" i="123"/>
  <c r="AJ70" i="123"/>
  <c r="Z70" i="123"/>
  <c r="Z69" i="123"/>
  <c r="Z68" i="123"/>
  <c r="X63" i="123"/>
  <c r="X57" i="123"/>
  <c r="X61" i="123" s="1"/>
  <c r="V51" i="123"/>
  <c r="V53" i="123"/>
  <c r="V49" i="123"/>
  <c r="V47" i="123"/>
  <c r="X47" i="123" s="1"/>
  <c r="U47" i="123"/>
  <c r="T51" i="123"/>
  <c r="T53" i="123"/>
  <c r="T49" i="123"/>
  <c r="T47" i="123"/>
  <c r="R51" i="123"/>
  <c r="S53" i="123"/>
  <c r="S55" i="123" s="1"/>
  <c r="S49" i="123"/>
  <c r="S47" i="123"/>
  <c r="R53" i="123"/>
  <c r="X53" i="123" s="1"/>
  <c r="R49" i="123"/>
  <c r="X49" i="123" s="1"/>
  <c r="R47" i="123"/>
  <c r="J20" i="123" l="1"/>
  <c r="U364" i="24" s="1"/>
  <c r="R55" i="123"/>
  <c r="X51" i="123"/>
  <c r="AD87" i="123"/>
  <c r="AL87" i="123"/>
  <c r="H74" i="132"/>
  <c r="F74" i="132"/>
  <c r="E74" i="132"/>
  <c r="L37" i="117" l="1"/>
  <c r="L36" i="117"/>
  <c r="L35" i="117"/>
  <c r="L34" i="117"/>
  <c r="L28" i="117"/>
  <c r="L27" i="117"/>
  <c r="L26" i="117"/>
  <c r="L25" i="117"/>
  <c r="L24" i="117"/>
  <c r="L23" i="117"/>
  <c r="L22" i="117"/>
  <c r="L16" i="117"/>
  <c r="L15" i="117"/>
  <c r="L14" i="117"/>
  <c r="L13" i="117"/>
  <c r="AB83" i="36" l="1"/>
  <c r="AB84" i="36"/>
  <c r="AB85" i="36"/>
  <c r="AN85" i="36"/>
  <c r="AD92" i="36"/>
  <c r="AE92" i="36"/>
  <c r="AF92" i="36"/>
  <c r="AG92" i="36"/>
  <c r="AH92" i="36"/>
  <c r="AI92" i="36"/>
  <c r="AJ92" i="36"/>
  <c r="AK92" i="36"/>
  <c r="AL92" i="36"/>
  <c r="AM92" i="36"/>
  <c r="AN92" i="36"/>
  <c r="AO92" i="36"/>
  <c r="AP94" i="36"/>
  <c r="AR94" i="36" s="1"/>
  <c r="AP95" i="36"/>
  <c r="AR95" i="36" s="1"/>
  <c r="AP96" i="36"/>
  <c r="AR96" i="36" s="1"/>
  <c r="AP97" i="36"/>
  <c r="AR97" i="36" s="1"/>
  <c r="AD99" i="36"/>
  <c r="AE99" i="36"/>
  <c r="AF99" i="36"/>
  <c r="AG99" i="36"/>
  <c r="AH99" i="36"/>
  <c r="AI99" i="36"/>
  <c r="AJ99" i="36"/>
  <c r="AK99" i="36"/>
  <c r="AL99" i="36"/>
  <c r="AM99" i="36"/>
  <c r="AN99" i="36"/>
  <c r="AO99" i="36"/>
  <c r="AP99" i="36"/>
  <c r="AD101" i="36"/>
  <c r="AD103" i="36" s="1"/>
  <c r="AE101" i="36"/>
  <c r="AF101" i="36"/>
  <c r="AF103" i="36" s="1"/>
  <c r="AG101" i="36"/>
  <c r="AH101" i="36"/>
  <c r="AH103" i="36" s="1"/>
  <c r="AI101" i="36"/>
  <c r="AJ101" i="36"/>
  <c r="AJ103" i="36" s="1"/>
  <c r="AK101" i="36"/>
  <c r="AL101" i="36"/>
  <c r="AL103" i="36" s="1"/>
  <c r="AM101" i="36"/>
  <c r="AN101" i="36"/>
  <c r="AN103" i="36" s="1"/>
  <c r="AO101" i="36"/>
  <c r="AE103" i="36"/>
  <c r="AG103" i="36"/>
  <c r="AI103" i="36"/>
  <c r="AK103" i="36"/>
  <c r="AM103" i="36"/>
  <c r="AO103" i="36"/>
  <c r="AP103" i="36" l="1"/>
  <c r="AR99" i="36"/>
  <c r="AP101" i="36"/>
  <c r="E181" i="98" l="1"/>
  <c r="E25" i="13"/>
  <c r="F187" i="100" l="1"/>
  <c r="F185" i="100"/>
  <c r="F183" i="100"/>
  <c r="F180" i="100"/>
  <c r="F178" i="100"/>
  <c r="CH323" i="13" l="1"/>
  <c r="CH322" i="13"/>
  <c r="CH321" i="13"/>
  <c r="CH320" i="13"/>
  <c r="CH319" i="13"/>
  <c r="CH318" i="13"/>
  <c r="CH317" i="13"/>
  <c r="CH316" i="13"/>
  <c r="CH315" i="13"/>
  <c r="CH314" i="13"/>
  <c r="CH313" i="13"/>
  <c r="CH312" i="13"/>
  <c r="CH311" i="13"/>
  <c r="CH308" i="13"/>
  <c r="CH307" i="13"/>
  <c r="CH306" i="13"/>
  <c r="CH305" i="13"/>
  <c r="CH304" i="13"/>
  <c r="CH303" i="13"/>
  <c r="CE323" i="13"/>
  <c r="CE322" i="13"/>
  <c r="CE321" i="13"/>
  <c r="CE320" i="13"/>
  <c r="CE319" i="13"/>
  <c r="CE318" i="13"/>
  <c r="CE317" i="13"/>
  <c r="CE316" i="13"/>
  <c r="CE315" i="13"/>
  <c r="CE314" i="13"/>
  <c r="CE313" i="13"/>
  <c r="CE312" i="13"/>
  <c r="CE311" i="13"/>
  <c r="CE308" i="13"/>
  <c r="CE307" i="13"/>
  <c r="CE306" i="13"/>
  <c r="CE305" i="13"/>
  <c r="CE304" i="13"/>
  <c r="CE303" i="13"/>
  <c r="CD323" i="13"/>
  <c r="CD322" i="13"/>
  <c r="CD321" i="13"/>
  <c r="CD320" i="13"/>
  <c r="CD319" i="13"/>
  <c r="CD318" i="13"/>
  <c r="CD317" i="13"/>
  <c r="CD316" i="13"/>
  <c r="CD315" i="13"/>
  <c r="CD314" i="13"/>
  <c r="CD313" i="13"/>
  <c r="CD312" i="13"/>
  <c r="CD311" i="13"/>
  <c r="CD308" i="13"/>
  <c r="CD307" i="13"/>
  <c r="CD306" i="13"/>
  <c r="CD305" i="13"/>
  <c r="CD304" i="13"/>
  <c r="CD303" i="13"/>
  <c r="I368" i="98"/>
  <c r="K368" i="98" s="1"/>
  <c r="H180" i="100" s="1"/>
  <c r="I367" i="98"/>
  <c r="K367" i="98" s="1"/>
  <c r="H179" i="100" s="1"/>
  <c r="I366" i="98"/>
  <c r="K366" i="98" s="1"/>
  <c r="H178" i="100" s="1"/>
  <c r="I365" i="98"/>
  <c r="K365" i="98" s="1"/>
  <c r="H177" i="100" s="1"/>
  <c r="I364" i="98"/>
  <c r="K364" i="98" s="1"/>
  <c r="H176" i="100" s="1"/>
  <c r="I363" i="98"/>
  <c r="K363" i="98" s="1"/>
  <c r="H175" i="100" s="1"/>
  <c r="C366" i="98"/>
  <c r="D366" i="98"/>
  <c r="C368" i="98"/>
  <c r="D368" i="98"/>
  <c r="C371" i="98"/>
  <c r="D371" i="98"/>
  <c r="C373" i="98"/>
  <c r="D373" i="98"/>
  <c r="C375" i="98"/>
  <c r="D375" i="98"/>
  <c r="A157" i="91"/>
  <c r="I281" i="98"/>
  <c r="K281" i="98" s="1"/>
  <c r="H89" i="100" s="1"/>
  <c r="G284" i="98"/>
  <c r="E50" i="55" l="1"/>
  <c r="E48" i="55"/>
  <c r="E46" i="55"/>
  <c r="F36" i="137" l="1"/>
  <c r="O54" i="50" l="1"/>
  <c r="Q54" i="50" s="1"/>
  <c r="I54" i="50"/>
  <c r="K54" i="50" s="1"/>
  <c r="O36" i="50"/>
  <c r="Q36" i="50" s="1"/>
  <c r="I36" i="50"/>
  <c r="K36" i="50" s="1"/>
  <c r="O27" i="50"/>
  <c r="Q27" i="50" s="1"/>
  <c r="I27" i="50"/>
  <c r="K27" i="50" s="1"/>
  <c r="E321" i="91" l="1"/>
  <c r="E312" i="91"/>
  <c r="E280" i="91"/>
  <c r="E325" i="98" s="1"/>
  <c r="E242" i="91"/>
  <c r="K334" i="93"/>
  <c r="K291" i="93"/>
  <c r="K252" i="93"/>
  <c r="L255" i="93"/>
  <c r="H255" i="93"/>
  <c r="G255" i="93"/>
  <c r="F255" i="93"/>
  <c r="E255" i="93"/>
  <c r="G242" i="91" l="1"/>
  <c r="I242" i="91" s="1"/>
  <c r="F89" i="100" s="1"/>
  <c r="L89" i="100" s="1"/>
  <c r="E281" i="98"/>
  <c r="G321" i="91"/>
  <c r="I321" i="91" s="1"/>
  <c r="F188" i="100" s="1"/>
  <c r="E376" i="98"/>
  <c r="G280" i="91"/>
  <c r="I280" i="91" s="1"/>
  <c r="F135" i="100" s="1"/>
  <c r="L135" i="100" s="1"/>
  <c r="A177" i="93"/>
  <c r="K117" i="93"/>
  <c r="K118" i="93"/>
  <c r="E114" i="91" s="1"/>
  <c r="H82" i="93"/>
  <c r="G82" i="93"/>
  <c r="F82" i="93"/>
  <c r="E82" i="93"/>
  <c r="K79" i="93"/>
  <c r="E76" i="91" s="1"/>
  <c r="G114" i="91" l="1"/>
  <c r="I114" i="91" s="1"/>
  <c r="E128" i="98"/>
  <c r="G76" i="91"/>
  <c r="I76" i="91" s="1"/>
  <c r="E84" i="98"/>
  <c r="O3" i="144"/>
  <c r="A2" i="144"/>
  <c r="A1" i="144"/>
  <c r="H69" i="19"/>
  <c r="F70" i="19" l="1"/>
  <c r="U172" i="46"/>
  <c r="C21" i="1" l="1"/>
  <c r="O28" i="49" l="1"/>
  <c r="Q28" i="49" s="1"/>
  <c r="I28" i="49"/>
  <c r="K28" i="49" s="1"/>
  <c r="O27" i="49"/>
  <c r="Q27" i="49" s="1"/>
  <c r="I27" i="49"/>
  <c r="K27" i="49" s="1"/>
  <c r="O26" i="49"/>
  <c r="Q26" i="49" s="1"/>
  <c r="I26" i="49"/>
  <c r="K26" i="49" s="1"/>
  <c r="O28" i="46" l="1"/>
  <c r="O33" i="46"/>
  <c r="K21" i="46"/>
  <c r="O22" i="46"/>
  <c r="K24" i="46"/>
  <c r="K26" i="46"/>
  <c r="C1" i="46"/>
  <c r="C2" i="46"/>
  <c r="C4" i="46"/>
  <c r="C5" i="46"/>
  <c r="C7" i="46"/>
  <c r="C8" i="46"/>
  <c r="O10" i="46"/>
  <c r="O88" i="46" s="1"/>
  <c r="C18" i="46"/>
  <c r="C19" i="46" s="1"/>
  <c r="C20" i="46" s="1"/>
  <c r="C21" i="46" s="1"/>
  <c r="C22" i="46" s="1"/>
  <c r="C23" i="46" s="1"/>
  <c r="C24" i="46" s="1"/>
  <c r="C25" i="46" s="1"/>
  <c r="C26" i="46" s="1"/>
  <c r="C27" i="46" s="1"/>
  <c r="C28" i="46" s="1"/>
  <c r="C29" i="46" s="1"/>
  <c r="C30" i="46" s="1"/>
  <c r="C31" i="46" s="1"/>
  <c r="C32" i="46" s="1"/>
  <c r="C33" i="46" s="1"/>
  <c r="C34" i="46" s="1"/>
  <c r="E32" i="46"/>
  <c r="C37" i="46"/>
  <c r="C38" i="46"/>
  <c r="C40" i="46"/>
  <c r="C41" i="46"/>
  <c r="C43" i="46"/>
  <c r="C44" i="46"/>
  <c r="C45" i="46"/>
  <c r="C55" i="46"/>
  <c r="C56" i="46" s="1"/>
  <c r="C57" i="46" s="1"/>
  <c r="C58" i="46" s="1"/>
  <c r="C59" i="46" s="1"/>
  <c r="C60" i="46" s="1"/>
  <c r="C61" i="46" s="1"/>
  <c r="C62" i="46" s="1"/>
  <c r="C63" i="46" s="1"/>
  <c r="C64" i="46" s="1"/>
  <c r="C65" i="46" s="1"/>
  <c r="C66" i="46" s="1"/>
  <c r="C67" i="46" s="1"/>
  <c r="C68" i="46" s="1"/>
  <c r="C69" i="46" s="1"/>
  <c r="C70" i="46" s="1"/>
  <c r="C71" i="46" s="1"/>
  <c r="C72" i="46" s="1"/>
  <c r="C73" i="46" s="1"/>
  <c r="C74" i="46" s="1"/>
  <c r="C75" i="46" s="1"/>
  <c r="J60" i="46"/>
  <c r="P60" i="46"/>
  <c r="G63" i="46"/>
  <c r="G64" i="46" s="1"/>
  <c r="K63" i="46"/>
  <c r="K64" i="46" s="1"/>
  <c r="L64" i="46"/>
  <c r="O64" i="46"/>
  <c r="I70" i="46"/>
  <c r="M70" i="46"/>
  <c r="Q70" i="46" s="1"/>
  <c r="E73" i="46"/>
  <c r="M74" i="46"/>
  <c r="Q74" i="46" s="1"/>
  <c r="C79" i="46"/>
  <c r="C80" i="46"/>
  <c r="C82" i="46"/>
  <c r="C83" i="46"/>
  <c r="C85" i="46"/>
  <c r="C86" i="46"/>
  <c r="C87" i="46"/>
  <c r="M99" i="46"/>
  <c r="M101" i="46"/>
  <c r="O102" i="46"/>
  <c r="J110" i="46"/>
  <c r="J111" i="46" s="1"/>
  <c r="P110" i="46"/>
  <c r="P111" i="46" s="1"/>
  <c r="E113" i="46"/>
  <c r="M114" i="46"/>
  <c r="Q114" i="46" s="1"/>
  <c r="M118" i="46"/>
  <c r="Q118" i="46" s="1"/>
  <c r="M120" i="46"/>
  <c r="Q120" i="46" s="1"/>
  <c r="O121" i="46"/>
  <c r="L123" i="46"/>
  <c r="S134" i="46"/>
  <c r="S135" i="46"/>
  <c r="S136" i="46"/>
  <c r="Y146" i="46"/>
  <c r="Z146" i="46"/>
  <c r="S149" i="46"/>
  <c r="S150" i="46" s="1"/>
  <c r="S151" i="46" s="1"/>
  <c r="S152" i="46" s="1"/>
  <c r="S153" i="46" s="1"/>
  <c r="K32" i="46"/>
  <c r="U179" i="46"/>
  <c r="AB184" i="46"/>
  <c r="AB185" i="46"/>
  <c r="AB186" i="46"/>
  <c r="AJ186" i="46"/>
  <c r="AB198" i="46"/>
  <c r="AB199" i="46" s="1"/>
  <c r="AB200" i="46" s="1"/>
  <c r="AB201" i="46" s="1"/>
  <c r="AB202" i="46" s="1"/>
  <c r="AB203" i="46" s="1"/>
  <c r="AB204" i="46" s="1"/>
  <c r="AB205" i="46" s="1"/>
  <c r="AB206" i="46" s="1"/>
  <c r="AB207" i="46" s="1"/>
  <c r="AB208" i="46" s="1"/>
  <c r="AB209" i="46" s="1"/>
  <c r="AB210" i="46" s="1"/>
  <c r="AB211" i="46" s="1"/>
  <c r="AB212" i="46" s="1"/>
  <c r="AB213" i="46" s="1"/>
  <c r="AB214" i="46" s="1"/>
  <c r="AB215" i="46" s="1"/>
  <c r="AB216" i="46" s="1"/>
  <c r="AB217" i="46" s="1"/>
  <c r="AB218" i="46" s="1"/>
  <c r="AB219" i="46" s="1"/>
  <c r="AB220" i="46" s="1"/>
  <c r="AB221" i="46" s="1"/>
  <c r="AB222" i="46" s="1"/>
  <c r="AB223" i="46" s="1"/>
  <c r="AB224" i="46" s="1"/>
  <c r="AB225" i="46" s="1"/>
  <c r="AB226" i="46" s="1"/>
  <c r="AB227" i="46" s="1"/>
  <c r="AB228" i="46" s="1"/>
  <c r="AB229" i="46" s="1"/>
  <c r="AB230" i="46" s="1"/>
  <c r="AB231" i="46" s="1"/>
  <c r="AB232" i="46" s="1"/>
  <c r="AB233" i="46" s="1"/>
  <c r="AB234" i="46" s="1"/>
  <c r="AB235" i="46" s="1"/>
  <c r="AB236" i="46" s="1"/>
  <c r="AB237" i="46" s="1"/>
  <c r="AB238" i="46" s="1"/>
  <c r="AB239" i="46" s="1"/>
  <c r="AB240" i="46" s="1"/>
  <c r="AB241" i="46" s="1"/>
  <c r="AB242" i="46" s="1"/>
  <c r="AB243" i="46" s="1"/>
  <c r="AB244" i="46" s="1"/>
  <c r="AB245" i="46" s="1"/>
  <c r="AB246" i="46" s="1"/>
  <c r="AB247" i="46" s="1"/>
  <c r="AB248" i="46" s="1"/>
  <c r="AB249" i="46" s="1"/>
  <c r="AB250" i="46" s="1"/>
  <c r="AB251" i="46" s="1"/>
  <c r="AB252" i="46" s="1"/>
  <c r="AB253" i="46" s="1"/>
  <c r="AB254" i="46" s="1"/>
  <c r="AB255" i="46" s="1"/>
  <c r="AB256" i="46" s="1"/>
  <c r="AB257" i="46" s="1"/>
  <c r="AB258" i="46" s="1"/>
  <c r="AB259" i="46" s="1"/>
  <c r="AB260" i="46" s="1"/>
  <c r="AB261" i="46" s="1"/>
  <c r="G27" i="46"/>
  <c r="G26" i="46"/>
  <c r="AF241" i="46"/>
  <c r="AD254" i="46"/>
  <c r="AD261" i="46"/>
  <c r="O34" i="46" l="1"/>
  <c r="H74" i="19"/>
  <c r="N70" i="19"/>
  <c r="M32" i="46"/>
  <c r="Q32" i="46" s="1"/>
  <c r="S154" i="46"/>
  <c r="S155" i="46" s="1"/>
  <c r="S156" i="46" s="1"/>
  <c r="S157" i="46" s="1"/>
  <c r="S158" i="46" s="1"/>
  <c r="S159" i="46" s="1"/>
  <c r="S160" i="46" s="1"/>
  <c r="S161" i="46" s="1"/>
  <c r="S162" i="46" s="1"/>
  <c r="S163" i="46" s="1"/>
  <c r="S164" i="46" s="1"/>
  <c r="S165" i="46" s="1"/>
  <c r="S166" i="46" s="1"/>
  <c r="S167" i="46" s="1"/>
  <c r="S168" i="46" s="1"/>
  <c r="S169" i="46" s="1"/>
  <c r="S170" i="46" s="1"/>
  <c r="S171" i="46" s="1"/>
  <c r="S172" i="46" s="1"/>
  <c r="S173" i="46" s="1"/>
  <c r="S174" i="46" s="1"/>
  <c r="S175" i="46" s="1"/>
  <c r="S176" i="46" s="1"/>
  <c r="S177" i="46" s="1"/>
  <c r="S178" i="46" s="1"/>
  <c r="S179" i="46" s="1"/>
  <c r="G21" i="46"/>
  <c r="G22" i="46" s="1"/>
  <c r="Y136" i="46"/>
  <c r="O46" i="46"/>
  <c r="Q99" i="46"/>
  <c r="G28" i="46"/>
  <c r="Q101" i="46"/>
  <c r="N69" i="19"/>
  <c r="J69" i="19" s="1"/>
  <c r="M63" i="46"/>
  <c r="M64" i="46" s="1"/>
  <c r="I63" i="46"/>
  <c r="I64" i="46" s="1"/>
  <c r="M24" i="46"/>
  <c r="K33" i="46"/>
  <c r="G24" i="46"/>
  <c r="I31" i="46"/>
  <c r="K22" i="46"/>
  <c r="O57" i="46"/>
  <c r="I26" i="46"/>
  <c r="I21" i="46" l="1"/>
  <c r="I22" i="46" s="1"/>
  <c r="Q63" i="46"/>
  <c r="Q64" i="46" s="1"/>
  <c r="I24" i="46"/>
  <c r="E74" i="19"/>
  <c r="F74" i="19" s="1"/>
  <c r="Q24" i="46"/>
  <c r="N74" i="19"/>
  <c r="J74" i="19" s="1"/>
  <c r="G32" i="46"/>
  <c r="I32" i="46" s="1"/>
  <c r="G33" i="46" l="1"/>
  <c r="I33" i="46"/>
  <c r="G171" i="15"/>
  <c r="H171" i="15"/>
  <c r="I171" i="15"/>
  <c r="J171" i="15"/>
  <c r="K171" i="15"/>
  <c r="L171" i="15"/>
  <c r="M171" i="15"/>
  <c r="N171" i="15"/>
  <c r="O171" i="15"/>
  <c r="P171" i="15"/>
  <c r="Q171" i="15"/>
  <c r="R171" i="15"/>
  <c r="H173" i="15"/>
  <c r="I173" i="15"/>
  <c r="J173" i="15"/>
  <c r="K173" i="15"/>
  <c r="L173" i="15"/>
  <c r="M173" i="15"/>
  <c r="N173" i="15"/>
  <c r="O173" i="15"/>
  <c r="P173" i="15"/>
  <c r="Q173" i="15"/>
  <c r="R173" i="15"/>
  <c r="F167" i="15"/>
  <c r="F168" i="15"/>
  <c r="F169" i="15"/>
  <c r="F170" i="15"/>
  <c r="F166" i="15"/>
  <c r="H147" i="15"/>
  <c r="I147" i="15"/>
  <c r="J147" i="15"/>
  <c r="K147" i="15"/>
  <c r="L147" i="15"/>
  <c r="M147" i="15"/>
  <c r="N147" i="15"/>
  <c r="O147" i="15"/>
  <c r="P147" i="15"/>
  <c r="Q147" i="15"/>
  <c r="R147" i="15"/>
  <c r="G34" i="46" l="1"/>
  <c r="G57" i="46" s="1"/>
  <c r="F171" i="15"/>
  <c r="G173" i="15"/>
  <c r="F57" i="136" l="1"/>
  <c r="F52" i="136"/>
  <c r="F46" i="136"/>
  <c r="R119" i="15" l="1"/>
  <c r="Q119" i="15"/>
  <c r="P119" i="15"/>
  <c r="O119" i="15"/>
  <c r="N119" i="15"/>
  <c r="M119" i="15"/>
  <c r="L119" i="15"/>
  <c r="K119" i="15"/>
  <c r="J119" i="15"/>
  <c r="I119" i="15"/>
  <c r="H119" i="15"/>
  <c r="N77" i="15"/>
  <c r="Q77" i="15"/>
  <c r="P77" i="15"/>
  <c r="O77" i="15"/>
  <c r="G77" i="15"/>
  <c r="H77" i="15"/>
  <c r="I77" i="15"/>
  <c r="J77" i="15"/>
  <c r="K77" i="15"/>
  <c r="L77" i="15"/>
  <c r="F77" i="15"/>
  <c r="G61" i="15"/>
  <c r="H61" i="15"/>
  <c r="I61" i="15"/>
  <c r="J61" i="15"/>
  <c r="K61" i="15"/>
  <c r="L61" i="15"/>
  <c r="F61" i="15"/>
  <c r="G38" i="15"/>
  <c r="H38" i="15"/>
  <c r="I38" i="15"/>
  <c r="J38" i="15"/>
  <c r="K38" i="15"/>
  <c r="L38" i="15"/>
  <c r="F38" i="15"/>
  <c r="AL89" i="20" l="1"/>
  <c r="AL90" i="20"/>
  <c r="AL109" i="20"/>
  <c r="AL88" i="20"/>
  <c r="AL108" i="20"/>
  <c r="AK89" i="20"/>
  <c r="AK109" i="20"/>
  <c r="AK86" i="20"/>
  <c r="AK111" i="20"/>
  <c r="AK88" i="20"/>
  <c r="AK108" i="20"/>
  <c r="AJ89" i="20"/>
  <c r="AJ88" i="20"/>
  <c r="AJ108" i="20"/>
  <c r="AI112" i="20"/>
  <c r="AI89" i="20"/>
  <c r="AI90" i="20"/>
  <c r="AI88" i="20"/>
  <c r="AI108" i="20"/>
  <c r="AH89" i="20"/>
  <c r="AH90" i="20"/>
  <c r="AH109" i="20"/>
  <c r="AH88" i="20"/>
  <c r="AH108" i="20"/>
  <c r="AG89" i="20"/>
  <c r="AG109" i="20"/>
  <c r="AG86" i="20"/>
  <c r="AG111" i="20"/>
  <c r="AG88" i="20"/>
  <c r="AG108" i="20"/>
  <c r="AF89" i="20"/>
  <c r="AF90" i="20"/>
  <c r="AF109" i="20"/>
  <c r="AF86" i="20"/>
  <c r="AF108" i="20"/>
  <c r="AJ111" i="20" l="1"/>
  <c r="AF111" i="20"/>
  <c r="AH112" i="20"/>
  <c r="AJ86" i="20"/>
  <c r="AL112" i="20"/>
  <c r="AG90" i="20"/>
  <c r="AJ109" i="20"/>
  <c r="AK90" i="20"/>
  <c r="AH85" i="20"/>
  <c r="AK85" i="20"/>
  <c r="AF85" i="20"/>
  <c r="AF112" i="20"/>
  <c r="AH86" i="20"/>
  <c r="AI85" i="20"/>
  <c r="AI109" i="20"/>
  <c r="AJ90" i="20"/>
  <c r="AJ112" i="20"/>
  <c r="AL86" i="20"/>
  <c r="AL85" i="20"/>
  <c r="AF88" i="20"/>
  <c r="AG85" i="20"/>
  <c r="AI111" i="20"/>
  <c r="AG112" i="20"/>
  <c r="AH111" i="20"/>
  <c r="AI86" i="20"/>
  <c r="AJ85" i="20"/>
  <c r="AK112" i="20"/>
  <c r="AL111" i="20"/>
  <c r="F60" i="137"/>
  <c r="F62" i="136" l="1"/>
  <c r="H275" i="21" l="1"/>
  <c r="H275" i="22"/>
  <c r="C19" i="6"/>
  <c r="B19" i="6"/>
  <c r="A19" i="6"/>
  <c r="D19" i="6" s="1"/>
  <c r="D18" i="5"/>
  <c r="E18" i="5" l="1"/>
  <c r="G275" i="21" s="1"/>
  <c r="E19" i="6" l="1"/>
  <c r="J275" i="21"/>
  <c r="G28" i="57" l="1"/>
  <c r="O22" i="57"/>
  <c r="Q22" i="57" s="1"/>
  <c r="I22" i="57"/>
  <c r="K22" i="57" s="1"/>
  <c r="O21" i="57"/>
  <c r="Q21" i="57" s="1"/>
  <c r="I21" i="57"/>
  <c r="K21" i="57" s="1"/>
  <c r="O43" i="50" l="1"/>
  <c r="Q43" i="50" s="1"/>
  <c r="I43" i="50"/>
  <c r="K43" i="50" s="1"/>
  <c r="L48" i="81" l="1"/>
  <c r="L47" i="81"/>
  <c r="L45" i="81"/>
  <c r="L44" i="81"/>
  <c r="L43" i="81"/>
  <c r="L42" i="81"/>
  <c r="L41" i="81"/>
  <c r="L40" i="81"/>
  <c r="L39" i="81"/>
  <c r="L38" i="81"/>
  <c r="L37" i="81"/>
  <c r="L36" i="81"/>
  <c r="I54" i="81"/>
  <c r="L35" i="81"/>
  <c r="L34" i="81"/>
  <c r="L33" i="81"/>
  <c r="L30" i="81"/>
  <c r="L29" i="81"/>
  <c r="K54" i="81"/>
  <c r="L27" i="81"/>
  <c r="L26" i="81"/>
  <c r="L25" i="81"/>
  <c r="L21" i="81"/>
  <c r="G19" i="68"/>
  <c r="G38" i="80"/>
  <c r="F38" i="80"/>
  <c r="I36" i="80"/>
  <c r="J33" i="80"/>
  <c r="J32" i="80"/>
  <c r="I32" i="80"/>
  <c r="J31" i="80"/>
  <c r="I31" i="80"/>
  <c r="I28" i="80"/>
  <c r="J28" i="80"/>
  <c r="I25" i="80"/>
  <c r="J25" i="80"/>
  <c r="J22" i="80"/>
  <c r="D38" i="80"/>
  <c r="G18" i="76"/>
  <c r="L46" i="71"/>
  <c r="L45" i="71"/>
  <c r="L43" i="71"/>
  <c r="L42" i="71"/>
  <c r="L41" i="71"/>
  <c r="L39" i="71"/>
  <c r="L38" i="71"/>
  <c r="L37" i="71"/>
  <c r="L36" i="71"/>
  <c r="I52" i="71"/>
  <c r="L35" i="71"/>
  <c r="L34" i="71"/>
  <c r="J52" i="71"/>
  <c r="L33" i="71"/>
  <c r="L32" i="71"/>
  <c r="L28" i="71"/>
  <c r="L27" i="71"/>
  <c r="L26" i="71"/>
  <c r="L25" i="71"/>
  <c r="L24" i="71"/>
  <c r="L23" i="71"/>
  <c r="L20" i="71"/>
  <c r="G34" i="70"/>
  <c r="F34" i="70"/>
  <c r="I32" i="70"/>
  <c r="H34" i="70"/>
  <c r="I26" i="70"/>
  <c r="J26" i="70" s="1"/>
  <c r="I23" i="70"/>
  <c r="J23" i="70" s="1"/>
  <c r="I22" i="70"/>
  <c r="M21" i="81" l="1"/>
  <c r="M54" i="81" s="1"/>
  <c r="J54" i="81"/>
  <c r="G54" i="81"/>
  <c r="L28" i="81"/>
  <c r="L52" i="81"/>
  <c r="H54" i="81"/>
  <c r="I22" i="80"/>
  <c r="H38" i="80"/>
  <c r="I21" i="80"/>
  <c r="I33" i="80"/>
  <c r="M20" i="71"/>
  <c r="M52" i="71" s="1"/>
  <c r="L50" i="71"/>
  <c r="G52" i="71"/>
  <c r="K52" i="71"/>
  <c r="L40" i="71"/>
  <c r="H52" i="71"/>
  <c r="J22" i="70"/>
  <c r="I29" i="70"/>
  <c r="I34" i="70" s="1"/>
  <c r="D34" i="70"/>
  <c r="J29" i="70"/>
  <c r="L54" i="81" l="1"/>
  <c r="M57" i="81" s="1"/>
  <c r="J21" i="80"/>
  <c r="J38" i="80" s="1"/>
  <c r="I38" i="80"/>
  <c r="L52" i="71"/>
  <c r="M55" i="71" s="1"/>
  <c r="J34" i="70"/>
  <c r="J36" i="70" s="1"/>
  <c r="J40" i="80" l="1"/>
  <c r="A47" i="92" l="1"/>
  <c r="A48" i="92" s="1"/>
  <c r="H47" i="92"/>
  <c r="F47" i="92"/>
  <c r="F190" i="100"/>
  <c r="D190" i="100"/>
  <c r="C178" i="100"/>
  <c r="D178" i="100"/>
  <c r="C180" i="100"/>
  <c r="D180" i="100"/>
  <c r="C183" i="100"/>
  <c r="D183" i="100"/>
  <c r="C185" i="100"/>
  <c r="D185" i="100"/>
  <c r="C187" i="100"/>
  <c r="D187" i="100"/>
  <c r="A175" i="100"/>
  <c r="A176" i="100" s="1"/>
  <c r="A177" i="100" s="1"/>
  <c r="A178" i="100" s="1"/>
  <c r="A179" i="100" s="1"/>
  <c r="A180" i="100" s="1"/>
  <c r="A181" i="100" s="1"/>
  <c r="A182" i="100" s="1"/>
  <c r="A183" i="100" s="1"/>
  <c r="D36" i="117" a="1"/>
  <c r="D36" i="117" s="1"/>
  <c r="D25" i="117" a="1"/>
  <c r="D25" i="117" s="1"/>
  <c r="D26" i="117" a="1"/>
  <c r="D26" i="117" s="1"/>
  <c r="D179" i="98"/>
  <c r="I176" i="98"/>
  <c r="K176" i="98" s="1"/>
  <c r="I175" i="98"/>
  <c r="K175" i="98" s="1"/>
  <c r="I174" i="98"/>
  <c r="K174" i="98" s="1"/>
  <c r="I173" i="98"/>
  <c r="K173" i="98" s="1"/>
  <c r="I172" i="98"/>
  <c r="K172" i="98" s="1"/>
  <c r="I171" i="98"/>
  <c r="K171" i="98" s="1"/>
  <c r="I170" i="98"/>
  <c r="K170" i="98" s="1"/>
  <c r="I169" i="98"/>
  <c r="K169" i="98" s="1"/>
  <c r="I168" i="98"/>
  <c r="K168" i="98" s="1"/>
  <c r="C173" i="98"/>
  <c r="D173" i="98"/>
  <c r="D172" i="98"/>
  <c r="C172" i="98"/>
  <c r="C166" i="98"/>
  <c r="C363" i="98" s="1"/>
  <c r="D166" i="98"/>
  <c r="C167" i="98"/>
  <c r="D167" i="98"/>
  <c r="C168" i="98"/>
  <c r="D168" i="98"/>
  <c r="D177" i="98"/>
  <c r="C177" i="98"/>
  <c r="D175" i="98"/>
  <c r="C175" i="98"/>
  <c r="D170" i="98"/>
  <c r="C170" i="98"/>
  <c r="D165" i="98"/>
  <c r="D174" i="100" l="1"/>
  <c r="D362" i="98"/>
  <c r="C177" i="100"/>
  <c r="C365" i="98"/>
  <c r="C182" i="100"/>
  <c r="C370" i="98"/>
  <c r="C186" i="100"/>
  <c r="C374" i="98"/>
  <c r="D179" i="100"/>
  <c r="D367" i="98"/>
  <c r="D181" i="100"/>
  <c r="D369" i="98"/>
  <c r="D188" i="100"/>
  <c r="D376" i="98"/>
  <c r="D184" i="100"/>
  <c r="D372" i="98"/>
  <c r="C179" i="100"/>
  <c r="C367" i="98"/>
  <c r="D176" i="100"/>
  <c r="D364" i="98"/>
  <c r="C181" i="100"/>
  <c r="C369" i="98"/>
  <c r="D186" i="100"/>
  <c r="D374" i="98"/>
  <c r="C176" i="100"/>
  <c r="C364" i="98"/>
  <c r="C184" i="100"/>
  <c r="C372" i="98"/>
  <c r="D177" i="100"/>
  <c r="D365" i="98"/>
  <c r="D175" i="100"/>
  <c r="D363" i="98"/>
  <c r="D182" i="100"/>
  <c r="D370" i="98"/>
  <c r="C175" i="100"/>
  <c r="A101" i="92"/>
  <c r="A102" i="92" s="1"/>
  <c r="F101" i="92"/>
  <c r="H101" i="92"/>
  <c r="C90" i="92"/>
  <c r="F90" i="92"/>
  <c r="H90" i="92"/>
  <c r="A90" i="92"/>
  <c r="A91" i="92"/>
  <c r="A92" i="92" s="1"/>
  <c r="A93" i="92" s="1"/>
  <c r="A37" i="92"/>
  <c r="A38" i="92"/>
  <c r="A39" i="92" s="1"/>
  <c r="A36" i="92"/>
  <c r="H93" i="92"/>
  <c r="H92" i="92"/>
  <c r="H91" i="92"/>
  <c r="H102" i="92" s="1"/>
  <c r="H89" i="92"/>
  <c r="H100" i="92" s="1"/>
  <c r="H88" i="92"/>
  <c r="H99" i="92" s="1"/>
  <c r="B88" i="92"/>
  <c r="H87" i="92"/>
  <c r="A81" i="92"/>
  <c r="A83" i="92" s="1"/>
  <c r="A87" i="92" s="1"/>
  <c r="A88" i="92" s="1"/>
  <c r="A89" i="92" s="1"/>
  <c r="H79" i="92"/>
  <c r="H78" i="92"/>
  <c r="H39" i="92"/>
  <c r="H38" i="92"/>
  <c r="H37" i="92"/>
  <c r="H48" i="92" s="1"/>
  <c r="H36" i="92"/>
  <c r="H35" i="92"/>
  <c r="H46" i="92" s="1"/>
  <c r="H34" i="92"/>
  <c r="H45" i="92" s="1"/>
  <c r="B34" i="92"/>
  <c r="H33" i="92"/>
  <c r="A29" i="92"/>
  <c r="A33" i="92" s="1"/>
  <c r="A34" i="92" s="1"/>
  <c r="A35" i="92" s="1"/>
  <c r="A27" i="92"/>
  <c r="F36" i="92"/>
  <c r="A166" i="98"/>
  <c r="A167" i="98" s="1"/>
  <c r="A184" i="98" s="1"/>
  <c r="I181" i="98"/>
  <c r="K181" i="98" s="1"/>
  <c r="I179" i="98"/>
  <c r="K179" i="98" s="1"/>
  <c r="I178" i="98"/>
  <c r="K178" i="98" s="1"/>
  <c r="I177" i="98"/>
  <c r="K177" i="98" s="1"/>
  <c r="A363" i="98"/>
  <c r="A364" i="98" s="1"/>
  <c r="A365" i="98" s="1"/>
  <c r="A366" i="98" s="1"/>
  <c r="A367" i="98" s="1"/>
  <c r="A368" i="98" s="1"/>
  <c r="A369" i="98" s="1"/>
  <c r="A370" i="98" s="1"/>
  <c r="A371" i="98" s="1"/>
  <c r="J352" i="98"/>
  <c r="J350" i="98"/>
  <c r="A343" i="98"/>
  <c r="A315" i="98"/>
  <c r="A316" i="98" s="1"/>
  <c r="A317" i="98" s="1"/>
  <c r="A318" i="98" s="1"/>
  <c r="A319" i="98" s="1"/>
  <c r="A320" i="98" s="1"/>
  <c r="A321" i="98" s="1"/>
  <c r="A322" i="98" s="1"/>
  <c r="A323" i="98" s="1"/>
  <c r="J304" i="98"/>
  <c r="A304" i="98"/>
  <c r="J302" i="98"/>
  <c r="A295" i="98"/>
  <c r="A259" i="98"/>
  <c r="A260" i="98" s="1"/>
  <c r="A261" i="98" s="1"/>
  <c r="A262" i="98" s="1"/>
  <c r="A263" i="98" s="1"/>
  <c r="A264" i="98" s="1"/>
  <c r="A265" i="98" s="1"/>
  <c r="A266" i="98" s="1"/>
  <c r="A267" i="98" s="1"/>
  <c r="A268" i="98" s="1"/>
  <c r="A269" i="98" s="1"/>
  <c r="A270" i="98" s="1"/>
  <c r="A271" i="98" s="1"/>
  <c r="A272" i="98" s="1"/>
  <c r="A273" i="98" s="1"/>
  <c r="A274" i="98" s="1"/>
  <c r="A275" i="98" s="1"/>
  <c r="A276" i="98" s="1"/>
  <c r="A277" i="98" s="1"/>
  <c r="A278" i="98" s="1"/>
  <c r="A279" i="98" s="1"/>
  <c r="J248" i="98"/>
  <c r="A248" i="98"/>
  <c r="J246" i="98"/>
  <c r="A239" i="98"/>
  <c r="J155" i="98"/>
  <c r="J153" i="98"/>
  <c r="A146" i="98"/>
  <c r="A118" i="98"/>
  <c r="A119" i="98" s="1"/>
  <c r="A120" i="98" s="1"/>
  <c r="A121" i="98" s="1"/>
  <c r="A122" i="98" s="1"/>
  <c r="A123" i="98" s="1"/>
  <c r="A124" i="98" s="1"/>
  <c r="A125" i="98" s="1"/>
  <c r="A126" i="98" s="1"/>
  <c r="J107" i="98"/>
  <c r="A107" i="98"/>
  <c r="J105" i="98"/>
  <c r="A98" i="98"/>
  <c r="A62" i="98"/>
  <c r="A63" i="98" s="1"/>
  <c r="A64" i="98" s="1"/>
  <c r="A65" i="98" s="1"/>
  <c r="A66" i="98" s="1"/>
  <c r="A67" i="98" s="1"/>
  <c r="A68" i="98" s="1"/>
  <c r="A69" i="98" s="1"/>
  <c r="A70" i="98" s="1"/>
  <c r="A71" i="98" s="1"/>
  <c r="A72" i="98" s="1"/>
  <c r="A73" i="98" s="1"/>
  <c r="A74" i="98" s="1"/>
  <c r="A75" i="98" s="1"/>
  <c r="A76" i="98" s="1"/>
  <c r="A77" i="98" s="1"/>
  <c r="A78" i="98" s="1"/>
  <c r="A79" i="98" s="1"/>
  <c r="A80" i="98" s="1"/>
  <c r="A81" i="98" s="1"/>
  <c r="A82" i="98" s="1"/>
  <c r="A83" i="98" s="1"/>
  <c r="A84" i="98" s="1"/>
  <c r="J51" i="98"/>
  <c r="A51" i="98"/>
  <c r="J49" i="98"/>
  <c r="A42" i="98"/>
  <c r="H88" i="99"/>
  <c r="H99" i="99"/>
  <c r="F98" i="99"/>
  <c r="H98" i="99"/>
  <c r="A98" i="99"/>
  <c r="A99" i="99"/>
  <c r="H78" i="99"/>
  <c r="H87" i="99"/>
  <c r="F87" i="99"/>
  <c r="A87" i="99"/>
  <c r="A88" i="99" s="1"/>
  <c r="A89" i="99" s="1"/>
  <c r="A90" i="99" s="1"/>
  <c r="H76" i="99"/>
  <c r="H77" i="99" s="1"/>
  <c r="H45" i="99"/>
  <c r="F45" i="99"/>
  <c r="A46" i="99"/>
  <c r="A45" i="99"/>
  <c r="H34" i="99"/>
  <c r="F34" i="99"/>
  <c r="A35" i="99"/>
  <c r="A36" i="99"/>
  <c r="A37" i="99" s="1"/>
  <c r="A34" i="99"/>
  <c r="A33" i="99"/>
  <c r="F97" i="99"/>
  <c r="F96" i="99"/>
  <c r="F99" i="99" s="1"/>
  <c r="F90" i="99"/>
  <c r="H89" i="99"/>
  <c r="F89" i="99"/>
  <c r="F88" i="99"/>
  <c r="F86" i="99"/>
  <c r="A86" i="99"/>
  <c r="F85" i="99"/>
  <c r="A85" i="99"/>
  <c r="F46" i="99"/>
  <c r="F44" i="99"/>
  <c r="F43" i="99"/>
  <c r="H37" i="99"/>
  <c r="F37" i="99"/>
  <c r="H36" i="99"/>
  <c r="F36" i="99"/>
  <c r="F35" i="99"/>
  <c r="H33" i="99"/>
  <c r="H44" i="99" s="1"/>
  <c r="F33" i="99"/>
  <c r="H32" i="99"/>
  <c r="H43" i="99" s="1"/>
  <c r="F32" i="99"/>
  <c r="A32" i="99"/>
  <c r="H24" i="99"/>
  <c r="D38" i="121"/>
  <c r="D25" i="121"/>
  <c r="AB224" i="121"/>
  <c r="D26" i="121"/>
  <c r="AB202" i="121"/>
  <c r="AB207" i="121" s="1"/>
  <c r="V163" i="121"/>
  <c r="P119" i="121"/>
  <c r="J86" i="121"/>
  <c r="V170" i="121" s="1"/>
  <c r="V171" i="121" s="1"/>
  <c r="J79" i="121"/>
  <c r="J76" i="121"/>
  <c r="K161" i="93"/>
  <c r="E154" i="91" s="1"/>
  <c r="I322" i="98"/>
  <c r="I321" i="98"/>
  <c r="K321" i="98" s="1"/>
  <c r="H131" i="100" s="1"/>
  <c r="I320" i="98"/>
  <c r="I125" i="98"/>
  <c r="I124" i="98"/>
  <c r="K124" i="98" s="1"/>
  <c r="I123" i="98"/>
  <c r="E276" i="91"/>
  <c r="E320" i="98" s="1"/>
  <c r="E277" i="91"/>
  <c r="G277" i="91" s="1"/>
  <c r="I277" i="91" s="1"/>
  <c r="F131" i="100" s="1"/>
  <c r="L131" i="100" s="1"/>
  <c r="E278" i="91"/>
  <c r="E322" i="98" s="1"/>
  <c r="K114" i="93"/>
  <c r="E110" i="91" s="1"/>
  <c r="K115" i="93"/>
  <c r="E111" i="91" s="1"/>
  <c r="E124" i="98" s="1"/>
  <c r="K116" i="93"/>
  <c r="E112" i="91" s="1"/>
  <c r="E125" i="98" s="1"/>
  <c r="K289" i="93"/>
  <c r="K288" i="93"/>
  <c r="K287" i="93"/>
  <c r="E25" i="121" l="1"/>
  <c r="AG267" i="121" s="1"/>
  <c r="A324" i="98"/>
  <c r="A325" i="98" s="1"/>
  <c r="A329" i="98" s="1"/>
  <c r="A332" i="98" s="1"/>
  <c r="A280" i="98"/>
  <c r="A281" i="98" s="1"/>
  <c r="A284" i="98" s="1"/>
  <c r="A127" i="98"/>
  <c r="A128" i="98" s="1"/>
  <c r="A132" i="98" s="1"/>
  <c r="A135" i="98" s="1"/>
  <c r="A372" i="98"/>
  <c r="A373" i="98" s="1"/>
  <c r="A374" i="98" s="1"/>
  <c r="A375" i="98" s="1"/>
  <c r="A376" i="98" s="1"/>
  <c r="A385" i="98" s="1"/>
  <c r="A386" i="98" s="1"/>
  <c r="A389" i="98" s="1"/>
  <c r="E179" i="98"/>
  <c r="G154" i="91"/>
  <c r="I154" i="91" s="1"/>
  <c r="E123" i="98"/>
  <c r="G110" i="91"/>
  <c r="G111" i="91"/>
  <c r="I111" i="91" s="1"/>
  <c r="G278" i="91"/>
  <c r="A95" i="92"/>
  <c r="A99" i="92" s="1"/>
  <c r="A100" i="92" s="1"/>
  <c r="A104" i="92" s="1"/>
  <c r="A106" i="92" s="1"/>
  <c r="A41" i="92"/>
  <c r="A45" i="92" s="1"/>
  <c r="A46" i="92" s="1"/>
  <c r="A50" i="92" s="1"/>
  <c r="A52" i="92" s="1"/>
  <c r="A188" i="98"/>
  <c r="A189" i="98" s="1"/>
  <c r="A192" i="98" s="1"/>
  <c r="A92" i="99"/>
  <c r="A96" i="99" s="1"/>
  <c r="A97" i="99" s="1"/>
  <c r="A101" i="99" s="1"/>
  <c r="A103" i="99" s="1"/>
  <c r="H86" i="99"/>
  <c r="H97" i="99" s="1"/>
  <c r="H85" i="99"/>
  <c r="H96" i="99" s="1"/>
  <c r="H90" i="99"/>
  <c r="A39" i="99"/>
  <c r="A43" i="99" s="1"/>
  <c r="A44" i="99" s="1"/>
  <c r="A48" i="99" s="1"/>
  <c r="A50" i="99" s="1"/>
  <c r="AB205" i="121"/>
  <c r="AB215" i="121"/>
  <c r="AB225" i="121"/>
  <c r="J89" i="121"/>
  <c r="AB204" i="121"/>
  <c r="AB226" i="121"/>
  <c r="AB216" i="121"/>
  <c r="J87" i="121"/>
  <c r="AB206" i="121"/>
  <c r="J88" i="121"/>
  <c r="K88" i="121" s="1"/>
  <c r="AK267" i="121" s="1"/>
  <c r="AU267" i="121" s="1"/>
  <c r="P126" i="121"/>
  <c r="P127" i="121" s="1"/>
  <c r="AB203" i="121"/>
  <c r="G112" i="91"/>
  <c r="E321" i="98"/>
  <c r="G276" i="91"/>
  <c r="H58" i="91" l="1"/>
  <c r="C25" i="117"/>
  <c r="E36" i="92"/>
  <c r="G36" i="92" s="1"/>
  <c r="F25" i="117" l="1"/>
  <c r="M25" i="117"/>
  <c r="F21" i="58"/>
  <c r="F20" i="58"/>
  <c r="K25" i="117" l="1"/>
  <c r="E90" i="92" s="1"/>
  <c r="G90" i="92" s="1"/>
  <c r="H224" i="91" s="1"/>
  <c r="H25" i="117"/>
  <c r="I25" i="117" s="1"/>
  <c r="C125" i="6"/>
  <c r="B125" i="6"/>
  <c r="A125" i="6"/>
  <c r="D124" i="5"/>
  <c r="H176" i="22"/>
  <c r="H176" i="21"/>
  <c r="H112" i="21"/>
  <c r="H112" i="22"/>
  <c r="D101" i="5"/>
  <c r="A102" i="6"/>
  <c r="B102" i="6"/>
  <c r="C102" i="6"/>
  <c r="A153" i="6"/>
  <c r="B153" i="6"/>
  <c r="C153" i="6"/>
  <c r="C178" i="6"/>
  <c r="A178" i="6"/>
  <c r="B178" i="6"/>
  <c r="D177" i="5"/>
  <c r="D152" i="5"/>
  <c r="H59" i="22"/>
  <c r="H59" i="21"/>
  <c r="D84" i="5"/>
  <c r="D85" i="6"/>
  <c r="C85" i="6"/>
  <c r="E34" i="99" l="1"/>
  <c r="G34" i="99" s="1"/>
  <c r="J65" i="98" s="1"/>
  <c r="N25" i="117"/>
  <c r="P25" i="117" s="1"/>
  <c r="E87" i="99" s="1"/>
  <c r="G87" i="99" s="1"/>
  <c r="J262" i="98" s="1"/>
  <c r="E124" i="5"/>
  <c r="D125" i="6"/>
  <c r="E101" i="5"/>
  <c r="D102" i="6"/>
  <c r="D178" i="6"/>
  <c r="E177" i="5"/>
  <c r="D153" i="6"/>
  <c r="E152" i="5"/>
  <c r="E84" i="5"/>
  <c r="E85" i="6"/>
  <c r="L10" i="81"/>
  <c r="L10" i="71"/>
  <c r="H10" i="80"/>
  <c r="I10" i="70"/>
  <c r="K9" i="68"/>
  <c r="K9" i="76"/>
  <c r="E125" i="6" l="1"/>
  <c r="G112" i="21"/>
  <c r="E102" i="6"/>
  <c r="E178" i="6"/>
  <c r="E153" i="6"/>
  <c r="G59" i="21"/>
  <c r="J59" i="21" s="1"/>
  <c r="H23" i="20" s="1"/>
  <c r="N76" i="17"/>
  <c r="N9" i="17"/>
  <c r="W97" i="13"/>
  <c r="AB104" i="13"/>
  <c r="AB95" i="13"/>
  <c r="Z95" i="13"/>
  <c r="BW271" i="13"/>
  <c r="BW270" i="13"/>
  <c r="BW269" i="13"/>
  <c r="BW268" i="13"/>
  <c r="BW267" i="13"/>
  <c r="BW266" i="13"/>
  <c r="BW265" i="13"/>
  <c r="BW264" i="13"/>
  <c r="BW263" i="13"/>
  <c r="BW262" i="13"/>
  <c r="BW261" i="13"/>
  <c r="BW260" i="13"/>
  <c r="BW259" i="13"/>
  <c r="BW256" i="13"/>
  <c r="BW255" i="13"/>
  <c r="BW254" i="13"/>
  <c r="BW253" i="13"/>
  <c r="BW252" i="13"/>
  <c r="BW251" i="13"/>
  <c r="BV271" i="13"/>
  <c r="BV270" i="13"/>
  <c r="BV269" i="13"/>
  <c r="BV268" i="13"/>
  <c r="BV267" i="13"/>
  <c r="BV266" i="13"/>
  <c r="BV265" i="13"/>
  <c r="BV264" i="13"/>
  <c r="BV263" i="13"/>
  <c r="BV262" i="13"/>
  <c r="BV261" i="13"/>
  <c r="BV260" i="13"/>
  <c r="BV259" i="13"/>
  <c r="BV256" i="13"/>
  <c r="BV255" i="13"/>
  <c r="BV254" i="13"/>
  <c r="BV253" i="13"/>
  <c r="BV252" i="13"/>
  <c r="BV251" i="13"/>
  <c r="BT271" i="13"/>
  <c r="BT270" i="13"/>
  <c r="BT269" i="13"/>
  <c r="BT268" i="13"/>
  <c r="BT267" i="13"/>
  <c r="BT266" i="13"/>
  <c r="BT265" i="13"/>
  <c r="BT264" i="13"/>
  <c r="BT263" i="13"/>
  <c r="BT262" i="13"/>
  <c r="BT261" i="13"/>
  <c r="BT260" i="13"/>
  <c r="BT259" i="13"/>
  <c r="BT256" i="13"/>
  <c r="BT255" i="13"/>
  <c r="BT254" i="13"/>
  <c r="BT253" i="13"/>
  <c r="BT252" i="13"/>
  <c r="BT251" i="13"/>
  <c r="BU271" i="13"/>
  <c r="BU270" i="13"/>
  <c r="BU269" i="13"/>
  <c r="BU268" i="13"/>
  <c r="BU267" i="13"/>
  <c r="BU266" i="13"/>
  <c r="BU265" i="13"/>
  <c r="BU264" i="13"/>
  <c r="BU263" i="13"/>
  <c r="BU262" i="13"/>
  <c r="BU261" i="13"/>
  <c r="BU260" i="13"/>
  <c r="BU259" i="13"/>
  <c r="BU256" i="13"/>
  <c r="BU255" i="13"/>
  <c r="BU254" i="13"/>
  <c r="BU253" i="13"/>
  <c r="BU252" i="13"/>
  <c r="BU251" i="13"/>
  <c r="BS271" i="13"/>
  <c r="BS270" i="13"/>
  <c r="BS269" i="13"/>
  <c r="BS268" i="13"/>
  <c r="BS267" i="13"/>
  <c r="BS266" i="13"/>
  <c r="BS265" i="13"/>
  <c r="BS264" i="13"/>
  <c r="BS263" i="13"/>
  <c r="BS262" i="13"/>
  <c r="BS261" i="13"/>
  <c r="BS260" i="13"/>
  <c r="BS259" i="13"/>
  <c r="BS256" i="13"/>
  <c r="BS255" i="13"/>
  <c r="BS254" i="13"/>
  <c r="BS253" i="13"/>
  <c r="BS252" i="13"/>
  <c r="BS251" i="13"/>
  <c r="BR271" i="13"/>
  <c r="BR270" i="13"/>
  <c r="BR269" i="13"/>
  <c r="BR268" i="13"/>
  <c r="BR267" i="13"/>
  <c r="BR266" i="13"/>
  <c r="BR265" i="13"/>
  <c r="BR264" i="13"/>
  <c r="BR263" i="13"/>
  <c r="BR262" i="13"/>
  <c r="BR261" i="13"/>
  <c r="BR260" i="13"/>
  <c r="BR259" i="13"/>
  <c r="BR256" i="13"/>
  <c r="BR255" i="13"/>
  <c r="BR254" i="13"/>
  <c r="BR253" i="13"/>
  <c r="BR252" i="13"/>
  <c r="BR251" i="13"/>
  <c r="BQ271" i="13"/>
  <c r="BQ270" i="13"/>
  <c r="BQ269" i="13"/>
  <c r="BQ268" i="13"/>
  <c r="BQ267" i="13"/>
  <c r="BQ266" i="13"/>
  <c r="BQ265" i="13"/>
  <c r="BQ264" i="13"/>
  <c r="BQ263" i="13"/>
  <c r="BQ262" i="13"/>
  <c r="BQ261" i="13"/>
  <c r="BQ260" i="13"/>
  <c r="BQ259" i="13"/>
  <c r="BQ256" i="13"/>
  <c r="BQ255" i="13"/>
  <c r="BQ254" i="13"/>
  <c r="BQ253" i="13"/>
  <c r="BQ252" i="13"/>
  <c r="BQ251" i="13"/>
  <c r="AC95" i="13" l="1"/>
  <c r="J112" i="21"/>
  <c r="J113" i="21" s="1"/>
  <c r="G113" i="21"/>
  <c r="U52" i="38"/>
  <c r="I20" i="38" s="1"/>
  <c r="J22" i="41"/>
  <c r="N168" i="110"/>
  <c r="N150" i="110"/>
  <c r="M150" i="110"/>
  <c r="L150" i="110"/>
  <c r="K150" i="110"/>
  <c r="K152" i="110" s="1"/>
  <c r="L64" i="110"/>
  <c r="N152" i="110"/>
  <c r="E153" i="110"/>
  <c r="E154" i="110" s="1"/>
  <c r="J154" i="110"/>
  <c r="N153" i="110"/>
  <c r="N154" i="110" s="1"/>
  <c r="N155" i="110" s="1"/>
  <c r="M153" i="110"/>
  <c r="M154" i="110" s="1"/>
  <c r="M155" i="110" s="1"/>
  <c r="L153" i="110"/>
  <c r="L154" i="110" s="1"/>
  <c r="L155" i="110" s="1"/>
  <c r="K153" i="110"/>
  <c r="K154" i="110" s="1"/>
  <c r="J153" i="110"/>
  <c r="I153" i="110"/>
  <c r="I154" i="110" s="1"/>
  <c r="H153" i="110"/>
  <c r="H154" i="110" s="1"/>
  <c r="G153" i="110"/>
  <c r="G154" i="110" s="1"/>
  <c r="F153" i="110"/>
  <c r="F154" i="110" s="1"/>
  <c r="M152" i="110"/>
  <c r="L152" i="110"/>
  <c r="L140" i="110"/>
  <c r="L183" i="110"/>
  <c r="K155" i="110" l="1"/>
  <c r="J25" i="41"/>
  <c r="U295" i="24" s="1"/>
  <c r="I14" i="144" s="1"/>
  <c r="CD324" i="13"/>
  <c r="CD326" i="13" s="1"/>
  <c r="W103" i="13" s="1"/>
  <c r="M39" i="139" l="1"/>
  <c r="M38" i="139"/>
  <c r="M37" i="139"/>
  <c r="M36" i="139"/>
  <c r="M35" i="139"/>
  <c r="M34" i="139"/>
  <c r="M33" i="139"/>
  <c r="M32" i="139"/>
  <c r="M31" i="139"/>
  <c r="M30" i="139"/>
  <c r="M29" i="139"/>
  <c r="M28" i="139"/>
  <c r="L22" i="139"/>
  <c r="L21" i="139"/>
  <c r="L20" i="139"/>
  <c r="L19" i="139"/>
  <c r="L18" i="139"/>
  <c r="L17" i="139"/>
  <c r="L16" i="139"/>
  <c r="L15" i="139"/>
  <c r="L14" i="139"/>
  <c r="L13" i="139"/>
  <c r="L12" i="139"/>
  <c r="L11" i="139"/>
  <c r="K22" i="139"/>
  <c r="K21" i="139"/>
  <c r="K20" i="139"/>
  <c r="K19" i="139"/>
  <c r="K18" i="139"/>
  <c r="K17" i="139"/>
  <c r="K16" i="139"/>
  <c r="K15" i="139"/>
  <c r="K14" i="139"/>
  <c r="K13" i="139"/>
  <c r="K12" i="139"/>
  <c r="K11" i="139"/>
  <c r="J22" i="139"/>
  <c r="J21" i="139"/>
  <c r="J20" i="139"/>
  <c r="J19" i="139"/>
  <c r="J18" i="139"/>
  <c r="J17" i="139"/>
  <c r="J16" i="139"/>
  <c r="J15" i="139"/>
  <c r="J14" i="139"/>
  <c r="J13" i="139"/>
  <c r="J12" i="139"/>
  <c r="J11" i="139"/>
  <c r="I22" i="139"/>
  <c r="I21" i="139"/>
  <c r="M21" i="139" s="1"/>
  <c r="I20" i="139"/>
  <c r="M20" i="139" s="1"/>
  <c r="I19" i="139"/>
  <c r="M19" i="139" s="1"/>
  <c r="I18" i="139"/>
  <c r="I17" i="139"/>
  <c r="M17" i="139" s="1"/>
  <c r="I16" i="139"/>
  <c r="M16" i="139" s="1"/>
  <c r="I15" i="139"/>
  <c r="I14" i="139"/>
  <c r="M14" i="139" s="1"/>
  <c r="I13" i="139"/>
  <c r="I12" i="139"/>
  <c r="M12" i="139" s="1"/>
  <c r="I11" i="139"/>
  <c r="M22" i="139"/>
  <c r="L41" i="139"/>
  <c r="G39" i="139"/>
  <c r="G38" i="139"/>
  <c r="G37" i="139"/>
  <c r="G36" i="139"/>
  <c r="G35" i="139"/>
  <c r="G34" i="139"/>
  <c r="G33" i="139"/>
  <c r="G32" i="139"/>
  <c r="G31" i="139"/>
  <c r="G30" i="139"/>
  <c r="G29" i="139"/>
  <c r="G28" i="139"/>
  <c r="E22" i="139"/>
  <c r="E21" i="139"/>
  <c r="E20" i="139"/>
  <c r="E19" i="139"/>
  <c r="E18" i="139"/>
  <c r="E17" i="139"/>
  <c r="E16" i="139"/>
  <c r="E15" i="139"/>
  <c r="E14" i="139"/>
  <c r="E13" i="139"/>
  <c r="E12" i="139"/>
  <c r="E11" i="139"/>
  <c r="D22" i="139"/>
  <c r="D21" i="139"/>
  <c r="D20" i="139"/>
  <c r="D19" i="139"/>
  <c r="D18" i="139"/>
  <c r="D17" i="139"/>
  <c r="D16" i="139"/>
  <c r="D15" i="139"/>
  <c r="D14" i="139"/>
  <c r="D13" i="139"/>
  <c r="D12" i="139"/>
  <c r="D11" i="139"/>
  <c r="C22" i="139"/>
  <c r="C21" i="139"/>
  <c r="C20" i="139"/>
  <c r="C19" i="139"/>
  <c r="C18" i="139"/>
  <c r="C17" i="139"/>
  <c r="C16" i="139"/>
  <c r="C15" i="139"/>
  <c r="C14" i="139"/>
  <c r="C13" i="139"/>
  <c r="C12" i="139"/>
  <c r="C11" i="139"/>
  <c r="A12" i="139"/>
  <c r="A37" i="139"/>
  <c r="C41" i="139"/>
  <c r="D41" i="139"/>
  <c r="E41" i="139"/>
  <c r="F41" i="139"/>
  <c r="I41" i="139"/>
  <c r="K41" i="139"/>
  <c r="J15" i="63"/>
  <c r="L15" i="63" s="1"/>
  <c r="E15" i="63"/>
  <c r="D15" i="63"/>
  <c r="G29" i="138"/>
  <c r="K15" i="65"/>
  <c r="O15" i="65" s="1"/>
  <c r="E15" i="65"/>
  <c r="D15" i="65"/>
  <c r="N15" i="67"/>
  <c r="L15" i="67"/>
  <c r="K15" i="67"/>
  <c r="O15" i="67" s="1"/>
  <c r="E15" i="67"/>
  <c r="D15" i="67"/>
  <c r="K15" i="66"/>
  <c r="N15" i="66" s="1"/>
  <c r="E15" i="66"/>
  <c r="D15" i="66"/>
  <c r="V72" i="138"/>
  <c r="U72" i="138"/>
  <c r="U61" i="138"/>
  <c r="U56" i="138"/>
  <c r="U51" i="138"/>
  <c r="V51" i="138" s="1"/>
  <c r="S72" i="138"/>
  <c r="R72" i="138" s="1"/>
  <c r="S61" i="138"/>
  <c r="R61" i="138" s="1"/>
  <c r="S56" i="138"/>
  <c r="S51" i="138"/>
  <c r="Q72" i="138"/>
  <c r="Q61" i="138"/>
  <c r="P61" i="138" s="1"/>
  <c r="Q56" i="138"/>
  <c r="Q51" i="138"/>
  <c r="O72" i="138"/>
  <c r="N72" i="138" s="1"/>
  <c r="O61" i="138"/>
  <c r="N61" i="138" s="1"/>
  <c r="O56" i="138"/>
  <c r="O51" i="138"/>
  <c r="M72" i="138"/>
  <c r="M61" i="138"/>
  <c r="K61" i="138" s="1"/>
  <c r="M56" i="138"/>
  <c r="M51" i="138"/>
  <c r="J72" i="138"/>
  <c r="G72" i="138"/>
  <c r="E72" i="138"/>
  <c r="D72" i="138"/>
  <c r="V71" i="138"/>
  <c r="T71" i="138"/>
  <c r="R71" i="138"/>
  <c r="P71" i="138"/>
  <c r="N71" i="138"/>
  <c r="K71" i="138"/>
  <c r="H71" i="138"/>
  <c r="V70" i="138"/>
  <c r="T70" i="138"/>
  <c r="R70" i="138"/>
  <c r="P70" i="138"/>
  <c r="N70" i="138"/>
  <c r="K70" i="138"/>
  <c r="H70" i="138"/>
  <c r="V69" i="138"/>
  <c r="T69" i="138"/>
  <c r="R69" i="138"/>
  <c r="P69" i="138"/>
  <c r="N69" i="138"/>
  <c r="K69" i="138"/>
  <c r="H69" i="138"/>
  <c r="V68" i="138"/>
  <c r="T68" i="138"/>
  <c r="R68" i="138"/>
  <c r="P68" i="138"/>
  <c r="N68" i="138"/>
  <c r="K68" i="138"/>
  <c r="H68" i="138"/>
  <c r="V67" i="138"/>
  <c r="T67" i="138"/>
  <c r="R67" i="138"/>
  <c r="P67" i="138"/>
  <c r="N67" i="138"/>
  <c r="K67" i="138"/>
  <c r="H67" i="138"/>
  <c r="V66" i="138"/>
  <c r="T66" i="138"/>
  <c r="R66" i="138"/>
  <c r="P66" i="138"/>
  <c r="N66" i="138"/>
  <c r="K66" i="138"/>
  <c r="H66" i="138"/>
  <c r="V65" i="138"/>
  <c r="T65" i="138"/>
  <c r="R65" i="138"/>
  <c r="P65" i="138"/>
  <c r="N65" i="138"/>
  <c r="K65" i="138"/>
  <c r="H65" i="138"/>
  <c r="T61" i="138"/>
  <c r="J61" i="138"/>
  <c r="H61" i="138" s="1"/>
  <c r="G61" i="138"/>
  <c r="E61" i="138"/>
  <c r="D61" i="138"/>
  <c r="V60" i="138"/>
  <c r="T60" i="138"/>
  <c r="R60" i="138"/>
  <c r="P60" i="138"/>
  <c r="N60" i="138"/>
  <c r="K60" i="138"/>
  <c r="H60" i="138"/>
  <c r="V59" i="138"/>
  <c r="T59" i="138"/>
  <c r="R59" i="138"/>
  <c r="P59" i="138"/>
  <c r="N59" i="138"/>
  <c r="K59" i="138"/>
  <c r="H59" i="138"/>
  <c r="V56" i="138"/>
  <c r="T56" i="138"/>
  <c r="R56" i="138"/>
  <c r="P56" i="138"/>
  <c r="N56" i="138"/>
  <c r="K56" i="138"/>
  <c r="J56" i="138"/>
  <c r="H56" i="138"/>
  <c r="G56" i="138"/>
  <c r="E56" i="138"/>
  <c r="D56" i="138"/>
  <c r="V55" i="138"/>
  <c r="T55" i="138"/>
  <c r="R55" i="138"/>
  <c r="P55" i="138"/>
  <c r="N55" i="138"/>
  <c r="K55" i="138"/>
  <c r="H55" i="138"/>
  <c r="V54" i="138"/>
  <c r="T54" i="138"/>
  <c r="R54" i="138"/>
  <c r="P54" i="138"/>
  <c r="N54" i="138"/>
  <c r="K54" i="138"/>
  <c r="H54" i="138"/>
  <c r="N51" i="138"/>
  <c r="J51" i="138"/>
  <c r="J62" i="138" s="1"/>
  <c r="G51" i="138"/>
  <c r="E51" i="138"/>
  <c r="E62" i="138" s="1"/>
  <c r="D51" i="138"/>
  <c r="V50" i="138"/>
  <c r="T50" i="138"/>
  <c r="R50" i="138"/>
  <c r="P50" i="138"/>
  <c r="N50" i="138"/>
  <c r="K50" i="138"/>
  <c r="H50" i="138"/>
  <c r="V49" i="138"/>
  <c r="T49" i="138"/>
  <c r="R49" i="138"/>
  <c r="P49" i="138"/>
  <c r="N49" i="138"/>
  <c r="K49" i="138"/>
  <c r="H49" i="138"/>
  <c r="V48" i="138"/>
  <c r="T48" i="138"/>
  <c r="R48" i="138"/>
  <c r="P48" i="138"/>
  <c r="N48" i="138"/>
  <c r="K48" i="138"/>
  <c r="H48" i="138"/>
  <c r="V47" i="138"/>
  <c r="T47" i="138"/>
  <c r="R47" i="138"/>
  <c r="P47" i="138"/>
  <c r="N47" i="138"/>
  <c r="K47" i="138"/>
  <c r="H47" i="138"/>
  <c r="V46" i="138"/>
  <c r="T46" i="138"/>
  <c r="R46" i="138"/>
  <c r="P46" i="138"/>
  <c r="N46" i="138"/>
  <c r="K46" i="138"/>
  <c r="H46" i="138"/>
  <c r="V45" i="138"/>
  <c r="T45" i="138"/>
  <c r="R45" i="138"/>
  <c r="P45" i="138"/>
  <c r="N45" i="138"/>
  <c r="K45" i="138"/>
  <c r="H45" i="138"/>
  <c r="V39" i="138"/>
  <c r="T39" i="138"/>
  <c r="R39" i="138"/>
  <c r="P39" i="138"/>
  <c r="N39" i="138"/>
  <c r="K39" i="138"/>
  <c r="H39" i="138"/>
  <c r="V38" i="138"/>
  <c r="T38" i="138"/>
  <c r="R38" i="138"/>
  <c r="P38" i="138"/>
  <c r="N38" i="138"/>
  <c r="K38" i="138"/>
  <c r="H38" i="138"/>
  <c r="V37" i="138"/>
  <c r="T37" i="138"/>
  <c r="R37" i="138"/>
  <c r="P37" i="138"/>
  <c r="N37" i="138"/>
  <c r="V36" i="138"/>
  <c r="R36" i="138"/>
  <c r="N36" i="138"/>
  <c r="V35" i="138"/>
  <c r="T35" i="138"/>
  <c r="R35" i="138"/>
  <c r="P35" i="138"/>
  <c r="N35" i="138"/>
  <c r="V34" i="138"/>
  <c r="T34" i="138"/>
  <c r="R34" i="138"/>
  <c r="P34" i="138"/>
  <c r="N34" i="138"/>
  <c r="V33" i="138"/>
  <c r="T33" i="138"/>
  <c r="R33" i="138"/>
  <c r="P33" i="138"/>
  <c r="N33" i="138"/>
  <c r="V32" i="138"/>
  <c r="T32" i="138"/>
  <c r="R32" i="138"/>
  <c r="P32" i="138"/>
  <c r="N32" i="138"/>
  <c r="V31" i="138"/>
  <c r="T31" i="138"/>
  <c r="R31" i="138"/>
  <c r="P31" i="138"/>
  <c r="N31" i="138"/>
  <c r="E40" i="138"/>
  <c r="E41" i="138" s="1"/>
  <c r="D40" i="138"/>
  <c r="D41" i="138" s="1"/>
  <c r="V29" i="138"/>
  <c r="T29" i="138"/>
  <c r="N29" i="138"/>
  <c r="V28" i="138"/>
  <c r="T28" i="138"/>
  <c r="R28" i="138"/>
  <c r="P28" i="138"/>
  <c r="N28" i="138"/>
  <c r="V27" i="138"/>
  <c r="T27" i="138"/>
  <c r="R27" i="138"/>
  <c r="P27" i="138"/>
  <c r="N27" i="138"/>
  <c r="V26" i="138"/>
  <c r="T26" i="138"/>
  <c r="R26" i="138"/>
  <c r="P26" i="138"/>
  <c r="N26" i="138"/>
  <c r="V25" i="138"/>
  <c r="T25" i="138"/>
  <c r="R25" i="138"/>
  <c r="P25" i="138"/>
  <c r="N25" i="138"/>
  <c r="V24" i="138"/>
  <c r="T24" i="138"/>
  <c r="R24" i="138"/>
  <c r="P24" i="138"/>
  <c r="N24" i="138"/>
  <c r="V23" i="138"/>
  <c r="T23" i="138"/>
  <c r="R23" i="138"/>
  <c r="P23" i="138"/>
  <c r="N23" i="138"/>
  <c r="V22" i="138"/>
  <c r="T22" i="138"/>
  <c r="R22" i="138"/>
  <c r="P22" i="138"/>
  <c r="N22" i="138"/>
  <c r="V21" i="138"/>
  <c r="T21" i="138"/>
  <c r="R21" i="138"/>
  <c r="P21" i="138"/>
  <c r="N21" i="138"/>
  <c r="T20" i="138"/>
  <c r="S30" i="138"/>
  <c r="Q30" i="138"/>
  <c r="Q40" i="138" s="1"/>
  <c r="N20" i="138"/>
  <c r="M30" i="138"/>
  <c r="V16" i="138"/>
  <c r="T16" i="138"/>
  <c r="R16" i="138"/>
  <c r="P16" i="138"/>
  <c r="N16" i="138"/>
  <c r="O14" i="138"/>
  <c r="Q14" i="138" s="1"/>
  <c r="S14" i="138" s="1"/>
  <c r="U14" i="138" s="1"/>
  <c r="T10" i="138"/>
  <c r="A9" i="138"/>
  <c r="A8" i="138"/>
  <c r="A2" i="138"/>
  <c r="A1" i="138"/>
  <c r="E53" i="62"/>
  <c r="E45" i="62"/>
  <c r="W23" i="62"/>
  <c r="U23" i="62"/>
  <c r="S23" i="62"/>
  <c r="Q23" i="62"/>
  <c r="O23" i="62"/>
  <c r="L23" i="62"/>
  <c r="I23" i="62"/>
  <c r="O26" i="57"/>
  <c r="I26" i="57"/>
  <c r="K26" i="57" s="1"/>
  <c r="O25" i="57"/>
  <c r="Q25" i="57" s="1"/>
  <c r="I25" i="57"/>
  <c r="K25" i="57" s="1"/>
  <c r="O24" i="57"/>
  <c r="Q24" i="57" s="1"/>
  <c r="I24" i="57"/>
  <c r="K24" i="57" s="1"/>
  <c r="O23" i="57"/>
  <c r="Q23" i="57" s="1"/>
  <c r="I23" i="57"/>
  <c r="K23" i="57" s="1"/>
  <c r="O20" i="57"/>
  <c r="Q20" i="57" s="1"/>
  <c r="I20" i="57"/>
  <c r="K20" i="57" s="1"/>
  <c r="O19" i="57"/>
  <c r="Q19" i="57" s="1"/>
  <c r="I19" i="57"/>
  <c r="K19" i="57" s="1"/>
  <c r="O18" i="57"/>
  <c r="Q18" i="57" s="1"/>
  <c r="I18" i="57"/>
  <c r="K18" i="57" s="1"/>
  <c r="A7" i="57"/>
  <c r="I26" i="56"/>
  <c r="K26" i="56"/>
  <c r="AA132" i="55"/>
  <c r="Z132" i="55"/>
  <c r="X132" i="55"/>
  <c r="W132" i="55"/>
  <c r="V132" i="55"/>
  <c r="U132" i="55"/>
  <c r="T132" i="55"/>
  <c r="S132" i="55"/>
  <c r="R132" i="55"/>
  <c r="Y132" i="55"/>
  <c r="Q132" i="55"/>
  <c r="P132" i="55"/>
  <c r="O131" i="55"/>
  <c r="O130" i="55"/>
  <c r="O129" i="55"/>
  <c r="O128" i="55"/>
  <c r="O127" i="55"/>
  <c r="AA124" i="55"/>
  <c r="Z124" i="55"/>
  <c r="Y124" i="55"/>
  <c r="X124" i="55"/>
  <c r="W124" i="55"/>
  <c r="V124" i="55"/>
  <c r="U124" i="55"/>
  <c r="T124" i="55"/>
  <c r="S124" i="55"/>
  <c r="R124" i="55"/>
  <c r="Q124" i="55"/>
  <c r="P124" i="55"/>
  <c r="O123" i="55"/>
  <c r="O124" i="55" s="1"/>
  <c r="AA120" i="55"/>
  <c r="Z120" i="55"/>
  <c r="Y120" i="55"/>
  <c r="X120" i="55"/>
  <c r="W120" i="55"/>
  <c r="V120" i="55"/>
  <c r="U120" i="55"/>
  <c r="T120" i="55"/>
  <c r="S120" i="55"/>
  <c r="R120" i="55"/>
  <c r="Q120" i="55"/>
  <c r="P120" i="55"/>
  <c r="O119" i="55"/>
  <c r="O120" i="55" s="1"/>
  <c r="AA116" i="55"/>
  <c r="Z116" i="55"/>
  <c r="Y116" i="55"/>
  <c r="X116" i="55"/>
  <c r="W116" i="55"/>
  <c r="V116" i="55"/>
  <c r="U116" i="55"/>
  <c r="T116" i="55"/>
  <c r="S116" i="55"/>
  <c r="R116" i="55"/>
  <c r="Q116" i="55"/>
  <c r="P116" i="55"/>
  <c r="O115" i="55"/>
  <c r="Y109" i="55"/>
  <c r="Q100" i="55"/>
  <c r="AA100" i="55"/>
  <c r="Z100" i="55"/>
  <c r="Y100" i="55"/>
  <c r="X100" i="55"/>
  <c r="W100" i="55"/>
  <c r="V100" i="55"/>
  <c r="U100" i="55"/>
  <c r="T100" i="55"/>
  <c r="O99" i="55"/>
  <c r="O98" i="55"/>
  <c r="O97" i="55"/>
  <c r="O96" i="55"/>
  <c r="O95" i="55"/>
  <c r="O94" i="55"/>
  <c r="R100" i="55"/>
  <c r="O92" i="55"/>
  <c r="O91" i="55"/>
  <c r="O90" i="55"/>
  <c r="O89" i="55"/>
  <c r="O88" i="55"/>
  <c r="O87" i="55"/>
  <c r="O86" i="55"/>
  <c r="O85" i="55"/>
  <c r="O84" i="55"/>
  <c r="O83" i="55"/>
  <c r="O82" i="55"/>
  <c r="O81" i="55"/>
  <c r="O80" i="55"/>
  <c r="O79" i="55"/>
  <c r="O78" i="55"/>
  <c r="AA75" i="55"/>
  <c r="Z75" i="55"/>
  <c r="Y75" i="55"/>
  <c r="X75" i="55"/>
  <c r="W75" i="55"/>
  <c r="V75" i="55"/>
  <c r="U75" i="55"/>
  <c r="T75" i="55"/>
  <c r="S75" i="55"/>
  <c r="R75" i="55"/>
  <c r="Q75" i="55"/>
  <c r="P75" i="55"/>
  <c r="O74" i="55"/>
  <c r="O75" i="55" s="1"/>
  <c r="E22" i="55" s="1"/>
  <c r="AA71" i="55"/>
  <c r="Z71" i="55"/>
  <c r="Y71" i="55"/>
  <c r="X71" i="55"/>
  <c r="W71" i="55"/>
  <c r="V71" i="55"/>
  <c r="U71" i="55"/>
  <c r="T71" i="55"/>
  <c r="S71" i="55"/>
  <c r="R71" i="55"/>
  <c r="Q71" i="55"/>
  <c r="P71" i="55"/>
  <c r="O70" i="55"/>
  <c r="O71" i="55" s="1"/>
  <c r="E20" i="55" s="1"/>
  <c r="AA67" i="55"/>
  <c r="Z67" i="55"/>
  <c r="Y67" i="55"/>
  <c r="X67" i="55"/>
  <c r="W67" i="55"/>
  <c r="V67" i="55"/>
  <c r="U67" i="55"/>
  <c r="T67" i="55"/>
  <c r="S67" i="55"/>
  <c r="R67" i="55"/>
  <c r="Q67" i="55"/>
  <c r="P67" i="55"/>
  <c r="O66" i="55"/>
  <c r="H97" i="54"/>
  <c r="H100" i="54" s="1"/>
  <c r="O57" i="54"/>
  <c r="J22" i="54" s="1"/>
  <c r="V68" i="54"/>
  <c r="O66" i="54"/>
  <c r="R68" i="54"/>
  <c r="P62" i="54"/>
  <c r="Q62" i="54"/>
  <c r="R62" i="54"/>
  <c r="S62" i="54"/>
  <c r="T62" i="54"/>
  <c r="U62" i="54"/>
  <c r="V62" i="54"/>
  <c r="W62" i="54"/>
  <c r="W68" i="54" s="1"/>
  <c r="X62" i="54"/>
  <c r="X68" i="54" s="1"/>
  <c r="Y62" i="54"/>
  <c r="Y68" i="54" s="1"/>
  <c r="Z62" i="54"/>
  <c r="Z68" i="54" s="1"/>
  <c r="AA62" i="54"/>
  <c r="AA68" i="54" s="1"/>
  <c r="O60" i="54"/>
  <c r="G24" i="54" s="1"/>
  <c r="O61" i="54"/>
  <c r="H24" i="54" s="1"/>
  <c r="H30" i="54" s="1"/>
  <c r="H33" i="54" s="1"/>
  <c r="M22" i="52"/>
  <c r="G22" i="52"/>
  <c r="O20" i="52"/>
  <c r="Q20" i="52" s="1"/>
  <c r="I20" i="52"/>
  <c r="K20" i="52" s="1"/>
  <c r="O19" i="52"/>
  <c r="Q19" i="52" s="1"/>
  <c r="I19" i="52"/>
  <c r="K19" i="52" s="1"/>
  <c r="O18" i="52"/>
  <c r="Q18" i="52" s="1"/>
  <c r="I18" i="52"/>
  <c r="K18" i="52" s="1"/>
  <c r="M58" i="50"/>
  <c r="O56" i="50"/>
  <c r="Q56" i="50" s="1"/>
  <c r="I56" i="50"/>
  <c r="K56" i="50" s="1"/>
  <c r="G58" i="50"/>
  <c r="O55" i="50"/>
  <c r="Q55" i="50" s="1"/>
  <c r="I55" i="50"/>
  <c r="K55" i="50" s="1"/>
  <c r="O53" i="50"/>
  <c r="Q53" i="50" s="1"/>
  <c r="I53" i="50"/>
  <c r="K53" i="50" s="1"/>
  <c r="O52" i="50"/>
  <c r="Q52" i="50" s="1"/>
  <c r="I52" i="50"/>
  <c r="K52" i="50" s="1"/>
  <c r="O51" i="50"/>
  <c r="Q51" i="50" s="1"/>
  <c r="I51" i="50"/>
  <c r="K51" i="50" s="1"/>
  <c r="O50" i="50"/>
  <c r="Q50" i="50" s="1"/>
  <c r="I50" i="50"/>
  <c r="K50" i="50" s="1"/>
  <c r="O49" i="50"/>
  <c r="Q49" i="50" s="1"/>
  <c r="I49" i="50"/>
  <c r="K49" i="50" s="1"/>
  <c r="O48" i="50"/>
  <c r="Q48" i="50" s="1"/>
  <c r="I48" i="50"/>
  <c r="K48" i="50" s="1"/>
  <c r="O47" i="50"/>
  <c r="Q47" i="50" s="1"/>
  <c r="I47" i="50"/>
  <c r="K47" i="50" s="1"/>
  <c r="O46" i="50"/>
  <c r="Q46" i="50" s="1"/>
  <c r="I46" i="50"/>
  <c r="K46" i="50" s="1"/>
  <c r="O45" i="50"/>
  <c r="Q45" i="50" s="1"/>
  <c r="I45" i="50"/>
  <c r="K45" i="50" s="1"/>
  <c r="O44" i="50"/>
  <c r="Q44" i="50" s="1"/>
  <c r="I44" i="50"/>
  <c r="K44" i="50" s="1"/>
  <c r="O42" i="50"/>
  <c r="Q42" i="50" s="1"/>
  <c r="I42" i="50"/>
  <c r="K42" i="50" s="1"/>
  <c r="O41" i="50"/>
  <c r="Q41" i="50" s="1"/>
  <c r="I41" i="50"/>
  <c r="K41" i="50" s="1"/>
  <c r="O40" i="50"/>
  <c r="Q40" i="50" s="1"/>
  <c r="I40" i="50"/>
  <c r="K40" i="50" s="1"/>
  <c r="O39" i="50"/>
  <c r="Q39" i="50" s="1"/>
  <c r="I39" i="50"/>
  <c r="K39" i="50" s="1"/>
  <c r="O38" i="50"/>
  <c r="Q38" i="50" s="1"/>
  <c r="I38" i="50"/>
  <c r="K38" i="50" s="1"/>
  <c r="O37" i="50"/>
  <c r="Q37" i="50" s="1"/>
  <c r="I37" i="50"/>
  <c r="K37" i="50" s="1"/>
  <c r="O35" i="50"/>
  <c r="Q35" i="50" s="1"/>
  <c r="I35" i="50"/>
  <c r="K35" i="50" s="1"/>
  <c r="O34" i="50"/>
  <c r="Q34" i="50" s="1"/>
  <c r="I34" i="50"/>
  <c r="K34" i="50" s="1"/>
  <c r="O33" i="50"/>
  <c r="Q33" i="50" s="1"/>
  <c r="I33" i="50"/>
  <c r="K33" i="50" s="1"/>
  <c r="O32" i="50"/>
  <c r="Q32" i="50" s="1"/>
  <c r="I32" i="50"/>
  <c r="K32" i="50" s="1"/>
  <c r="O31" i="50"/>
  <c r="Q31" i="50" s="1"/>
  <c r="I31" i="50"/>
  <c r="K31" i="50" s="1"/>
  <c r="O30" i="50"/>
  <c r="Q30" i="50" s="1"/>
  <c r="I30" i="50"/>
  <c r="K30" i="50" s="1"/>
  <c r="O29" i="50"/>
  <c r="Q29" i="50" s="1"/>
  <c r="I29" i="50"/>
  <c r="K29" i="50" s="1"/>
  <c r="O28" i="50"/>
  <c r="Q28" i="50" s="1"/>
  <c r="I28" i="50"/>
  <c r="K28" i="50" s="1"/>
  <c r="O26" i="50"/>
  <c r="Q26" i="50" s="1"/>
  <c r="I26" i="50"/>
  <c r="K26" i="50" s="1"/>
  <c r="O25" i="50"/>
  <c r="Q25" i="50" s="1"/>
  <c r="I25" i="50"/>
  <c r="K25" i="50" s="1"/>
  <c r="O24" i="50"/>
  <c r="Q24" i="50" s="1"/>
  <c r="I24" i="50"/>
  <c r="K24" i="50" s="1"/>
  <c r="O23" i="50"/>
  <c r="Q23" i="50" s="1"/>
  <c r="I23" i="50"/>
  <c r="K23" i="50" s="1"/>
  <c r="O22" i="50"/>
  <c r="Q22" i="50" s="1"/>
  <c r="I22" i="50"/>
  <c r="K22" i="50" s="1"/>
  <c r="O21" i="50"/>
  <c r="Q21" i="50" s="1"/>
  <c r="I21" i="50"/>
  <c r="K21" i="50" s="1"/>
  <c r="O20" i="50"/>
  <c r="Q20" i="50" s="1"/>
  <c r="I20" i="50"/>
  <c r="K20" i="50" s="1"/>
  <c r="O19" i="50"/>
  <c r="Q19" i="50" s="1"/>
  <c r="I19" i="50"/>
  <c r="K19" i="50" s="1"/>
  <c r="O18" i="50"/>
  <c r="Q18" i="50" s="1"/>
  <c r="I18" i="50"/>
  <c r="K18" i="50" s="1"/>
  <c r="M37" i="49"/>
  <c r="G37" i="49"/>
  <c r="O36" i="49"/>
  <c r="Q36" i="49" s="1"/>
  <c r="I36" i="49"/>
  <c r="K36" i="49" s="1"/>
  <c r="O35" i="49"/>
  <c r="Q35" i="49" s="1"/>
  <c r="I35" i="49"/>
  <c r="K35" i="49" s="1"/>
  <c r="O34" i="49"/>
  <c r="Q34" i="49" s="1"/>
  <c r="I34" i="49"/>
  <c r="K34" i="49" s="1"/>
  <c r="O33" i="49"/>
  <c r="Q33" i="49" s="1"/>
  <c r="I33" i="49"/>
  <c r="K33" i="49" s="1"/>
  <c r="O32" i="49"/>
  <c r="Q32" i="49" s="1"/>
  <c r="I32" i="49"/>
  <c r="K32" i="49" s="1"/>
  <c r="O31" i="49"/>
  <c r="Q31" i="49" s="1"/>
  <c r="I31" i="49"/>
  <c r="K31" i="49" s="1"/>
  <c r="O30" i="49"/>
  <c r="Q30" i="49" s="1"/>
  <c r="I30" i="49"/>
  <c r="K30" i="49" s="1"/>
  <c r="O29" i="49"/>
  <c r="Q29" i="49" s="1"/>
  <c r="I29" i="49"/>
  <c r="K29" i="49" s="1"/>
  <c r="O25" i="49"/>
  <c r="Q25" i="49" s="1"/>
  <c r="I25" i="49"/>
  <c r="K25" i="49" s="1"/>
  <c r="O24" i="49"/>
  <c r="Q24" i="49" s="1"/>
  <c r="I24" i="49"/>
  <c r="K24" i="49" s="1"/>
  <c r="O23" i="49"/>
  <c r="Q23" i="49" s="1"/>
  <c r="I23" i="49"/>
  <c r="K23" i="49" s="1"/>
  <c r="O22" i="49"/>
  <c r="Q22" i="49" s="1"/>
  <c r="I22" i="49"/>
  <c r="K22" i="49" s="1"/>
  <c r="O21" i="49"/>
  <c r="Q21" i="49" s="1"/>
  <c r="I21" i="49"/>
  <c r="K21" i="49" s="1"/>
  <c r="O20" i="49"/>
  <c r="Q20" i="49" s="1"/>
  <c r="I20" i="49"/>
  <c r="K20" i="49" s="1"/>
  <c r="O19" i="49"/>
  <c r="Q19" i="49" s="1"/>
  <c r="I19" i="49"/>
  <c r="K19" i="49" s="1"/>
  <c r="O18" i="49"/>
  <c r="Q18" i="49" s="1"/>
  <c r="I18" i="49"/>
  <c r="K18" i="49" s="1"/>
  <c r="J31" i="14"/>
  <c r="G24" i="14"/>
  <c r="G25" i="14"/>
  <c r="L25" i="14" s="1"/>
  <c r="N25" i="14" s="1"/>
  <c r="P25" i="14" s="1"/>
  <c r="J74" i="14"/>
  <c r="J80" i="14"/>
  <c r="F97" i="15"/>
  <c r="S98" i="15"/>
  <c r="R97" i="15"/>
  <c r="Q97" i="15"/>
  <c r="P97" i="15"/>
  <c r="O97" i="15"/>
  <c r="N97" i="15"/>
  <c r="M97" i="15"/>
  <c r="L97" i="15"/>
  <c r="K97" i="15"/>
  <c r="J97" i="15"/>
  <c r="I97" i="15"/>
  <c r="H97" i="15"/>
  <c r="G97" i="15"/>
  <c r="T169" i="15"/>
  <c r="T168" i="15"/>
  <c r="R163" i="15"/>
  <c r="Q163" i="15"/>
  <c r="P163" i="15"/>
  <c r="O163" i="15"/>
  <c r="N163" i="15"/>
  <c r="M163" i="15"/>
  <c r="L163" i="15"/>
  <c r="K163" i="15"/>
  <c r="J163" i="15"/>
  <c r="I163" i="15"/>
  <c r="H163" i="15"/>
  <c r="G163" i="15"/>
  <c r="F162" i="15"/>
  <c r="S162" i="15" s="1"/>
  <c r="T162" i="15" s="1"/>
  <c r="F161" i="15"/>
  <c r="F160" i="15"/>
  <c r="S160" i="15" s="1"/>
  <c r="F154" i="15"/>
  <c r="F153" i="15"/>
  <c r="R145" i="15"/>
  <c r="Q145" i="15"/>
  <c r="P145" i="15"/>
  <c r="O145" i="15"/>
  <c r="N145" i="15"/>
  <c r="M145" i="15"/>
  <c r="L145" i="15"/>
  <c r="K145" i="15"/>
  <c r="J145" i="15"/>
  <c r="I145" i="15"/>
  <c r="H145" i="15"/>
  <c r="G145" i="15"/>
  <c r="F144" i="15"/>
  <c r="F143" i="15"/>
  <c r="F142" i="15"/>
  <c r="F141" i="15"/>
  <c r="F140" i="15"/>
  <c r="R137" i="15"/>
  <c r="Q137" i="15"/>
  <c r="P137" i="15"/>
  <c r="O137" i="15"/>
  <c r="N137" i="15"/>
  <c r="M137" i="15"/>
  <c r="L137" i="15"/>
  <c r="K137" i="15"/>
  <c r="J137" i="15"/>
  <c r="I137" i="15"/>
  <c r="H137" i="15"/>
  <c r="G137" i="15"/>
  <c r="F136" i="15"/>
  <c r="S136" i="15" s="1"/>
  <c r="T136" i="15" s="1"/>
  <c r="F135" i="15"/>
  <c r="S135" i="15" s="1"/>
  <c r="T135" i="15" s="1"/>
  <c r="F134" i="15"/>
  <c r="S134" i="15" s="1"/>
  <c r="T134" i="15" s="1"/>
  <c r="F133" i="15"/>
  <c r="S133" i="15" s="1"/>
  <c r="S130" i="15"/>
  <c r="T130" i="15" s="1"/>
  <c r="F126" i="15"/>
  <c r="F125" i="15"/>
  <c r="R117" i="15"/>
  <c r="Q117" i="15"/>
  <c r="P117" i="15"/>
  <c r="O117" i="15"/>
  <c r="N117" i="15"/>
  <c r="M117" i="15"/>
  <c r="L117" i="15"/>
  <c r="K117" i="15"/>
  <c r="J117" i="15"/>
  <c r="I117" i="15"/>
  <c r="H117" i="15"/>
  <c r="G117" i="15"/>
  <c r="F116" i="15"/>
  <c r="S116" i="15" s="1"/>
  <c r="F115" i="15"/>
  <c r="S115" i="15" s="1"/>
  <c r="F114" i="15"/>
  <c r="S114" i="15" s="1"/>
  <c r="F113" i="15"/>
  <c r="F111" i="15"/>
  <c r="S111" i="15" s="1"/>
  <c r="R108" i="15"/>
  <c r="Q108" i="15"/>
  <c r="P108" i="15"/>
  <c r="O108" i="15"/>
  <c r="N108" i="15"/>
  <c r="M108" i="15"/>
  <c r="L108" i="15"/>
  <c r="K108" i="15"/>
  <c r="J108" i="15"/>
  <c r="I108" i="15"/>
  <c r="H108" i="15"/>
  <c r="G108" i="15"/>
  <c r="F107" i="15"/>
  <c r="S107" i="15" s="1"/>
  <c r="T107" i="15" s="1"/>
  <c r="G74" i="14" s="1"/>
  <c r="F106" i="15"/>
  <c r="S106" i="15" s="1"/>
  <c r="T106" i="15" s="1"/>
  <c r="F105" i="15"/>
  <c r="S105" i="15" s="1"/>
  <c r="T105" i="15" s="1"/>
  <c r="F104" i="15"/>
  <c r="S104" i="15" s="1"/>
  <c r="O13" i="15"/>
  <c r="Q13" i="15" s="1"/>
  <c r="N13" i="15"/>
  <c r="Q69" i="15"/>
  <c r="P69" i="15"/>
  <c r="O69" i="15"/>
  <c r="N69" i="15"/>
  <c r="L69" i="15"/>
  <c r="K69" i="15"/>
  <c r="J69" i="15"/>
  <c r="I69" i="15"/>
  <c r="H69" i="15"/>
  <c r="G69" i="15"/>
  <c r="F69" i="15"/>
  <c r="Q61" i="15"/>
  <c r="P61" i="15"/>
  <c r="O61" i="15"/>
  <c r="N61" i="15"/>
  <c r="Q48" i="15"/>
  <c r="P48" i="15"/>
  <c r="O48" i="15"/>
  <c r="N48" i="15"/>
  <c r="L48" i="15"/>
  <c r="K48" i="15"/>
  <c r="J48" i="15"/>
  <c r="I48" i="15"/>
  <c r="H48" i="15"/>
  <c r="G48" i="15"/>
  <c r="F48" i="15"/>
  <c r="Q38" i="15"/>
  <c r="P38" i="15"/>
  <c r="O38" i="15"/>
  <c r="N38" i="15"/>
  <c r="Q33" i="15"/>
  <c r="P33" i="15"/>
  <c r="O33" i="15"/>
  <c r="N33" i="15"/>
  <c r="L33" i="15"/>
  <c r="K33" i="15"/>
  <c r="J33" i="15"/>
  <c r="I33" i="15"/>
  <c r="H33" i="15"/>
  <c r="G33" i="15"/>
  <c r="F33" i="15"/>
  <c r="Q24" i="15"/>
  <c r="P24" i="15"/>
  <c r="O24" i="15"/>
  <c r="N24" i="15"/>
  <c r="L24" i="15"/>
  <c r="K24" i="15"/>
  <c r="J24" i="15"/>
  <c r="I24" i="15"/>
  <c r="H24" i="15"/>
  <c r="G24" i="15"/>
  <c r="F24" i="15"/>
  <c r="G17" i="15"/>
  <c r="H17" i="15" s="1"/>
  <c r="I17" i="15" s="1"/>
  <c r="J17" i="15" s="1"/>
  <c r="K17" i="15" s="1"/>
  <c r="L17" i="15" s="1"/>
  <c r="N17" i="15" s="1"/>
  <c r="O17" i="15" s="1"/>
  <c r="P17" i="15" s="1"/>
  <c r="Q17" i="15" s="1"/>
  <c r="F101" i="15" s="1"/>
  <c r="G101" i="15" s="1"/>
  <c r="H101" i="15" s="1"/>
  <c r="I101" i="15" s="1"/>
  <c r="J101" i="15" s="1"/>
  <c r="K101" i="15" s="1"/>
  <c r="L101" i="15" s="1"/>
  <c r="M101" i="15" s="1"/>
  <c r="N101" i="15" s="1"/>
  <c r="O101" i="15" s="1"/>
  <c r="P101" i="15" s="1"/>
  <c r="Q101" i="15" s="1"/>
  <c r="R101" i="15" s="1"/>
  <c r="H72" i="138" l="1"/>
  <c r="K72" i="138"/>
  <c r="P72" i="138"/>
  <c r="T72" i="138"/>
  <c r="M13" i="139"/>
  <c r="O120" i="15"/>
  <c r="K120" i="15"/>
  <c r="G120" i="15"/>
  <c r="G148" i="15" s="1"/>
  <c r="G174" i="15" s="1"/>
  <c r="G175" i="15" s="1"/>
  <c r="G176" i="15" s="1"/>
  <c r="R120" i="15"/>
  <c r="M120" i="15"/>
  <c r="P120" i="15"/>
  <c r="L120" i="15"/>
  <c r="H120" i="15"/>
  <c r="N120" i="15"/>
  <c r="J120" i="15"/>
  <c r="Q120" i="15"/>
  <c r="I120" i="15"/>
  <c r="S113" i="15"/>
  <c r="G119" i="15"/>
  <c r="G121" i="15" s="1"/>
  <c r="G122" i="15"/>
  <c r="T167" i="15"/>
  <c r="S171" i="15"/>
  <c r="T141" i="15"/>
  <c r="G147" i="15"/>
  <c r="T142" i="15"/>
  <c r="T143" i="15"/>
  <c r="T144" i="15"/>
  <c r="N28" i="139"/>
  <c r="N32" i="139"/>
  <c r="N36" i="139"/>
  <c r="L24" i="139"/>
  <c r="K24" i="139"/>
  <c r="F155" i="15"/>
  <c r="U134" i="55"/>
  <c r="U30" i="138"/>
  <c r="U40" i="138" s="1"/>
  <c r="U41" i="138" s="1"/>
  <c r="O15" i="66"/>
  <c r="M11" i="139"/>
  <c r="M15" i="139"/>
  <c r="M41" i="139"/>
  <c r="F145" i="15"/>
  <c r="F150" i="15" s="1"/>
  <c r="R20" i="138"/>
  <c r="V20" i="138"/>
  <c r="P29" i="138"/>
  <c r="D62" i="138"/>
  <c r="D73" i="138" s="1"/>
  <c r="V61" i="138"/>
  <c r="L15" i="66"/>
  <c r="L15" i="65"/>
  <c r="D24" i="139"/>
  <c r="N29" i="139"/>
  <c r="N33" i="139"/>
  <c r="N37" i="139"/>
  <c r="T140" i="15"/>
  <c r="G185" i="15"/>
  <c r="K185" i="15"/>
  <c r="O185" i="15"/>
  <c r="O30" i="138"/>
  <c r="O40" i="138" s="1"/>
  <c r="P40" i="138" s="1"/>
  <c r="M62" i="138"/>
  <c r="O62" i="138"/>
  <c r="Q62" i="138"/>
  <c r="S62" i="138"/>
  <c r="U62" i="138"/>
  <c r="M15" i="66"/>
  <c r="M15" i="65"/>
  <c r="N30" i="139"/>
  <c r="N34" i="139"/>
  <c r="N38" i="139"/>
  <c r="P13" i="15"/>
  <c r="F163" i="15"/>
  <c r="Q134" i="55"/>
  <c r="P20" i="138"/>
  <c r="M18" i="139"/>
  <c r="N31" i="139"/>
  <c r="N35" i="139"/>
  <c r="N39" i="139"/>
  <c r="K37" i="49"/>
  <c r="Q37" i="49"/>
  <c r="K58" i="50"/>
  <c r="I24" i="139"/>
  <c r="E24" i="139"/>
  <c r="G41" i="139"/>
  <c r="J41" i="139"/>
  <c r="C24" i="139"/>
  <c r="M15" i="63"/>
  <c r="N15" i="63"/>
  <c r="K15" i="63"/>
  <c r="N15" i="65"/>
  <c r="M15" i="67"/>
  <c r="R51" i="138"/>
  <c r="H51" i="138"/>
  <c r="Q41" i="138"/>
  <c r="S40" i="138"/>
  <c r="R30" i="138"/>
  <c r="E73" i="138"/>
  <c r="M40" i="138"/>
  <c r="R29" i="138"/>
  <c r="P36" i="138"/>
  <c r="T36" i="138"/>
  <c r="K51" i="138"/>
  <c r="P51" i="138"/>
  <c r="T51" i="138"/>
  <c r="G62" i="138"/>
  <c r="H62" i="138" s="1"/>
  <c r="P62" i="138"/>
  <c r="T62" i="138"/>
  <c r="Q22" i="52"/>
  <c r="L31" i="14"/>
  <c r="K28" i="57"/>
  <c r="L74" i="14"/>
  <c r="N74" i="14" s="1"/>
  <c r="P74" i="14" s="1"/>
  <c r="Q28" i="57"/>
  <c r="Q26" i="57"/>
  <c r="M28" i="57"/>
  <c r="O116" i="55"/>
  <c r="X134" i="55"/>
  <c r="Y134" i="55"/>
  <c r="Z134" i="55"/>
  <c r="T134" i="55"/>
  <c r="R134" i="55"/>
  <c r="V134" i="55"/>
  <c r="AA134" i="55"/>
  <c r="P134" i="55"/>
  <c r="S134" i="55"/>
  <c r="W134" i="55"/>
  <c r="O132" i="55"/>
  <c r="E52" i="55" s="1"/>
  <c r="T102" i="55"/>
  <c r="X102" i="55"/>
  <c r="U102" i="55"/>
  <c r="O67" i="55"/>
  <c r="E18" i="55" s="1"/>
  <c r="O93" i="55"/>
  <c r="V102" i="55"/>
  <c r="Z102" i="55"/>
  <c r="Y102" i="55"/>
  <c r="R102" i="55"/>
  <c r="W102" i="55"/>
  <c r="AA102" i="55"/>
  <c r="Q102" i="55"/>
  <c r="S100" i="55"/>
  <c r="S102" i="55" s="1"/>
  <c r="P100" i="55"/>
  <c r="P102" i="55" s="1"/>
  <c r="P68" i="54"/>
  <c r="T68" i="54"/>
  <c r="Q68" i="54"/>
  <c r="U68" i="54"/>
  <c r="O64" i="54"/>
  <c r="S68" i="54"/>
  <c r="O62" i="54"/>
  <c r="K22" i="52"/>
  <c r="Q58" i="50"/>
  <c r="T160" i="15"/>
  <c r="S108" i="15"/>
  <c r="T104" i="15"/>
  <c r="T108" i="15" s="1"/>
  <c r="T117" i="15"/>
  <c r="S117" i="15"/>
  <c r="T133" i="15"/>
  <c r="T137" i="15" s="1"/>
  <c r="S137" i="15"/>
  <c r="S101" i="15"/>
  <c r="T101" i="15" s="1"/>
  <c r="T166" i="15"/>
  <c r="F117" i="15"/>
  <c r="F122" i="15" s="1"/>
  <c r="H185" i="15"/>
  <c r="L185" i="15"/>
  <c r="P185" i="15"/>
  <c r="F127" i="15"/>
  <c r="F137" i="15"/>
  <c r="S161" i="15"/>
  <c r="T161" i="15" s="1"/>
  <c r="I185" i="15"/>
  <c r="M185" i="15"/>
  <c r="Q185" i="15"/>
  <c r="F108" i="15"/>
  <c r="J185" i="15"/>
  <c r="N185" i="15"/>
  <c r="R185" i="15"/>
  <c r="N30" i="138" l="1"/>
  <c r="P30" i="138"/>
  <c r="T30" i="138"/>
  <c r="V30" i="138"/>
  <c r="T171" i="15"/>
  <c r="N148" i="15"/>
  <c r="N121" i="15"/>
  <c r="N122" i="15" s="1"/>
  <c r="M148" i="15"/>
  <c r="M121" i="15"/>
  <c r="M122" i="15" s="1"/>
  <c r="O148" i="15"/>
  <c r="O121" i="15"/>
  <c r="O122" i="15" s="1"/>
  <c r="I148" i="15"/>
  <c r="I121" i="15"/>
  <c r="I122" i="15" s="1"/>
  <c r="H148" i="15"/>
  <c r="H121" i="15"/>
  <c r="H122" i="15" s="1"/>
  <c r="R148" i="15"/>
  <c r="R121" i="15"/>
  <c r="Q148" i="15"/>
  <c r="Q121" i="15"/>
  <c r="Q122" i="15" s="1"/>
  <c r="L148" i="15"/>
  <c r="L121" i="15"/>
  <c r="L122" i="15" s="1"/>
  <c r="J148" i="15"/>
  <c r="J121" i="15"/>
  <c r="J122" i="15" s="1"/>
  <c r="P148" i="15"/>
  <c r="P121" i="15"/>
  <c r="P122" i="15" s="1"/>
  <c r="K148" i="15"/>
  <c r="K121" i="15"/>
  <c r="K122" i="15" s="1"/>
  <c r="G149" i="15"/>
  <c r="G150" i="15" s="1"/>
  <c r="T145" i="15"/>
  <c r="N41" i="139"/>
  <c r="O134" i="55"/>
  <c r="K62" i="138"/>
  <c r="Q73" i="138"/>
  <c r="U73" i="138"/>
  <c r="T163" i="15"/>
  <c r="M24" i="139"/>
  <c r="J24" i="139"/>
  <c r="R40" i="138"/>
  <c r="S41" i="138"/>
  <c r="S73" i="138" s="1"/>
  <c r="M41" i="138"/>
  <c r="M73" i="138" s="1"/>
  <c r="R62" i="138"/>
  <c r="V40" i="138"/>
  <c r="N40" i="138"/>
  <c r="O41" i="138"/>
  <c r="P41" i="138" s="1"/>
  <c r="V62" i="138"/>
  <c r="T40" i="138"/>
  <c r="N62" i="138"/>
  <c r="O100" i="55"/>
  <c r="S163" i="15"/>
  <c r="G127" i="15"/>
  <c r="G155" i="15"/>
  <c r="F185" i="15"/>
  <c r="F176" i="15"/>
  <c r="T41" i="138" l="1"/>
  <c r="T185" i="15"/>
  <c r="L149" i="15"/>
  <c r="L150" i="15" s="1"/>
  <c r="L174" i="15"/>
  <c r="L175" i="15" s="1"/>
  <c r="L176" i="15" s="1"/>
  <c r="R174" i="15"/>
  <c r="R175" i="15" s="1"/>
  <c r="R176" i="15" s="1"/>
  <c r="T176" i="15" s="1"/>
  <c r="R149" i="15"/>
  <c r="R150" i="15" s="1"/>
  <c r="T150" i="15" s="1"/>
  <c r="M174" i="15"/>
  <c r="M175" i="15" s="1"/>
  <c r="M176" i="15" s="1"/>
  <c r="M149" i="15"/>
  <c r="M150" i="15" s="1"/>
  <c r="T121" i="15"/>
  <c r="R122" i="15"/>
  <c r="G78" i="14" s="1"/>
  <c r="P149" i="15"/>
  <c r="P150" i="15" s="1"/>
  <c r="P174" i="15"/>
  <c r="P175" i="15" s="1"/>
  <c r="P176" i="15" s="1"/>
  <c r="I174" i="15"/>
  <c r="I175" i="15" s="1"/>
  <c r="I176" i="15" s="1"/>
  <c r="I149" i="15"/>
  <c r="I150" i="15" s="1"/>
  <c r="K149" i="15"/>
  <c r="K150" i="15" s="1"/>
  <c r="K174" i="15"/>
  <c r="K175" i="15" s="1"/>
  <c r="K176" i="15" s="1"/>
  <c r="J174" i="15"/>
  <c r="J175" i="15" s="1"/>
  <c r="J176" i="15" s="1"/>
  <c r="J149" i="15"/>
  <c r="J150" i="15" s="1"/>
  <c r="Q174" i="15"/>
  <c r="Q175" i="15" s="1"/>
  <c r="Q176" i="15" s="1"/>
  <c r="Q149" i="15"/>
  <c r="Q150" i="15" s="1"/>
  <c r="H174" i="15"/>
  <c r="H175" i="15" s="1"/>
  <c r="H176" i="15" s="1"/>
  <c r="H149" i="15"/>
  <c r="H150" i="15" s="1"/>
  <c r="O149" i="15"/>
  <c r="O150" i="15" s="1"/>
  <c r="O174" i="15"/>
  <c r="O175" i="15" s="1"/>
  <c r="O176" i="15" s="1"/>
  <c r="N174" i="15"/>
  <c r="N175" i="15" s="1"/>
  <c r="N176" i="15" s="1"/>
  <c r="N149" i="15"/>
  <c r="N150" i="15" s="1"/>
  <c r="O102" i="55"/>
  <c r="E24" i="55"/>
  <c r="T122" i="15"/>
  <c r="O73" i="138"/>
  <c r="N41" i="138"/>
  <c r="P73" i="138"/>
  <c r="R41" i="138"/>
  <c r="T73" i="138"/>
  <c r="V41" i="138"/>
  <c r="V73" i="138"/>
  <c r="H155" i="15"/>
  <c r="H127" i="15"/>
  <c r="R73" i="138" l="1"/>
  <c r="N73" i="138"/>
  <c r="I127" i="15"/>
  <c r="I155" i="15"/>
  <c r="J155" i="15" l="1"/>
  <c r="J127" i="15"/>
  <c r="K127" i="15" l="1"/>
  <c r="K155" i="15"/>
  <c r="L155" i="15" l="1"/>
  <c r="L127" i="15"/>
  <c r="M127" i="15" l="1"/>
  <c r="M155" i="15"/>
  <c r="N155" i="15" l="1"/>
  <c r="N127" i="15"/>
  <c r="O127" i="15" l="1"/>
  <c r="O155" i="15"/>
  <c r="P155" i="15" l="1"/>
  <c r="P127" i="15"/>
  <c r="Q127" i="15" l="1"/>
  <c r="Q155" i="15"/>
  <c r="R155" i="15" l="1"/>
  <c r="R127" i="15"/>
  <c r="S127" i="15" l="1"/>
  <c r="T127" i="15"/>
  <c r="AC234" i="15" s="1"/>
  <c r="S155" i="15"/>
  <c r="T155" i="15" l="1"/>
  <c r="G80" i="14"/>
  <c r="L80" i="14" s="1"/>
  <c r="H13" i="15"/>
  <c r="I13" i="15"/>
  <c r="J13" i="15"/>
  <c r="K13" i="15"/>
  <c r="L13" i="15"/>
  <c r="G13" i="15"/>
  <c r="DB424" i="13"/>
  <c r="DA424" i="13"/>
  <c r="CZ424" i="13"/>
  <c r="DB423" i="13"/>
  <c r="DA423" i="13"/>
  <c r="CZ423" i="13"/>
  <c r="DB422" i="13"/>
  <c r="DA422" i="13"/>
  <c r="CZ422" i="13"/>
  <c r="DB421" i="13"/>
  <c r="DA421" i="13"/>
  <c r="CZ421" i="13"/>
  <c r="DB420" i="13"/>
  <c r="DA420" i="13"/>
  <c r="CZ420" i="13"/>
  <c r="DB419" i="13"/>
  <c r="DA419" i="13"/>
  <c r="CZ419" i="13"/>
  <c r="DB418" i="13"/>
  <c r="DA418" i="13"/>
  <c r="CZ418" i="13"/>
  <c r="DB417" i="13"/>
  <c r="DA417" i="13"/>
  <c r="CZ417" i="13"/>
  <c r="DB416" i="13"/>
  <c r="DA416" i="13"/>
  <c r="CZ416" i="13"/>
  <c r="DB415" i="13"/>
  <c r="DA415" i="13"/>
  <c r="CZ415" i="13"/>
  <c r="DB414" i="13"/>
  <c r="DA414" i="13"/>
  <c r="CZ414" i="13"/>
  <c r="DB413" i="13"/>
  <c r="DA413" i="13"/>
  <c r="CZ413" i="13"/>
  <c r="DB412" i="13"/>
  <c r="DA412" i="13"/>
  <c r="CZ412" i="13"/>
  <c r="DB409" i="13"/>
  <c r="DA409" i="13"/>
  <c r="CZ409" i="13"/>
  <c r="DB408" i="13"/>
  <c r="DA408" i="13"/>
  <c r="CZ408" i="13"/>
  <c r="DB407" i="13"/>
  <c r="DA407" i="13"/>
  <c r="CZ407" i="13"/>
  <c r="DB406" i="13"/>
  <c r="DA406" i="13"/>
  <c r="CZ406" i="13"/>
  <c r="DB405" i="13"/>
  <c r="DA405" i="13"/>
  <c r="CZ405" i="13"/>
  <c r="DB404" i="13"/>
  <c r="DA404" i="13"/>
  <c r="CZ404" i="13"/>
  <c r="CS373" i="13"/>
  <c r="CQ373" i="13"/>
  <c r="CP373" i="13"/>
  <c r="CN373" i="13"/>
  <c r="CM373" i="13"/>
  <c r="CS372" i="13"/>
  <c r="CQ372" i="13"/>
  <c r="CP372" i="13"/>
  <c r="CN372" i="13"/>
  <c r="CM372" i="13"/>
  <c r="CS371" i="13"/>
  <c r="CQ371" i="13"/>
  <c r="CP371" i="13"/>
  <c r="CN371" i="13"/>
  <c r="CM371" i="13"/>
  <c r="CS370" i="13"/>
  <c r="CQ370" i="13"/>
  <c r="CP370" i="13"/>
  <c r="CN370" i="13"/>
  <c r="CM370" i="13"/>
  <c r="CS369" i="13"/>
  <c r="CQ369" i="13"/>
  <c r="CP369" i="13"/>
  <c r="CN369" i="13"/>
  <c r="CM369" i="13"/>
  <c r="CS368" i="13"/>
  <c r="CQ368" i="13"/>
  <c r="CP368" i="13"/>
  <c r="CN368" i="13"/>
  <c r="CM368" i="13"/>
  <c r="CS367" i="13"/>
  <c r="CQ367" i="13"/>
  <c r="CP367" i="13"/>
  <c r="CN367" i="13"/>
  <c r="CM367" i="13"/>
  <c r="CS366" i="13"/>
  <c r="CQ366" i="13"/>
  <c r="CP366" i="13"/>
  <c r="CN366" i="13"/>
  <c r="CM366" i="13"/>
  <c r="CS365" i="13"/>
  <c r="CQ365" i="13"/>
  <c r="CP365" i="13"/>
  <c r="CN365" i="13"/>
  <c r="CM365" i="13"/>
  <c r="CS364" i="13"/>
  <c r="CQ364" i="13"/>
  <c r="CP364" i="13"/>
  <c r="CN364" i="13"/>
  <c r="CM364" i="13"/>
  <c r="CS363" i="13"/>
  <c r="CQ363" i="13"/>
  <c r="CP363" i="13"/>
  <c r="CN363" i="13"/>
  <c r="CM363" i="13"/>
  <c r="CS362" i="13"/>
  <c r="CQ362" i="13"/>
  <c r="CP362" i="13"/>
  <c r="CN362" i="13"/>
  <c r="CM362" i="13"/>
  <c r="CS361" i="13"/>
  <c r="CQ361" i="13"/>
  <c r="CP361" i="13"/>
  <c r="CN361" i="13"/>
  <c r="CM361" i="13"/>
  <c r="CS358" i="13"/>
  <c r="CQ358" i="13"/>
  <c r="U72" i="12" s="1"/>
  <c r="CP358" i="13"/>
  <c r="U71" i="12" s="1"/>
  <c r="I24" i="12" s="1"/>
  <c r="CN358" i="13"/>
  <c r="CM358" i="13"/>
  <c r="CS357" i="13"/>
  <c r="CQ357" i="13"/>
  <c r="CP357" i="13"/>
  <c r="CN357" i="13"/>
  <c r="CM357" i="13"/>
  <c r="CS356" i="13"/>
  <c r="CQ356" i="13"/>
  <c r="CP356" i="13"/>
  <c r="CN356" i="13"/>
  <c r="CM356" i="13"/>
  <c r="CS355" i="13"/>
  <c r="CQ355" i="13"/>
  <c r="CP355" i="13"/>
  <c r="CN355" i="13"/>
  <c r="CM355" i="13"/>
  <c r="CS354" i="13"/>
  <c r="CQ354" i="13"/>
  <c r="CP354" i="13"/>
  <c r="CN354" i="13"/>
  <c r="CM354" i="13"/>
  <c r="CS353" i="13"/>
  <c r="CQ353" i="13"/>
  <c r="CP353" i="13"/>
  <c r="CN353" i="13"/>
  <c r="CM353" i="13"/>
  <c r="CQ336" i="13"/>
  <c r="BV237" i="13"/>
  <c r="BJ221" i="13"/>
  <c r="BJ220" i="13"/>
  <c r="BJ219" i="13"/>
  <c r="BJ218" i="13"/>
  <c r="BJ217" i="13"/>
  <c r="BJ216" i="13"/>
  <c r="BJ215" i="13"/>
  <c r="BJ214" i="13"/>
  <c r="BJ213" i="13"/>
  <c r="BJ212" i="13"/>
  <c r="BJ211" i="13"/>
  <c r="BJ210" i="13"/>
  <c r="BJ209" i="13"/>
  <c r="BJ206" i="13"/>
  <c r="BJ205" i="13"/>
  <c r="BJ204" i="13"/>
  <c r="BJ203" i="13"/>
  <c r="BJ202" i="13"/>
  <c r="BJ201" i="13"/>
  <c r="BJ186" i="13"/>
  <c r="AH132" i="13"/>
  <c r="AL119" i="13"/>
  <c r="X105" i="13"/>
  <c r="AB105" i="13"/>
  <c r="O40" i="13"/>
  <c r="AB86" i="13"/>
  <c r="M75" i="13"/>
  <c r="M74" i="13"/>
  <c r="M73" i="13"/>
  <c r="M72" i="13"/>
  <c r="M71" i="13"/>
  <c r="M70" i="13"/>
  <c r="M69" i="13"/>
  <c r="M68" i="13"/>
  <c r="M67" i="13"/>
  <c r="M66" i="13"/>
  <c r="M65" i="13"/>
  <c r="M64" i="13"/>
  <c r="M63" i="13"/>
  <c r="M60" i="13"/>
  <c r="M59" i="13"/>
  <c r="M58" i="13"/>
  <c r="M57" i="13"/>
  <c r="M56" i="13"/>
  <c r="M55" i="13"/>
  <c r="E3" i="13"/>
  <c r="W121" i="12"/>
  <c r="W71" i="12"/>
  <c r="C199" i="100"/>
  <c r="C198" i="100"/>
  <c r="C197" i="100"/>
  <c r="A10" i="120"/>
  <c r="P8" i="120"/>
  <c r="C386" i="98"/>
  <c r="C385" i="98"/>
  <c r="C189" i="98"/>
  <c r="C188" i="98"/>
  <c r="C340" i="93"/>
  <c r="C167" i="93"/>
  <c r="P8" i="118"/>
  <c r="A34" i="96"/>
  <c r="A8" i="96"/>
  <c r="K37" i="96"/>
  <c r="A35" i="96"/>
  <c r="A28" i="96"/>
  <c r="A27" i="96"/>
  <c r="N9" i="117"/>
  <c r="I9" i="117"/>
  <c r="D9" i="117"/>
  <c r="I24" i="59"/>
  <c r="E24" i="59"/>
  <c r="G20" i="59"/>
  <c r="G19" i="59"/>
  <c r="I21" i="59"/>
  <c r="E21" i="59"/>
  <c r="G21" i="59" s="1"/>
  <c r="H10" i="59"/>
  <c r="J10" i="58"/>
  <c r="J31" i="58"/>
  <c r="G30" i="58"/>
  <c r="G29" i="58"/>
  <c r="G28" i="58"/>
  <c r="H28" i="58" s="1"/>
  <c r="L28" i="58" s="1"/>
  <c r="G27" i="58"/>
  <c r="H27" i="58" s="1"/>
  <c r="J24" i="58"/>
  <c r="G23" i="58"/>
  <c r="G22" i="58"/>
  <c r="G21" i="58"/>
  <c r="H21" i="58" s="1"/>
  <c r="L21" i="58" s="1"/>
  <c r="I23" i="42"/>
  <c r="B88" i="101"/>
  <c r="B39" i="101"/>
  <c r="E88" i="101"/>
  <c r="F88" i="101" s="1"/>
  <c r="F86" i="101"/>
  <c r="F83" i="101"/>
  <c r="E80" i="101"/>
  <c r="F78" i="101"/>
  <c r="F75" i="101"/>
  <c r="E72" i="101"/>
  <c r="F70" i="101"/>
  <c r="F67" i="101"/>
  <c r="F72" i="101" s="1"/>
  <c r="F37" i="101"/>
  <c r="F34" i="101"/>
  <c r="F29" i="101"/>
  <c r="F26" i="101"/>
  <c r="E39" i="101"/>
  <c r="F39" i="101" s="1"/>
  <c r="A92" i="101"/>
  <c r="C75" i="101"/>
  <c r="A69" i="101"/>
  <c r="A72" i="101" s="1"/>
  <c r="A75" i="101" s="1"/>
  <c r="A77" i="101" s="1"/>
  <c r="A80" i="101" s="1"/>
  <c r="A83" i="101" s="1"/>
  <c r="A43" i="101"/>
  <c r="E31" i="101"/>
  <c r="C26" i="101"/>
  <c r="E23" i="101"/>
  <c r="A20" i="101"/>
  <c r="A23" i="101" s="1"/>
  <c r="A26" i="101" s="1"/>
  <c r="A28" i="101" s="1"/>
  <c r="A31" i="101" s="1"/>
  <c r="A34" i="101" s="1"/>
  <c r="F21" i="101"/>
  <c r="F18" i="101"/>
  <c r="F23" i="101" s="1"/>
  <c r="H233" i="22"/>
  <c r="H232" i="22"/>
  <c r="H231" i="22"/>
  <c r="H230" i="22"/>
  <c r="H229" i="22"/>
  <c r="H228" i="22"/>
  <c r="H227" i="22"/>
  <c r="H226" i="22"/>
  <c r="H225" i="22"/>
  <c r="H225" i="21"/>
  <c r="H226" i="21"/>
  <c r="H227" i="21"/>
  <c r="H228" i="21"/>
  <c r="H229" i="21"/>
  <c r="H230" i="21"/>
  <c r="H231" i="21"/>
  <c r="H232" i="21"/>
  <c r="H233" i="21"/>
  <c r="H177" i="22"/>
  <c r="H177" i="21"/>
  <c r="H281" i="22"/>
  <c r="H280" i="22"/>
  <c r="H279" i="22"/>
  <c r="H270" i="22"/>
  <c r="H270" i="21"/>
  <c r="H281" i="21"/>
  <c r="H280" i="21"/>
  <c r="H279" i="21"/>
  <c r="S52" i="108"/>
  <c r="I9" i="108"/>
  <c r="I9" i="35"/>
  <c r="R48" i="35"/>
  <c r="I9" i="34"/>
  <c r="R45" i="34"/>
  <c r="I9" i="84"/>
  <c r="R45" i="84"/>
  <c r="I9" i="33"/>
  <c r="R45" i="33"/>
  <c r="I9" i="32"/>
  <c r="R45" i="32"/>
  <c r="I9" i="31"/>
  <c r="R45" i="31"/>
  <c r="I9" i="30"/>
  <c r="R45" i="30"/>
  <c r="I9" i="29"/>
  <c r="R45" i="29"/>
  <c r="I9" i="107"/>
  <c r="R45" i="107"/>
  <c r="I9" i="28"/>
  <c r="R45" i="28"/>
  <c r="I9" i="27"/>
  <c r="R45" i="27"/>
  <c r="I9" i="26"/>
  <c r="R48" i="26"/>
  <c r="R43" i="25"/>
  <c r="I9" i="25"/>
  <c r="C120" i="6"/>
  <c r="B120" i="6"/>
  <c r="A120" i="6"/>
  <c r="D119" i="5"/>
  <c r="AM214" i="20"/>
  <c r="AM213" i="20"/>
  <c r="AB215" i="20"/>
  <c r="AC215" i="20"/>
  <c r="AD215" i="20"/>
  <c r="AE215" i="20"/>
  <c r="AF215" i="20"/>
  <c r="AG215" i="20"/>
  <c r="AH215" i="20"/>
  <c r="AI215" i="20"/>
  <c r="AJ215" i="20"/>
  <c r="AK215" i="20"/>
  <c r="AL215" i="20"/>
  <c r="AA215" i="20"/>
  <c r="AL177" i="20" a="1"/>
  <c r="AL177" i="20" s="1"/>
  <c r="AK177" i="20" a="1"/>
  <c r="AK177" i="20" s="1"/>
  <c r="AJ177" i="20" a="1"/>
  <c r="AJ177" i="20" s="1"/>
  <c r="AI177" i="20" a="1"/>
  <c r="AI177" i="20" s="1"/>
  <c r="AH177" i="20" a="1"/>
  <c r="AH177" i="20" s="1"/>
  <c r="AG177" i="20" a="1"/>
  <c r="AG177" i="20" s="1"/>
  <c r="AF177" i="20" a="1"/>
  <c r="AF177" i="20" s="1"/>
  <c r="AE177" i="20" a="1"/>
  <c r="AE177" i="20" s="1"/>
  <c r="AD177" i="20" a="1"/>
  <c r="AD177" i="20" s="1"/>
  <c r="AC177" i="20" a="1"/>
  <c r="AC177" i="20" s="1"/>
  <c r="AB177" i="20" a="1"/>
  <c r="AB177" i="20" s="1"/>
  <c r="AA177" i="20" a="1"/>
  <c r="AA177" i="20" s="1"/>
  <c r="AL176" i="20" a="1"/>
  <c r="AL176" i="20" s="1"/>
  <c r="AK176" i="20" a="1"/>
  <c r="AK176" i="20" s="1"/>
  <c r="AJ176" i="20" a="1"/>
  <c r="AJ176" i="20" s="1"/>
  <c r="AI176" i="20" a="1"/>
  <c r="AI176" i="20" s="1"/>
  <c r="AH176" i="20" a="1"/>
  <c r="AH176" i="20" s="1"/>
  <c r="AG176" i="20" a="1"/>
  <c r="AG176" i="20" s="1"/>
  <c r="AF176" i="20" a="1"/>
  <c r="AF176" i="20" s="1"/>
  <c r="AE176" i="20" a="1"/>
  <c r="AE176" i="20" s="1"/>
  <c r="AD176" i="20" a="1"/>
  <c r="AD176" i="20" s="1"/>
  <c r="AC176" i="20" a="1"/>
  <c r="AC176" i="20" s="1"/>
  <c r="AB176" i="20" a="1"/>
  <c r="AB176" i="20" s="1"/>
  <c r="AA176" i="20" a="1"/>
  <c r="AA176" i="20" s="1"/>
  <c r="AL175" i="20" a="1"/>
  <c r="AL175" i="20" s="1"/>
  <c r="AL222" i="20" s="1"/>
  <c r="AK175" i="20" a="1"/>
  <c r="AK175" i="20" s="1"/>
  <c r="AK222" i="20" s="1"/>
  <c r="AJ175" i="20" a="1"/>
  <c r="AJ175" i="20" s="1"/>
  <c r="AJ222" i="20" s="1"/>
  <c r="AI175" i="20" a="1"/>
  <c r="AI175" i="20" s="1"/>
  <c r="AI222" i="20" s="1"/>
  <c r="AH175" i="20" a="1"/>
  <c r="AH175" i="20" s="1"/>
  <c r="AH222" i="20" s="1"/>
  <c r="AG175" i="20" a="1"/>
  <c r="AG175" i="20" s="1"/>
  <c r="AG222" i="20" s="1"/>
  <c r="AF175" i="20" a="1"/>
  <c r="AF175" i="20" s="1"/>
  <c r="AF222" i="20" s="1"/>
  <c r="AE175" i="20" a="1"/>
  <c r="AE175" i="20" s="1"/>
  <c r="AE222" i="20" s="1"/>
  <c r="AD175" i="20" a="1"/>
  <c r="AD175" i="20" s="1"/>
  <c r="AD222" i="20" s="1"/>
  <c r="AC175" i="20" a="1"/>
  <c r="AC175" i="20" s="1"/>
  <c r="AC222" i="20" s="1"/>
  <c r="AB175" i="20" a="1"/>
  <c r="AB175" i="20" s="1"/>
  <c r="AB222" i="20" s="1"/>
  <c r="AA175" i="20" a="1"/>
  <c r="AA175" i="20" s="1"/>
  <c r="AA222" i="20" s="1"/>
  <c r="AL173" i="20" a="1"/>
  <c r="AL173" i="20" s="1"/>
  <c r="AL221" i="20" s="1"/>
  <c r="AK173" i="20" a="1"/>
  <c r="AK173" i="20" s="1"/>
  <c r="AK221" i="20" s="1"/>
  <c r="AJ173" i="20" a="1"/>
  <c r="AJ173" i="20" s="1"/>
  <c r="AJ221" i="20" s="1"/>
  <c r="AI173" i="20" a="1"/>
  <c r="AI173" i="20" s="1"/>
  <c r="AI221" i="20" s="1"/>
  <c r="AH173" i="20" a="1"/>
  <c r="AH173" i="20" s="1"/>
  <c r="AH221" i="20" s="1"/>
  <c r="AG173" i="20" a="1"/>
  <c r="AG173" i="20" s="1"/>
  <c r="AG221" i="20" s="1"/>
  <c r="AF173" i="20" a="1"/>
  <c r="AF173" i="20" s="1"/>
  <c r="AF221" i="20" s="1"/>
  <c r="AE173" i="20" a="1"/>
  <c r="AE173" i="20" s="1"/>
  <c r="AE221" i="20" s="1"/>
  <c r="AD173" i="20" a="1"/>
  <c r="AD173" i="20" s="1"/>
  <c r="AD221" i="20" s="1"/>
  <c r="AC173" i="20" a="1"/>
  <c r="AC173" i="20" s="1"/>
  <c r="AC221" i="20" s="1"/>
  <c r="AB173" i="20" a="1"/>
  <c r="AB173" i="20" s="1"/>
  <c r="AB221" i="20" s="1"/>
  <c r="AA173" i="20" a="1"/>
  <c r="AA173" i="20" s="1"/>
  <c r="AA221" i="20" s="1"/>
  <c r="AL172" i="20" a="1"/>
  <c r="AL172" i="20" s="1"/>
  <c r="AL220" i="20" s="1"/>
  <c r="AK172" i="20" a="1"/>
  <c r="AK172" i="20" s="1"/>
  <c r="AK220" i="20" s="1"/>
  <c r="AJ172" i="20" a="1"/>
  <c r="AJ172" i="20" s="1"/>
  <c r="AJ220" i="20" s="1"/>
  <c r="AI172" i="20" a="1"/>
  <c r="AI172" i="20" s="1"/>
  <c r="AI220" i="20" s="1"/>
  <c r="AH172" i="20" a="1"/>
  <c r="AH172" i="20" s="1"/>
  <c r="AH220" i="20" s="1"/>
  <c r="AG172" i="20" a="1"/>
  <c r="AG172" i="20" s="1"/>
  <c r="AG220" i="20" s="1"/>
  <c r="AF172" i="20" a="1"/>
  <c r="AF172" i="20" s="1"/>
  <c r="AF220" i="20" s="1"/>
  <c r="AE172" i="20" a="1"/>
  <c r="AE172" i="20" s="1"/>
  <c r="AE220" i="20" s="1"/>
  <c r="AD172" i="20" a="1"/>
  <c r="AD172" i="20" s="1"/>
  <c r="AD220" i="20" s="1"/>
  <c r="AC172" i="20" a="1"/>
  <c r="AC172" i="20" s="1"/>
  <c r="AC220" i="20" s="1"/>
  <c r="AB172" i="20" a="1"/>
  <c r="AB172" i="20" s="1"/>
  <c r="AB220" i="20" s="1"/>
  <c r="AA172" i="20" a="1"/>
  <c r="AA172" i="20" s="1"/>
  <c r="AA220" i="20" s="1"/>
  <c r="F63" i="137"/>
  <c r="F62" i="137"/>
  <c r="F61" i="137"/>
  <c r="F59" i="137"/>
  <c r="F58" i="137"/>
  <c r="F57" i="137"/>
  <c r="F56" i="137"/>
  <c r="F55" i="137"/>
  <c r="F54" i="137"/>
  <c r="F53" i="137"/>
  <c r="F52" i="137"/>
  <c r="F51" i="137"/>
  <c r="F50" i="137"/>
  <c r="F49" i="137"/>
  <c r="F48" i="137"/>
  <c r="F47" i="137"/>
  <c r="F46" i="137"/>
  <c r="F45" i="137"/>
  <c r="F44" i="137"/>
  <c r="F43" i="137"/>
  <c r="F42" i="137"/>
  <c r="F41" i="137"/>
  <c r="F40" i="137"/>
  <c r="F39" i="137"/>
  <c r="F38" i="137"/>
  <c r="F37" i="137"/>
  <c r="F35" i="137"/>
  <c r="F34" i="137"/>
  <c r="F33" i="137"/>
  <c r="F32" i="137"/>
  <c r="F31" i="137"/>
  <c r="F30" i="137"/>
  <c r="F29" i="137"/>
  <c r="F28" i="137"/>
  <c r="F27" i="137"/>
  <c r="F26" i="137"/>
  <c r="F25" i="137"/>
  <c r="F24" i="137"/>
  <c r="F23" i="137"/>
  <c r="F22" i="137"/>
  <c r="F21" i="137"/>
  <c r="F20" i="137"/>
  <c r="F19" i="137"/>
  <c r="F18" i="137"/>
  <c r="F17" i="137"/>
  <c r="F16" i="137"/>
  <c r="F15" i="137"/>
  <c r="F14" i="137"/>
  <c r="F13" i="137"/>
  <c r="F12" i="137"/>
  <c r="R11" i="137"/>
  <c r="Q11" i="137"/>
  <c r="P11" i="137"/>
  <c r="O11" i="137"/>
  <c r="N11" i="137"/>
  <c r="M11" i="137"/>
  <c r="L11" i="137"/>
  <c r="K11" i="137"/>
  <c r="J11" i="137"/>
  <c r="I11" i="137"/>
  <c r="H11" i="137"/>
  <c r="G11" i="137"/>
  <c r="A7" i="137"/>
  <c r="A6" i="137"/>
  <c r="A2" i="137"/>
  <c r="A1" i="137"/>
  <c r="AL195" i="20"/>
  <c r="AK195" i="20"/>
  <c r="AJ195" i="20"/>
  <c r="AI195" i="20"/>
  <c r="AH195" i="20"/>
  <c r="AG195" i="20"/>
  <c r="AF195" i="20"/>
  <c r="AE195" i="20"/>
  <c r="AD195" i="20"/>
  <c r="AC195" i="20"/>
  <c r="AB195" i="20"/>
  <c r="AA195" i="20"/>
  <c r="AM194" i="20"/>
  <c r="AM193" i="20"/>
  <c r="AM192" i="20"/>
  <c r="AM191" i="20"/>
  <c r="AM190" i="20"/>
  <c r="AM184" i="20"/>
  <c r="AM178" i="20"/>
  <c r="AM174" i="20"/>
  <c r="AM164" i="20"/>
  <c r="AL103" i="20" a="1"/>
  <c r="AL103" i="20" s="1"/>
  <c r="AK103" i="20" a="1"/>
  <c r="AK103" i="20" s="1"/>
  <c r="AJ103" i="20" a="1"/>
  <c r="AJ103" i="20" s="1"/>
  <c r="AI103" i="20" a="1"/>
  <c r="AI103" i="20" s="1"/>
  <c r="AH103" i="20" a="1"/>
  <c r="AH103" i="20" s="1"/>
  <c r="AG103" i="20" a="1"/>
  <c r="AG103" i="20" s="1"/>
  <c r="AL102" i="20" a="1"/>
  <c r="AL102" i="20" s="1"/>
  <c r="AK102" i="20" a="1"/>
  <c r="AK102" i="20" s="1"/>
  <c r="AJ102" i="20" a="1"/>
  <c r="AJ102" i="20" s="1"/>
  <c r="AI102" i="20" a="1"/>
  <c r="AI102" i="20" s="1"/>
  <c r="AH102" i="20" a="1"/>
  <c r="AH102" i="20" s="1"/>
  <c r="AG102" i="20" a="1"/>
  <c r="AG102" i="20" s="1"/>
  <c r="AL101" i="20" a="1"/>
  <c r="AL101" i="20" s="1"/>
  <c r="AK101" i="20" a="1"/>
  <c r="AK101" i="20" s="1"/>
  <c r="AJ101" i="20" a="1"/>
  <c r="AJ101" i="20" s="1"/>
  <c r="AI101" i="20" a="1"/>
  <c r="AI101" i="20" s="1"/>
  <c r="AH101" i="20" a="1"/>
  <c r="AH101" i="20" s="1"/>
  <c r="AG101" i="20" a="1"/>
  <c r="AG101" i="20" s="1"/>
  <c r="AL100" i="20" a="1"/>
  <c r="AL100" i="20" s="1"/>
  <c r="AK100" i="20" a="1"/>
  <c r="AK100" i="20" s="1"/>
  <c r="AJ100" i="20" a="1"/>
  <c r="AJ100" i="20" s="1"/>
  <c r="AI100" i="20" a="1"/>
  <c r="AI100" i="20" s="1"/>
  <c r="AH100" i="20" a="1"/>
  <c r="AH100" i="20" s="1"/>
  <c r="AG100" i="20" a="1"/>
  <c r="AG100" i="20" s="1"/>
  <c r="AL99" i="20" a="1"/>
  <c r="AL99" i="20" s="1"/>
  <c r="AK99" i="20" a="1"/>
  <c r="AK99" i="20" s="1"/>
  <c r="AJ99" i="20" a="1"/>
  <c r="AJ99" i="20" s="1"/>
  <c r="AI99" i="20" a="1"/>
  <c r="AI99" i="20" s="1"/>
  <c r="AH99" i="20" a="1"/>
  <c r="AH99" i="20" s="1"/>
  <c r="AG99" i="20" a="1"/>
  <c r="AG99" i="20" s="1"/>
  <c r="AL98" i="20" a="1"/>
  <c r="AL98" i="20" s="1"/>
  <c r="AL143" i="20" s="1"/>
  <c r="AK98" i="20" a="1"/>
  <c r="AK98" i="20" s="1"/>
  <c r="AK143" i="20" s="1"/>
  <c r="AJ98" i="20" a="1"/>
  <c r="AJ98" i="20" s="1"/>
  <c r="AJ143" i="20" s="1"/>
  <c r="AI98" i="20" a="1"/>
  <c r="AI98" i="20" s="1"/>
  <c r="AI143" i="20" s="1"/>
  <c r="AH98" i="20" a="1"/>
  <c r="AH98" i="20" s="1"/>
  <c r="AH143" i="20" s="1"/>
  <c r="AG98" i="20" a="1"/>
  <c r="AG98" i="20" s="1"/>
  <c r="AG143" i="20" s="1"/>
  <c r="AL96" i="20" a="1"/>
  <c r="AL96" i="20" s="1"/>
  <c r="AL142" i="20" s="1"/>
  <c r="AK96" i="20" a="1"/>
  <c r="AK96" i="20" s="1"/>
  <c r="AK142" i="20" s="1"/>
  <c r="AJ96" i="20" a="1"/>
  <c r="AJ96" i="20" s="1"/>
  <c r="AJ142" i="20" s="1"/>
  <c r="AI96" i="20" a="1"/>
  <c r="AI96" i="20" s="1"/>
  <c r="AI142" i="20" s="1"/>
  <c r="AH96" i="20" a="1"/>
  <c r="AH96" i="20" s="1"/>
  <c r="AH142" i="20" s="1"/>
  <c r="AG96" i="20" a="1"/>
  <c r="AG96" i="20" s="1"/>
  <c r="AG142" i="20" s="1"/>
  <c r="AL95" i="20" a="1"/>
  <c r="AL95" i="20" s="1"/>
  <c r="AL141" i="20" s="1"/>
  <c r="AK95" i="20" a="1"/>
  <c r="AK95" i="20" s="1"/>
  <c r="AK141" i="20" s="1"/>
  <c r="AJ95" i="20" a="1"/>
  <c r="AJ95" i="20" s="1"/>
  <c r="AJ141" i="20" s="1"/>
  <c r="AI95" i="20" a="1"/>
  <c r="AI95" i="20" s="1"/>
  <c r="AI141" i="20" s="1"/>
  <c r="AH95" i="20" a="1"/>
  <c r="AH95" i="20" s="1"/>
  <c r="AH141" i="20" s="1"/>
  <c r="AG95" i="20" a="1"/>
  <c r="AG95" i="20" s="1"/>
  <c r="AG141" i="20" s="1"/>
  <c r="AC112" i="20"/>
  <c r="AB112" i="20"/>
  <c r="AE89" i="20"/>
  <c r="AD89" i="20"/>
  <c r="AC89" i="20"/>
  <c r="AB89" i="20"/>
  <c r="AA89" i="20"/>
  <c r="AD90" i="20"/>
  <c r="AC90" i="20"/>
  <c r="AB90" i="20"/>
  <c r="AE109" i="20"/>
  <c r="AD109" i="20"/>
  <c r="AC109" i="20"/>
  <c r="AA109" i="20"/>
  <c r="AE86" i="20"/>
  <c r="AD86" i="20"/>
  <c r="AA86" i="20"/>
  <c r="AE111" i="20"/>
  <c r="AD111" i="20"/>
  <c r="AA111" i="20"/>
  <c r="AE88" i="20"/>
  <c r="AD88" i="20"/>
  <c r="AC88" i="20"/>
  <c r="AB88" i="20"/>
  <c r="AA88" i="20"/>
  <c r="AE108" i="20"/>
  <c r="AD108" i="20"/>
  <c r="AC108" i="20"/>
  <c r="AB108" i="20"/>
  <c r="AA108" i="20"/>
  <c r="R11" i="136"/>
  <c r="Q11" i="136"/>
  <c r="P11" i="136"/>
  <c r="O11" i="136"/>
  <c r="N11" i="136"/>
  <c r="M11" i="136"/>
  <c r="L11" i="136"/>
  <c r="K11" i="136"/>
  <c r="J11" i="136"/>
  <c r="I11" i="136"/>
  <c r="H11" i="136"/>
  <c r="G11" i="136"/>
  <c r="AC85" i="20" l="1"/>
  <c r="AD85" i="20"/>
  <c r="AB111" i="20"/>
  <c r="AA85" i="20"/>
  <c r="AE85" i="20"/>
  <c r="AC111" i="20"/>
  <c r="AB86" i="20"/>
  <c r="AD112" i="20"/>
  <c r="AB85" i="20"/>
  <c r="AC86" i="20"/>
  <c r="AB109" i="20"/>
  <c r="AA90" i="20"/>
  <c r="AE90" i="20"/>
  <c r="AA112" i="20"/>
  <c r="AE112" i="20"/>
  <c r="AM215" i="20"/>
  <c r="E43" i="101"/>
  <c r="D120" i="6"/>
  <c r="F80" i="101"/>
  <c r="F64" i="136"/>
  <c r="F31" i="101"/>
  <c r="AM195" i="20"/>
  <c r="F20" i="136"/>
  <c r="F25" i="136"/>
  <c r="F28" i="136"/>
  <c r="F30" i="136"/>
  <c r="F44" i="136"/>
  <c r="F51" i="136"/>
  <c r="F36" i="136"/>
  <c r="F21" i="136"/>
  <c r="F29" i="136"/>
  <c r="F33" i="136"/>
  <c r="F54" i="136"/>
  <c r="F41" i="136"/>
  <c r="F47" i="136"/>
  <c r="F60" i="136"/>
  <c r="F50" i="136"/>
  <c r="F56" i="136"/>
  <c r="F59" i="136"/>
  <c r="E92" i="101"/>
  <c r="AD103" i="20" a="1"/>
  <c r="AD103" i="20" s="1"/>
  <c r="AD99" i="20" a="1"/>
  <c r="AD99" i="20" s="1"/>
  <c r="AD96" i="20" a="1"/>
  <c r="AD96" i="20" s="1"/>
  <c r="AD142" i="20" s="1"/>
  <c r="AD95" i="20" a="1"/>
  <c r="AD95" i="20" s="1"/>
  <c r="AD101" i="20" a="1"/>
  <c r="AD101" i="20" s="1"/>
  <c r="AD98" i="20" a="1"/>
  <c r="AD98" i="20" s="1"/>
  <c r="AD143" i="20" s="1"/>
  <c r="F38" i="136"/>
  <c r="AC103" i="20" a="1"/>
  <c r="AC103" i="20" s="1"/>
  <c r="AC102" i="20" a="1"/>
  <c r="AC102" i="20" s="1"/>
  <c r="AC101" i="20" a="1"/>
  <c r="AC101" i="20" s="1"/>
  <c r="AC100" i="20" a="1"/>
  <c r="AC100" i="20" s="1"/>
  <c r="AA103" i="20" a="1"/>
  <c r="AA103" i="20" s="1"/>
  <c r="AA102" i="20" a="1"/>
  <c r="AA102" i="20" s="1"/>
  <c r="AA101" i="20" a="1"/>
  <c r="AA101" i="20" s="1"/>
  <c r="AA100" i="20" a="1"/>
  <c r="AA100" i="20" s="1"/>
  <c r="AA99" i="20" a="1"/>
  <c r="AA99" i="20" s="1"/>
  <c r="AA98" i="20" a="1"/>
  <c r="AA98" i="20" s="1"/>
  <c r="AA143" i="20" s="1"/>
  <c r="AE103" i="20" a="1"/>
  <c r="AE103" i="20" s="1"/>
  <c r="AE102" i="20" a="1"/>
  <c r="AE102" i="20" s="1"/>
  <c r="AE101" i="20" a="1"/>
  <c r="AE101" i="20" s="1"/>
  <c r="AE100" i="20" a="1"/>
  <c r="AE100" i="20" s="1"/>
  <c r="AE99" i="20" a="1"/>
  <c r="AE99" i="20" s="1"/>
  <c r="AE98" i="20" a="1"/>
  <c r="AE98" i="20" s="1"/>
  <c r="AE143" i="20" s="1"/>
  <c r="AE96" i="20" a="1"/>
  <c r="AE96" i="20" s="1"/>
  <c r="AE142" i="20" s="1"/>
  <c r="F14" i="136"/>
  <c r="F16" i="136"/>
  <c r="F18" i="136"/>
  <c r="F22" i="136"/>
  <c r="F24" i="136"/>
  <c r="F26" i="136"/>
  <c r="F32" i="136"/>
  <c r="F35" i="136"/>
  <c r="F37" i="136"/>
  <c r="F40" i="136"/>
  <c r="F43" i="136"/>
  <c r="F45" i="136"/>
  <c r="F49" i="136"/>
  <c r="F53" i="136"/>
  <c r="F55" i="136"/>
  <c r="F63" i="136"/>
  <c r="F65" i="136"/>
  <c r="AB95" i="20" a="1"/>
  <c r="AB95" i="20" s="1"/>
  <c r="AB141" i="20" s="1"/>
  <c r="AF95" i="20" a="1"/>
  <c r="AF95" i="20" s="1"/>
  <c r="AF141" i="20" s="1"/>
  <c r="AB96" i="20" a="1"/>
  <c r="AB96" i="20" s="1"/>
  <c r="AB99" i="20" a="1"/>
  <c r="AB99" i="20" s="1"/>
  <c r="AF100" i="20" a="1"/>
  <c r="AF100" i="20" s="1"/>
  <c r="AB102" i="20" a="1"/>
  <c r="AB102" i="20" s="1"/>
  <c r="AC95" i="20" a="1"/>
  <c r="AC95" i="20" s="1"/>
  <c r="AC96" i="20" a="1"/>
  <c r="AC96" i="20" s="1"/>
  <c r="AC142" i="20" s="1"/>
  <c r="AF98" i="20" a="1"/>
  <c r="AF98" i="20" s="1"/>
  <c r="AF143" i="20" s="1"/>
  <c r="AC99" i="20" a="1"/>
  <c r="AC99" i="20" s="1"/>
  <c r="AF101" i="20" a="1"/>
  <c r="AF101" i="20" s="1"/>
  <c r="AD102" i="20" a="1"/>
  <c r="AD102" i="20" s="1"/>
  <c r="AB103" i="20" a="1"/>
  <c r="AB103" i="20" s="1"/>
  <c r="F34" i="136"/>
  <c r="F42" i="136"/>
  <c r="F61" i="136"/>
  <c r="AB98" i="20" a="1"/>
  <c r="AB98" i="20" s="1"/>
  <c r="AB100" i="20" a="1"/>
  <c r="AB100" i="20" s="1"/>
  <c r="AF102" i="20" a="1"/>
  <c r="AF102" i="20" s="1"/>
  <c r="AC187" i="20"/>
  <c r="E119" i="5"/>
  <c r="AA95" i="20" a="1"/>
  <c r="AA95" i="20" s="1"/>
  <c r="AE95" i="20" a="1"/>
  <c r="AE95" i="20" s="1"/>
  <c r="AA96" i="20" a="1"/>
  <c r="AA96" i="20" s="1"/>
  <c r="AA142" i="20" s="1"/>
  <c r="AF96" i="20" a="1"/>
  <c r="AF96" i="20" s="1"/>
  <c r="AF142" i="20" s="1"/>
  <c r="AC98" i="20" a="1"/>
  <c r="AC98" i="20" s="1"/>
  <c r="AC143" i="20" s="1"/>
  <c r="AF99" i="20" a="1"/>
  <c r="AF99" i="20" s="1"/>
  <c r="AD100" i="20" a="1"/>
  <c r="AD100" i="20" s="1"/>
  <c r="AB101" i="20" a="1"/>
  <c r="AB101" i="20" s="1"/>
  <c r="AF103" i="20" a="1"/>
  <c r="AF103" i="20" s="1"/>
  <c r="Y71" i="12"/>
  <c r="M24" i="12" s="1"/>
  <c r="L27" i="58"/>
  <c r="I26" i="42"/>
  <c r="W300" i="24" s="1"/>
  <c r="N15" i="144" s="1"/>
  <c r="F92" i="101"/>
  <c r="F43" i="101"/>
  <c r="AG187" i="20"/>
  <c r="AK187" i="20"/>
  <c r="AA187" i="20"/>
  <c r="AL179" i="20"/>
  <c r="AL216" i="20" s="1"/>
  <c r="AD179" i="20"/>
  <c r="AD216" i="20" s="1"/>
  <c r="AF179" i="20"/>
  <c r="AF216" i="20" s="1"/>
  <c r="AJ179" i="20"/>
  <c r="AJ216" i="20" s="1"/>
  <c r="AA179" i="20"/>
  <c r="AA216" i="20" s="1"/>
  <c r="AH179" i="20"/>
  <c r="AH216" i="20" s="1"/>
  <c r="AB179" i="20"/>
  <c r="AB216" i="20" s="1"/>
  <c r="AI179" i="20"/>
  <c r="AI216" i="20" s="1"/>
  <c r="AK179" i="20"/>
  <c r="AK216" i="20" s="1"/>
  <c r="AM177" i="20"/>
  <c r="AG179" i="20"/>
  <c r="AG216" i="20" s="1"/>
  <c r="AC179" i="20"/>
  <c r="AC216" i="20" s="1"/>
  <c r="AE179" i="20"/>
  <c r="AE216" i="20" s="1"/>
  <c r="AM176" i="20"/>
  <c r="AI187" i="20"/>
  <c r="AE187" i="20"/>
  <c r="AH187" i="20"/>
  <c r="AM186" i="20"/>
  <c r="AL187" i="20"/>
  <c r="AD187" i="20"/>
  <c r="AM175" i="20"/>
  <c r="AM163" i="20"/>
  <c r="AM166" i="20"/>
  <c r="AM172" i="20"/>
  <c r="AM165" i="20"/>
  <c r="AM162" i="20"/>
  <c r="AM167" i="20"/>
  <c r="AM173" i="20"/>
  <c r="AM183" i="20"/>
  <c r="AM185" i="20"/>
  <c r="AM182" i="20"/>
  <c r="AB187" i="20"/>
  <c r="AF187" i="20"/>
  <c r="AJ187" i="20"/>
  <c r="F13" i="136"/>
  <c r="F15" i="136"/>
  <c r="F17" i="136"/>
  <c r="F19" i="136"/>
  <c r="F23" i="136"/>
  <c r="F27" i="136"/>
  <c r="F31" i="136"/>
  <c r="F39" i="136"/>
  <c r="F48" i="136"/>
  <c r="F58" i="136"/>
  <c r="F12" i="136"/>
  <c r="AB143" i="20" l="1"/>
  <c r="AA141" i="20"/>
  <c r="AC141" i="20"/>
  <c r="AD141" i="20"/>
  <c r="AE141" i="20"/>
  <c r="AB142" i="20"/>
  <c r="AM108" i="20"/>
  <c r="AM112" i="20"/>
  <c r="E120" i="6"/>
  <c r="AM96" i="20"/>
  <c r="AM111" i="20"/>
  <c r="AM109" i="20"/>
  <c r="AM220" i="20"/>
  <c r="AM222" i="20"/>
  <c r="AM179" i="20"/>
  <c r="AM221" i="20"/>
  <c r="AM187" i="20"/>
  <c r="T118" i="112" l="1"/>
  <c r="P49" i="20"/>
  <c r="AM216" i="20"/>
  <c r="AM143" i="20"/>
  <c r="AM141" i="20"/>
  <c r="AM142" i="20"/>
  <c r="A7" i="136" l="1"/>
  <c r="A6" i="136"/>
  <c r="A2" i="136"/>
  <c r="A1" i="136"/>
  <c r="H316" i="21"/>
  <c r="H248" i="22"/>
  <c r="H247" i="22"/>
  <c r="H248" i="21"/>
  <c r="H247" i="21"/>
  <c r="H244" i="22"/>
  <c r="H221" i="22"/>
  <c r="H103" i="22"/>
  <c r="H102" i="22"/>
  <c r="H101" i="22"/>
  <c r="H100" i="22"/>
  <c r="H99" i="22"/>
  <c r="N127" i="17" l="1"/>
  <c r="N130" i="17" s="1"/>
  <c r="J127" i="17"/>
  <c r="J130" i="17" s="1"/>
  <c r="P126" i="17"/>
  <c r="P127" i="17" s="1"/>
  <c r="O126" i="17"/>
  <c r="N126" i="17"/>
  <c r="M126" i="17"/>
  <c r="L126" i="17"/>
  <c r="L127" i="17" s="1"/>
  <c r="L130" i="17" s="1"/>
  <c r="K126" i="17"/>
  <c r="O124" i="17"/>
  <c r="M124" i="17"/>
  <c r="K124" i="17"/>
  <c r="O123" i="17"/>
  <c r="M123" i="17"/>
  <c r="K123" i="17"/>
  <c r="O122" i="17"/>
  <c r="M122" i="17"/>
  <c r="K122" i="17"/>
  <c r="O121" i="17"/>
  <c r="M121" i="17"/>
  <c r="K121" i="17"/>
  <c r="P119" i="17"/>
  <c r="O119" i="17"/>
  <c r="N119" i="17"/>
  <c r="M119" i="17"/>
  <c r="L119" i="17"/>
  <c r="K119" i="17"/>
  <c r="J119" i="17"/>
  <c r="O118" i="17"/>
  <c r="M118" i="17"/>
  <c r="K118" i="17"/>
  <c r="O117" i="17"/>
  <c r="M117" i="17"/>
  <c r="K117" i="17"/>
  <c r="O116" i="17"/>
  <c r="M116" i="17"/>
  <c r="K116" i="17"/>
  <c r="O115" i="17"/>
  <c r="M115" i="17"/>
  <c r="K115" i="17"/>
  <c r="O114" i="17"/>
  <c r="M114" i="17"/>
  <c r="K114" i="17"/>
  <c r="O113" i="17"/>
  <c r="M113" i="17"/>
  <c r="K113" i="17"/>
  <c r="O112" i="17"/>
  <c r="M112" i="17"/>
  <c r="K112" i="17"/>
  <c r="O111" i="17"/>
  <c r="M111" i="17"/>
  <c r="K111" i="17"/>
  <c r="O110" i="17"/>
  <c r="M110" i="17"/>
  <c r="K110" i="17"/>
  <c r="O109" i="17"/>
  <c r="M109" i="17"/>
  <c r="K109" i="17"/>
  <c r="O108" i="17"/>
  <c r="M108" i="17"/>
  <c r="K108" i="17"/>
  <c r="O107" i="17"/>
  <c r="M107" i="17"/>
  <c r="K107" i="17"/>
  <c r="O106" i="17"/>
  <c r="M106" i="17"/>
  <c r="K106" i="17"/>
  <c r="P104" i="17"/>
  <c r="O104" i="17"/>
  <c r="N104" i="17"/>
  <c r="M104" i="17"/>
  <c r="L104" i="17"/>
  <c r="K104" i="17"/>
  <c r="J104" i="17"/>
  <c r="O103" i="17"/>
  <c r="M103" i="17"/>
  <c r="K103" i="17"/>
  <c r="O102" i="17"/>
  <c r="M102" i="17"/>
  <c r="K102" i="17"/>
  <c r="O101" i="17"/>
  <c r="M101" i="17"/>
  <c r="K101" i="17"/>
  <c r="O100" i="17"/>
  <c r="M100" i="17"/>
  <c r="K100" i="17"/>
  <c r="O99" i="17"/>
  <c r="M99" i="17"/>
  <c r="K99" i="17"/>
  <c r="O98" i="17"/>
  <c r="M98" i="17"/>
  <c r="K98" i="17"/>
  <c r="O97" i="17"/>
  <c r="M97" i="17"/>
  <c r="K97" i="17"/>
  <c r="P95" i="17"/>
  <c r="O95" i="17"/>
  <c r="N95" i="17"/>
  <c r="M95" i="17"/>
  <c r="L95" i="17"/>
  <c r="K95" i="17"/>
  <c r="J95" i="17"/>
  <c r="O94" i="17"/>
  <c r="M94" i="17"/>
  <c r="K94" i="17"/>
  <c r="O93" i="17"/>
  <c r="M93" i="17"/>
  <c r="K93" i="17"/>
  <c r="O92" i="17"/>
  <c r="M92" i="17"/>
  <c r="K92" i="17"/>
  <c r="O91" i="17"/>
  <c r="M91" i="17"/>
  <c r="K91" i="17"/>
  <c r="O90" i="17"/>
  <c r="M90" i="17"/>
  <c r="K90" i="17"/>
  <c r="N88" i="17"/>
  <c r="M88" i="17"/>
  <c r="L88" i="17"/>
  <c r="K88" i="17"/>
  <c r="J88" i="17"/>
  <c r="O87" i="17"/>
  <c r="M87" i="17"/>
  <c r="K87" i="17"/>
  <c r="O86" i="17"/>
  <c r="M86" i="17"/>
  <c r="K86" i="17"/>
  <c r="O85" i="17"/>
  <c r="M85" i="17"/>
  <c r="K85" i="17"/>
  <c r="P84" i="17"/>
  <c r="P88" i="17" s="1"/>
  <c r="O88" i="17" s="1"/>
  <c r="O84" i="17"/>
  <c r="M84" i="17"/>
  <c r="K84" i="17"/>
  <c r="O83" i="17"/>
  <c r="M83" i="17"/>
  <c r="K83" i="17"/>
  <c r="S127" i="17"/>
  <c r="S126" i="17"/>
  <c r="S119" i="17"/>
  <c r="S104" i="17"/>
  <c r="S95" i="17"/>
  <c r="S84" i="17"/>
  <c r="S88" i="17" s="1"/>
  <c r="Q60" i="17"/>
  <c r="Q59" i="17"/>
  <c r="Q58" i="17"/>
  <c r="Q57" i="17"/>
  <c r="Q56" i="17"/>
  <c r="Q55" i="17"/>
  <c r="Q54" i="17"/>
  <c r="Q53" i="17"/>
  <c r="Q52" i="17"/>
  <c r="Q49" i="17"/>
  <c r="Q48" i="17"/>
  <c r="Q47" i="17"/>
  <c r="Q46" i="17"/>
  <c r="Q45" i="17"/>
  <c r="Q44" i="17"/>
  <c r="Q43" i="17"/>
  <c r="Q42" i="17"/>
  <c r="Q41" i="17"/>
  <c r="Q40" i="17"/>
  <c r="Q38" i="17"/>
  <c r="Q37" i="17"/>
  <c r="Q36" i="17"/>
  <c r="Q35" i="17"/>
  <c r="Q34" i="17"/>
  <c r="Q33" i="17"/>
  <c r="Q32" i="17"/>
  <c r="Q31" i="17"/>
  <c r="Q30" i="17"/>
  <c r="Q27" i="17"/>
  <c r="Q26" i="17"/>
  <c r="Q25" i="17"/>
  <c r="Q24" i="17"/>
  <c r="Q23" i="17"/>
  <c r="Q22" i="17"/>
  <c r="Q19" i="17"/>
  <c r="Q17" i="17"/>
  <c r="Q16" i="17"/>
  <c r="S61" i="17"/>
  <c r="Q61" i="17" s="1"/>
  <c r="S39" i="17"/>
  <c r="S50" i="17" s="1"/>
  <c r="Q50" i="17" s="1"/>
  <c r="S28" i="17"/>
  <c r="Q28" i="17" s="1"/>
  <c r="S18" i="17"/>
  <c r="S20" i="17" s="1"/>
  <c r="Q20" i="17" s="1"/>
  <c r="P61" i="17"/>
  <c r="N61" i="17"/>
  <c r="M61" i="17" s="1"/>
  <c r="L61" i="17"/>
  <c r="J61" i="17"/>
  <c r="K61" i="17" s="1"/>
  <c r="O60" i="17"/>
  <c r="M60" i="17"/>
  <c r="K60" i="17"/>
  <c r="O59" i="17"/>
  <c r="M59" i="17"/>
  <c r="K59" i="17"/>
  <c r="O58" i="17"/>
  <c r="M58" i="17"/>
  <c r="K58" i="17"/>
  <c r="O57" i="17"/>
  <c r="M57" i="17"/>
  <c r="K57" i="17"/>
  <c r="O56" i="17"/>
  <c r="M56" i="17"/>
  <c r="K56" i="17"/>
  <c r="O55" i="17"/>
  <c r="M55" i="17"/>
  <c r="K55" i="17"/>
  <c r="O54" i="17"/>
  <c r="M54" i="17"/>
  <c r="K54" i="17"/>
  <c r="O53" i="17"/>
  <c r="M53" i="17"/>
  <c r="K53" i="17"/>
  <c r="O52" i="17"/>
  <c r="M52" i="17"/>
  <c r="K52" i="17"/>
  <c r="O49" i="17"/>
  <c r="M49" i="17"/>
  <c r="K49" i="17"/>
  <c r="O48" i="17"/>
  <c r="M48" i="17"/>
  <c r="K48" i="17"/>
  <c r="O47" i="17"/>
  <c r="M47" i="17"/>
  <c r="K47" i="17"/>
  <c r="O46" i="17"/>
  <c r="M46" i="17"/>
  <c r="K46" i="17"/>
  <c r="O45" i="17"/>
  <c r="M45" i="17"/>
  <c r="K45" i="17"/>
  <c r="O44" i="17"/>
  <c r="M44" i="17"/>
  <c r="K44" i="17"/>
  <c r="O43" i="17"/>
  <c r="M43" i="17"/>
  <c r="K43" i="17"/>
  <c r="O42" i="17"/>
  <c r="M42" i="17"/>
  <c r="K42" i="17"/>
  <c r="O41" i="17"/>
  <c r="M41" i="17"/>
  <c r="K41" i="17"/>
  <c r="O40" i="17"/>
  <c r="M40" i="17"/>
  <c r="K40" i="17"/>
  <c r="P39" i="17"/>
  <c r="P50" i="17" s="1"/>
  <c r="N39" i="17"/>
  <c r="L39" i="17"/>
  <c r="L50" i="17" s="1"/>
  <c r="J39" i="17"/>
  <c r="O38" i="17"/>
  <c r="M38" i="17"/>
  <c r="K38" i="17"/>
  <c r="O37" i="17"/>
  <c r="M37" i="17"/>
  <c r="K37" i="17"/>
  <c r="O36" i="17"/>
  <c r="M36" i="17"/>
  <c r="K36" i="17"/>
  <c r="O35" i="17"/>
  <c r="M35" i="17"/>
  <c r="K35" i="17"/>
  <c r="O34" i="17"/>
  <c r="M34" i="17"/>
  <c r="K34" i="17"/>
  <c r="O33" i="17"/>
  <c r="M33" i="17"/>
  <c r="K33" i="17"/>
  <c r="O32" i="17"/>
  <c r="M32" i="17"/>
  <c r="K32" i="17"/>
  <c r="O31" i="17"/>
  <c r="M31" i="17"/>
  <c r="K31" i="17"/>
  <c r="O30" i="17"/>
  <c r="M30" i="17"/>
  <c r="K30" i="17"/>
  <c r="P28" i="17"/>
  <c r="N28" i="17"/>
  <c r="M28" i="17" s="1"/>
  <c r="L28" i="17"/>
  <c r="J28" i="17"/>
  <c r="K28" i="17" s="1"/>
  <c r="O27" i="17"/>
  <c r="M27" i="17"/>
  <c r="K27" i="17"/>
  <c r="O26" i="17"/>
  <c r="M26" i="17"/>
  <c r="K26" i="17"/>
  <c r="O25" i="17"/>
  <c r="M25" i="17"/>
  <c r="K25" i="17"/>
  <c r="O24" i="17"/>
  <c r="M24" i="17"/>
  <c r="K24" i="17"/>
  <c r="O23" i="17"/>
  <c r="M23" i="17"/>
  <c r="K23" i="17"/>
  <c r="O22" i="17"/>
  <c r="M22" i="17"/>
  <c r="K22" i="17"/>
  <c r="O19" i="17"/>
  <c r="M19" i="17"/>
  <c r="K19" i="17"/>
  <c r="P18" i="17"/>
  <c r="P20" i="17" s="1"/>
  <c r="N18" i="17"/>
  <c r="L18" i="17"/>
  <c r="L20" i="17" s="1"/>
  <c r="J18" i="17"/>
  <c r="O17" i="17"/>
  <c r="M17" i="17"/>
  <c r="K17" i="17"/>
  <c r="O16" i="17"/>
  <c r="M16" i="17"/>
  <c r="K16" i="17"/>
  <c r="H28" i="17"/>
  <c r="F28" i="17"/>
  <c r="I27" i="17"/>
  <c r="G27" i="17"/>
  <c r="E27" i="17"/>
  <c r="D28" i="17"/>
  <c r="A4" i="68"/>
  <c r="A4" i="80"/>
  <c r="Q39" i="17" l="1"/>
  <c r="K18" i="17"/>
  <c r="K39" i="17"/>
  <c r="Q18" i="17"/>
  <c r="M130" i="17"/>
  <c r="M18" i="17"/>
  <c r="M39" i="17"/>
  <c r="K130" i="17"/>
  <c r="P130" i="17"/>
  <c r="O130" i="17" s="1"/>
  <c r="M127" i="17"/>
  <c r="K127" i="17"/>
  <c r="O127" i="17"/>
  <c r="S130" i="17"/>
  <c r="S64" i="17"/>
  <c r="Q64" i="17" s="1"/>
  <c r="P64" i="17"/>
  <c r="L64" i="17"/>
  <c r="J20" i="17"/>
  <c r="K20" i="17" s="1"/>
  <c r="N20" i="17"/>
  <c r="M20" i="17" s="1"/>
  <c r="J50" i="17"/>
  <c r="K50" i="17" s="1"/>
  <c r="N50" i="17"/>
  <c r="M50" i="17" s="1"/>
  <c r="J64" i="17"/>
  <c r="O18" i="17"/>
  <c r="O28" i="17"/>
  <c r="O39" i="17"/>
  <c r="O61" i="17"/>
  <c r="N64" i="17" l="1"/>
  <c r="M64" i="17" s="1"/>
  <c r="O64" i="17"/>
  <c r="K64" i="17"/>
  <c r="O20" i="17"/>
  <c r="O50" i="17"/>
  <c r="K17" i="68" l="1"/>
  <c r="F30" i="53"/>
  <c r="F25" i="53"/>
  <c r="F26" i="53"/>
  <c r="F24" i="53"/>
  <c r="F19" i="53"/>
  <c r="F20" i="53"/>
  <c r="F18" i="53"/>
  <c r="O25" i="53"/>
  <c r="K25" i="53"/>
  <c r="A163" i="6" l="1"/>
  <c r="B163" i="6"/>
  <c r="C163" i="6"/>
  <c r="A164" i="6"/>
  <c r="B164" i="6"/>
  <c r="C164" i="6"/>
  <c r="A165" i="6"/>
  <c r="D165" i="6" s="1"/>
  <c r="B165" i="6"/>
  <c r="C165" i="6"/>
  <c r="A166" i="6"/>
  <c r="B166" i="6"/>
  <c r="C166" i="6"/>
  <c r="A167" i="6"/>
  <c r="B167" i="6"/>
  <c r="C167" i="6"/>
  <c r="A168" i="6"/>
  <c r="B168" i="6"/>
  <c r="C168" i="6"/>
  <c r="A169" i="6"/>
  <c r="B169" i="6"/>
  <c r="C169" i="6"/>
  <c r="A170" i="6"/>
  <c r="B170" i="6"/>
  <c r="C170" i="6"/>
  <c r="A171" i="6"/>
  <c r="B171" i="6"/>
  <c r="C171" i="6"/>
  <c r="A172" i="6"/>
  <c r="B172" i="6"/>
  <c r="C172" i="6"/>
  <c r="A173" i="6"/>
  <c r="D173" i="6" s="1"/>
  <c r="B173" i="6"/>
  <c r="C173" i="6"/>
  <c r="A174" i="6"/>
  <c r="B174" i="6"/>
  <c r="C174" i="6"/>
  <c r="A175" i="6"/>
  <c r="B175" i="6"/>
  <c r="C175" i="6"/>
  <c r="A176" i="6"/>
  <c r="B176" i="6"/>
  <c r="C176" i="6"/>
  <c r="A177" i="6"/>
  <c r="B177" i="6"/>
  <c r="C177" i="6"/>
  <c r="A179" i="6"/>
  <c r="B179" i="6"/>
  <c r="C179" i="6"/>
  <c r="A180" i="6"/>
  <c r="B180" i="6"/>
  <c r="C180" i="6"/>
  <c r="A14" i="6"/>
  <c r="B14" i="6"/>
  <c r="C14" i="6"/>
  <c r="A15" i="6"/>
  <c r="B15" i="6"/>
  <c r="C15" i="6"/>
  <c r="A16" i="6"/>
  <c r="B16" i="6"/>
  <c r="C16" i="6"/>
  <c r="A17" i="6"/>
  <c r="B17" i="6"/>
  <c r="C17" i="6"/>
  <c r="A18" i="6"/>
  <c r="B18" i="6"/>
  <c r="C18" i="6"/>
  <c r="A20" i="6"/>
  <c r="B20" i="6"/>
  <c r="C20" i="6"/>
  <c r="A21" i="6"/>
  <c r="B21" i="6"/>
  <c r="C21" i="6"/>
  <c r="A22" i="6"/>
  <c r="B22" i="6"/>
  <c r="C22" i="6"/>
  <c r="A23" i="6"/>
  <c r="B23" i="6"/>
  <c r="C23" i="6"/>
  <c r="A24" i="6"/>
  <c r="B24" i="6"/>
  <c r="C24" i="6"/>
  <c r="A25" i="6"/>
  <c r="B25" i="6"/>
  <c r="C25" i="6"/>
  <c r="A26" i="6"/>
  <c r="B26" i="6"/>
  <c r="C26" i="6"/>
  <c r="A27" i="6"/>
  <c r="B27" i="6"/>
  <c r="C27" i="6"/>
  <c r="A28" i="6"/>
  <c r="B28" i="6"/>
  <c r="C28" i="6"/>
  <c r="A29" i="6"/>
  <c r="B29" i="6"/>
  <c r="C29" i="6"/>
  <c r="A30" i="6"/>
  <c r="B30" i="6"/>
  <c r="C30" i="6"/>
  <c r="A31" i="6"/>
  <c r="B31" i="6"/>
  <c r="C31" i="6"/>
  <c r="A32" i="6"/>
  <c r="B32" i="6"/>
  <c r="C32" i="6"/>
  <c r="A33" i="6"/>
  <c r="B33" i="6"/>
  <c r="C33" i="6"/>
  <c r="A34" i="6"/>
  <c r="B34" i="6"/>
  <c r="C34" i="6"/>
  <c r="A35" i="6"/>
  <c r="B35" i="6"/>
  <c r="C35" i="6"/>
  <c r="A36" i="6"/>
  <c r="B36" i="6"/>
  <c r="C36" i="6"/>
  <c r="A37" i="6"/>
  <c r="B37" i="6"/>
  <c r="C37" i="6"/>
  <c r="A38" i="6"/>
  <c r="B38" i="6"/>
  <c r="C38" i="6"/>
  <c r="A39" i="6"/>
  <c r="B39" i="6"/>
  <c r="C39" i="6"/>
  <c r="A40" i="6"/>
  <c r="B40" i="6"/>
  <c r="C40" i="6"/>
  <c r="A41" i="6"/>
  <c r="B41" i="6"/>
  <c r="C41" i="6"/>
  <c r="A42" i="6"/>
  <c r="B42" i="6"/>
  <c r="C42" i="6"/>
  <c r="A43" i="6"/>
  <c r="B43" i="6"/>
  <c r="C43" i="6"/>
  <c r="A44" i="6"/>
  <c r="B44" i="6"/>
  <c r="C44" i="6"/>
  <c r="A45" i="6"/>
  <c r="B45" i="6"/>
  <c r="C45" i="6"/>
  <c r="A46" i="6"/>
  <c r="B46" i="6"/>
  <c r="C46" i="6"/>
  <c r="A47" i="6"/>
  <c r="B47" i="6"/>
  <c r="C47" i="6"/>
  <c r="A48" i="6"/>
  <c r="B48" i="6"/>
  <c r="C48" i="6"/>
  <c r="A49" i="6"/>
  <c r="B49" i="6"/>
  <c r="C49" i="6"/>
  <c r="A50" i="6"/>
  <c r="B50" i="6"/>
  <c r="C50" i="6"/>
  <c r="A51" i="6"/>
  <c r="B51" i="6"/>
  <c r="C51" i="6"/>
  <c r="A52" i="6"/>
  <c r="B52" i="6"/>
  <c r="C52" i="6"/>
  <c r="A53" i="6"/>
  <c r="B53" i="6"/>
  <c r="C53" i="6"/>
  <c r="A54" i="6"/>
  <c r="B54" i="6"/>
  <c r="C54" i="6"/>
  <c r="A55" i="6"/>
  <c r="B55" i="6"/>
  <c r="C55" i="6"/>
  <c r="A56" i="6"/>
  <c r="B56" i="6"/>
  <c r="C56" i="6"/>
  <c r="A57" i="6"/>
  <c r="B57" i="6"/>
  <c r="C57" i="6"/>
  <c r="A58" i="6"/>
  <c r="B58" i="6"/>
  <c r="C58" i="6"/>
  <c r="A59" i="6"/>
  <c r="B59" i="6"/>
  <c r="C59" i="6"/>
  <c r="A60" i="6"/>
  <c r="B60" i="6"/>
  <c r="C60" i="6"/>
  <c r="A61" i="6"/>
  <c r="B61" i="6"/>
  <c r="C61" i="6"/>
  <c r="A62" i="6"/>
  <c r="B62" i="6"/>
  <c r="C62" i="6"/>
  <c r="A63" i="6"/>
  <c r="B63" i="6"/>
  <c r="C63" i="6"/>
  <c r="A64" i="6"/>
  <c r="B64" i="6"/>
  <c r="C64" i="6"/>
  <c r="A65" i="6"/>
  <c r="B65" i="6"/>
  <c r="C65" i="6"/>
  <c r="A66" i="6"/>
  <c r="B66" i="6"/>
  <c r="C66" i="6"/>
  <c r="A67" i="6"/>
  <c r="B67" i="6"/>
  <c r="C67" i="6"/>
  <c r="A68" i="6"/>
  <c r="B68" i="6"/>
  <c r="C68" i="6"/>
  <c r="A69" i="6"/>
  <c r="B69" i="6"/>
  <c r="C69" i="6"/>
  <c r="A70" i="6"/>
  <c r="B70" i="6"/>
  <c r="C70" i="6"/>
  <c r="A71" i="6"/>
  <c r="B71" i="6"/>
  <c r="C71" i="6"/>
  <c r="A72" i="6"/>
  <c r="B72" i="6"/>
  <c r="C72" i="6"/>
  <c r="A73" i="6"/>
  <c r="B73" i="6"/>
  <c r="C73" i="6"/>
  <c r="A74" i="6"/>
  <c r="B74" i="6"/>
  <c r="C74" i="6"/>
  <c r="A75" i="6"/>
  <c r="B75" i="6"/>
  <c r="C75" i="6"/>
  <c r="A76" i="6"/>
  <c r="B76" i="6"/>
  <c r="C76" i="6"/>
  <c r="A77" i="6"/>
  <c r="B77" i="6"/>
  <c r="C77" i="6"/>
  <c r="A78" i="6"/>
  <c r="B78" i="6"/>
  <c r="C78" i="6"/>
  <c r="A79" i="6"/>
  <c r="B79" i="6"/>
  <c r="C79" i="6"/>
  <c r="A80" i="6"/>
  <c r="B80" i="6"/>
  <c r="C80" i="6"/>
  <c r="A81" i="6"/>
  <c r="B81" i="6"/>
  <c r="C81" i="6"/>
  <c r="A82" i="6"/>
  <c r="B82" i="6"/>
  <c r="C82" i="6"/>
  <c r="A83" i="6"/>
  <c r="B83" i="6"/>
  <c r="C83" i="6"/>
  <c r="A84" i="6"/>
  <c r="B84" i="6"/>
  <c r="C84" i="6"/>
  <c r="A86" i="6"/>
  <c r="B86" i="6"/>
  <c r="C86" i="6"/>
  <c r="A87" i="6"/>
  <c r="B87" i="6"/>
  <c r="C87" i="6"/>
  <c r="A88" i="6"/>
  <c r="B88" i="6"/>
  <c r="C88" i="6"/>
  <c r="A89" i="6"/>
  <c r="B89" i="6"/>
  <c r="C89" i="6"/>
  <c r="A90" i="6"/>
  <c r="B90" i="6"/>
  <c r="C90" i="6"/>
  <c r="A91" i="6"/>
  <c r="B91" i="6"/>
  <c r="C91" i="6"/>
  <c r="A92" i="6"/>
  <c r="B92" i="6"/>
  <c r="C92" i="6"/>
  <c r="A93" i="6"/>
  <c r="B93" i="6"/>
  <c r="C93" i="6"/>
  <c r="A94" i="6"/>
  <c r="B94" i="6"/>
  <c r="C94" i="6"/>
  <c r="A95" i="6"/>
  <c r="B95" i="6"/>
  <c r="C95" i="6"/>
  <c r="A96" i="6"/>
  <c r="B96" i="6"/>
  <c r="C96" i="6"/>
  <c r="A97" i="6"/>
  <c r="B97" i="6"/>
  <c r="C97" i="6"/>
  <c r="A98" i="6"/>
  <c r="B98" i="6"/>
  <c r="C98" i="6"/>
  <c r="A99" i="6"/>
  <c r="B99" i="6"/>
  <c r="C99" i="6"/>
  <c r="A100" i="6"/>
  <c r="B100" i="6"/>
  <c r="C100" i="6"/>
  <c r="A101" i="6"/>
  <c r="B101" i="6"/>
  <c r="C101" i="6"/>
  <c r="A103" i="6"/>
  <c r="B103" i="6"/>
  <c r="C103" i="6"/>
  <c r="A104" i="6"/>
  <c r="B104" i="6"/>
  <c r="C104" i="6"/>
  <c r="A105" i="6"/>
  <c r="B105" i="6"/>
  <c r="C105" i="6"/>
  <c r="A106" i="6"/>
  <c r="B106" i="6"/>
  <c r="C106" i="6"/>
  <c r="A107" i="6"/>
  <c r="B107" i="6"/>
  <c r="C107" i="6"/>
  <c r="A108" i="6"/>
  <c r="B108" i="6"/>
  <c r="C108" i="6"/>
  <c r="A109" i="6"/>
  <c r="B109" i="6"/>
  <c r="C109" i="6"/>
  <c r="A110" i="6"/>
  <c r="B110" i="6"/>
  <c r="C110" i="6"/>
  <c r="A111" i="6"/>
  <c r="B111" i="6"/>
  <c r="C111" i="6"/>
  <c r="A112" i="6"/>
  <c r="B112" i="6"/>
  <c r="C112" i="6"/>
  <c r="A113" i="6"/>
  <c r="B113" i="6"/>
  <c r="C113" i="6"/>
  <c r="A114" i="6"/>
  <c r="B114" i="6"/>
  <c r="C114" i="6"/>
  <c r="A115" i="6"/>
  <c r="B115" i="6"/>
  <c r="C115" i="6"/>
  <c r="A116" i="6"/>
  <c r="B116" i="6"/>
  <c r="C116" i="6"/>
  <c r="A117" i="6"/>
  <c r="B117" i="6"/>
  <c r="C117" i="6"/>
  <c r="A118" i="6"/>
  <c r="B118" i="6"/>
  <c r="C118" i="6"/>
  <c r="A119" i="6"/>
  <c r="B119" i="6"/>
  <c r="C119" i="6"/>
  <c r="A121" i="6"/>
  <c r="B121" i="6"/>
  <c r="C121" i="6"/>
  <c r="A122" i="6"/>
  <c r="B122" i="6"/>
  <c r="C122" i="6"/>
  <c r="A123" i="6"/>
  <c r="B123" i="6"/>
  <c r="C123" i="6"/>
  <c r="A124" i="6"/>
  <c r="B124" i="6"/>
  <c r="C124" i="6"/>
  <c r="A126" i="6"/>
  <c r="B126" i="6"/>
  <c r="C126" i="6"/>
  <c r="A127" i="6"/>
  <c r="B127" i="6"/>
  <c r="C127" i="6"/>
  <c r="A128" i="6"/>
  <c r="B128" i="6"/>
  <c r="C128" i="6"/>
  <c r="A129" i="6"/>
  <c r="B129" i="6"/>
  <c r="C129" i="6"/>
  <c r="A130" i="6"/>
  <c r="B130" i="6"/>
  <c r="C130" i="6"/>
  <c r="A131" i="6"/>
  <c r="B131" i="6"/>
  <c r="C131" i="6"/>
  <c r="A132" i="6"/>
  <c r="B132" i="6"/>
  <c r="C132" i="6"/>
  <c r="A133" i="6"/>
  <c r="B133" i="6"/>
  <c r="C133" i="6"/>
  <c r="A134" i="6"/>
  <c r="B134" i="6"/>
  <c r="C134" i="6"/>
  <c r="A135" i="6"/>
  <c r="B135" i="6"/>
  <c r="C135" i="6"/>
  <c r="A136" i="6"/>
  <c r="B136" i="6"/>
  <c r="C136" i="6"/>
  <c r="A137" i="6"/>
  <c r="B137" i="6"/>
  <c r="C137" i="6"/>
  <c r="A138" i="6"/>
  <c r="B138" i="6"/>
  <c r="C138" i="6"/>
  <c r="A139" i="6"/>
  <c r="B139" i="6"/>
  <c r="C139" i="6"/>
  <c r="A140" i="6"/>
  <c r="B140" i="6"/>
  <c r="C140" i="6"/>
  <c r="A141" i="6"/>
  <c r="B141" i="6"/>
  <c r="C141" i="6"/>
  <c r="A142" i="6"/>
  <c r="B142" i="6"/>
  <c r="C142" i="6"/>
  <c r="A143" i="6"/>
  <c r="B143" i="6"/>
  <c r="C143" i="6"/>
  <c r="A144" i="6"/>
  <c r="B144" i="6"/>
  <c r="C144" i="6"/>
  <c r="A145" i="6"/>
  <c r="B145" i="6"/>
  <c r="C145" i="6"/>
  <c r="A146" i="6"/>
  <c r="B146" i="6"/>
  <c r="C146" i="6"/>
  <c r="A147" i="6"/>
  <c r="B147" i="6"/>
  <c r="C147" i="6"/>
  <c r="A148" i="6"/>
  <c r="B148" i="6"/>
  <c r="C148" i="6"/>
  <c r="A149" i="6"/>
  <c r="B149" i="6"/>
  <c r="C149" i="6"/>
  <c r="A150" i="6"/>
  <c r="B150" i="6"/>
  <c r="C150" i="6"/>
  <c r="A151" i="6"/>
  <c r="B151" i="6"/>
  <c r="C151" i="6"/>
  <c r="A152" i="6"/>
  <c r="B152" i="6"/>
  <c r="C152" i="6"/>
  <c r="A154" i="6"/>
  <c r="B154" i="6"/>
  <c r="C154" i="6"/>
  <c r="A155" i="6"/>
  <c r="B155" i="6"/>
  <c r="C155" i="6"/>
  <c r="A156" i="6"/>
  <c r="B156" i="6"/>
  <c r="C156" i="6"/>
  <c r="A157" i="6"/>
  <c r="B157" i="6"/>
  <c r="C157" i="6"/>
  <c r="A158" i="6"/>
  <c r="B158" i="6"/>
  <c r="C158" i="6"/>
  <c r="A159" i="6"/>
  <c r="B159" i="6"/>
  <c r="C159" i="6"/>
  <c r="A160" i="6"/>
  <c r="B160" i="6"/>
  <c r="C160" i="6"/>
  <c r="A161" i="6"/>
  <c r="B161" i="6"/>
  <c r="C161" i="6"/>
  <c r="A162" i="6"/>
  <c r="B162" i="6"/>
  <c r="C162" i="6"/>
  <c r="C13" i="6"/>
  <c r="B13" i="6"/>
  <c r="A13" i="6"/>
  <c r="D26" i="5"/>
  <c r="D162" i="5"/>
  <c r="D60" i="5"/>
  <c r="D61" i="5"/>
  <c r="G275" i="22" l="1"/>
  <c r="J275" i="22" s="1"/>
  <c r="G112" i="22"/>
  <c r="G59" i="22"/>
  <c r="J59" i="22" s="1"/>
  <c r="R57" i="20" s="1"/>
  <c r="D180" i="6"/>
  <c r="D171" i="6"/>
  <c r="D163" i="6"/>
  <c r="S65" i="36"/>
  <c r="AC199" i="20"/>
  <c r="D168" i="6"/>
  <c r="AJ198" i="20"/>
  <c r="AF198" i="20"/>
  <c r="AB198" i="20"/>
  <c r="AI198" i="20"/>
  <c r="AE198" i="20"/>
  <c r="AA198" i="20"/>
  <c r="AL198" i="20"/>
  <c r="AH198" i="20"/>
  <c r="AD198" i="20"/>
  <c r="AJ168" i="20"/>
  <c r="AJ223" i="20" s="1"/>
  <c r="AF168" i="20"/>
  <c r="AF223" i="20" s="1"/>
  <c r="AB168" i="20"/>
  <c r="AB223" i="20" s="1"/>
  <c r="AI168" i="20"/>
  <c r="AI223" i="20" s="1"/>
  <c r="AE168" i="20"/>
  <c r="AE223" i="20" s="1"/>
  <c r="AA168" i="20"/>
  <c r="AA223" i="20" s="1"/>
  <c r="AL168" i="20"/>
  <c r="AL223" i="20" s="1"/>
  <c r="AH168" i="20"/>
  <c r="AH223" i="20" s="1"/>
  <c r="AD168" i="20"/>
  <c r="AD223" i="20" s="1"/>
  <c r="AK168" i="20"/>
  <c r="AK223" i="20" s="1"/>
  <c r="AK198" i="20"/>
  <c r="AJ199" i="20"/>
  <c r="AF199" i="20"/>
  <c r="AB199" i="20"/>
  <c r="AI199" i="20"/>
  <c r="AE199" i="20"/>
  <c r="AA199" i="20"/>
  <c r="AL199" i="20"/>
  <c r="AH199" i="20"/>
  <c r="AD199" i="20"/>
  <c r="D176" i="6"/>
  <c r="D175" i="6"/>
  <c r="D167" i="6"/>
  <c r="AC168" i="20"/>
  <c r="AC223" i="20" s="1"/>
  <c r="AC198" i="20"/>
  <c r="AG199" i="20"/>
  <c r="D177" i="6"/>
  <c r="D172" i="6"/>
  <c r="D169" i="6"/>
  <c r="D164" i="6"/>
  <c r="AG168" i="20"/>
  <c r="AG223" i="20" s="1"/>
  <c r="AG198" i="20"/>
  <c r="AK199" i="20"/>
  <c r="D179" i="6"/>
  <c r="D174" i="6"/>
  <c r="D170" i="6"/>
  <c r="D166" i="6"/>
  <c r="E26" i="5"/>
  <c r="E162" i="5"/>
  <c r="E60" i="5"/>
  <c r="E61" i="5"/>
  <c r="AK204" i="20" l="1"/>
  <c r="AC204" i="20"/>
  <c r="AL204" i="20"/>
  <c r="AB204" i="20"/>
  <c r="AA204" i="20"/>
  <c r="AF204" i="20"/>
  <c r="AD204" i="20"/>
  <c r="AE204" i="20"/>
  <c r="AJ204" i="20"/>
  <c r="AG204" i="20"/>
  <c r="AH204" i="20"/>
  <c r="AI204" i="20"/>
  <c r="J112" i="22"/>
  <c r="J113" i="22" s="1"/>
  <c r="G113" i="22"/>
  <c r="R138" i="54"/>
  <c r="T138" i="54"/>
  <c r="Y138" i="54"/>
  <c r="AA137" i="55"/>
  <c r="AA138" i="55" s="1"/>
  <c r="AA136" i="55"/>
  <c r="Y137" i="55"/>
  <c r="Y138" i="55" s="1"/>
  <c r="Y136" i="55"/>
  <c r="G279" i="21"/>
  <c r="J279" i="21" s="1"/>
  <c r="X137" i="55"/>
  <c r="X138" i="55" s="1"/>
  <c r="X136" i="55"/>
  <c r="V138" i="54"/>
  <c r="S137" i="55"/>
  <c r="S138" i="55" s="1"/>
  <c r="S136" i="55"/>
  <c r="Q137" i="55"/>
  <c r="Q138" i="55" s="1"/>
  <c r="Q136" i="55"/>
  <c r="V137" i="55"/>
  <c r="V138" i="55" s="1"/>
  <c r="V136" i="55"/>
  <c r="W138" i="54"/>
  <c r="Z138" i="54"/>
  <c r="Q138" i="54"/>
  <c r="T137" i="55"/>
  <c r="T138" i="55" s="1"/>
  <c r="T136" i="55"/>
  <c r="W137" i="55"/>
  <c r="W138" i="55" s="1"/>
  <c r="W136" i="55"/>
  <c r="R137" i="55"/>
  <c r="R138" i="55" s="1"/>
  <c r="R136" i="55"/>
  <c r="S138" i="54"/>
  <c r="X138" i="54"/>
  <c r="P137" i="55"/>
  <c r="P138" i="55" s="1"/>
  <c r="P136" i="55"/>
  <c r="U137" i="55"/>
  <c r="U138" i="55" s="1"/>
  <c r="U136" i="55"/>
  <c r="Z137" i="55"/>
  <c r="Z138" i="55" s="1"/>
  <c r="Z136" i="55"/>
  <c r="AA138" i="54"/>
  <c r="P138" i="54"/>
  <c r="U138" i="54"/>
  <c r="AH200" i="20"/>
  <c r="AI200" i="20"/>
  <c r="AG200" i="20"/>
  <c r="AA169" i="20"/>
  <c r="AF224" i="20"/>
  <c r="AF169" i="20"/>
  <c r="AL200" i="20"/>
  <c r="AB200" i="20"/>
  <c r="AK200" i="20"/>
  <c r="AD169" i="20"/>
  <c r="AD224" i="20"/>
  <c r="AA200" i="20"/>
  <c r="AM198" i="20"/>
  <c r="AF200" i="20"/>
  <c r="AM168" i="20"/>
  <c r="AC224" i="20"/>
  <c r="AC169" i="20"/>
  <c r="AM199" i="20"/>
  <c r="AK169" i="20"/>
  <c r="AK224" i="20"/>
  <c r="AH224" i="20"/>
  <c r="AH169" i="20"/>
  <c r="AI224" i="20"/>
  <c r="AI169" i="20"/>
  <c r="AD200" i="20"/>
  <c r="AE200" i="20"/>
  <c r="AJ200" i="20"/>
  <c r="AC200" i="20"/>
  <c r="AB169" i="20"/>
  <c r="AB224" i="20"/>
  <c r="AL224" i="20"/>
  <c r="AL169" i="20"/>
  <c r="AG169" i="20"/>
  <c r="AG224" i="20"/>
  <c r="AE169" i="20"/>
  <c r="AE224" i="20"/>
  <c r="AJ224" i="20"/>
  <c r="AJ169" i="20"/>
  <c r="E170" i="6"/>
  <c r="E166" i="6"/>
  <c r="N30" i="53" s="1"/>
  <c r="E180" i="6"/>
  <c r="E179" i="6"/>
  <c r="E174" i="6"/>
  <c r="E177" i="6"/>
  <c r="E175" i="6"/>
  <c r="E163" i="6"/>
  <c r="E165" i="6"/>
  <c r="E171" i="6"/>
  <c r="E169" i="6"/>
  <c r="E173" i="6"/>
  <c r="E167" i="6"/>
  <c r="E164" i="6"/>
  <c r="E176" i="6"/>
  <c r="E172" i="6"/>
  <c r="E168" i="6"/>
  <c r="AM204" i="20" l="1"/>
  <c r="G228" i="22"/>
  <c r="J228" i="22" s="1"/>
  <c r="G231" i="22"/>
  <c r="J231" i="22" s="1"/>
  <c r="G232" i="22"/>
  <c r="J232" i="22" s="1"/>
  <c r="G230" i="22"/>
  <c r="J230" i="22" s="1"/>
  <c r="G225" i="22"/>
  <c r="J225" i="22" s="1"/>
  <c r="G227" i="22"/>
  <c r="J227" i="22" s="1"/>
  <c r="G226" i="22"/>
  <c r="J226" i="22" s="1"/>
  <c r="G233" i="22"/>
  <c r="J233" i="22" s="1"/>
  <c r="G229" i="22"/>
  <c r="J229" i="22" s="1"/>
  <c r="AM169" i="20"/>
  <c r="AA224" i="20"/>
  <c r="AM223" i="20"/>
  <c r="AM224" i="20" s="1"/>
  <c r="AM200" i="20"/>
  <c r="G238" i="22"/>
  <c r="D13" i="5" l="1"/>
  <c r="D86" i="5"/>
  <c r="D29" i="5"/>
  <c r="R104" i="55" l="1"/>
  <c r="R105" i="55"/>
  <c r="Z104" i="55"/>
  <c r="Z105" i="55"/>
  <c r="S105" i="55"/>
  <c r="S104" i="55"/>
  <c r="AA105" i="55"/>
  <c r="AA104" i="55"/>
  <c r="P104" i="55"/>
  <c r="P105" i="55"/>
  <c r="T104" i="55"/>
  <c r="T105" i="55"/>
  <c r="X104" i="55"/>
  <c r="X105" i="55"/>
  <c r="V104" i="55"/>
  <c r="V105" i="55"/>
  <c r="W105" i="55"/>
  <c r="W104" i="55"/>
  <c r="Q105" i="55"/>
  <c r="Q104" i="55"/>
  <c r="U105" i="55"/>
  <c r="U104" i="55"/>
  <c r="Y105" i="55"/>
  <c r="Y104" i="55"/>
  <c r="E13" i="5"/>
  <c r="E86" i="5"/>
  <c r="E173" i="5"/>
  <c r="E29" i="5"/>
  <c r="E156" i="5"/>
  <c r="E160" i="5"/>
  <c r="E169" i="5"/>
  <c r="E170" i="5"/>
  <c r="E172" i="5"/>
  <c r="E147" i="5"/>
  <c r="E149" i="5"/>
  <c r="E165" i="5"/>
  <c r="E167" i="5"/>
  <c r="E178" i="5"/>
  <c r="E143" i="5"/>
  <c r="E151" i="5"/>
  <c r="E153" i="5"/>
  <c r="E155" i="5"/>
  <c r="E141" i="5"/>
  <c r="E144" i="5"/>
  <c r="E146" i="5"/>
  <c r="E158" i="5"/>
  <c r="E161" i="5"/>
  <c r="E164" i="5"/>
  <c r="E175" i="5"/>
  <c r="E179" i="5"/>
  <c r="E145" i="5"/>
  <c r="E148" i="5"/>
  <c r="E150" i="5"/>
  <c r="E163" i="5"/>
  <c r="E166" i="5"/>
  <c r="E168" i="5"/>
  <c r="E140" i="5"/>
  <c r="E142" i="5"/>
  <c r="E154" i="5"/>
  <c r="E157" i="5"/>
  <c r="E159" i="5"/>
  <c r="E171" i="5"/>
  <c r="E174" i="5"/>
  <c r="E176" i="5"/>
  <c r="J30" i="53" l="1"/>
  <c r="G238" i="21"/>
  <c r="G227" i="21"/>
  <c r="G232" i="21"/>
  <c r="G228" i="21"/>
  <c r="G225" i="21"/>
  <c r="G230" i="21"/>
  <c r="G280" i="21"/>
  <c r="J280" i="21" s="1"/>
  <c r="G231" i="21"/>
  <c r="G226" i="21"/>
  <c r="G229" i="21"/>
  <c r="G233" i="21"/>
  <c r="D178" i="5"/>
  <c r="D176" i="5"/>
  <c r="D175" i="5"/>
  <c r="D174" i="5"/>
  <c r="D173" i="5"/>
  <c r="D172" i="5"/>
  <c r="D171" i="5"/>
  <c r="D170" i="5"/>
  <c r="D169" i="5"/>
  <c r="D168" i="5"/>
  <c r="D167" i="5"/>
  <c r="D166" i="5"/>
  <c r="D165" i="5"/>
  <c r="D164" i="5"/>
  <c r="D163" i="5"/>
  <c r="D161" i="5"/>
  <c r="D160" i="5"/>
  <c r="D159" i="5"/>
  <c r="D158" i="5"/>
  <c r="D157" i="5"/>
  <c r="D156" i="5"/>
  <c r="D155" i="5"/>
  <c r="D154" i="5"/>
  <c r="D153" i="5"/>
  <c r="D151" i="5"/>
  <c r="D150" i="5"/>
  <c r="D149" i="5"/>
  <c r="D148" i="5"/>
  <c r="D147" i="5"/>
  <c r="D146" i="5"/>
  <c r="D145" i="5"/>
  <c r="D144" i="5"/>
  <c r="D143" i="5"/>
  <c r="D142" i="5"/>
  <c r="D141" i="5"/>
  <c r="D140" i="5"/>
  <c r="D179" i="5"/>
  <c r="AL125" i="20"/>
  <c r="AL124" i="20"/>
  <c r="AK125" i="20"/>
  <c r="AK124" i="20"/>
  <c r="AJ125" i="20"/>
  <c r="AJ124" i="20"/>
  <c r="AI125" i="20"/>
  <c r="AI124" i="20"/>
  <c r="AH125" i="20"/>
  <c r="AH124" i="20"/>
  <c r="AG125" i="20"/>
  <c r="AG124" i="20"/>
  <c r="AF125" i="20"/>
  <c r="AF124" i="20"/>
  <c r="AE125" i="20"/>
  <c r="AE124" i="20"/>
  <c r="AD125" i="20"/>
  <c r="AD124" i="20"/>
  <c r="AC125" i="20"/>
  <c r="AC124" i="20"/>
  <c r="AB125" i="20"/>
  <c r="AB124" i="20"/>
  <c r="AA125" i="20"/>
  <c r="AA124" i="20"/>
  <c r="AG91" i="20" l="1"/>
  <c r="AE91" i="20"/>
  <c r="AD91" i="20"/>
  <c r="AI91" i="20"/>
  <c r="AL91" i="20"/>
  <c r="AB91" i="20"/>
  <c r="AB144" i="20" s="1"/>
  <c r="AF91" i="20"/>
  <c r="AK91" i="20"/>
  <c r="AA91" i="20"/>
  <c r="AA144" i="20" s="1"/>
  <c r="AC91" i="20"/>
  <c r="AJ91" i="20"/>
  <c r="AH91" i="20"/>
  <c r="W70" i="54"/>
  <c r="W71" i="54" s="1"/>
  <c r="R70" i="54"/>
  <c r="R71" i="54" s="1"/>
  <c r="S70" i="54"/>
  <c r="S71" i="54" s="1"/>
  <c r="X70" i="54"/>
  <c r="X71" i="54" s="1"/>
  <c r="P70" i="54"/>
  <c r="P71" i="54" s="1"/>
  <c r="T70" i="54"/>
  <c r="T71" i="54" s="1"/>
  <c r="Y70" i="54"/>
  <c r="Y71" i="54" s="1"/>
  <c r="Q70" i="54"/>
  <c r="Q71" i="54" s="1"/>
  <c r="V70" i="54"/>
  <c r="V71" i="54" s="1"/>
  <c r="Z70" i="54"/>
  <c r="Z71" i="54" s="1"/>
  <c r="O190" i="5"/>
  <c r="H189" i="5"/>
  <c r="I189" i="5"/>
  <c r="N189" i="5"/>
  <c r="F189" i="5"/>
  <c r="J189" i="5"/>
  <c r="M189" i="5"/>
  <c r="G189" i="5"/>
  <c r="L189" i="5"/>
  <c r="P189" i="5"/>
  <c r="O189" i="5"/>
  <c r="G190" i="5"/>
  <c r="L190" i="5"/>
  <c r="O188" i="5"/>
  <c r="P190" i="5"/>
  <c r="H190" i="5"/>
  <c r="I190" i="5"/>
  <c r="I188" i="5"/>
  <c r="F190" i="5"/>
  <c r="G188" i="5"/>
  <c r="J190" i="5"/>
  <c r="L188" i="5"/>
  <c r="M190" i="5"/>
  <c r="P188" i="5"/>
  <c r="Q190" i="5"/>
  <c r="H188" i="5"/>
  <c r="N188" i="5"/>
  <c r="F188" i="5"/>
  <c r="J188" i="5"/>
  <c r="M188" i="5"/>
  <c r="N190" i="5"/>
  <c r="AH144" i="20" l="1"/>
  <c r="AH145" i="20" s="1"/>
  <c r="AK144" i="20"/>
  <c r="AK145" i="20" s="1"/>
  <c r="AI144" i="20"/>
  <c r="AI145" i="20" s="1"/>
  <c r="AJ144" i="20"/>
  <c r="AJ145" i="20" s="1"/>
  <c r="AF144" i="20"/>
  <c r="AF145" i="20" s="1"/>
  <c r="AD144" i="20"/>
  <c r="AC144" i="20"/>
  <c r="AC145" i="20" s="1"/>
  <c r="AE144" i="20"/>
  <c r="AE145" i="20" s="1"/>
  <c r="AL144" i="20"/>
  <c r="AL145" i="20" s="1"/>
  <c r="AG144" i="20"/>
  <c r="AG145" i="20" s="1"/>
  <c r="AB145" i="20"/>
  <c r="AM144" i="20" l="1"/>
  <c r="AD145" i="20"/>
  <c r="A7" i="71"/>
  <c r="K22" i="54" l="1"/>
  <c r="P150" i="112" l="1"/>
  <c r="N136" i="112"/>
  <c r="T135" i="112"/>
  <c r="N135" i="112"/>
  <c r="N134" i="112"/>
  <c r="N133" i="112"/>
  <c r="A78" i="112"/>
  <c r="A46" i="112"/>
  <c r="J99" i="112"/>
  <c r="I84" i="112"/>
  <c r="A82" i="112"/>
  <c r="A81" i="112"/>
  <c r="A77" i="112"/>
  <c r="A76" i="112"/>
  <c r="J67" i="112"/>
  <c r="I52" i="112"/>
  <c r="A50" i="112"/>
  <c r="A49" i="112"/>
  <c r="A45" i="112"/>
  <c r="A44" i="112"/>
  <c r="V79" i="16" l="1"/>
  <c r="V80" i="16"/>
  <c r="V73" i="16"/>
  <c r="V72" i="16"/>
  <c r="Y53" i="62" l="1"/>
  <c r="V53" i="62"/>
  <c r="T53" i="62"/>
  <c r="R53" i="62"/>
  <c r="P53" i="62"/>
  <c r="N53" i="62"/>
  <c r="H53" i="62"/>
  <c r="F53" i="62"/>
  <c r="L49" i="115" l="1"/>
  <c r="A324" i="91" l="1"/>
  <c r="H299" i="91"/>
  <c r="A293" i="91"/>
  <c r="A271" i="91"/>
  <c r="A272" i="91" s="1"/>
  <c r="A273" i="91" s="1"/>
  <c r="A274" i="91" s="1"/>
  <c r="A275" i="91" s="1"/>
  <c r="A276" i="91" s="1"/>
  <c r="A277" i="91" s="1"/>
  <c r="A278" i="91" s="1"/>
  <c r="A279" i="91" s="1"/>
  <c r="A280" i="91" s="1"/>
  <c r="A284" i="91" s="1"/>
  <c r="A259" i="91"/>
  <c r="H257" i="91"/>
  <c r="A210" i="91"/>
  <c r="H207" i="91"/>
  <c r="A201" i="91"/>
  <c r="H132" i="91"/>
  <c r="A126" i="91"/>
  <c r="A105" i="91"/>
  <c r="A106" i="91" s="1"/>
  <c r="A107" i="91" s="1"/>
  <c r="A108" i="91" s="1"/>
  <c r="A109" i="91" s="1"/>
  <c r="A110" i="91" s="1"/>
  <c r="A111" i="91" s="1"/>
  <c r="A112" i="91" s="1"/>
  <c r="A113" i="91" s="1"/>
  <c r="A114" i="91" s="1"/>
  <c r="A117" i="91" s="1"/>
  <c r="A93" i="91"/>
  <c r="H91" i="91"/>
  <c r="A44" i="91"/>
  <c r="H41" i="91"/>
  <c r="A35" i="91"/>
  <c r="K333" i="93"/>
  <c r="K332" i="93"/>
  <c r="K331" i="93"/>
  <c r="K330" i="93"/>
  <c r="K329" i="93"/>
  <c r="K328" i="93"/>
  <c r="K327" i="93"/>
  <c r="K326" i="93"/>
  <c r="A326" i="93"/>
  <c r="A327" i="93" s="1"/>
  <c r="A328" i="93" s="1"/>
  <c r="A329" i="93" s="1"/>
  <c r="K325" i="93"/>
  <c r="A314" i="93"/>
  <c r="K312" i="93"/>
  <c r="A305" i="93"/>
  <c r="K290" i="93"/>
  <c r="K286" i="93"/>
  <c r="K285" i="93"/>
  <c r="K284" i="93"/>
  <c r="K283" i="93"/>
  <c r="K282" i="93"/>
  <c r="A282" i="93"/>
  <c r="A283" i="93" s="1"/>
  <c r="A284" i="93" s="1"/>
  <c r="A285" i="93" s="1"/>
  <c r="A286" i="93" s="1"/>
  <c r="K281" i="93"/>
  <c r="A270" i="93"/>
  <c r="K268" i="93"/>
  <c r="A261" i="93"/>
  <c r="K251" i="93"/>
  <c r="K250" i="93"/>
  <c r="K249" i="93"/>
  <c r="K248" i="93"/>
  <c r="K247" i="93"/>
  <c r="K246" i="93"/>
  <c r="K245" i="93"/>
  <c r="K244" i="93"/>
  <c r="K243" i="93"/>
  <c r="K242" i="93"/>
  <c r="K241" i="93"/>
  <c r="K240" i="93"/>
  <c r="K239" i="93"/>
  <c r="K238" i="93"/>
  <c r="K237" i="93"/>
  <c r="K236" i="93"/>
  <c r="K235" i="93"/>
  <c r="K234" i="93"/>
  <c r="K233" i="93"/>
  <c r="K232" i="93"/>
  <c r="K231" i="93"/>
  <c r="K230" i="93"/>
  <c r="A219" i="93"/>
  <c r="K217" i="93"/>
  <c r="A210" i="93"/>
  <c r="A200" i="93"/>
  <c r="A204" i="93" s="1"/>
  <c r="K199" i="93"/>
  <c r="K198" i="93"/>
  <c r="K197" i="93"/>
  <c r="K196" i="93"/>
  <c r="K160" i="93"/>
  <c r="K159" i="93"/>
  <c r="K158" i="93"/>
  <c r="K157" i="93"/>
  <c r="K156" i="93"/>
  <c r="K155" i="93"/>
  <c r="K154" i="93"/>
  <c r="K153" i="93"/>
  <c r="A153" i="93"/>
  <c r="A154" i="93" s="1"/>
  <c r="A155" i="93" s="1"/>
  <c r="A156" i="93" s="1"/>
  <c r="K152" i="93"/>
  <c r="E145" i="91" s="1"/>
  <c r="A141" i="93"/>
  <c r="J139" i="93"/>
  <c r="A132" i="93"/>
  <c r="E113" i="91"/>
  <c r="E126" i="98" s="1"/>
  <c r="K113" i="93"/>
  <c r="E109" i="91" s="1"/>
  <c r="K112" i="93"/>
  <c r="E108" i="91" s="1"/>
  <c r="K111" i="93"/>
  <c r="K110" i="93"/>
  <c r="K109" i="93"/>
  <c r="A109" i="93"/>
  <c r="K108" i="93"/>
  <c r="A97" i="93"/>
  <c r="J95" i="93"/>
  <c r="A88" i="93"/>
  <c r="K78" i="93"/>
  <c r="E75" i="91" s="1"/>
  <c r="K77" i="93"/>
  <c r="E74" i="91" s="1"/>
  <c r="K76" i="93"/>
  <c r="E73" i="91" s="1"/>
  <c r="K75" i="93"/>
  <c r="E72" i="91" s="1"/>
  <c r="K74" i="93"/>
  <c r="E71" i="91" s="1"/>
  <c r="K73" i="93"/>
  <c r="E70" i="91" s="1"/>
  <c r="K72" i="93"/>
  <c r="E69" i="91" s="1"/>
  <c r="K71" i="93"/>
  <c r="E68" i="91" s="1"/>
  <c r="K70" i="93"/>
  <c r="E67" i="91" s="1"/>
  <c r="K69" i="93"/>
  <c r="E66" i="91" s="1"/>
  <c r="K68" i="93"/>
  <c r="E65" i="91" s="1"/>
  <c r="K67" i="93"/>
  <c r="E64" i="91" s="1"/>
  <c r="K66" i="93"/>
  <c r="E63" i="91" s="1"/>
  <c r="K65" i="93"/>
  <c r="E62" i="91" s="1"/>
  <c r="K64" i="93"/>
  <c r="E61" i="91" s="1"/>
  <c r="K63" i="93"/>
  <c r="E60" i="91" s="1"/>
  <c r="K62" i="93"/>
  <c r="E59" i="91" s="1"/>
  <c r="K61" i="93"/>
  <c r="E58" i="91" s="1"/>
  <c r="K60" i="93"/>
  <c r="E57" i="91" s="1"/>
  <c r="K59" i="93"/>
  <c r="E56" i="91" s="1"/>
  <c r="K58" i="93"/>
  <c r="E55" i="91" s="1"/>
  <c r="K57" i="93"/>
  <c r="A46" i="93"/>
  <c r="J44" i="93"/>
  <c r="A37" i="93"/>
  <c r="A27" i="93"/>
  <c r="A31" i="93" s="1"/>
  <c r="K26" i="93"/>
  <c r="K25" i="93"/>
  <c r="K24" i="93"/>
  <c r="K23" i="93"/>
  <c r="K29" i="117"/>
  <c r="K255" i="93" l="1"/>
  <c r="A299" i="93"/>
  <c r="A287" i="93"/>
  <c r="A288" i="93" s="1"/>
  <c r="A289" i="93" s="1"/>
  <c r="A290" i="93" s="1"/>
  <c r="A291" i="93" s="1"/>
  <c r="A296" i="93" s="1"/>
  <c r="E54" i="91"/>
  <c r="E79" i="91" s="1"/>
  <c r="K82" i="93"/>
  <c r="A110" i="93"/>
  <c r="A111" i="93" s="1"/>
  <c r="A112" i="93" s="1"/>
  <c r="A113" i="93" s="1"/>
  <c r="A114" i="93" s="1"/>
  <c r="A115" i="93" s="1"/>
  <c r="A116" i="93" s="1"/>
  <c r="A117" i="93" s="1"/>
  <c r="A157" i="93"/>
  <c r="A158" i="93" s="1"/>
  <c r="A159" i="93" s="1"/>
  <c r="A160" i="93" s="1"/>
  <c r="A161" i="93" s="1"/>
  <c r="A164" i="93" s="1"/>
  <c r="A167" i="93" s="1"/>
  <c r="A170" i="93" s="1"/>
  <c r="A330" i="93"/>
  <c r="A331" i="93" s="1"/>
  <c r="A332" i="93" s="1"/>
  <c r="A333" i="93" s="1"/>
  <c r="A334" i="93" s="1"/>
  <c r="A337" i="93" s="1"/>
  <c r="A340" i="93" s="1"/>
  <c r="A343" i="93" s="1"/>
  <c r="A327" i="91"/>
  <c r="A330" i="91" s="1"/>
  <c r="A287" i="91"/>
  <c r="A160" i="91"/>
  <c r="A163" i="91" s="1"/>
  <c r="A120" i="91"/>
  <c r="E24" i="91"/>
  <c r="E26" i="91"/>
  <c r="E23" i="91"/>
  <c r="E25" i="91"/>
  <c r="A118" i="93" l="1"/>
  <c r="A123" i="93" s="1"/>
  <c r="A126" i="93" s="1"/>
  <c r="L45" i="16" l="1"/>
  <c r="F58" i="95" l="1"/>
  <c r="E58" i="95"/>
  <c r="F30" i="95"/>
  <c r="E30" i="95"/>
  <c r="P11" i="118" l="1"/>
  <c r="P12" i="118"/>
  <c r="P13" i="118"/>
  <c r="P14" i="118"/>
  <c r="P15" i="118"/>
  <c r="P16" i="118"/>
  <c r="P17" i="118"/>
  <c r="P18" i="118"/>
  <c r="P19" i="118"/>
  <c r="P20" i="118"/>
  <c r="P21" i="118"/>
  <c r="P22" i="118"/>
  <c r="P10" i="118"/>
  <c r="C195" i="134"/>
  <c r="C196" i="134" s="1"/>
  <c r="A176" i="134"/>
  <c r="A177" i="134" s="1"/>
  <c r="A178" i="134" s="1"/>
  <c r="A179" i="134" s="1"/>
  <c r="A180" i="134" s="1"/>
  <c r="A181" i="134" s="1"/>
  <c r="A182" i="134" s="1"/>
  <c r="A183" i="134" s="1"/>
  <c r="A184" i="134" s="1"/>
  <c r="A185" i="134" s="1"/>
  <c r="A186" i="134" s="1"/>
  <c r="A187" i="134" s="1"/>
  <c r="A190" i="134" s="1"/>
  <c r="A194" i="134" s="1"/>
  <c r="A195" i="134" s="1"/>
  <c r="A196" i="134" s="1"/>
  <c r="A199" i="134" s="1"/>
  <c r="A163" i="134"/>
  <c r="M161" i="134"/>
  <c r="A155" i="134"/>
  <c r="A154" i="134"/>
  <c r="A153" i="134"/>
  <c r="A129" i="134"/>
  <c r="A130" i="134" s="1"/>
  <c r="A131" i="134" s="1"/>
  <c r="A132" i="134" s="1"/>
  <c r="A133" i="134" s="1"/>
  <c r="A134" i="134" s="1"/>
  <c r="A135" i="134" s="1"/>
  <c r="A136" i="134" s="1"/>
  <c r="A140" i="134" s="1"/>
  <c r="A143" i="134" s="1"/>
  <c r="A116" i="134"/>
  <c r="M114" i="134"/>
  <c r="A108" i="134"/>
  <c r="A107" i="134"/>
  <c r="A106" i="134"/>
  <c r="F93" i="134"/>
  <c r="A68" i="134"/>
  <c r="A69" i="134" s="1"/>
  <c r="A70" i="134" s="1"/>
  <c r="A71" i="134" s="1"/>
  <c r="A72" i="134" s="1"/>
  <c r="A73" i="134" s="1"/>
  <c r="A74" i="134" s="1"/>
  <c r="A75" i="134" s="1"/>
  <c r="A76" i="134" s="1"/>
  <c r="A77" i="134" s="1"/>
  <c r="A78" i="134" s="1"/>
  <c r="A79" i="134" s="1"/>
  <c r="A80" i="134" s="1"/>
  <c r="A81" i="134" s="1"/>
  <c r="A82" i="134" s="1"/>
  <c r="A83" i="134" s="1"/>
  <c r="A84" i="134" s="1"/>
  <c r="A85" i="134" s="1"/>
  <c r="A86" i="134" s="1"/>
  <c r="A87" i="134" s="1"/>
  <c r="A88" i="134" s="1"/>
  <c r="A89" i="134" s="1"/>
  <c r="A90" i="134" s="1"/>
  <c r="A91" i="134" s="1"/>
  <c r="A92" i="134" s="1"/>
  <c r="A93" i="134" s="1"/>
  <c r="A96" i="134" s="1"/>
  <c r="A56" i="134"/>
  <c r="M54" i="134"/>
  <c r="A47" i="134"/>
  <c r="A46" i="134"/>
  <c r="A45" i="134"/>
  <c r="F30" i="134"/>
  <c r="A26" i="134"/>
  <c r="A27" i="134" s="1"/>
  <c r="A28" i="134" s="1"/>
  <c r="A29" i="134" s="1"/>
  <c r="A30" i="134" s="1"/>
  <c r="A34" i="134" s="1"/>
  <c r="M15" i="134"/>
  <c r="M164" i="134" s="1"/>
  <c r="M14" i="134"/>
  <c r="M163" i="134" s="1"/>
  <c r="A13" i="134"/>
  <c r="A162" i="134" s="1"/>
  <c r="A12" i="134"/>
  <c r="A161" i="134" s="1"/>
  <c r="A2" i="134"/>
  <c r="A152" i="134" s="1"/>
  <c r="A1" i="134"/>
  <c r="A151" i="134" s="1"/>
  <c r="AD389" i="24"/>
  <c r="AB389" i="24"/>
  <c r="Z389" i="24"/>
  <c r="X389" i="24"/>
  <c r="V389" i="24"/>
  <c r="M57" i="134" l="1"/>
  <c r="A44" i="134"/>
  <c r="A105" i="134"/>
  <c r="M117" i="134"/>
  <c r="A43" i="134"/>
  <c r="A54" i="134"/>
  <c r="A55" i="134"/>
  <c r="M56" i="134"/>
  <c r="A104" i="134"/>
  <c r="A114" i="134"/>
  <c r="A115" i="134"/>
  <c r="M116" i="134"/>
  <c r="H60" i="22" l="1"/>
  <c r="E59" i="17" l="1"/>
  <c r="I56" i="17"/>
  <c r="G56" i="17"/>
  <c r="E56" i="17"/>
  <c r="I36" i="17"/>
  <c r="G36" i="17"/>
  <c r="E36" i="17"/>
  <c r="I35" i="17"/>
  <c r="G35" i="17"/>
  <c r="E35" i="17"/>
  <c r="E24" i="17"/>
  <c r="E108" i="17"/>
  <c r="E109" i="17"/>
  <c r="E110" i="17"/>
  <c r="E111" i="17"/>
  <c r="E112" i="17"/>
  <c r="E113" i="17"/>
  <c r="E114" i="17"/>
  <c r="C23" i="120" l="1"/>
  <c r="F22" i="139" l="1"/>
  <c r="G22" i="139" s="1"/>
  <c r="N22" i="139" s="1"/>
  <c r="F21" i="139"/>
  <c r="G21" i="139" s="1"/>
  <c r="N21" i="139" s="1"/>
  <c r="F20" i="139"/>
  <c r="G20" i="139" s="1"/>
  <c r="N20" i="139" s="1"/>
  <c r="F19" i="139"/>
  <c r="G19" i="139" s="1"/>
  <c r="N19" i="139" s="1"/>
  <c r="F18" i="139"/>
  <c r="G18" i="139" s="1"/>
  <c r="N18" i="139" s="1"/>
  <c r="F17" i="139"/>
  <c r="G17" i="139" s="1"/>
  <c r="N17" i="139" s="1"/>
  <c r="N29" i="66" l="1"/>
  <c r="M29" i="66"/>
  <c r="L29" i="66"/>
  <c r="K29" i="66"/>
  <c r="N23" i="66"/>
  <c r="M23" i="66"/>
  <c r="M30" i="66" s="1"/>
  <c r="L23" i="66"/>
  <c r="K23" i="66"/>
  <c r="L61" i="63"/>
  <c r="L55" i="63"/>
  <c r="L45" i="63"/>
  <c r="L39" i="63"/>
  <c r="K30" i="66" l="1"/>
  <c r="M75" i="138" s="1"/>
  <c r="M76" i="138" s="1"/>
  <c r="L30" i="66"/>
  <c r="O75" i="138" s="1"/>
  <c r="O76" i="138" s="1"/>
  <c r="N30" i="66"/>
  <c r="S75" i="138" s="1"/>
  <c r="S76" i="138" s="1"/>
  <c r="L62" i="63"/>
  <c r="L46" i="63"/>
  <c r="Q75" i="138"/>
  <c r="Q76" i="138" s="1"/>
  <c r="A1" i="132" l="1"/>
  <c r="E24" i="121"/>
  <c r="AG264" i="121" s="1"/>
  <c r="H89" i="22"/>
  <c r="F16" i="139" l="1"/>
  <c r="G16" i="139" s="1"/>
  <c r="N16" i="139" s="1"/>
  <c r="M63" i="64" l="1"/>
  <c r="L63" i="64"/>
  <c r="K63" i="64"/>
  <c r="J63" i="64"/>
  <c r="I63" i="64"/>
  <c r="H63" i="64"/>
  <c r="G63" i="64"/>
  <c r="F63" i="64"/>
  <c r="E63" i="64"/>
  <c r="D63" i="64"/>
  <c r="C63" i="64"/>
  <c r="L57" i="64"/>
  <c r="J57" i="64"/>
  <c r="H57" i="64"/>
  <c r="M57" i="64"/>
  <c r="K57" i="64"/>
  <c r="I57" i="64"/>
  <c r="G57" i="64"/>
  <c r="F57" i="64"/>
  <c r="E57" i="64"/>
  <c r="D57" i="64"/>
  <c r="C57" i="64"/>
  <c r="M39" i="64"/>
  <c r="L39" i="64"/>
  <c r="K39" i="64"/>
  <c r="J39" i="64"/>
  <c r="I39" i="64"/>
  <c r="H39" i="64"/>
  <c r="G39" i="64"/>
  <c r="F39" i="64"/>
  <c r="E39" i="64"/>
  <c r="D39" i="64"/>
  <c r="C39" i="64"/>
  <c r="M33" i="64"/>
  <c r="L33" i="64"/>
  <c r="K33" i="64"/>
  <c r="J33" i="64"/>
  <c r="I33" i="64"/>
  <c r="H33" i="64"/>
  <c r="M22" i="64"/>
  <c r="L22" i="64"/>
  <c r="K22" i="64"/>
  <c r="J22" i="64"/>
  <c r="I22" i="64"/>
  <c r="H22" i="64"/>
  <c r="G22" i="64"/>
  <c r="F22" i="64"/>
  <c r="E22" i="64"/>
  <c r="D22" i="64"/>
  <c r="C22" i="64"/>
  <c r="M16" i="64"/>
  <c r="L16" i="64"/>
  <c r="K16" i="64"/>
  <c r="J16" i="64"/>
  <c r="I16" i="64"/>
  <c r="H16" i="64"/>
  <c r="G16" i="64"/>
  <c r="F16" i="64"/>
  <c r="E16" i="64"/>
  <c r="D16" i="64"/>
  <c r="C16" i="64"/>
  <c r="C33" i="64" l="1"/>
  <c r="F11" i="139"/>
  <c r="G33" i="64"/>
  <c r="F15" i="139"/>
  <c r="G15" i="139" s="1"/>
  <c r="N15" i="139" s="1"/>
  <c r="D33" i="64"/>
  <c r="F12" i="139"/>
  <c r="G12" i="139" s="1"/>
  <c r="N12" i="139" s="1"/>
  <c r="E33" i="64"/>
  <c r="F13" i="139"/>
  <c r="G13" i="139" s="1"/>
  <c r="N13" i="139" s="1"/>
  <c r="F33" i="64"/>
  <c r="F14" i="139"/>
  <c r="G14" i="139" s="1"/>
  <c r="N14" i="139" s="1"/>
  <c r="C23" i="64"/>
  <c r="G23" i="64"/>
  <c r="D23" i="64"/>
  <c r="F23" i="64"/>
  <c r="J23" i="64"/>
  <c r="L23" i="64"/>
  <c r="I23" i="64"/>
  <c r="K23" i="64"/>
  <c r="M23" i="64"/>
  <c r="G11" i="139" l="1"/>
  <c r="F24" i="139"/>
  <c r="G24" i="139" l="1"/>
  <c r="N11" i="139"/>
  <c r="N24" i="139" s="1"/>
  <c r="K190" i="5"/>
  <c r="E190" i="5" s="1"/>
  <c r="U70" i="54"/>
  <c r="K189" i="5"/>
  <c r="K188" i="5"/>
  <c r="U71" i="54" l="1"/>
  <c r="AS203" i="40" l="1"/>
  <c r="AP403" i="24" l="1"/>
  <c r="Z97" i="115" l="1"/>
  <c r="Z95" i="115"/>
  <c r="Q96" i="12" l="1"/>
  <c r="Q47" i="12"/>
  <c r="Q46" i="12"/>
  <c r="C165" i="98"/>
  <c r="C26" i="134" l="1"/>
  <c r="C220" i="98"/>
  <c r="C25" i="100" s="1"/>
  <c r="C25" i="134"/>
  <c r="C27" i="134"/>
  <c r="C258" i="98"/>
  <c r="C66" i="100" s="1"/>
  <c r="C67" i="134"/>
  <c r="C90" i="134"/>
  <c r="C88" i="134"/>
  <c r="C86" i="134"/>
  <c r="C84" i="134"/>
  <c r="C82" i="134"/>
  <c r="C80" i="134"/>
  <c r="C78" i="134"/>
  <c r="C76" i="134"/>
  <c r="C74" i="134"/>
  <c r="C72" i="134"/>
  <c r="C70" i="134"/>
  <c r="C68" i="134"/>
  <c r="C129" i="134"/>
  <c r="C131" i="134"/>
  <c r="C133" i="134"/>
  <c r="C362" i="98"/>
  <c r="C175" i="134"/>
  <c r="C184" i="134"/>
  <c r="C182" i="134"/>
  <c r="C180" i="134"/>
  <c r="C178" i="134"/>
  <c r="C176" i="134"/>
  <c r="C28" i="134"/>
  <c r="C91" i="134"/>
  <c r="C89" i="134"/>
  <c r="C87" i="134"/>
  <c r="C85" i="134"/>
  <c r="C83" i="134"/>
  <c r="C81" i="134"/>
  <c r="C79" i="134"/>
  <c r="C77" i="134"/>
  <c r="C75" i="134"/>
  <c r="C73" i="134"/>
  <c r="C71" i="134"/>
  <c r="C69" i="134"/>
  <c r="C128" i="134"/>
  <c r="C130" i="134"/>
  <c r="C132" i="134"/>
  <c r="C134" i="134"/>
  <c r="C185" i="134"/>
  <c r="C183" i="134"/>
  <c r="C181" i="134"/>
  <c r="C179" i="134"/>
  <c r="C177" i="134"/>
  <c r="C174" i="100"/>
  <c r="A35" i="117"/>
  <c r="D35" i="117" s="1" a="1"/>
  <c r="D35" i="117" s="1"/>
  <c r="A37" i="117"/>
  <c r="D37" i="117" s="1" a="1"/>
  <c r="D37" i="117" s="1"/>
  <c r="A34" i="117"/>
  <c r="D34" i="117" s="1" a="1"/>
  <c r="D34" i="117" s="1"/>
  <c r="A23" i="117"/>
  <c r="D23" i="117" s="1" a="1"/>
  <c r="D23" i="117" s="1"/>
  <c r="A24" i="117"/>
  <c r="D24" i="117" s="1" a="1"/>
  <c r="D24" i="117" s="1"/>
  <c r="A27" i="117"/>
  <c r="D27" i="117" s="1" a="1"/>
  <c r="D27" i="117" s="1"/>
  <c r="A28" i="117"/>
  <c r="D28" i="117" s="1" a="1"/>
  <c r="D28" i="117" s="1"/>
  <c r="A22" i="117"/>
  <c r="D22" i="117" s="1" a="1"/>
  <c r="D22" i="117" s="1"/>
  <c r="A14" i="117"/>
  <c r="D14" i="117" s="1" a="1"/>
  <c r="D14" i="117" s="1"/>
  <c r="A15" i="117"/>
  <c r="D15" i="117" s="1" a="1"/>
  <c r="D15" i="117" s="1"/>
  <c r="A16" i="117"/>
  <c r="D16" i="117" s="1" a="1"/>
  <c r="D16" i="117" s="1"/>
  <c r="A13" i="117"/>
  <c r="D13" i="117" s="1" a="1"/>
  <c r="D13" i="117" s="1"/>
  <c r="C102" i="92"/>
  <c r="C100" i="92"/>
  <c r="C99" i="92"/>
  <c r="C93" i="92"/>
  <c r="C92" i="92"/>
  <c r="C91" i="92"/>
  <c r="C89" i="92"/>
  <c r="C88" i="92"/>
  <c r="C87" i="92"/>
  <c r="C78" i="92"/>
  <c r="C79" i="92"/>
  <c r="C80" i="92"/>
  <c r="C77" i="92"/>
  <c r="AE277" i="121"/>
  <c r="AE279" i="121"/>
  <c r="G79" i="121" s="1"/>
  <c r="I79" i="121" s="1" a="1"/>
  <c r="I79" i="121" s="1"/>
  <c r="AE276" i="121"/>
  <c r="A29" i="121" s="1"/>
  <c r="C29" i="121" s="1" a="1"/>
  <c r="C29" i="121" s="1"/>
  <c r="AE265" i="121"/>
  <c r="Y203" i="121" s="1"/>
  <c r="AA203" i="121" s="1" a="1"/>
  <c r="AA203" i="121" s="1"/>
  <c r="AE266" i="121"/>
  <c r="Y224" i="121" s="1"/>
  <c r="AA224" i="121" s="1" a="1"/>
  <c r="AA224" i="121" s="1"/>
  <c r="AE269" i="121"/>
  <c r="Y225" i="121" s="1"/>
  <c r="AA225" i="121" s="1" a="1"/>
  <c r="AA225" i="121" s="1"/>
  <c r="AE270" i="121"/>
  <c r="Y226" i="121" s="1"/>
  <c r="AA226" i="121" s="1" a="1"/>
  <c r="AA226" i="121" s="1"/>
  <c r="AE264" i="121"/>
  <c r="G75" i="121" s="1"/>
  <c r="I75" i="121" s="1" a="1"/>
  <c r="I75" i="121" s="1"/>
  <c r="AE256" i="121"/>
  <c r="A19" i="121" s="1"/>
  <c r="C19" i="121" s="1" a="1"/>
  <c r="C19" i="121" s="1"/>
  <c r="AE257" i="121"/>
  <c r="A20" i="121" s="1"/>
  <c r="C20" i="121" s="1" a="1"/>
  <c r="C20" i="121" s="1"/>
  <c r="AE258" i="121"/>
  <c r="A21" i="121" s="1"/>
  <c r="C21" i="121" s="1" a="1"/>
  <c r="C21" i="121" s="1"/>
  <c r="AE255" i="121"/>
  <c r="A18" i="121" s="1"/>
  <c r="C18" i="121" s="1" a="1"/>
  <c r="C18" i="121" s="1"/>
  <c r="AA228" i="121" l="1"/>
  <c r="G86" i="121"/>
  <c r="I86" i="121" s="1" a="1"/>
  <c r="I86" i="121" s="1"/>
  <c r="M119" i="121"/>
  <c r="S163" i="121"/>
  <c r="U163" i="121" s="1" a="1"/>
  <c r="U163" i="121" s="1"/>
  <c r="Y202" i="121"/>
  <c r="AA202" i="121" s="1" a="1"/>
  <c r="AA202" i="121" s="1"/>
  <c r="Y204" i="121"/>
  <c r="AA204" i="121" s="1" a="1"/>
  <c r="AA204" i="121" s="1"/>
  <c r="Y207" i="121"/>
  <c r="AA207" i="121" s="1" a="1"/>
  <c r="AA207" i="121" s="1"/>
  <c r="Y216" i="121"/>
  <c r="AA216" i="121" s="1" a="1"/>
  <c r="AA216" i="121" s="1"/>
  <c r="A38" i="121"/>
  <c r="C38" i="121" s="1" a="1"/>
  <c r="C38" i="121" s="1"/>
  <c r="G87" i="121"/>
  <c r="I87" i="121" s="1" a="1"/>
  <c r="I87" i="121" s="1"/>
  <c r="M126" i="121"/>
  <c r="S170" i="121"/>
  <c r="U170" i="121" s="1" a="1"/>
  <c r="U170" i="121" s="1"/>
  <c r="Y206" i="121"/>
  <c r="AA206" i="121" s="1" a="1"/>
  <c r="AA206" i="121" s="1"/>
  <c r="Y215" i="121"/>
  <c r="AA215" i="121" s="1" a="1"/>
  <c r="AA215" i="121" s="1"/>
  <c r="O126" i="121" l="1" a="1"/>
  <c r="O126" i="121" s="1"/>
  <c r="O129" i="121" s="1"/>
  <c r="O119" i="121" a="1"/>
  <c r="O119" i="121" s="1"/>
  <c r="O121" i="121" s="1"/>
  <c r="AA218" i="121"/>
  <c r="G19" i="14"/>
  <c r="A1" i="70"/>
  <c r="A2" i="70"/>
  <c r="A7" i="70"/>
  <c r="A9" i="70"/>
  <c r="A12" i="120" l="1"/>
  <c r="A13" i="120"/>
  <c r="A14" i="120"/>
  <c r="A15" i="120"/>
  <c r="A16" i="120"/>
  <c r="A17" i="120"/>
  <c r="A18" i="120"/>
  <c r="A19" i="120"/>
  <c r="A20" i="120"/>
  <c r="A21" i="120"/>
  <c r="A22" i="120"/>
  <c r="A11" i="120"/>
  <c r="A12" i="118"/>
  <c r="A13" i="118"/>
  <c r="A14" i="118"/>
  <c r="A15" i="118"/>
  <c r="A16" i="118"/>
  <c r="A17" i="118"/>
  <c r="A18" i="118"/>
  <c r="A19" i="118"/>
  <c r="A20" i="118"/>
  <c r="A21" i="118"/>
  <c r="A22" i="118"/>
  <c r="A11" i="118"/>
  <c r="I369" i="98" l="1"/>
  <c r="K369" i="98" s="1"/>
  <c r="H181" i="100" s="1"/>
  <c r="C327" i="91"/>
  <c r="E313" i="91"/>
  <c r="E314" i="91"/>
  <c r="E364" i="98" s="1"/>
  <c r="E315" i="91"/>
  <c r="E365" i="98" s="1"/>
  <c r="E316" i="91"/>
  <c r="E367" i="98" s="1"/>
  <c r="E317" i="91"/>
  <c r="E369" i="98" s="1"/>
  <c r="E318" i="91"/>
  <c r="E370" i="98" s="1"/>
  <c r="E319" i="91"/>
  <c r="E372" i="98" s="1"/>
  <c r="E320" i="91"/>
  <c r="E374" i="98" s="1"/>
  <c r="E146" i="91"/>
  <c r="E166" i="98" s="1"/>
  <c r="E227" i="91"/>
  <c r="E228" i="91"/>
  <c r="E229" i="91"/>
  <c r="E230" i="91"/>
  <c r="E231" i="91"/>
  <c r="E232" i="91"/>
  <c r="E233" i="91"/>
  <c r="E234" i="91"/>
  <c r="E235" i="91"/>
  <c r="E236" i="91"/>
  <c r="E237" i="91"/>
  <c r="E238" i="91"/>
  <c r="E239" i="91"/>
  <c r="E240" i="91"/>
  <c r="E241" i="91"/>
  <c r="E189" i="91"/>
  <c r="E190" i="91"/>
  <c r="E191" i="91"/>
  <c r="E188" i="91"/>
  <c r="G313" i="91" l="1"/>
  <c r="I313" i="91" s="1"/>
  <c r="F175" i="100" s="1"/>
  <c r="L175" i="100" s="1"/>
  <c r="E363" i="98"/>
  <c r="H176" i="134"/>
  <c r="C194" i="134"/>
  <c r="F176" i="134" l="1"/>
  <c r="AC205" i="15"/>
  <c r="G22" i="14"/>
  <c r="E63" i="62" l="1"/>
  <c r="H63" i="62"/>
  <c r="H45" i="62"/>
  <c r="H41" i="62"/>
  <c r="H32" i="62"/>
  <c r="H33" i="62" s="1"/>
  <c r="E32" i="62" l="1"/>
  <c r="E33" i="62" s="1"/>
  <c r="H54" i="62"/>
  <c r="H64" i="62" s="1"/>
  <c r="E41" i="62"/>
  <c r="E54" i="62" s="1"/>
  <c r="E64" i="62" l="1"/>
  <c r="U10" i="62"/>
  <c r="G41" i="110" l="1"/>
  <c r="F41" i="110"/>
  <c r="E41" i="110"/>
  <c r="G34" i="110"/>
  <c r="G36" i="110" s="1"/>
  <c r="F34" i="110"/>
  <c r="F36" i="110" s="1"/>
  <c r="E34" i="110"/>
  <c r="E36" i="110" s="1"/>
  <c r="G22" i="110"/>
  <c r="G24" i="110" s="1"/>
  <c r="F22" i="110"/>
  <c r="F24" i="110" s="1"/>
  <c r="E22" i="110"/>
  <c r="E24" i="110" s="1"/>
  <c r="F47" i="110" l="1"/>
  <c r="G47" i="110"/>
  <c r="E47" i="110"/>
  <c r="L43" i="38" l="1"/>
  <c r="T42" i="38" l="1"/>
  <c r="L42" i="38"/>
  <c r="L41" i="38"/>
  <c r="L40" i="38"/>
  <c r="R63" i="62" l="1"/>
  <c r="R45" i="62"/>
  <c r="R41" i="62"/>
  <c r="R32" i="62"/>
  <c r="R33" i="62" s="1"/>
  <c r="P63" i="62"/>
  <c r="P45" i="62"/>
  <c r="P41" i="62"/>
  <c r="P32" i="62"/>
  <c r="P33" i="62" s="1"/>
  <c r="N63" i="62"/>
  <c r="N45" i="62"/>
  <c r="N41" i="62"/>
  <c r="N32" i="62"/>
  <c r="N33" i="62" s="1"/>
  <c r="W22" i="62"/>
  <c r="U22" i="62"/>
  <c r="S22" i="62"/>
  <c r="Q22" i="62"/>
  <c r="O22" i="62"/>
  <c r="Q118" i="17"/>
  <c r="I118" i="17"/>
  <c r="G118" i="17"/>
  <c r="E118" i="17"/>
  <c r="Q117" i="17"/>
  <c r="I117" i="17"/>
  <c r="G117" i="17"/>
  <c r="E117" i="17"/>
  <c r="Q102" i="17"/>
  <c r="I102" i="17"/>
  <c r="G102" i="17"/>
  <c r="E102" i="17"/>
  <c r="F119" i="17"/>
  <c r="D119" i="17"/>
  <c r="I54" i="17"/>
  <c r="G54" i="17"/>
  <c r="E54" i="17"/>
  <c r="I48" i="17"/>
  <c r="G48" i="17"/>
  <c r="E48" i="17"/>
  <c r="I47" i="17"/>
  <c r="G47" i="17"/>
  <c r="E47" i="17"/>
  <c r="I46" i="17"/>
  <c r="G46" i="17"/>
  <c r="E46" i="17"/>
  <c r="I45" i="17"/>
  <c r="G45" i="17"/>
  <c r="E45" i="17"/>
  <c r="I43" i="17"/>
  <c r="G43" i="17"/>
  <c r="E43" i="17"/>
  <c r="I24" i="17"/>
  <c r="G24" i="17"/>
  <c r="N54" i="62" l="1"/>
  <c r="N64" i="62" s="1"/>
  <c r="R54" i="62"/>
  <c r="R64" i="62" s="1"/>
  <c r="I22" i="62"/>
  <c r="L22" i="62"/>
  <c r="P54" i="62"/>
  <c r="P64" i="62" s="1"/>
  <c r="N200" i="110" l="1"/>
  <c r="N202" i="110" s="1"/>
  <c r="M200" i="110"/>
  <c r="M202" i="110" s="1"/>
  <c r="L200" i="110"/>
  <c r="L202" i="110" s="1"/>
  <c r="K200" i="110"/>
  <c r="K202" i="110" s="1"/>
  <c r="J200" i="110"/>
  <c r="J202" i="110" s="1"/>
  <c r="I200" i="110"/>
  <c r="I202" i="110" s="1"/>
  <c r="H200" i="110"/>
  <c r="H202" i="110" s="1"/>
  <c r="G200" i="110"/>
  <c r="G202" i="110" s="1"/>
  <c r="F200" i="110"/>
  <c r="F202" i="110" s="1"/>
  <c r="E200" i="110"/>
  <c r="E202" i="110" s="1"/>
  <c r="E203" i="110" s="1"/>
  <c r="D200" i="110"/>
  <c r="D202" i="110" s="1"/>
  <c r="D203" i="110" s="1"/>
  <c r="C200" i="110"/>
  <c r="C202" i="110" s="1"/>
  <c r="C203" i="110" s="1"/>
  <c r="N192" i="110"/>
  <c r="N194" i="110" s="1"/>
  <c r="M192" i="110"/>
  <c r="M194" i="110" s="1"/>
  <c r="L192" i="110"/>
  <c r="L194" i="110" s="1"/>
  <c r="K192" i="110"/>
  <c r="K194" i="110" s="1"/>
  <c r="J192" i="110"/>
  <c r="J194" i="110" s="1"/>
  <c r="I192" i="110"/>
  <c r="I194" i="110" s="1"/>
  <c r="H192" i="110"/>
  <c r="H194" i="110" s="1"/>
  <c r="G192" i="110"/>
  <c r="G194" i="110" s="1"/>
  <c r="F192" i="110"/>
  <c r="F194" i="110" s="1"/>
  <c r="E192" i="110"/>
  <c r="E194" i="110" s="1"/>
  <c r="E195" i="110" s="1"/>
  <c r="D192" i="110"/>
  <c r="D194" i="110" s="1"/>
  <c r="D195" i="110" s="1"/>
  <c r="C192" i="110"/>
  <c r="C194" i="110" s="1"/>
  <c r="C195" i="110" s="1"/>
  <c r="E186" i="110"/>
  <c r="D186" i="110"/>
  <c r="E185" i="110"/>
  <c r="D185" i="110"/>
  <c r="A182" i="110"/>
  <c r="A178" i="110"/>
  <c r="N169" i="110"/>
  <c r="M169" i="110"/>
  <c r="L169" i="110"/>
  <c r="K169" i="110"/>
  <c r="M168" i="110"/>
  <c r="L168" i="110"/>
  <c r="K168" i="110"/>
  <c r="E143" i="110"/>
  <c r="D143" i="110"/>
  <c r="E142" i="110"/>
  <c r="D142" i="110"/>
  <c r="A139" i="110"/>
  <c r="A135" i="110"/>
  <c r="E114" i="110"/>
  <c r="D114" i="110"/>
  <c r="E113" i="110"/>
  <c r="D113" i="110"/>
  <c r="A110" i="110"/>
  <c r="A106" i="110"/>
  <c r="E90" i="110"/>
  <c r="G88" i="110"/>
  <c r="F88" i="110"/>
  <c r="E88" i="110"/>
  <c r="N86" i="110"/>
  <c r="N95" i="110" s="1"/>
  <c r="M86" i="110"/>
  <c r="M96" i="110" s="1"/>
  <c r="L86" i="110"/>
  <c r="L95" i="110" s="1"/>
  <c r="K86" i="110"/>
  <c r="K96" i="110" s="1"/>
  <c r="E85" i="110"/>
  <c r="G83" i="110"/>
  <c r="F83" i="110"/>
  <c r="E83" i="110"/>
  <c r="J82" i="110"/>
  <c r="I82" i="110"/>
  <c r="H82" i="110"/>
  <c r="G82" i="110"/>
  <c r="F82" i="110"/>
  <c r="E82" i="110"/>
  <c r="J81" i="110"/>
  <c r="I81" i="110"/>
  <c r="H81" i="110"/>
  <c r="G81" i="110"/>
  <c r="F81" i="110"/>
  <c r="E81" i="110"/>
  <c r="J79" i="110"/>
  <c r="I79" i="110"/>
  <c r="H79" i="110"/>
  <c r="G79" i="110"/>
  <c r="F79" i="110"/>
  <c r="E79" i="110"/>
  <c r="J78" i="110"/>
  <c r="I78" i="110"/>
  <c r="H78" i="110"/>
  <c r="G78" i="110"/>
  <c r="F78" i="110"/>
  <c r="E78" i="110"/>
  <c r="G76" i="110"/>
  <c r="F76" i="110"/>
  <c r="E76" i="110"/>
  <c r="H74" i="110"/>
  <c r="G74" i="110"/>
  <c r="F74" i="110"/>
  <c r="E74" i="110"/>
  <c r="D72" i="110"/>
  <c r="C72" i="110"/>
  <c r="A70" i="110"/>
  <c r="A71" i="110" s="1"/>
  <c r="A72" i="110" s="1"/>
  <c r="A73" i="110" s="1"/>
  <c r="A74" i="110" s="1"/>
  <c r="A75" i="110" s="1"/>
  <c r="A76" i="110" s="1"/>
  <c r="A77" i="110" s="1"/>
  <c r="A78" i="110" s="1"/>
  <c r="A79" i="110" s="1"/>
  <c r="A80" i="110" s="1"/>
  <c r="A81" i="110" s="1"/>
  <c r="A82" i="110" s="1"/>
  <c r="A83" i="110" s="1"/>
  <c r="A84" i="110" s="1"/>
  <c r="A85" i="110" s="1"/>
  <c r="A86" i="110" s="1"/>
  <c r="A87" i="110" s="1"/>
  <c r="A88" i="110" s="1"/>
  <c r="A89" i="110" s="1"/>
  <c r="A90" i="110" s="1"/>
  <c r="A91" i="110" s="1"/>
  <c r="A92" i="110" s="1"/>
  <c r="A93" i="110" s="1"/>
  <c r="A94" i="110" s="1"/>
  <c r="A95" i="110" s="1"/>
  <c r="A96" i="110" s="1"/>
  <c r="A97" i="110" s="1"/>
  <c r="A98" i="110" s="1"/>
  <c r="A99" i="110" s="1"/>
  <c r="E67" i="110"/>
  <c r="D67" i="110"/>
  <c r="E66" i="110"/>
  <c r="D66" i="110"/>
  <c r="A63" i="110"/>
  <c r="A59" i="110"/>
  <c r="N41" i="110"/>
  <c r="M41" i="110"/>
  <c r="L41" i="110"/>
  <c r="K41" i="110"/>
  <c r="J41" i="110"/>
  <c r="I41" i="110"/>
  <c r="H41" i="110"/>
  <c r="N34" i="110"/>
  <c r="N36" i="110" s="1"/>
  <c r="M34" i="110"/>
  <c r="M36" i="110" s="1"/>
  <c r="L34" i="110"/>
  <c r="L36" i="110" s="1"/>
  <c r="K34" i="110"/>
  <c r="K36" i="110" s="1"/>
  <c r="J34" i="110"/>
  <c r="J36" i="110" s="1"/>
  <c r="I34" i="110"/>
  <c r="I36" i="110" s="1"/>
  <c r="H34" i="110"/>
  <c r="H36" i="110" s="1"/>
  <c r="D34" i="110"/>
  <c r="D36" i="110" s="1"/>
  <c r="C34" i="110"/>
  <c r="C36" i="110" s="1"/>
  <c r="N22" i="110"/>
  <c r="N24" i="110" s="1"/>
  <c r="M22" i="110"/>
  <c r="M24" i="110" s="1"/>
  <c r="L22" i="110"/>
  <c r="L24" i="110" s="1"/>
  <c r="K22" i="110"/>
  <c r="K24" i="110" s="1"/>
  <c r="J22" i="110"/>
  <c r="J24" i="110" s="1"/>
  <c r="I22" i="110"/>
  <c r="I24" i="110" s="1"/>
  <c r="H22" i="110"/>
  <c r="H24" i="110" s="1"/>
  <c r="A14" i="110"/>
  <c r="A15" i="110" s="1"/>
  <c r="A16" i="110" s="1"/>
  <c r="A17" i="110" s="1"/>
  <c r="A18" i="110" s="1"/>
  <c r="A19" i="110" s="1"/>
  <c r="A20" i="110" s="1"/>
  <c r="A21" i="110" s="1"/>
  <c r="A22" i="110" s="1"/>
  <c r="A23" i="110" s="1"/>
  <c r="A24" i="110" s="1"/>
  <c r="A25" i="110" s="1"/>
  <c r="A26" i="110" s="1"/>
  <c r="A27" i="110" s="1"/>
  <c r="A28" i="110" s="1"/>
  <c r="A29" i="110" s="1"/>
  <c r="A30" i="110" s="1"/>
  <c r="A31" i="110" s="1"/>
  <c r="A32" i="110" s="1"/>
  <c r="A33" i="110" s="1"/>
  <c r="A34" i="110" s="1"/>
  <c r="A35" i="110" s="1"/>
  <c r="A36" i="110" s="1"/>
  <c r="A37" i="110" s="1"/>
  <c r="A38" i="110" s="1"/>
  <c r="A39" i="110" s="1"/>
  <c r="A40" i="110" s="1"/>
  <c r="A41" i="110" s="1"/>
  <c r="A42" i="110" s="1"/>
  <c r="A43" i="110" s="1"/>
  <c r="A44" i="110" s="1"/>
  <c r="A45" i="110" s="1"/>
  <c r="A46" i="110" s="1"/>
  <c r="A47" i="110" s="1"/>
  <c r="A48" i="110" s="1"/>
  <c r="A49" i="110" s="1"/>
  <c r="A50" i="110" s="1"/>
  <c r="A51" i="110" s="1"/>
  <c r="A52" i="110" s="1"/>
  <c r="F11" i="110"/>
  <c r="F143" i="110" s="1"/>
  <c r="L8" i="110"/>
  <c r="A6" i="110"/>
  <c r="A138" i="110" s="1"/>
  <c r="A5" i="110"/>
  <c r="A137" i="110" s="1"/>
  <c r="A2" i="110"/>
  <c r="A134" i="110" s="1"/>
  <c r="A1" i="110"/>
  <c r="A176" i="110" s="1"/>
  <c r="A9" i="81"/>
  <c r="A7" i="81"/>
  <c r="A2" i="81"/>
  <c r="A1" i="81"/>
  <c r="A9" i="71"/>
  <c r="A2" i="71"/>
  <c r="A1" i="71"/>
  <c r="A9" i="80"/>
  <c r="A7" i="80"/>
  <c r="A2" i="80"/>
  <c r="A1" i="80"/>
  <c r="A18" i="68"/>
  <c r="A19" i="68" s="1"/>
  <c r="A20" i="68" s="1"/>
  <c r="A21" i="68" s="1"/>
  <c r="A22" i="68" s="1"/>
  <c r="A23" i="68" s="1"/>
  <c r="A24" i="68" s="1"/>
  <c r="A25" i="68" s="1"/>
  <c r="A26" i="68" s="1"/>
  <c r="A27" i="68" s="1"/>
  <c r="A28" i="68" s="1"/>
  <c r="A29" i="68" s="1"/>
  <c r="A30" i="68" s="1"/>
  <c r="A31" i="68" s="1"/>
  <c r="A32" i="68" s="1"/>
  <c r="A33" i="68" s="1"/>
  <c r="A34" i="68" s="1"/>
  <c r="A8" i="68"/>
  <c r="A6" i="68"/>
  <c r="A2" i="68"/>
  <c r="A1" i="68"/>
  <c r="K29" i="76"/>
  <c r="A17" i="76"/>
  <c r="A18" i="76" s="1"/>
  <c r="A19" i="76" s="1"/>
  <c r="A20" i="76" s="1"/>
  <c r="A21" i="76" s="1"/>
  <c r="A22" i="76" s="1"/>
  <c r="A23" i="76" s="1"/>
  <c r="A24" i="76" s="1"/>
  <c r="A25" i="76" s="1"/>
  <c r="A26" i="76" s="1"/>
  <c r="A27" i="76" s="1"/>
  <c r="A28" i="76" s="1"/>
  <c r="A29" i="76" s="1"/>
  <c r="A30" i="76" s="1"/>
  <c r="A31" i="76" s="1"/>
  <c r="A32" i="76" s="1"/>
  <c r="A33" i="76" s="1"/>
  <c r="A8" i="76"/>
  <c r="A6" i="76"/>
  <c r="A2" i="76"/>
  <c r="A1" i="76"/>
  <c r="N10" i="67"/>
  <c r="A10" i="67"/>
  <c r="A9" i="67"/>
  <c r="A2" i="67"/>
  <c r="A1" i="67"/>
  <c r="O73" i="66"/>
  <c r="N73" i="66"/>
  <c r="M73" i="66"/>
  <c r="L73" i="66"/>
  <c r="K73" i="66"/>
  <c r="E72" i="66"/>
  <c r="D72" i="66"/>
  <c r="G72" i="66"/>
  <c r="O72" i="66"/>
  <c r="N72" i="66"/>
  <c r="M72" i="66"/>
  <c r="L72" i="66"/>
  <c r="K72" i="66"/>
  <c r="E61" i="66"/>
  <c r="D71" i="66"/>
  <c r="O61" i="66"/>
  <c r="N71" i="66"/>
  <c r="M61" i="66"/>
  <c r="L71" i="66"/>
  <c r="K61" i="66"/>
  <c r="E54" i="66"/>
  <c r="D54" i="66"/>
  <c r="G54" i="66"/>
  <c r="M54" i="66"/>
  <c r="K54" i="66"/>
  <c r="E53" i="66"/>
  <c r="E69" i="66" s="1"/>
  <c r="D53" i="66"/>
  <c r="D69" i="66" s="1"/>
  <c r="G53" i="66"/>
  <c r="G69" i="66" s="1"/>
  <c r="O53" i="66"/>
  <c r="O69" i="66" s="1"/>
  <c r="N53" i="66"/>
  <c r="N69" i="66" s="1"/>
  <c r="M53" i="66"/>
  <c r="M69" i="66" s="1"/>
  <c r="L53" i="66"/>
  <c r="L69" i="66" s="1"/>
  <c r="K53" i="66"/>
  <c r="K69" i="66" s="1"/>
  <c r="E52" i="66"/>
  <c r="E68" i="66" s="1"/>
  <c r="D52" i="66"/>
  <c r="D68" i="66" s="1"/>
  <c r="G52" i="66"/>
  <c r="G68" i="66" s="1"/>
  <c r="O52" i="66"/>
  <c r="O68" i="66" s="1"/>
  <c r="N52" i="66"/>
  <c r="N68" i="66" s="1"/>
  <c r="M52" i="66"/>
  <c r="M68" i="66" s="1"/>
  <c r="L52" i="66"/>
  <c r="L68" i="66" s="1"/>
  <c r="K52" i="66"/>
  <c r="K68" i="66" s="1"/>
  <c r="E51" i="66"/>
  <c r="E67" i="66" s="1"/>
  <c r="D51" i="66"/>
  <c r="G51" i="66"/>
  <c r="G67" i="66" s="1"/>
  <c r="O51" i="66"/>
  <c r="O67" i="66" s="1"/>
  <c r="N51" i="66"/>
  <c r="M51" i="66"/>
  <c r="M67" i="66" s="1"/>
  <c r="L51" i="66"/>
  <c r="K51" i="66"/>
  <c r="K67" i="66" s="1"/>
  <c r="E38" i="66"/>
  <c r="D38" i="66"/>
  <c r="G38" i="66"/>
  <c r="M38" i="66"/>
  <c r="K38" i="66"/>
  <c r="E37" i="66"/>
  <c r="D37" i="66"/>
  <c r="G37" i="66"/>
  <c r="O37" i="66"/>
  <c r="N37" i="66"/>
  <c r="M37" i="66"/>
  <c r="L37" i="66"/>
  <c r="K37" i="66"/>
  <c r="E36" i="66"/>
  <c r="D36" i="66"/>
  <c r="G36" i="66"/>
  <c r="O36" i="66"/>
  <c r="N36" i="66"/>
  <c r="M36" i="66"/>
  <c r="L36" i="66"/>
  <c r="K36" i="66"/>
  <c r="E35" i="66"/>
  <c r="D35" i="66"/>
  <c r="G35" i="66"/>
  <c r="O35" i="66"/>
  <c r="N35" i="66"/>
  <c r="M35" i="66"/>
  <c r="L35" i="66"/>
  <c r="K35" i="66"/>
  <c r="E29" i="66"/>
  <c r="D29" i="66"/>
  <c r="G29" i="66"/>
  <c r="O29" i="66"/>
  <c r="E23" i="66"/>
  <c r="D23" i="66"/>
  <c r="D75" i="138" s="1"/>
  <c r="D76" i="138" s="1"/>
  <c r="G23" i="66"/>
  <c r="O23" i="66"/>
  <c r="N10" i="66"/>
  <c r="A10" i="66"/>
  <c r="A9" i="66"/>
  <c r="A2" i="66"/>
  <c r="A1" i="66"/>
  <c r="N10" i="65"/>
  <c r="A10" i="65"/>
  <c r="A9" i="65"/>
  <c r="A2" i="65"/>
  <c r="A1" i="65"/>
  <c r="N63" i="64"/>
  <c r="O62" i="64"/>
  <c r="P62" i="64" s="1"/>
  <c r="O61" i="64"/>
  <c r="P61" i="64" s="1"/>
  <c r="O60" i="64"/>
  <c r="P60" i="64" s="1"/>
  <c r="O59" i="64"/>
  <c r="N57" i="64"/>
  <c r="O56" i="64"/>
  <c r="P56" i="64" s="1"/>
  <c r="O55" i="64"/>
  <c r="P55" i="64" s="1"/>
  <c r="O54" i="64"/>
  <c r="P54" i="64" s="1"/>
  <c r="O53" i="64"/>
  <c r="N39" i="64"/>
  <c r="O38" i="64"/>
  <c r="I28" i="66" s="1"/>
  <c r="O37" i="64"/>
  <c r="I27" i="66" s="1"/>
  <c r="O36" i="64"/>
  <c r="I26" i="66" s="1"/>
  <c r="O35" i="64"/>
  <c r="I25" i="66" s="1"/>
  <c r="N33" i="64"/>
  <c r="O32" i="64"/>
  <c r="I22" i="66" s="1"/>
  <c r="O31" i="64"/>
  <c r="I21" i="66" s="1"/>
  <c r="O30" i="64"/>
  <c r="I20" i="66" s="1"/>
  <c r="O29" i="64"/>
  <c r="I19" i="66" s="1"/>
  <c r="N22" i="64"/>
  <c r="O22" i="64" s="1"/>
  <c r="O21" i="64"/>
  <c r="P21" i="64" s="1"/>
  <c r="I60" i="63" s="1"/>
  <c r="O20" i="64"/>
  <c r="P20" i="64" s="1"/>
  <c r="I59" i="63" s="1"/>
  <c r="O19" i="64"/>
  <c r="P19" i="64" s="1"/>
  <c r="I58" i="63" s="1"/>
  <c r="I58" i="66" s="1"/>
  <c r="O18" i="64"/>
  <c r="P18" i="64" s="1"/>
  <c r="I57" i="63" s="1"/>
  <c r="I57" i="66" s="1"/>
  <c r="N16" i="64"/>
  <c r="O16" i="64" s="1"/>
  <c r="O15" i="64"/>
  <c r="P15" i="64" s="1"/>
  <c r="I54" i="63" s="1"/>
  <c r="I54" i="66" s="1"/>
  <c r="O14" i="64"/>
  <c r="P14" i="64" s="1"/>
  <c r="I53" i="63" s="1"/>
  <c r="O13" i="64"/>
  <c r="P13" i="64" s="1"/>
  <c r="I52" i="63" s="1"/>
  <c r="O12" i="64"/>
  <c r="P12" i="64" s="1"/>
  <c r="I51" i="63" s="1"/>
  <c r="N9" i="64"/>
  <c r="M9" i="64"/>
  <c r="L9" i="64"/>
  <c r="K9" i="64"/>
  <c r="J9" i="64"/>
  <c r="I9" i="64"/>
  <c r="H9" i="64"/>
  <c r="G9" i="64"/>
  <c r="F9" i="64"/>
  <c r="E9" i="64"/>
  <c r="D9" i="64"/>
  <c r="C9" i="64"/>
  <c r="A2" i="64"/>
  <c r="A1" i="64"/>
  <c r="N73" i="63"/>
  <c r="M73" i="63"/>
  <c r="L73" i="63"/>
  <c r="K73" i="63"/>
  <c r="J73" i="63"/>
  <c r="E72" i="63"/>
  <c r="D72" i="63"/>
  <c r="N72" i="63"/>
  <c r="M72" i="63"/>
  <c r="L72" i="63"/>
  <c r="K72" i="63"/>
  <c r="J72" i="63"/>
  <c r="E71" i="63"/>
  <c r="D71" i="63"/>
  <c r="N71" i="63"/>
  <c r="M71" i="63"/>
  <c r="L71" i="63"/>
  <c r="K71" i="63"/>
  <c r="J71" i="63"/>
  <c r="N69" i="63"/>
  <c r="M69" i="63"/>
  <c r="L69" i="63"/>
  <c r="K69" i="63"/>
  <c r="J69" i="63"/>
  <c r="E68" i="63"/>
  <c r="D68" i="63"/>
  <c r="N68" i="63"/>
  <c r="M68" i="63"/>
  <c r="L68" i="63"/>
  <c r="K68" i="63"/>
  <c r="J68" i="63"/>
  <c r="E67" i="63"/>
  <c r="D67" i="63"/>
  <c r="N67" i="63"/>
  <c r="M67" i="63"/>
  <c r="L67" i="63"/>
  <c r="K67" i="63"/>
  <c r="J67" i="63"/>
  <c r="E61" i="63"/>
  <c r="D61" i="63"/>
  <c r="G61" i="63"/>
  <c r="N61" i="63"/>
  <c r="M61" i="63"/>
  <c r="K61" i="63"/>
  <c r="J61" i="63"/>
  <c r="E55" i="63"/>
  <c r="D55" i="63"/>
  <c r="G55" i="63"/>
  <c r="J55" i="63"/>
  <c r="N55" i="63"/>
  <c r="M55" i="63"/>
  <c r="M62" i="63" s="1"/>
  <c r="L54" i="66"/>
  <c r="E45" i="63"/>
  <c r="D45" i="63"/>
  <c r="G45" i="63"/>
  <c r="N45" i="63"/>
  <c r="M45" i="63"/>
  <c r="J45" i="63"/>
  <c r="I44" i="63"/>
  <c r="I43" i="63"/>
  <c r="I42" i="63"/>
  <c r="I42" i="66" s="1"/>
  <c r="E39" i="63"/>
  <c r="D39" i="63"/>
  <c r="G39" i="63"/>
  <c r="J39" i="63"/>
  <c r="J46" i="63" s="1"/>
  <c r="I38" i="63"/>
  <c r="I38" i="66" s="1"/>
  <c r="O38" i="66"/>
  <c r="N38" i="66"/>
  <c r="L38" i="66"/>
  <c r="I37" i="63"/>
  <c r="I36" i="63"/>
  <c r="I35" i="63"/>
  <c r="E29" i="63"/>
  <c r="D29" i="63"/>
  <c r="M29" i="63"/>
  <c r="L29" i="63"/>
  <c r="K29" i="63"/>
  <c r="J29" i="63"/>
  <c r="N29" i="63"/>
  <c r="E23" i="63"/>
  <c r="D23" i="63"/>
  <c r="M23" i="63"/>
  <c r="M30" i="63" s="1"/>
  <c r="L23" i="63"/>
  <c r="L30" i="63" s="1"/>
  <c r="K23" i="63"/>
  <c r="J23" i="63"/>
  <c r="J30" i="63" s="1"/>
  <c r="N23" i="63"/>
  <c r="M10" i="63"/>
  <c r="A10" i="63"/>
  <c r="A9" i="63"/>
  <c r="A2" i="63"/>
  <c r="A1" i="63"/>
  <c r="L62" i="62"/>
  <c r="L60" i="62"/>
  <c r="I59" i="62"/>
  <c r="L58" i="62"/>
  <c r="L57" i="62"/>
  <c r="L52" i="62"/>
  <c r="L51" i="62"/>
  <c r="L50" i="62"/>
  <c r="L49" i="62"/>
  <c r="L44" i="62"/>
  <c r="I43" i="62"/>
  <c r="L40" i="62"/>
  <c r="L39" i="62"/>
  <c r="L38" i="62"/>
  <c r="L37" i="62"/>
  <c r="L36" i="62"/>
  <c r="L31" i="62"/>
  <c r="I30" i="62"/>
  <c r="D81" i="110"/>
  <c r="L28" i="62"/>
  <c r="L27" i="62"/>
  <c r="D79" i="110"/>
  <c r="L25" i="62"/>
  <c r="L21" i="62"/>
  <c r="L19" i="62"/>
  <c r="D74" i="110"/>
  <c r="Y63" i="62"/>
  <c r="J88" i="110" s="1"/>
  <c r="V63" i="62"/>
  <c r="I88" i="110" s="1"/>
  <c r="T63" i="62"/>
  <c r="H88" i="110" s="1"/>
  <c r="Q63" i="62"/>
  <c r="O63" i="62"/>
  <c r="F63" i="62"/>
  <c r="W62" i="62"/>
  <c r="U62" i="62"/>
  <c r="S62" i="62"/>
  <c r="Q62" i="62"/>
  <c r="O62" i="62"/>
  <c r="W61" i="62"/>
  <c r="U61" i="62"/>
  <c r="S61" i="62"/>
  <c r="Q61" i="62"/>
  <c r="O61" i="62"/>
  <c r="W60" i="62"/>
  <c r="U60" i="62"/>
  <c r="S60" i="62"/>
  <c r="Q60" i="62"/>
  <c r="O60" i="62"/>
  <c r="W59" i="62"/>
  <c r="U59" i="62"/>
  <c r="S59" i="62"/>
  <c r="Q59" i="62"/>
  <c r="O59" i="62"/>
  <c r="L59" i="62"/>
  <c r="W58" i="62"/>
  <c r="U58" i="62"/>
  <c r="S58" i="62"/>
  <c r="Q58" i="62"/>
  <c r="O58" i="62"/>
  <c r="W57" i="62"/>
  <c r="U57" i="62"/>
  <c r="S57" i="62"/>
  <c r="Q57" i="62"/>
  <c r="O57" i="62"/>
  <c r="W56" i="62"/>
  <c r="U56" i="62"/>
  <c r="S56" i="62"/>
  <c r="Q56" i="62"/>
  <c r="O56" i="62"/>
  <c r="Q54" i="62"/>
  <c r="O54" i="62"/>
  <c r="S53" i="62"/>
  <c r="Q53" i="62"/>
  <c r="O53" i="62"/>
  <c r="W52" i="62"/>
  <c r="U52" i="62"/>
  <c r="S52" i="62"/>
  <c r="Q52" i="62"/>
  <c r="O52" i="62"/>
  <c r="W51" i="62"/>
  <c r="U51" i="62"/>
  <c r="S51" i="62"/>
  <c r="Q51" i="62"/>
  <c r="O51" i="62"/>
  <c r="W50" i="62"/>
  <c r="U50" i="62"/>
  <c r="S50" i="62"/>
  <c r="Q50" i="62"/>
  <c r="O50" i="62"/>
  <c r="W49" i="62"/>
  <c r="U49" i="62"/>
  <c r="S49" i="62"/>
  <c r="Q49" i="62"/>
  <c r="O49" i="62"/>
  <c r="W48" i="62"/>
  <c r="U48" i="62"/>
  <c r="S48" i="62"/>
  <c r="Q48" i="62"/>
  <c r="O48" i="62"/>
  <c r="L48" i="62"/>
  <c r="W47" i="62"/>
  <c r="U47" i="62"/>
  <c r="S47" i="62"/>
  <c r="Q47" i="62"/>
  <c r="O47" i="62"/>
  <c r="Y45" i="62"/>
  <c r="V45" i="62"/>
  <c r="T45" i="62"/>
  <c r="S45" i="62" s="1"/>
  <c r="Q45" i="62"/>
  <c r="O45" i="62"/>
  <c r="F45" i="62"/>
  <c r="W44" i="62"/>
  <c r="U44" i="62"/>
  <c r="S44" i="62"/>
  <c r="Q44" i="62"/>
  <c r="O44" i="62"/>
  <c r="W43" i="62"/>
  <c r="U43" i="62"/>
  <c r="S43" i="62"/>
  <c r="Q43" i="62"/>
  <c r="O43" i="62"/>
  <c r="L43" i="62"/>
  <c r="V41" i="62"/>
  <c r="T41" i="62"/>
  <c r="Q41" i="62"/>
  <c r="O41" i="62"/>
  <c r="F41" i="62"/>
  <c r="W40" i="62"/>
  <c r="U40" i="62"/>
  <c r="S40" i="62"/>
  <c r="Q40" i="62"/>
  <c r="O40" i="62"/>
  <c r="W39" i="62"/>
  <c r="U39" i="62"/>
  <c r="S39" i="62"/>
  <c r="Q39" i="62"/>
  <c r="O39" i="62"/>
  <c r="W38" i="62"/>
  <c r="U38" i="62"/>
  <c r="S38" i="62"/>
  <c r="Q38" i="62"/>
  <c r="O38" i="62"/>
  <c r="C82" i="110"/>
  <c r="W37" i="62"/>
  <c r="U37" i="62"/>
  <c r="S37" i="62"/>
  <c r="Q37" i="62"/>
  <c r="O37" i="62"/>
  <c r="Y41" i="62"/>
  <c r="U36" i="62"/>
  <c r="S36" i="62"/>
  <c r="Q36" i="62"/>
  <c r="O36" i="62"/>
  <c r="Y32" i="62"/>
  <c r="V32" i="62"/>
  <c r="T32" i="62"/>
  <c r="O32" i="62"/>
  <c r="F32" i="62"/>
  <c r="F33" i="62" s="1"/>
  <c r="W31" i="62"/>
  <c r="U31" i="62"/>
  <c r="S31" i="62"/>
  <c r="Q31" i="62"/>
  <c r="O31" i="62"/>
  <c r="W30" i="62"/>
  <c r="U30" i="62"/>
  <c r="S30" i="62"/>
  <c r="Q30" i="62"/>
  <c r="O30" i="62"/>
  <c r="W29" i="62"/>
  <c r="U29" i="62"/>
  <c r="S29" i="62"/>
  <c r="Q29" i="62"/>
  <c r="O29" i="62"/>
  <c r="C81" i="110"/>
  <c r="W28" i="62"/>
  <c r="U28" i="62"/>
  <c r="S28" i="62"/>
  <c r="Q28" i="62"/>
  <c r="O28" i="62"/>
  <c r="W27" i="62"/>
  <c r="U27" i="62"/>
  <c r="S27" i="62"/>
  <c r="Q27" i="62"/>
  <c r="O27" i="62"/>
  <c r="W26" i="62"/>
  <c r="U26" i="62"/>
  <c r="S26" i="62"/>
  <c r="Q26" i="62"/>
  <c r="O26" i="62"/>
  <c r="C79" i="110"/>
  <c r="W25" i="62"/>
  <c r="U25" i="62"/>
  <c r="S25" i="62"/>
  <c r="Q25" i="62"/>
  <c r="O25" i="62"/>
  <c r="C78" i="110"/>
  <c r="W24" i="62"/>
  <c r="U24" i="62"/>
  <c r="S24" i="62"/>
  <c r="Q24" i="62"/>
  <c r="O24" i="62"/>
  <c r="L24" i="62"/>
  <c r="W21" i="62"/>
  <c r="U21" i="62"/>
  <c r="S21" i="62"/>
  <c r="Q21" i="62"/>
  <c r="O21" i="62"/>
  <c r="W20" i="62"/>
  <c r="U20" i="62"/>
  <c r="S20" i="62"/>
  <c r="Q20" i="62"/>
  <c r="O20" i="62"/>
  <c r="L20" i="62"/>
  <c r="W19" i="62"/>
  <c r="U19" i="62"/>
  <c r="S19" i="62"/>
  <c r="Q19" i="62"/>
  <c r="O19" i="62"/>
  <c r="W18" i="62"/>
  <c r="U18" i="62"/>
  <c r="S18" i="62"/>
  <c r="Q18" i="62"/>
  <c r="O18" i="62"/>
  <c r="I74" i="110"/>
  <c r="S16" i="62"/>
  <c r="Q16" i="62"/>
  <c r="O16" i="62"/>
  <c r="C74" i="110"/>
  <c r="P14" i="62"/>
  <c r="R14" i="62" s="1"/>
  <c r="T14" i="62" s="1"/>
  <c r="V14" i="62" s="1"/>
  <c r="Y14" i="62" s="1"/>
  <c r="A9" i="62"/>
  <c r="A8" i="62"/>
  <c r="A2" i="62"/>
  <c r="A1" i="62"/>
  <c r="I46" i="61"/>
  <c r="A44" i="61"/>
  <c r="A43" i="61"/>
  <c r="A39" i="61"/>
  <c r="A38" i="61"/>
  <c r="I9" i="61"/>
  <c r="A7" i="61"/>
  <c r="A6" i="61"/>
  <c r="A2" i="61"/>
  <c r="A1" i="61"/>
  <c r="A7" i="60"/>
  <c r="A2" i="60"/>
  <c r="A1" i="60"/>
  <c r="B8" i="59"/>
  <c r="B7" i="59"/>
  <c r="B2" i="59"/>
  <c r="B1" i="59"/>
  <c r="G20" i="58"/>
  <c r="H20" i="58" s="1"/>
  <c r="B8" i="58"/>
  <c r="B7" i="58"/>
  <c r="B2" i="58"/>
  <c r="B1" i="58"/>
  <c r="O10" i="57"/>
  <c r="A8" i="57"/>
  <c r="A2" i="57"/>
  <c r="A1" i="57"/>
  <c r="K39" i="56"/>
  <c r="C26" i="56"/>
  <c r="C37" i="56" s="1"/>
  <c r="G26" i="56"/>
  <c r="C13" i="56"/>
  <c r="K9" i="56"/>
  <c r="A7" i="56"/>
  <c r="A6" i="56"/>
  <c r="A2" i="56"/>
  <c r="A1" i="56"/>
  <c r="F48" i="55"/>
  <c r="F46" i="55"/>
  <c r="AA112" i="55"/>
  <c r="Z112" i="55"/>
  <c r="Y112" i="55"/>
  <c r="X112" i="55"/>
  <c r="W112" i="55"/>
  <c r="V112" i="55"/>
  <c r="U112" i="55"/>
  <c r="T112" i="55"/>
  <c r="S112" i="55"/>
  <c r="R112" i="55"/>
  <c r="Q112" i="55"/>
  <c r="P112" i="55"/>
  <c r="M108" i="55"/>
  <c r="F22" i="55"/>
  <c r="F20" i="55"/>
  <c r="F18" i="55"/>
  <c r="AA63" i="55"/>
  <c r="Z63" i="55"/>
  <c r="Y63" i="55"/>
  <c r="X63" i="55"/>
  <c r="W63" i="55"/>
  <c r="V63" i="55"/>
  <c r="U63" i="55"/>
  <c r="T63" i="55"/>
  <c r="S63" i="55"/>
  <c r="R63" i="55"/>
  <c r="Q63" i="55"/>
  <c r="P63" i="55"/>
  <c r="M59" i="55"/>
  <c r="Y58" i="55"/>
  <c r="M57" i="55"/>
  <c r="M56" i="55"/>
  <c r="I54" i="55"/>
  <c r="D54" i="55"/>
  <c r="C54" i="55"/>
  <c r="G52" i="55"/>
  <c r="G50" i="55"/>
  <c r="G48" i="55"/>
  <c r="G46" i="55"/>
  <c r="J38" i="55"/>
  <c r="A37" i="55"/>
  <c r="A36" i="55"/>
  <c r="A35" i="55"/>
  <c r="A30" i="55"/>
  <c r="A29" i="55"/>
  <c r="I26" i="55"/>
  <c r="D26" i="55"/>
  <c r="C26" i="55"/>
  <c r="G24" i="55"/>
  <c r="G22" i="55"/>
  <c r="G20" i="55"/>
  <c r="G18" i="55"/>
  <c r="J10" i="55"/>
  <c r="A8" i="55"/>
  <c r="A7" i="55"/>
  <c r="A2" i="55"/>
  <c r="A1" i="55"/>
  <c r="AA136" i="54"/>
  <c r="Z136" i="54"/>
  <c r="Y136" i="54"/>
  <c r="X136" i="54"/>
  <c r="W136" i="54"/>
  <c r="V136" i="54"/>
  <c r="U136" i="54"/>
  <c r="T136" i="54"/>
  <c r="S136" i="54"/>
  <c r="R136" i="54"/>
  <c r="Q136" i="54"/>
  <c r="P136" i="54"/>
  <c r="O134" i="54"/>
  <c r="J95" i="54" s="1"/>
  <c r="O132" i="54"/>
  <c r="J93" i="54" s="1"/>
  <c r="K93" i="54" s="1"/>
  <c r="O130" i="54"/>
  <c r="J91" i="54" s="1"/>
  <c r="K91" i="54" s="1"/>
  <c r="O128" i="54"/>
  <c r="J89" i="54" s="1"/>
  <c r="K89" i="54" s="1"/>
  <c r="O126" i="54"/>
  <c r="J87" i="54" s="1"/>
  <c r="K87" i="54" s="1"/>
  <c r="O124" i="54"/>
  <c r="J85" i="54" s="1"/>
  <c r="K85" i="54" s="1"/>
  <c r="O122" i="54"/>
  <c r="AA118" i="54"/>
  <c r="Z118" i="54"/>
  <c r="Y118" i="54"/>
  <c r="X118" i="54"/>
  <c r="W118" i="54"/>
  <c r="V118" i="54"/>
  <c r="U118" i="54"/>
  <c r="T118" i="54"/>
  <c r="S118" i="54"/>
  <c r="R118" i="54"/>
  <c r="Q118" i="54"/>
  <c r="P118" i="54"/>
  <c r="M111" i="54"/>
  <c r="Y110" i="54"/>
  <c r="M110" i="54"/>
  <c r="M109" i="54"/>
  <c r="M108" i="54"/>
  <c r="I97" i="54"/>
  <c r="I100" i="54" s="1"/>
  <c r="G97" i="54"/>
  <c r="G100" i="54" s="1"/>
  <c r="F97" i="54"/>
  <c r="F100" i="54" s="1"/>
  <c r="E97" i="54"/>
  <c r="E100" i="54" s="1"/>
  <c r="J77" i="54"/>
  <c r="A76" i="54"/>
  <c r="A75" i="54"/>
  <c r="A74" i="54"/>
  <c r="A70" i="54"/>
  <c r="A69" i="54"/>
  <c r="J26" i="54"/>
  <c r="K26" i="54" s="1"/>
  <c r="O55" i="54"/>
  <c r="O53" i="54"/>
  <c r="J18" i="54" s="1"/>
  <c r="K18" i="54" s="1"/>
  <c r="O51" i="54"/>
  <c r="O68" i="54" s="1"/>
  <c r="AA47" i="54"/>
  <c r="Z47" i="54"/>
  <c r="Y47" i="54"/>
  <c r="X47" i="54"/>
  <c r="W47" i="54"/>
  <c r="V47" i="54"/>
  <c r="U47" i="54"/>
  <c r="T47" i="54"/>
  <c r="S47" i="54"/>
  <c r="R47" i="54"/>
  <c r="Q47" i="54"/>
  <c r="P47" i="54"/>
  <c r="M40" i="54"/>
  <c r="Y39" i="54"/>
  <c r="M39" i="54"/>
  <c r="M38" i="54"/>
  <c r="M37" i="54"/>
  <c r="I30" i="54"/>
  <c r="I33" i="54" s="1"/>
  <c r="G30" i="54"/>
  <c r="G33" i="54" s="1"/>
  <c r="F30" i="54"/>
  <c r="F33" i="54" s="1"/>
  <c r="E30" i="54"/>
  <c r="E33" i="54" s="1"/>
  <c r="J9" i="54"/>
  <c r="A7" i="54"/>
  <c r="A6" i="54"/>
  <c r="A2" i="54"/>
  <c r="A1" i="54"/>
  <c r="O30" i="53"/>
  <c r="P30" i="53" s="1"/>
  <c r="K30" i="53"/>
  <c r="L30" i="53" s="1"/>
  <c r="O26" i="53"/>
  <c r="K26" i="53"/>
  <c r="O24" i="53"/>
  <c r="K24" i="53"/>
  <c r="O20" i="53"/>
  <c r="K20" i="53"/>
  <c r="O19" i="53"/>
  <c r="K19" i="53"/>
  <c r="O18" i="53"/>
  <c r="K18" i="53"/>
  <c r="O10" i="53"/>
  <c r="B8" i="53"/>
  <c r="B7" i="53"/>
  <c r="B2" i="53"/>
  <c r="B1" i="53"/>
  <c r="O10" i="52"/>
  <c r="A8" i="52"/>
  <c r="A7" i="52"/>
  <c r="A2" i="52"/>
  <c r="A1" i="52"/>
  <c r="O10" i="51"/>
  <c r="A8" i="51"/>
  <c r="A7" i="51"/>
  <c r="A2" i="51"/>
  <c r="A1" i="51"/>
  <c r="O10" i="50"/>
  <c r="A8" i="50"/>
  <c r="A7" i="50"/>
  <c r="A2" i="50"/>
  <c r="A1" i="50"/>
  <c r="O10" i="49"/>
  <c r="A8" i="49"/>
  <c r="A7" i="49"/>
  <c r="A2" i="49"/>
  <c r="A1" i="49"/>
  <c r="A8" i="48"/>
  <c r="A7" i="48"/>
  <c r="A2" i="48"/>
  <c r="A1" i="48"/>
  <c r="H11" i="45"/>
  <c r="A9" i="45"/>
  <c r="A8" i="45"/>
  <c r="A2" i="45"/>
  <c r="A1" i="45"/>
  <c r="J10" i="44"/>
  <c r="A8" i="44"/>
  <c r="A7" i="44"/>
  <c r="A2" i="44"/>
  <c r="A1" i="44"/>
  <c r="K10" i="43"/>
  <c r="A8" i="43"/>
  <c r="A7" i="43"/>
  <c r="A2" i="43"/>
  <c r="A1" i="43"/>
  <c r="J22" i="126"/>
  <c r="J25" i="126" s="1"/>
  <c r="A7" i="126"/>
  <c r="A6" i="126"/>
  <c r="A2" i="126"/>
  <c r="A1" i="126"/>
  <c r="J21" i="125"/>
  <c r="I9" i="125"/>
  <c r="A7" i="125"/>
  <c r="A6" i="125"/>
  <c r="A2" i="125"/>
  <c r="A1" i="125"/>
  <c r="J22" i="124"/>
  <c r="I9" i="124"/>
  <c r="A7" i="124"/>
  <c r="A6" i="124"/>
  <c r="A2" i="124"/>
  <c r="A1" i="124"/>
  <c r="P55" i="123"/>
  <c r="L39" i="123"/>
  <c r="Z71" i="123" s="1"/>
  <c r="V38" i="123"/>
  <c r="L38" i="123"/>
  <c r="L37" i="123"/>
  <c r="L36" i="123"/>
  <c r="J23" i="123"/>
  <c r="I9" i="123"/>
  <c r="A7" i="123"/>
  <c r="A6" i="123"/>
  <c r="A2" i="123"/>
  <c r="A1" i="123"/>
  <c r="J23" i="116"/>
  <c r="A7" i="116"/>
  <c r="A6" i="116"/>
  <c r="A2" i="116"/>
  <c r="A1" i="116"/>
  <c r="N111" i="112"/>
  <c r="T110" i="112"/>
  <c r="N110" i="112"/>
  <c r="N109" i="112"/>
  <c r="N108" i="112"/>
  <c r="J32" i="112"/>
  <c r="J24" i="112"/>
  <c r="I9" i="112"/>
  <c r="A7" i="112"/>
  <c r="A6" i="112"/>
  <c r="A2" i="112"/>
  <c r="A1" i="112"/>
  <c r="T47" i="109"/>
  <c r="T102" i="109" s="1"/>
  <c r="L40" i="109"/>
  <c r="R39" i="109"/>
  <c r="L39" i="109"/>
  <c r="L38" i="109"/>
  <c r="L37" i="109"/>
  <c r="J26" i="109"/>
  <c r="I9" i="109"/>
  <c r="A7" i="109"/>
  <c r="A6" i="109"/>
  <c r="A2" i="109"/>
  <c r="A1" i="109"/>
  <c r="A7" i="42"/>
  <c r="A6" i="42"/>
  <c r="A2" i="42"/>
  <c r="A1" i="42"/>
  <c r="I9" i="41"/>
  <c r="A7" i="41"/>
  <c r="A6" i="41"/>
  <c r="A2" i="41"/>
  <c r="A1" i="41"/>
  <c r="CU377" i="40"/>
  <c r="CS377" i="40"/>
  <c r="CW376" i="40"/>
  <c r="CW375" i="40"/>
  <c r="CW374" i="40"/>
  <c r="CW373" i="40"/>
  <c r="CW372" i="40"/>
  <c r="CW371" i="40"/>
  <c r="CW370" i="40"/>
  <c r="CW369" i="40"/>
  <c r="CW368" i="40"/>
  <c r="CW367" i="40"/>
  <c r="CW366" i="40"/>
  <c r="CW365" i="40"/>
  <c r="CW364" i="40"/>
  <c r="CX354" i="40"/>
  <c r="CO354" i="40"/>
  <c r="CO353" i="40"/>
  <c r="CO352" i="40"/>
  <c r="CK324" i="40"/>
  <c r="CD324" i="40"/>
  <c r="CD323" i="40"/>
  <c r="CD322" i="40"/>
  <c r="BY313" i="40"/>
  <c r="BX313" i="40"/>
  <c r="BW313" i="40"/>
  <c r="BV313" i="40"/>
  <c r="CA295" i="40"/>
  <c r="BR295" i="40"/>
  <c r="BR294" i="40"/>
  <c r="BR293" i="40"/>
  <c r="BI279" i="40"/>
  <c r="BI280" i="40" s="1"/>
  <c r="BI281" i="40" s="1"/>
  <c r="BI282" i="40" s="1"/>
  <c r="BI283" i="40" s="1"/>
  <c r="BI284" i="40" s="1"/>
  <c r="BI285" i="40" s="1"/>
  <c r="BI286" i="40" s="1"/>
  <c r="BI287" i="40" s="1"/>
  <c r="BI288" i="40" s="1"/>
  <c r="BI289" i="40" s="1"/>
  <c r="BO269" i="40"/>
  <c r="BI269" i="40"/>
  <c r="BI268" i="40"/>
  <c r="BI267" i="40"/>
  <c r="BF246" i="40"/>
  <c r="AZ246" i="40"/>
  <c r="AZ245" i="40"/>
  <c r="AZ244" i="40"/>
  <c r="AQ223" i="40"/>
  <c r="AQ224" i="40" s="1"/>
  <c r="AQ225" i="40" s="1"/>
  <c r="AQ226" i="40" s="1"/>
  <c r="AQ227" i="40" s="1"/>
  <c r="AQ228" i="40" s="1"/>
  <c r="AQ229" i="40" s="1"/>
  <c r="AQ230" i="40" s="1"/>
  <c r="AQ231" i="40" s="1"/>
  <c r="AQ232" i="40" s="1"/>
  <c r="AQ233" i="40" s="1"/>
  <c r="AQ234" i="40" s="1"/>
  <c r="AQ235" i="40" s="1"/>
  <c r="AX212" i="40"/>
  <c r="AQ211" i="40"/>
  <c r="AQ210" i="40"/>
  <c r="AQ209" i="40"/>
  <c r="AX153" i="40"/>
  <c r="AQ152" i="40"/>
  <c r="AQ151" i="40"/>
  <c r="AQ150" i="40"/>
  <c r="AO142" i="40"/>
  <c r="AM117" i="40"/>
  <c r="AG116" i="40"/>
  <c r="AG115" i="40"/>
  <c r="AG114" i="40"/>
  <c r="AG107" i="40"/>
  <c r="AG106" i="40"/>
  <c r="AD96" i="40"/>
  <c r="AB82" i="40"/>
  <c r="V81" i="40"/>
  <c r="V80" i="40"/>
  <c r="V79" i="40"/>
  <c r="V72" i="40"/>
  <c r="V71" i="40"/>
  <c r="R60" i="40"/>
  <c r="P45" i="40"/>
  <c r="J44" i="40"/>
  <c r="J43" i="40"/>
  <c r="J42" i="40"/>
  <c r="J37" i="40"/>
  <c r="AZ248" i="40" s="1"/>
  <c r="J35" i="40"/>
  <c r="J34" i="40"/>
  <c r="H28" i="40"/>
  <c r="G12" i="40"/>
  <c r="A10" i="40"/>
  <c r="A9" i="40"/>
  <c r="A2" i="40"/>
  <c r="A1" i="40"/>
  <c r="AD73" i="115"/>
  <c r="X73" i="115"/>
  <c r="X72" i="115"/>
  <c r="X71" i="115"/>
  <c r="T42" i="115"/>
  <c r="L41" i="115"/>
  <c r="L40" i="115"/>
  <c r="L39" i="115"/>
  <c r="L35" i="115"/>
  <c r="L34" i="115"/>
  <c r="J25" i="115"/>
  <c r="A16" i="115"/>
  <c r="I9" i="115"/>
  <c r="A7" i="115"/>
  <c r="A6" i="115"/>
  <c r="A2" i="115"/>
  <c r="A1" i="115"/>
  <c r="I23" i="38"/>
  <c r="H9" i="38"/>
  <c r="A7" i="38"/>
  <c r="A6" i="38"/>
  <c r="A2" i="38"/>
  <c r="A1" i="38"/>
  <c r="P51" i="37"/>
  <c r="T37" i="37"/>
  <c r="N37" i="37"/>
  <c r="P46" i="37" s="1"/>
  <c r="N36" i="37"/>
  <c r="N35" i="37"/>
  <c r="J23" i="37"/>
  <c r="I9" i="37"/>
  <c r="A7" i="37"/>
  <c r="A6" i="37"/>
  <c r="A2" i="37"/>
  <c r="A1" i="37"/>
  <c r="Y43" i="36"/>
  <c r="M43" i="36"/>
  <c r="M42" i="36"/>
  <c r="M41" i="36"/>
  <c r="J25" i="36"/>
  <c r="I9" i="36"/>
  <c r="A7" i="36"/>
  <c r="A6" i="36"/>
  <c r="A2" i="36"/>
  <c r="A1" i="36"/>
  <c r="L52" i="108"/>
  <c r="L51" i="108"/>
  <c r="L50" i="108"/>
  <c r="J33" i="108"/>
  <c r="A7" i="108"/>
  <c r="A6" i="108"/>
  <c r="A2" i="108"/>
  <c r="A1" i="108"/>
  <c r="L48" i="35"/>
  <c r="L47" i="35"/>
  <c r="L46" i="35"/>
  <c r="J29" i="35"/>
  <c r="A7" i="35"/>
  <c r="A6" i="35"/>
  <c r="A2" i="35"/>
  <c r="A1" i="35"/>
  <c r="L45" i="34"/>
  <c r="L44" i="34"/>
  <c r="L43" i="34"/>
  <c r="J26" i="34"/>
  <c r="A7" i="34"/>
  <c r="A6" i="34"/>
  <c r="A2" i="34"/>
  <c r="A1" i="34"/>
  <c r="R53" i="84"/>
  <c r="L46" i="84"/>
  <c r="L45" i="84"/>
  <c r="L44" i="84"/>
  <c r="L43" i="84"/>
  <c r="J26" i="84"/>
  <c r="A7" i="84"/>
  <c r="A6" i="84"/>
  <c r="A2" i="84"/>
  <c r="A1" i="84"/>
  <c r="L45" i="33"/>
  <c r="L44" i="33"/>
  <c r="L43" i="33"/>
  <c r="J26" i="33"/>
  <c r="A7" i="33"/>
  <c r="A6" i="33"/>
  <c r="A2" i="33"/>
  <c r="A1" i="33"/>
  <c r="L45" i="32"/>
  <c r="L44" i="32"/>
  <c r="L43" i="32"/>
  <c r="J26" i="32"/>
  <c r="A7" i="32"/>
  <c r="A6" i="32"/>
  <c r="A2" i="32"/>
  <c r="A1" i="32"/>
  <c r="L45" i="31"/>
  <c r="L44" i="31"/>
  <c r="L43" i="31"/>
  <c r="J26" i="31"/>
  <c r="A7" i="31"/>
  <c r="A6" i="31"/>
  <c r="A2" i="31"/>
  <c r="A1" i="31"/>
  <c r="L45" i="30"/>
  <c r="L44" i="30"/>
  <c r="L43" i="30"/>
  <c r="J26" i="30"/>
  <c r="A7" i="30"/>
  <c r="A6" i="30"/>
  <c r="A2" i="30"/>
  <c r="A1" i="30"/>
  <c r="L45" i="29"/>
  <c r="L44" i="29"/>
  <c r="L43" i="29"/>
  <c r="J26" i="29"/>
  <c r="A7" i="29"/>
  <c r="A6" i="29"/>
  <c r="A2" i="29"/>
  <c r="A1" i="29"/>
  <c r="L45" i="107"/>
  <c r="L44" i="107"/>
  <c r="L43" i="107"/>
  <c r="J26" i="107"/>
  <c r="A7" i="107"/>
  <c r="A6" i="107"/>
  <c r="A2" i="107"/>
  <c r="A1" i="107"/>
  <c r="L45" i="28"/>
  <c r="L44" i="28"/>
  <c r="L43" i="28"/>
  <c r="J26" i="28"/>
  <c r="A7" i="28"/>
  <c r="A6" i="28"/>
  <c r="A2" i="28"/>
  <c r="A1" i="28"/>
  <c r="L45" i="27"/>
  <c r="L44" i="27"/>
  <c r="L43" i="27"/>
  <c r="J26" i="27"/>
  <c r="A7" i="27"/>
  <c r="A6" i="27"/>
  <c r="A2" i="27"/>
  <c r="A1" i="27"/>
  <c r="L48" i="26"/>
  <c r="L47" i="26"/>
  <c r="L46" i="26"/>
  <c r="J29" i="26"/>
  <c r="A7" i="26"/>
  <c r="A6" i="26"/>
  <c r="A2" i="26"/>
  <c r="A1" i="26"/>
  <c r="L44" i="25"/>
  <c r="L43" i="25"/>
  <c r="L42" i="25"/>
  <c r="L41" i="25"/>
  <c r="J30" i="25"/>
  <c r="A7" i="25"/>
  <c r="A6" i="25"/>
  <c r="A2" i="25"/>
  <c r="A1" i="25"/>
  <c r="AN408" i="24"/>
  <c r="AN407" i="24"/>
  <c r="AQ406" i="24"/>
  <c r="AN406" i="24"/>
  <c r="AQ405" i="24"/>
  <c r="AG401" i="24"/>
  <c r="AG400" i="24"/>
  <c r="AG394" i="24"/>
  <c r="AG393" i="24"/>
  <c r="AE373" i="24"/>
  <c r="AC373" i="24"/>
  <c r="AA373" i="24"/>
  <c r="Y373" i="24"/>
  <c r="U368" i="24"/>
  <c r="AE358" i="24"/>
  <c r="AC358" i="24"/>
  <c r="AA358" i="24"/>
  <c r="Y358" i="24"/>
  <c r="W358" i="24"/>
  <c r="U358" i="24"/>
  <c r="AE353" i="24"/>
  <c r="AC353" i="24"/>
  <c r="AA353" i="24"/>
  <c r="Y353" i="24"/>
  <c r="W353" i="24"/>
  <c r="U353" i="24"/>
  <c r="AE346" i="24"/>
  <c r="AC346" i="24"/>
  <c r="AA346" i="24"/>
  <c r="W346" i="24"/>
  <c r="U346" i="24"/>
  <c r="Q343" i="24"/>
  <c r="Q344" i="24" s="1"/>
  <c r="Q345" i="24" s="1"/>
  <c r="Q346" i="24" s="1"/>
  <c r="Q347" i="24" s="1"/>
  <c r="Q348" i="24" s="1"/>
  <c r="Q349" i="24" s="1"/>
  <c r="Q350" i="24" s="1"/>
  <c r="Q351" i="24" s="1"/>
  <c r="Q352" i="24" s="1"/>
  <c r="Q353" i="24" s="1"/>
  <c r="Q354" i="24" s="1"/>
  <c r="Q355" i="24" s="1"/>
  <c r="Q356" i="24" s="1"/>
  <c r="Q357" i="24" s="1"/>
  <c r="Q358" i="24" s="1"/>
  <c r="Q359" i="24" s="1"/>
  <c r="Q360" i="24" s="1"/>
  <c r="Q361" i="24" s="1"/>
  <c r="Q362" i="24" s="1"/>
  <c r="Q363" i="24" s="1"/>
  <c r="Q364" i="24" s="1"/>
  <c r="Q365" i="24" s="1"/>
  <c r="Q366" i="24" s="1"/>
  <c r="Q367" i="24" s="1"/>
  <c r="Q368" i="24" s="1"/>
  <c r="Q369" i="24" s="1"/>
  <c r="Q370" i="24" s="1"/>
  <c r="Q371" i="24" s="1"/>
  <c r="Q372" i="24" s="1"/>
  <c r="Q373" i="24" s="1"/>
  <c r="Q374" i="24" s="1"/>
  <c r="Q375" i="24" s="1"/>
  <c r="Q376" i="24" s="1"/>
  <c r="Q377" i="24" s="1"/>
  <c r="Q378" i="24" s="1"/>
  <c r="Q379" i="24" s="1"/>
  <c r="Q380" i="24" s="1"/>
  <c r="Q381" i="24" s="1"/>
  <c r="Q382" i="24" s="1"/>
  <c r="Q383" i="24" s="1"/>
  <c r="Q384" i="24" s="1"/>
  <c r="Q385" i="24" s="1"/>
  <c r="Q386" i="24" s="1"/>
  <c r="Q387" i="24" s="1"/>
  <c r="Q388" i="24" s="1"/>
  <c r="AC336" i="24"/>
  <c r="Q334" i="24"/>
  <c r="Q333" i="24"/>
  <c r="Q330" i="24"/>
  <c r="Q329" i="24"/>
  <c r="Q328" i="24"/>
  <c r="Q327" i="24"/>
  <c r="Q326" i="24"/>
  <c r="AB324" i="24"/>
  <c r="Z324" i="24"/>
  <c r="X324" i="24"/>
  <c r="V324" i="24"/>
  <c r="AE308" i="24"/>
  <c r="AC308" i="24"/>
  <c r="AA308" i="24"/>
  <c r="Y308" i="24"/>
  <c r="U308" i="24"/>
  <c r="AE293" i="24"/>
  <c r="AA293" i="24"/>
  <c r="Y293" i="24"/>
  <c r="W293" i="24"/>
  <c r="U293" i="24"/>
  <c r="AE288" i="24"/>
  <c r="AC288" i="24"/>
  <c r="AA288" i="24"/>
  <c r="Y288" i="24"/>
  <c r="W288" i="24"/>
  <c r="U288" i="24"/>
  <c r="AA281" i="24"/>
  <c r="Y281" i="24"/>
  <c r="U281" i="24"/>
  <c r="Q278" i="24"/>
  <c r="Q279" i="24" s="1"/>
  <c r="Q280" i="24" s="1"/>
  <c r="Q281" i="24" s="1"/>
  <c r="Q282" i="24" s="1"/>
  <c r="Q283" i="24" s="1"/>
  <c r="Q284" i="24" s="1"/>
  <c r="Q285" i="24" s="1"/>
  <c r="Q286" i="24" s="1"/>
  <c r="Q287" i="24" s="1"/>
  <c r="Q288" i="24" s="1"/>
  <c r="Q289" i="24" s="1"/>
  <c r="Q290" i="24" s="1"/>
  <c r="Q291" i="24" s="1"/>
  <c r="Q292" i="24" s="1"/>
  <c r="Q293" i="24" s="1"/>
  <c r="Q294" i="24" s="1"/>
  <c r="Q295" i="24" s="1"/>
  <c r="Q296" i="24" s="1"/>
  <c r="Q297" i="24" s="1"/>
  <c r="Q298" i="24" s="1"/>
  <c r="Q299" i="24" s="1"/>
  <c r="Q300" i="24" s="1"/>
  <c r="Q301" i="24" s="1"/>
  <c r="Q302" i="24" s="1"/>
  <c r="Q303" i="24" s="1"/>
  <c r="Q304" i="24" s="1"/>
  <c r="Q305" i="24" s="1"/>
  <c r="Q306" i="24" s="1"/>
  <c r="Q307" i="24" s="1"/>
  <c r="Q308" i="24" s="1"/>
  <c r="Q309" i="24" s="1"/>
  <c r="Q310" i="24" s="1"/>
  <c r="Q311" i="24" s="1"/>
  <c r="Q312" i="24" s="1"/>
  <c r="Q313" i="24" s="1"/>
  <c r="Q314" i="24" s="1"/>
  <c r="Q315" i="24" s="1"/>
  <c r="Q316" i="24" s="1"/>
  <c r="Q317" i="24" s="1"/>
  <c r="Q318" i="24" s="1"/>
  <c r="Q319" i="24" s="1"/>
  <c r="Q320" i="24" s="1"/>
  <c r="Q321" i="24" s="1"/>
  <c r="Q322" i="24" s="1"/>
  <c r="Q323" i="24" s="1"/>
  <c r="AC271" i="24"/>
  <c r="Q269" i="24"/>
  <c r="Q268" i="24"/>
  <c r="Q265" i="24"/>
  <c r="Q264" i="24"/>
  <c r="Q263" i="24"/>
  <c r="Q262" i="24"/>
  <c r="Q261" i="24"/>
  <c r="AD259" i="24"/>
  <c r="AB259" i="24"/>
  <c r="Z259" i="24"/>
  <c r="X259" i="24"/>
  <c r="V259" i="24"/>
  <c r="U253" i="24"/>
  <c r="AQ451" i="24" s="1"/>
  <c r="AC243" i="24"/>
  <c r="AA243" i="24"/>
  <c r="Y243" i="24"/>
  <c r="W243" i="24"/>
  <c r="U229" i="24"/>
  <c r="AQ427" i="24" s="1"/>
  <c r="AE228" i="24"/>
  <c r="AC228" i="24"/>
  <c r="AA228" i="24"/>
  <c r="Y228" i="24"/>
  <c r="W228" i="24"/>
  <c r="U227" i="24"/>
  <c r="AQ425" i="24" s="1"/>
  <c r="AC223" i="24"/>
  <c r="AA223" i="24"/>
  <c r="Y223" i="24"/>
  <c r="W223" i="24"/>
  <c r="U221" i="24"/>
  <c r="AQ419" i="24" s="1"/>
  <c r="AC216" i="24"/>
  <c r="Y216" i="24"/>
  <c r="W216" i="24"/>
  <c r="Q213" i="24"/>
  <c r="Q214" i="24" s="1"/>
  <c r="Q215" i="24" s="1"/>
  <c r="Q216" i="24" s="1"/>
  <c r="Q217" i="24" s="1"/>
  <c r="Q218" i="24" s="1"/>
  <c r="Q219" i="24" s="1"/>
  <c r="Q220" i="24" s="1"/>
  <c r="Q221" i="24" s="1"/>
  <c r="Q222" i="24" s="1"/>
  <c r="Q223" i="24" s="1"/>
  <c r="Q224" i="24" s="1"/>
  <c r="Q225" i="24" s="1"/>
  <c r="Q226" i="24" s="1"/>
  <c r="Q227" i="24" s="1"/>
  <c r="Q228" i="24" s="1"/>
  <c r="Q229" i="24" s="1"/>
  <c r="Q230" i="24" s="1"/>
  <c r="Q231" i="24" s="1"/>
  <c r="Q232" i="24" s="1"/>
  <c r="Q233" i="24" s="1"/>
  <c r="Q234" i="24" s="1"/>
  <c r="Q235" i="24" s="1"/>
  <c r="Q236" i="24" s="1"/>
  <c r="Q237" i="24" s="1"/>
  <c r="Q238" i="24" s="1"/>
  <c r="Q239" i="24" s="1"/>
  <c r="Q240" i="24" s="1"/>
  <c r="Q241" i="24" s="1"/>
  <c r="Q242" i="24" s="1"/>
  <c r="Q243" i="24" s="1"/>
  <c r="Q244" i="24" s="1"/>
  <c r="Q245" i="24" s="1"/>
  <c r="Q246" i="24" s="1"/>
  <c r="Q247" i="24" s="1"/>
  <c r="Q248" i="24" s="1"/>
  <c r="Q249" i="24" s="1"/>
  <c r="Q250" i="24" s="1"/>
  <c r="Q251" i="24" s="1"/>
  <c r="Q252" i="24" s="1"/>
  <c r="Q253" i="24" s="1"/>
  <c r="Q254" i="24" s="1"/>
  <c r="Q255" i="24" s="1"/>
  <c r="Q256" i="24" s="1"/>
  <c r="Q257" i="24" s="1"/>
  <c r="Q258" i="24" s="1"/>
  <c r="AC206" i="24"/>
  <c r="Q204" i="24"/>
  <c r="Q203" i="24"/>
  <c r="Q199" i="24"/>
  <c r="Q198" i="24"/>
  <c r="Q197" i="24"/>
  <c r="Q196" i="24"/>
  <c r="H194" i="24"/>
  <c r="F194" i="24"/>
  <c r="I178" i="24"/>
  <c r="E178" i="24"/>
  <c r="I163" i="24"/>
  <c r="G163" i="24"/>
  <c r="E163" i="24"/>
  <c r="I158" i="24"/>
  <c r="G158" i="24"/>
  <c r="E158" i="24"/>
  <c r="I151" i="24"/>
  <c r="G151" i="24"/>
  <c r="E151" i="24"/>
  <c r="A148" i="24"/>
  <c r="A149" i="24" s="1"/>
  <c r="A150" i="24" s="1"/>
  <c r="A151" i="24" s="1"/>
  <c r="A152" i="24" s="1"/>
  <c r="A153" i="24" s="1"/>
  <c r="A154" i="24" s="1"/>
  <c r="A155" i="24" s="1"/>
  <c r="A156" i="24" s="1"/>
  <c r="A157" i="24" s="1"/>
  <c r="A158" i="24" s="1"/>
  <c r="A159" i="24" s="1"/>
  <c r="A160" i="24" s="1"/>
  <c r="A161" i="24" s="1"/>
  <c r="A162" i="24" s="1"/>
  <c r="A163" i="24" s="1"/>
  <c r="A164" i="24" s="1"/>
  <c r="A165" i="24" s="1"/>
  <c r="A166" i="24" s="1"/>
  <c r="A167" i="24" s="1"/>
  <c r="A168" i="24" s="1"/>
  <c r="A169" i="24" s="1"/>
  <c r="A170" i="24" s="1"/>
  <c r="A171" i="24" s="1"/>
  <c r="A172" i="24" s="1"/>
  <c r="A173" i="24" s="1"/>
  <c r="A174" i="24" s="1"/>
  <c r="A175" i="24" s="1"/>
  <c r="A176" i="24" s="1"/>
  <c r="A177" i="24" s="1"/>
  <c r="A178" i="24" s="1"/>
  <c r="A179" i="24" s="1"/>
  <c r="A180" i="24" s="1"/>
  <c r="A181" i="24" s="1"/>
  <c r="A182" i="24" s="1"/>
  <c r="A183" i="24" s="1"/>
  <c r="A184" i="24" s="1"/>
  <c r="A185" i="24" s="1"/>
  <c r="A186" i="24" s="1"/>
  <c r="A187" i="24" s="1"/>
  <c r="A188" i="24" s="1"/>
  <c r="A189" i="24" s="1"/>
  <c r="A190" i="24" s="1"/>
  <c r="A191" i="24" s="1"/>
  <c r="A192" i="24" s="1"/>
  <c r="A193" i="24" s="1"/>
  <c r="M141" i="24"/>
  <c r="A139" i="24"/>
  <c r="A138" i="24"/>
  <c r="A135" i="24"/>
  <c r="A134" i="24"/>
  <c r="A133" i="24"/>
  <c r="A132" i="24"/>
  <c r="A131" i="24"/>
  <c r="N129" i="24"/>
  <c r="L129" i="24"/>
  <c r="J129" i="24"/>
  <c r="H129" i="24"/>
  <c r="F129" i="24"/>
  <c r="O113" i="24"/>
  <c r="M113" i="24"/>
  <c r="K113" i="24"/>
  <c r="I113" i="24"/>
  <c r="G113" i="24"/>
  <c r="E113" i="24"/>
  <c r="O98" i="24"/>
  <c r="M98" i="24"/>
  <c r="K98" i="24"/>
  <c r="I98" i="24"/>
  <c r="G98" i="24"/>
  <c r="E98" i="24"/>
  <c r="O93" i="24"/>
  <c r="M93" i="24"/>
  <c r="K93" i="24"/>
  <c r="I93" i="24"/>
  <c r="G93" i="24"/>
  <c r="E93" i="24"/>
  <c r="O86" i="24"/>
  <c r="M86" i="24"/>
  <c r="K86" i="24"/>
  <c r="I86" i="24"/>
  <c r="G86" i="24"/>
  <c r="E86" i="24"/>
  <c r="A83" i="24"/>
  <c r="A84" i="24" s="1"/>
  <c r="A85" i="24" s="1"/>
  <c r="A86" i="24" s="1"/>
  <c r="A87" i="24" s="1"/>
  <c r="A88" i="24" s="1"/>
  <c r="A89" i="24" s="1"/>
  <c r="A90" i="24" s="1"/>
  <c r="A91" i="24" s="1"/>
  <c r="A92" i="24" s="1"/>
  <c r="A93" i="24" s="1"/>
  <c r="A94" i="24" s="1"/>
  <c r="A95" i="24" s="1"/>
  <c r="A96" i="24" s="1"/>
  <c r="A97" i="24" s="1"/>
  <c r="A98" i="24" s="1"/>
  <c r="A99" i="24" s="1"/>
  <c r="A100" i="24" s="1"/>
  <c r="A101" i="24" s="1"/>
  <c r="A102" i="24" s="1"/>
  <c r="A103" i="24" s="1"/>
  <c r="A104" i="24" s="1"/>
  <c r="A105" i="24" s="1"/>
  <c r="A106" i="24" s="1"/>
  <c r="A107" i="24" s="1"/>
  <c r="A108" i="24" s="1"/>
  <c r="A109" i="24" s="1"/>
  <c r="A110" i="24" s="1"/>
  <c r="A111" i="24" s="1"/>
  <c r="A112" i="24" s="1"/>
  <c r="A113" i="24" s="1"/>
  <c r="A114" i="24" s="1"/>
  <c r="A115" i="24" s="1"/>
  <c r="A116" i="24" s="1"/>
  <c r="A117" i="24" s="1"/>
  <c r="A118" i="24" s="1"/>
  <c r="A119" i="24" s="1"/>
  <c r="A120" i="24" s="1"/>
  <c r="A121" i="24" s="1"/>
  <c r="A122" i="24" s="1"/>
  <c r="A123" i="24" s="1"/>
  <c r="A124" i="24" s="1"/>
  <c r="A125" i="24" s="1"/>
  <c r="A126" i="24" s="1"/>
  <c r="A127" i="24" s="1"/>
  <c r="A128" i="24" s="1"/>
  <c r="M76" i="24"/>
  <c r="A74" i="24"/>
  <c r="A73" i="24"/>
  <c r="A70" i="24"/>
  <c r="A69" i="24"/>
  <c r="A68" i="24"/>
  <c r="A67" i="24"/>
  <c r="A66" i="24"/>
  <c r="N64" i="24"/>
  <c r="L64" i="24"/>
  <c r="J64" i="24"/>
  <c r="H64" i="24"/>
  <c r="O48" i="24"/>
  <c r="M48" i="24"/>
  <c r="K48" i="24"/>
  <c r="I48" i="24"/>
  <c r="G48" i="24"/>
  <c r="O33" i="24"/>
  <c r="K33" i="24"/>
  <c r="G33" i="24"/>
  <c r="O28" i="24"/>
  <c r="M28" i="24"/>
  <c r="G28" i="24"/>
  <c r="O21" i="24"/>
  <c r="M21" i="24"/>
  <c r="K21" i="24"/>
  <c r="I21" i="24"/>
  <c r="A18" i="24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3" i="24" s="1"/>
  <c r="A44" i="24" s="1"/>
  <c r="A45" i="24" s="1"/>
  <c r="A46" i="24" s="1"/>
  <c r="A47" i="24" s="1"/>
  <c r="A48" i="24" s="1"/>
  <c r="A49" i="24" s="1"/>
  <c r="A50" i="24" s="1"/>
  <c r="A51" i="24" s="1"/>
  <c r="A52" i="24" s="1"/>
  <c r="A53" i="24" s="1"/>
  <c r="A54" i="24" s="1"/>
  <c r="A55" i="24" s="1"/>
  <c r="A56" i="24" s="1"/>
  <c r="A57" i="24" s="1"/>
  <c r="A58" i="24" s="1"/>
  <c r="A59" i="24" s="1"/>
  <c r="A60" i="24" s="1"/>
  <c r="A61" i="24" s="1"/>
  <c r="A62" i="24" s="1"/>
  <c r="A63" i="24" s="1"/>
  <c r="M11" i="24"/>
  <c r="A9" i="24"/>
  <c r="A8" i="24"/>
  <c r="A4" i="24"/>
  <c r="A3" i="24"/>
  <c r="A2" i="24"/>
  <c r="A1" i="24"/>
  <c r="H320" i="22"/>
  <c r="H319" i="22"/>
  <c r="H316" i="22"/>
  <c r="H315" i="22"/>
  <c r="H308" i="22"/>
  <c r="H305" i="22"/>
  <c r="C304" i="22"/>
  <c r="C305" i="22" s="1"/>
  <c r="C306" i="22" s="1"/>
  <c r="C307" i="22" s="1"/>
  <c r="C308" i="22" s="1"/>
  <c r="C309" i="22" s="1"/>
  <c r="C310" i="22" s="1"/>
  <c r="C311" i="22" s="1"/>
  <c r="C312" i="22" s="1"/>
  <c r="C313" i="22" s="1"/>
  <c r="C314" i="22" s="1"/>
  <c r="C315" i="22" s="1"/>
  <c r="C316" i="22" s="1"/>
  <c r="C317" i="22" s="1"/>
  <c r="C318" i="22" s="1"/>
  <c r="C319" i="22" s="1"/>
  <c r="C320" i="22" s="1"/>
  <c r="C321" i="22" s="1"/>
  <c r="C322" i="22" s="1"/>
  <c r="C323" i="22" s="1"/>
  <c r="C324" i="22" s="1"/>
  <c r="J296" i="22"/>
  <c r="C296" i="22"/>
  <c r="J295" i="22"/>
  <c r="C295" i="22"/>
  <c r="J294" i="22"/>
  <c r="C294" i="22"/>
  <c r="J293" i="22"/>
  <c r="C289" i="22"/>
  <c r="C288" i="22"/>
  <c r="H282" i="22"/>
  <c r="H278" i="22"/>
  <c r="H277" i="22"/>
  <c r="H276" i="22"/>
  <c r="H271" i="22"/>
  <c r="H269" i="22"/>
  <c r="J259" i="22"/>
  <c r="C259" i="22"/>
  <c r="J258" i="22"/>
  <c r="C258" i="22"/>
  <c r="J257" i="22"/>
  <c r="C257" i="22"/>
  <c r="J256" i="22"/>
  <c r="C252" i="22"/>
  <c r="C251" i="22"/>
  <c r="H238" i="22"/>
  <c r="J238" i="22" s="1"/>
  <c r="H234" i="22"/>
  <c r="H224" i="22"/>
  <c r="H223" i="22"/>
  <c r="H222" i="22"/>
  <c r="H220" i="22"/>
  <c r="H219" i="22"/>
  <c r="H218" i="22"/>
  <c r="H217" i="22"/>
  <c r="H216" i="22"/>
  <c r="J206" i="22"/>
  <c r="C206" i="22"/>
  <c r="J205" i="22"/>
  <c r="C205" i="22"/>
  <c r="J204" i="22"/>
  <c r="C204" i="22"/>
  <c r="J203" i="22"/>
  <c r="C199" i="22"/>
  <c r="C198" i="22"/>
  <c r="H178" i="22"/>
  <c r="H175" i="22"/>
  <c r="H174" i="22"/>
  <c r="H173" i="22"/>
  <c r="J163" i="22"/>
  <c r="C163" i="22"/>
  <c r="J162" i="22"/>
  <c r="C162" i="22"/>
  <c r="J161" i="22"/>
  <c r="C161" i="22"/>
  <c r="J160" i="22"/>
  <c r="C156" i="22"/>
  <c r="C155" i="22"/>
  <c r="H151" i="22"/>
  <c r="H150" i="22"/>
  <c r="H149" i="22"/>
  <c r="H148" i="22"/>
  <c r="H147" i="22"/>
  <c r="H142" i="22"/>
  <c r="H141" i="22"/>
  <c r="H140" i="22"/>
  <c r="H139" i="22"/>
  <c r="H138" i="22"/>
  <c r="H137" i="22"/>
  <c r="H136" i="22"/>
  <c r="H108" i="22"/>
  <c r="J126" i="22"/>
  <c r="C126" i="22"/>
  <c r="J125" i="22"/>
  <c r="C125" i="22"/>
  <c r="J124" i="22"/>
  <c r="C124" i="22"/>
  <c r="J123" i="22"/>
  <c r="C119" i="22"/>
  <c r="C118" i="22"/>
  <c r="H93" i="22"/>
  <c r="H88" i="22"/>
  <c r="H87" i="22"/>
  <c r="H86" i="22"/>
  <c r="H85" i="22"/>
  <c r="J74" i="22"/>
  <c r="C74" i="22"/>
  <c r="J73" i="22"/>
  <c r="C73" i="22"/>
  <c r="J72" i="22"/>
  <c r="C72" i="22"/>
  <c r="J71" i="22"/>
  <c r="C67" i="22"/>
  <c r="C66" i="22"/>
  <c r="H61" i="22"/>
  <c r="H58" i="22"/>
  <c r="H57" i="22"/>
  <c r="H56" i="22"/>
  <c r="H55" i="22"/>
  <c r="H54" i="22"/>
  <c r="H53" i="22"/>
  <c r="H52" i="22"/>
  <c r="H51" i="22"/>
  <c r="H50" i="22"/>
  <c r="H49" i="22"/>
  <c r="H48" i="22"/>
  <c r="H47" i="22"/>
  <c r="J39" i="22"/>
  <c r="J38" i="22"/>
  <c r="C38" i="22"/>
  <c r="J37" i="22"/>
  <c r="C37" i="22"/>
  <c r="J36" i="22"/>
  <c r="C32" i="22"/>
  <c r="C31" i="22"/>
  <c r="H28" i="22"/>
  <c r="H27" i="22"/>
  <c r="H26" i="22"/>
  <c r="H25" i="22"/>
  <c r="H24" i="22"/>
  <c r="H23" i="22"/>
  <c r="H22" i="22"/>
  <c r="H21" i="22"/>
  <c r="H20" i="22"/>
  <c r="H19" i="22"/>
  <c r="J9" i="22"/>
  <c r="J8" i="22"/>
  <c r="C8" i="22"/>
  <c r="J7" i="22"/>
  <c r="C7" i="22"/>
  <c r="J6" i="22"/>
  <c r="C2" i="22"/>
  <c r="C1" i="22"/>
  <c r="H320" i="21"/>
  <c r="H319" i="21"/>
  <c r="H315" i="21"/>
  <c r="H308" i="21"/>
  <c r="H305" i="21"/>
  <c r="J296" i="21"/>
  <c r="C296" i="21"/>
  <c r="J295" i="21"/>
  <c r="C295" i="21"/>
  <c r="J294" i="21"/>
  <c r="C294" i="21"/>
  <c r="J293" i="21"/>
  <c r="C289" i="21"/>
  <c r="C288" i="21"/>
  <c r="H282" i="21"/>
  <c r="H278" i="21"/>
  <c r="H277" i="21"/>
  <c r="H276" i="21"/>
  <c r="H271" i="21"/>
  <c r="H269" i="21"/>
  <c r="J259" i="21"/>
  <c r="C259" i="21"/>
  <c r="J258" i="21"/>
  <c r="C258" i="21"/>
  <c r="J257" i="21"/>
  <c r="C257" i="21"/>
  <c r="J256" i="21"/>
  <c r="C252" i="21"/>
  <c r="C251" i="21"/>
  <c r="H244" i="21"/>
  <c r="H238" i="21"/>
  <c r="J238" i="21" s="1"/>
  <c r="H234" i="21"/>
  <c r="H224" i="21"/>
  <c r="H223" i="21"/>
  <c r="H222" i="21"/>
  <c r="H221" i="21"/>
  <c r="H220" i="21"/>
  <c r="H219" i="21"/>
  <c r="H218" i="21"/>
  <c r="H217" i="21"/>
  <c r="H216" i="21"/>
  <c r="J206" i="21"/>
  <c r="C206" i="21"/>
  <c r="J205" i="21"/>
  <c r="C205" i="21"/>
  <c r="J204" i="21"/>
  <c r="C204" i="21"/>
  <c r="J203" i="21"/>
  <c r="C199" i="21"/>
  <c r="C198" i="21"/>
  <c r="H178" i="21"/>
  <c r="H175" i="21"/>
  <c r="H174" i="21"/>
  <c r="H173" i="21"/>
  <c r="J163" i="21"/>
  <c r="C163" i="21"/>
  <c r="J162" i="21"/>
  <c r="C162" i="21"/>
  <c r="J161" i="21"/>
  <c r="C161" i="21"/>
  <c r="J160" i="21"/>
  <c r="C156" i="21"/>
  <c r="C155" i="21"/>
  <c r="H151" i="21"/>
  <c r="H150" i="21"/>
  <c r="H149" i="21"/>
  <c r="H148" i="21"/>
  <c r="H147" i="21"/>
  <c r="H142" i="21"/>
  <c r="H141" i="21"/>
  <c r="H140" i="21"/>
  <c r="H139" i="21"/>
  <c r="H138" i="21"/>
  <c r="H137" i="21"/>
  <c r="H136" i="21"/>
  <c r="H108" i="21"/>
  <c r="J126" i="21"/>
  <c r="C126" i="21"/>
  <c r="J125" i="21"/>
  <c r="C125" i="21"/>
  <c r="J124" i="21"/>
  <c r="C124" i="21"/>
  <c r="J123" i="21"/>
  <c r="C119" i="21"/>
  <c r="C118" i="21"/>
  <c r="H103" i="21"/>
  <c r="H102" i="21"/>
  <c r="H101" i="21"/>
  <c r="H100" i="21"/>
  <c r="H99" i="21"/>
  <c r="H93" i="21"/>
  <c r="H89" i="21"/>
  <c r="H88" i="21"/>
  <c r="H87" i="21"/>
  <c r="H86" i="21"/>
  <c r="H85" i="21"/>
  <c r="J74" i="21"/>
  <c r="C74" i="21"/>
  <c r="J73" i="21"/>
  <c r="C73" i="21"/>
  <c r="J72" i="21"/>
  <c r="C72" i="21"/>
  <c r="J71" i="21"/>
  <c r="C67" i="21"/>
  <c r="C66" i="21"/>
  <c r="H61" i="21"/>
  <c r="H60" i="21"/>
  <c r="H58" i="21"/>
  <c r="H57" i="21"/>
  <c r="H56" i="21"/>
  <c r="H55" i="21"/>
  <c r="H54" i="21"/>
  <c r="H53" i="21"/>
  <c r="H52" i="21"/>
  <c r="H51" i="21"/>
  <c r="H50" i="21"/>
  <c r="H49" i="21"/>
  <c r="H48" i="21"/>
  <c r="H47" i="21"/>
  <c r="J39" i="21"/>
  <c r="J38" i="21"/>
  <c r="C38" i="21"/>
  <c r="J37" i="21"/>
  <c r="C37" i="21"/>
  <c r="J36" i="21"/>
  <c r="C32" i="21"/>
  <c r="C31" i="21"/>
  <c r="H28" i="21"/>
  <c r="H27" i="21"/>
  <c r="H26" i="21"/>
  <c r="H25" i="21"/>
  <c r="H24" i="21"/>
  <c r="H23" i="21"/>
  <c r="H22" i="21"/>
  <c r="H21" i="21"/>
  <c r="H20" i="21"/>
  <c r="H19" i="21"/>
  <c r="J9" i="21"/>
  <c r="J8" i="21"/>
  <c r="C8" i="21"/>
  <c r="J7" i="21"/>
  <c r="C7" i="21"/>
  <c r="J6" i="21"/>
  <c r="C2" i="21"/>
  <c r="C1" i="21"/>
  <c r="Q59" i="20"/>
  <c r="AL159" i="20"/>
  <c r="AK159" i="20"/>
  <c r="AJ159" i="20"/>
  <c r="AI159" i="20"/>
  <c r="AH159" i="20"/>
  <c r="AG159" i="20"/>
  <c r="AF159" i="20"/>
  <c r="AE159" i="20"/>
  <c r="AD159" i="20"/>
  <c r="AC159" i="20"/>
  <c r="AB159" i="20"/>
  <c r="AA159" i="20"/>
  <c r="W155" i="20"/>
  <c r="W154" i="20"/>
  <c r="AL151" i="20"/>
  <c r="W151" i="20"/>
  <c r="W150" i="20"/>
  <c r="W149" i="20"/>
  <c r="AL121" i="20"/>
  <c r="AK121" i="20"/>
  <c r="AJ121" i="20"/>
  <c r="AI121" i="20"/>
  <c r="AH121" i="20"/>
  <c r="AG121" i="20"/>
  <c r="AF121" i="20"/>
  <c r="AE121" i="20"/>
  <c r="AD121" i="20"/>
  <c r="AC121" i="20"/>
  <c r="AB121" i="20"/>
  <c r="AA121" i="20"/>
  <c r="AM120" i="20"/>
  <c r="AM119" i="20"/>
  <c r="AM118" i="20"/>
  <c r="AM117" i="20"/>
  <c r="AM116" i="20"/>
  <c r="AM110" i="20"/>
  <c r="AM104" i="20"/>
  <c r="G25" i="20" s="1"/>
  <c r="AM97" i="20"/>
  <c r="AM87" i="20"/>
  <c r="AL82" i="20"/>
  <c r="AK82" i="20"/>
  <c r="AJ82" i="20"/>
  <c r="AI82" i="20"/>
  <c r="AH82" i="20"/>
  <c r="AG82" i="20"/>
  <c r="AF82" i="20"/>
  <c r="AE82" i="20"/>
  <c r="AD82" i="20"/>
  <c r="AC82" i="20"/>
  <c r="AB82" i="20"/>
  <c r="AA82" i="20"/>
  <c r="W78" i="20"/>
  <c r="W77" i="20"/>
  <c r="AL74" i="20"/>
  <c r="W74" i="20"/>
  <c r="W73" i="20"/>
  <c r="W72" i="20"/>
  <c r="L40" i="20"/>
  <c r="L39" i="20"/>
  <c r="R37" i="20"/>
  <c r="L37" i="20"/>
  <c r="L36" i="20"/>
  <c r="L35" i="20"/>
  <c r="B6" i="20"/>
  <c r="B5" i="20"/>
  <c r="H3" i="20"/>
  <c r="B2" i="20"/>
  <c r="B1" i="20"/>
  <c r="J33" i="19"/>
  <c r="L10" i="19"/>
  <c r="A8" i="19"/>
  <c r="A7" i="19"/>
  <c r="A2" i="19"/>
  <c r="A1" i="19"/>
  <c r="L65" i="18"/>
  <c r="N40" i="18"/>
  <c r="J40" i="18"/>
  <c r="J39" i="18"/>
  <c r="J38" i="18"/>
  <c r="H9" i="18"/>
  <c r="A7" i="18"/>
  <c r="A6" i="18"/>
  <c r="A2" i="18"/>
  <c r="A1" i="18"/>
  <c r="H127" i="17"/>
  <c r="F127" i="17"/>
  <c r="D127" i="17"/>
  <c r="Q126" i="17"/>
  <c r="I126" i="17"/>
  <c r="G126" i="17"/>
  <c r="E126" i="17"/>
  <c r="Q124" i="17"/>
  <c r="I124" i="17"/>
  <c r="G124" i="17"/>
  <c r="E124" i="17"/>
  <c r="Q123" i="17"/>
  <c r="I123" i="17"/>
  <c r="G123" i="17"/>
  <c r="E123" i="17"/>
  <c r="Q122" i="17"/>
  <c r="I122" i="17"/>
  <c r="G122" i="17"/>
  <c r="E122" i="17"/>
  <c r="Q121" i="17"/>
  <c r="I121" i="17"/>
  <c r="G121" i="17"/>
  <c r="E121" i="17"/>
  <c r="Q119" i="17"/>
  <c r="I119" i="17"/>
  <c r="G119" i="17"/>
  <c r="E119" i="17"/>
  <c r="Q116" i="17"/>
  <c r="I116" i="17"/>
  <c r="G116" i="17"/>
  <c r="E116" i="17"/>
  <c r="Q115" i="17"/>
  <c r="I115" i="17"/>
  <c r="G115" i="17"/>
  <c r="E115" i="17"/>
  <c r="Q114" i="17"/>
  <c r="I114" i="17"/>
  <c r="G114" i="17"/>
  <c r="Q113" i="17"/>
  <c r="I113" i="17"/>
  <c r="G113" i="17"/>
  <c r="Q112" i="17"/>
  <c r="I112" i="17"/>
  <c r="G112" i="17"/>
  <c r="Q111" i="17"/>
  <c r="I111" i="17"/>
  <c r="G111" i="17"/>
  <c r="Q110" i="17"/>
  <c r="I110" i="17"/>
  <c r="G110" i="17"/>
  <c r="Q109" i="17"/>
  <c r="I109" i="17"/>
  <c r="G109" i="17"/>
  <c r="Q108" i="17"/>
  <c r="I108" i="17"/>
  <c r="G108" i="17"/>
  <c r="Q107" i="17"/>
  <c r="I107" i="17"/>
  <c r="G107" i="17"/>
  <c r="E107" i="17"/>
  <c r="Q106" i="17"/>
  <c r="I106" i="17"/>
  <c r="G106" i="17"/>
  <c r="E106" i="17"/>
  <c r="H104" i="17"/>
  <c r="F104" i="17"/>
  <c r="D104" i="17"/>
  <c r="Q103" i="17"/>
  <c r="I103" i="17"/>
  <c r="G103" i="17"/>
  <c r="E103" i="17"/>
  <c r="Q101" i="17"/>
  <c r="I101" i="17"/>
  <c r="G101" i="17"/>
  <c r="E101" i="17"/>
  <c r="Q100" i="17"/>
  <c r="I100" i="17"/>
  <c r="G100" i="17"/>
  <c r="E100" i="17"/>
  <c r="Q99" i="17"/>
  <c r="I99" i="17"/>
  <c r="G99" i="17"/>
  <c r="E99" i="17"/>
  <c r="Q98" i="17"/>
  <c r="I98" i="17"/>
  <c r="G98" i="17"/>
  <c r="E98" i="17"/>
  <c r="Q97" i="17"/>
  <c r="I97" i="17"/>
  <c r="G97" i="17"/>
  <c r="E97" i="17"/>
  <c r="I70" i="110"/>
  <c r="H70" i="110"/>
  <c r="G70" i="110"/>
  <c r="F70" i="110"/>
  <c r="H95" i="17"/>
  <c r="E70" i="110" s="1"/>
  <c r="F95" i="17"/>
  <c r="D95" i="17"/>
  <c r="Q94" i="17"/>
  <c r="I94" i="17"/>
  <c r="G94" i="17"/>
  <c r="E94" i="17"/>
  <c r="Q93" i="17"/>
  <c r="I93" i="17"/>
  <c r="G93" i="17"/>
  <c r="E93" i="17"/>
  <c r="Q92" i="17"/>
  <c r="I92" i="17"/>
  <c r="G92" i="17"/>
  <c r="E92" i="17"/>
  <c r="Q91" i="17"/>
  <c r="I91" i="17"/>
  <c r="G91" i="17"/>
  <c r="E91" i="17"/>
  <c r="Q90" i="17"/>
  <c r="I90" i="17"/>
  <c r="G90" i="17"/>
  <c r="E90" i="17"/>
  <c r="I72" i="110"/>
  <c r="H72" i="110"/>
  <c r="G72" i="110"/>
  <c r="F72" i="110"/>
  <c r="H88" i="17"/>
  <c r="E72" i="110" s="1"/>
  <c r="F88" i="17"/>
  <c r="D88" i="17"/>
  <c r="Q87" i="17"/>
  <c r="I87" i="17"/>
  <c r="G87" i="17"/>
  <c r="E87" i="17"/>
  <c r="Q86" i="17"/>
  <c r="I86" i="17"/>
  <c r="G86" i="17"/>
  <c r="E86" i="17"/>
  <c r="Q85" i="17"/>
  <c r="I85" i="17"/>
  <c r="G85" i="17"/>
  <c r="E85" i="17"/>
  <c r="Q84" i="17"/>
  <c r="I84" i="17"/>
  <c r="G84" i="17"/>
  <c r="E84" i="17"/>
  <c r="Q83" i="17"/>
  <c r="I83" i="17"/>
  <c r="G83" i="17"/>
  <c r="E83" i="17"/>
  <c r="H80" i="17"/>
  <c r="J80" i="17" s="1"/>
  <c r="L80" i="17" s="1"/>
  <c r="N80" i="17" s="1"/>
  <c r="P80" i="17" s="1"/>
  <c r="S80" i="17" s="1"/>
  <c r="A73" i="17"/>
  <c r="A71" i="17"/>
  <c r="H61" i="17"/>
  <c r="F61" i="17"/>
  <c r="D61" i="17"/>
  <c r="I60" i="17"/>
  <c r="G60" i="17"/>
  <c r="E60" i="17"/>
  <c r="I59" i="17"/>
  <c r="G59" i="17"/>
  <c r="I58" i="17"/>
  <c r="G58" i="17"/>
  <c r="E58" i="17"/>
  <c r="I57" i="17"/>
  <c r="G57" i="17"/>
  <c r="E57" i="17"/>
  <c r="I55" i="17"/>
  <c r="G55" i="17"/>
  <c r="E55" i="17"/>
  <c r="I53" i="17"/>
  <c r="G53" i="17"/>
  <c r="E53" i="17"/>
  <c r="I52" i="17"/>
  <c r="G52" i="17"/>
  <c r="E52" i="17"/>
  <c r="H50" i="17"/>
  <c r="F50" i="17"/>
  <c r="D50" i="17"/>
  <c r="I49" i="17"/>
  <c r="G49" i="17"/>
  <c r="E49" i="17"/>
  <c r="I44" i="17"/>
  <c r="G44" i="17"/>
  <c r="E44" i="17"/>
  <c r="I42" i="17"/>
  <c r="G42" i="17"/>
  <c r="E42" i="17"/>
  <c r="I41" i="17"/>
  <c r="G41" i="17"/>
  <c r="E41" i="17"/>
  <c r="I40" i="17"/>
  <c r="G40" i="17"/>
  <c r="E40" i="17"/>
  <c r="I39" i="17"/>
  <c r="G39" i="17"/>
  <c r="E39" i="17"/>
  <c r="I38" i="17"/>
  <c r="G38" i="17"/>
  <c r="E38" i="17"/>
  <c r="I37" i="17"/>
  <c r="G37" i="17"/>
  <c r="E37" i="17"/>
  <c r="I34" i="17"/>
  <c r="G34" i="17"/>
  <c r="E34" i="17"/>
  <c r="I33" i="17"/>
  <c r="G33" i="17"/>
  <c r="E33" i="17"/>
  <c r="I32" i="17"/>
  <c r="G32" i="17"/>
  <c r="E32" i="17"/>
  <c r="I31" i="17"/>
  <c r="G31" i="17"/>
  <c r="E31" i="17"/>
  <c r="I30" i="17"/>
  <c r="G30" i="17"/>
  <c r="E30" i="17"/>
  <c r="I28" i="17"/>
  <c r="E28" i="17"/>
  <c r="I26" i="17"/>
  <c r="G26" i="17"/>
  <c r="E26" i="17"/>
  <c r="I25" i="17"/>
  <c r="G25" i="17"/>
  <c r="E25" i="17"/>
  <c r="I23" i="17"/>
  <c r="G23" i="17"/>
  <c r="E23" i="17"/>
  <c r="I22" i="17"/>
  <c r="G22" i="17"/>
  <c r="E22" i="17"/>
  <c r="I19" i="17"/>
  <c r="G19" i="17"/>
  <c r="E19" i="17"/>
  <c r="H18" i="17"/>
  <c r="H20" i="17" s="1"/>
  <c r="F18" i="17"/>
  <c r="D18" i="17"/>
  <c r="D20" i="17" s="1"/>
  <c r="I17" i="17"/>
  <c r="G17" i="17"/>
  <c r="E17" i="17"/>
  <c r="I16" i="17"/>
  <c r="G16" i="17"/>
  <c r="E16" i="17"/>
  <c r="J13" i="17"/>
  <c r="L13" i="17" s="1"/>
  <c r="N13" i="17" s="1"/>
  <c r="P13" i="17" s="1"/>
  <c r="S13" i="17" s="1"/>
  <c r="A7" i="17"/>
  <c r="A74" i="17" s="1"/>
  <c r="A6" i="17"/>
  <c r="A2" i="17"/>
  <c r="A69" i="17" s="1"/>
  <c r="A1" i="17"/>
  <c r="A68" i="17" s="1"/>
  <c r="AC82" i="16"/>
  <c r="T48" i="16"/>
  <c r="L46" i="16"/>
  <c r="L41" i="16"/>
  <c r="L40" i="16"/>
  <c r="K9" i="16"/>
  <c r="A7" i="16"/>
  <c r="A6" i="16"/>
  <c r="A2" i="16"/>
  <c r="A1" i="16"/>
  <c r="Y232" i="15"/>
  <c r="Y221" i="15"/>
  <c r="Y218" i="15"/>
  <c r="Y217" i="15"/>
  <c r="Y216" i="15"/>
  <c r="Y207" i="15"/>
  <c r="Y196" i="15"/>
  <c r="Y193" i="15"/>
  <c r="Y192" i="15"/>
  <c r="Y191" i="15"/>
  <c r="A90" i="15"/>
  <c r="A89" i="15"/>
  <c r="A88" i="15"/>
  <c r="A87" i="15"/>
  <c r="A4" i="15"/>
  <c r="A2" i="15"/>
  <c r="A1" i="15"/>
  <c r="J78" i="14"/>
  <c r="J73" i="14"/>
  <c r="J72" i="14"/>
  <c r="J71" i="14"/>
  <c r="J68" i="14"/>
  <c r="A57" i="14"/>
  <c r="A56" i="14"/>
  <c r="A50" i="14"/>
  <c r="A49" i="14"/>
  <c r="J29" i="14"/>
  <c r="J24" i="14"/>
  <c r="J23" i="14"/>
  <c r="J22" i="14"/>
  <c r="J19" i="14"/>
  <c r="L19" i="14" s="1"/>
  <c r="P19" i="14" s="1"/>
  <c r="A9" i="14"/>
  <c r="A8" i="14"/>
  <c r="A2" i="14"/>
  <c r="A1" i="14"/>
  <c r="CV424" i="13"/>
  <c r="CV423" i="13"/>
  <c r="CV422" i="13"/>
  <c r="CV421" i="13"/>
  <c r="CV420" i="13"/>
  <c r="CV419" i="13"/>
  <c r="CV418" i="13"/>
  <c r="CV417" i="13"/>
  <c r="CV416" i="13"/>
  <c r="CV415" i="13"/>
  <c r="CV414" i="13"/>
  <c r="CV413" i="13"/>
  <c r="CV412" i="13"/>
  <c r="CV409" i="13"/>
  <c r="CV408" i="13"/>
  <c r="CV407" i="13"/>
  <c r="CV406" i="13"/>
  <c r="CV405" i="13"/>
  <c r="DC404" i="13"/>
  <c r="CV404" i="13"/>
  <c r="DC403" i="13"/>
  <c r="CV403" i="13"/>
  <c r="DC402" i="13"/>
  <c r="CV402" i="13"/>
  <c r="DC401" i="13"/>
  <c r="CV401" i="13"/>
  <c r="DC400" i="13"/>
  <c r="CV400" i="13"/>
  <c r="DC399" i="13"/>
  <c r="CV399" i="13"/>
  <c r="CU399" i="13"/>
  <c r="CU400" i="13" s="1"/>
  <c r="CU401" i="13" s="1"/>
  <c r="CU402" i="13" s="1"/>
  <c r="CU403" i="13" s="1"/>
  <c r="CU404" i="13" s="1"/>
  <c r="CU405" i="13" s="1"/>
  <c r="CU406" i="13" s="1"/>
  <c r="CU407" i="13" s="1"/>
  <c r="CU408" i="13" s="1"/>
  <c r="CU409" i="13" s="1"/>
  <c r="CU410" i="13" s="1"/>
  <c r="CU411" i="13" s="1"/>
  <c r="CU412" i="13" s="1"/>
  <c r="CU413" i="13" s="1"/>
  <c r="CU414" i="13" s="1"/>
  <c r="CU415" i="13" s="1"/>
  <c r="CU416" i="13" s="1"/>
  <c r="CU417" i="13" s="1"/>
  <c r="CU418" i="13" s="1"/>
  <c r="CU419" i="13" s="1"/>
  <c r="CU420" i="13" s="1"/>
  <c r="CU421" i="13" s="1"/>
  <c r="CU422" i="13" s="1"/>
  <c r="CU423" i="13" s="1"/>
  <c r="CU424" i="13" s="1"/>
  <c r="CU425" i="13" s="1"/>
  <c r="CU426" i="13" s="1"/>
  <c r="CU427" i="13" s="1"/>
  <c r="DC398" i="13"/>
  <c r="CV398" i="13"/>
  <c r="CU387" i="13"/>
  <c r="CU386" i="13"/>
  <c r="CU385" i="13"/>
  <c r="CK373" i="13"/>
  <c r="CK372" i="13"/>
  <c r="CK371" i="13"/>
  <c r="CK370" i="13"/>
  <c r="CK369" i="13"/>
  <c r="CK368" i="13"/>
  <c r="CK367" i="13"/>
  <c r="CK366" i="13"/>
  <c r="CK365" i="13"/>
  <c r="CK364" i="13"/>
  <c r="CK363" i="13"/>
  <c r="CK362" i="13"/>
  <c r="CK361" i="13"/>
  <c r="CK358" i="13"/>
  <c r="CK357" i="13"/>
  <c r="CK356" i="13"/>
  <c r="CK355" i="13"/>
  <c r="CK354" i="13"/>
  <c r="CK353" i="13"/>
  <c r="CK352" i="13"/>
  <c r="CK351" i="13"/>
  <c r="CK350" i="13"/>
  <c r="CK349" i="13"/>
  <c r="CK348" i="13"/>
  <c r="CJ348" i="13"/>
  <c r="CJ349" i="13" s="1"/>
  <c r="CJ350" i="13" s="1"/>
  <c r="CJ351" i="13" s="1"/>
  <c r="CJ352" i="13" s="1"/>
  <c r="CJ353" i="13" s="1"/>
  <c r="CJ354" i="13" s="1"/>
  <c r="CJ355" i="13" s="1"/>
  <c r="CJ356" i="13" s="1"/>
  <c r="CJ357" i="13" s="1"/>
  <c r="CJ358" i="13" s="1"/>
  <c r="CJ359" i="13" s="1"/>
  <c r="CJ360" i="13" s="1"/>
  <c r="CJ361" i="13" s="1"/>
  <c r="CJ362" i="13" s="1"/>
  <c r="CJ363" i="13" s="1"/>
  <c r="CJ364" i="13" s="1"/>
  <c r="CJ365" i="13" s="1"/>
  <c r="CJ366" i="13" s="1"/>
  <c r="CJ367" i="13" s="1"/>
  <c r="CJ368" i="13" s="1"/>
  <c r="CJ369" i="13" s="1"/>
  <c r="CJ370" i="13" s="1"/>
  <c r="CJ371" i="13" s="1"/>
  <c r="CJ372" i="13" s="1"/>
  <c r="CJ373" i="13" s="1"/>
  <c r="CJ374" i="13" s="1"/>
  <c r="CJ375" i="13" s="1"/>
  <c r="CJ376" i="13" s="1"/>
  <c r="CK347" i="13"/>
  <c r="CJ336" i="13"/>
  <c r="CJ335" i="13"/>
  <c r="CJ334" i="13"/>
  <c r="CH324" i="13"/>
  <c r="CH326" i="13" s="1"/>
  <c r="W107" i="13" s="1"/>
  <c r="CB323" i="13"/>
  <c r="CB322" i="13"/>
  <c r="CB321" i="13"/>
  <c r="CB320" i="13"/>
  <c r="CB319" i="13"/>
  <c r="CB318" i="13"/>
  <c r="CB317" i="13"/>
  <c r="CB316" i="13"/>
  <c r="CB315" i="13"/>
  <c r="CB314" i="13"/>
  <c r="CB313" i="13"/>
  <c r="CB312" i="13"/>
  <c r="CB311" i="13"/>
  <c r="CB308" i="13"/>
  <c r="CB307" i="13"/>
  <c r="CB306" i="13"/>
  <c r="CB305" i="13"/>
  <c r="CB304" i="13"/>
  <c r="CB303" i="13"/>
  <c r="CB302" i="13"/>
  <c r="CB301" i="13"/>
  <c r="CB300" i="13"/>
  <c r="CB299" i="13"/>
  <c r="CB298" i="13"/>
  <c r="CB297" i="13"/>
  <c r="CA288" i="13"/>
  <c r="CA287" i="13"/>
  <c r="CA286" i="13"/>
  <c r="BW272" i="13"/>
  <c r="BW274" i="13" s="1"/>
  <c r="AT175" i="13" s="1"/>
  <c r="AW175" i="13" s="1"/>
  <c r="BV272" i="13"/>
  <c r="BV274" i="13" s="1"/>
  <c r="AT174" i="13" s="1"/>
  <c r="AW174" i="13" s="1"/>
  <c r="BT272" i="13"/>
  <c r="BT274" i="13" s="1"/>
  <c r="AT172" i="13" s="1"/>
  <c r="AW172" i="13" s="1"/>
  <c r="BU272" i="13"/>
  <c r="BU274" i="13" s="1"/>
  <c r="AT171" i="13" s="1"/>
  <c r="AW171" i="13" s="1"/>
  <c r="BS272" i="13"/>
  <c r="BS274" i="13" s="1"/>
  <c r="AT170" i="13" s="1"/>
  <c r="AW170" i="13" s="1"/>
  <c r="BR272" i="13"/>
  <c r="BR274" i="13" s="1"/>
  <c r="AT169" i="13" s="1"/>
  <c r="AW169" i="13" s="1"/>
  <c r="BQ272" i="13"/>
  <c r="BQ274" i="13" s="1"/>
  <c r="AT168" i="13" s="1"/>
  <c r="AW168" i="13" s="1"/>
  <c r="BN245" i="13"/>
  <c r="BN246" i="13" s="1"/>
  <c r="BN247" i="13" s="1"/>
  <c r="BN248" i="13" s="1"/>
  <c r="BN249" i="13" s="1"/>
  <c r="BN250" i="13" s="1"/>
  <c r="BN251" i="13" s="1"/>
  <c r="BN252" i="13" s="1"/>
  <c r="BN253" i="13" s="1"/>
  <c r="BN254" i="13" s="1"/>
  <c r="BN255" i="13" s="1"/>
  <c r="BN256" i="13" s="1"/>
  <c r="BN257" i="13" s="1"/>
  <c r="BN258" i="13" s="1"/>
  <c r="BN259" i="13" s="1"/>
  <c r="BN260" i="13" s="1"/>
  <c r="BN261" i="13" s="1"/>
  <c r="BN262" i="13" s="1"/>
  <c r="BN263" i="13" s="1"/>
  <c r="BN264" i="13" s="1"/>
  <c r="BN265" i="13" s="1"/>
  <c r="BN266" i="13" s="1"/>
  <c r="BN267" i="13" s="1"/>
  <c r="BN268" i="13" s="1"/>
  <c r="BN269" i="13" s="1"/>
  <c r="BN270" i="13" s="1"/>
  <c r="BN271" i="13" s="1"/>
  <c r="BN272" i="13" s="1"/>
  <c r="BN273" i="13" s="1"/>
  <c r="BN274" i="13" s="1"/>
  <c r="BN236" i="13"/>
  <c r="BN235" i="13"/>
  <c r="BN234" i="13"/>
  <c r="BJ222" i="13"/>
  <c r="BJ224" i="13" s="1"/>
  <c r="BE221" i="13"/>
  <c r="BE220" i="13"/>
  <c r="BE219" i="13"/>
  <c r="BE218" i="13"/>
  <c r="BE217" i="13"/>
  <c r="BE216" i="13"/>
  <c r="BE215" i="13"/>
  <c r="BE214" i="13"/>
  <c r="BE213" i="13"/>
  <c r="BE212" i="13"/>
  <c r="BE211" i="13"/>
  <c r="BE210" i="13"/>
  <c r="BE209" i="13"/>
  <c r="BE206" i="13"/>
  <c r="BE205" i="13"/>
  <c r="BE204" i="13"/>
  <c r="BE203" i="13"/>
  <c r="BE202" i="13"/>
  <c r="BE201" i="13"/>
  <c r="BE200" i="13"/>
  <c r="BE199" i="13"/>
  <c r="BE198" i="13"/>
  <c r="BE197" i="13"/>
  <c r="BE196" i="13"/>
  <c r="BE195" i="13"/>
  <c r="BD186" i="13"/>
  <c r="BD185" i="13"/>
  <c r="BD184" i="13"/>
  <c r="AY175" i="13"/>
  <c r="AY174" i="13"/>
  <c r="AY172" i="13"/>
  <c r="AY171" i="13"/>
  <c r="AY170" i="13"/>
  <c r="AY169" i="13"/>
  <c r="AY168" i="13"/>
  <c r="AY163" i="13"/>
  <c r="AT163" i="13"/>
  <c r="AW163" i="13" s="1"/>
  <c r="AY162" i="13"/>
  <c r="AT162" i="13"/>
  <c r="AW162" i="13" s="1"/>
  <c r="AY160" i="13"/>
  <c r="AT160" i="13"/>
  <c r="AW160" i="13" s="1"/>
  <c r="AY159" i="13"/>
  <c r="AT159" i="13"/>
  <c r="AW159" i="13" s="1"/>
  <c r="AY158" i="13"/>
  <c r="AT158" i="13"/>
  <c r="AW158" i="13" s="1"/>
  <c r="AY157" i="13"/>
  <c r="AT157" i="13"/>
  <c r="AW157" i="13" s="1"/>
  <c r="AY156" i="13"/>
  <c r="AT156" i="13"/>
  <c r="AW156" i="13" s="1"/>
  <c r="AO147" i="13"/>
  <c r="AO146" i="13"/>
  <c r="AO145" i="13"/>
  <c r="AF119" i="13"/>
  <c r="AL118" i="13"/>
  <c r="AF118" i="13"/>
  <c r="AF117" i="13"/>
  <c r="AB107" i="13"/>
  <c r="X107" i="13"/>
  <c r="AB106" i="13"/>
  <c r="X106" i="13"/>
  <c r="AB103" i="13"/>
  <c r="AB99" i="13"/>
  <c r="W99" i="13"/>
  <c r="Z99" i="13" s="1"/>
  <c r="AB98" i="13"/>
  <c r="AB97" i="13"/>
  <c r="AB96" i="13"/>
  <c r="Q86" i="13"/>
  <c r="Q85" i="13"/>
  <c r="Q84" i="13"/>
  <c r="M76" i="13"/>
  <c r="M78" i="13" s="1"/>
  <c r="N60" i="13"/>
  <c r="O60" i="13" s="1"/>
  <c r="N59" i="13"/>
  <c r="N75" i="13" s="1"/>
  <c r="O75" i="13" s="1"/>
  <c r="N58" i="13"/>
  <c r="O58" i="13" s="1"/>
  <c r="N57" i="13"/>
  <c r="O57" i="13" s="1"/>
  <c r="N56" i="13"/>
  <c r="O56" i="13" s="1"/>
  <c r="N55" i="13"/>
  <c r="O55" i="13" s="1"/>
  <c r="N54" i="13"/>
  <c r="O54" i="13" s="1"/>
  <c r="N53" i="13"/>
  <c r="O53" i="13" s="1"/>
  <c r="N52" i="13"/>
  <c r="O52" i="13" s="1"/>
  <c r="N51" i="13"/>
  <c r="O51" i="13" s="1"/>
  <c r="N50" i="13"/>
  <c r="O50" i="13" s="1"/>
  <c r="O49" i="13"/>
  <c r="M46" i="13"/>
  <c r="I40" i="13"/>
  <c r="I39" i="13"/>
  <c r="I38" i="13"/>
  <c r="G29" i="13"/>
  <c r="G33" i="13" s="1"/>
  <c r="E29" i="13"/>
  <c r="E33" i="13" s="1"/>
  <c r="A3" i="13"/>
  <c r="A2" i="13"/>
  <c r="A1" i="13"/>
  <c r="W130" i="12"/>
  <c r="W128" i="12"/>
  <c r="W126" i="12"/>
  <c r="W123" i="12"/>
  <c r="W122" i="12"/>
  <c r="W120" i="12"/>
  <c r="Q103" i="12"/>
  <c r="Q102" i="12"/>
  <c r="Q97" i="12"/>
  <c r="W80" i="12"/>
  <c r="W78" i="12"/>
  <c r="U78" i="12"/>
  <c r="I31" i="12" s="1"/>
  <c r="U76" i="12"/>
  <c r="Y76" i="12" s="1"/>
  <c r="M29" i="12" s="1"/>
  <c r="W73" i="12"/>
  <c r="W72" i="12"/>
  <c r="W70" i="12"/>
  <c r="Q53" i="12"/>
  <c r="Q52" i="12"/>
  <c r="A8" i="12"/>
  <c r="A7" i="12"/>
  <c r="A2" i="12"/>
  <c r="A1" i="12"/>
  <c r="E60" i="101"/>
  <c r="A58" i="101"/>
  <c r="A57" i="101"/>
  <c r="A51" i="101"/>
  <c r="A50" i="101"/>
  <c r="E11" i="101"/>
  <c r="A9" i="101"/>
  <c r="A8" i="101"/>
  <c r="A2" i="101"/>
  <c r="A1" i="101"/>
  <c r="A26" i="100"/>
  <c r="A27" i="100" s="1"/>
  <c r="A28" i="100" s="1"/>
  <c r="A29" i="100" s="1"/>
  <c r="M15" i="100"/>
  <c r="A13" i="100"/>
  <c r="A12" i="100"/>
  <c r="A2" i="100"/>
  <c r="A1" i="100"/>
  <c r="O23" i="120"/>
  <c r="K23" i="120"/>
  <c r="G23" i="120"/>
  <c r="P22" i="120"/>
  <c r="P21" i="120"/>
  <c r="P20" i="120"/>
  <c r="P19" i="120"/>
  <c r="P18" i="120"/>
  <c r="P17" i="120"/>
  <c r="P16" i="120"/>
  <c r="P15" i="120"/>
  <c r="P14" i="120"/>
  <c r="P13" i="120"/>
  <c r="P12" i="120"/>
  <c r="P11" i="120"/>
  <c r="P10" i="120"/>
  <c r="A4" i="120"/>
  <c r="P3" i="120"/>
  <c r="A2" i="120"/>
  <c r="G79" i="99"/>
  <c r="H65" i="99"/>
  <c r="A63" i="99"/>
  <c r="A62" i="99"/>
  <c r="A55" i="99"/>
  <c r="A54" i="99"/>
  <c r="H46" i="99"/>
  <c r="H35" i="99"/>
  <c r="G26" i="99"/>
  <c r="H25" i="99"/>
  <c r="H12" i="99"/>
  <c r="A10" i="99"/>
  <c r="A9" i="99"/>
  <c r="A2" i="99"/>
  <c r="A1" i="99"/>
  <c r="J381" i="98"/>
  <c r="J386" i="98" s="1"/>
  <c r="G381" i="98"/>
  <c r="H190" i="100"/>
  <c r="H186" i="134"/>
  <c r="I376" i="98"/>
  <c r="K376" i="98" s="1"/>
  <c r="H188" i="100" s="1"/>
  <c r="I375" i="98"/>
  <c r="K375" i="98" s="1"/>
  <c r="H187" i="100" s="1"/>
  <c r="I374" i="98"/>
  <c r="K374" i="98" s="1"/>
  <c r="H186" i="100" s="1"/>
  <c r="I373" i="98"/>
  <c r="K373" i="98" s="1"/>
  <c r="H185" i="100" s="1"/>
  <c r="I372" i="98"/>
  <c r="K372" i="98" s="1"/>
  <c r="H184" i="100" s="1"/>
  <c r="I371" i="98"/>
  <c r="K371" i="98" s="1"/>
  <c r="H183" i="100" s="1"/>
  <c r="I370" i="98"/>
  <c r="K370" i="98" s="1"/>
  <c r="H182" i="100" s="1"/>
  <c r="I362" i="98"/>
  <c r="E359" i="98"/>
  <c r="E358" i="98"/>
  <c r="G357" i="98"/>
  <c r="E357" i="98"/>
  <c r="E356" i="98"/>
  <c r="A351" i="98"/>
  <c r="A350" i="98"/>
  <c r="A342" i="98"/>
  <c r="A341" i="98"/>
  <c r="I325" i="98"/>
  <c r="K325" i="98" s="1"/>
  <c r="H135" i="134"/>
  <c r="I323" i="98"/>
  <c r="I319" i="98"/>
  <c r="K319" i="98" s="1"/>
  <c r="I318" i="98"/>
  <c r="I317" i="98"/>
  <c r="K317" i="98" s="1"/>
  <c r="I316" i="98"/>
  <c r="G329" i="98"/>
  <c r="I314" i="98"/>
  <c r="K314" i="98" s="1"/>
  <c r="E311" i="98"/>
  <c r="E310" i="98"/>
  <c r="G309" i="98"/>
  <c r="E309" i="98"/>
  <c r="E308" i="98"/>
  <c r="A303" i="98"/>
  <c r="A302" i="98"/>
  <c r="A294" i="98"/>
  <c r="A293" i="98"/>
  <c r="I279" i="98"/>
  <c r="K279" i="98" s="1"/>
  <c r="I278" i="98"/>
  <c r="K278" i="98" s="1"/>
  <c r="I277" i="98"/>
  <c r="K277" i="98" s="1"/>
  <c r="I276" i="98"/>
  <c r="K276" i="98" s="1"/>
  <c r="I275" i="98"/>
  <c r="K275" i="98" s="1"/>
  <c r="I274" i="98"/>
  <c r="K274" i="98" s="1"/>
  <c r="I273" i="98"/>
  <c r="K273" i="98" s="1"/>
  <c r="I272" i="98"/>
  <c r="K272" i="98" s="1"/>
  <c r="I271" i="98"/>
  <c r="K271" i="98" s="1"/>
  <c r="I270" i="98"/>
  <c r="K270" i="98" s="1"/>
  <c r="I269" i="98"/>
  <c r="K269" i="98" s="1"/>
  <c r="I268" i="98"/>
  <c r="K268" i="98" s="1"/>
  <c r="I267" i="98"/>
  <c r="K267" i="98" s="1"/>
  <c r="I266" i="98"/>
  <c r="I265" i="98"/>
  <c r="I264" i="98"/>
  <c r="I263" i="98"/>
  <c r="K263" i="98" s="1"/>
  <c r="I262" i="98"/>
  <c r="K262" i="98" s="1"/>
  <c r="I261" i="98"/>
  <c r="K261" i="98" s="1"/>
  <c r="I260" i="98"/>
  <c r="I259" i="98"/>
  <c r="I258" i="98"/>
  <c r="E255" i="98"/>
  <c r="E254" i="98"/>
  <c r="G253" i="98"/>
  <c r="E253" i="98"/>
  <c r="E252" i="98"/>
  <c r="A247" i="98"/>
  <c r="A246" i="98"/>
  <c r="A238" i="98"/>
  <c r="A237" i="98"/>
  <c r="G227" i="98"/>
  <c r="I224" i="98"/>
  <c r="K224" i="98" s="1"/>
  <c r="H29" i="134"/>
  <c r="I223" i="98"/>
  <c r="E223" i="98"/>
  <c r="I222" i="98"/>
  <c r="E222" i="98"/>
  <c r="I221" i="98"/>
  <c r="E221" i="98"/>
  <c r="A221" i="98"/>
  <c r="A222" i="98" s="1"/>
  <c r="A223" i="98" s="1"/>
  <c r="I220" i="98"/>
  <c r="K220" i="98" s="1"/>
  <c r="E220" i="98"/>
  <c r="J211" i="98"/>
  <c r="A209" i="98"/>
  <c r="A208" i="98"/>
  <c r="A200" i="98"/>
  <c r="A199" i="98"/>
  <c r="J184" i="98"/>
  <c r="J189" i="98" s="1"/>
  <c r="G184" i="98"/>
  <c r="I167" i="98"/>
  <c r="K167" i="98" s="1"/>
  <c r="I166" i="98"/>
  <c r="K166" i="98" s="1"/>
  <c r="I165" i="98"/>
  <c r="E162" i="98"/>
  <c r="E161" i="98"/>
  <c r="G160" i="98"/>
  <c r="E160" i="98"/>
  <c r="A154" i="98"/>
  <c r="A153" i="98"/>
  <c r="A145" i="98"/>
  <c r="A144" i="98"/>
  <c r="G132" i="98"/>
  <c r="I128" i="98"/>
  <c r="K128" i="98" s="1"/>
  <c r="I126" i="98"/>
  <c r="I122" i="98"/>
  <c r="K122" i="98" s="1"/>
  <c r="I121" i="98"/>
  <c r="I120" i="98"/>
  <c r="K120" i="98" s="1"/>
  <c r="I119" i="98"/>
  <c r="I118" i="98"/>
  <c r="I117" i="98"/>
  <c r="E114" i="98"/>
  <c r="E113" i="98"/>
  <c r="G112" i="98"/>
  <c r="E112" i="98"/>
  <c r="A106" i="98"/>
  <c r="A105" i="98"/>
  <c r="A97" i="98"/>
  <c r="A96" i="98"/>
  <c r="G87" i="98"/>
  <c r="I84" i="98"/>
  <c r="K84" i="98" s="1"/>
  <c r="I82" i="98"/>
  <c r="K82" i="98" s="1"/>
  <c r="I81" i="98"/>
  <c r="K81" i="98" s="1"/>
  <c r="I80" i="98"/>
  <c r="K80" i="98" s="1"/>
  <c r="I79" i="98"/>
  <c r="K79" i="98" s="1"/>
  <c r="I78" i="98"/>
  <c r="K78" i="98" s="1"/>
  <c r="I77" i="98"/>
  <c r="K77" i="98" s="1"/>
  <c r="I76" i="98"/>
  <c r="K76" i="98" s="1"/>
  <c r="I75" i="98"/>
  <c r="K75" i="98" s="1"/>
  <c r="I74" i="98"/>
  <c r="K74" i="98" s="1"/>
  <c r="I73" i="98"/>
  <c r="K73" i="98" s="1"/>
  <c r="I72" i="98"/>
  <c r="K72" i="98" s="1"/>
  <c r="I71" i="98"/>
  <c r="K71" i="98" s="1"/>
  <c r="I70" i="98"/>
  <c r="K70" i="98" s="1"/>
  <c r="I69" i="98"/>
  <c r="I68" i="98"/>
  <c r="I67" i="98"/>
  <c r="I66" i="98"/>
  <c r="K66" i="98" s="1"/>
  <c r="I65" i="98"/>
  <c r="K65" i="98" s="1"/>
  <c r="I64" i="98"/>
  <c r="K64" i="98" s="1"/>
  <c r="I63" i="98"/>
  <c r="I62" i="98"/>
  <c r="I61" i="98"/>
  <c r="K61" i="98" s="1"/>
  <c r="E58" i="98"/>
  <c r="E57" i="98"/>
  <c r="G56" i="98"/>
  <c r="E56" i="98"/>
  <c r="A50" i="98"/>
  <c r="A49" i="98"/>
  <c r="A41" i="98"/>
  <c r="A40" i="98"/>
  <c r="G30" i="98"/>
  <c r="J26" i="98"/>
  <c r="I26" i="98"/>
  <c r="I25" i="98"/>
  <c r="I24" i="98"/>
  <c r="I23" i="98"/>
  <c r="A23" i="98"/>
  <c r="A24" i="98" s="1"/>
  <c r="A25" i="98" s="1"/>
  <c r="I22" i="98"/>
  <c r="K22" i="98" s="1"/>
  <c r="J13" i="98"/>
  <c r="A11" i="98"/>
  <c r="A10" i="98"/>
  <c r="A2" i="98"/>
  <c r="A1" i="98"/>
  <c r="J57" i="97"/>
  <c r="A55" i="97"/>
  <c r="A54" i="97"/>
  <c r="A46" i="97"/>
  <c r="A45" i="97"/>
  <c r="J13" i="97"/>
  <c r="A11" i="97"/>
  <c r="A10" i="97"/>
  <c r="A2" i="97"/>
  <c r="A1" i="97"/>
  <c r="K11" i="96"/>
  <c r="A9" i="96"/>
  <c r="A2" i="96"/>
  <c r="A1" i="96"/>
  <c r="F46" i="95"/>
  <c r="A44" i="95"/>
  <c r="A43" i="95"/>
  <c r="A36" i="95"/>
  <c r="A35" i="95"/>
  <c r="F12" i="95"/>
  <c r="A10" i="95"/>
  <c r="A9" i="95"/>
  <c r="A2" i="95"/>
  <c r="A1" i="95"/>
  <c r="I11" i="94"/>
  <c r="I10" i="94"/>
  <c r="A9" i="94"/>
  <c r="A8" i="94"/>
  <c r="A2" i="94"/>
  <c r="A1" i="94"/>
  <c r="L337" i="93"/>
  <c r="L340" i="93" s="1"/>
  <c r="H337" i="93"/>
  <c r="H340" i="93" s="1"/>
  <c r="G337" i="93"/>
  <c r="G340" i="93" s="1"/>
  <c r="F337" i="93"/>
  <c r="F340" i="93" s="1"/>
  <c r="E337" i="93"/>
  <c r="E340" i="93" s="1"/>
  <c r="K337" i="93"/>
  <c r="A312" i="93"/>
  <c r="L296" i="93"/>
  <c r="H296" i="93"/>
  <c r="G296" i="93"/>
  <c r="F296" i="93"/>
  <c r="E296" i="93"/>
  <c r="A268" i="93"/>
  <c r="A231" i="93"/>
  <c r="A232" i="93" s="1"/>
  <c r="A233" i="93" s="1"/>
  <c r="A234" i="93" s="1"/>
  <c r="A235" i="93" s="1"/>
  <c r="A236" i="93" s="1"/>
  <c r="A217" i="93"/>
  <c r="L204" i="93"/>
  <c r="H204" i="93"/>
  <c r="G204" i="93"/>
  <c r="F204" i="93"/>
  <c r="E204" i="93"/>
  <c r="K186" i="93"/>
  <c r="A184" i="93"/>
  <c r="A183" i="93"/>
  <c r="A175" i="93"/>
  <c r="A174" i="93"/>
  <c r="H164" i="93"/>
  <c r="H167" i="93" s="1"/>
  <c r="G164" i="93"/>
  <c r="G167" i="93" s="1"/>
  <c r="F164" i="93"/>
  <c r="F167" i="93" s="1"/>
  <c r="E164" i="93"/>
  <c r="E167" i="93" s="1"/>
  <c r="E153" i="91"/>
  <c r="E152" i="91"/>
  <c r="E175" i="98" s="1"/>
  <c r="E151" i="91"/>
  <c r="E173" i="98" s="1"/>
  <c r="E150" i="91"/>
  <c r="E172" i="98" s="1"/>
  <c r="E149" i="91"/>
  <c r="E170" i="98" s="1"/>
  <c r="E148" i="91"/>
  <c r="E168" i="98" s="1"/>
  <c r="A139" i="93"/>
  <c r="H123" i="93"/>
  <c r="G123" i="93"/>
  <c r="F123" i="93"/>
  <c r="E123" i="93"/>
  <c r="A95" i="93"/>
  <c r="A58" i="93"/>
  <c r="A59" i="93" s="1"/>
  <c r="A60" i="93" s="1"/>
  <c r="A61" i="93" s="1"/>
  <c r="A62" i="93" s="1"/>
  <c r="A63" i="93" s="1"/>
  <c r="A44" i="93"/>
  <c r="H31" i="93"/>
  <c r="G31" i="93"/>
  <c r="F31" i="93"/>
  <c r="E31" i="93"/>
  <c r="J13" i="93"/>
  <c r="A11" i="93"/>
  <c r="A10" i="93"/>
  <c r="A2" i="93"/>
  <c r="A1" i="93"/>
  <c r="O23" i="118"/>
  <c r="O25" i="118" s="1"/>
  <c r="K23" i="118"/>
  <c r="K25" i="118" s="1"/>
  <c r="G23" i="118"/>
  <c r="G25" i="118" s="1"/>
  <c r="C23" i="118"/>
  <c r="C25" i="118" s="1"/>
  <c r="E22" i="118"/>
  <c r="E21" i="118"/>
  <c r="E20" i="118"/>
  <c r="E19" i="118"/>
  <c r="E18" i="118"/>
  <c r="E17" i="118"/>
  <c r="E16" i="118"/>
  <c r="E15" i="118"/>
  <c r="E14" i="118"/>
  <c r="E13" i="118"/>
  <c r="E12" i="118"/>
  <c r="E11" i="118"/>
  <c r="P23" i="118"/>
  <c r="P25" i="118" s="1"/>
  <c r="E10" i="118"/>
  <c r="P3" i="118"/>
  <c r="A2" i="118"/>
  <c r="A1" i="118"/>
  <c r="A1" i="120" s="1"/>
  <c r="J39" i="117"/>
  <c r="E39" i="117"/>
  <c r="D39" i="117"/>
  <c r="J30" i="117"/>
  <c r="E30" i="117"/>
  <c r="D30" i="117"/>
  <c r="J18" i="117"/>
  <c r="E18" i="117"/>
  <c r="D18" i="117"/>
  <c r="N3" i="117"/>
  <c r="A2" i="117"/>
  <c r="A1" i="117"/>
  <c r="AE244" i="121"/>
  <c r="AE243" i="121"/>
  <c r="AA209" i="121"/>
  <c r="AC226" i="121"/>
  <c r="AS270" i="121" s="1"/>
  <c r="Y190" i="121"/>
  <c r="Y189" i="121"/>
  <c r="U173" i="121"/>
  <c r="U165" i="121"/>
  <c r="W163" i="121"/>
  <c r="W160" i="121"/>
  <c r="S148" i="121"/>
  <c r="S147" i="121"/>
  <c r="Q119" i="121"/>
  <c r="Q116" i="121"/>
  <c r="M104" i="121"/>
  <c r="M103" i="121"/>
  <c r="I91" i="121"/>
  <c r="I81" i="121"/>
  <c r="K79" i="121"/>
  <c r="K76" i="121"/>
  <c r="AJ268" i="121" s="1"/>
  <c r="K75" i="121"/>
  <c r="G63" i="121"/>
  <c r="G62" i="121"/>
  <c r="C41" i="121"/>
  <c r="D39" i="121"/>
  <c r="E39" i="121" s="1"/>
  <c r="AI268" i="121" s="1"/>
  <c r="E38" i="121"/>
  <c r="AI265" i="121" s="1"/>
  <c r="C33" i="121"/>
  <c r="D29" i="121"/>
  <c r="AC224" i="121"/>
  <c r="D21" i="121"/>
  <c r="E21" i="121" s="1"/>
  <c r="AG258" i="121" s="1"/>
  <c r="D20" i="121"/>
  <c r="E20" i="121" s="1"/>
  <c r="AG257" i="121" s="1"/>
  <c r="D19" i="121"/>
  <c r="E19" i="121" s="1"/>
  <c r="E18" i="121"/>
  <c r="AG255" i="121" s="1"/>
  <c r="C13" i="117" s="1"/>
  <c r="A6" i="121"/>
  <c r="A5" i="121"/>
  <c r="E3" i="121"/>
  <c r="F93" i="92"/>
  <c r="F92" i="92"/>
  <c r="F91" i="92"/>
  <c r="F89" i="92"/>
  <c r="F88" i="92"/>
  <c r="F87" i="92"/>
  <c r="F99" i="92" s="1"/>
  <c r="H66" i="92"/>
  <c r="A64" i="92"/>
  <c r="A63" i="92"/>
  <c r="A56" i="92"/>
  <c r="A55" i="92"/>
  <c r="F39" i="92"/>
  <c r="F38" i="92"/>
  <c r="F37" i="92"/>
  <c r="F35" i="92"/>
  <c r="F34" i="92"/>
  <c r="F33" i="92"/>
  <c r="F45" i="92" s="1"/>
  <c r="H26" i="92"/>
  <c r="H25" i="92"/>
  <c r="H24" i="92"/>
  <c r="H12" i="92"/>
  <c r="A10" i="92"/>
  <c r="A9" i="92"/>
  <c r="A2" i="92"/>
  <c r="A1" i="92"/>
  <c r="H324" i="91"/>
  <c r="F186" i="134"/>
  <c r="L186" i="134" s="1"/>
  <c r="G320" i="91"/>
  <c r="I320" i="91" s="1"/>
  <c r="G319" i="91"/>
  <c r="I319" i="91" s="1"/>
  <c r="G318" i="91"/>
  <c r="I318" i="91" s="1"/>
  <c r="F182" i="100" s="1"/>
  <c r="G317" i="91"/>
  <c r="I317" i="91" s="1"/>
  <c r="G316" i="91"/>
  <c r="I316" i="91" s="1"/>
  <c r="F179" i="100" s="1"/>
  <c r="G315" i="91"/>
  <c r="I315" i="91" s="1"/>
  <c r="F177" i="100" s="1"/>
  <c r="L177" i="100" s="1"/>
  <c r="G314" i="91"/>
  <c r="I314" i="91" s="1"/>
  <c r="F176" i="100" s="1"/>
  <c r="L176" i="100" s="1"/>
  <c r="G312" i="91"/>
  <c r="A301" i="91"/>
  <c r="F135" i="134"/>
  <c r="L135" i="134" s="1"/>
  <c r="E279" i="91"/>
  <c r="E323" i="98" s="1"/>
  <c r="E275" i="91"/>
  <c r="E319" i="98" s="1"/>
  <c r="E274" i="91"/>
  <c r="E318" i="98" s="1"/>
  <c r="E273" i="91"/>
  <c r="G273" i="91" s="1"/>
  <c r="I273" i="91" s="1"/>
  <c r="E272" i="91"/>
  <c r="G272" i="91" s="1"/>
  <c r="E271" i="91"/>
  <c r="E315" i="98" s="1"/>
  <c r="E270" i="91"/>
  <c r="A251" i="91"/>
  <c r="G241" i="91"/>
  <c r="I241" i="91" s="1"/>
  <c r="G240" i="91"/>
  <c r="I240" i="91" s="1"/>
  <c r="G239" i="91"/>
  <c r="I239" i="91" s="1"/>
  <c r="G238" i="91"/>
  <c r="I238" i="91" s="1"/>
  <c r="G237" i="91"/>
  <c r="I237" i="91" s="1"/>
  <c r="G236" i="91"/>
  <c r="I236" i="91" s="1"/>
  <c r="G235" i="91"/>
  <c r="I235" i="91" s="1"/>
  <c r="G234" i="91"/>
  <c r="I234" i="91" s="1"/>
  <c r="G233" i="91"/>
  <c r="I233" i="91" s="1"/>
  <c r="G232" i="91"/>
  <c r="I232" i="91" s="1"/>
  <c r="G231" i="91"/>
  <c r="I231" i="91" s="1"/>
  <c r="G230" i="91"/>
  <c r="I230" i="91" s="1"/>
  <c r="G229" i="91"/>
  <c r="I229" i="91" s="1"/>
  <c r="E266" i="98"/>
  <c r="G227" i="91"/>
  <c r="E226" i="91"/>
  <c r="E264" i="98" s="1"/>
  <c r="E225" i="91"/>
  <c r="E263" i="98" s="1"/>
  <c r="E224" i="91"/>
  <c r="E262" i="98" s="1"/>
  <c r="E223" i="91"/>
  <c r="E261" i="98" s="1"/>
  <c r="E222" i="91"/>
  <c r="G222" i="91" s="1"/>
  <c r="E221" i="91"/>
  <c r="E259" i="98" s="1"/>
  <c r="A221" i="91"/>
  <c r="A222" i="91" s="1"/>
  <c r="A223" i="91" s="1"/>
  <c r="A224" i="91" s="1"/>
  <c r="A225" i="91" s="1"/>
  <c r="A226" i="91" s="1"/>
  <c r="E220" i="91"/>
  <c r="E195" i="91"/>
  <c r="G191" i="91"/>
  <c r="G190" i="91"/>
  <c r="G189" i="91"/>
  <c r="A189" i="91"/>
  <c r="A190" i="91" s="1"/>
  <c r="A191" i="91" s="1"/>
  <c r="A195" i="91" s="1"/>
  <c r="G188" i="91"/>
  <c r="H179" i="91"/>
  <c r="A177" i="91"/>
  <c r="A176" i="91"/>
  <c r="A168" i="91"/>
  <c r="A167" i="91"/>
  <c r="H157" i="91"/>
  <c r="H160" i="91" s="1"/>
  <c r="F29" i="90" s="1"/>
  <c r="E165" i="98"/>
  <c r="A134" i="91"/>
  <c r="E122" i="98"/>
  <c r="E121" i="98"/>
  <c r="E107" i="91"/>
  <c r="G107" i="91" s="1"/>
  <c r="I107" i="91" s="1"/>
  <c r="E106" i="91"/>
  <c r="G106" i="91" s="1"/>
  <c r="E105" i="91"/>
  <c r="E118" i="98" s="1"/>
  <c r="E104" i="91"/>
  <c r="A85" i="91"/>
  <c r="E82" i="98"/>
  <c r="E81" i="98"/>
  <c r="E80" i="98"/>
  <c r="E79" i="98"/>
  <c r="E78" i="98"/>
  <c r="G70" i="91"/>
  <c r="I70" i="91" s="1"/>
  <c r="E76" i="98"/>
  <c r="G68" i="91"/>
  <c r="I68" i="91" s="1"/>
  <c r="E74" i="98"/>
  <c r="G66" i="91"/>
  <c r="I66" i="91" s="1"/>
  <c r="G65" i="91"/>
  <c r="I65" i="91" s="1"/>
  <c r="G64" i="91"/>
  <c r="I64" i="91" s="1"/>
  <c r="G63" i="91"/>
  <c r="I63" i="91" s="1"/>
  <c r="E69" i="98"/>
  <c r="G61" i="91"/>
  <c r="E67" i="98"/>
  <c r="E66" i="98"/>
  <c r="E65" i="98"/>
  <c r="E64" i="98"/>
  <c r="G56" i="91"/>
  <c r="E62" i="98"/>
  <c r="A55" i="91"/>
  <c r="A56" i="91" s="1"/>
  <c r="A57" i="91" s="1"/>
  <c r="A58" i="91" s="1"/>
  <c r="A59" i="91" s="1"/>
  <c r="A60" i="91" s="1"/>
  <c r="E61" i="98"/>
  <c r="E25" i="98"/>
  <c r="E24" i="98"/>
  <c r="E23" i="98"/>
  <c r="A24" i="91"/>
  <c r="A25" i="91" s="1"/>
  <c r="A26" i="91" s="1"/>
  <c r="A29" i="91" s="1"/>
  <c r="E22" i="98"/>
  <c r="H13" i="91"/>
  <c r="A11" i="91"/>
  <c r="A10" i="91"/>
  <c r="A2" i="91"/>
  <c r="A1" i="91"/>
  <c r="A71" i="90"/>
  <c r="A73" i="90" s="1"/>
  <c r="A75" i="90" s="1"/>
  <c r="A77" i="90" s="1"/>
  <c r="A80" i="90" s="1"/>
  <c r="A86" i="90" s="1"/>
  <c r="F58" i="90"/>
  <c r="A56" i="90"/>
  <c r="A55" i="90"/>
  <c r="A48" i="90"/>
  <c r="A47" i="90"/>
  <c r="A25" i="90"/>
  <c r="A27" i="90" s="1"/>
  <c r="A29" i="90" s="1"/>
  <c r="A31" i="90" s="1"/>
  <c r="A34" i="90" s="1"/>
  <c r="A40" i="90" s="1"/>
  <c r="F12" i="90"/>
  <c r="A10" i="90"/>
  <c r="A9" i="90"/>
  <c r="A2" i="90"/>
  <c r="A1" i="90"/>
  <c r="I10" i="11"/>
  <c r="A8" i="11"/>
  <c r="A7" i="11"/>
  <c r="A2" i="11"/>
  <c r="A1" i="11"/>
  <c r="H10" i="127"/>
  <c r="A8" i="127"/>
  <c r="A7" i="127"/>
  <c r="A2" i="127"/>
  <c r="A1" i="127"/>
  <c r="E162" i="6"/>
  <c r="D162" i="6"/>
  <c r="E161" i="6"/>
  <c r="D161" i="6"/>
  <c r="E160" i="6"/>
  <c r="D160" i="6"/>
  <c r="E159" i="6"/>
  <c r="D159" i="6"/>
  <c r="E158" i="6"/>
  <c r="D158" i="6"/>
  <c r="E157" i="6"/>
  <c r="D157" i="6"/>
  <c r="E156" i="6"/>
  <c r="D156" i="6"/>
  <c r="E155" i="6"/>
  <c r="D155" i="6"/>
  <c r="E154" i="6"/>
  <c r="D154" i="6"/>
  <c r="E152" i="6"/>
  <c r="D152" i="6"/>
  <c r="E151" i="6"/>
  <c r="D151" i="6"/>
  <c r="E150" i="6"/>
  <c r="D150" i="6"/>
  <c r="E149" i="6"/>
  <c r="D149" i="6"/>
  <c r="E148" i="6"/>
  <c r="D148" i="6"/>
  <c r="E147" i="6"/>
  <c r="D147" i="6"/>
  <c r="E146" i="6"/>
  <c r="D146" i="6"/>
  <c r="E145" i="6"/>
  <c r="D145" i="6"/>
  <c r="E144" i="6"/>
  <c r="D144" i="6"/>
  <c r="E143" i="6"/>
  <c r="D143" i="6"/>
  <c r="E142" i="6"/>
  <c r="D142" i="6"/>
  <c r="E141" i="6"/>
  <c r="D141" i="6"/>
  <c r="E140" i="6"/>
  <c r="D140" i="6"/>
  <c r="E139" i="6"/>
  <c r="D139" i="6"/>
  <c r="E138" i="6"/>
  <c r="D138" i="6"/>
  <c r="E137" i="6"/>
  <c r="D137" i="6"/>
  <c r="E136" i="6"/>
  <c r="D136" i="6"/>
  <c r="E135" i="6"/>
  <c r="D135" i="6"/>
  <c r="E134" i="6"/>
  <c r="D134" i="6"/>
  <c r="E133" i="6"/>
  <c r="D133" i="6"/>
  <c r="E132" i="6"/>
  <c r="D132" i="6"/>
  <c r="E131" i="6"/>
  <c r="D131" i="6"/>
  <c r="E130" i="6"/>
  <c r="D130" i="6"/>
  <c r="E129" i="6"/>
  <c r="D129" i="6"/>
  <c r="E128" i="6"/>
  <c r="D128" i="6"/>
  <c r="E127" i="6"/>
  <c r="D127" i="6"/>
  <c r="E126" i="6"/>
  <c r="D126" i="6"/>
  <c r="E124" i="6"/>
  <c r="D124" i="6"/>
  <c r="E123" i="6"/>
  <c r="D123" i="6"/>
  <c r="E122" i="6"/>
  <c r="D122" i="6"/>
  <c r="E121" i="6"/>
  <c r="D121" i="6"/>
  <c r="E119" i="6"/>
  <c r="D119" i="6"/>
  <c r="E118" i="6"/>
  <c r="D118" i="6"/>
  <c r="E117" i="6"/>
  <c r="D117" i="6"/>
  <c r="E116" i="6"/>
  <c r="D116" i="6"/>
  <c r="E115" i="6"/>
  <c r="D115" i="6"/>
  <c r="E114" i="6"/>
  <c r="D114" i="6"/>
  <c r="E113" i="6"/>
  <c r="D113" i="6"/>
  <c r="E112" i="6"/>
  <c r="D112" i="6"/>
  <c r="E111" i="6"/>
  <c r="D111" i="6"/>
  <c r="E110" i="6"/>
  <c r="D110" i="6"/>
  <c r="E109" i="6"/>
  <c r="D109" i="6"/>
  <c r="E108" i="6"/>
  <c r="D108" i="6"/>
  <c r="D107" i="6"/>
  <c r="D106" i="6"/>
  <c r="D105" i="6"/>
  <c r="D104" i="6"/>
  <c r="D103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8" i="6"/>
  <c r="D17" i="6"/>
  <c r="D16" i="6"/>
  <c r="D15" i="6"/>
  <c r="D14" i="6"/>
  <c r="D13" i="6"/>
  <c r="Q12" i="6"/>
  <c r="P12" i="6"/>
  <c r="O12" i="6"/>
  <c r="N12" i="6"/>
  <c r="M12" i="6"/>
  <c r="L12" i="6"/>
  <c r="K12" i="6"/>
  <c r="J12" i="6"/>
  <c r="I12" i="6"/>
  <c r="H12" i="6"/>
  <c r="G12" i="6"/>
  <c r="F12" i="6"/>
  <c r="A8" i="6"/>
  <c r="A7" i="6"/>
  <c r="A3" i="6"/>
  <c r="A2" i="6"/>
  <c r="Q197" i="5"/>
  <c r="P197" i="5"/>
  <c r="O197" i="5"/>
  <c r="N197" i="5"/>
  <c r="M197" i="5"/>
  <c r="L197" i="5"/>
  <c r="K197" i="5"/>
  <c r="J197" i="5"/>
  <c r="I197" i="5"/>
  <c r="H197" i="5"/>
  <c r="G197" i="5"/>
  <c r="F197" i="5"/>
  <c r="D139" i="5"/>
  <c r="D138" i="5"/>
  <c r="D137" i="5"/>
  <c r="D136" i="5"/>
  <c r="D135" i="5"/>
  <c r="D134" i="5"/>
  <c r="D133" i="5"/>
  <c r="D132" i="5"/>
  <c r="D131" i="5"/>
  <c r="D130" i="5"/>
  <c r="D129" i="5"/>
  <c r="D128" i="5"/>
  <c r="D127" i="5"/>
  <c r="D126" i="5"/>
  <c r="D125" i="5"/>
  <c r="D123" i="5"/>
  <c r="D122" i="5"/>
  <c r="D121" i="5"/>
  <c r="D120" i="5"/>
  <c r="D118" i="5"/>
  <c r="D117" i="5"/>
  <c r="D116" i="5"/>
  <c r="D115" i="5"/>
  <c r="D114" i="5"/>
  <c r="D113" i="5"/>
  <c r="D112" i="5"/>
  <c r="D111" i="5"/>
  <c r="D110" i="5"/>
  <c r="D109" i="5"/>
  <c r="D108" i="5"/>
  <c r="D107" i="5"/>
  <c r="D106" i="5"/>
  <c r="D105" i="5"/>
  <c r="D104" i="5"/>
  <c r="D103" i="5"/>
  <c r="D102" i="5"/>
  <c r="D100" i="5"/>
  <c r="D99" i="5"/>
  <c r="D98" i="5"/>
  <c r="D97" i="5"/>
  <c r="D96" i="5"/>
  <c r="D95" i="5"/>
  <c r="D94" i="5"/>
  <c r="H196" i="5"/>
  <c r="F196" i="5"/>
  <c r="D93" i="5"/>
  <c r="D92" i="5"/>
  <c r="D91" i="5"/>
  <c r="D90" i="5"/>
  <c r="D89" i="5"/>
  <c r="D88" i="5"/>
  <c r="D87" i="5"/>
  <c r="D85" i="5"/>
  <c r="D83" i="5"/>
  <c r="D82" i="5"/>
  <c r="D81" i="5"/>
  <c r="D80" i="5"/>
  <c r="D79" i="5"/>
  <c r="D78" i="5"/>
  <c r="D77" i="5"/>
  <c r="D76" i="5"/>
  <c r="D75" i="5"/>
  <c r="D74" i="5"/>
  <c r="D73" i="5"/>
  <c r="D72" i="5"/>
  <c r="D71" i="5"/>
  <c r="D70" i="5"/>
  <c r="D69" i="5"/>
  <c r="D68" i="5"/>
  <c r="D67" i="5"/>
  <c r="D66" i="5"/>
  <c r="D65" i="5"/>
  <c r="D64" i="5"/>
  <c r="D63" i="5"/>
  <c r="D62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2" i="5"/>
  <c r="D31" i="5"/>
  <c r="D30" i="5"/>
  <c r="D33" i="5"/>
  <c r="D28" i="5"/>
  <c r="D27" i="5"/>
  <c r="D25" i="5"/>
  <c r="D24" i="5"/>
  <c r="D23" i="5"/>
  <c r="D22" i="5"/>
  <c r="D21" i="5"/>
  <c r="D20" i="5"/>
  <c r="D19" i="5"/>
  <c r="D17" i="5"/>
  <c r="D16" i="5"/>
  <c r="D15" i="5"/>
  <c r="D14" i="5"/>
  <c r="D12" i="5"/>
  <c r="Q11" i="5"/>
  <c r="P11" i="5"/>
  <c r="O11" i="5"/>
  <c r="N11" i="5"/>
  <c r="M11" i="5"/>
  <c r="L11" i="5"/>
  <c r="K11" i="5"/>
  <c r="J11" i="5"/>
  <c r="I11" i="5"/>
  <c r="H11" i="5"/>
  <c r="G11" i="5"/>
  <c r="F11" i="5"/>
  <c r="A7" i="5"/>
  <c r="A6" i="5"/>
  <c r="A2" i="5"/>
  <c r="A1" i="5"/>
  <c r="AA70" i="54"/>
  <c r="Q188" i="5"/>
  <c r="E188" i="5" s="1"/>
  <c r="F19" i="61"/>
  <c r="B11" i="1"/>
  <c r="A30" i="96" s="1"/>
  <c r="B10" i="1"/>
  <c r="B8" i="1"/>
  <c r="A6" i="138" s="1"/>
  <c r="B7" i="1"/>
  <c r="G62" i="63" l="1"/>
  <c r="A101" i="100"/>
  <c r="A151" i="100"/>
  <c r="A43" i="100"/>
  <c r="A160" i="100"/>
  <c r="A110" i="100"/>
  <c r="A53" i="100"/>
  <c r="A161" i="100"/>
  <c r="A54" i="100"/>
  <c r="A111" i="100"/>
  <c r="A150" i="100"/>
  <c r="A100" i="100"/>
  <c r="A42" i="100"/>
  <c r="M163" i="100"/>
  <c r="M113" i="100"/>
  <c r="M56" i="100"/>
  <c r="D62" i="63"/>
  <c r="E46" i="63"/>
  <c r="E62" i="63"/>
  <c r="G46" i="63"/>
  <c r="D46" i="63"/>
  <c r="D30" i="63"/>
  <c r="E30" i="63"/>
  <c r="O30" i="66"/>
  <c r="U75" i="138" s="1"/>
  <c r="U76" i="138" s="1"/>
  <c r="J62" i="63"/>
  <c r="N62" i="63"/>
  <c r="N30" i="63"/>
  <c r="K30" i="63"/>
  <c r="E93" i="110"/>
  <c r="E150" i="110" s="1"/>
  <c r="T114" i="109"/>
  <c r="J22" i="109" s="1"/>
  <c r="Y298" i="24" s="1"/>
  <c r="L16" i="144" s="1"/>
  <c r="L22" i="144" s="1"/>
  <c r="G152" i="91"/>
  <c r="I152" i="91" s="1"/>
  <c r="AS266" i="121"/>
  <c r="CI336" i="40"/>
  <c r="CM336" i="40" s="1"/>
  <c r="T111" i="109"/>
  <c r="I20" i="61"/>
  <c r="F184" i="100"/>
  <c r="L184" i="100" s="1"/>
  <c r="L179" i="100"/>
  <c r="F181" i="100"/>
  <c r="L182" i="100"/>
  <c r="F186" i="100"/>
  <c r="L186" i="100" s="1"/>
  <c r="I284" i="98"/>
  <c r="E258" i="98"/>
  <c r="E245" i="91"/>
  <c r="K245" i="91" s="1"/>
  <c r="E314" i="98"/>
  <c r="E284" i="91"/>
  <c r="E117" i="98"/>
  <c r="E117" i="91"/>
  <c r="G148" i="91"/>
  <c r="I148" i="91" s="1"/>
  <c r="G153" i="91"/>
  <c r="I153" i="91" s="1"/>
  <c r="E177" i="98"/>
  <c r="AB130" i="20"/>
  <c r="AF130" i="20"/>
  <c r="AJ130" i="20"/>
  <c r="AC130" i="20"/>
  <c r="AG130" i="20"/>
  <c r="AK130" i="20"/>
  <c r="AD130" i="20"/>
  <c r="AH130" i="20"/>
  <c r="AL130" i="20"/>
  <c r="AA130" i="20"/>
  <c r="AE130" i="20"/>
  <c r="AI130" i="20"/>
  <c r="J108" i="98"/>
  <c r="J156" i="98"/>
  <c r="J52" i="98"/>
  <c r="J305" i="98"/>
  <c r="J353" i="98"/>
  <c r="J249" i="98"/>
  <c r="AU257" i="121"/>
  <c r="E25" i="92" s="1"/>
  <c r="G25" i="92" s="1"/>
  <c r="H25" i="91" s="1"/>
  <c r="C15" i="117"/>
  <c r="AU258" i="121"/>
  <c r="E26" i="92" s="1"/>
  <c r="G26" i="92" s="1"/>
  <c r="H26" i="91" s="1"/>
  <c r="C16" i="117"/>
  <c r="D31" i="121"/>
  <c r="E31" i="121" s="1"/>
  <c r="AG278" i="121" s="1"/>
  <c r="AU278" i="121" s="1"/>
  <c r="D30" i="121"/>
  <c r="E30" i="121" s="1"/>
  <c r="AG277" i="121" s="1"/>
  <c r="AU277" i="121" s="1"/>
  <c r="W145" i="121"/>
  <c r="AR241" i="121"/>
  <c r="AC187" i="121"/>
  <c r="Q101" i="121"/>
  <c r="G151" i="91"/>
  <c r="I151" i="91" s="1"/>
  <c r="A5" i="138"/>
  <c r="A4" i="57"/>
  <c r="B4" i="58"/>
  <c r="C69" i="90"/>
  <c r="E69" i="90" s="1"/>
  <c r="K195" i="91"/>
  <c r="A4" i="93"/>
  <c r="A4" i="94" s="1"/>
  <c r="AH127" i="13"/>
  <c r="G386" i="98"/>
  <c r="C40" i="110"/>
  <c r="G189" i="98"/>
  <c r="I189" i="98" s="1"/>
  <c r="K189" i="98" s="1"/>
  <c r="D40" i="110"/>
  <c r="D41" i="110" s="1"/>
  <c r="E75" i="138"/>
  <c r="E76" i="138" s="1"/>
  <c r="G61" i="66"/>
  <c r="G75" i="138"/>
  <c r="K39" i="66"/>
  <c r="AA71" i="54"/>
  <c r="O71" i="54" s="1"/>
  <c r="O70" i="54"/>
  <c r="J20" i="54"/>
  <c r="K20" i="54" s="1"/>
  <c r="K24" i="54"/>
  <c r="AA301" i="24"/>
  <c r="AE366" i="24"/>
  <c r="J25" i="19"/>
  <c r="AC366" i="24"/>
  <c r="G194" i="22"/>
  <c r="E168" i="110"/>
  <c r="Q189" i="5"/>
  <c r="E189" i="5" s="1"/>
  <c r="U301" i="24"/>
  <c r="G149" i="91"/>
  <c r="I149" i="91" s="1"/>
  <c r="H299" i="93"/>
  <c r="H343" i="93" s="1"/>
  <c r="G150" i="91"/>
  <c r="I150" i="91" s="1"/>
  <c r="AA366" i="24"/>
  <c r="AA381" i="24" s="1"/>
  <c r="AA384" i="24" s="1"/>
  <c r="J77" i="110"/>
  <c r="I76" i="110"/>
  <c r="I77" i="110" s="1"/>
  <c r="G39" i="66"/>
  <c r="E39" i="66"/>
  <c r="K45" i="66"/>
  <c r="N45" i="66"/>
  <c r="G45" i="66"/>
  <c r="G46" i="66" s="1"/>
  <c r="E45" i="66"/>
  <c r="D55" i="66"/>
  <c r="G171" i="24"/>
  <c r="G41" i="24"/>
  <c r="L45" i="66"/>
  <c r="L46" i="66" s="1"/>
  <c r="M39" i="66"/>
  <c r="M45" i="66"/>
  <c r="M46" i="66" s="1"/>
  <c r="O45" i="66"/>
  <c r="I47" i="110"/>
  <c r="K47" i="110"/>
  <c r="M47" i="110"/>
  <c r="AE301" i="24"/>
  <c r="Q88" i="17"/>
  <c r="Q95" i="17"/>
  <c r="Q104" i="17"/>
  <c r="Q127" i="17"/>
  <c r="D39" i="66"/>
  <c r="E26" i="56"/>
  <c r="D45" i="66"/>
  <c r="E42" i="117"/>
  <c r="AC236" i="24"/>
  <c r="J23" i="109"/>
  <c r="Y299" i="24" s="1"/>
  <c r="M16" i="144" s="1"/>
  <c r="M39" i="63"/>
  <c r="M46" i="63" s="1"/>
  <c r="N54" i="66"/>
  <c r="N55" i="66" s="1"/>
  <c r="E171" i="24"/>
  <c r="I171" i="24"/>
  <c r="K45" i="63"/>
  <c r="N39" i="66"/>
  <c r="F48" i="92"/>
  <c r="F46" i="92"/>
  <c r="F102" i="92"/>
  <c r="F100" i="92"/>
  <c r="A4" i="76"/>
  <c r="A5" i="66"/>
  <c r="A79" i="112"/>
  <c r="A47" i="112"/>
  <c r="A6" i="134"/>
  <c r="A64" i="93"/>
  <c r="A65" i="93" s="1"/>
  <c r="A66" i="93" s="1"/>
  <c r="A67" i="93" s="1"/>
  <c r="A68" i="93" s="1"/>
  <c r="A69" i="93" s="1"/>
  <c r="A70" i="93" s="1"/>
  <c r="A71" i="93" s="1"/>
  <c r="A72" i="93" s="1"/>
  <c r="A73" i="93" s="1"/>
  <c r="A74" i="93" s="1"/>
  <c r="A75" i="93" s="1"/>
  <c r="A76" i="93" s="1"/>
  <c r="A77" i="93" s="1"/>
  <c r="A78" i="93" s="1"/>
  <c r="A79" i="93" s="1"/>
  <c r="A82" i="93" s="1"/>
  <c r="A237" i="93"/>
  <c r="A238" i="93" s="1"/>
  <c r="A239" i="93" s="1"/>
  <c r="A240" i="93" s="1"/>
  <c r="A241" i="93" s="1"/>
  <c r="A242" i="93" s="1"/>
  <c r="A243" i="93" s="1"/>
  <c r="A244" i="93" s="1"/>
  <c r="A245" i="93" s="1"/>
  <c r="A246" i="93" s="1"/>
  <c r="A247" i="93" s="1"/>
  <c r="A248" i="93" s="1"/>
  <c r="A249" i="93" s="1"/>
  <c r="A250" i="93" s="1"/>
  <c r="A251" i="93" s="1"/>
  <c r="A252" i="93" s="1"/>
  <c r="A255" i="93" s="1"/>
  <c r="H92" i="134"/>
  <c r="H87" i="100"/>
  <c r="A184" i="100"/>
  <c r="E29" i="121"/>
  <c r="AG276" i="121" s="1"/>
  <c r="AU276" i="121" s="1"/>
  <c r="J42" i="117"/>
  <c r="L57" i="18"/>
  <c r="A5" i="62"/>
  <c r="A26" i="98"/>
  <c r="A30" i="98" s="1"/>
  <c r="A224" i="98"/>
  <c r="A227" i="98" s="1"/>
  <c r="E26" i="121"/>
  <c r="J16" i="54"/>
  <c r="K16" i="54" s="1"/>
  <c r="Q74" i="36"/>
  <c r="Q76" i="36"/>
  <c r="BZ313" i="40"/>
  <c r="CW377" i="40"/>
  <c r="CW379" i="40" s="1"/>
  <c r="H20" i="55"/>
  <c r="J20" i="55" s="1"/>
  <c r="H46" i="55"/>
  <c r="J46" i="55" s="1"/>
  <c r="F50" i="55"/>
  <c r="H50" i="55" s="1"/>
  <c r="J50" i="55" s="1"/>
  <c r="K39" i="63"/>
  <c r="K46" i="63" s="1"/>
  <c r="N39" i="63"/>
  <c r="N46" i="63" s="1"/>
  <c r="O39" i="66"/>
  <c r="O54" i="66"/>
  <c r="O55" i="66" s="1"/>
  <c r="O62" i="66" s="1"/>
  <c r="O136" i="54"/>
  <c r="J83" i="54"/>
  <c r="K83" i="54" s="1"/>
  <c r="Q75" i="36"/>
  <c r="Q77" i="36"/>
  <c r="T113" i="109"/>
  <c r="J21" i="109" s="1"/>
  <c r="Y297" i="24" s="1"/>
  <c r="J16" i="144" s="1"/>
  <c r="J22" i="144" s="1"/>
  <c r="H18" i="55"/>
  <c r="J18" i="55" s="1"/>
  <c r="H22" i="55"/>
  <c r="J22" i="55" s="1"/>
  <c r="H48" i="55"/>
  <c r="J48" i="55" s="1"/>
  <c r="K55" i="63"/>
  <c r="K62" i="63" s="1"/>
  <c r="L39" i="66"/>
  <c r="L55" i="66"/>
  <c r="H25" i="134"/>
  <c r="D42" i="117"/>
  <c r="K95" i="54"/>
  <c r="G135" i="98"/>
  <c r="H181" i="134"/>
  <c r="H69" i="100"/>
  <c r="H70" i="134"/>
  <c r="H71" i="100"/>
  <c r="H72" i="134"/>
  <c r="H74" i="134"/>
  <c r="H75" i="100"/>
  <c r="H78" i="134"/>
  <c r="H77" i="100"/>
  <c r="H80" i="134"/>
  <c r="H82" i="134"/>
  <c r="H79" i="100"/>
  <c r="H84" i="134"/>
  <c r="H81" i="100"/>
  <c r="H86" i="134"/>
  <c r="H83" i="100"/>
  <c r="H88" i="134"/>
  <c r="H85" i="100"/>
  <c r="H90" i="134"/>
  <c r="H124" i="100"/>
  <c r="H128" i="134"/>
  <c r="H127" i="100"/>
  <c r="H131" i="134"/>
  <c r="H129" i="100"/>
  <c r="H133" i="134"/>
  <c r="H177" i="134"/>
  <c r="H179" i="134"/>
  <c r="H182" i="134"/>
  <c r="H184" i="134"/>
  <c r="H30" i="134"/>
  <c r="H70" i="100"/>
  <c r="H71" i="134"/>
  <c r="H75" i="134"/>
  <c r="H76" i="100"/>
  <c r="H79" i="134"/>
  <c r="H78" i="100"/>
  <c r="H81" i="134"/>
  <c r="H83" i="134"/>
  <c r="H80" i="100"/>
  <c r="H85" i="134"/>
  <c r="H82" i="100"/>
  <c r="H87" i="134"/>
  <c r="H84" i="100"/>
  <c r="H89" i="134"/>
  <c r="H86" i="100"/>
  <c r="H91" i="134"/>
  <c r="H93" i="134"/>
  <c r="H135" i="100"/>
  <c r="H136" i="134"/>
  <c r="H178" i="134"/>
  <c r="H180" i="134"/>
  <c r="H183" i="134"/>
  <c r="H185" i="134"/>
  <c r="A227" i="91"/>
  <c r="A228" i="91" s="1"/>
  <c r="A229" i="91" s="1"/>
  <c r="A230" i="91" s="1"/>
  <c r="A231" i="91" s="1"/>
  <c r="A232" i="91" s="1"/>
  <c r="A61" i="91"/>
  <c r="A62" i="91" s="1"/>
  <c r="A63" i="91" s="1"/>
  <c r="A64" i="91" s="1"/>
  <c r="A65" i="91" s="1"/>
  <c r="A66" i="91" s="1"/>
  <c r="A84" i="91"/>
  <c r="A34" i="91"/>
  <c r="A125" i="91"/>
  <c r="A133" i="91"/>
  <c r="A92" i="91"/>
  <c r="A43" i="91"/>
  <c r="A200" i="91"/>
  <c r="A292" i="91"/>
  <c r="A250" i="91"/>
  <c r="A258" i="91"/>
  <c r="A209" i="91"/>
  <c r="A300" i="91"/>
  <c r="H327" i="91"/>
  <c r="F75" i="90" s="1"/>
  <c r="A124" i="91"/>
  <c r="A83" i="91"/>
  <c r="A33" i="91"/>
  <c r="A132" i="91"/>
  <c r="A91" i="91"/>
  <c r="A42" i="91"/>
  <c r="H94" i="91"/>
  <c r="H135" i="91"/>
  <c r="H44" i="91"/>
  <c r="A291" i="91"/>
  <c r="A249" i="91"/>
  <c r="A199" i="91"/>
  <c r="A257" i="91"/>
  <c r="A299" i="91"/>
  <c r="A208" i="91"/>
  <c r="H302" i="91"/>
  <c r="H260" i="91"/>
  <c r="H210" i="91"/>
  <c r="F127" i="100"/>
  <c r="L127" i="100" s="1"/>
  <c r="F131" i="134"/>
  <c r="A86" i="93"/>
  <c r="A130" i="93"/>
  <c r="A35" i="93"/>
  <c r="J142" i="93"/>
  <c r="J47" i="93"/>
  <c r="J98" i="93"/>
  <c r="A304" i="93"/>
  <c r="A260" i="93"/>
  <c r="A209" i="93"/>
  <c r="A313" i="93"/>
  <c r="A269" i="93"/>
  <c r="A218" i="93"/>
  <c r="K340" i="93"/>
  <c r="F29" i="134"/>
  <c r="L29" i="134" s="1"/>
  <c r="F85" i="100"/>
  <c r="L85" i="100" s="1"/>
  <c r="F90" i="134"/>
  <c r="L90" i="134" s="1"/>
  <c r="F86" i="100"/>
  <c r="L86" i="100" s="1"/>
  <c r="F91" i="134"/>
  <c r="L91" i="134" s="1"/>
  <c r="F87" i="100"/>
  <c r="F92" i="134"/>
  <c r="L92" i="134" s="1"/>
  <c r="A131" i="93"/>
  <c r="A36" i="93"/>
  <c r="A87" i="93"/>
  <c r="A140" i="93"/>
  <c r="A45" i="93"/>
  <c r="A96" i="93"/>
  <c r="K167" i="93"/>
  <c r="A208" i="93"/>
  <c r="A303" i="93"/>
  <c r="A259" i="93"/>
  <c r="K315" i="93"/>
  <c r="K271" i="93"/>
  <c r="K220" i="93"/>
  <c r="F74" i="134"/>
  <c r="L74" i="134" s="1"/>
  <c r="F75" i="134"/>
  <c r="L75" i="134" s="1"/>
  <c r="F75" i="100"/>
  <c r="L75" i="100" s="1"/>
  <c r="F78" i="134"/>
  <c r="L78" i="134" s="1"/>
  <c r="F76" i="100"/>
  <c r="L76" i="100" s="1"/>
  <c r="F79" i="134"/>
  <c r="L79" i="134" s="1"/>
  <c r="F77" i="100"/>
  <c r="L77" i="100" s="1"/>
  <c r="F80" i="134"/>
  <c r="L80" i="134" s="1"/>
  <c r="F82" i="134"/>
  <c r="L82" i="134" s="1"/>
  <c r="F83" i="134"/>
  <c r="L83" i="134" s="1"/>
  <c r="F79" i="100"/>
  <c r="L79" i="100" s="1"/>
  <c r="F84" i="134"/>
  <c r="L84" i="134" s="1"/>
  <c r="F80" i="100"/>
  <c r="L80" i="100" s="1"/>
  <c r="F85" i="134"/>
  <c r="L85" i="134" s="1"/>
  <c r="F81" i="100"/>
  <c r="L81" i="100" s="1"/>
  <c r="F86" i="134"/>
  <c r="L86" i="134" s="1"/>
  <c r="F82" i="100"/>
  <c r="L82" i="100" s="1"/>
  <c r="F87" i="134"/>
  <c r="L87" i="134" s="1"/>
  <c r="F83" i="100"/>
  <c r="L83" i="100" s="1"/>
  <c r="F88" i="134"/>
  <c r="L88" i="134" s="1"/>
  <c r="F84" i="100"/>
  <c r="L84" i="100" s="1"/>
  <c r="F89" i="134"/>
  <c r="L89" i="134" s="1"/>
  <c r="F178" i="134"/>
  <c r="L178" i="134" s="1"/>
  <c r="F180" i="134"/>
  <c r="F182" i="134"/>
  <c r="L182" i="134" s="1"/>
  <c r="F184" i="134"/>
  <c r="L184" i="134" s="1"/>
  <c r="F177" i="134"/>
  <c r="L177" i="134" s="1"/>
  <c r="F179" i="134"/>
  <c r="L179" i="134" s="1"/>
  <c r="F181" i="134"/>
  <c r="L181" i="134" s="1"/>
  <c r="F183" i="134"/>
  <c r="L183" i="134" s="1"/>
  <c r="F185" i="134"/>
  <c r="L185" i="134" s="1"/>
  <c r="F78" i="100"/>
  <c r="L78" i="100" s="1"/>
  <c r="F81" i="134"/>
  <c r="L81" i="134" s="1"/>
  <c r="H187" i="134"/>
  <c r="E95" i="17"/>
  <c r="E104" i="17"/>
  <c r="E61" i="17"/>
  <c r="K296" i="93"/>
  <c r="F299" i="93"/>
  <c r="F343" i="93" s="1"/>
  <c r="G146" i="91"/>
  <c r="I146" i="91" s="1"/>
  <c r="E147" i="91"/>
  <c r="E167" i="98" s="1"/>
  <c r="K123" i="93"/>
  <c r="L24" i="14"/>
  <c r="N24" i="14" s="1"/>
  <c r="P24" i="14" s="1"/>
  <c r="G23" i="14"/>
  <c r="P16" i="64"/>
  <c r="I55" i="63" s="1"/>
  <c r="G18" i="68"/>
  <c r="K18" i="76"/>
  <c r="K31" i="76" s="1"/>
  <c r="I22" i="61"/>
  <c r="J28" i="54"/>
  <c r="AN268" i="121"/>
  <c r="AN272" i="121" s="1"/>
  <c r="AN279" i="121"/>
  <c r="AN281" i="121" s="1"/>
  <c r="AG256" i="121"/>
  <c r="AJ264" i="121"/>
  <c r="AJ272" i="121" s="1"/>
  <c r="AJ279" i="121"/>
  <c r="AJ281" i="121" s="1"/>
  <c r="AL268" i="121"/>
  <c r="AL272" i="121" s="1"/>
  <c r="AL279" i="121"/>
  <c r="AL281" i="121" s="1"/>
  <c r="W165" i="121"/>
  <c r="Q121" i="121"/>
  <c r="K81" i="121"/>
  <c r="W65" i="36"/>
  <c r="O63" i="64"/>
  <c r="I23" i="66"/>
  <c r="O57" i="64"/>
  <c r="P29" i="64"/>
  <c r="P30" i="64"/>
  <c r="P31" i="64"/>
  <c r="P32" i="64"/>
  <c r="N23" i="64"/>
  <c r="AI128" i="13" s="1"/>
  <c r="AI130" i="13" s="1"/>
  <c r="AJ129" i="13" s="1"/>
  <c r="AJ128" i="13" s="1"/>
  <c r="O23" i="64"/>
  <c r="P53" i="64"/>
  <c r="P57" i="64" s="1"/>
  <c r="P59" i="64"/>
  <c r="P63" i="64" s="1"/>
  <c r="P22" i="64"/>
  <c r="I61" i="63" s="1"/>
  <c r="P35" i="64"/>
  <c r="P36" i="64"/>
  <c r="P37" i="64"/>
  <c r="P38" i="64"/>
  <c r="O39" i="64"/>
  <c r="O33" i="64"/>
  <c r="U128" i="12"/>
  <c r="K31" i="12" s="1"/>
  <c r="J196" i="5"/>
  <c r="J26" i="116"/>
  <c r="AE278" i="24" s="1"/>
  <c r="A5" i="127"/>
  <c r="A170" i="91"/>
  <c r="A202" i="91"/>
  <c r="A252" i="91"/>
  <c r="A294" i="91"/>
  <c r="A39" i="95"/>
  <c r="A49" i="97"/>
  <c r="A202" i="98"/>
  <c r="A344" i="98"/>
  <c r="A57" i="99"/>
  <c r="A6" i="100"/>
  <c r="A53" i="101"/>
  <c r="Q99" i="12"/>
  <c r="Y222" i="15"/>
  <c r="A4" i="16"/>
  <c r="L43" i="16"/>
  <c r="A4" i="18"/>
  <c r="A5" i="19"/>
  <c r="W153" i="20"/>
  <c r="C4" i="22"/>
  <c r="C69" i="22"/>
  <c r="C201" i="22"/>
  <c r="C254" i="22"/>
  <c r="C291" i="22"/>
  <c r="Q201" i="24"/>
  <c r="A4" i="115"/>
  <c r="L37" i="115"/>
  <c r="AZ249" i="40"/>
  <c r="CD326" i="40"/>
  <c r="A5" i="43"/>
  <c r="A5" i="44"/>
  <c r="A5" i="45"/>
  <c r="A5" i="48"/>
  <c r="A72" i="54"/>
  <c r="M109" i="55"/>
  <c r="B5" i="59"/>
  <c r="A4" i="61"/>
  <c r="A41" i="61"/>
  <c r="A6" i="62"/>
  <c r="A4" i="126"/>
  <c r="A4" i="124"/>
  <c r="A4" i="116"/>
  <c r="A4" i="109"/>
  <c r="A4" i="38"/>
  <c r="A4" i="36"/>
  <c r="A4" i="35"/>
  <c r="A4" i="84"/>
  <c r="A4" i="32"/>
  <c r="A4" i="30"/>
  <c r="A4" i="107"/>
  <c r="A4" i="27"/>
  <c r="A4" i="25"/>
  <c r="L44" i="38"/>
  <c r="A4" i="125"/>
  <c r="A4" i="123"/>
  <c r="A4" i="112"/>
  <c r="A4" i="41"/>
  <c r="A4" i="37"/>
  <c r="A4" i="108"/>
  <c r="A4" i="34"/>
  <c r="A4" i="33"/>
  <c r="A4" i="31"/>
  <c r="A4" i="29"/>
  <c r="A4" i="28"/>
  <c r="A4" i="26"/>
  <c r="A5" i="11"/>
  <c r="A50" i="90"/>
  <c r="A58" i="92"/>
  <c r="A240" i="98"/>
  <c r="A296" i="98"/>
  <c r="A5" i="12"/>
  <c r="A52" i="14"/>
  <c r="L38" i="20"/>
  <c r="C34" i="22"/>
  <c r="C121" i="22"/>
  <c r="C158" i="22"/>
  <c r="Q266" i="24"/>
  <c r="Q331" i="24"/>
  <c r="AG398" i="24"/>
  <c r="A5" i="40"/>
  <c r="J38" i="40"/>
  <c r="V75" i="40"/>
  <c r="AG110" i="40"/>
  <c r="AQ155" i="40"/>
  <c r="AQ214" i="40"/>
  <c r="BI272" i="40"/>
  <c r="A4" i="42"/>
  <c r="A5" i="49"/>
  <c r="A5" i="50"/>
  <c r="A5" i="51"/>
  <c r="A5" i="52"/>
  <c r="B5" i="53"/>
  <c r="M112" i="54"/>
  <c r="A32" i="55"/>
  <c r="A4" i="56"/>
  <c r="A5" i="57"/>
  <c r="B5" i="58"/>
  <c r="A5" i="63"/>
  <c r="A5" i="65"/>
  <c r="A5" i="67"/>
  <c r="A4" i="90"/>
  <c r="G65" i="121"/>
  <c r="M106" i="121"/>
  <c r="Y192" i="121"/>
  <c r="A5" i="95"/>
  <c r="A4" i="96"/>
  <c r="A5" i="97"/>
  <c r="A4" i="98"/>
  <c r="A99" i="98"/>
  <c r="A147" i="98"/>
  <c r="A4" i="99"/>
  <c r="A4" i="101"/>
  <c r="Q49" i="12"/>
  <c r="B4" i="20"/>
  <c r="W76" i="20"/>
  <c r="C34" i="21"/>
  <c r="C201" i="21"/>
  <c r="C254" i="21"/>
  <c r="C291" i="21"/>
  <c r="A6" i="24"/>
  <c r="A136" i="24" s="1"/>
  <c r="AG397" i="24"/>
  <c r="A4" i="49"/>
  <c r="A4" i="51"/>
  <c r="B4" i="53"/>
  <c r="A4" i="55"/>
  <c r="B4" i="59"/>
  <c r="A4" i="60"/>
  <c r="A4" i="63"/>
  <c r="A4" i="64"/>
  <c r="A4" i="65"/>
  <c r="A4" i="66"/>
  <c r="A4" i="67"/>
  <c r="A4" i="70"/>
  <c r="A4" i="127"/>
  <c r="A4" i="11"/>
  <c r="A4" i="91"/>
  <c r="A4" i="92"/>
  <c r="A8" i="121"/>
  <c r="S150" i="121"/>
  <c r="AE247" i="121"/>
  <c r="A43" i="98"/>
  <c r="A4" i="12"/>
  <c r="A4" i="14"/>
  <c r="Y197" i="15"/>
  <c r="A4" i="19"/>
  <c r="C4" i="21"/>
  <c r="C69" i="21"/>
  <c r="C121" i="21"/>
  <c r="C158" i="21"/>
  <c r="A4" i="50"/>
  <c r="A4" i="52"/>
  <c r="A4" i="54"/>
  <c r="M41" i="54"/>
  <c r="M60" i="55"/>
  <c r="A4" i="71"/>
  <c r="V74" i="40"/>
  <c r="AQ154" i="40"/>
  <c r="AQ213" i="40"/>
  <c r="AG109" i="40"/>
  <c r="Y366" i="24"/>
  <c r="H47" i="110"/>
  <c r="J47" i="110"/>
  <c r="L47" i="110"/>
  <c r="N47" i="110"/>
  <c r="G11" i="110"/>
  <c r="F186" i="110"/>
  <c r="F67" i="110"/>
  <c r="F114" i="110"/>
  <c r="AU255" i="121"/>
  <c r="E23" i="118"/>
  <c r="D23" i="118"/>
  <c r="D25" i="118" s="1"/>
  <c r="E25" i="118" s="1"/>
  <c r="AC202" i="121"/>
  <c r="AP264" i="121" s="1"/>
  <c r="E41" i="121"/>
  <c r="I381" i="98"/>
  <c r="G332" i="98"/>
  <c r="I227" i="98"/>
  <c r="I184" i="98"/>
  <c r="K164" i="93"/>
  <c r="H126" i="93"/>
  <c r="H170" i="93" s="1"/>
  <c r="K258" i="98"/>
  <c r="I315" i="98"/>
  <c r="I329" i="98" s="1"/>
  <c r="K362" i="98"/>
  <c r="E227" i="98"/>
  <c r="C16" i="110" s="1"/>
  <c r="K165" i="98"/>
  <c r="K184" i="98" s="1"/>
  <c r="I132" i="98"/>
  <c r="K117" i="98"/>
  <c r="I87" i="98"/>
  <c r="K26" i="98"/>
  <c r="I30" i="98"/>
  <c r="P23" i="120"/>
  <c r="P25" i="120" s="1"/>
  <c r="G195" i="91"/>
  <c r="G279" i="91"/>
  <c r="G271" i="91"/>
  <c r="G270" i="91"/>
  <c r="G275" i="91"/>
  <c r="I275" i="91" s="1"/>
  <c r="G228" i="91"/>
  <c r="G226" i="91"/>
  <c r="G225" i="91"/>
  <c r="I225" i="91" s="1"/>
  <c r="G224" i="91"/>
  <c r="I224" i="91" s="1"/>
  <c r="G223" i="91"/>
  <c r="I223" i="91" s="1"/>
  <c r="G221" i="91"/>
  <c r="L299" i="93"/>
  <c r="L343" i="93" s="1"/>
  <c r="G299" i="93"/>
  <c r="G343" i="93" s="1"/>
  <c r="E299" i="93"/>
  <c r="E343" i="93" s="1"/>
  <c r="K204" i="93"/>
  <c r="G126" i="93"/>
  <c r="G170" i="93" s="1"/>
  <c r="G113" i="91"/>
  <c r="G109" i="91"/>
  <c r="I109" i="91" s="1"/>
  <c r="G105" i="91"/>
  <c r="G104" i="91"/>
  <c r="F126" i="93"/>
  <c r="F170" i="93" s="1"/>
  <c r="E126" i="93"/>
  <c r="E170" i="93" s="1"/>
  <c r="G60" i="91"/>
  <c r="G58" i="91"/>
  <c r="I58" i="91" s="1"/>
  <c r="G57" i="91"/>
  <c r="I57" i="91" s="1"/>
  <c r="G59" i="91"/>
  <c r="I59" i="91" s="1"/>
  <c r="G62" i="91"/>
  <c r="G55" i="91"/>
  <c r="K31" i="93"/>
  <c r="G23" i="91"/>
  <c r="L61" i="62"/>
  <c r="E30" i="98"/>
  <c r="D16" i="110" s="1"/>
  <c r="G25" i="91"/>
  <c r="E105" i="6"/>
  <c r="E97" i="6"/>
  <c r="T124" i="112" s="1"/>
  <c r="E99" i="6"/>
  <c r="E101" i="6"/>
  <c r="E104" i="6"/>
  <c r="CI335" i="40" s="1"/>
  <c r="E106" i="6"/>
  <c r="E98" i="6"/>
  <c r="E100" i="6"/>
  <c r="E103" i="6"/>
  <c r="E107" i="6"/>
  <c r="E14" i="6"/>
  <c r="E18" i="6"/>
  <c r="E21" i="6"/>
  <c r="E23" i="6"/>
  <c r="E25" i="6"/>
  <c r="E27" i="6"/>
  <c r="E29" i="6"/>
  <c r="E31" i="6"/>
  <c r="E83" i="6"/>
  <c r="E86" i="6"/>
  <c r="E88" i="6"/>
  <c r="E94" i="6"/>
  <c r="E95" i="6"/>
  <c r="E96" i="6"/>
  <c r="H83" i="110"/>
  <c r="S63" i="62"/>
  <c r="U63" i="62"/>
  <c r="W63" i="62"/>
  <c r="U45" i="62"/>
  <c r="K32" i="62"/>
  <c r="L32" i="62" s="1"/>
  <c r="E77" i="110"/>
  <c r="G77" i="110"/>
  <c r="W45" i="62"/>
  <c r="W53" i="62"/>
  <c r="I57" i="62"/>
  <c r="F77" i="110"/>
  <c r="U16" i="62"/>
  <c r="W16" i="62"/>
  <c r="F54" i="62"/>
  <c r="F64" i="62" s="1"/>
  <c r="V54" i="62"/>
  <c r="I44" i="62"/>
  <c r="I50" i="62"/>
  <c r="U53" i="62"/>
  <c r="I61" i="62"/>
  <c r="J83" i="110"/>
  <c r="Y54" i="62"/>
  <c r="W41" i="62"/>
  <c r="H76" i="110"/>
  <c r="H77" i="110" s="1"/>
  <c r="W36" i="62"/>
  <c r="S41" i="62"/>
  <c r="U41" i="62"/>
  <c r="I48" i="62"/>
  <c r="I52" i="62"/>
  <c r="C88" i="110"/>
  <c r="I83" i="110"/>
  <c r="T54" i="62"/>
  <c r="S54" i="62" s="1"/>
  <c r="G80" i="110"/>
  <c r="I80" i="110"/>
  <c r="I16" i="62"/>
  <c r="L16" i="62"/>
  <c r="I18" i="62"/>
  <c r="L18" i="62"/>
  <c r="I20" i="62"/>
  <c r="I24" i="62"/>
  <c r="I26" i="62"/>
  <c r="L26" i="62"/>
  <c r="I28" i="62"/>
  <c r="I31" i="62"/>
  <c r="D82" i="110"/>
  <c r="I40" i="62"/>
  <c r="I47" i="62"/>
  <c r="K63" i="62"/>
  <c r="D88" i="110" s="1"/>
  <c r="G68" i="14"/>
  <c r="L68" i="14" s="1"/>
  <c r="P68" i="14" s="1"/>
  <c r="E33" i="6"/>
  <c r="E35" i="6"/>
  <c r="E43" i="6"/>
  <c r="E45" i="6"/>
  <c r="E51" i="6"/>
  <c r="E55" i="6"/>
  <c r="E57" i="6"/>
  <c r="E44" i="5"/>
  <c r="E94" i="5"/>
  <c r="E13" i="6"/>
  <c r="E17" i="6"/>
  <c r="E20" i="6"/>
  <c r="E22" i="6"/>
  <c r="E24" i="6"/>
  <c r="E26" i="6"/>
  <c r="E28" i="6"/>
  <c r="E30" i="6"/>
  <c r="E32" i="6"/>
  <c r="E38" i="6"/>
  <c r="E40" i="6"/>
  <c r="E42" i="6"/>
  <c r="E46" i="6"/>
  <c r="E48" i="6"/>
  <c r="E52" i="6"/>
  <c r="E54" i="6"/>
  <c r="E56" i="6"/>
  <c r="E82" i="6"/>
  <c r="E84" i="6"/>
  <c r="E87" i="6"/>
  <c r="E89" i="6"/>
  <c r="E14" i="5"/>
  <c r="E16" i="5"/>
  <c r="E39" i="5"/>
  <c r="E40" i="5"/>
  <c r="E51" i="5"/>
  <c r="E15" i="6"/>
  <c r="E16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90" i="6"/>
  <c r="E91" i="6"/>
  <c r="E92" i="6"/>
  <c r="G89" i="22" s="1"/>
  <c r="J89" i="22" s="1"/>
  <c r="E93" i="6"/>
  <c r="E41" i="5"/>
  <c r="E42" i="5"/>
  <c r="E45" i="5"/>
  <c r="E46" i="5"/>
  <c r="E47" i="5"/>
  <c r="E48" i="5"/>
  <c r="E50" i="5"/>
  <c r="E52" i="5"/>
  <c r="E53" i="5"/>
  <c r="E54" i="5"/>
  <c r="E62" i="5"/>
  <c r="E64" i="5"/>
  <c r="E66" i="5"/>
  <c r="E68" i="5"/>
  <c r="E70" i="5"/>
  <c r="E72" i="5"/>
  <c r="E74" i="5"/>
  <c r="H22" i="20" s="1"/>
  <c r="E76" i="5"/>
  <c r="E78" i="5"/>
  <c r="E80" i="5"/>
  <c r="E82" i="5"/>
  <c r="E85" i="5"/>
  <c r="J23" i="20"/>
  <c r="E12" i="5"/>
  <c r="E15" i="5"/>
  <c r="E17" i="5"/>
  <c r="E19" i="5"/>
  <c r="E20" i="5"/>
  <c r="E21" i="5"/>
  <c r="E22" i="5"/>
  <c r="E23" i="5"/>
  <c r="E24" i="5"/>
  <c r="E25" i="5"/>
  <c r="E27" i="5"/>
  <c r="E28" i="5"/>
  <c r="E33" i="5"/>
  <c r="E30" i="5"/>
  <c r="E31" i="5"/>
  <c r="E32" i="5"/>
  <c r="E34" i="5"/>
  <c r="E35" i="5"/>
  <c r="E55" i="5"/>
  <c r="E56" i="5"/>
  <c r="E57" i="5"/>
  <c r="E58" i="5"/>
  <c r="E63" i="5"/>
  <c r="E65" i="5"/>
  <c r="E67" i="5"/>
  <c r="E69" i="5"/>
  <c r="E73" i="5"/>
  <c r="E75" i="5"/>
  <c r="E77" i="5"/>
  <c r="E79" i="5"/>
  <c r="E81" i="5"/>
  <c r="E83" i="5"/>
  <c r="G61" i="21"/>
  <c r="E37" i="5"/>
  <c r="E59" i="5"/>
  <c r="E71" i="5"/>
  <c r="J19" i="20"/>
  <c r="E96" i="5"/>
  <c r="F191" i="5"/>
  <c r="H191" i="5"/>
  <c r="J191" i="5"/>
  <c r="F192" i="5"/>
  <c r="H192" i="5"/>
  <c r="J192" i="5"/>
  <c r="F193" i="5"/>
  <c r="H193" i="5"/>
  <c r="J193" i="5"/>
  <c r="Z97" i="13"/>
  <c r="W98" i="13"/>
  <c r="Z98" i="13" s="1"/>
  <c r="AW173" i="13"/>
  <c r="AW176" i="13" s="1"/>
  <c r="O59" i="13"/>
  <c r="AZ162" i="13"/>
  <c r="AZ163" i="13"/>
  <c r="BO248" i="13"/>
  <c r="BO252" i="13"/>
  <c r="BO256" i="13"/>
  <c r="BO260" i="13"/>
  <c r="BO262" i="13"/>
  <c r="BO264" i="13"/>
  <c r="BO266" i="13"/>
  <c r="BO268" i="13"/>
  <c r="BO270" i="13"/>
  <c r="AZ174" i="13"/>
  <c r="U73" i="12"/>
  <c r="Y73" i="12" s="1"/>
  <c r="M26" i="12" s="1"/>
  <c r="BO246" i="13"/>
  <c r="BO250" i="13"/>
  <c r="BO254" i="13"/>
  <c r="BO259" i="13"/>
  <c r="BO261" i="13"/>
  <c r="BO263" i="13"/>
  <c r="BO265" i="13"/>
  <c r="BO267" i="13"/>
  <c r="BO269" i="13"/>
  <c r="BO271" i="13"/>
  <c r="W96" i="13"/>
  <c r="Z96" i="13" s="1"/>
  <c r="AC96" i="13" s="1"/>
  <c r="U126" i="12"/>
  <c r="K29" i="12" s="1"/>
  <c r="AW161" i="13"/>
  <c r="AW164" i="13" s="1"/>
  <c r="AZ156" i="13"/>
  <c r="AZ158" i="13"/>
  <c r="AZ160" i="13"/>
  <c r="AT161" i="13"/>
  <c r="AT164" i="13" s="1"/>
  <c r="U82" i="12" s="1"/>
  <c r="I35" i="12" s="1"/>
  <c r="AZ168" i="13"/>
  <c r="AZ170" i="13"/>
  <c r="AT173" i="13"/>
  <c r="AT176" i="13" s="1"/>
  <c r="U132" i="12" s="1"/>
  <c r="K35" i="12" s="1"/>
  <c r="DC424" i="13"/>
  <c r="N63" i="13"/>
  <c r="O63" i="13" s="1"/>
  <c r="N64" i="13"/>
  <c r="O64" i="13" s="1"/>
  <c r="N65" i="13"/>
  <c r="O65" i="13" s="1"/>
  <c r="N66" i="13"/>
  <c r="O66" i="13" s="1"/>
  <c r="N67" i="13"/>
  <c r="O67" i="13" s="1"/>
  <c r="N68" i="13"/>
  <c r="O68" i="13" s="1"/>
  <c r="N69" i="13"/>
  <c r="O69" i="13" s="1"/>
  <c r="N70" i="13"/>
  <c r="O70" i="13" s="1"/>
  <c r="N71" i="13"/>
  <c r="O71" i="13" s="1"/>
  <c r="N72" i="13"/>
  <c r="O72" i="13" s="1"/>
  <c r="N73" i="13"/>
  <c r="O73" i="13" s="1"/>
  <c r="N74" i="13"/>
  <c r="O74" i="13" s="1"/>
  <c r="AZ157" i="13"/>
  <c r="AZ159" i="13"/>
  <c r="AZ169" i="13"/>
  <c r="AZ172" i="13"/>
  <c r="AZ175" i="13"/>
  <c r="BO245" i="13"/>
  <c r="BO247" i="13"/>
  <c r="BO249" i="13"/>
  <c r="BO251" i="13"/>
  <c r="BO253" i="13"/>
  <c r="BO255" i="13"/>
  <c r="AZ171" i="13"/>
  <c r="Z107" i="13"/>
  <c r="AC107" i="13" s="1"/>
  <c r="AC99" i="13"/>
  <c r="E127" i="17"/>
  <c r="G88" i="17"/>
  <c r="E88" i="17"/>
  <c r="D130" i="17"/>
  <c r="F20" i="17"/>
  <c r="F64" i="17" s="1"/>
  <c r="E18" i="17"/>
  <c r="D64" i="17"/>
  <c r="C76" i="110"/>
  <c r="C77" i="110" s="1"/>
  <c r="I38" i="62"/>
  <c r="K41" i="62"/>
  <c r="K45" i="62"/>
  <c r="L30" i="62"/>
  <c r="I36" i="62"/>
  <c r="I37" i="62"/>
  <c r="I39" i="62"/>
  <c r="I49" i="62"/>
  <c r="I51" i="62"/>
  <c r="I58" i="62"/>
  <c r="I60" i="62"/>
  <c r="I62" i="62"/>
  <c r="W32" i="62"/>
  <c r="S32" i="62"/>
  <c r="Q32" i="62"/>
  <c r="U32" i="62"/>
  <c r="F80" i="110"/>
  <c r="H80" i="110"/>
  <c r="J80" i="110"/>
  <c r="T33" i="62"/>
  <c r="V33" i="62"/>
  <c r="Y33" i="62"/>
  <c r="C80" i="110"/>
  <c r="D76" i="110"/>
  <c r="D77" i="110" s="1"/>
  <c r="D78" i="110"/>
  <c r="D80" i="110" s="1"/>
  <c r="I19" i="62"/>
  <c r="I21" i="62"/>
  <c r="I25" i="62"/>
  <c r="I27" i="62"/>
  <c r="I29" i="62"/>
  <c r="L29" i="62"/>
  <c r="E80" i="110"/>
  <c r="G18" i="17"/>
  <c r="I127" i="17"/>
  <c r="I95" i="17"/>
  <c r="I88" i="17"/>
  <c r="G127" i="17"/>
  <c r="I104" i="17"/>
  <c r="G95" i="17"/>
  <c r="H130" i="17"/>
  <c r="F130" i="17"/>
  <c r="G104" i="17"/>
  <c r="I61" i="17"/>
  <c r="G61" i="17"/>
  <c r="G28" i="17"/>
  <c r="I18" i="17"/>
  <c r="I20" i="17"/>
  <c r="H64" i="17"/>
  <c r="E50" i="17"/>
  <c r="G50" i="17"/>
  <c r="I50" i="17"/>
  <c r="K42" i="56"/>
  <c r="U51" i="37"/>
  <c r="V55" i="123"/>
  <c r="T55" i="123"/>
  <c r="U55" i="123"/>
  <c r="AM121" i="20"/>
  <c r="G15" i="20" s="1"/>
  <c r="L187" i="5"/>
  <c r="E87" i="5"/>
  <c r="N187" i="5"/>
  <c r="P187" i="5"/>
  <c r="E88" i="5"/>
  <c r="E89" i="5"/>
  <c r="E90" i="5"/>
  <c r="E91" i="5"/>
  <c r="E92" i="5"/>
  <c r="L196" i="5"/>
  <c r="E93" i="5"/>
  <c r="N196" i="5"/>
  <c r="P196" i="5"/>
  <c r="E95" i="5"/>
  <c r="E97" i="5"/>
  <c r="E98" i="5"/>
  <c r="L191" i="5"/>
  <c r="E99" i="5"/>
  <c r="N191" i="5"/>
  <c r="P191" i="5"/>
  <c r="E100" i="5"/>
  <c r="L192" i="5"/>
  <c r="E102" i="5"/>
  <c r="N192" i="5"/>
  <c r="P192" i="5"/>
  <c r="E103" i="5"/>
  <c r="E104" i="5"/>
  <c r="E105" i="5"/>
  <c r="E106" i="5"/>
  <c r="E107" i="5"/>
  <c r="E108" i="5"/>
  <c r="E109" i="5"/>
  <c r="E110" i="5"/>
  <c r="L198" i="5"/>
  <c r="E111" i="5"/>
  <c r="N198" i="5"/>
  <c r="P198" i="5"/>
  <c r="E112" i="5"/>
  <c r="E113" i="5"/>
  <c r="E114" i="5"/>
  <c r="E115" i="5"/>
  <c r="E116" i="5"/>
  <c r="E117" i="5"/>
  <c r="L193" i="5"/>
  <c r="E118" i="5"/>
  <c r="N193" i="5"/>
  <c r="P193" i="5"/>
  <c r="E120" i="5"/>
  <c r="E122" i="5"/>
  <c r="E123" i="5"/>
  <c r="E127" i="5"/>
  <c r="E128" i="5"/>
  <c r="E129" i="5"/>
  <c r="E130" i="5"/>
  <c r="E132" i="5"/>
  <c r="E134" i="5"/>
  <c r="E136" i="5"/>
  <c r="E137" i="5"/>
  <c r="M199" i="5"/>
  <c r="O199" i="5"/>
  <c r="Q199" i="5"/>
  <c r="G201" i="5"/>
  <c r="I201" i="5"/>
  <c r="K201" i="5"/>
  <c r="M201" i="5"/>
  <c r="O201" i="5"/>
  <c r="Q201" i="5"/>
  <c r="G194" i="5"/>
  <c r="I194" i="5"/>
  <c r="K194" i="5"/>
  <c r="M194" i="5"/>
  <c r="O194" i="5"/>
  <c r="Q194" i="5"/>
  <c r="G203" i="5"/>
  <c r="I203" i="5"/>
  <c r="K203" i="5"/>
  <c r="M203" i="5"/>
  <c r="O203" i="5"/>
  <c r="Q203" i="5"/>
  <c r="G182" i="5"/>
  <c r="I182" i="5"/>
  <c r="M182" i="5"/>
  <c r="O182" i="5"/>
  <c r="Q182" i="5"/>
  <c r="M187" i="5"/>
  <c r="O187" i="5"/>
  <c r="Q187" i="5"/>
  <c r="M196" i="5"/>
  <c r="O196" i="5"/>
  <c r="Q196" i="5"/>
  <c r="M191" i="5"/>
  <c r="O191" i="5"/>
  <c r="Q191" i="5"/>
  <c r="M192" i="5"/>
  <c r="O192" i="5"/>
  <c r="Q192" i="5"/>
  <c r="M198" i="5"/>
  <c r="O198" i="5"/>
  <c r="Q198" i="5"/>
  <c r="M193" i="5"/>
  <c r="O193" i="5"/>
  <c r="Q193" i="5"/>
  <c r="E121" i="5"/>
  <c r="E125" i="5"/>
  <c r="E126" i="5"/>
  <c r="E131" i="5"/>
  <c r="E133" i="5"/>
  <c r="E135" i="5"/>
  <c r="E138" i="5"/>
  <c r="E139" i="5"/>
  <c r="L199" i="5"/>
  <c r="N199" i="5"/>
  <c r="P199" i="5"/>
  <c r="F201" i="5"/>
  <c r="H201" i="5"/>
  <c r="J201" i="5"/>
  <c r="L201" i="5"/>
  <c r="N201" i="5"/>
  <c r="P201" i="5"/>
  <c r="F194" i="5"/>
  <c r="H194" i="5"/>
  <c r="J194" i="5"/>
  <c r="L194" i="5"/>
  <c r="N194" i="5"/>
  <c r="P194" i="5"/>
  <c r="F203" i="5"/>
  <c r="H203" i="5"/>
  <c r="J203" i="5"/>
  <c r="L203" i="5"/>
  <c r="N203" i="5"/>
  <c r="P203" i="5"/>
  <c r="F182" i="5"/>
  <c r="H182" i="5"/>
  <c r="J182" i="5"/>
  <c r="L182" i="5"/>
  <c r="N182" i="5"/>
  <c r="P182" i="5"/>
  <c r="G141" i="22"/>
  <c r="J141" i="22" s="1"/>
  <c r="G142" i="22"/>
  <c r="J142" i="22" s="1"/>
  <c r="G147" i="22"/>
  <c r="J147" i="22" s="1"/>
  <c r="G148" i="22"/>
  <c r="J148" i="22" s="1"/>
  <c r="G149" i="22"/>
  <c r="J149" i="22" s="1"/>
  <c r="G150" i="22"/>
  <c r="J150" i="22" s="1"/>
  <c r="G151" i="22"/>
  <c r="J151" i="22" s="1"/>
  <c r="G173" i="22"/>
  <c r="J173" i="22" s="1"/>
  <c r="G174" i="22"/>
  <c r="J174" i="22" s="1"/>
  <c r="G178" i="22"/>
  <c r="J178" i="22" s="1"/>
  <c r="G193" i="22"/>
  <c r="G195" i="22"/>
  <c r="G216" i="22"/>
  <c r="J216" i="22" s="1"/>
  <c r="G218" i="22"/>
  <c r="J218" i="22" s="1"/>
  <c r="G324" i="91"/>
  <c r="G327" i="91" s="1"/>
  <c r="I312" i="91"/>
  <c r="Q127" i="121"/>
  <c r="AM268" i="121" s="1"/>
  <c r="Q126" i="121"/>
  <c r="AM265" i="121" s="1"/>
  <c r="G184" i="5"/>
  <c r="I184" i="5"/>
  <c r="K184" i="5"/>
  <c r="M184" i="5"/>
  <c r="O184" i="5"/>
  <c r="Q184" i="5"/>
  <c r="G187" i="5"/>
  <c r="I187" i="5"/>
  <c r="K187" i="5"/>
  <c r="G198" i="5"/>
  <c r="I198" i="5"/>
  <c r="K198" i="5"/>
  <c r="G199" i="5"/>
  <c r="I199" i="5"/>
  <c r="K199" i="5"/>
  <c r="AB202" i="20"/>
  <c r="AB206" i="20" s="1"/>
  <c r="AD202" i="20"/>
  <c r="AD206" i="20" s="1"/>
  <c r="AF202" i="20"/>
  <c r="AF206" i="20" s="1"/>
  <c r="AH202" i="20"/>
  <c r="AH206" i="20" s="1"/>
  <c r="AJ202" i="20"/>
  <c r="AJ206" i="20" s="1"/>
  <c r="AL202" i="20"/>
  <c r="AL206" i="20" s="1"/>
  <c r="G32" i="11"/>
  <c r="F184" i="5"/>
  <c r="H184" i="5"/>
  <c r="J184" i="5"/>
  <c r="L184" i="5"/>
  <c r="N184" i="5"/>
  <c r="P184" i="5"/>
  <c r="F187" i="5"/>
  <c r="H187" i="5"/>
  <c r="J187" i="5"/>
  <c r="G191" i="5"/>
  <c r="I191" i="5"/>
  <c r="K191" i="5"/>
  <c r="G192" i="5"/>
  <c r="I192" i="5"/>
  <c r="K192" i="5"/>
  <c r="G193" i="5"/>
  <c r="I193" i="5"/>
  <c r="K193" i="5"/>
  <c r="G196" i="5"/>
  <c r="I196" i="5"/>
  <c r="K196" i="5"/>
  <c r="E197" i="5"/>
  <c r="F198" i="5"/>
  <c r="H198" i="5"/>
  <c r="J198" i="5"/>
  <c r="F199" i="5"/>
  <c r="H199" i="5"/>
  <c r="J199" i="5"/>
  <c r="AA202" i="20"/>
  <c r="AC202" i="20"/>
  <c r="AC206" i="20" s="1"/>
  <c r="AE202" i="20"/>
  <c r="AE206" i="20" s="1"/>
  <c r="AG202" i="20"/>
  <c r="AG206" i="20" s="1"/>
  <c r="AI202" i="20"/>
  <c r="AI206" i="20" s="1"/>
  <c r="AK202" i="20"/>
  <c r="AK206" i="20" s="1"/>
  <c r="E324" i="91"/>
  <c r="K324" i="91" s="1"/>
  <c r="K86" i="121"/>
  <c r="AK264" i="121" s="1"/>
  <c r="K89" i="121"/>
  <c r="AK268" i="121" s="1"/>
  <c r="AC203" i="121"/>
  <c r="AP265" i="121" s="1"/>
  <c r="AC204" i="121"/>
  <c r="AC205" i="121"/>
  <c r="AP268" i="121" s="1"/>
  <c r="AC206" i="121"/>
  <c r="AP269" i="121" s="1"/>
  <c r="AC207" i="121"/>
  <c r="AP270" i="121" s="1"/>
  <c r="AC215" i="121"/>
  <c r="AC216" i="121"/>
  <c r="AR270" i="121" s="1"/>
  <c r="AC225" i="121"/>
  <c r="AC228" i="121" s="1"/>
  <c r="AI272" i="121"/>
  <c r="AI284" i="121" s="1"/>
  <c r="E63" i="98"/>
  <c r="E68" i="98"/>
  <c r="E70" i="98"/>
  <c r="E71" i="98"/>
  <c r="E72" i="98"/>
  <c r="E73" i="98"/>
  <c r="E75" i="98"/>
  <c r="E77" i="98"/>
  <c r="E119" i="98"/>
  <c r="E120" i="98"/>
  <c r="E260" i="98"/>
  <c r="E265" i="98"/>
  <c r="E267" i="98"/>
  <c r="E268" i="98"/>
  <c r="E269" i="98"/>
  <c r="E270" i="98"/>
  <c r="E271" i="98"/>
  <c r="E272" i="98"/>
  <c r="E273" i="98"/>
  <c r="E274" i="98"/>
  <c r="E275" i="98"/>
  <c r="E276" i="98"/>
  <c r="E277" i="98"/>
  <c r="E278" i="98"/>
  <c r="E279" i="98"/>
  <c r="E316" i="98"/>
  <c r="E317" i="98"/>
  <c r="E362" i="98"/>
  <c r="H25" i="100"/>
  <c r="Y78" i="12"/>
  <c r="M31" i="12" s="1"/>
  <c r="G24" i="91"/>
  <c r="G26" i="91"/>
  <c r="E29" i="91"/>
  <c r="G54" i="91"/>
  <c r="G67" i="91"/>
  <c r="I67" i="91" s="1"/>
  <c r="G69" i="91"/>
  <c r="I69" i="91" s="1"/>
  <c r="G71" i="91"/>
  <c r="I71" i="91" s="1"/>
  <c r="G72" i="91"/>
  <c r="I72" i="91" s="1"/>
  <c r="G73" i="91"/>
  <c r="I73" i="91" s="1"/>
  <c r="G74" i="91"/>
  <c r="I74" i="91" s="1"/>
  <c r="G75" i="91"/>
  <c r="I75" i="91" s="1"/>
  <c r="G108" i="91"/>
  <c r="G145" i="91"/>
  <c r="G220" i="91"/>
  <c r="G274" i="91"/>
  <c r="K60" i="121"/>
  <c r="K87" i="121"/>
  <c r="AK265" i="121" s="1"/>
  <c r="I29" i="12"/>
  <c r="L20" i="58"/>
  <c r="F56" i="61"/>
  <c r="I45" i="63"/>
  <c r="I46" i="63" s="1"/>
  <c r="I29" i="66"/>
  <c r="J75" i="138" s="1"/>
  <c r="I35" i="66"/>
  <c r="I37" i="66"/>
  <c r="I52" i="66"/>
  <c r="I68" i="66" s="1"/>
  <c r="K55" i="66"/>
  <c r="K62" i="66" s="1"/>
  <c r="M55" i="66"/>
  <c r="M62" i="66" s="1"/>
  <c r="G55" i="66"/>
  <c r="E55" i="66"/>
  <c r="E62" i="66" s="1"/>
  <c r="I71" i="66"/>
  <c r="L61" i="66"/>
  <c r="L62" i="66" s="1"/>
  <c r="N61" i="66"/>
  <c r="N62" i="66" s="1"/>
  <c r="D61" i="66"/>
  <c r="D62" i="66" s="1"/>
  <c r="L67" i="66"/>
  <c r="N67" i="66"/>
  <c r="D67" i="66"/>
  <c r="K71" i="66"/>
  <c r="M71" i="66"/>
  <c r="O71" i="66"/>
  <c r="G71" i="66"/>
  <c r="E71" i="66"/>
  <c r="I39" i="63"/>
  <c r="I36" i="66"/>
  <c r="I51" i="66"/>
  <c r="I53" i="66"/>
  <c r="I69" i="66" s="1"/>
  <c r="I72" i="66"/>
  <c r="I73" i="66"/>
  <c r="G21" i="68"/>
  <c r="I18" i="68" s="1"/>
  <c r="K30" i="68"/>
  <c r="A57" i="110"/>
  <c r="C70" i="110"/>
  <c r="K95" i="110"/>
  <c r="M95" i="110"/>
  <c r="L96" i="110"/>
  <c r="N96" i="110"/>
  <c r="A104" i="110"/>
  <c r="A133" i="110"/>
  <c r="E169" i="110"/>
  <c r="A177" i="110"/>
  <c r="A180" i="110"/>
  <c r="A181" i="110"/>
  <c r="A58" i="110"/>
  <c r="A61" i="110"/>
  <c r="A62" i="110"/>
  <c r="E86" i="110"/>
  <c r="E96" i="110" s="1"/>
  <c r="A105" i="110"/>
  <c r="A108" i="110"/>
  <c r="A109" i="110"/>
  <c r="AE281" i="24" l="1"/>
  <c r="AE311" i="24" s="1"/>
  <c r="D19" i="144"/>
  <c r="AA206" i="20"/>
  <c r="AM206" i="20" s="1"/>
  <c r="AM202" i="20"/>
  <c r="A47" i="100"/>
  <c r="A155" i="100"/>
  <c r="A105" i="100"/>
  <c r="G62" i="66"/>
  <c r="D46" i="66"/>
  <c r="E46" i="66"/>
  <c r="O46" i="66"/>
  <c r="N46" i="66"/>
  <c r="K46" i="66"/>
  <c r="E155" i="110"/>
  <c r="E152" i="110"/>
  <c r="U311" i="24"/>
  <c r="U316" i="24" s="1"/>
  <c r="U319" i="24" s="1"/>
  <c r="AG270" i="121"/>
  <c r="AG272" i="121" s="1"/>
  <c r="E47" i="92"/>
  <c r="G47" i="92" s="1"/>
  <c r="H112" i="91"/>
  <c r="I112" i="91" s="1"/>
  <c r="C36" i="117"/>
  <c r="CI338" i="40"/>
  <c r="CM335" i="40"/>
  <c r="R56" i="20"/>
  <c r="T56" i="20" s="1"/>
  <c r="U55" i="37"/>
  <c r="J20" i="37" s="1"/>
  <c r="J26" i="37" s="1"/>
  <c r="Y234" i="24" s="1"/>
  <c r="A185" i="100"/>
  <c r="A186" i="100" s="1"/>
  <c r="A187" i="100" s="1"/>
  <c r="X55" i="123"/>
  <c r="U232" i="24"/>
  <c r="AQ430" i="24" s="1"/>
  <c r="E284" i="98"/>
  <c r="C20" i="110" s="1"/>
  <c r="I270" i="91"/>
  <c r="F128" i="134" s="1"/>
  <c r="G284" i="91"/>
  <c r="G245" i="91"/>
  <c r="G79" i="91"/>
  <c r="I104" i="91"/>
  <c r="G117" i="91"/>
  <c r="G120" i="46"/>
  <c r="G101" i="46"/>
  <c r="I386" i="98"/>
  <c r="K386" i="98" s="1"/>
  <c r="AI287" i="121"/>
  <c r="AU256" i="121"/>
  <c r="E24" i="92" s="1"/>
  <c r="G24" i="92" s="1"/>
  <c r="H24" i="91" s="1"/>
  <c r="I24" i="91" s="1"/>
  <c r="C14" i="117"/>
  <c r="F15" i="117"/>
  <c r="H15" i="117" s="1"/>
  <c r="AL284" i="121"/>
  <c r="AL287" i="121" s="1"/>
  <c r="AN284" i="121"/>
  <c r="AN287" i="121" s="1"/>
  <c r="AS269" i="121"/>
  <c r="AS272" i="121" s="1"/>
  <c r="AS284" i="121" s="1"/>
  <c r="AR269" i="121"/>
  <c r="AR272" i="121" s="1"/>
  <c r="AR284" i="121" s="1"/>
  <c r="AC218" i="121"/>
  <c r="AJ284" i="121"/>
  <c r="AJ287" i="121" s="1"/>
  <c r="AU279" i="121"/>
  <c r="C37" i="117" s="1"/>
  <c r="I26" i="91"/>
  <c r="E157" i="91"/>
  <c r="K157" i="91" s="1"/>
  <c r="K29" i="91"/>
  <c r="G192" i="98"/>
  <c r="L23" i="14"/>
  <c r="N23" i="14" s="1"/>
  <c r="G26" i="14"/>
  <c r="C73" i="90"/>
  <c r="E73" i="90" s="1"/>
  <c r="K284" i="91"/>
  <c r="C25" i="90"/>
  <c r="E25" i="90" s="1"/>
  <c r="K79" i="91"/>
  <c r="C27" i="90"/>
  <c r="E27" i="90" s="1"/>
  <c r="K117" i="91"/>
  <c r="G389" i="98"/>
  <c r="G60" i="21"/>
  <c r="J60" i="21" s="1"/>
  <c r="A71" i="24"/>
  <c r="F23" i="58"/>
  <c r="G270" i="22"/>
  <c r="J270" i="22" s="1"/>
  <c r="G281" i="21"/>
  <c r="J281" i="21" s="1"/>
  <c r="G270" i="21"/>
  <c r="J270" i="21" s="1"/>
  <c r="G280" i="22"/>
  <c r="J280" i="22" s="1"/>
  <c r="G281" i="22"/>
  <c r="J281" i="22" s="1"/>
  <c r="G279" i="22"/>
  <c r="J279" i="22" s="1"/>
  <c r="AZ173" i="13"/>
  <c r="AZ176" i="13" s="1"/>
  <c r="Y132" i="12" s="1"/>
  <c r="O35" i="12" s="1"/>
  <c r="AE313" i="24"/>
  <c r="AE381" i="24"/>
  <c r="AE384" i="24" s="1"/>
  <c r="AE378" i="24"/>
  <c r="AJ208" i="20"/>
  <c r="AJ210" i="20" s="1"/>
  <c r="AB208" i="20"/>
  <c r="AE208" i="20"/>
  <c r="AH208" i="20"/>
  <c r="AG208" i="20"/>
  <c r="AK208" i="20"/>
  <c r="AC208" i="20"/>
  <c r="AF208" i="20"/>
  <c r="AI208" i="20"/>
  <c r="AA208" i="20"/>
  <c r="AL208" i="20"/>
  <c r="AD208" i="20"/>
  <c r="AA378" i="24"/>
  <c r="AA386" i="24" s="1"/>
  <c r="AM95" i="20"/>
  <c r="G194" i="21"/>
  <c r="G195" i="21"/>
  <c r="G48" i="21"/>
  <c r="J48" i="21" s="1"/>
  <c r="G26" i="21"/>
  <c r="J26" i="21" s="1"/>
  <c r="G21" i="21"/>
  <c r="J21" i="21" s="1"/>
  <c r="I20" i="63" s="1"/>
  <c r="G48" i="22"/>
  <c r="J48" i="22" s="1"/>
  <c r="G21" i="22"/>
  <c r="J21" i="22" s="1"/>
  <c r="G20" i="63" s="1"/>
  <c r="G20" i="22"/>
  <c r="J20" i="22" s="1"/>
  <c r="T54" i="20"/>
  <c r="G100" i="22"/>
  <c r="J100" i="22" s="1"/>
  <c r="G52" i="22"/>
  <c r="J52" i="22" s="1"/>
  <c r="G25" i="63" s="1"/>
  <c r="G101" i="22"/>
  <c r="J101" i="22" s="1"/>
  <c r="G28" i="21"/>
  <c r="J28" i="21" s="1"/>
  <c r="G49" i="21"/>
  <c r="G24" i="22"/>
  <c r="J24" i="22" s="1"/>
  <c r="G19" i="22"/>
  <c r="J19" i="22" s="1"/>
  <c r="G19" i="63" s="1"/>
  <c r="G86" i="22"/>
  <c r="J86" i="22" s="1"/>
  <c r="G51" i="22"/>
  <c r="J51" i="22" s="1"/>
  <c r="G57" i="22"/>
  <c r="J57" i="22" s="1"/>
  <c r="G58" i="22"/>
  <c r="J58" i="22" s="1"/>
  <c r="J61" i="21"/>
  <c r="H24" i="20" s="1"/>
  <c r="J24" i="20" s="1"/>
  <c r="G20" i="21"/>
  <c r="J20" i="21" s="1"/>
  <c r="G50" i="22"/>
  <c r="J50" i="22" s="1"/>
  <c r="G244" i="22"/>
  <c r="J244" i="22" s="1"/>
  <c r="G55" i="22"/>
  <c r="J55" i="22" s="1"/>
  <c r="G103" i="22"/>
  <c r="J103" i="22" s="1"/>
  <c r="H31" i="19" s="1"/>
  <c r="G56" i="22"/>
  <c r="J56" i="22" s="1"/>
  <c r="G27" i="63" s="1"/>
  <c r="G108" i="22"/>
  <c r="G316" i="21"/>
  <c r="J316" i="21" s="1"/>
  <c r="G27" i="22"/>
  <c r="J27" i="22" s="1"/>
  <c r="G101" i="21"/>
  <c r="J101" i="21" s="1"/>
  <c r="G58" i="21"/>
  <c r="J58" i="21" s="1"/>
  <c r="AM88" i="20"/>
  <c r="G27" i="21"/>
  <c r="J27" i="21" s="1"/>
  <c r="G24" i="21"/>
  <c r="J24" i="21" s="1"/>
  <c r="G19" i="21"/>
  <c r="G49" i="22"/>
  <c r="J49" i="22" s="1"/>
  <c r="G25" i="22"/>
  <c r="J25" i="22" s="1"/>
  <c r="G22" i="22"/>
  <c r="J22" i="22" s="1"/>
  <c r="G53" i="22"/>
  <c r="J53" i="22" s="1"/>
  <c r="G54" i="22"/>
  <c r="J54" i="22" s="1"/>
  <c r="G26" i="63" s="1"/>
  <c r="G140" i="22"/>
  <c r="J140" i="22" s="1"/>
  <c r="N136" i="17"/>
  <c r="G138" i="22"/>
  <c r="J138" i="22" s="1"/>
  <c r="G139" i="22"/>
  <c r="J139" i="22" s="1"/>
  <c r="G315" i="22"/>
  <c r="J315" i="22" s="1"/>
  <c r="AX163" i="40"/>
  <c r="AX164" i="40" s="1"/>
  <c r="H25" i="40" s="1"/>
  <c r="H31" i="40" s="1"/>
  <c r="AE215" i="24" s="1"/>
  <c r="F13" i="144" s="1"/>
  <c r="F22" i="144" s="1"/>
  <c r="G93" i="22"/>
  <c r="J93" i="22" s="1"/>
  <c r="G136" i="22"/>
  <c r="G87" i="22"/>
  <c r="G316" i="22"/>
  <c r="J316" i="22" s="1"/>
  <c r="G137" i="22"/>
  <c r="J137" i="22" s="1"/>
  <c r="G88" i="22"/>
  <c r="J88" i="22" s="1"/>
  <c r="G47" i="22"/>
  <c r="G305" i="22"/>
  <c r="J305" i="22" s="1"/>
  <c r="G85" i="22"/>
  <c r="J85" i="22" s="1"/>
  <c r="G28" i="22"/>
  <c r="J28" i="22" s="1"/>
  <c r="S56" i="36"/>
  <c r="G47" i="21"/>
  <c r="G315" i="21"/>
  <c r="J315" i="21" s="1"/>
  <c r="G114" i="46" s="1"/>
  <c r="G25" i="21"/>
  <c r="J25" i="21" s="1"/>
  <c r="G22" i="21"/>
  <c r="J22" i="21" s="1"/>
  <c r="G276" i="21"/>
  <c r="G23" i="21"/>
  <c r="J23" i="21" s="1"/>
  <c r="I21" i="63" s="1"/>
  <c r="G320" i="21"/>
  <c r="G57" i="21"/>
  <c r="J57" i="21" s="1"/>
  <c r="G53" i="21"/>
  <c r="J53" i="21" s="1"/>
  <c r="AZ161" i="13"/>
  <c r="AZ164" i="13" s="1"/>
  <c r="Y82" i="12" s="1"/>
  <c r="M35" i="12" s="1"/>
  <c r="G282" i="21"/>
  <c r="J282" i="21" s="1"/>
  <c r="G269" i="21"/>
  <c r="G244" i="21"/>
  <c r="G54" i="21"/>
  <c r="J54" i="21" s="1"/>
  <c r="I26" i="63" s="1"/>
  <c r="G26" i="22"/>
  <c r="J26" i="22" s="1"/>
  <c r="G23" i="22"/>
  <c r="J23" i="22" s="1"/>
  <c r="G21" i="63" s="1"/>
  <c r="K19" i="68"/>
  <c r="K32" i="68" s="1"/>
  <c r="I135" i="98"/>
  <c r="I192" i="98" s="1"/>
  <c r="M20" i="144"/>
  <c r="I56" i="62"/>
  <c r="T116" i="109"/>
  <c r="E33" i="121"/>
  <c r="Q130" i="17"/>
  <c r="Y128" i="12"/>
  <c r="O31" i="12" s="1"/>
  <c r="AI133" i="13"/>
  <c r="AI135" i="13" s="1"/>
  <c r="AJ134" i="13" s="1"/>
  <c r="AJ133" i="13" s="1"/>
  <c r="K33" i="62"/>
  <c r="L33" i="62" s="1"/>
  <c r="CS379" i="40"/>
  <c r="CU384" i="40" s="1"/>
  <c r="L63" i="62"/>
  <c r="CU379" i="40"/>
  <c r="CU385" i="40" s="1"/>
  <c r="L56" i="62"/>
  <c r="I63" i="62"/>
  <c r="I25" i="91"/>
  <c r="G20" i="17"/>
  <c r="K97" i="54"/>
  <c r="K126" i="93"/>
  <c r="K170" i="93" s="1"/>
  <c r="E20" i="17"/>
  <c r="J136" i="17"/>
  <c r="L136" i="17"/>
  <c r="U70" i="12"/>
  <c r="I27" i="61"/>
  <c r="I29" i="61" s="1"/>
  <c r="A87" i="98"/>
  <c r="AC98" i="13"/>
  <c r="H175" i="134"/>
  <c r="H190" i="134" s="1"/>
  <c r="H195" i="134" s="1"/>
  <c r="Q78" i="36"/>
  <c r="S76" i="36" s="1"/>
  <c r="A156" i="134"/>
  <c r="A48" i="134"/>
  <c r="A109" i="134"/>
  <c r="A133" i="93"/>
  <c r="A89" i="93"/>
  <c r="A38" i="93"/>
  <c r="J97" i="54"/>
  <c r="J100" i="54" s="1"/>
  <c r="K100" i="54" s="1"/>
  <c r="Y65" i="36"/>
  <c r="AC97" i="13"/>
  <c r="A262" i="93"/>
  <c r="A306" i="93"/>
  <c r="A211" i="93"/>
  <c r="X65" i="36"/>
  <c r="F175" i="134"/>
  <c r="F190" i="134" s="1"/>
  <c r="F194" i="134" s="1"/>
  <c r="V124" i="112"/>
  <c r="T120" i="112"/>
  <c r="V120" i="112" s="1"/>
  <c r="J21" i="112" s="1"/>
  <c r="I332" i="98"/>
  <c r="L47" i="62"/>
  <c r="K53" i="62"/>
  <c r="I53" i="62" s="1"/>
  <c r="H66" i="100"/>
  <c r="H67" i="134"/>
  <c r="A233" i="91"/>
  <c r="A234" i="91" s="1"/>
  <c r="A235" i="91" s="1"/>
  <c r="A236" i="91" s="1"/>
  <c r="A237" i="91" s="1"/>
  <c r="A238" i="91" s="1"/>
  <c r="A239" i="91" s="1"/>
  <c r="A240" i="91" s="1"/>
  <c r="A241" i="91" s="1"/>
  <c r="A242" i="91" s="1"/>
  <c r="A245" i="91" s="1"/>
  <c r="A67" i="91"/>
  <c r="A68" i="91" s="1"/>
  <c r="A69" i="91" s="1"/>
  <c r="A70" i="91" s="1"/>
  <c r="A71" i="91" s="1"/>
  <c r="A72" i="91" s="1"/>
  <c r="A73" i="91" s="1"/>
  <c r="A74" i="91" s="1"/>
  <c r="A75" i="91" s="1"/>
  <c r="A76" i="91" s="1"/>
  <c r="A79" i="91" s="1"/>
  <c r="A36" i="91"/>
  <c r="A127" i="91"/>
  <c r="A86" i="91"/>
  <c r="E327" i="91"/>
  <c r="F129" i="100"/>
  <c r="L129" i="100" s="1"/>
  <c r="F133" i="134"/>
  <c r="F16" i="117"/>
  <c r="H16" i="117" s="1"/>
  <c r="F69" i="100"/>
  <c r="L69" i="100" s="1"/>
  <c r="F70" i="134"/>
  <c r="L70" i="134" s="1"/>
  <c r="F71" i="100"/>
  <c r="L71" i="100" s="1"/>
  <c r="F72" i="134"/>
  <c r="L72" i="134" s="1"/>
  <c r="F70" i="100"/>
  <c r="L70" i="100" s="1"/>
  <c r="F71" i="134"/>
  <c r="L71" i="134" s="1"/>
  <c r="L190" i="134"/>
  <c r="L196" i="134" s="1"/>
  <c r="E64" i="17"/>
  <c r="D136" i="17"/>
  <c r="G61" i="22"/>
  <c r="J61" i="22" s="1"/>
  <c r="G60" i="22"/>
  <c r="J60" i="22" s="1"/>
  <c r="F136" i="17"/>
  <c r="G147" i="91"/>
  <c r="I147" i="91" s="1"/>
  <c r="J30" i="54"/>
  <c r="J33" i="54" s="1"/>
  <c r="K33" i="54" s="1"/>
  <c r="K28" i="54"/>
  <c r="K30" i="54" s="1"/>
  <c r="AG281" i="121"/>
  <c r="AG260" i="121"/>
  <c r="E46" i="92"/>
  <c r="G46" i="92" s="1"/>
  <c r="C35" i="117"/>
  <c r="AP266" i="121"/>
  <c r="AU266" i="121" s="1"/>
  <c r="M15" i="117"/>
  <c r="E45" i="92"/>
  <c r="C34" i="117"/>
  <c r="M34" i="117" s="1"/>
  <c r="E23" i="92"/>
  <c r="I59" i="61"/>
  <c r="E26" i="55"/>
  <c r="G51" i="21"/>
  <c r="J51" i="21" s="1"/>
  <c r="P33" i="64"/>
  <c r="P23" i="64"/>
  <c r="I62" i="63" s="1"/>
  <c r="P39" i="64"/>
  <c r="Y126" i="12"/>
  <c r="O29" i="12" s="1"/>
  <c r="I26" i="12"/>
  <c r="W100" i="13"/>
  <c r="G52" i="21"/>
  <c r="J52" i="21" s="1"/>
  <c r="I25" i="63" s="1"/>
  <c r="G305" i="21"/>
  <c r="J305" i="21" s="1"/>
  <c r="G74" i="46" s="1"/>
  <c r="I74" i="46" s="1"/>
  <c r="G56" i="21"/>
  <c r="J56" i="21" s="1"/>
  <c r="I27" i="63" s="1"/>
  <c r="G271" i="21"/>
  <c r="J271" i="21" s="1"/>
  <c r="G55" i="21"/>
  <c r="J55" i="21" s="1"/>
  <c r="G50" i="21"/>
  <c r="J50" i="21" s="1"/>
  <c r="K182" i="5"/>
  <c r="G278" i="21"/>
  <c r="J278" i="21" s="1"/>
  <c r="G277" i="21"/>
  <c r="J277" i="21" s="1"/>
  <c r="AM130" i="20"/>
  <c r="M45" i="36"/>
  <c r="I55" i="66"/>
  <c r="I45" i="66"/>
  <c r="I46" i="66" s="1"/>
  <c r="T55" i="20"/>
  <c r="G186" i="110"/>
  <c r="H11" i="110"/>
  <c r="G143" i="110"/>
  <c r="G114" i="110"/>
  <c r="G67" i="110"/>
  <c r="E287" i="91"/>
  <c r="K287" i="91" s="1"/>
  <c r="I32" i="11"/>
  <c r="T53" i="20"/>
  <c r="G17" i="76"/>
  <c r="K17" i="76"/>
  <c r="H174" i="100"/>
  <c r="K381" i="98"/>
  <c r="E329" i="98"/>
  <c r="C21" i="110" s="1"/>
  <c r="K299" i="93"/>
  <c r="K343" i="93" s="1"/>
  <c r="E184" i="98"/>
  <c r="E188" i="98" s="1"/>
  <c r="E132" i="98"/>
  <c r="D21" i="110" s="1"/>
  <c r="E87" i="98"/>
  <c r="D20" i="110" s="1"/>
  <c r="Q49" i="20"/>
  <c r="G278" i="22"/>
  <c r="J278" i="22" s="1"/>
  <c r="G277" i="22"/>
  <c r="J277" i="22" s="1"/>
  <c r="E269" i="21"/>
  <c r="G269" i="22"/>
  <c r="E269" i="22"/>
  <c r="G276" i="22"/>
  <c r="C85" i="110"/>
  <c r="W54" i="62"/>
  <c r="U54" i="62"/>
  <c r="C83" i="110"/>
  <c r="J24" i="109"/>
  <c r="J28" i="109" s="1"/>
  <c r="E193" i="5"/>
  <c r="CN374" i="13"/>
  <c r="CN376" i="13" s="1"/>
  <c r="CS374" i="13"/>
  <c r="CS376" i="13" s="1"/>
  <c r="U123" i="12" s="1"/>
  <c r="CM374" i="13"/>
  <c r="DC409" i="13"/>
  <c r="U80" i="12" s="1"/>
  <c r="DC407" i="13"/>
  <c r="DC405" i="13"/>
  <c r="O76" i="13"/>
  <c r="O78" i="13" s="1"/>
  <c r="DC423" i="13"/>
  <c r="DC421" i="13"/>
  <c r="DC419" i="13"/>
  <c r="DC417" i="13"/>
  <c r="DC415" i="13"/>
  <c r="DC413" i="13"/>
  <c r="Z100" i="13"/>
  <c r="CG324" i="13"/>
  <c r="CG326" i="13" s="1"/>
  <c r="CZ425" i="13"/>
  <c r="CZ427" i="13" s="1"/>
  <c r="DC412" i="13"/>
  <c r="DA425" i="13"/>
  <c r="DA427" i="13" s="1"/>
  <c r="CP374" i="13"/>
  <c r="CP376" i="13" s="1"/>
  <c r="U121" i="12" s="1"/>
  <c r="DB425" i="13"/>
  <c r="DB427" i="13" s="1"/>
  <c r="DC408" i="13"/>
  <c r="DC406" i="13"/>
  <c r="CQ374" i="13"/>
  <c r="CQ376" i="13" s="1"/>
  <c r="U122" i="12" s="1"/>
  <c r="DC422" i="13"/>
  <c r="DC420" i="13"/>
  <c r="DC418" i="13"/>
  <c r="DC416" i="13"/>
  <c r="DC414" i="13"/>
  <c r="E130" i="17"/>
  <c r="L45" i="62"/>
  <c r="I45" i="62"/>
  <c r="L41" i="62"/>
  <c r="I41" i="62"/>
  <c r="G196" i="22"/>
  <c r="W33" i="62"/>
  <c r="Y64" i="62"/>
  <c r="S33" i="62"/>
  <c r="T64" i="62"/>
  <c r="O33" i="62"/>
  <c r="U33" i="62"/>
  <c r="V64" i="62"/>
  <c r="Q33" i="62"/>
  <c r="I32" i="62"/>
  <c r="E95" i="110"/>
  <c r="H136" i="17"/>
  <c r="I130" i="17"/>
  <c r="S136" i="17"/>
  <c r="G130" i="17"/>
  <c r="I64" i="17"/>
  <c r="G64" i="17"/>
  <c r="K200" i="5"/>
  <c r="E191" i="5"/>
  <c r="W170" i="121"/>
  <c r="AO265" i="121" s="1"/>
  <c r="W171" i="121"/>
  <c r="W281" i="24"/>
  <c r="AM272" i="121"/>
  <c r="AM284" i="121" s="1"/>
  <c r="Q129" i="121"/>
  <c r="I324" i="91"/>
  <c r="F174" i="100"/>
  <c r="AM89" i="20"/>
  <c r="AM86" i="20"/>
  <c r="AI134" i="20"/>
  <c r="AI92" i="20"/>
  <c r="AE134" i="20"/>
  <c r="AE92" i="20"/>
  <c r="AA134" i="20"/>
  <c r="AM85" i="20"/>
  <c r="G185" i="21"/>
  <c r="AL92" i="20"/>
  <c r="AJ134" i="20"/>
  <c r="AH92" i="20"/>
  <c r="AD92" i="20"/>
  <c r="AB134" i="20"/>
  <c r="G216" i="21"/>
  <c r="J216" i="21" s="1"/>
  <c r="G193" i="21"/>
  <c r="G178" i="21"/>
  <c r="J178" i="21" s="1"/>
  <c r="G150" i="21"/>
  <c r="J150" i="21" s="1"/>
  <c r="G147" i="21"/>
  <c r="J147" i="21" s="1"/>
  <c r="G142" i="21"/>
  <c r="J142" i="21" s="1"/>
  <c r="G140" i="21"/>
  <c r="J140" i="21" s="1"/>
  <c r="G138" i="21"/>
  <c r="J138" i="21" s="1"/>
  <c r="G136" i="21"/>
  <c r="G103" i="21"/>
  <c r="J103" i="21" s="1"/>
  <c r="G100" i="21"/>
  <c r="J100" i="21" s="1"/>
  <c r="G89" i="21"/>
  <c r="J89" i="21" s="1"/>
  <c r="G87" i="21"/>
  <c r="J87" i="21" s="1"/>
  <c r="G85" i="21"/>
  <c r="J85" i="21" s="1"/>
  <c r="H200" i="5"/>
  <c r="I200" i="5"/>
  <c r="E184" i="5"/>
  <c r="AK126" i="20"/>
  <c r="AI126" i="20"/>
  <c r="AG126" i="20"/>
  <c r="AE126" i="20"/>
  <c r="AC126" i="20"/>
  <c r="AK105" i="20"/>
  <c r="AK137" i="20" s="1"/>
  <c r="AG105" i="20"/>
  <c r="AG137" i="20" s="1"/>
  <c r="AC105" i="20"/>
  <c r="AC137" i="20" s="1"/>
  <c r="AK113" i="20"/>
  <c r="AG113" i="20"/>
  <c r="AC113" i="20"/>
  <c r="AL126" i="20"/>
  <c r="AJ126" i="20"/>
  <c r="AH126" i="20"/>
  <c r="AF126" i="20"/>
  <c r="AD126" i="20"/>
  <c r="AB126" i="20"/>
  <c r="AL105" i="20"/>
  <c r="AL137" i="20" s="1"/>
  <c r="AH105" i="20"/>
  <c r="AH137" i="20" s="1"/>
  <c r="AD105" i="20"/>
  <c r="AD137" i="20" s="1"/>
  <c r="Q200" i="5"/>
  <c r="M200" i="5"/>
  <c r="AJ113" i="20"/>
  <c r="AF113" i="20"/>
  <c r="AB113" i="20"/>
  <c r="E203" i="5"/>
  <c r="E194" i="5"/>
  <c r="E201" i="5"/>
  <c r="P200" i="5"/>
  <c r="I31" i="68"/>
  <c r="AD80" i="115"/>
  <c r="I19" i="68"/>
  <c r="I145" i="91"/>
  <c r="E120" i="91"/>
  <c r="C23" i="90"/>
  <c r="K91" i="121"/>
  <c r="C71" i="90"/>
  <c r="AM103" i="20"/>
  <c r="AM102" i="20"/>
  <c r="AM101" i="20"/>
  <c r="N31" i="53"/>
  <c r="J152" i="22"/>
  <c r="G152" i="22"/>
  <c r="AK134" i="20"/>
  <c r="AK92" i="20"/>
  <c r="AG134" i="20"/>
  <c r="AG92" i="20"/>
  <c r="AC134" i="20"/>
  <c r="AC92" i="20"/>
  <c r="AL134" i="20"/>
  <c r="AJ92" i="20"/>
  <c r="AH134" i="20"/>
  <c r="AF92" i="20"/>
  <c r="AD134" i="20"/>
  <c r="AB92" i="20"/>
  <c r="G151" i="21"/>
  <c r="J151" i="21" s="1"/>
  <c r="G149" i="21"/>
  <c r="J149" i="21" s="1"/>
  <c r="G148" i="21"/>
  <c r="J148" i="21" s="1"/>
  <c r="G141" i="21"/>
  <c r="J141" i="21" s="1"/>
  <c r="G139" i="21"/>
  <c r="J139" i="21" s="1"/>
  <c r="G137" i="21"/>
  <c r="J137" i="21" s="1"/>
  <c r="G108" i="21"/>
  <c r="G93" i="21"/>
  <c r="J93" i="21" s="1"/>
  <c r="G88" i="21"/>
  <c r="J88" i="21" s="1"/>
  <c r="G86" i="21"/>
  <c r="J86" i="21" s="1"/>
  <c r="I67" i="66"/>
  <c r="AC209" i="121"/>
  <c r="E187" i="5"/>
  <c r="I61" i="66"/>
  <c r="I62" i="66" s="1"/>
  <c r="I39" i="66"/>
  <c r="E381" i="98"/>
  <c r="G29" i="91"/>
  <c r="E198" i="5"/>
  <c r="E196" i="5"/>
  <c r="E192" i="5"/>
  <c r="J200" i="5"/>
  <c r="F200" i="5"/>
  <c r="E199" i="5"/>
  <c r="G200" i="5"/>
  <c r="AM125" i="20"/>
  <c r="AM100" i="20"/>
  <c r="AM90" i="20"/>
  <c r="AM98" i="20"/>
  <c r="AI105" i="20"/>
  <c r="AI137" i="20" s="1"/>
  <c r="AE105" i="20"/>
  <c r="AE137" i="20" s="1"/>
  <c r="AI113" i="20"/>
  <c r="AE113" i="20"/>
  <c r="AJ105" i="20"/>
  <c r="AJ137" i="20" s="1"/>
  <c r="AF105" i="20"/>
  <c r="AF137" i="20" s="1"/>
  <c r="AB105" i="20"/>
  <c r="AB137" i="20" s="1"/>
  <c r="O200" i="5"/>
  <c r="AL113" i="20"/>
  <c r="AH113" i="20"/>
  <c r="AD113" i="20"/>
  <c r="N200" i="5"/>
  <c r="L200" i="5"/>
  <c r="I28" i="63" l="1"/>
  <c r="I22" i="63"/>
  <c r="AK128" i="20"/>
  <c r="AK132" i="20" s="1"/>
  <c r="AK136" i="20" s="1"/>
  <c r="AB128" i="20"/>
  <c r="AJ128" i="20"/>
  <c r="AG128" i="20"/>
  <c r="AI128" i="20"/>
  <c r="AL128" i="20"/>
  <c r="AF128" i="20"/>
  <c r="AF132" i="20" s="1"/>
  <c r="AC128" i="20"/>
  <c r="AD128" i="20"/>
  <c r="AE128" i="20"/>
  <c r="AH128" i="20"/>
  <c r="I33" i="62"/>
  <c r="I62" i="61"/>
  <c r="B62" i="61"/>
  <c r="I108" i="91"/>
  <c r="H110" i="91"/>
  <c r="I110" i="91" s="1"/>
  <c r="I114" i="46"/>
  <c r="AU270" i="121"/>
  <c r="C28" i="117" s="1"/>
  <c r="M28" i="117" s="1"/>
  <c r="U313" i="24"/>
  <c r="U321" i="24" s="1"/>
  <c r="U323" i="24" s="1"/>
  <c r="F36" i="117"/>
  <c r="M36" i="117"/>
  <c r="P23" i="14"/>
  <c r="CW385" i="40"/>
  <c r="CX385" i="40" s="1"/>
  <c r="CA306" i="40" s="1"/>
  <c r="K24" i="12"/>
  <c r="Y121" i="12"/>
  <c r="O24" i="12" s="1"/>
  <c r="M11" i="144"/>
  <c r="Y236" i="24"/>
  <c r="U373" i="24"/>
  <c r="J36" i="19"/>
  <c r="H193" i="100"/>
  <c r="H198" i="100" s="1"/>
  <c r="F124" i="100"/>
  <c r="E69" i="19"/>
  <c r="F69" i="19" s="1"/>
  <c r="L193" i="100"/>
  <c r="L199" i="100" s="1"/>
  <c r="X47" i="145" s="1"/>
  <c r="I327" i="91"/>
  <c r="I101" i="46"/>
  <c r="G102" i="46"/>
  <c r="I120" i="46"/>
  <c r="G121" i="46"/>
  <c r="AM208" i="20"/>
  <c r="J276" i="21"/>
  <c r="J283" i="21" s="1"/>
  <c r="E46" i="19" s="1"/>
  <c r="P58" i="35" s="1"/>
  <c r="G283" i="21"/>
  <c r="J276" i="22"/>
  <c r="I389" i="98"/>
  <c r="AM287" i="121"/>
  <c r="AS287" i="121"/>
  <c r="K15" i="117"/>
  <c r="F14" i="117"/>
  <c r="AR287" i="121"/>
  <c r="AU281" i="121"/>
  <c r="L18" i="118" s="1"/>
  <c r="M18" i="118" s="1"/>
  <c r="AG284" i="121"/>
  <c r="AG287" i="121" s="1"/>
  <c r="E48" i="92"/>
  <c r="G48" i="92" s="1"/>
  <c r="H113" i="91" s="1"/>
  <c r="I113" i="91" s="1"/>
  <c r="E160" i="91"/>
  <c r="K160" i="91" s="1"/>
  <c r="K120" i="91"/>
  <c r="BO280" i="40"/>
  <c r="BQ280" i="40" s="1"/>
  <c r="J136" i="21"/>
  <c r="J143" i="21" s="1"/>
  <c r="G143" i="21"/>
  <c r="J136" i="22"/>
  <c r="J143" i="22" s="1"/>
  <c r="J153" i="22" s="1"/>
  <c r="G143" i="22"/>
  <c r="G153" i="22" s="1"/>
  <c r="J108" i="22"/>
  <c r="J109" i="22" s="1"/>
  <c r="J114" i="22" s="1"/>
  <c r="H33" i="19" s="1"/>
  <c r="G109" i="22"/>
  <c r="G114" i="22" s="1"/>
  <c r="J108" i="21"/>
  <c r="J109" i="21" s="1"/>
  <c r="J114" i="21" s="1"/>
  <c r="E33" i="19" s="1"/>
  <c r="G109" i="21"/>
  <c r="G114" i="21" s="1"/>
  <c r="D22" i="110"/>
  <c r="D24" i="110" s="1"/>
  <c r="D47" i="110" s="1"/>
  <c r="C22" i="110"/>
  <c r="C24" i="110" s="1"/>
  <c r="AC279" i="24"/>
  <c r="I64" i="61"/>
  <c r="B66" i="61" s="1"/>
  <c r="E385" i="98"/>
  <c r="C39" i="110"/>
  <c r="C41" i="110" s="1"/>
  <c r="AE316" i="24"/>
  <c r="AE319" i="24" s="1"/>
  <c r="AE321" i="24" s="1"/>
  <c r="AE323" i="24" s="1"/>
  <c r="G68" i="63"/>
  <c r="I73" i="63"/>
  <c r="G22" i="63"/>
  <c r="N31" i="19"/>
  <c r="G22" i="138"/>
  <c r="G28" i="63"/>
  <c r="G73" i="63" s="1"/>
  <c r="Z65" i="36"/>
  <c r="G67" i="63"/>
  <c r="CM376" i="13"/>
  <c r="U120" i="12" s="1"/>
  <c r="Y120" i="12" s="1"/>
  <c r="U74" i="12"/>
  <c r="C75" i="90"/>
  <c r="E75" i="90" s="1"/>
  <c r="G75" i="90" s="1"/>
  <c r="K327" i="91"/>
  <c r="J19" i="21"/>
  <c r="I19" i="63" s="1"/>
  <c r="G29" i="21"/>
  <c r="J47" i="21"/>
  <c r="H18" i="20" s="1"/>
  <c r="G62" i="21"/>
  <c r="AF91" i="115"/>
  <c r="J26" i="123"/>
  <c r="AA388" i="24"/>
  <c r="AA389" i="24" s="1"/>
  <c r="AE386" i="24"/>
  <c r="U366" i="24"/>
  <c r="U376" i="24" s="1"/>
  <c r="G71" i="63"/>
  <c r="AL210" i="20"/>
  <c r="AI210" i="20"/>
  <c r="CM338" i="40"/>
  <c r="BD258" i="40" s="1"/>
  <c r="BF258" i="40" s="1"/>
  <c r="BF260" i="40" s="1"/>
  <c r="AX169" i="40" s="1"/>
  <c r="R56" i="40" s="1"/>
  <c r="AD210" i="20"/>
  <c r="AA210" i="20"/>
  <c r="AC210" i="20"/>
  <c r="AG210" i="20"/>
  <c r="AK210" i="20"/>
  <c r="G72" i="63"/>
  <c r="AH210" i="20"/>
  <c r="AE210" i="20"/>
  <c r="AB210" i="20"/>
  <c r="AA113" i="20"/>
  <c r="AA92" i="20"/>
  <c r="AA105" i="20"/>
  <c r="AA137" i="20" s="1"/>
  <c r="J22" i="20"/>
  <c r="J49" i="21"/>
  <c r="J244" i="21"/>
  <c r="E39" i="19" s="1"/>
  <c r="J29" i="138" s="1"/>
  <c r="J269" i="21"/>
  <c r="J272" i="21" s="1"/>
  <c r="J320" i="21"/>
  <c r="J269" i="22"/>
  <c r="J47" i="22"/>
  <c r="R52" i="20" s="1"/>
  <c r="T52" i="20" s="1"/>
  <c r="J87" i="22"/>
  <c r="J90" i="22" s="1"/>
  <c r="G29" i="22"/>
  <c r="R53" i="28"/>
  <c r="G90" i="22"/>
  <c r="G94" i="22"/>
  <c r="J94" i="22"/>
  <c r="P59" i="20"/>
  <c r="T59" i="20" s="1"/>
  <c r="L208" i="5"/>
  <c r="O208" i="5"/>
  <c r="I208" i="5"/>
  <c r="N208" i="5"/>
  <c r="G208" i="5"/>
  <c r="M208" i="5"/>
  <c r="H208" i="5"/>
  <c r="Q208" i="5"/>
  <c r="J208" i="5"/>
  <c r="P208" i="5"/>
  <c r="F208" i="5"/>
  <c r="AG197" i="46" s="1"/>
  <c r="AG243" i="46" s="1"/>
  <c r="AM124" i="20"/>
  <c r="I69" i="63"/>
  <c r="AM99" i="20"/>
  <c r="AM91" i="20"/>
  <c r="F25" i="20" s="1"/>
  <c r="J25" i="20" s="1"/>
  <c r="AA126" i="20"/>
  <c r="K18" i="68"/>
  <c r="M18" i="68" s="1"/>
  <c r="P136" i="17"/>
  <c r="M19" i="68"/>
  <c r="G69" i="63"/>
  <c r="I71" i="63"/>
  <c r="AF84" i="115"/>
  <c r="I17" i="68"/>
  <c r="M17" i="68" s="1"/>
  <c r="I157" i="91"/>
  <c r="I160" i="91" s="1"/>
  <c r="Y70" i="12"/>
  <c r="M23" i="12" s="1"/>
  <c r="AP272" i="121"/>
  <c r="AP284" i="121" s="1"/>
  <c r="AP287" i="121" s="1"/>
  <c r="L53" i="62"/>
  <c r="G157" i="91"/>
  <c r="G160" i="91" s="1"/>
  <c r="D83" i="110"/>
  <c r="I23" i="12"/>
  <c r="E332" i="98"/>
  <c r="AC100" i="13"/>
  <c r="Y84" i="12" s="1"/>
  <c r="M37" i="12" s="1"/>
  <c r="I25" i="12"/>
  <c r="Y72" i="12"/>
  <c r="K54" i="62"/>
  <c r="K64" i="62" s="1"/>
  <c r="D85" i="110" s="1"/>
  <c r="E330" i="91"/>
  <c r="K330" i="91" s="1"/>
  <c r="B29" i="61"/>
  <c r="I31" i="61"/>
  <c r="I33" i="61" s="1"/>
  <c r="CF324" i="13"/>
  <c r="CF326" i="13" s="1"/>
  <c r="W105" i="13" s="1"/>
  <c r="Z105" i="13" s="1"/>
  <c r="AC105" i="13" s="1"/>
  <c r="CE324" i="13"/>
  <c r="CE326" i="13" s="1"/>
  <c r="S77" i="36"/>
  <c r="S75" i="36"/>
  <c r="S74" i="36"/>
  <c r="F34" i="117"/>
  <c r="H34" i="117" s="1"/>
  <c r="F37" i="117"/>
  <c r="H37" i="117" s="1"/>
  <c r="F35" i="117"/>
  <c r="H35" i="117" s="1"/>
  <c r="J30" i="112"/>
  <c r="J35" i="112" s="1"/>
  <c r="T144" i="112"/>
  <c r="T147" i="112" s="1"/>
  <c r="H73" i="19"/>
  <c r="K16" i="117"/>
  <c r="M16" i="117" s="1"/>
  <c r="I16" i="117"/>
  <c r="E25" i="99" s="1"/>
  <c r="E73" i="19"/>
  <c r="G62" i="22"/>
  <c r="M13" i="117"/>
  <c r="F13" i="117"/>
  <c r="H13" i="117" s="1"/>
  <c r="I15" i="117"/>
  <c r="E24" i="99" s="1"/>
  <c r="T57" i="20"/>
  <c r="G272" i="21"/>
  <c r="AF134" i="20"/>
  <c r="AU260" i="121"/>
  <c r="C24" i="117"/>
  <c r="E35" i="92"/>
  <c r="G35" i="92" s="1"/>
  <c r="AO268" i="121"/>
  <c r="AU268" i="121" s="1"/>
  <c r="M37" i="117"/>
  <c r="M35" i="117"/>
  <c r="M14" i="117"/>
  <c r="G45" i="92"/>
  <c r="H106" i="91" s="1"/>
  <c r="I106" i="91" s="1"/>
  <c r="C39" i="117"/>
  <c r="G23" i="92"/>
  <c r="E29" i="92"/>
  <c r="C18" i="117"/>
  <c r="L54" i="18"/>
  <c r="P31" i="53"/>
  <c r="F24" i="55"/>
  <c r="F26" i="55" s="1"/>
  <c r="I68" i="63"/>
  <c r="I72" i="63"/>
  <c r="E182" i="5"/>
  <c r="G218" i="21" s="1"/>
  <c r="J218" i="21" s="1"/>
  <c r="K208" i="5"/>
  <c r="J20" i="20"/>
  <c r="H143" i="110"/>
  <c r="H114" i="110"/>
  <c r="H67" i="110"/>
  <c r="H186" i="110"/>
  <c r="I11" i="110"/>
  <c r="D70" i="110"/>
  <c r="C169" i="110" s="1"/>
  <c r="G20" i="76"/>
  <c r="D98" i="110"/>
  <c r="K30" i="76"/>
  <c r="E135" i="98"/>
  <c r="E192" i="98" s="1"/>
  <c r="T58" i="20"/>
  <c r="C90" i="110"/>
  <c r="C93" i="110" s="1"/>
  <c r="C150" i="110" s="1"/>
  <c r="C152" i="110" s="1"/>
  <c r="Y301" i="24"/>
  <c r="Y311" i="24" s="1"/>
  <c r="I33" i="12"/>
  <c r="Y80" i="12"/>
  <c r="M33" i="12" s="1"/>
  <c r="Y123" i="12"/>
  <c r="O26" i="12" s="1"/>
  <c r="K26" i="12"/>
  <c r="W106" i="13"/>
  <c r="Z106" i="13" s="1"/>
  <c r="DC425" i="13"/>
  <c r="DC427" i="13" s="1"/>
  <c r="U130" i="12" s="1"/>
  <c r="G85" i="110"/>
  <c r="Q64" i="62"/>
  <c r="G90" i="110"/>
  <c r="G150" i="110" s="1"/>
  <c r="I85" i="110"/>
  <c r="U64" i="62"/>
  <c r="I90" i="110"/>
  <c r="I150" i="110" s="1"/>
  <c r="F90" i="110"/>
  <c r="F150" i="110" s="1"/>
  <c r="O64" i="62"/>
  <c r="F85" i="110"/>
  <c r="H90" i="110"/>
  <c r="H150" i="110" s="1"/>
  <c r="S64" i="62"/>
  <c r="H85" i="110"/>
  <c r="J90" i="110"/>
  <c r="J150" i="110" s="1"/>
  <c r="W64" i="62"/>
  <c r="J85" i="110"/>
  <c r="C168" i="110"/>
  <c r="C86" i="110"/>
  <c r="E25" i="19"/>
  <c r="G94" i="21"/>
  <c r="J94" i="21"/>
  <c r="AK272" i="121"/>
  <c r="AK284" i="121" s="1"/>
  <c r="AK287" i="121" s="1"/>
  <c r="AU264" i="121"/>
  <c r="I32" i="68"/>
  <c r="M32" i="68" s="1"/>
  <c r="AF80" i="115"/>
  <c r="AE216" i="24"/>
  <c r="W301" i="24"/>
  <c r="W311" i="24" s="1"/>
  <c r="U233" i="24"/>
  <c r="G120" i="91"/>
  <c r="G287" i="91"/>
  <c r="G330" i="91" s="1"/>
  <c r="E200" i="5"/>
  <c r="J152" i="21"/>
  <c r="G152" i="21"/>
  <c r="E71" i="90"/>
  <c r="E23" i="90"/>
  <c r="G90" i="21"/>
  <c r="J31" i="53"/>
  <c r="W173" i="121"/>
  <c r="G196" i="21"/>
  <c r="AU269" i="121"/>
  <c r="E39" i="92" l="1"/>
  <c r="G39" i="92" s="1"/>
  <c r="H62" i="91" s="1"/>
  <c r="I62" i="91" s="1"/>
  <c r="AB132" i="20"/>
  <c r="AB136" i="20" s="1"/>
  <c r="AI132" i="20"/>
  <c r="AI136" i="20" s="1"/>
  <c r="AJ132" i="20"/>
  <c r="AJ136" i="20" s="1"/>
  <c r="AE132" i="20"/>
  <c r="AE136" i="20" s="1"/>
  <c r="AL132" i="20"/>
  <c r="AL136" i="20" s="1"/>
  <c r="AD132" i="20"/>
  <c r="AD136" i="20" s="1"/>
  <c r="AH132" i="20"/>
  <c r="AH136" i="20" s="1"/>
  <c r="AC132" i="20"/>
  <c r="AC136" i="20" s="1"/>
  <c r="AG132" i="20"/>
  <c r="AG136" i="20" s="1"/>
  <c r="AF136" i="20"/>
  <c r="AM92" i="20"/>
  <c r="AA128" i="20"/>
  <c r="AA132" i="20" s="1"/>
  <c r="AM113" i="20"/>
  <c r="X53" i="145"/>
  <c r="AG248" i="46"/>
  <c r="AG252" i="46" s="1"/>
  <c r="AG256" i="46"/>
  <c r="K36" i="117"/>
  <c r="E101" i="92" s="1"/>
  <c r="G101" i="92" s="1"/>
  <c r="H278" i="91" s="1"/>
  <c r="I278" i="91" s="1"/>
  <c r="F132" i="100" s="1"/>
  <c r="L132" i="100" s="1"/>
  <c r="H36" i="117"/>
  <c r="I36" i="117" s="1"/>
  <c r="BD260" i="40"/>
  <c r="CB306" i="40"/>
  <c r="CA308" i="40"/>
  <c r="CB308" i="40" s="1"/>
  <c r="CA307" i="40"/>
  <c r="CB307" i="40" s="1"/>
  <c r="CA310" i="40"/>
  <c r="CB310" i="40" s="1"/>
  <c r="CA309" i="40"/>
  <c r="CB309" i="40" s="1"/>
  <c r="CA311" i="40"/>
  <c r="CB311" i="40" s="1"/>
  <c r="Y246" i="24"/>
  <c r="Y248" i="24" s="1"/>
  <c r="AE324" i="24"/>
  <c r="L31" i="46"/>
  <c r="L33" i="46" s="1"/>
  <c r="AJ197" i="46"/>
  <c r="AJ243" i="46" s="1"/>
  <c r="AH197" i="46"/>
  <c r="AH243" i="46" s="1"/>
  <c r="U378" i="24"/>
  <c r="I66" i="61"/>
  <c r="I68" i="61" s="1"/>
  <c r="I70" i="61" s="1"/>
  <c r="Z103" i="13"/>
  <c r="AC103" i="13" s="1"/>
  <c r="W104" i="13"/>
  <c r="Z104" i="13" s="1"/>
  <c r="AC104" i="13" s="1"/>
  <c r="F193" i="100"/>
  <c r="F197" i="100" s="1"/>
  <c r="E163" i="91"/>
  <c r="K163" i="91" s="1"/>
  <c r="U214" i="24"/>
  <c r="AQ412" i="24" s="1"/>
  <c r="E18" i="144"/>
  <c r="E22" i="144" s="1"/>
  <c r="F33" i="19"/>
  <c r="O34" i="24" s="1"/>
  <c r="G23" i="138"/>
  <c r="R53" i="107"/>
  <c r="N33" i="19"/>
  <c r="J23" i="138"/>
  <c r="P53" i="107"/>
  <c r="M123" i="46"/>
  <c r="I123" i="46"/>
  <c r="J28" i="108" s="1"/>
  <c r="I188" i="24" s="1"/>
  <c r="E58" i="24" s="1"/>
  <c r="AN451" i="24" s="1"/>
  <c r="AK451" i="24" s="1"/>
  <c r="AC291" i="24"/>
  <c r="H18" i="144" s="1"/>
  <c r="H22" i="144" s="1"/>
  <c r="L16" i="118"/>
  <c r="M16" i="118" s="1"/>
  <c r="L19" i="118"/>
  <c r="M19" i="118" s="1"/>
  <c r="L22" i="118"/>
  <c r="M22" i="118" s="1"/>
  <c r="L10" i="118"/>
  <c r="M10" i="118" s="1"/>
  <c r="K14" i="117"/>
  <c r="H14" i="117"/>
  <c r="I14" i="117" s="1"/>
  <c r="E23" i="99" s="1"/>
  <c r="E79" i="92"/>
  <c r="G79" i="92" s="1"/>
  <c r="H190" i="91" s="1"/>
  <c r="I190" i="91" s="1"/>
  <c r="F27" i="100" s="1"/>
  <c r="L27" i="100" s="1"/>
  <c r="L15" i="118"/>
  <c r="M15" i="118" s="1"/>
  <c r="L14" i="118"/>
  <c r="M14" i="118" s="1"/>
  <c r="L11" i="118"/>
  <c r="M11" i="118" s="1"/>
  <c r="L12" i="118"/>
  <c r="M12" i="118" s="1"/>
  <c r="L17" i="118"/>
  <c r="M17" i="118" s="1"/>
  <c r="L20" i="118"/>
  <c r="M20" i="118" s="1"/>
  <c r="E50" i="92"/>
  <c r="L21" i="118"/>
  <c r="M21" i="118" s="1"/>
  <c r="L13" i="118"/>
  <c r="M13" i="118" s="1"/>
  <c r="C29" i="90"/>
  <c r="E29" i="90" s="1"/>
  <c r="G29" i="90" s="1"/>
  <c r="C86" i="90"/>
  <c r="BO279" i="40" s="1"/>
  <c r="BQ279" i="40" s="1"/>
  <c r="BQ281" i="40" s="1"/>
  <c r="E389" i="98"/>
  <c r="U86" i="12"/>
  <c r="F152" i="110"/>
  <c r="F155" i="110"/>
  <c r="H152" i="110"/>
  <c r="H155" i="110"/>
  <c r="I152" i="110"/>
  <c r="I155" i="110"/>
  <c r="G152" i="110"/>
  <c r="G155" i="110"/>
  <c r="J152" i="110"/>
  <c r="J155" i="110"/>
  <c r="C47" i="110"/>
  <c r="J29" i="21"/>
  <c r="I67" i="63"/>
  <c r="H29" i="138"/>
  <c r="K29" i="138"/>
  <c r="I27" i="12"/>
  <c r="J62" i="22"/>
  <c r="G29" i="63"/>
  <c r="E57" i="19"/>
  <c r="AE388" i="24"/>
  <c r="AE389" i="24" s="1"/>
  <c r="AF210" i="20"/>
  <c r="AM105" i="20"/>
  <c r="F39" i="19"/>
  <c r="O105" i="24" s="1"/>
  <c r="P53" i="84"/>
  <c r="T53" i="84" s="1"/>
  <c r="J23" i="84" s="1"/>
  <c r="J29" i="84" s="1"/>
  <c r="H57" i="19"/>
  <c r="H25" i="19"/>
  <c r="F25" i="19" s="1"/>
  <c r="J29" i="22"/>
  <c r="K31" i="68"/>
  <c r="M31" i="68" s="1"/>
  <c r="C98" i="110"/>
  <c r="V118" i="112"/>
  <c r="V122" i="112" s="1"/>
  <c r="J95" i="22"/>
  <c r="G95" i="22"/>
  <c r="T49" i="20"/>
  <c r="AA145" i="20"/>
  <c r="AM126" i="20"/>
  <c r="AM145" i="20"/>
  <c r="G64" i="22"/>
  <c r="G23" i="63"/>
  <c r="I30" i="68"/>
  <c r="I34" i="68" s="1"/>
  <c r="D90" i="110"/>
  <c r="AD84" i="115"/>
  <c r="I21" i="68"/>
  <c r="G163" i="91"/>
  <c r="L64" i="62"/>
  <c r="U241" i="24"/>
  <c r="B33" i="61"/>
  <c r="I64" i="62"/>
  <c r="I54" i="62"/>
  <c r="K23" i="12"/>
  <c r="U124" i="12"/>
  <c r="L54" i="62"/>
  <c r="M25" i="12"/>
  <c r="M27" i="12" s="1"/>
  <c r="Y74" i="12"/>
  <c r="Y86" i="12" s="1"/>
  <c r="F73" i="19"/>
  <c r="S78" i="36"/>
  <c r="AC106" i="13"/>
  <c r="F28" i="117"/>
  <c r="H28" i="117" s="1"/>
  <c r="K35" i="117"/>
  <c r="K37" i="117"/>
  <c r="K34" i="117"/>
  <c r="N16" i="117"/>
  <c r="P16" i="117" s="1"/>
  <c r="E78" i="99" s="1"/>
  <c r="T150" i="112"/>
  <c r="J96" i="112" s="1"/>
  <c r="J102" i="112" s="1"/>
  <c r="AC317" i="24" s="1"/>
  <c r="J64" i="112"/>
  <c r="J70" i="112" s="1"/>
  <c r="AC312" i="24" s="1"/>
  <c r="M18" i="117"/>
  <c r="K13" i="117"/>
  <c r="M24" i="117"/>
  <c r="F24" i="117"/>
  <c r="H24" i="117" s="1"/>
  <c r="I34" i="117"/>
  <c r="E43" i="99" s="1"/>
  <c r="I37" i="117"/>
  <c r="E46" i="99" s="1"/>
  <c r="N15" i="117"/>
  <c r="I13" i="117"/>
  <c r="I35" i="117"/>
  <c r="E44" i="99" s="1"/>
  <c r="G286" i="21"/>
  <c r="AM134" i="20"/>
  <c r="AO272" i="121"/>
  <c r="AO284" i="121" s="1"/>
  <c r="AO287" i="121" s="1"/>
  <c r="C26" i="117"/>
  <c r="E37" i="92"/>
  <c r="G37" i="92" s="1"/>
  <c r="H60" i="91" s="1"/>
  <c r="I60" i="91" s="1"/>
  <c r="E33" i="92"/>
  <c r="G33" i="92" s="1"/>
  <c r="H54" i="91" s="1"/>
  <c r="C22" i="117"/>
  <c r="F39" i="117"/>
  <c r="G50" i="92"/>
  <c r="H117" i="91"/>
  <c r="E38" i="92"/>
  <c r="C27" i="117"/>
  <c r="H56" i="91"/>
  <c r="F18" i="117"/>
  <c r="H23" i="91"/>
  <c r="G29" i="92"/>
  <c r="H24" i="55"/>
  <c r="J24" i="55" s="1"/>
  <c r="J26" i="55" s="1"/>
  <c r="I29" i="63"/>
  <c r="I37" i="12"/>
  <c r="E208" i="5"/>
  <c r="AK197" i="46" s="1"/>
  <c r="AK243" i="46" s="1"/>
  <c r="J62" i="21"/>
  <c r="G64" i="21"/>
  <c r="AE230" i="24"/>
  <c r="I13" i="144" s="1"/>
  <c r="I22" i="144" s="1"/>
  <c r="I186" i="110"/>
  <c r="J11" i="110"/>
  <c r="I143" i="110"/>
  <c r="I114" i="110"/>
  <c r="I67" i="110"/>
  <c r="I17" i="76"/>
  <c r="I18" i="76"/>
  <c r="J23" i="125"/>
  <c r="J90" i="21"/>
  <c r="J95" i="21" s="1"/>
  <c r="E26" i="19" s="1"/>
  <c r="P53" i="27" s="1"/>
  <c r="Y313" i="24"/>
  <c r="G95" i="21"/>
  <c r="K33" i="12"/>
  <c r="Y130" i="12"/>
  <c r="O33" i="12" s="1"/>
  <c r="Y122" i="12"/>
  <c r="O25" i="12" s="1"/>
  <c r="K25" i="12"/>
  <c r="O23" i="12"/>
  <c r="J169" i="110"/>
  <c r="J86" i="110"/>
  <c r="J168" i="110"/>
  <c r="F169" i="110"/>
  <c r="F86" i="110"/>
  <c r="F168" i="110"/>
  <c r="G168" i="110"/>
  <c r="G169" i="110"/>
  <c r="G86" i="110"/>
  <c r="H169" i="110"/>
  <c r="H86" i="110"/>
  <c r="H168" i="110"/>
  <c r="I168" i="110"/>
  <c r="I169" i="110"/>
  <c r="I86" i="110"/>
  <c r="C96" i="110"/>
  <c r="C95" i="110"/>
  <c r="D169" i="110"/>
  <c r="D168" i="110"/>
  <c r="D86" i="110"/>
  <c r="AQ431" i="24"/>
  <c r="J37" i="19"/>
  <c r="P56" i="26"/>
  <c r="AU265" i="121"/>
  <c r="J153" i="21"/>
  <c r="E34" i="19" s="1"/>
  <c r="J286" i="21"/>
  <c r="E45" i="19"/>
  <c r="H34" i="19"/>
  <c r="G24" i="138" s="1"/>
  <c r="J18" i="20"/>
  <c r="M21" i="68"/>
  <c r="L31" i="53"/>
  <c r="E86" i="90"/>
  <c r="I29" i="127"/>
  <c r="G29" i="127"/>
  <c r="G153" i="21"/>
  <c r="G30" i="63" l="1"/>
  <c r="AM132" i="20"/>
  <c r="AM128" i="20"/>
  <c r="F15" i="20"/>
  <c r="J15" i="20" s="1"/>
  <c r="AA136" i="20"/>
  <c r="G13" i="20"/>
  <c r="G29" i="20" s="1"/>
  <c r="E18" i="19" s="1"/>
  <c r="D93" i="110"/>
  <c r="D150" i="110" s="1"/>
  <c r="D152" i="110" s="1"/>
  <c r="N57" i="19"/>
  <c r="AK248" i="46"/>
  <c r="AK256" i="46"/>
  <c r="AJ248" i="46"/>
  <c r="AJ252" i="46" s="1"/>
  <c r="AJ254" i="46" s="1"/>
  <c r="AJ257" i="46" s="1"/>
  <c r="AJ259" i="46" s="1"/>
  <c r="AJ261" i="46" s="1"/>
  <c r="AJ256" i="46"/>
  <c r="AH248" i="46"/>
  <c r="AH252" i="46" s="1"/>
  <c r="AH254" i="46" s="1"/>
  <c r="AH257" i="46" s="1"/>
  <c r="AH259" i="46" s="1"/>
  <c r="AH261" i="46" s="1"/>
  <c r="AH256" i="46"/>
  <c r="AG254" i="46"/>
  <c r="AM137" i="20"/>
  <c r="E45" i="99"/>
  <c r="G45" i="99" s="1"/>
  <c r="J125" i="98" s="1"/>
  <c r="K125" i="98" s="1"/>
  <c r="N36" i="117"/>
  <c r="P36" i="117" s="1"/>
  <c r="E98" i="99" s="1"/>
  <c r="G98" i="99" s="1"/>
  <c r="J322" i="98" s="1"/>
  <c r="K322" i="98" s="1"/>
  <c r="H132" i="100" s="1"/>
  <c r="CB313" i="40"/>
  <c r="AX170" i="40" s="1"/>
  <c r="R55" i="40" s="1"/>
  <c r="AE222" i="24" s="1"/>
  <c r="AE223" i="24" s="1"/>
  <c r="AE236" i="24" s="1"/>
  <c r="Y251" i="24"/>
  <c r="Y254" i="24" s="1"/>
  <c r="Y256" i="24" s="1"/>
  <c r="Y258" i="24" s="1"/>
  <c r="Y259" i="24" s="1"/>
  <c r="M31" i="46"/>
  <c r="M33" i="46" s="1"/>
  <c r="B70" i="61"/>
  <c r="J18" i="19"/>
  <c r="U381" i="24"/>
  <c r="U384" i="24" s="1"/>
  <c r="U386" i="24" s="1"/>
  <c r="U388" i="24" s="1"/>
  <c r="U389" i="24" s="1"/>
  <c r="W108" i="13"/>
  <c r="K37" i="12" s="1"/>
  <c r="I54" i="91"/>
  <c r="BO281" i="40"/>
  <c r="F27" i="134"/>
  <c r="L27" i="134" s="1"/>
  <c r="C40" i="90"/>
  <c r="T53" i="107"/>
  <c r="J23" i="107" s="1"/>
  <c r="J29" i="107" s="1"/>
  <c r="O41" i="24"/>
  <c r="O51" i="24" s="1"/>
  <c r="E34" i="24"/>
  <c r="AN427" i="24" s="1"/>
  <c r="AK427" i="24" s="1"/>
  <c r="P33" i="19" s="1"/>
  <c r="Q123" i="46"/>
  <c r="E78" i="92"/>
  <c r="G78" i="92" s="1"/>
  <c r="H189" i="91" s="1"/>
  <c r="I189" i="91" s="1"/>
  <c r="F26" i="100" s="1"/>
  <c r="L26" i="100" s="1"/>
  <c r="M23" i="118"/>
  <c r="M25" i="118" s="1"/>
  <c r="L23" i="118"/>
  <c r="L25" i="118" s="1"/>
  <c r="P15" i="117"/>
  <c r="E77" i="99" s="1"/>
  <c r="E40" i="90"/>
  <c r="I23" i="63"/>
  <c r="I30" i="63" s="1"/>
  <c r="E68" i="19"/>
  <c r="J37" i="138"/>
  <c r="P53" i="29"/>
  <c r="J24" i="138"/>
  <c r="H68" i="19"/>
  <c r="G37" i="138"/>
  <c r="J64" i="22"/>
  <c r="F57" i="19"/>
  <c r="F68" i="19" s="1"/>
  <c r="Q47" i="20"/>
  <c r="Q63" i="20" s="1"/>
  <c r="J20" i="112"/>
  <c r="AC278" i="24" s="1"/>
  <c r="E40" i="24"/>
  <c r="AN433" i="24" s="1"/>
  <c r="O106" i="24"/>
  <c r="N68" i="19"/>
  <c r="J57" i="19"/>
  <c r="N25" i="19"/>
  <c r="R56" i="26"/>
  <c r="T56" i="26" s="1"/>
  <c r="M30" i="68"/>
  <c r="M34" i="68" s="1"/>
  <c r="I23" i="127" s="1"/>
  <c r="T122" i="112"/>
  <c r="K27" i="12"/>
  <c r="J45" i="19"/>
  <c r="AQ439" i="24"/>
  <c r="O27" i="12"/>
  <c r="E99" i="92"/>
  <c r="G99" i="92" s="1"/>
  <c r="H272" i="91" s="1"/>
  <c r="I272" i="91" s="1"/>
  <c r="E100" i="92"/>
  <c r="G100" i="92" s="1"/>
  <c r="I39" i="12"/>
  <c r="M39" i="12"/>
  <c r="G73" i="14"/>
  <c r="L73" i="14" s="1"/>
  <c r="N73" i="14" s="1"/>
  <c r="P73" i="14" s="1"/>
  <c r="K28" i="117"/>
  <c r="M26" i="117"/>
  <c r="F26" i="117"/>
  <c r="G24" i="99"/>
  <c r="J24" i="98" s="1"/>
  <c r="K24" i="98" s="1"/>
  <c r="E102" i="92"/>
  <c r="G102" i="92" s="1"/>
  <c r="H279" i="91" s="1"/>
  <c r="I279" i="91" s="1"/>
  <c r="F133" i="100" s="1"/>
  <c r="L133" i="100" s="1"/>
  <c r="AC293" i="24"/>
  <c r="AC301" i="24" s="1"/>
  <c r="U226" i="24"/>
  <c r="M27" i="117"/>
  <c r="F27" i="117"/>
  <c r="H27" i="117" s="1"/>
  <c r="K24" i="117"/>
  <c r="F22" i="117"/>
  <c r="K22" i="117" s="1"/>
  <c r="I24" i="117"/>
  <c r="E33" i="99" s="1"/>
  <c r="N35" i="117"/>
  <c r="N14" i="117"/>
  <c r="N13" i="117"/>
  <c r="N37" i="117"/>
  <c r="N34" i="117"/>
  <c r="I28" i="117"/>
  <c r="E37" i="99" s="1"/>
  <c r="K18" i="117"/>
  <c r="E83" i="92" s="1"/>
  <c r="E77" i="92"/>
  <c r="M22" i="117"/>
  <c r="AU272" i="121"/>
  <c r="AU284" i="121" s="1"/>
  <c r="AU287" i="121" s="1"/>
  <c r="C23" i="117"/>
  <c r="E34" i="92"/>
  <c r="G34" i="92" s="1"/>
  <c r="H55" i="91" s="1"/>
  <c r="I55" i="91" s="1"/>
  <c r="F27" i="90"/>
  <c r="G27" i="90" s="1"/>
  <c r="I105" i="91"/>
  <c r="I117" i="91" s="1"/>
  <c r="M39" i="117"/>
  <c r="K39" i="117"/>
  <c r="H39" i="117"/>
  <c r="G38" i="92"/>
  <c r="I56" i="91"/>
  <c r="H18" i="117"/>
  <c r="I23" i="91"/>
  <c r="I29" i="91" s="1"/>
  <c r="H29" i="91"/>
  <c r="F52" i="55"/>
  <c r="E54" i="55"/>
  <c r="H26" i="55"/>
  <c r="J64" i="21"/>
  <c r="U230" i="24"/>
  <c r="Y124" i="12"/>
  <c r="J143" i="110"/>
  <c r="J114" i="110"/>
  <c r="J67" i="110"/>
  <c r="J186" i="110"/>
  <c r="K11" i="110"/>
  <c r="I30" i="76"/>
  <c r="M30" i="76" s="1"/>
  <c r="M17" i="76"/>
  <c r="I16" i="76"/>
  <c r="M18" i="76"/>
  <c r="I31" i="76"/>
  <c r="M31" i="76" s="1"/>
  <c r="Y346" i="24"/>
  <c r="U215" i="24"/>
  <c r="Y316" i="24"/>
  <c r="Y319" i="24" s="1"/>
  <c r="Y321" i="24" s="1"/>
  <c r="Y323" i="24" s="1"/>
  <c r="AC108" i="13"/>
  <c r="Z108" i="13"/>
  <c r="I96" i="110"/>
  <c r="I95" i="110"/>
  <c r="H95" i="110"/>
  <c r="H96" i="110"/>
  <c r="G96" i="110"/>
  <c r="G95" i="110"/>
  <c r="F95" i="110"/>
  <c r="F96" i="110"/>
  <c r="J95" i="110"/>
  <c r="J96" i="110"/>
  <c r="D96" i="110"/>
  <c r="D95" i="110"/>
  <c r="R53" i="29"/>
  <c r="F34" i="19"/>
  <c r="E27" i="19"/>
  <c r="J20" i="138" s="1"/>
  <c r="P56" i="35"/>
  <c r="P60" i="35" s="1"/>
  <c r="E47" i="19"/>
  <c r="J33" i="138" s="1"/>
  <c r="I26" i="24"/>
  <c r="K24" i="138" l="1"/>
  <c r="F126" i="100"/>
  <c r="L126" i="100" s="1"/>
  <c r="F130" i="134"/>
  <c r="I274" i="91"/>
  <c r="H276" i="91"/>
  <c r="I276" i="91" s="1"/>
  <c r="F130" i="100" s="1"/>
  <c r="L130" i="100" s="1"/>
  <c r="P53" i="25"/>
  <c r="AK252" i="46"/>
  <c r="AG257" i="46"/>
  <c r="AG259" i="46" s="1"/>
  <c r="AK254" i="46"/>
  <c r="G13" i="144"/>
  <c r="G22" i="144" s="1"/>
  <c r="U222" i="24"/>
  <c r="J26" i="19" s="1"/>
  <c r="R57" i="40"/>
  <c r="R63" i="40" s="1"/>
  <c r="AX171" i="40"/>
  <c r="Q31" i="46"/>
  <c r="Q33" i="46" s="1"/>
  <c r="O116" i="24"/>
  <c r="O118" i="24" s="1"/>
  <c r="F26" i="134"/>
  <c r="O53" i="24"/>
  <c r="E80" i="92"/>
  <c r="G80" i="92" s="1"/>
  <c r="H191" i="91" s="1"/>
  <c r="I191" i="91" s="1"/>
  <c r="F28" i="100" s="1"/>
  <c r="L28" i="100" s="1"/>
  <c r="G77" i="99"/>
  <c r="J222" i="98" s="1"/>
  <c r="K222" i="98" s="1"/>
  <c r="H27" i="100" s="1"/>
  <c r="P34" i="117"/>
  <c r="E96" i="99" s="1"/>
  <c r="P37" i="117"/>
  <c r="E99" i="99" s="1"/>
  <c r="P14" i="117"/>
  <c r="E76" i="99" s="1"/>
  <c r="P13" i="117"/>
  <c r="P35" i="117"/>
  <c r="E97" i="99" s="1"/>
  <c r="K33" i="138"/>
  <c r="H37" i="138"/>
  <c r="K37" i="138"/>
  <c r="T53" i="29"/>
  <c r="J23" i="29" s="1"/>
  <c r="J29" i="29" s="1"/>
  <c r="D18" i="144"/>
  <c r="D22" i="144" s="1"/>
  <c r="P57" i="19"/>
  <c r="J68" i="19"/>
  <c r="R53" i="25"/>
  <c r="H18" i="19"/>
  <c r="N18" i="19" s="1"/>
  <c r="J22" i="112"/>
  <c r="J27" i="112" s="1"/>
  <c r="F132" i="134"/>
  <c r="L132" i="134" s="1"/>
  <c r="E104" i="92"/>
  <c r="F128" i="100"/>
  <c r="L128" i="100" s="1"/>
  <c r="E41" i="92"/>
  <c r="E52" i="92" s="1"/>
  <c r="F23" i="117"/>
  <c r="K26" i="117"/>
  <c r="H26" i="117"/>
  <c r="E93" i="92"/>
  <c r="G93" i="92" s="1"/>
  <c r="H228" i="91" s="1"/>
  <c r="I228" i="91" s="1"/>
  <c r="G46" i="99"/>
  <c r="J126" i="98" s="1"/>
  <c r="K126" i="98" s="1"/>
  <c r="G23" i="99"/>
  <c r="J23" i="98" s="1"/>
  <c r="K23" i="98" s="1"/>
  <c r="G44" i="99"/>
  <c r="F134" i="134"/>
  <c r="L134" i="134" s="1"/>
  <c r="E89" i="92"/>
  <c r="G89" i="92" s="1"/>
  <c r="H222" i="91" s="1"/>
  <c r="I222" i="91" s="1"/>
  <c r="F68" i="100" s="1"/>
  <c r="L68" i="100" s="1"/>
  <c r="U228" i="24"/>
  <c r="AQ424" i="24"/>
  <c r="K27" i="117"/>
  <c r="I27" i="117"/>
  <c r="E36" i="99" s="1"/>
  <c r="N24" i="117"/>
  <c r="N28" i="117"/>
  <c r="H22" i="117"/>
  <c r="I22" i="117" s="1"/>
  <c r="H12" i="118"/>
  <c r="I12" i="118" s="1"/>
  <c r="R12" i="118" s="1"/>
  <c r="H14" i="118"/>
  <c r="I14" i="118" s="1"/>
  <c r="R14" i="118" s="1"/>
  <c r="H16" i="118"/>
  <c r="I16" i="118" s="1"/>
  <c r="R16" i="118" s="1"/>
  <c r="H18" i="118"/>
  <c r="I18" i="118" s="1"/>
  <c r="R18" i="118" s="1"/>
  <c r="H20" i="118"/>
  <c r="I20" i="118" s="1"/>
  <c r="R20" i="118" s="1"/>
  <c r="H22" i="118"/>
  <c r="I22" i="118" s="1"/>
  <c r="R22" i="118" s="1"/>
  <c r="H11" i="118"/>
  <c r="I11" i="118" s="1"/>
  <c r="R11" i="118" s="1"/>
  <c r="H13" i="118"/>
  <c r="I13" i="118" s="1"/>
  <c r="R13" i="118" s="1"/>
  <c r="H15" i="118"/>
  <c r="I15" i="118" s="1"/>
  <c r="R15" i="118" s="1"/>
  <c r="H17" i="118"/>
  <c r="I17" i="118" s="1"/>
  <c r="R17" i="118" s="1"/>
  <c r="H19" i="118"/>
  <c r="I19" i="118" s="1"/>
  <c r="R19" i="118" s="1"/>
  <c r="H21" i="118"/>
  <c r="I21" i="118" s="1"/>
  <c r="R21" i="118" s="1"/>
  <c r="H10" i="118"/>
  <c r="I26" i="38"/>
  <c r="G104" i="92"/>
  <c r="G77" i="92"/>
  <c r="M23" i="117"/>
  <c r="C30" i="117"/>
  <c r="C42" i="117" s="1"/>
  <c r="I39" i="117"/>
  <c r="N39" i="117"/>
  <c r="H61" i="91"/>
  <c r="H79" i="91" s="1"/>
  <c r="G41" i="92"/>
  <c r="G52" i="92" s="1"/>
  <c r="F23" i="90"/>
  <c r="I18" i="117"/>
  <c r="N18" i="117"/>
  <c r="F54" i="55"/>
  <c r="H52" i="55"/>
  <c r="AQ428" i="24"/>
  <c r="J34" i="19"/>
  <c r="N34" i="19" s="1"/>
  <c r="K186" i="110"/>
  <c r="L11" i="110"/>
  <c r="K143" i="110"/>
  <c r="K114" i="110"/>
  <c r="K67" i="110"/>
  <c r="I20" i="76"/>
  <c r="I29" i="76"/>
  <c r="M16" i="76"/>
  <c r="Y378" i="24"/>
  <c r="AQ413" i="24"/>
  <c r="J19" i="19"/>
  <c r="Y324" i="24"/>
  <c r="Y134" i="12"/>
  <c r="K39" i="12"/>
  <c r="U136" i="12"/>
  <c r="J22" i="26"/>
  <c r="I28" i="24"/>
  <c r="E26" i="24"/>
  <c r="E100" i="24"/>
  <c r="T53" i="25" l="1"/>
  <c r="J24" i="25" s="1"/>
  <c r="M38" i="5"/>
  <c r="I38" i="5"/>
  <c r="N38" i="5"/>
  <c r="J38" i="5"/>
  <c r="F38" i="5"/>
  <c r="P38" i="5"/>
  <c r="L38" i="5"/>
  <c r="H38" i="5"/>
  <c r="O38" i="5"/>
  <c r="K38" i="5"/>
  <c r="G38" i="5"/>
  <c r="H284" i="91"/>
  <c r="L22" i="120"/>
  <c r="M22" i="120" s="1"/>
  <c r="D22" i="120"/>
  <c r="D21" i="120" s="1"/>
  <c r="D20" i="120" s="1"/>
  <c r="D19" i="120" s="1"/>
  <c r="D18" i="120" s="1"/>
  <c r="D17" i="120" s="1"/>
  <c r="D16" i="120" s="1"/>
  <c r="D15" i="120" s="1"/>
  <c r="D14" i="120" s="1"/>
  <c r="D13" i="120" s="1"/>
  <c r="D12" i="120" s="1"/>
  <c r="D11" i="120" s="1"/>
  <c r="D10" i="120" s="1"/>
  <c r="Y170" i="46"/>
  <c r="AK250" i="46"/>
  <c r="Y168" i="46" s="1"/>
  <c r="G68" i="46" s="1"/>
  <c r="K121" i="98"/>
  <c r="J123" i="98"/>
  <c r="K123" i="98" s="1"/>
  <c r="AK259" i="46"/>
  <c r="AG261" i="46"/>
  <c r="AK261" i="46" s="1"/>
  <c r="Y179" i="46" s="1"/>
  <c r="G113" i="46" s="1"/>
  <c r="Y172" i="46"/>
  <c r="Y175" i="46" s="1"/>
  <c r="AK257" i="46"/>
  <c r="AQ420" i="24"/>
  <c r="AQ421" i="24" s="1"/>
  <c r="U223" i="24"/>
  <c r="O121" i="24"/>
  <c r="O124" i="24" s="1"/>
  <c r="O126" i="24" s="1"/>
  <c r="O128" i="24" s="1"/>
  <c r="O129" i="24" s="1"/>
  <c r="F28" i="134"/>
  <c r="L28" i="134" s="1"/>
  <c r="O56" i="24"/>
  <c r="O59" i="24" s="1"/>
  <c r="O61" i="24" s="1"/>
  <c r="O63" i="24" s="1"/>
  <c r="H27" i="134"/>
  <c r="G99" i="99"/>
  <c r="G97" i="99"/>
  <c r="G76" i="99"/>
  <c r="J221" i="98" s="1"/>
  <c r="K221" i="98" s="1"/>
  <c r="H26" i="134" s="1"/>
  <c r="N22" i="117"/>
  <c r="P22" i="117" s="1"/>
  <c r="P24" i="117"/>
  <c r="E86" i="99" s="1"/>
  <c r="P39" i="117"/>
  <c r="P18" i="117"/>
  <c r="P28" i="117"/>
  <c r="E90" i="99" s="1"/>
  <c r="AA235" i="24"/>
  <c r="N12" i="144" s="1"/>
  <c r="N22" i="144" s="1"/>
  <c r="AC281" i="24"/>
  <c r="S54" i="36"/>
  <c r="F18" i="19"/>
  <c r="G19" i="24" s="1"/>
  <c r="E19" i="24" s="1"/>
  <c r="AN412" i="24" s="1"/>
  <c r="AK412" i="24" s="1"/>
  <c r="P18" i="19" s="1"/>
  <c r="J27" i="19"/>
  <c r="E92" i="92"/>
  <c r="G92" i="92" s="1"/>
  <c r="H227" i="91" s="1"/>
  <c r="I227" i="91" s="1"/>
  <c r="F73" i="100" s="1"/>
  <c r="L73" i="100" s="1"/>
  <c r="G37" i="99"/>
  <c r="J69" i="98" s="1"/>
  <c r="K69" i="98" s="1"/>
  <c r="G33" i="99"/>
  <c r="J63" i="98" s="1"/>
  <c r="K63" i="98" s="1"/>
  <c r="E101" i="99"/>
  <c r="F77" i="134"/>
  <c r="L77" i="134" s="1"/>
  <c r="F74" i="100"/>
  <c r="L74" i="100" s="1"/>
  <c r="I26" i="117"/>
  <c r="E35" i="99" s="1"/>
  <c r="E91" i="92"/>
  <c r="G91" i="92" s="1"/>
  <c r="H226" i="91" s="1"/>
  <c r="I226" i="91" s="1"/>
  <c r="K23" i="117"/>
  <c r="F69" i="134"/>
  <c r="L69" i="134" s="1"/>
  <c r="AQ426" i="24"/>
  <c r="J30" i="19"/>
  <c r="G78" i="99"/>
  <c r="E22" i="120"/>
  <c r="N27" i="117"/>
  <c r="G43" i="99"/>
  <c r="J119" i="98" s="1"/>
  <c r="K119" i="98" s="1"/>
  <c r="E48" i="99"/>
  <c r="E87" i="92"/>
  <c r="G87" i="92" s="1"/>
  <c r="H220" i="91" s="1"/>
  <c r="I10" i="118"/>
  <c r="H23" i="118"/>
  <c r="H25" i="118" s="1"/>
  <c r="I25" i="118" s="1"/>
  <c r="R25" i="118" s="1"/>
  <c r="AA216" i="24"/>
  <c r="U213" i="24"/>
  <c r="U216" i="24" s="1"/>
  <c r="G25" i="99"/>
  <c r="E28" i="99"/>
  <c r="Y381" i="24"/>
  <c r="Y384" i="24" s="1"/>
  <c r="Y386" i="24" s="1"/>
  <c r="Y388" i="24" s="1"/>
  <c r="H188" i="91"/>
  <c r="G83" i="92"/>
  <c r="H23" i="117"/>
  <c r="F73" i="90"/>
  <c r="G73" i="90" s="1"/>
  <c r="I271" i="91"/>
  <c r="I284" i="91" s="1"/>
  <c r="F30" i="117"/>
  <c r="F42" i="117" s="1"/>
  <c r="I61" i="91"/>
  <c r="M30" i="117"/>
  <c r="M42" i="117" s="1"/>
  <c r="G23" i="90"/>
  <c r="H54" i="55"/>
  <c r="J52" i="55"/>
  <c r="J54" i="55" s="1"/>
  <c r="L143" i="110"/>
  <c r="L114" i="110"/>
  <c r="L67" i="110"/>
  <c r="L186" i="110"/>
  <c r="M11" i="110"/>
  <c r="M20" i="76"/>
  <c r="M29" i="76"/>
  <c r="M33" i="76" s="1"/>
  <c r="G23" i="127" s="1"/>
  <c r="I33" i="76"/>
  <c r="L22" i="14"/>
  <c r="L26" i="14" s="1"/>
  <c r="G31" i="76"/>
  <c r="G30" i="76"/>
  <c r="G29" i="76"/>
  <c r="O37" i="12"/>
  <c r="Y136" i="12"/>
  <c r="E35" i="24"/>
  <c r="AN428" i="24" s="1"/>
  <c r="AK428" i="24" s="1"/>
  <c r="P34" i="19" s="1"/>
  <c r="E106" i="24"/>
  <c r="E116" i="24" s="1"/>
  <c r="AN419" i="24"/>
  <c r="U324" i="24"/>
  <c r="E21" i="120" l="1"/>
  <c r="L21" i="120"/>
  <c r="L20" i="120" s="1"/>
  <c r="L19" i="120" s="1"/>
  <c r="L18" i="120" s="1"/>
  <c r="L17" i="120" s="1"/>
  <c r="L16" i="120" s="1"/>
  <c r="L15" i="120" s="1"/>
  <c r="L14" i="120" s="1"/>
  <c r="L13" i="120" s="1"/>
  <c r="L12" i="120" s="1"/>
  <c r="L11" i="120" s="1"/>
  <c r="L10" i="120" s="1"/>
  <c r="Q38" i="5"/>
  <c r="K318" i="98"/>
  <c r="H132" i="134" s="1"/>
  <c r="J320" i="98"/>
  <c r="K320" i="98" s="1"/>
  <c r="H130" i="100" s="1"/>
  <c r="G73" i="46"/>
  <c r="J323" i="98"/>
  <c r="K323" i="98" s="1"/>
  <c r="AC311" i="24"/>
  <c r="AC316" i="24" s="1"/>
  <c r="AC319" i="24" s="1"/>
  <c r="G115" i="46"/>
  <c r="G125" i="46" s="1"/>
  <c r="I79" i="91"/>
  <c r="I120" i="91" s="1"/>
  <c r="I163" i="91" s="1"/>
  <c r="O64" i="24"/>
  <c r="H128" i="100"/>
  <c r="G86" i="99"/>
  <c r="J260" i="98" s="1"/>
  <c r="K260" i="98" s="1"/>
  <c r="H69" i="134" s="1"/>
  <c r="H26" i="100"/>
  <c r="G90" i="99"/>
  <c r="J266" i="98" s="1"/>
  <c r="K266" i="98" s="1"/>
  <c r="H77" i="134" s="1"/>
  <c r="P27" i="117"/>
  <c r="E89" i="99" s="1"/>
  <c r="G89" i="99" s="1"/>
  <c r="J265" i="98" s="1"/>
  <c r="K265" i="98" s="1"/>
  <c r="U235" i="24"/>
  <c r="AA236" i="24"/>
  <c r="AA246" i="24" s="1"/>
  <c r="E81" i="99"/>
  <c r="G96" i="99"/>
  <c r="F76" i="134"/>
  <c r="L76" i="134" s="1"/>
  <c r="F129" i="134"/>
  <c r="F140" i="134" s="1"/>
  <c r="G36" i="99"/>
  <c r="J68" i="98" s="1"/>
  <c r="K68" i="98" s="1"/>
  <c r="N26" i="117"/>
  <c r="F72" i="100"/>
  <c r="L72" i="100" s="1"/>
  <c r="F73" i="134"/>
  <c r="L73" i="134" s="1"/>
  <c r="AQ411" i="24"/>
  <c r="AQ414" i="24" s="1"/>
  <c r="J32" i="19"/>
  <c r="I23" i="117"/>
  <c r="M21" i="120"/>
  <c r="G48" i="99"/>
  <c r="R10" i="118"/>
  <c r="R23" i="118" s="1"/>
  <c r="I23" i="118"/>
  <c r="E20" i="120"/>
  <c r="Y389" i="24"/>
  <c r="J17" i="19"/>
  <c r="E47" i="6"/>
  <c r="J25" i="98"/>
  <c r="G28" i="99"/>
  <c r="J223" i="98"/>
  <c r="G81" i="99"/>
  <c r="H30" i="117"/>
  <c r="H42" i="117" s="1"/>
  <c r="K30" i="117"/>
  <c r="K42" i="117" s="1"/>
  <c r="E88" i="92"/>
  <c r="F125" i="100"/>
  <c r="I188" i="91"/>
  <c r="H195" i="91"/>
  <c r="I220" i="91"/>
  <c r="F25" i="90"/>
  <c r="H120" i="91"/>
  <c r="H163" i="91" s="1"/>
  <c r="M186" i="110"/>
  <c r="N11" i="110"/>
  <c r="M143" i="110"/>
  <c r="M114" i="110"/>
  <c r="M67" i="110"/>
  <c r="O39" i="12"/>
  <c r="G33" i="76"/>
  <c r="E118" i="24"/>
  <c r="AK419" i="24"/>
  <c r="G101" i="99" l="1"/>
  <c r="J316" i="98"/>
  <c r="K316" i="98" s="1"/>
  <c r="G110" i="46"/>
  <c r="H133" i="100"/>
  <c r="H134" i="134"/>
  <c r="AA248" i="24"/>
  <c r="AC313" i="24"/>
  <c r="AC321" i="24" s="1"/>
  <c r="H68" i="100"/>
  <c r="H74" i="100"/>
  <c r="I30" i="117"/>
  <c r="I42" i="117" s="1"/>
  <c r="E32" i="99"/>
  <c r="P26" i="117"/>
  <c r="E88" i="99" s="1"/>
  <c r="AQ433" i="24"/>
  <c r="AK433" i="24" s="1"/>
  <c r="J39" i="19"/>
  <c r="N39" i="19" s="1"/>
  <c r="K315" i="98"/>
  <c r="L129" i="134"/>
  <c r="L140" i="134" s="1"/>
  <c r="H73" i="100"/>
  <c r="F67" i="134"/>
  <c r="F25" i="134"/>
  <c r="L25" i="134" s="1"/>
  <c r="L34" i="134" s="1"/>
  <c r="H76" i="134"/>
  <c r="G35" i="99"/>
  <c r="J67" i="98" s="1"/>
  <c r="K67" i="98" s="1"/>
  <c r="J20" i="19"/>
  <c r="K118" i="98"/>
  <c r="K132" i="98" s="1"/>
  <c r="J132" i="98"/>
  <c r="N23" i="117"/>
  <c r="P23" i="117" s="1"/>
  <c r="E85" i="99" s="1"/>
  <c r="M20" i="120"/>
  <c r="E19" i="120"/>
  <c r="K223" i="98"/>
  <c r="J227" i="98"/>
  <c r="J30" i="98"/>
  <c r="K25" i="98"/>
  <c r="K30" i="98" s="1"/>
  <c r="F66" i="100"/>
  <c r="F25" i="100"/>
  <c r="L25" i="100" s="1"/>
  <c r="I195" i="91"/>
  <c r="L139" i="100"/>
  <c r="W47" i="145" s="1"/>
  <c r="W53" i="145" s="1"/>
  <c r="F139" i="100"/>
  <c r="F69" i="90"/>
  <c r="G88" i="92"/>
  <c r="E95" i="92"/>
  <c r="E106" i="92" s="1"/>
  <c r="G25" i="90"/>
  <c r="G40" i="90" s="1"/>
  <c r="G18" i="11" s="1"/>
  <c r="F40" i="90"/>
  <c r="N143" i="110"/>
  <c r="N114" i="110"/>
  <c r="N67" i="110"/>
  <c r="N186" i="110"/>
  <c r="P25" i="19"/>
  <c r="E121" i="24"/>
  <c r="E124" i="24" s="1"/>
  <c r="E126" i="24" s="1"/>
  <c r="E128" i="24" s="1"/>
  <c r="H130" i="134" l="1"/>
  <c r="H126" i="100"/>
  <c r="AA251" i="24"/>
  <c r="AA254" i="24" s="1"/>
  <c r="AA256" i="24" s="1"/>
  <c r="AA258" i="24" s="1"/>
  <c r="AA259" i="24" s="1"/>
  <c r="G88" i="99"/>
  <c r="J264" i="98" s="1"/>
  <c r="K264" i="98" s="1"/>
  <c r="H72" i="100" s="1"/>
  <c r="BO283" i="40"/>
  <c r="BQ283" i="40" s="1"/>
  <c r="P30" i="117"/>
  <c r="P42" i="117" s="1"/>
  <c r="J329" i="98"/>
  <c r="P39" i="19"/>
  <c r="AC323" i="24"/>
  <c r="AC324" i="24" s="1"/>
  <c r="F34" i="134"/>
  <c r="E39" i="99"/>
  <c r="E50" i="99" s="1"/>
  <c r="H28" i="134"/>
  <c r="H34" i="134" s="1"/>
  <c r="N30" i="117"/>
  <c r="H22" i="120" s="1"/>
  <c r="H129" i="134"/>
  <c r="K329" i="98"/>
  <c r="H125" i="100"/>
  <c r="M19" i="120"/>
  <c r="E18" i="120"/>
  <c r="H28" i="100"/>
  <c r="H33" i="100" s="1"/>
  <c r="K227" i="98"/>
  <c r="H221" i="91"/>
  <c r="H245" i="91" s="1"/>
  <c r="G95" i="92"/>
  <c r="G106" i="92" s="1"/>
  <c r="G69" i="90"/>
  <c r="L33" i="100"/>
  <c r="U47" i="145" s="1"/>
  <c r="F33" i="100"/>
  <c r="W373" i="24"/>
  <c r="E129" i="24"/>
  <c r="H139" i="100" l="1"/>
  <c r="U53" i="145"/>
  <c r="H140" i="134"/>
  <c r="N42" i="117"/>
  <c r="H21" i="120"/>
  <c r="H20" i="120" s="1"/>
  <c r="H19" i="120" s="1"/>
  <c r="H18" i="120" s="1"/>
  <c r="H17" i="120" s="1"/>
  <c r="H16" i="120" s="1"/>
  <c r="H15" i="120" s="1"/>
  <c r="H14" i="120" s="1"/>
  <c r="H13" i="120" s="1"/>
  <c r="H12" i="120" s="1"/>
  <c r="H11" i="120" s="1"/>
  <c r="H10" i="120" s="1"/>
  <c r="H73" i="134"/>
  <c r="G32" i="99"/>
  <c r="J62" i="98" s="1"/>
  <c r="M18" i="120"/>
  <c r="E17" i="120"/>
  <c r="I221" i="91"/>
  <c r="I245" i="91" s="1"/>
  <c r="G39" i="99" l="1"/>
  <c r="F68" i="134"/>
  <c r="F96" i="134" s="1"/>
  <c r="F143" i="134" s="1"/>
  <c r="F199" i="134" s="1"/>
  <c r="K62" i="98"/>
  <c r="K87" i="98" s="1"/>
  <c r="K135" i="98" s="1"/>
  <c r="K192" i="98" s="1"/>
  <c r="G20" i="11" s="1"/>
  <c r="J87" i="98"/>
  <c r="J135" i="98" s="1"/>
  <c r="J192" i="98" s="1"/>
  <c r="E92" i="99"/>
  <c r="G85" i="99"/>
  <c r="M17" i="120"/>
  <c r="E16" i="120"/>
  <c r="F67" i="100"/>
  <c r="L67" i="100" s="1"/>
  <c r="I287" i="91"/>
  <c r="I330" i="91" s="1"/>
  <c r="F71" i="90"/>
  <c r="H287" i="91"/>
  <c r="H330" i="91" s="1"/>
  <c r="E103" i="99" l="1"/>
  <c r="BO284" i="40" s="1"/>
  <c r="G50" i="99"/>
  <c r="L68" i="134"/>
  <c r="L96" i="134" s="1"/>
  <c r="L143" i="134" s="1"/>
  <c r="L199" i="134" s="1"/>
  <c r="I22" i="120"/>
  <c r="R22" i="120" s="1"/>
  <c r="M16" i="120"/>
  <c r="G22" i="11"/>
  <c r="J259" i="98"/>
  <c r="J284" i="98" s="1"/>
  <c r="G92" i="99"/>
  <c r="E15" i="120"/>
  <c r="L92" i="100"/>
  <c r="V47" i="145" s="1"/>
  <c r="F92" i="100"/>
  <c r="F142" i="100" s="1"/>
  <c r="F202" i="100" s="1"/>
  <c r="G71" i="90"/>
  <c r="G86" i="90" s="1"/>
  <c r="I18" i="11" s="1"/>
  <c r="F86" i="90"/>
  <c r="V53" i="145" l="1"/>
  <c r="Y53" i="145" s="1"/>
  <c r="Y47" i="145"/>
  <c r="L142" i="100"/>
  <c r="L202" i="100" s="1"/>
  <c r="Q47" i="145" s="1"/>
  <c r="BQ284" i="40"/>
  <c r="BQ285" i="40" s="1"/>
  <c r="BQ289" i="40" s="1"/>
  <c r="BO285" i="40"/>
  <c r="G103" i="99"/>
  <c r="G72" i="14"/>
  <c r="L72" i="14" s="1"/>
  <c r="N72" i="14" s="1"/>
  <c r="J332" i="98"/>
  <c r="J389" i="98" s="1"/>
  <c r="K259" i="98"/>
  <c r="K284" i="98" s="1"/>
  <c r="M15" i="120"/>
  <c r="I21" i="120"/>
  <c r="R21" i="120" s="1"/>
  <c r="E14" i="120"/>
  <c r="L202" i="134" l="1"/>
  <c r="BO289" i="40"/>
  <c r="AD207" i="15" s="1"/>
  <c r="AC378" i="24"/>
  <c r="P72" i="14"/>
  <c r="M14" i="120"/>
  <c r="I20" i="120"/>
  <c r="R20" i="120" s="1"/>
  <c r="H67" i="100"/>
  <c r="H92" i="100" s="1"/>
  <c r="H68" i="134"/>
  <c r="H96" i="134" s="1"/>
  <c r="H143" i="134" s="1"/>
  <c r="H199" i="134" s="1"/>
  <c r="K332" i="98"/>
  <c r="K389" i="98" s="1"/>
  <c r="E13" i="120"/>
  <c r="H142" i="100" l="1"/>
  <c r="H202" i="100" s="1"/>
  <c r="AV192" i="40"/>
  <c r="AD209" i="15"/>
  <c r="AE209" i="15" s="1"/>
  <c r="AD234" i="15"/>
  <c r="AE234" i="15" s="1"/>
  <c r="AD230" i="15"/>
  <c r="AW226" i="40"/>
  <c r="AV193" i="40"/>
  <c r="AW193" i="40" s="1"/>
  <c r="AW234" i="40"/>
  <c r="AD205" i="15"/>
  <c r="AE205" i="15" s="1"/>
  <c r="N22" i="14" s="1"/>
  <c r="N26" i="14" s="1"/>
  <c r="AD232" i="15"/>
  <c r="AU174" i="40"/>
  <c r="AC381" i="24"/>
  <c r="AC384" i="24" s="1"/>
  <c r="AC386" i="24" s="1"/>
  <c r="AC388" i="24" s="1"/>
  <c r="I19" i="120"/>
  <c r="R19" i="120" s="1"/>
  <c r="M13" i="120"/>
  <c r="E12" i="120"/>
  <c r="N31" i="14" l="1"/>
  <c r="P31" i="14" s="1"/>
  <c r="G38" i="11" s="1"/>
  <c r="N80" i="14"/>
  <c r="P80" i="14" s="1"/>
  <c r="I38" i="11" s="1"/>
  <c r="P22" i="14"/>
  <c r="P26" i="14" s="1"/>
  <c r="G34" i="11" s="1"/>
  <c r="AC389" i="24"/>
  <c r="I18" i="120"/>
  <c r="R18" i="120" s="1"/>
  <c r="M12" i="120"/>
  <c r="E11" i="120"/>
  <c r="M11" i="120" l="1"/>
  <c r="I17" i="120"/>
  <c r="R17" i="120" s="1"/>
  <c r="E10" i="120"/>
  <c r="D23" i="120"/>
  <c r="D25" i="120" s="1"/>
  <c r="I16" i="120" l="1"/>
  <c r="R16" i="120" s="1"/>
  <c r="L23" i="120"/>
  <c r="L25" i="120" s="1"/>
  <c r="M10" i="120"/>
  <c r="M23" i="120" s="1"/>
  <c r="M25" i="120" s="1"/>
  <c r="E23" i="120"/>
  <c r="E25" i="120" s="1"/>
  <c r="I15" i="120" l="1"/>
  <c r="R15" i="120" s="1"/>
  <c r="I14" i="120" l="1"/>
  <c r="R14" i="120" s="1"/>
  <c r="G71" i="14"/>
  <c r="G75" i="14" s="1"/>
  <c r="AC230" i="15"/>
  <c r="AE230" i="15" s="1"/>
  <c r="I13" i="120" l="1"/>
  <c r="R13" i="120" s="1"/>
  <c r="N71" i="14"/>
  <c r="N75" i="14" s="1"/>
  <c r="G31" i="68"/>
  <c r="G32" i="68"/>
  <c r="G30" i="68"/>
  <c r="L71" i="14"/>
  <c r="L75" i="14" s="1"/>
  <c r="I12" i="120" l="1"/>
  <c r="R12" i="120" s="1"/>
  <c r="G34" i="68"/>
  <c r="P71" i="14"/>
  <c r="P75" i="14" s="1"/>
  <c r="I11" i="120" l="1"/>
  <c r="R11" i="120" s="1"/>
  <c r="I34" i="11"/>
  <c r="H23" i="120" l="1"/>
  <c r="I10" i="120"/>
  <c r="H25" i="120" l="1"/>
  <c r="I23" i="120"/>
  <c r="I25" i="120" s="1"/>
  <c r="R25" i="120" s="1"/>
  <c r="R10" i="120"/>
  <c r="R23" i="120" l="1"/>
  <c r="E41" i="6" l="1"/>
  <c r="E34" i="6" l="1"/>
  <c r="G271" i="22" s="1"/>
  <c r="E36" i="6"/>
  <c r="J271" i="22" l="1"/>
  <c r="J272" i="22" s="1"/>
  <c r="H45" i="19" s="1"/>
  <c r="G272" i="22"/>
  <c r="F30" i="58"/>
  <c r="H30" i="58" s="1"/>
  <c r="L30" i="58" s="1"/>
  <c r="G282" i="22"/>
  <c r="J282" i="22" l="1"/>
  <c r="J283" i="22" s="1"/>
  <c r="G283" i="22"/>
  <c r="G286" i="22" s="1"/>
  <c r="F45" i="19"/>
  <c r="N45" i="19"/>
  <c r="R56" i="35"/>
  <c r="T56" i="35" s="1"/>
  <c r="J22" i="35" s="1"/>
  <c r="G176" i="24" l="1"/>
  <c r="E46" i="24" s="1"/>
  <c r="AN439" i="24" s="1"/>
  <c r="AK439" i="24" s="1"/>
  <c r="P45" i="19" s="1"/>
  <c r="AT174" i="40"/>
  <c r="AX174" i="40" s="1"/>
  <c r="H46" i="19"/>
  <c r="J286" i="22"/>
  <c r="R58" i="35" l="1"/>
  <c r="F46" i="19"/>
  <c r="H47" i="19"/>
  <c r="G33" i="138" s="1"/>
  <c r="H33" i="138" s="1"/>
  <c r="AX176" i="40"/>
  <c r="AX179" i="40" s="1"/>
  <c r="AD93" i="40"/>
  <c r="AD99" i="40" s="1"/>
  <c r="AE242" i="24" s="1"/>
  <c r="AE243" i="24" s="1"/>
  <c r="P13" i="144" s="1"/>
  <c r="P22" i="144" s="1"/>
  <c r="T58" i="35" l="1"/>
  <c r="R60" i="35"/>
  <c r="U242" i="24"/>
  <c r="W308" i="24"/>
  <c r="G177" i="24"/>
  <c r="F47" i="19"/>
  <c r="J46" i="19" l="1"/>
  <c r="AQ440" i="24"/>
  <c r="U243" i="24"/>
  <c r="E47" i="24"/>
  <c r="G178" i="24"/>
  <c r="G181" i="24" s="1"/>
  <c r="J24" i="35"/>
  <c r="J26" i="35" s="1"/>
  <c r="J32" i="35" s="1"/>
  <c r="T60" i="35"/>
  <c r="W316" i="24"/>
  <c r="W319" i="24" l="1"/>
  <c r="W313" i="24"/>
  <c r="AQ441" i="24"/>
  <c r="G183" i="24"/>
  <c r="N46" i="19"/>
  <c r="J47" i="19"/>
  <c r="AN440" i="24"/>
  <c r="AN441" i="24" s="1"/>
  <c r="E48" i="24"/>
  <c r="G186" i="24" l="1"/>
  <c r="G189" i="24" s="1"/>
  <c r="G191" i="24" s="1"/>
  <c r="N47" i="19"/>
  <c r="AK440" i="24"/>
  <c r="W321" i="24"/>
  <c r="W323" i="24" l="1"/>
  <c r="W324" i="24" s="1"/>
  <c r="G193" i="24"/>
  <c r="G194" i="24" s="1"/>
  <c r="E22" i="18"/>
  <c r="AK441" i="24"/>
  <c r="P46" i="19"/>
  <c r="P47" i="19" s="1"/>
  <c r="E49" i="6"/>
  <c r="J225" i="21"/>
  <c r="J226" i="21"/>
  <c r="J227" i="21"/>
  <c r="J228" i="21"/>
  <c r="J229" i="21"/>
  <c r="J230" i="21"/>
  <c r="J231" i="21"/>
  <c r="J232" i="21"/>
  <c r="J233" i="21"/>
  <c r="H23" i="58"/>
  <c r="L23" i="58" s="1"/>
  <c r="G29" i="14"/>
  <c r="L29" i="14" s="1"/>
  <c r="AC207" i="15"/>
  <c r="AE207" i="15" s="1"/>
  <c r="N29" i="14" l="1"/>
  <c r="P29" i="14" l="1"/>
  <c r="G36" i="11" s="1"/>
  <c r="L78" i="14" l="1"/>
  <c r="AE232" i="15"/>
  <c r="N78" i="14" l="1"/>
  <c r="P78" i="14" s="1"/>
  <c r="P139" i="54" l="1"/>
  <c r="O138" i="54"/>
  <c r="Q139" i="54"/>
  <c r="R139" i="54"/>
  <c r="S139" i="54"/>
  <c r="T139" i="54"/>
  <c r="U139" i="54"/>
  <c r="V139" i="54"/>
  <c r="W139" i="54"/>
  <c r="X139" i="54"/>
  <c r="Y139" i="54"/>
  <c r="Z139" i="54"/>
  <c r="AA139" i="54"/>
  <c r="O139" i="54" l="1"/>
  <c r="K20" i="138"/>
  <c r="H23" i="138"/>
  <c r="K23" i="138"/>
  <c r="H24" i="138"/>
  <c r="O49" i="5" l="1"/>
  <c r="M49" i="5"/>
  <c r="G49" i="5"/>
  <c r="K49" i="5"/>
  <c r="H49" i="5"/>
  <c r="J49" i="5"/>
  <c r="P49" i="5"/>
  <c r="I49" i="5"/>
  <c r="N49" i="5"/>
  <c r="L49" i="5"/>
  <c r="E51" i="19"/>
  <c r="F49" i="5"/>
  <c r="O43" i="5"/>
  <c r="K43" i="5"/>
  <c r="L43" i="5"/>
  <c r="N43" i="5"/>
  <c r="I43" i="5"/>
  <c r="P43" i="5"/>
  <c r="G43" i="5"/>
  <c r="F43" i="5"/>
  <c r="H43" i="5"/>
  <c r="M43" i="5"/>
  <c r="J43" i="5"/>
  <c r="Q49" i="5" l="1"/>
  <c r="E49" i="5" s="1"/>
  <c r="J304" i="21"/>
  <c r="E38" i="5"/>
  <c r="O36" i="5"/>
  <c r="K36" i="5"/>
  <c r="P36" i="5"/>
  <c r="M36" i="5"/>
  <c r="I36" i="5"/>
  <c r="L36" i="5"/>
  <c r="G36" i="5"/>
  <c r="J36" i="5"/>
  <c r="H36" i="5"/>
  <c r="F36" i="5"/>
  <c r="N36" i="5"/>
  <c r="Q43" i="5"/>
  <c r="E43" i="5" s="1"/>
  <c r="E56" i="19"/>
  <c r="J36" i="138" s="1"/>
  <c r="J306" i="21" l="1"/>
  <c r="G75" i="46" s="1"/>
  <c r="G96" i="46" s="1"/>
  <c r="G104" i="46" s="1"/>
  <c r="Y173" i="46"/>
  <c r="G304" i="21"/>
  <c r="G319" i="21"/>
  <c r="J319" i="21" s="1"/>
  <c r="F180" i="5"/>
  <c r="F204" i="5"/>
  <c r="L204" i="5"/>
  <c r="L206" i="5" s="1"/>
  <c r="L180" i="5"/>
  <c r="K204" i="5"/>
  <c r="K206" i="5" s="1"/>
  <c r="K180" i="5"/>
  <c r="N180" i="5"/>
  <c r="N204" i="5"/>
  <c r="N206" i="5" s="1"/>
  <c r="H204" i="5"/>
  <c r="H206" i="5" s="1"/>
  <c r="H180" i="5"/>
  <c r="I204" i="5"/>
  <c r="I206" i="5" s="1"/>
  <c r="I180" i="5"/>
  <c r="O204" i="5"/>
  <c r="O206" i="5" s="1"/>
  <c r="O180" i="5"/>
  <c r="K36" i="138"/>
  <c r="J314" i="21"/>
  <c r="J317" i="21" s="1"/>
  <c r="J204" i="5"/>
  <c r="J206" i="5" s="1"/>
  <c r="J180" i="5"/>
  <c r="M180" i="5"/>
  <c r="M204" i="5"/>
  <c r="M206" i="5" s="1"/>
  <c r="G308" i="21"/>
  <c r="J308" i="21" s="1"/>
  <c r="J310" i="21" s="1"/>
  <c r="Q36" i="5"/>
  <c r="E36" i="5" s="1"/>
  <c r="H26" i="20" s="1" a="1"/>
  <c r="H26" i="20" s="1"/>
  <c r="G180" i="5"/>
  <c r="G204" i="5"/>
  <c r="G206" i="5" s="1"/>
  <c r="P204" i="5"/>
  <c r="P206" i="5" s="1"/>
  <c r="P180" i="5"/>
  <c r="J26" i="20" l="1"/>
  <c r="J27" i="20" s="1"/>
  <c r="H27" i="20"/>
  <c r="E50" i="19"/>
  <c r="E55" i="19"/>
  <c r="Q204" i="5"/>
  <c r="Q206" i="5" s="1"/>
  <c r="Q180" i="5"/>
  <c r="J322" i="21"/>
  <c r="F206" i="5"/>
  <c r="E180" i="5"/>
  <c r="J32" i="138" a="1"/>
  <c r="J32" i="138" s="1"/>
  <c r="G177" i="21" a="1"/>
  <c r="G177" i="21" s="1"/>
  <c r="J177" i="21" s="1"/>
  <c r="G248" i="21" a="1"/>
  <c r="G248" i="21" s="1"/>
  <c r="J248" i="21" s="1"/>
  <c r="G224" i="21" a="1"/>
  <c r="G224" i="21" s="1"/>
  <c r="J224" i="21" s="1"/>
  <c r="J20" i="53" a="1"/>
  <c r="J20" i="53" s="1"/>
  <c r="L20" i="53" s="1"/>
  <c r="G176" i="21" a="1"/>
  <c r="G176" i="21" s="1"/>
  <c r="J176" i="21" s="1"/>
  <c r="G314" i="21"/>
  <c r="G317" i="21" s="1"/>
  <c r="G322" i="21" s="1"/>
  <c r="J25" i="53" a="1"/>
  <c r="J25" i="53" s="1"/>
  <c r="L25" i="53" s="1"/>
  <c r="G186" i="21" a="1"/>
  <c r="G186" i="21" s="1"/>
  <c r="J31" i="138" a="1"/>
  <c r="J31" i="138" s="1"/>
  <c r="G221" i="21" a="1"/>
  <c r="G221" i="21" s="1"/>
  <c r="J221" i="21" s="1"/>
  <c r="G234" i="21" a="1"/>
  <c r="G234" i="21" s="1"/>
  <c r="J234" i="21" s="1"/>
  <c r="G220" i="21" a="1"/>
  <c r="G220" i="21" s="1"/>
  <c r="J220" i="21" s="1"/>
  <c r="G184" i="21" a="1"/>
  <c r="G184" i="21" s="1"/>
  <c r="G217" i="21" a="1"/>
  <c r="G217" i="21" s="1"/>
  <c r="J21" i="138" a="1"/>
  <c r="J21" i="138" s="1"/>
  <c r="G222" i="21" a="1"/>
  <c r="G222" i="21" s="1"/>
  <c r="J222" i="21" s="1"/>
  <c r="G219" i="21" a="1"/>
  <c r="G219" i="21" s="1"/>
  <c r="J219" i="21" s="1"/>
  <c r="O104" i="55" s="1"/>
  <c r="G247" i="21" a="1"/>
  <c r="G247" i="21" s="1"/>
  <c r="J24" i="53" a="1"/>
  <c r="J24" i="53" s="1"/>
  <c r="L24" i="53" s="1"/>
  <c r="F22" i="58" a="1"/>
  <c r="F22" i="58" s="1"/>
  <c r="G223" i="21" a="1"/>
  <c r="G223" i="21" s="1"/>
  <c r="J223" i="21" s="1"/>
  <c r="G175" i="21" a="1"/>
  <c r="G175" i="21" s="1"/>
  <c r="J175" i="21" s="1"/>
  <c r="J26" i="53" a="1"/>
  <c r="J26" i="53" s="1"/>
  <c r="L26" i="53" s="1"/>
  <c r="G99" i="21" a="1"/>
  <c r="G99" i="21" s="1"/>
  <c r="G174" i="21" a="1"/>
  <c r="G174" i="21" s="1"/>
  <c r="J174" i="21" s="1"/>
  <c r="J19" i="53" a="1"/>
  <c r="J19" i="53" s="1"/>
  <c r="L19" i="53" s="1"/>
  <c r="G173" i="21" a="1"/>
  <c r="G173" i="21" s="1"/>
  <c r="G102" i="21" a="1"/>
  <c r="G102" i="21" s="1"/>
  <c r="J102" i="21" s="1"/>
  <c r="E31" i="19" s="1"/>
  <c r="J18" i="53" a="1"/>
  <c r="J18" i="53" s="1"/>
  <c r="L18" i="53" s="1"/>
  <c r="G306" i="21"/>
  <c r="G310" i="21" s="1"/>
  <c r="E204" i="5" l="1"/>
  <c r="G187" i="21"/>
  <c r="J22" i="138"/>
  <c r="P53" i="28"/>
  <c r="T53" i="28" s="1"/>
  <c r="J23" i="28" s="1"/>
  <c r="J29" i="28" s="1"/>
  <c r="F31" i="19"/>
  <c r="K31" i="138"/>
  <c r="J173" i="21"/>
  <c r="J179" i="21" s="1"/>
  <c r="E35" i="19" s="1"/>
  <c r="G179" i="21"/>
  <c r="G104" i="21"/>
  <c r="J99" i="21"/>
  <c r="F24" i="58"/>
  <c r="H22" i="58"/>
  <c r="J186" i="21"/>
  <c r="K32" i="138"/>
  <c r="J34" i="138"/>
  <c r="E58" i="19"/>
  <c r="J185" i="21"/>
  <c r="J195" i="21"/>
  <c r="J27" i="53"/>
  <c r="K21" i="138"/>
  <c r="J194" i="21"/>
  <c r="J35" i="138"/>
  <c r="E52" i="19"/>
  <c r="J21" i="53"/>
  <c r="G249" i="21"/>
  <c r="J247" i="21"/>
  <c r="J249" i="21" s="1"/>
  <c r="E42" i="19" s="1"/>
  <c r="P53" i="34" s="1"/>
  <c r="G235" i="21"/>
  <c r="G239" i="21" s="1"/>
  <c r="J217" i="21"/>
  <c r="J235" i="21" s="1"/>
  <c r="J239" i="21" s="1"/>
  <c r="E38" i="19" s="1"/>
  <c r="H29" i="20" l="1"/>
  <c r="P55" i="25" s="1"/>
  <c r="E206" i="5"/>
  <c r="J13" i="20"/>
  <c r="F13" i="20" s="1"/>
  <c r="F29" i="20" s="1"/>
  <c r="E67" i="19"/>
  <c r="E71" i="19" s="1"/>
  <c r="G240" i="21"/>
  <c r="G323" i="21" s="1"/>
  <c r="G324" i="21" s="1"/>
  <c r="P53" i="33"/>
  <c r="J28" i="138"/>
  <c r="J184" i="21"/>
  <c r="J187" i="21" s="1"/>
  <c r="E36" i="19" s="1"/>
  <c r="L21" i="53"/>
  <c r="K34" i="138"/>
  <c r="L27" i="53"/>
  <c r="J193" i="21"/>
  <c r="J196" i="21" s="1"/>
  <c r="E37" i="19" s="1"/>
  <c r="L22" i="58"/>
  <c r="L24" i="58" s="1"/>
  <c r="H24" i="58"/>
  <c r="M32" i="24"/>
  <c r="P53" i="30"/>
  <c r="J25" i="138"/>
  <c r="K35" i="138"/>
  <c r="J104" i="21"/>
  <c r="E30" i="19"/>
  <c r="H22" i="138"/>
  <c r="K22" i="138"/>
  <c r="E19" i="19" l="1"/>
  <c r="P51" i="25"/>
  <c r="P57" i="25" s="1"/>
  <c r="E17" i="19"/>
  <c r="J240" i="21"/>
  <c r="G18" i="46" s="1"/>
  <c r="J26" i="138"/>
  <c r="P53" i="31"/>
  <c r="E15" i="13"/>
  <c r="P58" i="26"/>
  <c r="P60" i="26" s="1"/>
  <c r="E32" i="19"/>
  <c r="E40" i="19" s="1"/>
  <c r="K25" i="138"/>
  <c r="E32" i="24"/>
  <c r="AN425" i="24" s="1"/>
  <c r="AK425" i="24" s="1"/>
  <c r="P31" i="19" s="1"/>
  <c r="M33" i="24"/>
  <c r="M41" i="24" s="1"/>
  <c r="M51" i="24" s="1"/>
  <c r="P53" i="32"/>
  <c r="J27" i="138"/>
  <c r="K28" i="138"/>
  <c r="E20" i="19" l="1"/>
  <c r="J16" i="138" s="1"/>
  <c r="K16" i="138" s="1"/>
  <c r="G55" i="46"/>
  <c r="G60" i="46" s="1"/>
  <c r="Y148" i="46"/>
  <c r="J323" i="21"/>
  <c r="J324" i="21" s="1"/>
  <c r="E65" i="19" s="1"/>
  <c r="E60" i="19"/>
  <c r="E13" i="13"/>
  <c r="E17" i="13" s="1"/>
  <c r="E21" i="13" s="1"/>
  <c r="K26" i="138"/>
  <c r="J30" i="138"/>
  <c r="K27" i="138"/>
  <c r="M53" i="24"/>
  <c r="J29" i="20" l="1"/>
  <c r="G66" i="46"/>
  <c r="G71" i="46" s="1"/>
  <c r="Y161" i="46"/>
  <c r="Y166" i="46" s="1"/>
  <c r="G108" i="46"/>
  <c r="G111" i="46" s="1"/>
  <c r="E64" i="19"/>
  <c r="E66" i="19" s="1"/>
  <c r="E62" i="19"/>
  <c r="M56" i="24"/>
  <c r="M59" i="24" s="1"/>
  <c r="M61" i="24" s="1"/>
  <c r="M63" i="24" s="1"/>
  <c r="U65" i="12"/>
  <c r="U88" i="12" s="1"/>
  <c r="M17" i="12"/>
  <c r="Y65" i="12"/>
  <c r="Y88" i="12" s="1"/>
  <c r="I17" i="12"/>
  <c r="I41" i="12" s="1"/>
  <c r="K30" i="138"/>
  <c r="J40" i="138"/>
  <c r="Y177" i="46" l="1"/>
  <c r="Y174" i="46"/>
  <c r="C24" i="1"/>
  <c r="M64" i="24"/>
  <c r="E72" i="19"/>
  <c r="E75" i="19" s="1"/>
  <c r="G19" i="127"/>
  <c r="J41" i="138"/>
  <c r="K40" i="138"/>
  <c r="M41" i="12"/>
  <c r="G26" i="11"/>
  <c r="E76" i="19" l="1"/>
  <c r="G28" i="11"/>
  <c r="G42" i="11" s="1"/>
  <c r="K41" i="138"/>
  <c r="J73" i="138"/>
  <c r="G17" i="127" l="1"/>
  <c r="J76" i="138"/>
  <c r="K73" i="138"/>
  <c r="G25" i="127" l="1"/>
  <c r="G27" i="127" s="1"/>
  <c r="G31" i="127" s="1"/>
  <c r="G21" i="127"/>
  <c r="J70" i="19" l="1"/>
  <c r="U234" i="24" l="1"/>
  <c r="J38" i="19" s="1"/>
  <c r="W366" i="24"/>
  <c r="M22" i="144"/>
  <c r="AQ432" i="24" l="1"/>
  <c r="W378" i="24"/>
  <c r="W381" i="24" l="1"/>
  <c r="W384" i="24" s="1"/>
  <c r="W386" i="24" s="1"/>
  <c r="W388" i="24" s="1"/>
  <c r="W389" i="24" l="1"/>
  <c r="J25" i="124"/>
  <c r="E53" i="6"/>
  <c r="G320" i="22"/>
  <c r="J320" i="22" s="1"/>
  <c r="I33" i="127" l="1"/>
  <c r="P50" i="18"/>
  <c r="P54" i="18" l="1"/>
  <c r="P57" i="18"/>
  <c r="G22" i="18" s="1"/>
  <c r="I22" i="18" s="1"/>
  <c r="G20" i="18" l="1"/>
  <c r="G23" i="18" s="1"/>
  <c r="P59" i="18"/>
  <c r="P61" i="18" l="1"/>
  <c r="O18" i="46"/>
  <c r="O55" i="46" l="1"/>
  <c r="O60" i="46" s="1"/>
  <c r="P63" i="18"/>
  <c r="P65" i="18" s="1"/>
  <c r="G26" i="18" s="1"/>
  <c r="G25" i="18" l="1"/>
  <c r="G28" i="18" s="1"/>
  <c r="G30" i="18" s="1"/>
  <c r="P67" i="18"/>
  <c r="P69" i="18" s="1"/>
  <c r="O66" i="46"/>
  <c r="O71" i="46" s="1"/>
  <c r="O73" i="46" s="1"/>
  <c r="O108" i="46"/>
  <c r="O75" i="46" l="1"/>
  <c r="O96" i="46" s="1"/>
  <c r="O104" i="46" s="1"/>
  <c r="O110" i="46"/>
  <c r="O111" i="46" s="1"/>
  <c r="O113" i="46" s="1"/>
  <c r="O115" i="46" s="1"/>
  <c r="O125" i="46" s="1"/>
  <c r="E37" i="6" l="1"/>
  <c r="F37" i="6"/>
  <c r="G37" i="6"/>
  <c r="H37" i="6"/>
  <c r="I37" i="6"/>
  <c r="J37" i="6"/>
  <c r="K37" i="6"/>
  <c r="L37" i="6"/>
  <c r="M37" i="6"/>
  <c r="N37" i="6"/>
  <c r="O37" i="6"/>
  <c r="P37" i="6"/>
  <c r="Q37" i="6"/>
  <c r="E39" i="6"/>
  <c r="F39" i="6"/>
  <c r="G39" i="6"/>
  <c r="H39" i="6"/>
  <c r="I39" i="6"/>
  <c r="J39" i="6"/>
  <c r="K39" i="6"/>
  <c r="L39" i="6"/>
  <c r="M39" i="6"/>
  <c r="N39" i="6"/>
  <c r="O39" i="6"/>
  <c r="P39" i="6"/>
  <c r="Q39" i="6"/>
  <c r="E44" i="6"/>
  <c r="F44" i="6"/>
  <c r="G44" i="6"/>
  <c r="H44" i="6"/>
  <c r="I44" i="6"/>
  <c r="J44" i="6"/>
  <c r="K44" i="6"/>
  <c r="L44" i="6"/>
  <c r="M44" i="6"/>
  <c r="N44" i="6"/>
  <c r="O44" i="6"/>
  <c r="P44" i="6"/>
  <c r="Q44" i="6"/>
  <c r="E50" i="6"/>
  <c r="F50" i="6"/>
  <c r="G50" i="6"/>
  <c r="H50" i="6"/>
  <c r="I50" i="6"/>
  <c r="J50" i="6"/>
  <c r="K50" i="6"/>
  <c r="L50" i="6"/>
  <c r="M50" i="6"/>
  <c r="N50" i="6"/>
  <c r="O50" i="6"/>
  <c r="P50" i="6"/>
  <c r="Q50" i="6"/>
  <c r="E181" i="6"/>
  <c r="F181" i="6"/>
  <c r="G181" i="6"/>
  <c r="H181" i="6"/>
  <c r="I181" i="6"/>
  <c r="J181" i="6"/>
  <c r="K181" i="6"/>
  <c r="L181" i="6"/>
  <c r="M181" i="6"/>
  <c r="N181" i="6"/>
  <c r="O181" i="6"/>
  <c r="P181" i="6"/>
  <c r="Q181" i="6"/>
  <c r="I17" i="127"/>
  <c r="I19" i="127"/>
  <c r="I21" i="127"/>
  <c r="I25" i="127"/>
  <c r="I27" i="127"/>
  <c r="I31" i="127"/>
  <c r="I35" i="127"/>
  <c r="I37" i="127"/>
  <c r="I20" i="11"/>
  <c r="I22" i="11"/>
  <c r="I26" i="11"/>
  <c r="I28" i="11"/>
  <c r="I36" i="11"/>
  <c r="I42" i="11"/>
  <c r="K17" i="12"/>
  <c r="O17" i="12"/>
  <c r="K41" i="12"/>
  <c r="O41" i="12"/>
  <c r="U115" i="12"/>
  <c r="Y115" i="12"/>
  <c r="U138" i="12"/>
  <c r="Y138" i="12"/>
  <c r="E17" i="18"/>
  <c r="I17" i="18"/>
  <c r="E18" i="18"/>
  <c r="E20" i="18"/>
  <c r="I20" i="18"/>
  <c r="E21" i="18"/>
  <c r="I21" i="18"/>
  <c r="E23" i="18"/>
  <c r="I23" i="18"/>
  <c r="E25" i="18"/>
  <c r="I25" i="18"/>
  <c r="E26" i="18"/>
  <c r="I26" i="18"/>
  <c r="E28" i="18"/>
  <c r="I28" i="18"/>
  <c r="E30" i="18"/>
  <c r="I30" i="18"/>
  <c r="E32" i="18"/>
  <c r="I32" i="18"/>
  <c r="E33" i="18"/>
  <c r="I33" i="18"/>
  <c r="F17" i="19"/>
  <c r="H17" i="19"/>
  <c r="N17" i="19"/>
  <c r="P17" i="19"/>
  <c r="F19" i="19"/>
  <c r="H19" i="19"/>
  <c r="N19" i="19"/>
  <c r="P19" i="19"/>
  <c r="F20" i="19"/>
  <c r="H20" i="19"/>
  <c r="N20" i="19"/>
  <c r="P20" i="19"/>
  <c r="F26" i="19"/>
  <c r="H26" i="19"/>
  <c r="N26" i="19"/>
  <c r="P26" i="19"/>
  <c r="F27" i="19"/>
  <c r="H27" i="19"/>
  <c r="N27" i="19"/>
  <c r="P27" i="19"/>
  <c r="F30" i="19"/>
  <c r="H30" i="19"/>
  <c r="N30" i="19"/>
  <c r="P30" i="19"/>
  <c r="F32" i="19"/>
  <c r="H32" i="19"/>
  <c r="N32" i="19"/>
  <c r="P32" i="19"/>
  <c r="F35" i="19"/>
  <c r="H35" i="19"/>
  <c r="J35" i="19"/>
  <c r="N35" i="19"/>
  <c r="P35" i="19"/>
  <c r="F36" i="19"/>
  <c r="H36" i="19"/>
  <c r="N36" i="19"/>
  <c r="P36" i="19"/>
  <c r="F37" i="19"/>
  <c r="H37" i="19"/>
  <c r="N37" i="19"/>
  <c r="P37" i="19"/>
  <c r="F38" i="19"/>
  <c r="H38" i="19"/>
  <c r="N38" i="19"/>
  <c r="P38" i="19"/>
  <c r="F40" i="19"/>
  <c r="H40" i="19"/>
  <c r="J40" i="19"/>
  <c r="N40" i="19"/>
  <c r="P40" i="19"/>
  <c r="F42" i="19"/>
  <c r="H42" i="19"/>
  <c r="J42" i="19"/>
  <c r="N42" i="19"/>
  <c r="P42" i="19"/>
  <c r="F50" i="19"/>
  <c r="H50" i="19"/>
  <c r="J50" i="19"/>
  <c r="N50" i="19"/>
  <c r="P50" i="19"/>
  <c r="F51" i="19"/>
  <c r="H51" i="19"/>
  <c r="J51" i="19"/>
  <c r="N51" i="19"/>
  <c r="P51" i="19"/>
  <c r="F52" i="19"/>
  <c r="H52" i="19"/>
  <c r="J52" i="19"/>
  <c r="N52" i="19"/>
  <c r="P52" i="19"/>
  <c r="F55" i="19"/>
  <c r="H55" i="19"/>
  <c r="J55" i="19"/>
  <c r="N55" i="19"/>
  <c r="P55" i="19"/>
  <c r="F56" i="19"/>
  <c r="H56" i="19"/>
  <c r="J56" i="19"/>
  <c r="N56" i="19"/>
  <c r="P56" i="19"/>
  <c r="F58" i="19"/>
  <c r="H58" i="19"/>
  <c r="J58" i="19"/>
  <c r="N58" i="19"/>
  <c r="P58" i="19"/>
  <c r="F60" i="19"/>
  <c r="H60" i="19"/>
  <c r="J60" i="19"/>
  <c r="N60" i="19"/>
  <c r="P60" i="19"/>
  <c r="F62" i="19"/>
  <c r="H62" i="19"/>
  <c r="J62" i="19"/>
  <c r="N62" i="19"/>
  <c r="P62" i="19"/>
  <c r="F63" i="19"/>
  <c r="J63" i="19"/>
  <c r="H64" i="19"/>
  <c r="H65" i="19"/>
  <c r="H66" i="19"/>
  <c r="F67" i="19"/>
  <c r="H67" i="19"/>
  <c r="J67" i="19"/>
  <c r="N67" i="19"/>
  <c r="F71" i="19"/>
  <c r="H71" i="19"/>
  <c r="J71" i="19"/>
  <c r="N71" i="19"/>
  <c r="F72" i="19"/>
  <c r="H72" i="19"/>
  <c r="J72" i="19"/>
  <c r="N72" i="19"/>
  <c r="J73" i="19"/>
  <c r="N73" i="19"/>
  <c r="F75" i="19"/>
  <c r="H75" i="19"/>
  <c r="J75" i="19"/>
  <c r="N75" i="19"/>
  <c r="F76" i="19"/>
  <c r="H76" i="19"/>
  <c r="J76" i="19"/>
  <c r="N76" i="19"/>
  <c r="G99" i="22" a="1"/>
  <c r="G99" i="22"/>
  <c r="J99" i="22"/>
  <c r="G102" i="22" a="1"/>
  <c r="G102" i="22"/>
  <c r="J102" i="22"/>
  <c r="G104" i="22"/>
  <c r="J104" i="22"/>
  <c r="G175" i="22" a="1"/>
  <c r="G175" i="22"/>
  <c r="J175" i="22"/>
  <c r="G176" i="22" a="1"/>
  <c r="G176" i="22"/>
  <c r="J176" i="22"/>
  <c r="G177" i="22" a="1"/>
  <c r="G177" i="22"/>
  <c r="J177" i="22"/>
  <c r="G179" i="22"/>
  <c r="J179" i="22"/>
  <c r="G184" i="22" a="1"/>
  <c r="G184" i="22"/>
  <c r="J184" i="22"/>
  <c r="G185" i="22" a="1"/>
  <c r="G185" i="22"/>
  <c r="J185" i="22"/>
  <c r="G186" i="22" a="1"/>
  <c r="G186" i="22"/>
  <c r="J186" i="22"/>
  <c r="G187" i="22"/>
  <c r="J187" i="22"/>
  <c r="J193" i="22"/>
  <c r="J194" i="22"/>
  <c r="J195" i="22"/>
  <c r="J196" i="22"/>
  <c r="G217" i="22" a="1"/>
  <c r="G217" i="22"/>
  <c r="J217" i="22"/>
  <c r="G219" i="22" a="1"/>
  <c r="G219" i="22"/>
  <c r="J219" i="22"/>
  <c r="G220" i="22" a="1"/>
  <c r="G220" i="22"/>
  <c r="J220" i="22"/>
  <c r="G221" i="22" a="1"/>
  <c r="G221" i="22"/>
  <c r="J221" i="22"/>
  <c r="G222" i="22" a="1"/>
  <c r="G222" i="22"/>
  <c r="J222" i="22"/>
  <c r="G223" i="22" a="1"/>
  <c r="G223" i="22"/>
  <c r="J223" i="22"/>
  <c r="G224" i="22" a="1"/>
  <c r="G224" i="22"/>
  <c r="J224" i="22"/>
  <c r="G234" i="22" a="1"/>
  <c r="G234" i="22"/>
  <c r="J234" i="22"/>
  <c r="G235" i="22"/>
  <c r="J235" i="22"/>
  <c r="G239" i="22"/>
  <c r="J239" i="22"/>
  <c r="G240" i="22"/>
  <c r="J240" i="22"/>
  <c r="G247" i="22" a="1"/>
  <c r="G247" i="22"/>
  <c r="J247" i="22"/>
  <c r="G248" i="22" a="1"/>
  <c r="G248" i="22"/>
  <c r="J248" i="22"/>
  <c r="G249" i="22"/>
  <c r="J249" i="22"/>
  <c r="G304" i="22"/>
  <c r="J304" i="22"/>
  <c r="G306" i="22"/>
  <c r="J306" i="22"/>
  <c r="G308" i="22"/>
  <c r="J308" i="22"/>
  <c r="G310" i="22"/>
  <c r="J310" i="22"/>
  <c r="G314" i="22"/>
  <c r="J314" i="22"/>
  <c r="G317" i="22"/>
  <c r="J317" i="22"/>
  <c r="G319" i="22"/>
  <c r="J319" i="22"/>
  <c r="G322" i="22"/>
  <c r="J322" i="22"/>
  <c r="G323" i="22"/>
  <c r="J323" i="22"/>
  <c r="G324" i="22"/>
  <c r="J324" i="22"/>
  <c r="E18" i="24"/>
  <c r="G18" i="24"/>
  <c r="E20" i="24"/>
  <c r="G20" i="24"/>
  <c r="E21" i="24"/>
  <c r="G21" i="24"/>
  <c r="E27" i="24"/>
  <c r="K27" i="24"/>
  <c r="E28" i="24"/>
  <c r="K28" i="24"/>
  <c r="E31" i="24"/>
  <c r="I31" i="24"/>
  <c r="E33" i="24"/>
  <c r="I33" i="24"/>
  <c r="E36" i="24"/>
  <c r="E37" i="24"/>
  <c r="E38" i="24"/>
  <c r="E39" i="24"/>
  <c r="E41" i="24"/>
  <c r="I41" i="24"/>
  <c r="K41" i="24"/>
  <c r="E43" i="24"/>
  <c r="E51" i="24"/>
  <c r="G51" i="24"/>
  <c r="I51" i="24"/>
  <c r="K51" i="24"/>
  <c r="E52" i="24"/>
  <c r="E53" i="24"/>
  <c r="G53" i="24"/>
  <c r="I53" i="24"/>
  <c r="K53" i="24"/>
  <c r="E56" i="24"/>
  <c r="G56" i="24"/>
  <c r="I56" i="24"/>
  <c r="K56" i="24"/>
  <c r="E57" i="24"/>
  <c r="E59" i="24"/>
  <c r="G59" i="24"/>
  <c r="I59" i="24"/>
  <c r="K59" i="24"/>
  <c r="E61" i="24"/>
  <c r="G61" i="24"/>
  <c r="I61" i="24"/>
  <c r="K61" i="24"/>
  <c r="E63" i="24"/>
  <c r="G63" i="24"/>
  <c r="I63" i="24"/>
  <c r="K63" i="24"/>
  <c r="E64" i="24"/>
  <c r="G64" i="24"/>
  <c r="I64" i="24"/>
  <c r="K64" i="24"/>
  <c r="G101" i="24"/>
  <c r="I102" i="24"/>
  <c r="K103" i="24"/>
  <c r="M104" i="24"/>
  <c r="G106" i="24"/>
  <c r="I106" i="24"/>
  <c r="K106" i="24"/>
  <c r="M106" i="24"/>
  <c r="G116" i="24"/>
  <c r="I116" i="24"/>
  <c r="K116" i="24"/>
  <c r="M116" i="24"/>
  <c r="G118" i="24"/>
  <c r="I118" i="24"/>
  <c r="K118" i="24"/>
  <c r="M118" i="24"/>
  <c r="G121" i="24"/>
  <c r="I121" i="24"/>
  <c r="K121" i="24"/>
  <c r="M121" i="24"/>
  <c r="G124" i="24"/>
  <c r="I124" i="24"/>
  <c r="K124" i="24"/>
  <c r="M124" i="24"/>
  <c r="G126" i="24"/>
  <c r="I126" i="24"/>
  <c r="K126" i="24"/>
  <c r="M126" i="24"/>
  <c r="G128" i="24"/>
  <c r="I128" i="24"/>
  <c r="K128" i="24"/>
  <c r="M128" i="24"/>
  <c r="G129" i="24"/>
  <c r="I129" i="24"/>
  <c r="K129" i="24"/>
  <c r="M129" i="24"/>
  <c r="E173" i="24"/>
  <c r="E181" i="24"/>
  <c r="I181" i="24"/>
  <c r="I182" i="24"/>
  <c r="E183" i="24"/>
  <c r="I183" i="24"/>
  <c r="E186" i="24"/>
  <c r="I186" i="24"/>
  <c r="I187" i="24"/>
  <c r="E189" i="24"/>
  <c r="I189" i="24"/>
  <c r="E191" i="24"/>
  <c r="I191" i="24"/>
  <c r="E193" i="24"/>
  <c r="I193" i="24"/>
  <c r="E194" i="24"/>
  <c r="I194" i="24"/>
  <c r="U231" i="24"/>
  <c r="W231" i="24"/>
  <c r="U236" i="24"/>
  <c r="W236" i="24"/>
  <c r="U238" i="24"/>
  <c r="U246" i="24"/>
  <c r="W246" i="24"/>
  <c r="AC246" i="24"/>
  <c r="AE246" i="24"/>
  <c r="U247" i="24"/>
  <c r="AE247" i="24"/>
  <c r="U248" i="24"/>
  <c r="W248" i="24"/>
  <c r="AC248" i="24"/>
  <c r="AE248" i="24"/>
  <c r="U251" i="24"/>
  <c r="W251" i="24"/>
  <c r="AC251" i="24"/>
  <c r="AE251" i="24"/>
  <c r="U252" i="24"/>
  <c r="AE252" i="24"/>
  <c r="U254" i="24"/>
  <c r="W254" i="24"/>
  <c r="AC254" i="24"/>
  <c r="AE254" i="24"/>
  <c r="U256" i="24"/>
  <c r="W256" i="24"/>
  <c r="AC256" i="24"/>
  <c r="AE256" i="24"/>
  <c r="U258" i="24"/>
  <c r="W258" i="24"/>
  <c r="AC258" i="24"/>
  <c r="AE258" i="24"/>
  <c r="U259" i="24"/>
  <c r="W259" i="24"/>
  <c r="AC259" i="24"/>
  <c r="AE259" i="24"/>
  <c r="AA303" i="24"/>
  <c r="AA312" i="24"/>
  <c r="AA313" i="24"/>
  <c r="AA317" i="24"/>
  <c r="AA319" i="24"/>
  <c r="AA321" i="24"/>
  <c r="AA323" i="24"/>
  <c r="AA324" i="24"/>
  <c r="AK411" i="24"/>
  <c r="AN411" i="24"/>
  <c r="AK413" i="24"/>
  <c r="AN413" i="24"/>
  <c r="AK414" i="24"/>
  <c r="AN414" i="24"/>
  <c r="AK420" i="24"/>
  <c r="AN420" i="24"/>
  <c r="AK421" i="24"/>
  <c r="AN421" i="24"/>
  <c r="AK424" i="24"/>
  <c r="AN424" i="24"/>
  <c r="AK426" i="24"/>
  <c r="AN426" i="24"/>
  <c r="AK429" i="24"/>
  <c r="AN429" i="24"/>
  <c r="AQ429" i="24"/>
  <c r="AK430" i="24"/>
  <c r="AN430" i="24"/>
  <c r="AK431" i="24"/>
  <c r="AN431" i="24"/>
  <c r="AK432" i="24"/>
  <c r="AN432" i="24"/>
  <c r="AK434" i="24"/>
  <c r="AN434" i="24"/>
  <c r="AQ434" i="24"/>
  <c r="AK436" i="24"/>
  <c r="AN436" i="24"/>
  <c r="AQ436" i="24"/>
  <c r="AS443" i="24"/>
  <c r="AT443" i="24"/>
  <c r="AU443" i="24"/>
  <c r="AK444" i="24"/>
  <c r="AN444" i="24"/>
  <c r="AQ444" i="24"/>
  <c r="AS444" i="24"/>
  <c r="AT444" i="24"/>
  <c r="AU444" i="24"/>
  <c r="AK445" i="24"/>
  <c r="AN445" i="24"/>
  <c r="AQ445" i="24"/>
  <c r="AS445" i="24"/>
  <c r="AT445" i="24"/>
  <c r="AU445" i="24"/>
  <c r="AK446" i="24"/>
  <c r="AN446" i="24"/>
  <c r="AQ446" i="24"/>
  <c r="AK449" i="24"/>
  <c r="AN449" i="24"/>
  <c r="AQ449" i="24"/>
  <c r="AS449" i="24"/>
  <c r="AT449" i="24"/>
  <c r="AU449" i="24"/>
  <c r="AK450" i="24"/>
  <c r="AN450" i="24"/>
  <c r="AQ450" i="24"/>
  <c r="AS450" i="24"/>
  <c r="AT450" i="24"/>
  <c r="AU450" i="24"/>
  <c r="AS451" i="24"/>
  <c r="AT451" i="24"/>
  <c r="AU451" i="24"/>
  <c r="AK452" i="24"/>
  <c r="AN452" i="24"/>
  <c r="AQ452" i="24"/>
  <c r="AK454" i="24"/>
  <c r="AN454" i="24"/>
  <c r="AQ454" i="24"/>
  <c r="AS455" i="24"/>
  <c r="AK456" i="24"/>
  <c r="AN456" i="24"/>
  <c r="AQ456" i="24"/>
  <c r="AK457" i="24"/>
  <c r="J22" i="25"/>
  <c r="J26" i="25"/>
  <c r="J28" i="25"/>
  <c r="J32" i="25"/>
  <c r="R51" i="25"/>
  <c r="T51" i="25"/>
  <c r="R55" i="25"/>
  <c r="T55" i="25"/>
  <c r="R57" i="25"/>
  <c r="T57" i="25"/>
  <c r="J23" i="33"/>
  <c r="J29" i="33"/>
  <c r="R53" i="33"/>
  <c r="T53" i="33"/>
  <c r="J23" i="34"/>
  <c r="J29" i="34"/>
  <c r="R53" i="34"/>
  <c r="T53" i="34"/>
  <c r="J22" i="108"/>
  <c r="J23" i="108"/>
  <c r="J26" i="108"/>
  <c r="J27" i="108"/>
  <c r="J30" i="108"/>
  <c r="J36" i="108"/>
  <c r="P62" i="108"/>
  <c r="R62" i="108"/>
  <c r="T62" i="108"/>
  <c r="P63" i="108"/>
  <c r="R63" i="108"/>
  <c r="T63" i="108"/>
  <c r="P66" i="108"/>
  <c r="R66" i="108"/>
  <c r="T66" i="108"/>
  <c r="P67" i="108"/>
  <c r="R67" i="108"/>
  <c r="T67" i="108"/>
  <c r="P70" i="108"/>
  <c r="R70" i="108"/>
  <c r="T70" i="108"/>
  <c r="P71" i="108"/>
  <c r="R71" i="108"/>
  <c r="T71" i="108"/>
  <c r="J20" i="36"/>
  <c r="J21" i="36"/>
  <c r="J22" i="36"/>
  <c r="J28" i="36"/>
  <c r="S52" i="36"/>
  <c r="U52" i="36"/>
  <c r="U54" i="36"/>
  <c r="S58" i="36"/>
  <c r="S62" i="36"/>
  <c r="W62" i="36"/>
  <c r="X62" i="36"/>
  <c r="Y62" i="36"/>
  <c r="S64" i="36" a="1"/>
  <c r="S64" i="36"/>
  <c r="W64" i="36"/>
  <c r="X64" i="36"/>
  <c r="Y64" i="36"/>
  <c r="Z64" i="36"/>
  <c r="S66" i="36" a="1"/>
  <c r="S66" i="36"/>
  <c r="W66" i="36"/>
  <c r="X66" i="36"/>
  <c r="Y66" i="36"/>
  <c r="Z66" i="36"/>
  <c r="S68" i="36"/>
  <c r="W68" i="36"/>
  <c r="X68" i="36"/>
  <c r="Y68" i="36"/>
  <c r="Z68" i="36"/>
  <c r="J22" i="115"/>
  <c r="J28" i="115"/>
  <c r="U55" i="115"/>
  <c r="U61" i="115"/>
  <c r="Z82" i="115"/>
  <c r="AD82" i="115"/>
  <c r="AF82" i="115"/>
  <c r="AD87" i="115"/>
  <c r="AF87" i="115"/>
  <c r="AF89" i="115"/>
  <c r="Z93" i="115"/>
  <c r="AF93" i="115"/>
  <c r="AF95" i="115"/>
  <c r="AF97" i="115"/>
  <c r="AO130" i="40"/>
  <c r="AO131" i="40"/>
  <c r="AO136" i="40"/>
  <c r="AO137" i="40"/>
  <c r="AO139" i="40"/>
  <c r="AO145" i="40"/>
  <c r="AU192" i="40"/>
  <c r="AW192" i="40"/>
  <c r="AX195" i="40"/>
  <c r="AX197" i="40"/>
  <c r="AX199" i="40"/>
  <c r="AX201" i="40"/>
  <c r="AX203" i="40"/>
  <c r="AV226" i="40"/>
  <c r="AX226" i="40"/>
  <c r="AS227" i="40"/>
  <c r="AV234" i="40"/>
  <c r="AX234" i="40"/>
  <c r="AS235" i="40"/>
  <c r="J24" i="26"/>
  <c r="J26" i="26"/>
  <c r="J32" i="26"/>
  <c r="R58" i="26"/>
  <c r="T58" i="26"/>
  <c r="R60" i="26"/>
  <c r="T60" i="26"/>
  <c r="J21" i="145"/>
  <c r="J27" i="145"/>
  <c r="Q50" i="145"/>
  <c r="Q53" i="145"/>
  <c r="J23" i="27"/>
  <c r="J29" i="27"/>
  <c r="R53" i="27"/>
  <c r="T53" i="27"/>
  <c r="J23" i="30"/>
  <c r="J29" i="30"/>
  <c r="R53" i="30"/>
  <c r="T53" i="30"/>
  <c r="J23" i="31"/>
  <c r="J29" i="31"/>
  <c r="R53" i="31"/>
  <c r="T53" i="31"/>
  <c r="J23" i="32"/>
  <c r="J29" i="32"/>
  <c r="R53" i="32"/>
  <c r="T53" i="32"/>
  <c r="I18" i="46"/>
  <c r="K18" i="46"/>
  <c r="L18" i="46"/>
  <c r="M18" i="46"/>
  <c r="Q18" i="46"/>
  <c r="L21" i="46"/>
  <c r="M21" i="46"/>
  <c r="Q21" i="46"/>
  <c r="L22" i="46"/>
  <c r="M22" i="46"/>
  <c r="Q22" i="46"/>
  <c r="L26" i="46"/>
  <c r="M26" i="46"/>
  <c r="Q26" i="46"/>
  <c r="I27" i="46"/>
  <c r="K27" i="46"/>
  <c r="L27" i="46"/>
  <c r="M27" i="46"/>
  <c r="Q27" i="46"/>
  <c r="I28" i="46"/>
  <c r="K28" i="46"/>
  <c r="L28" i="46"/>
  <c r="M28" i="46"/>
  <c r="Q28" i="46"/>
  <c r="I34" i="46"/>
  <c r="K34" i="46"/>
  <c r="L34" i="46"/>
  <c r="M34" i="46"/>
  <c r="Q34" i="46"/>
  <c r="I55" i="46"/>
  <c r="K55" i="46"/>
  <c r="L55" i="46"/>
  <c r="M55" i="46"/>
  <c r="Q55" i="46"/>
  <c r="I57" i="46"/>
  <c r="K57" i="46"/>
  <c r="L57" i="46"/>
  <c r="M57" i="46"/>
  <c r="Q57" i="46"/>
  <c r="I60" i="46"/>
  <c r="K60" i="46"/>
  <c r="L60" i="46"/>
  <c r="M60" i="46"/>
  <c r="Q60" i="46"/>
  <c r="I66" i="46"/>
  <c r="K66" i="46"/>
  <c r="L66" i="46"/>
  <c r="M66" i="46"/>
  <c r="Q66" i="46"/>
  <c r="I68" i="46"/>
  <c r="I71" i="46"/>
  <c r="K71" i="46"/>
  <c r="L71" i="46"/>
  <c r="M71" i="46"/>
  <c r="Q71" i="46"/>
  <c r="I73" i="46"/>
  <c r="K73" i="46"/>
  <c r="L73" i="46"/>
  <c r="M73" i="46"/>
  <c r="Q73" i="46"/>
  <c r="I75" i="46"/>
  <c r="K75" i="46"/>
  <c r="L75" i="46"/>
  <c r="M75" i="46"/>
  <c r="Q75" i="46"/>
  <c r="I96" i="46"/>
  <c r="K96" i="46"/>
  <c r="L96" i="46"/>
  <c r="M96" i="46"/>
  <c r="Q96" i="46"/>
  <c r="I98" i="46"/>
  <c r="K98" i="46"/>
  <c r="L98" i="46"/>
  <c r="M98" i="46"/>
  <c r="Q98" i="46"/>
  <c r="I102" i="46"/>
  <c r="K102" i="46"/>
  <c r="L102" i="46"/>
  <c r="M102" i="46"/>
  <c r="Q102" i="46"/>
  <c r="I104" i="46"/>
  <c r="K104" i="46"/>
  <c r="L104" i="46"/>
  <c r="M104" i="46"/>
  <c r="Q104" i="46"/>
  <c r="I108" i="46"/>
  <c r="K108" i="46"/>
  <c r="L108" i="46"/>
  <c r="M108" i="46"/>
  <c r="Q108" i="46"/>
  <c r="I110" i="46"/>
  <c r="K110" i="46"/>
  <c r="L110" i="46"/>
  <c r="M110" i="46"/>
  <c r="Q110" i="46"/>
  <c r="I111" i="46"/>
  <c r="K111" i="46"/>
  <c r="L111" i="46"/>
  <c r="M111" i="46"/>
  <c r="Q111" i="46"/>
  <c r="I113" i="46"/>
  <c r="K113" i="46"/>
  <c r="L113" i="46"/>
  <c r="M113" i="46"/>
  <c r="Q113" i="46"/>
  <c r="I115" i="46"/>
  <c r="K115" i="46"/>
  <c r="L115" i="46"/>
  <c r="M115" i="46"/>
  <c r="Q115" i="46"/>
  <c r="I117" i="46"/>
  <c r="K117" i="46"/>
  <c r="L117" i="46"/>
  <c r="M117" i="46"/>
  <c r="Q117" i="46"/>
  <c r="I121" i="46"/>
  <c r="K121" i="46"/>
  <c r="L121" i="46"/>
  <c r="M121" i="46"/>
  <c r="Q121" i="46"/>
  <c r="I125" i="46"/>
  <c r="K125" i="46"/>
  <c r="L125" i="46"/>
  <c r="M125" i="46"/>
  <c r="Q125" i="46"/>
  <c r="Z148" i="46"/>
  <c r="Z155" i="46"/>
  <c r="Z161" i="46"/>
  <c r="Z166" i="46"/>
  <c r="Z170" i="46"/>
  <c r="Z172" i="46"/>
  <c r="Z173" i="46"/>
  <c r="Z174" i="46"/>
  <c r="Z175" i="46"/>
  <c r="Z177" i="46"/>
  <c r="Z179" i="46"/>
  <c r="N18" i="53" a="1"/>
  <c r="N18" i="53"/>
  <c r="P18" i="53"/>
  <c r="N19" i="53" a="1"/>
  <c r="N19" i="53"/>
  <c r="P19" i="53"/>
  <c r="N20" i="53" a="1"/>
  <c r="N20" i="53"/>
  <c r="P20" i="53"/>
  <c r="N21" i="53"/>
  <c r="P21" i="53"/>
  <c r="N24" i="53" a="1"/>
  <c r="N24" i="53"/>
  <c r="P24" i="53"/>
  <c r="N25" i="53" a="1"/>
  <c r="N25" i="53"/>
  <c r="P25" i="53"/>
  <c r="N26" i="53" a="1"/>
  <c r="N26" i="53"/>
  <c r="P26" i="53"/>
  <c r="N27" i="53"/>
  <c r="P27" i="53"/>
  <c r="O136" i="55"/>
  <c r="F29" i="58" a="1"/>
  <c r="F29" i="58"/>
  <c r="H29" i="58"/>
  <c r="L29" i="58"/>
  <c r="F31" i="58"/>
  <c r="H31" i="58"/>
  <c r="L31" i="58"/>
  <c r="G16" i="138"/>
  <c r="H16" i="138"/>
  <c r="G20" i="138"/>
  <c r="H20" i="138"/>
  <c r="G21" i="138" a="1"/>
  <c r="G21" i="138"/>
  <c r="H21" i="138"/>
  <c r="G25" i="138"/>
  <c r="H25" i="138"/>
  <c r="G26" i="138"/>
  <c r="H26" i="138"/>
  <c r="G27" i="138"/>
  <c r="H27" i="138"/>
  <c r="G28" i="138"/>
  <c r="H28" i="138"/>
  <c r="G30" i="138"/>
  <c r="H30" i="138"/>
  <c r="G31" i="138" a="1"/>
  <c r="G31" i="138"/>
  <c r="H31" i="138"/>
  <c r="G32" i="138" a="1"/>
  <c r="G32" i="138"/>
  <c r="H32" i="138"/>
  <c r="G34" i="138"/>
  <c r="H34" i="138"/>
  <c r="G35" i="138"/>
  <c r="H35" i="138"/>
  <c r="G36" i="138"/>
  <c r="H36" i="138"/>
  <c r="G40" i="138"/>
  <c r="H40" i="138"/>
  <c r="G41" i="138"/>
  <c r="H41" i="138"/>
  <c r="G73" i="138"/>
  <c r="H73" i="138"/>
  <c r="G76" i="138"/>
  <c r="G13" i="13"/>
  <c r="G15" i="13"/>
  <c r="G17" i="13"/>
  <c r="G21" i="13"/>
  <c r="P47" i="20"/>
  <c r="T47" i="20"/>
  <c r="R60" i="20" a="1"/>
  <c r="R60" i="20"/>
  <c r="T60" i="20"/>
  <c r="R61" i="20"/>
  <c r="T61" i="20"/>
  <c r="P63" i="20"/>
  <c r="R63" i="20"/>
  <c r="T63" i="20"/>
  <c r="K10" i="144"/>
  <c r="O17" i="144"/>
  <c r="K22" i="144"/>
  <c r="O22" i="144"/>
  <c r="P24" i="144"/>
</calcChain>
</file>

<file path=xl/comments1.xml><?xml version="1.0" encoding="utf-8"?>
<comments xmlns="http://schemas.openxmlformats.org/spreadsheetml/2006/main">
  <authors>
    <author>Ted Czupik</author>
  </authors>
  <commentList>
    <comment ref="B20" authorId="0">
      <text>
        <r>
          <rPr>
            <sz val="10"/>
            <color indexed="81"/>
            <rFont val="Tahoma"/>
            <family val="2"/>
          </rPr>
          <t>Source: WPH-a</t>
        </r>
      </text>
    </comment>
    <comment ref="B21" authorId="0">
      <text>
        <r>
          <rPr>
            <sz val="10"/>
            <color indexed="81"/>
            <rFont val="Tahoma"/>
            <family val="2"/>
          </rPr>
          <t>Based on Assessment for the period 7/01/2018 to 6/30/2019
(Notice #10917116)
0.2% is the state law maximum maint. fee assesment</t>
        </r>
      </text>
    </comment>
    <comment ref="B22" authorId="0">
      <text>
        <r>
          <rPr>
            <sz val="10"/>
            <color indexed="81"/>
            <rFont val="Tahoma"/>
            <family val="2"/>
          </rPr>
          <t xml:space="preserve">From Kentucky State Income Tax Liability Module
</t>
        </r>
      </text>
    </comment>
  </commentList>
</comments>
</file>

<file path=xl/comments10.xml><?xml version="1.0" encoding="utf-8"?>
<comments xmlns="http://schemas.openxmlformats.org/spreadsheetml/2006/main">
  <authors>
    <author>A satisfied Microsoft Office user</author>
  </authors>
  <commentList>
    <comment ref="BQ92" authorId="0">
      <text>
        <r>
          <rPr>
            <sz val="10"/>
            <color indexed="81"/>
            <rFont val="Tahoma"/>
            <family val="2"/>
          </rPr>
          <t>$45 adj due to labor recorde as m&amp;e</t>
        </r>
      </text>
    </comment>
  </commentList>
</comments>
</file>

<file path=xl/comments11.xml><?xml version="1.0" encoding="utf-8"?>
<comments xmlns="http://schemas.openxmlformats.org/spreadsheetml/2006/main">
  <authors>
    <author>Miller, Libbie</author>
  </authors>
  <commentList>
    <comment ref="E47" authorId="0">
      <text>
        <r>
          <rPr>
            <b/>
            <sz val="9"/>
            <color indexed="81"/>
            <rFont val="Tahoma"/>
            <family val="2"/>
          </rPr>
          <t>Miller, Libbie: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This section is left blank because there is no good way to split income taxes.  This section was left blank in the DEK electric case too per Tripp Carpenter.</t>
        </r>
      </text>
    </comment>
  </commentList>
</comments>
</file>

<file path=xl/comments12.xml><?xml version="1.0" encoding="utf-8"?>
<comments xmlns="http://schemas.openxmlformats.org/spreadsheetml/2006/main">
  <authors>
    <author>Czupik, Ted Jr</author>
  </authors>
  <commentList>
    <comment ref="D19" authorId="0">
      <text>
        <r>
          <rPr>
            <sz val="10"/>
            <color indexed="81"/>
            <rFont val="Tahoma"/>
            <family val="2"/>
          </rPr>
          <t>Source:  Forecasted Financial Model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Ted Czupik</author>
  </authors>
  <commentList>
    <comment ref="G17" authorId="0">
      <text>
        <r>
          <rPr>
            <sz val="10"/>
            <color indexed="81"/>
            <rFont val="Tahoma"/>
            <family val="2"/>
          </rPr>
          <t xml:space="preserve">Thirteen month average balance ended the test period
</t>
        </r>
      </text>
    </comment>
    <comment ref="G25" authorId="0">
      <text>
        <r>
          <rPr>
            <sz val="10"/>
            <color indexed="81"/>
            <rFont val="Tahoma"/>
            <family val="2"/>
          </rPr>
          <t xml:space="preserve">Thirteen month average balance ended the test period
</t>
        </r>
      </text>
    </comment>
  </commentList>
</comments>
</file>

<file path=xl/comments14.xml><?xml version="1.0" encoding="utf-8"?>
<comments xmlns="http://schemas.openxmlformats.org/spreadsheetml/2006/main">
  <authors>
    <author>Robert M. Parsons</author>
    <author>Ted Czupik</author>
  </authors>
  <commentList>
    <comment ref="B190" authorId="0">
      <text>
        <r>
          <rPr>
            <b/>
            <sz val="8"/>
            <color indexed="81"/>
            <rFont val="Tahoma"/>
            <family val="2"/>
          </rPr>
          <t>Robert M. Parsons:</t>
        </r>
        <r>
          <rPr>
            <sz val="8"/>
            <color indexed="81"/>
            <rFont val="Tahoma"/>
            <family val="2"/>
          </rPr>
          <t xml:space="preserve">
Revenue and Fuel Data is from the F/S.</t>
        </r>
      </text>
    </comment>
    <comment ref="E199" authorId="1">
      <text>
        <r>
          <rPr>
            <sz val="10"/>
            <color indexed="81"/>
            <rFont val="Tahoma"/>
            <family val="2"/>
          </rPr>
          <t>Fuel and Purchased Power</t>
        </r>
      </text>
    </comment>
    <comment ref="F199" authorId="1">
      <text>
        <r>
          <rPr>
            <sz val="10"/>
            <color indexed="81"/>
            <rFont val="Tahoma"/>
            <family val="2"/>
          </rPr>
          <t>Purchased Power</t>
        </r>
      </text>
    </comment>
    <comment ref="G199" authorId="1">
      <text>
        <r>
          <rPr>
            <sz val="10"/>
            <color indexed="81"/>
            <rFont val="Tahoma"/>
            <family val="2"/>
          </rPr>
          <t>Purchased Power</t>
        </r>
      </text>
    </comment>
    <comment ref="H199" authorId="1">
      <text>
        <r>
          <rPr>
            <sz val="10"/>
            <color indexed="81"/>
            <rFont val="Tahoma"/>
            <family val="2"/>
          </rPr>
          <t>Purchased Power</t>
        </r>
      </text>
    </comment>
    <comment ref="I199" authorId="1">
      <text>
        <r>
          <rPr>
            <sz val="10"/>
            <color indexed="81"/>
            <rFont val="Tahoma"/>
            <family val="2"/>
          </rPr>
          <t>Purchased Power</t>
        </r>
      </text>
    </comment>
    <comment ref="J199" authorId="1">
      <text>
        <r>
          <rPr>
            <sz val="10"/>
            <color indexed="81"/>
            <rFont val="Tahoma"/>
            <family val="2"/>
          </rPr>
          <t>Purchased Power</t>
        </r>
      </text>
    </comment>
  </commentList>
</comments>
</file>

<file path=xl/comments2.xml><?xml version="1.0" encoding="utf-8"?>
<comments xmlns="http://schemas.openxmlformats.org/spreadsheetml/2006/main">
  <authors>
    <author>A satisfied Microsoft Office user</author>
  </authors>
  <commentList>
    <comment ref="B1" authorId="0">
      <text>
        <r>
          <rPr>
            <sz val="10"/>
            <color indexed="81"/>
            <rFont val="Tahoma"/>
            <family val="2"/>
          </rPr>
          <t>Needs to be linked to the COS</t>
        </r>
      </text>
    </comment>
    <comment ref="B2" authorId="0">
      <text>
        <r>
          <rPr>
            <sz val="10"/>
            <color indexed="81"/>
            <rFont val="Tahoma"/>
            <family val="2"/>
          </rPr>
          <t>Needs to be linked to the COS</t>
        </r>
      </text>
    </comment>
    <comment ref="B3" authorId="0">
      <text>
        <r>
          <rPr>
            <sz val="10"/>
            <color indexed="81"/>
            <rFont val="Tahoma"/>
            <family val="2"/>
          </rPr>
          <t>Needs to be linked to the COS</t>
        </r>
      </text>
    </comment>
    <comment ref="B5" authorId="0">
      <text>
        <r>
          <rPr>
            <sz val="10"/>
            <color indexed="81"/>
            <rFont val="Tahoma"/>
            <family val="2"/>
          </rPr>
          <t>Needs to be linked to the COS</t>
        </r>
      </text>
    </comment>
    <comment ref="B12" authorId="0">
      <text>
        <r>
          <rPr>
            <sz val="10"/>
            <color indexed="81"/>
            <rFont val="Tahoma"/>
            <family val="2"/>
          </rPr>
          <t>Needs to be linked to the COS</t>
        </r>
      </text>
    </comment>
  </commentList>
</comments>
</file>

<file path=xl/comments3.xml><?xml version="1.0" encoding="utf-8"?>
<comments xmlns="http://schemas.openxmlformats.org/spreadsheetml/2006/main">
  <authors>
    <author>Czupik, Ted Jr</author>
  </authors>
  <commentList>
    <comment ref="CH293" authorId="0">
      <text>
        <r>
          <rPr>
            <sz val="10"/>
            <color indexed="81"/>
            <rFont val="Tahoma"/>
            <family val="2"/>
          </rPr>
          <t>This item represents 
a deposit with Prudential for MTM activity.</t>
        </r>
      </text>
    </comment>
    <comment ref="CF303" authorId="0">
      <text>
        <r>
          <rPr>
            <sz val="8"/>
            <color indexed="81"/>
            <rFont val="Tahoma"/>
            <family val="2"/>
          </rPr>
          <t xml:space="preserve">Monthly detail should be available in forecasted balance sheet
</t>
        </r>
      </text>
    </comment>
  </commentList>
</comments>
</file>

<file path=xl/comments4.xml><?xml version="1.0" encoding="utf-8"?>
<comments xmlns="http://schemas.openxmlformats.org/spreadsheetml/2006/main">
  <authors>
    <author>A satisfied Microsoft Office user</author>
  </authors>
  <commentList>
    <comment ref="E12" authorId="0">
      <text>
        <r>
          <rPr>
            <sz val="10"/>
            <color indexed="81"/>
            <rFont val="Tahoma"/>
            <family val="2"/>
          </rPr>
          <t>Adjusted Revenue &amp; Expenses from Schedule C-2.</t>
        </r>
      </text>
    </comment>
  </commentList>
</comments>
</file>

<file path=xl/comments5.xml><?xml version="1.0" encoding="utf-8"?>
<comments xmlns="http://schemas.openxmlformats.org/spreadsheetml/2006/main">
  <authors>
    <author>Czupik, Ted Jr</author>
    <author>A satisfied Microsoft Office user</author>
  </authors>
  <commentList>
    <comment ref="E72" authorId="0">
      <text>
        <r>
          <rPr>
            <sz val="8"/>
            <color indexed="81"/>
            <rFont val="Tahoma"/>
            <family val="2"/>
          </rPr>
          <t xml:space="preserve">Exclude AFUDC Offset Adj.
</t>
        </r>
      </text>
    </comment>
    <comment ref="F72" authorId="0">
      <text>
        <r>
          <rPr>
            <sz val="8"/>
            <color indexed="81"/>
            <rFont val="Tahoma"/>
            <family val="2"/>
          </rPr>
          <t xml:space="preserve">Exclude AFUDC Offset Adj.
</t>
        </r>
      </text>
    </comment>
    <comment ref="H72" authorId="0">
      <text>
        <r>
          <rPr>
            <sz val="8"/>
            <color indexed="81"/>
            <rFont val="Tahoma"/>
            <family val="2"/>
          </rPr>
          <t xml:space="preserve">Exclude AFUDC Offset Adj.
</t>
        </r>
      </text>
    </comment>
    <comment ref="J72" authorId="0">
      <text>
        <r>
          <rPr>
            <sz val="8"/>
            <color indexed="81"/>
            <rFont val="Tahoma"/>
            <family val="2"/>
          </rPr>
          <t xml:space="preserve">Exclude AFUDC Offset Adj.
</t>
        </r>
      </text>
    </comment>
    <comment ref="N72" authorId="0">
      <text>
        <r>
          <rPr>
            <sz val="8"/>
            <color indexed="81"/>
            <rFont val="Tahoma"/>
            <family val="2"/>
          </rPr>
          <t xml:space="preserve">Exclude AFUDC Offset Adj.
</t>
        </r>
      </text>
    </comment>
    <comment ref="AQ115" authorId="1">
      <text>
        <r>
          <rPr>
            <sz val="10"/>
            <color indexed="81"/>
            <rFont val="Tahoma"/>
            <family val="2"/>
          </rPr>
          <t>$45 adj due to labor recorde as m&amp;e</t>
        </r>
      </text>
    </comment>
  </commentList>
</comments>
</file>

<file path=xl/comments6.xml><?xml version="1.0" encoding="utf-8"?>
<comments xmlns="http://schemas.openxmlformats.org/spreadsheetml/2006/main">
  <authors>
    <author>Czupik, Ted Jr</author>
  </authors>
  <commentList>
    <comment ref="H26" authorId="0">
      <text>
        <r>
          <rPr>
            <sz val="8"/>
            <color indexed="81"/>
            <rFont val="Tahoma"/>
            <family val="2"/>
          </rPr>
          <t xml:space="preserve">Transportation is included in Base Revenue
</t>
        </r>
      </text>
    </comment>
    <comment ref="R60" authorId="0">
      <text>
        <r>
          <rPr>
            <sz val="8"/>
            <color indexed="81"/>
            <rFont val="Tahoma"/>
            <family val="2"/>
          </rPr>
          <t xml:space="preserve">Transportation is included in Base Revenue
</t>
        </r>
      </text>
    </comment>
    <comment ref="AA104" authorId="0">
      <text>
        <r>
          <rPr>
            <sz val="8"/>
            <color indexed="81"/>
            <rFont val="Tahoma"/>
            <family val="2"/>
          </rPr>
          <t xml:space="preserve">Source: Interdepartment Revenue Calc for Actuals
</t>
        </r>
      </text>
    </comment>
  </commentList>
</comments>
</file>

<file path=xl/comments7.xml><?xml version="1.0" encoding="utf-8"?>
<comments xmlns="http://schemas.openxmlformats.org/spreadsheetml/2006/main">
  <authors>
    <author>Ted Czupik</author>
  </authors>
  <commentList>
    <comment ref="AF91" authorId="0">
      <text>
        <r>
          <rPr>
            <sz val="10"/>
            <color indexed="81"/>
            <rFont val="Tahoma"/>
            <family val="2"/>
          </rPr>
          <t xml:space="preserve">Per previous KYPSC orders: represents actual book interest expense, not an amount per the income tax calculation.
</t>
        </r>
      </text>
    </comment>
  </commentList>
</comments>
</file>

<file path=xl/comments8.xml><?xml version="1.0" encoding="utf-8"?>
<comments xmlns="http://schemas.openxmlformats.org/spreadsheetml/2006/main">
  <authors>
    <author>Ted Czupik</author>
  </authors>
  <commentList>
    <comment ref="BV306" authorId="0">
      <text>
        <r>
          <rPr>
            <sz val="10"/>
            <color indexed="81"/>
            <rFont val="Tahoma"/>
            <family val="2"/>
          </rPr>
          <t xml:space="preserve">Source: 5 year average of production expense worksheet.
</t>
        </r>
      </text>
    </comment>
  </commentList>
</comments>
</file>

<file path=xl/comments9.xml><?xml version="1.0" encoding="utf-8"?>
<comments xmlns="http://schemas.openxmlformats.org/spreadsheetml/2006/main">
  <authors>
    <author>Miller, Libbie</author>
  </authors>
  <commentList>
    <comment ref="R100" authorId="0">
      <text>
        <r>
          <rPr>
            <sz val="10"/>
            <color indexed="81"/>
            <rFont val="Tahoma"/>
            <family val="2"/>
          </rPr>
          <t xml:space="preserve">Won't match exactly to Schedule F1 due to some of the F1 dollars disbursed among lines 1-53. 
</t>
        </r>
      </text>
    </comment>
  </commentList>
</comments>
</file>

<file path=xl/sharedStrings.xml><?xml version="1.0" encoding="utf-8"?>
<sst xmlns="http://schemas.openxmlformats.org/spreadsheetml/2006/main" count="10313" uniqueCount="3058">
  <si>
    <t>PAGE  3  OF  3</t>
  </si>
  <si>
    <t>PURPOSE AND DESCRIPTION: To reflect the adjustment to federal</t>
  </si>
  <si>
    <t>ANNUALIZATION OF DEPRECIATION EXPENSE FOR THE</t>
  </si>
  <si>
    <t xml:space="preserve">          DESCRIPTION       </t>
  </si>
  <si>
    <t>Depreciation Expense - Annualized</t>
  </si>
  <si>
    <t xml:space="preserve"> Sch B-3.2</t>
  </si>
  <si>
    <t>Depreciation Expense - Test Period</t>
  </si>
  <si>
    <t xml:space="preserve"> Sch C-2.1</t>
  </si>
  <si>
    <t xml:space="preserve">Annualized Depreciation Adjustment </t>
  </si>
  <si>
    <t>SCHEDULE D-2.23</t>
  </si>
  <si>
    <t>WPD-2.23a</t>
  </si>
  <si>
    <t xml:space="preserve"> --&gt; To Sch D-2.23</t>
  </si>
  <si>
    <t xml:space="preserve">       Electric (%)</t>
  </si>
  <si>
    <t xml:space="preserve">       Common (%)</t>
  </si>
  <si>
    <t xml:space="preserve"> Federal Income Taxes</t>
  </si>
  <si>
    <t xml:space="preserve">Purchased Gas Costs - Unbilled </t>
  </si>
  <si>
    <t>COMMON STOCK RELATED DATA:</t>
  </si>
  <si>
    <t xml:space="preserve">    Total State Income Taxes</t>
  </si>
  <si>
    <t>Federal Income Tax Expense</t>
  </si>
  <si>
    <t>COMPUTED</t>
  </si>
  <si>
    <t xml:space="preserve">    Operating income ($000,000)</t>
  </si>
  <si>
    <t>Net</t>
  </si>
  <si>
    <t>Description of</t>
  </si>
  <si>
    <t>In-Service</t>
  </si>
  <si>
    <t>Original</t>
  </si>
  <si>
    <t>Accum.</t>
  </si>
  <si>
    <t>Excluded Property</t>
  </si>
  <si>
    <t>Date</t>
  </si>
  <si>
    <t>Cost</t>
  </si>
  <si>
    <t>Depre.</t>
  </si>
  <si>
    <t>for Exclusion</t>
  </si>
  <si>
    <t>Land</t>
  </si>
  <si>
    <t xml:space="preserve">     of issue costs minus (or plus) amortization of gain (or loss) on reacquired debt.</t>
  </si>
  <si>
    <t xml:space="preserve">     Total</t>
  </si>
  <si>
    <t>(1)  Includes account 106</t>
  </si>
  <si>
    <t>WPB-2.2c</t>
  </si>
  <si>
    <t>Gas Feeder- Line AM-2-River Crossing</t>
  </si>
  <si>
    <t>Gas Feeder- Line AM-2-Other</t>
  </si>
  <si>
    <t>WPB-2.2d</t>
  </si>
  <si>
    <t>Gas Feeder- Line AM-7-River Crossing</t>
  </si>
  <si>
    <t>Gas Feeder- Line AM-7-Other</t>
  </si>
  <si>
    <t>WPB-2.2e</t>
  </si>
  <si>
    <t>Gas Feeder- Line UL-6</t>
  </si>
  <si>
    <t>Land (Three Mile Station)</t>
  </si>
  <si>
    <t>Struc. &amp; Improv. (Three Mile Station)</t>
  </si>
  <si>
    <t>Cold Springs Odorization Station</t>
  </si>
  <si>
    <t>Alexandria Odorization Station</t>
  </si>
  <si>
    <t>WPB-2.2f</t>
  </si>
  <si>
    <t>ORIGINAL COST APPLICABLE TO GAS FACILITIES</t>
  </si>
  <si>
    <t>DEVOTED TO OTHER THAN KENTUCKY CUSTOMERS</t>
  </si>
  <si>
    <t>Propane</t>
  </si>
  <si>
    <t>Gas Feeder Lines</t>
  </si>
  <si>
    <t>Cavern</t>
  </si>
  <si>
    <t>AM-1 River</t>
  </si>
  <si>
    <t>AM-2 River</t>
  </si>
  <si>
    <t>AM-7 River</t>
  </si>
  <si>
    <t>Cold Springs</t>
  </si>
  <si>
    <t>Alexandria</t>
  </si>
  <si>
    <t>&amp; Proc Fac</t>
  </si>
  <si>
    <t>AM</t>
  </si>
  <si>
    <t>Crossing</t>
  </si>
  <si>
    <t>AM-1 Other</t>
  </si>
  <si>
    <t>AM-2 Other</t>
  </si>
  <si>
    <t>AM-7 Other</t>
  </si>
  <si>
    <t>UL-6 Other</t>
  </si>
  <si>
    <t>Odor Plant</t>
  </si>
  <si>
    <t>KY Cust</t>
  </si>
  <si>
    <t>Work Paper Reference from:</t>
  </si>
  <si>
    <t>(WPB-2.2a)</t>
  </si>
  <si>
    <t>(WPB-2.2b)</t>
  </si>
  <si>
    <t>(WPB-2.2c)</t>
  </si>
  <si>
    <t>(WPB-2.2d)</t>
  </si>
  <si>
    <t>(WPB-2.2e)</t>
  </si>
  <si>
    <t>WPB-2.2g</t>
  </si>
  <si>
    <t>WPB-2.2h</t>
  </si>
  <si>
    <t>WORK PAPER REFERENCE NO(S).: WPB-2.2a through WPB-2.2f</t>
  </si>
  <si>
    <t xml:space="preserve">    Federal income taxes (current) ($000,000)</t>
  </si>
  <si>
    <t xml:space="preserve">    State income taxes (current) ($000,000)</t>
  </si>
  <si>
    <t xml:space="preserve">    Total income taxes (current) ($000,000)</t>
  </si>
  <si>
    <t xml:space="preserve">    Investment tax credits - net ($000,000)</t>
  </si>
  <si>
    <t>Sale of Accounts Receivable</t>
  </si>
  <si>
    <t>Amount Sold for Cash/Classified as Receivable</t>
  </si>
  <si>
    <t>Totals</t>
  </si>
  <si>
    <t>Cost of Short-Term Debt</t>
  </si>
  <si>
    <t>EMBEDDED COST OF LONG-TERM DEBT</t>
  </si>
  <si>
    <t>SCHEDULE J-3</t>
  </si>
  <si>
    <t>DEBT ISSUE</t>
  </si>
  <si>
    <t>MATURITY</t>
  </si>
  <si>
    <t>FACE</t>
  </si>
  <si>
    <t>UNAMORT.</t>
  </si>
  <si>
    <t>UNAMORT. LOSS</t>
  </si>
  <si>
    <t>ANNUAL</t>
  </si>
  <si>
    <t>TYPE, COUPON</t>
  </si>
  <si>
    <t>ISSUED</t>
  </si>
  <si>
    <t>PRINCIPAL</t>
  </si>
  <si>
    <t>(DISCOUNT)</t>
  </si>
  <si>
    <t>ON REACQUIRED</t>
  </si>
  <si>
    <t>CARRYING</t>
  </si>
  <si>
    <t>(DAY/MO/YR)</t>
  </si>
  <si>
    <t>OR PREMIUM</t>
  </si>
  <si>
    <t>VALUE</t>
  </si>
  <si>
    <t>COST(*)</t>
  </si>
  <si>
    <t>(H=D+E-F-G)</t>
  </si>
  <si>
    <t>10.25% due 6/1/2020</t>
  </si>
  <si>
    <t>9.7% due 7/1/2019</t>
  </si>
  <si>
    <t>Transportation</t>
  </si>
  <si>
    <t xml:space="preserve">     Total Gas Plant</t>
  </si>
  <si>
    <t>SCHEDULE D-2.24</t>
  </si>
  <si>
    <t>WPD-2.24a</t>
  </si>
  <si>
    <t>D-2.24</t>
  </si>
  <si>
    <t>Total Billed Revenue (A)</t>
  </si>
  <si>
    <t>Other Revenue: (B)</t>
  </si>
  <si>
    <t>(a)  Completed Construction Not Classified is included with Plant in Service by function.</t>
  </si>
  <si>
    <t>CAPITAL STRUCTURE:</t>
  </si>
  <si>
    <t xml:space="preserve">    Long-term debt ($000)</t>
  </si>
  <si>
    <t xml:space="preserve">    Preferred stock ($000)</t>
  </si>
  <si>
    <t xml:space="preserve">    Common equity ($000)</t>
  </si>
  <si>
    <t>SCHEDULE B-3.2</t>
  </si>
  <si>
    <t>WORK PAPER REFERENCE NOS.: SCHEDULE B-2.1, SCHEDULE B-3</t>
  </si>
  <si>
    <t>ACCUMULATED DEPRECIATION AND AMORTIZATION</t>
  </si>
  <si>
    <t>SCHEDULE B-3</t>
  </si>
  <si>
    <t>Plant</t>
  </si>
  <si>
    <t>Retirement Work in Progress</t>
  </si>
  <si>
    <t xml:space="preserve">        SCHEDULE D-2.29</t>
  </si>
  <si>
    <t>Gas Feeder- Line AM-1-River Crossing</t>
  </si>
  <si>
    <t>Gas Feeder- Line AM-1-Other</t>
  </si>
  <si>
    <t>SCHEDULE D-2.10</t>
  </si>
  <si>
    <t>ELIMINATE PROPERTY TAX RELATED TO FACILITIES DEVOTED</t>
  </si>
  <si>
    <t>EXECUTIVE COMPENSATION</t>
  </si>
  <si>
    <t>WORK PAPER REFERENCE NO(S).</t>
  </si>
  <si>
    <t>PROPERTY MERGED OR ACQUIRED</t>
  </si>
  <si>
    <t>SCHEDULE B-2.4</t>
  </si>
  <si>
    <t>Commission</t>
  </si>
  <si>
    <t>Acquisition</t>
  </si>
  <si>
    <t>Approval Date</t>
  </si>
  <si>
    <t>Date of</t>
  </si>
  <si>
    <t>of</t>
  </si>
  <si>
    <t>of Property</t>
  </si>
  <si>
    <t>Basis</t>
  </si>
  <si>
    <t>(Docket No.)</t>
  </si>
  <si>
    <t>Treatment</t>
  </si>
  <si>
    <t>or Reference</t>
  </si>
  <si>
    <t>Description of Type</t>
  </si>
  <si>
    <t>Name of</t>
  </si>
  <si>
    <t>Frequency</t>
  </si>
  <si>
    <t>Amount of</t>
  </si>
  <si>
    <t>Property</t>
  </si>
  <si>
    <t>Explain Method of</t>
  </si>
  <si>
    <t>Number</t>
  </si>
  <si>
    <t>and Use of Property</t>
  </si>
  <si>
    <t>Lessee</t>
  </si>
  <si>
    <t>of Payment</t>
  </si>
  <si>
    <t>Lease Payment</t>
  </si>
  <si>
    <t>Oper Income Before Federal &amp; State Income Taxes</t>
  </si>
  <si>
    <t>WORK PAPER REFERENCE NO(S).:  SCHEDULE F-6, WPD-2.16a.</t>
  </si>
  <si>
    <t xml:space="preserve">        SCHEDULE D-2.15</t>
  </si>
  <si>
    <t>SCHEDULE D-2.14</t>
  </si>
  <si>
    <t>WORK PAPER REFERENCE NO(S).:  WPD-2.14a</t>
  </si>
  <si>
    <t>PURPOSE AND DESCRIPTION: To adjust base period other operating</t>
  </si>
  <si>
    <t>PRO FORMA ADJUSTMENTS</t>
  </si>
  <si>
    <t>D-2.30</t>
  </si>
  <si>
    <t>D-2.31</t>
  </si>
  <si>
    <t>D-2.1 thru D-2.14</t>
  </si>
  <si>
    <t xml:space="preserve">          PAGE  7  OF  7</t>
  </si>
  <si>
    <t>SCH D-1, PG. 2</t>
  </si>
  <si>
    <t>SCH D-1, PG. 5</t>
  </si>
  <si>
    <t>Debentures</t>
  </si>
  <si>
    <t>DEPRECIATION AND AMORTIZATION ACCRUAL RATES AND</t>
  </si>
  <si>
    <t>JURISDICTIONAL ACCUMULATED BALANCES BY ACCOUNTS,</t>
  </si>
  <si>
    <t>FUNCTIONAL CLASS OR MAJOR PROPERTY GROUP</t>
  </si>
  <si>
    <t xml:space="preserve">    S&amp;P's Unsecured Debt</t>
  </si>
  <si>
    <t>PLANT DATA ($000 omitted): (a)</t>
  </si>
  <si>
    <t xml:space="preserve"> Gas Plant</t>
  </si>
  <si>
    <t xml:space="preserve">   Intangible</t>
  </si>
  <si>
    <t xml:space="preserve">   Production-Mfg. Gas</t>
  </si>
  <si>
    <t xml:space="preserve">   Storage-Local</t>
  </si>
  <si>
    <t xml:space="preserve">   Transmission</t>
  </si>
  <si>
    <t xml:space="preserve">   Distribution</t>
  </si>
  <si>
    <t xml:space="preserve">   General</t>
  </si>
  <si>
    <t xml:space="preserve">      Total Gas Plant-Gross</t>
  </si>
  <si>
    <t xml:space="preserve">   Less: Accum. Provision for Depr. and Amort.</t>
  </si>
  <si>
    <t xml:space="preserve">      Gas Plant in Service-Net</t>
  </si>
  <si>
    <t xml:space="preserve"> Electric Plant</t>
  </si>
  <si>
    <t xml:space="preserve">   Production Plant-Steam</t>
  </si>
  <si>
    <t xml:space="preserve">   Production Plant-Hydro</t>
  </si>
  <si>
    <t xml:space="preserve">   Production Plant-Other</t>
  </si>
  <si>
    <t xml:space="preserve">      Total Electric Plant-Gross</t>
  </si>
  <si>
    <t xml:space="preserve">      Electric Plant in Service-Net</t>
  </si>
  <si>
    <t xml:space="preserve"> Common Plant</t>
  </si>
  <si>
    <t xml:space="preserve">   Common Plant</t>
  </si>
  <si>
    <t xml:space="preserve">      Common Plant in Service-Net</t>
  </si>
  <si>
    <t xml:space="preserve">   Plant Held for Future Use</t>
  </si>
  <si>
    <t xml:space="preserve">   Construction Work in Progress</t>
  </si>
  <si>
    <t xml:space="preserve">   Net Utility Plant</t>
  </si>
  <si>
    <t xml:space="preserve">   Percentage of Construction Expenditures</t>
  </si>
  <si>
    <t xml:space="preserve">        Financed Internally</t>
  </si>
  <si>
    <t>Total Income Taxes</t>
  </si>
  <si>
    <t>ADJUST INCOME TAX EXPENSE</t>
  </si>
  <si>
    <t xml:space="preserve">          SCHEDULE D-2.17</t>
  </si>
  <si>
    <t>Ohio Property Taxes - General</t>
  </si>
  <si>
    <t>Taxes Property-Operating</t>
  </si>
  <si>
    <t>State Unemployment Tax</t>
  </si>
  <si>
    <t>Federal Unemployment Tax</t>
  </si>
  <si>
    <t>Employer FICA Tax</t>
  </si>
  <si>
    <t>Fed Social Security Tax-Elec</t>
  </si>
  <si>
    <t>Allocated Payroll Taxes</t>
  </si>
  <si>
    <t>State/Local Inc Tax - Oth Inc &amp; Ded - PY</t>
  </si>
  <si>
    <t>Gas Losses Damaged Lines</t>
  </si>
  <si>
    <t>Outside Services Employed</t>
  </si>
  <si>
    <t>DEVELOPMENT OF JURISDICTIONAL FEDERAL AND STATE INCOME TAXES</t>
  </si>
  <si>
    <t>SCHEDULE D-2.9</t>
  </si>
  <si>
    <t>PURPOSE AND DESCRIPTION: To adjust base period A&amp;G</t>
  </si>
  <si>
    <t>A&amp;G Expenses</t>
  </si>
  <si>
    <t>WPD-2.9a</t>
  </si>
  <si>
    <t>ADJUST BASE PERIOD A&amp;G EXPENSE</t>
  </si>
  <si>
    <t>A&amp;G Expense</t>
  </si>
  <si>
    <t>Electric Cash Working Capital</t>
  </si>
  <si>
    <t>Less: Fuel and Purchased Power Expense</t>
  </si>
  <si>
    <t xml:space="preserve">  Net Operation &amp; Maintenance Expense</t>
  </si>
  <si>
    <t>Gas Cash Working Capital</t>
  </si>
  <si>
    <t>Company Records</t>
  </si>
  <si>
    <t>Less: Purchased Gas Cost</t>
  </si>
  <si>
    <t>To WPA-1b</t>
  </si>
  <si>
    <t>To WPA-1d</t>
  </si>
  <si>
    <t>--&gt; To Sch. WPA-1b</t>
  </si>
  <si>
    <t>WPB-5.1j</t>
  </si>
  <si>
    <t>Coal</t>
  </si>
  <si>
    <t>Prepaid</t>
  </si>
  <si>
    <t>Public Utility</t>
  </si>
  <si>
    <t>To WPB-5.1e</t>
  </si>
  <si>
    <t>East Bend</t>
  </si>
  <si>
    <t>Woodsdale</t>
  </si>
  <si>
    <t>151700 (A)</t>
  </si>
  <si>
    <t>To SCH B-5.1</t>
  </si>
  <si>
    <t xml:space="preserve">       and SIT) ($000,000)</t>
  </si>
  <si>
    <t xml:space="preserve">        Income Taxes</t>
  </si>
  <si>
    <t xml:space="preserve">    GAIN ON DISPOSITION OF PROPERTY</t>
  </si>
  <si>
    <t xml:space="preserve">      TOTAL OTHER INCOME</t>
  </si>
  <si>
    <t xml:space="preserve">  OTHER INCOME DEDUCTIONS</t>
  </si>
  <si>
    <t xml:space="preserve">    LOSS ON DISPOSITION OF PROPERTY</t>
  </si>
  <si>
    <t xml:space="preserve">    MISCELLANEOUS INCOME DEDUCTIONS</t>
  </si>
  <si>
    <t xml:space="preserve">      TOTAL OTHER INCOME DEDUCTIONS</t>
  </si>
  <si>
    <t xml:space="preserve">  TAXES APPLICABLE TO OTHER INCOME AND DEDUCTIONS</t>
  </si>
  <si>
    <t xml:space="preserve">                                   - OTHER</t>
  </si>
  <si>
    <t xml:space="preserve">      TOTAL TAXES ON OTHER INCOME AND DEDUCTIONS</t>
  </si>
  <si>
    <t xml:space="preserve">      NET OTHER INCOME AND DEDUCTIONS</t>
  </si>
  <si>
    <t xml:space="preserve">  INTEREST CHARGES</t>
  </si>
  <si>
    <t xml:space="preserve">    INTEREST ON LONG TERM DEBT</t>
  </si>
  <si>
    <t xml:space="preserve">    AMORTIZATION OF DEBT DISCOUNT AND EXPENSE</t>
  </si>
  <si>
    <t>Retirement Work In Progress</t>
  </si>
  <si>
    <t xml:space="preserve">Total Manufactured Gas Production Plant </t>
  </si>
  <si>
    <t>(1) Plant Investment includes Completed Construction Not Classified (Account 106).</t>
  </si>
  <si>
    <t>(2) This account is fully depreciated.</t>
  </si>
  <si>
    <t>R4</t>
  </si>
  <si>
    <t>R2.5</t>
  </si>
  <si>
    <t>R2</t>
  </si>
  <si>
    <t>R1</t>
  </si>
  <si>
    <t>S2.5</t>
  </si>
  <si>
    <t>R1.5</t>
  </si>
  <si>
    <t>(1)  Plant Investment includes Completed Construction Not Classified (Account 106).</t>
  </si>
  <si>
    <t>Depr. Charged to Transp. Expense</t>
  </si>
  <si>
    <t>Total Common Plant</t>
  </si>
  <si>
    <t>Reserve</t>
  </si>
  <si>
    <t>Annual Provision</t>
  </si>
  <si>
    <t>SCHEDULE B-4</t>
  </si>
  <si>
    <t>Jurisdic-</t>
  </si>
  <si>
    <t>tional %</t>
  </si>
  <si>
    <t>Gross</t>
  </si>
  <si>
    <t>Manufactured Gas Production</t>
  </si>
  <si>
    <t>Less:  Gas Facilities Devoted to</t>
  </si>
  <si>
    <t xml:space="preserve">  Other Than Kentucky Customers</t>
  </si>
  <si>
    <t>Net Manufactured Gas Production</t>
  </si>
  <si>
    <t>Net Distribution</t>
  </si>
  <si>
    <t>Total Common</t>
  </si>
  <si>
    <t>WORK PAPER REFERENCE NO(S).:  SCHEDULE C-2.1</t>
  </si>
  <si>
    <t>SCHEDULE F-4</t>
  </si>
  <si>
    <t>OF SIGNIFICANT</t>
  </si>
  <si>
    <t>JUSTIFICATION</t>
  </si>
  <si>
    <t xml:space="preserve"> Completed Construction Not Classified</t>
  </si>
  <si>
    <t>Investment (1)</t>
  </si>
  <si>
    <t>L2.5</t>
  </si>
  <si>
    <t>Amortized over 60 months</t>
  </si>
  <si>
    <t>ERLANGER GAS PLANT</t>
  </si>
  <si>
    <t>Month</t>
  </si>
  <si>
    <t>Physical Inv. Adj.</t>
  </si>
  <si>
    <t>of presenting this case as reflected on Schedule F-6, amortized</t>
  </si>
  <si>
    <t xml:space="preserve">13 Month </t>
  </si>
  <si>
    <t>13 Month Average</t>
  </si>
  <si>
    <t>Time Value of Money Reclassification</t>
  </si>
  <si>
    <t>Uncollectible Expense Annualization</t>
  </si>
  <si>
    <t>Total Uncollectible Expense Adjustment</t>
  </si>
  <si>
    <t>Less: Interdepartmental Revenues</t>
  </si>
  <si>
    <t>ANNUALIZE UNCOLLECTIBLE EXPENSE</t>
  </si>
  <si>
    <t>Annualized Uncollectible Expense (4) * (5)</t>
  </si>
  <si>
    <t>Late Payment Charges</t>
  </si>
  <si>
    <t>Miscellaneous Service Revenue</t>
  </si>
  <si>
    <t xml:space="preserve">  LESS: ACCUMULATED PROVISION FOR DEPRECIATION</t>
  </si>
  <si>
    <t xml:space="preserve">  NET UTILITY PLANT</t>
  </si>
  <si>
    <t>OTHER PROPERTY AND INVESTMENTS</t>
  </si>
  <si>
    <t xml:space="preserve">  NONUTILITY PROPERTY - NET</t>
  </si>
  <si>
    <t xml:space="preserve">  OTHER INVESTMENTS</t>
  </si>
  <si>
    <t xml:space="preserve">  SPECIAL FUNDS</t>
  </si>
  <si>
    <t>than DE-Ky</t>
  </si>
  <si>
    <t>DE-Ky</t>
  </si>
  <si>
    <t xml:space="preserve">    OTHER END USERS</t>
  </si>
  <si>
    <t xml:space="preserve">  EMISSION ALLOWANCES</t>
  </si>
  <si>
    <t xml:space="preserve">  OBLIGATIONS UNDER CAPITAL LEASES - CURRENT</t>
  </si>
  <si>
    <t xml:space="preserve">  ACCUMULATED PROVISION FOR RATE REFUNDS</t>
  </si>
  <si>
    <t xml:space="preserve">  ASSET RETIREMENT OBLIGATIONS</t>
  </si>
  <si>
    <t>DUKE ENEERGY KENTUCKY, INC.</t>
  </si>
  <si>
    <t>Than DE-Ky Custs.</t>
  </si>
  <si>
    <t>WORK PAPER REFERENCE NO(S).: SCHEDULE B-2.1, SCHEDULE B-3.1</t>
  </si>
  <si>
    <t xml:space="preserve">  Admin. &amp; General Expense</t>
  </si>
  <si>
    <t xml:space="preserve"> Total Oper and Maint Expenses</t>
  </si>
  <si>
    <t xml:space="preserve">  Depreciation Expense</t>
  </si>
  <si>
    <t xml:space="preserve">   Other Federal Taxes</t>
  </si>
  <si>
    <t xml:space="preserve">   State and Other Taxes</t>
  </si>
  <si>
    <t xml:space="preserve"> Total Taxes Other Than Income Tax</t>
  </si>
  <si>
    <t xml:space="preserve"> State Income Taxes</t>
  </si>
  <si>
    <t>State Check</t>
  </si>
  <si>
    <t>Adjustment Total</t>
  </si>
  <si>
    <t>Tax Schedule</t>
  </si>
  <si>
    <t>Difference</t>
  </si>
  <si>
    <t xml:space="preserve"> Total State Income Tax Expense</t>
  </si>
  <si>
    <t>Fed Check</t>
  </si>
  <si>
    <t xml:space="preserve"> Total Federal Income Tax Expense</t>
  </si>
  <si>
    <t>Total Oper. Expenses and Tax</t>
  </si>
  <si>
    <t>Print Check</t>
  </si>
  <si>
    <t>CUSTOMER</t>
  </si>
  <si>
    <t>CUST. SERV.</t>
  </si>
  <si>
    <t>SALES</t>
  </si>
  <si>
    <t>A&amp;G</t>
  </si>
  <si>
    <t>DEPRECIATION</t>
  </si>
  <si>
    <t>ACCOUNTS EXP.</t>
  </si>
  <si>
    <t>&amp; INFO. EXP.</t>
  </si>
  <si>
    <t>TAX EXP.</t>
  </si>
  <si>
    <t>D-2.6</t>
  </si>
  <si>
    <t>D-2.8</t>
  </si>
  <si>
    <t>D-2.9</t>
  </si>
  <si>
    <t xml:space="preserve"> Total Revenue</t>
  </si>
  <si>
    <t xml:space="preserve"> Production Expenses</t>
  </si>
  <si>
    <t xml:space="preserve"> Distribution Expense</t>
  </si>
  <si>
    <t xml:space="preserve"> Customer Accounts Expense</t>
  </si>
  <si>
    <t xml:space="preserve"> Customer Serv &amp; Info Expense</t>
  </si>
  <si>
    <t xml:space="preserve"> Sales Expense</t>
  </si>
  <si>
    <t xml:space="preserve"> Admin &amp; General Expense</t>
  </si>
  <si>
    <t xml:space="preserve">PURPOSE AND DESCRIPTION: To adjust base period revenue to </t>
  </si>
  <si>
    <t>To Sch D-1 Summary &lt;--</t>
  </si>
  <si>
    <t xml:space="preserve">Total Revenue Adjustment </t>
  </si>
  <si>
    <t>Jurisdictional allocation percentage (A)</t>
  </si>
  <si>
    <t>Plan</t>
  </si>
  <si>
    <t>SCHEDULE D-2.26</t>
  </si>
  <si>
    <t>To Sch D-1 Summary   &lt;---</t>
  </si>
  <si>
    <t>Actual</t>
  </si>
  <si>
    <t>Budget</t>
  </si>
  <si>
    <t>Tax Interest Capitalized</t>
  </si>
  <si>
    <t>BEFORE ADJUSTMENTS</t>
  </si>
  <si>
    <t>SCHEDULE E-2</t>
  </si>
  <si>
    <t>UTILITY</t>
  </si>
  <si>
    <t>CODE/EXPLANATION</t>
  </si>
  <si>
    <t>COMPUTATION OF RATIO OF PLANT DEVOTED TO OTHER THAN</t>
  </si>
  <si>
    <t>DO NOT PRINT</t>
  </si>
  <si>
    <t>Total Net Gas Plant before Adjustment</t>
  </si>
  <si>
    <t xml:space="preserve">   of Facilities Devoted to Other</t>
  </si>
  <si>
    <t xml:space="preserve">         B-2</t>
  </si>
  <si>
    <t>Original Cost</t>
  </si>
  <si>
    <t xml:space="preserve">    less:  B-3, Pg 4</t>
  </si>
  <si>
    <t>Accum Depr.</t>
  </si>
  <si>
    <t>Net Plant</t>
  </si>
  <si>
    <t>Total Net Gas Plant Devoted to</t>
  </si>
  <si>
    <t xml:space="preserve">      B-2.2  Total</t>
  </si>
  <si>
    <t xml:space="preserve">   less: B-3.1  Reserve</t>
  </si>
  <si>
    <t xml:space="preserve">Ratio of Plant Devoted to Other Than </t>
  </si>
  <si>
    <t xml:space="preserve">WITNESS RESPONSIBLE:  </t>
  </si>
  <si>
    <t xml:space="preserve">PRODUCTION OPERATING EXPENSES ALLOCABLE TO </t>
  </si>
  <si>
    <t>Alloc</t>
  </si>
  <si>
    <t>% (1)</t>
  </si>
  <si>
    <t>OPERATION AND MAINTENANCE EXPENSE</t>
  </si>
  <si>
    <t>Labor</t>
  </si>
  <si>
    <t>To Schedule D-1</t>
  </si>
  <si>
    <t>SCHEDULE D-2.2</t>
  </si>
  <si>
    <t>Purchased Gas</t>
  </si>
  <si>
    <t>Total Purchased Gas Cost Expenses</t>
  </si>
  <si>
    <t>To Sch D-1 Summary &lt;---</t>
  </si>
  <si>
    <t>PURPOSE AND DESCRIPTION: To reflect the elimination of revenues</t>
  </si>
  <si>
    <t>To Sch D-1 Summary    &lt;----</t>
  </si>
  <si>
    <t>ELIMINATE O&amp;M RELATED TO FACILITIES DEVOTED</t>
  </si>
  <si>
    <t xml:space="preserve">     WITNESS RESPONSIBLE:</t>
  </si>
  <si>
    <t>PURPOSE AND DESCRIPTION: To reflect the elimination of O&amp;M expenses and associated</t>
  </si>
  <si>
    <t xml:space="preserve">   To Sch D-1 Summary &lt;----</t>
  </si>
  <si>
    <t xml:space="preserve">     To Sch D-2.16 &lt;---</t>
  </si>
  <si>
    <t xml:space="preserve"> To WPD-2.16a &lt;------------</t>
  </si>
  <si>
    <t xml:space="preserve">     From Sch F-6 &lt;---</t>
  </si>
  <si>
    <t>AG</t>
  </si>
  <si>
    <t>Dist</t>
  </si>
  <si>
    <t>CSI</t>
  </si>
  <si>
    <t>Sales</t>
  </si>
  <si>
    <t xml:space="preserve">                      WPE-1a</t>
  </si>
  <si>
    <t>Expense</t>
  </si>
  <si>
    <t>SUMMARY OF JURISDICTIONAL FACTORS</t>
  </si>
  <si>
    <t>OPERATING INCOME</t>
  </si>
  <si>
    <t xml:space="preserve">                       SCHEDULE D-3</t>
  </si>
  <si>
    <t xml:space="preserve">                       PAGE  1  OF  1</t>
  </si>
  <si>
    <t xml:space="preserve">                       WITNESS RESPONSIBLE:</t>
  </si>
  <si>
    <t>FACTOR %</t>
  </si>
  <si>
    <t>UNCOLLECTIBLE ACCOUNTS EXPENSE</t>
  </si>
  <si>
    <t>AVERAGE DISCOUNT RATE</t>
  </si>
  <si>
    <t>REVENUE STATISTICS-TOTAL COMPANY</t>
  </si>
  <si>
    <t>SCHEDULE I-2.1</t>
  </si>
  <si>
    <t>TWO PROJECTED</t>
  </si>
  <si>
    <t xml:space="preserve">          SCHEDULE D-2.1</t>
  </si>
  <si>
    <t xml:space="preserve">Total </t>
  </si>
  <si>
    <t>None</t>
  </si>
  <si>
    <t>WPF-5a</t>
  </si>
  <si>
    <t>Project / Description</t>
  </si>
  <si>
    <t>WPF-4a</t>
  </si>
  <si>
    <t>WPF-4b</t>
  </si>
  <si>
    <t>JURISDICTIONAL STATISTICS</t>
  </si>
  <si>
    <t xml:space="preserve">    SCHEDULE D-4</t>
  </si>
  <si>
    <t xml:space="preserve">    PAGE  1  OF  1</t>
  </si>
  <si>
    <t xml:space="preserve">    WITNESS RESPONSIBLE:</t>
  </si>
  <si>
    <t>FACTOR</t>
  </si>
  <si>
    <t xml:space="preserve">    SCHEDULE D-5</t>
  </si>
  <si>
    <t>IN PRIOR CASE</t>
  </si>
  <si>
    <t>PROCEDURE APPROVED</t>
  </si>
  <si>
    <t>ADJUSTED JURISDICTIONAL FEDERAL AND STATE INCOME TAXES</t>
  </si>
  <si>
    <t>SCHEDULE E-1</t>
  </si>
  <si>
    <t>WIT9:</t>
  </si>
  <si>
    <t>WORK PAPER REFERENCE NO(S).: WPD-2.18a, WPD-2.18b</t>
  </si>
  <si>
    <t>WORK PAPER REFERENCE NO(S).: WPF-5a, WPF-5b</t>
  </si>
  <si>
    <t>Period:</t>
  </si>
  <si>
    <t>WIT2:</t>
  </si>
  <si>
    <t>(A) Source: WPC-2d.</t>
  </si>
  <si>
    <t>Commercial - Res.</t>
  </si>
  <si>
    <t>(B) Source: Schedule C-2.1 and WPC-2c.</t>
  </si>
  <si>
    <t xml:space="preserve">   AND INFORMATION EXPENSE</t>
  </si>
  <si>
    <t>ADJUST BASE PERIOD CUSTOMER SERVICE</t>
  </si>
  <si>
    <t>(A) Source: Schedule H</t>
  </si>
  <si>
    <t xml:space="preserve">      D-2.19 Pg 5</t>
  </si>
  <si>
    <t xml:space="preserve">  &amp; Sch E-1, Pg. 1</t>
  </si>
  <si>
    <t>WORK PAPER REFERENCE NO(S).: WPD-2.23a</t>
  </si>
  <si>
    <t>WPE-1b</t>
  </si>
  <si>
    <t>State Income Tax Deductible from Page 2</t>
  </si>
  <si>
    <t>Gas Purchased Expense</t>
  </si>
  <si>
    <t xml:space="preserve">    Total Other Gas Supply Expense</t>
  </si>
  <si>
    <t>Distribution Expenses</t>
  </si>
  <si>
    <t>Supervision and Engineering</t>
  </si>
  <si>
    <t>Load Dispatching</t>
  </si>
  <si>
    <t>Mains and Services</t>
  </si>
  <si>
    <t>Measuring and Reg. Stations - General</t>
  </si>
  <si>
    <t xml:space="preserve">  Misc Cust Serv and Info - Gas</t>
  </si>
  <si>
    <t xml:space="preserve">Other </t>
  </si>
  <si>
    <t>WPD-2.12a</t>
  </si>
  <si>
    <t>(A) Calculation may be different due to rounding.</t>
  </si>
  <si>
    <t>State Income Tax - Current from Page 2</t>
  </si>
  <si>
    <t xml:space="preserve">      Total State Income Tax Expense</t>
  </si>
  <si>
    <t xml:space="preserve">   before State Income Tax from Page 2</t>
  </si>
  <si>
    <t xml:space="preserve">      Federal Taxable Income</t>
  </si>
  <si>
    <t xml:space="preserve">      Federal Income Tax - Current</t>
  </si>
  <si>
    <t>EXPENSES RELATED TO FACILITIES</t>
  </si>
  <si>
    <t>Social Security Taxes</t>
  </si>
  <si>
    <t>PAGE  1  OF  8</t>
  </si>
  <si>
    <t>Undetermined</t>
  </si>
  <si>
    <t>OCTOBER</t>
  </si>
  <si>
    <t>NOVEMBER</t>
  </si>
  <si>
    <t>DECEMBER</t>
  </si>
  <si>
    <t>FEBRUARY</t>
  </si>
  <si>
    <t>MARCH</t>
  </si>
  <si>
    <t>APRIL</t>
  </si>
  <si>
    <t xml:space="preserve">         Total Operation and Maintenance Expenses</t>
  </si>
  <si>
    <t xml:space="preserve">   Total Adjustment to Operating Expense</t>
  </si>
  <si>
    <t>Income before State and Federal Income taxes</t>
  </si>
  <si>
    <t>Adjustments To State And Federal Income Taxes:</t>
  </si>
  <si>
    <t>Elimination of Reconciling Items &amp; Sch "M"'s related to Facilities</t>
  </si>
  <si>
    <t>Alloc to Fac.</t>
  </si>
  <si>
    <t>Devoted - Other</t>
  </si>
  <si>
    <t xml:space="preserve">    Eliminated</t>
  </si>
  <si>
    <t>Sch E-1</t>
  </si>
  <si>
    <t>(1*2)</t>
  </si>
  <si>
    <t xml:space="preserve">   Tax Depreciation</t>
  </si>
  <si>
    <t xml:space="preserve">    ---&gt; To Sch E-1</t>
  </si>
  <si>
    <t xml:space="preserve">   Loss on ACRS</t>
  </si>
  <si>
    <t xml:space="preserve">      Total Schedule "M" Adjustments to be Eliminated</t>
  </si>
  <si>
    <t xml:space="preserve"> --&gt; To Sch D-1</t>
  </si>
  <si>
    <t>Allc to Fac.</t>
  </si>
  <si>
    <t>Devoted to Other</t>
  </si>
  <si>
    <t>Elimination of State Tax Deferrals related to Facilities</t>
  </si>
  <si>
    <t xml:space="preserve"> --| To Sch-</t>
  </si>
  <si>
    <t>Elimination of Federal Tax Deferrals related to Facilities</t>
  </si>
  <si>
    <t xml:space="preserve">          PAGE  1  OF  1</t>
  </si>
  <si>
    <t>WORK PAPER REFERENCE NO(S).:  WPD-2.1a</t>
  </si>
  <si>
    <t xml:space="preserve">  Taxes Other Than Income Taxes</t>
  </si>
  <si>
    <t>To Sch D-1 Summary</t>
  </si>
  <si>
    <t>WORK PAPER REFERENCE NO(S).: WPB-6a, WPB-6c</t>
  </si>
  <si>
    <t>SCHEDULE D-2.8</t>
  </si>
  <si>
    <t>PURPOSE AND DESCRIPTION: To adjust base period sales</t>
  </si>
  <si>
    <t>Sales Expenses</t>
  </si>
  <si>
    <t>PAGE  2  OF  8</t>
  </si>
  <si>
    <t>PAGE  3  OF  8</t>
  </si>
  <si>
    <t>PAGE  4  OF  8</t>
  </si>
  <si>
    <t>PAGE  5  OF  8</t>
  </si>
  <si>
    <t>PAGE  6  OF  8</t>
  </si>
  <si>
    <t>PAGE  7  OF  8</t>
  </si>
  <si>
    <t>PAGE  8  OF  8</t>
  </si>
  <si>
    <t>Miscellaneous</t>
  </si>
  <si>
    <t>ADVERTISING</t>
  </si>
  <si>
    <t xml:space="preserve">   WITNESS RESPONSIBLE:</t>
  </si>
  <si>
    <t>SALES OR</t>
  </si>
  <si>
    <t>PROMOTIONAL</t>
  </si>
  <si>
    <t>INSTITUTIONAL</t>
  </si>
  <si>
    <t>CONSERVATION</t>
  </si>
  <si>
    <t>ITEM</t>
  </si>
  <si>
    <t>Newspaper</t>
  </si>
  <si>
    <t>Magazines and Other</t>
  </si>
  <si>
    <t>Television</t>
  </si>
  <si>
    <t>Radio</t>
  </si>
  <si>
    <t>Direct Mail</t>
  </si>
  <si>
    <t>Sales Aids</t>
  </si>
  <si>
    <t xml:space="preserve">Amount Assigned to </t>
  </si>
  <si>
    <t xml:space="preserve"> KY Retail</t>
  </si>
  <si>
    <t>PROFESSIONAL SERVICES EXPENSES</t>
  </si>
  <si>
    <t>SCHEDULE F-5</t>
  </si>
  <si>
    <t>Expense Breakdown</t>
  </si>
  <si>
    <t>Juris.</t>
  </si>
  <si>
    <t>Rate</t>
  </si>
  <si>
    <t>G. J. HEBBELER</t>
  </si>
  <si>
    <t xml:space="preserve">    Total Other Revenues</t>
  </si>
  <si>
    <t xml:space="preserve">      Total Revenue</t>
  </si>
  <si>
    <t>Production Expense</t>
  </si>
  <si>
    <t xml:space="preserve">  Manufactured Gas Expense</t>
  </si>
  <si>
    <t>Operation</t>
  </si>
  <si>
    <t>Steam Expenses</t>
  </si>
  <si>
    <t>Other Power Expenses</t>
  </si>
  <si>
    <t>Liquefied Petroleum Expense</t>
  </si>
  <si>
    <t>Liquefied Petroleum Gas</t>
  </si>
  <si>
    <t>Miscellaneous Production Expense</t>
  </si>
  <si>
    <t xml:space="preserve">    Total Operation</t>
  </si>
  <si>
    <t>Maintenance</t>
  </si>
  <si>
    <t>Maintenance of Production Expense</t>
  </si>
  <si>
    <t xml:space="preserve">    Total Maintenance</t>
  </si>
  <si>
    <t xml:space="preserve">    Total Production Expense</t>
  </si>
  <si>
    <t>Other Gas Supply Expense</t>
  </si>
  <si>
    <t xml:space="preserve">  Purchased Gas Expense</t>
  </si>
  <si>
    <t>Unrecovered Purchase Gas Cost Adj.</t>
  </si>
  <si>
    <t>F.T.I. Before S.I.T. &amp; Federal Tax Loss Carryforward</t>
  </si>
  <si>
    <t>Ky Tax Inc Adj - Misc:</t>
  </si>
  <si>
    <t>WIT1:</t>
  </si>
  <si>
    <t>Employee Benefits</t>
  </si>
  <si>
    <t>Payroll Taxes</t>
  </si>
  <si>
    <t>Total Payroll Costs</t>
  </si>
  <si>
    <t>(A) Allocation Code:</t>
  </si>
  <si>
    <t>RECENT FIVE CALENDAR YEARS SUPPLIED BY GAD.</t>
  </si>
  <si>
    <t>Average of 12 months demand factor less lighting</t>
  </si>
  <si>
    <t>K301</t>
  </si>
  <si>
    <t>Total kWh energy factor</t>
  </si>
  <si>
    <t>K305</t>
  </si>
  <si>
    <t>Total kWh energy factor less lighting</t>
  </si>
  <si>
    <t>K411</t>
  </si>
  <si>
    <t>Administrative &amp; General</t>
  </si>
  <si>
    <t>NP29</t>
  </si>
  <si>
    <t>Total net plant factor</t>
  </si>
  <si>
    <t>UNBL</t>
  </si>
  <si>
    <t>Unbilled revenue factor - directly assigned</t>
  </si>
  <si>
    <t>SCHEDULE A</t>
  </si>
  <si>
    <t>PAGE  1  OF  1</t>
  </si>
  <si>
    <t>WORK PAPER REFERENCE NO(S).: SEE BELOW</t>
  </si>
  <si>
    <t>WITNESS RESPONSIBLE:</t>
  </si>
  <si>
    <t>LINE</t>
  </si>
  <si>
    <t>DATE</t>
  </si>
  <si>
    <t>Unadjusted</t>
  </si>
  <si>
    <t xml:space="preserve">% </t>
  </si>
  <si>
    <t>Adjustments</t>
  </si>
  <si>
    <t>Adjusted</t>
  </si>
  <si>
    <t>Code</t>
  </si>
  <si>
    <t>Legal</t>
  </si>
  <si>
    <t>Total Legal Services</t>
  </si>
  <si>
    <t>Engineering</t>
  </si>
  <si>
    <t>Total Engineering Services</t>
  </si>
  <si>
    <t>Accounting</t>
  </si>
  <si>
    <t>Total Accounting Services</t>
  </si>
  <si>
    <t>Total Other Services</t>
  </si>
  <si>
    <t>D-1, E-1</t>
  </si>
  <si>
    <t>ADJ. TO</t>
  </si>
  <si>
    <t xml:space="preserve">ADJUSTMENTS </t>
  </si>
  <si>
    <t>Forecast</t>
  </si>
  <si>
    <t>C319</t>
  </si>
  <si>
    <t>Customer Accounts Expenses</t>
  </si>
  <si>
    <t>D149</t>
  </si>
  <si>
    <t>Distribution gross plant factor</t>
  </si>
  <si>
    <t>D249</t>
  </si>
  <si>
    <t>Distribution net plant factor</t>
  </si>
  <si>
    <t>DALL</t>
  </si>
  <si>
    <t>Direct Assign</t>
  </si>
  <si>
    <t>DE49</t>
  </si>
  <si>
    <t>Depreciation expense factor</t>
  </si>
  <si>
    <t>DNON</t>
  </si>
  <si>
    <t>K201</t>
  </si>
  <si>
    <t>Average of 12 months demand factor</t>
  </si>
  <si>
    <t>K209</t>
  </si>
  <si>
    <t>ELIMINATE DEFERRED TAXES RELATED TO FACILITIES DEVOTED</t>
  </si>
  <si>
    <t xml:space="preserve">Based on 1/8 Oper. &amp; Maint. Expense </t>
  </si>
  <si>
    <t xml:space="preserve">less purchased gas costs or fuel and </t>
  </si>
  <si>
    <t>purchased power expenses.</t>
  </si>
  <si>
    <t>Other Working Capital:</t>
  </si>
  <si>
    <t>Fuel Inventory</t>
  </si>
  <si>
    <t>Propane - Woodsdale</t>
  </si>
  <si>
    <t>Total Fuel Inventory</t>
  </si>
  <si>
    <t>Gas Enricher Liquids</t>
  </si>
  <si>
    <t>Emission Allowances</t>
  </si>
  <si>
    <t>Materials and Supplies</t>
  </si>
  <si>
    <t>WORK PAPER REFERENCE NO(S).: WPB-5.1a through WPB-5.1j</t>
  </si>
  <si>
    <t>WORK PAPER REFERENCE NO(S).: WPH-a</t>
  </si>
  <si>
    <t>J. E. ZIOLKOWSKI</t>
  </si>
  <si>
    <t>SCHEDULE F-3</t>
  </si>
  <si>
    <t xml:space="preserve">  NO.</t>
  </si>
  <si>
    <t>DATE CERTAIN - DECEMBER 31, 2010</t>
  </si>
  <si>
    <t>Total O&amp;M</t>
  </si>
  <si>
    <t>Cust Receiv &amp; Collect Exp-Edp</t>
  </si>
  <si>
    <t>PLANT IN SERVICE BY MAJOR PROPERTY GROUPING</t>
  </si>
  <si>
    <t>SCHEDULE B-2</t>
  </si>
  <si>
    <t>WORK PAPER REFERENCE NO(S).: SCHEDULE B-2.1</t>
  </si>
  <si>
    <t>13 Month</t>
  </si>
  <si>
    <t>Major Property Groupings</t>
  </si>
  <si>
    <t>PAYROLL COSTS</t>
  </si>
  <si>
    <t xml:space="preserve">                      SCHEDULE G-1</t>
  </si>
  <si>
    <t xml:space="preserve">                      PAGE  1  OF  1</t>
  </si>
  <si>
    <t xml:space="preserve">               OPERATION AND MAINTENANCE  EXPENSES               </t>
  </si>
  <si>
    <t>Common</t>
  </si>
  <si>
    <t>Allocation at</t>
  </si>
  <si>
    <t>Adjusted &amp;</t>
  </si>
  <si>
    <t>Orig Cost</t>
  </si>
  <si>
    <t>ACCUMULATED RESERVE</t>
  </si>
  <si>
    <t>Accum</t>
  </si>
  <si>
    <t xml:space="preserve">    Fixed charge coverage</t>
  </si>
  <si>
    <t>(C) Included on Schedule B-1 as Investment Tax Credits, Line 9.</t>
  </si>
  <si>
    <t>(D) Included on Schedule B-1 as Deferred Income Taxes, Line 10.</t>
  </si>
  <si>
    <t>WPB-6a</t>
  </si>
  <si>
    <t>GAS</t>
  </si>
  <si>
    <t>TOTAL COMPANY</t>
  </si>
  <si>
    <t>ELECTRIC</t>
  </si>
  <si>
    <t>PER</t>
  </si>
  <si>
    <t xml:space="preserve">  </t>
  </si>
  <si>
    <t xml:space="preserve">  DESCRIPTION</t>
  </si>
  <si>
    <t>WPB-6b</t>
  </si>
  <si>
    <t>ELIMINATION OF DEFERRED TAX BALANCES RELATED TO</t>
  </si>
  <si>
    <t>To Be</t>
  </si>
  <si>
    <t>Allocation %</t>
  </si>
  <si>
    <t>Eliminated</t>
  </si>
  <si>
    <t>(Col. 1 * Col. 2)</t>
  </si>
  <si>
    <t xml:space="preserve">  (2)</t>
  </si>
  <si>
    <t xml:space="preserve">    (3)</t>
  </si>
  <si>
    <t>Investment tax Credit - 3%</t>
  </si>
  <si>
    <t>JURISDICTIONAL PERCENTAGE</t>
  </si>
  <si>
    <t xml:space="preserve">                SCHEDULE B-7</t>
  </si>
  <si>
    <t xml:space="preserve">                PAGE  1  OF  1</t>
  </si>
  <si>
    <t>WORK PAPER REFERENCE NO(S).:</t>
  </si>
  <si>
    <t xml:space="preserve">                WITNESS RESPONSIBLE:</t>
  </si>
  <si>
    <t>DESCRIPTION OF FACTORS</t>
  </si>
  <si>
    <t>AND/OR METHOD OF</t>
  </si>
  <si>
    <t>TITLE</t>
  </si>
  <si>
    <t>Not Applicable - 100% Jurisdictional</t>
  </si>
  <si>
    <t>JURISDICTIONAL STATISTICS - RATE BASE</t>
  </si>
  <si>
    <t>SCHEDULE B-7.1</t>
  </si>
  <si>
    <t>STATISTIC</t>
  </si>
  <si>
    <t>TO TOTAL</t>
  </si>
  <si>
    <t>DESCRIPTION BY MAJOR</t>
  </si>
  <si>
    <t>FOR TOTAL</t>
  </si>
  <si>
    <t>Injuries &amp; Damages</t>
  </si>
  <si>
    <t>Total Account 190</t>
  </si>
  <si>
    <t>Liberalized Depreciation</t>
  </si>
  <si>
    <t>Total Account 282</t>
  </si>
  <si>
    <t>Unrecovered Purchased Gas Cost</t>
  </si>
  <si>
    <t>Total Account 283</t>
  </si>
  <si>
    <t>Total Deferred Income Taxes</t>
  </si>
  <si>
    <t>1)</t>
  </si>
  <si>
    <t xml:space="preserve">O &amp; M LABOR DOLLARS - OPERATIONS CONTROL SUMMARY - FERC AT THE END </t>
  </si>
  <si>
    <t>2)</t>
  </si>
  <si>
    <t xml:space="preserve">TOTAL EMPLOYEE BENEFITS &amp; TOTAL PAYROLL TAXES - FROM THE PAYROLL </t>
  </si>
  <si>
    <t>(2)</t>
  </si>
  <si>
    <t>(3)</t>
  </si>
  <si>
    <t>(4)</t>
  </si>
  <si>
    <t>(5)</t>
  </si>
  <si>
    <t>Cash Working Capital:</t>
  </si>
  <si>
    <r>
      <t xml:space="preserve">DATA: </t>
    </r>
    <r>
      <rPr>
        <b/>
        <sz val="11"/>
        <rFont val="Arial"/>
        <family val="2"/>
      </rPr>
      <t>"X" BASE PERIOD</t>
    </r>
    <r>
      <rPr>
        <sz val="11"/>
        <rFont val="Arial"/>
        <family val="2"/>
      </rPr>
      <t xml:space="preserve">   FORECASTED PERIOD</t>
    </r>
  </si>
  <si>
    <r>
      <t xml:space="preserve">DATA:  BASE PERIOD  </t>
    </r>
    <r>
      <rPr>
        <b/>
        <sz val="11"/>
        <rFont val="Arial"/>
        <family val="2"/>
      </rPr>
      <t>"X" FORECASTED PERIOD</t>
    </r>
  </si>
  <si>
    <t>Revenue Requirements (Line 9 + Line 10)</t>
  </si>
  <si>
    <t>JURISDICTIONAL</t>
  </si>
  <si>
    <t>REVENUE</t>
  </si>
  <si>
    <t xml:space="preserve">      </t>
  </si>
  <si>
    <t>END OF MONTH BALANCES</t>
  </si>
  <si>
    <t xml:space="preserve">     DESCRIPTION     </t>
  </si>
  <si>
    <t>Total Jurisdictional O &amp; M Expense</t>
  </si>
  <si>
    <t>JURISDICTIONAL REQUIREMENT</t>
  </si>
  <si>
    <t>NUMBER</t>
  </si>
  <si>
    <t>COMPANY</t>
  </si>
  <si>
    <t>$</t>
  </si>
  <si>
    <t>Cash Element of</t>
  </si>
  <si>
    <t>WPB-5.1a</t>
  </si>
  <si>
    <t xml:space="preserve">   Working Capital</t>
  </si>
  <si>
    <t>WPB-5.1b</t>
  </si>
  <si>
    <t xml:space="preserve">   Other</t>
  </si>
  <si>
    <t>WPB-5.1c</t>
  </si>
  <si>
    <t>Gas Stored Underground</t>
  </si>
  <si>
    <t>WPB-5.1g</t>
  </si>
  <si>
    <t>Prepayments</t>
  </si>
  <si>
    <t>WPB-5.1e</t>
  </si>
  <si>
    <t>Total Other Working Capital</t>
  </si>
  <si>
    <t>Total Working Capital</t>
  </si>
  <si>
    <t xml:space="preserve">  N.C - Not calculated</t>
  </si>
  <si>
    <t>PURPOSE AND DESCRIPTION: To adjust base period income tax</t>
  </si>
  <si>
    <t xml:space="preserve">    AMORT. &amp; DEPL. OF UTILITY PLANT</t>
  </si>
  <si>
    <t xml:space="preserve">    TAXES OTHER THAN INCOME TAXES</t>
  </si>
  <si>
    <t xml:space="preserve">    INCOME TAXES - FEDERAL</t>
  </si>
  <si>
    <t xml:space="preserve">    INCOME TAXES - OTHER</t>
  </si>
  <si>
    <t xml:space="preserve">    PROVISION FOR DEFERRED INCOME TAXES</t>
  </si>
  <si>
    <t xml:space="preserve">    PROVISION FOR DEFERRED INCOME TAXES - CREDIT</t>
  </si>
  <si>
    <t xml:space="preserve">    INVESTMENT TAX CREDIT ADJ - NET</t>
  </si>
  <si>
    <t xml:space="preserve">      TOTAL UTILITY OPERATING EXPENSES</t>
  </si>
  <si>
    <t>(E)</t>
  </si>
  <si>
    <t>Sources:</t>
  </si>
  <si>
    <t xml:space="preserve">TOTAL O &amp; M LABOR DOLLARS, BENEFITS &amp; TAXES EXPENSED - ALLOCATED TO </t>
  </si>
  <si>
    <t>Change</t>
  </si>
  <si>
    <t>BARGAINING UNITS BASED UPON PERCENTAGES FROM SCH. 5.</t>
  </si>
  <si>
    <t>MANHOURS</t>
  </si>
  <si>
    <t xml:space="preserve"> STRAIGHT TIME HOURS</t>
  </si>
  <si>
    <t>N/A</t>
  </si>
  <si>
    <t>5)</t>
  </si>
  <si>
    <t xml:space="preserve">              SCHEDULE C-2</t>
  </si>
  <si>
    <t xml:space="preserve">              PAGE  1  OF  1</t>
  </si>
  <si>
    <t xml:space="preserve">              WITNESS RESPONSIBLE:</t>
  </si>
  <si>
    <t>MAJOR ACCOUNT</t>
  </si>
  <si>
    <t>ADJUSTMENTS</t>
  </si>
  <si>
    <t>PRO FORMA</t>
  </si>
  <si>
    <t>OR GROUP</t>
  </si>
  <si>
    <t xml:space="preserve">  OPERATING EXPENSES</t>
  </si>
  <si>
    <t xml:space="preserve">    OPERATION EXPENSES</t>
  </si>
  <si>
    <t xml:space="preserve">    MAINTENANCE EXPENSES</t>
  </si>
  <si>
    <t xml:space="preserve">    DEPRECIATION EXPENSE</t>
  </si>
  <si>
    <t xml:space="preserve">     General</t>
  </si>
  <si>
    <t>SCHEDULE</t>
  </si>
  <si>
    <t>BASE</t>
  </si>
  <si>
    <t>DESCRIPTION</t>
  </si>
  <si>
    <t>REFERENCE</t>
  </si>
  <si>
    <t>PERIOD</t>
  </si>
  <si>
    <t>Operating Income</t>
  </si>
  <si>
    <t>C-1</t>
  </si>
  <si>
    <t>Earned Rate of Return (Line 2 / Line 1)</t>
  </si>
  <si>
    <t>J-1</t>
  </si>
  <si>
    <t>Required Operating Income (Line 1 x Line 4)</t>
  </si>
  <si>
    <t xml:space="preserve"> </t>
  </si>
  <si>
    <t>Operating Income Deficiency (Line 5 - Line 2)</t>
  </si>
  <si>
    <t>Gross Revenue Conversion Factor</t>
  </si>
  <si>
    <t xml:space="preserve">   Underground Storage</t>
  </si>
  <si>
    <t xml:space="preserve">      NET UTILITY OPERATING INCOME</t>
  </si>
  <si>
    <t>OTHER INCOME AND DEDUCTIONS</t>
  </si>
  <si>
    <t xml:space="preserve">  OTHER INCOME</t>
  </si>
  <si>
    <t xml:space="preserve">    NONUTILITY OPERATING INCOME</t>
  </si>
  <si>
    <t xml:space="preserve">  CURRENT PORTION OF LONG TERM DEBT</t>
  </si>
  <si>
    <t xml:space="preserve">    1/8 Oper. and Maint. Expense</t>
  </si>
  <si>
    <t>Computed</t>
  </si>
  <si>
    <t xml:space="preserve">      Total</t>
  </si>
  <si>
    <t>N.C. - Not Calculated</t>
  </si>
  <si>
    <t>PAGE  2  OF  2</t>
  </si>
  <si>
    <t>CASH WORKING CAPITAL</t>
  </si>
  <si>
    <t>WORK</t>
  </si>
  <si>
    <t>PAPER</t>
  </si>
  <si>
    <t>NO.</t>
  </si>
  <si>
    <t>J-1, page 2</t>
  </si>
  <si>
    <t>C-2</t>
  </si>
  <si>
    <t>WPB-5.1f</t>
  </si>
  <si>
    <t xml:space="preserve">DEVELOPMENT OF FACTORS TO ALLOCATE </t>
  </si>
  <si>
    <t>PREPAYMENTS AND MATERIALS AND SUPPLIES</t>
  </si>
  <si>
    <t>DESCRIPTION /</t>
  </si>
  <si>
    <t>COMMON ALLOCATION</t>
  </si>
  <si>
    <t>CUSTOMERS</t>
  </si>
  <si>
    <t>ALLOC</t>
  </si>
  <si>
    <t xml:space="preserve">  Gas</t>
  </si>
  <si>
    <t xml:space="preserve">  Electric</t>
  </si>
  <si>
    <t xml:space="preserve">   Total</t>
  </si>
  <si>
    <t>MISCELLANEOUS</t>
  </si>
  <si>
    <t>ELIMINATE MISCELLANEOUS EXPENSES</t>
  </si>
  <si>
    <t>WORK PAPER REFERENCE NO(S).:  WPD-2.22a</t>
  </si>
  <si>
    <t xml:space="preserve">          SCHEDULE D-2.22</t>
  </si>
  <si>
    <t>PURPOSE AND DESCRIPTION: To eliminate miscellaneous expenses from the</t>
  </si>
  <si>
    <t>(A) Included on Schedule B-1 as Customers' Advances for Construction, Line 8.</t>
  </si>
  <si>
    <t xml:space="preserve">     Net income applicable to Common Stock ($000,000)</t>
  </si>
  <si>
    <t>INCOME AVAILABLE FOR FIXED CHARGES:</t>
  </si>
  <si>
    <t xml:space="preserve">     Interest charges ($000)</t>
  </si>
  <si>
    <t xml:space="preserve">     Net income before preferred dividend requirements</t>
  </si>
  <si>
    <t xml:space="preserve">          of subsidiaries ($000)</t>
  </si>
  <si>
    <t xml:space="preserve">     Preferred dividend requirements of subsidiaries ($000)</t>
  </si>
  <si>
    <t xml:space="preserve">     Cost of reacquisition of Preferred Stock ($000)</t>
  </si>
  <si>
    <t xml:space="preserve">     Earnings available for common equity ($000)</t>
  </si>
  <si>
    <t xml:space="preserve">     AFUDC - % of net income before preferred dividend</t>
  </si>
  <si>
    <t xml:space="preserve">          requirements of subsidiaries</t>
  </si>
  <si>
    <t xml:space="preserve">     AFUDC - % of earnings available for common equity</t>
  </si>
  <si>
    <t xml:space="preserve">COST OF CAPITAL: </t>
  </si>
  <si>
    <t xml:space="preserve"> CUSTOMER          </t>
  </si>
  <si>
    <t>(A) Contains Billed and Unbilled Sales.</t>
  </si>
  <si>
    <t>Average</t>
  </si>
  <si>
    <t>REVENUE STATISTICS-JURISDICTIONAL</t>
  </si>
  <si>
    <t>SCHEDULE I-3</t>
  </si>
  <si>
    <t xml:space="preserve">RETAIL - </t>
  </si>
  <si>
    <t>SAME AS SCHEDULE I-2.1 - 100% OF TOTAL COMPANY OPERATIONS ARE JURISDICTIONAL</t>
  </si>
  <si>
    <t>SALES STATISTICS-TOTAL COMPANY</t>
  </si>
  <si>
    <t>SCHEDULE I-4</t>
  </si>
  <si>
    <t>SALES BY CUSTOMER</t>
  </si>
  <si>
    <t xml:space="preserve"> CLASS-MCF_(A)___</t>
  </si>
  <si>
    <t xml:space="preserve">              TOTAL SALES</t>
  </si>
  <si>
    <t xml:space="preserve">  LESS: CURRENT PORTION OF LONG TERM DEBT</t>
  </si>
  <si>
    <t xml:space="preserve">  ACCUMULATED PROVISION FOR PENSIONS &amp; BENEFITS</t>
  </si>
  <si>
    <t xml:space="preserve">     |</t>
  </si>
  <si>
    <t xml:space="preserve">     V</t>
  </si>
  <si>
    <t>To WPB-5.1c</t>
  </si>
  <si>
    <t>CERTAIN DEFERRED CREDITS AND ACCUMULATED DEFERRED INCOME TAXES</t>
  </si>
  <si>
    <t>SCHEDULE B-6</t>
  </si>
  <si>
    <t>ADJUSTED</t>
  </si>
  <si>
    <t>ADJUSTMENT</t>
  </si>
  <si>
    <t>Customers' Advances for Construction</t>
  </si>
  <si>
    <t>forecasted test period based on past Commission precedent.</t>
  </si>
  <si>
    <t>Total Miscellaneous Expenses</t>
  </si>
  <si>
    <t>Various Budgeted Items</t>
  </si>
  <si>
    <t>SCHEDULE K</t>
  </si>
  <si>
    <t>To SCH. B-3.1</t>
  </si>
  <si>
    <t>To SCH. B-2.2</t>
  </si>
  <si>
    <t>WORK PAPER REFERENCE NO(S).: SCHEDULE C-2, WPC-1a</t>
  </si>
  <si>
    <t>WORK PAPER REFERENCE NO(S).:  WPE-1a, WPE-1b</t>
  </si>
  <si>
    <t>OVERHEADS FOLDER - RATES SCHEDULE (LN 4 - ACTUAL COSTS).</t>
  </si>
  <si>
    <t>3)</t>
  </si>
  <si>
    <t xml:space="preserve">BENEFITS &amp; TAXES EXPENSED - FROM SCH D (PAYROLL OVERHEADS) - SUM OF </t>
  </si>
  <si>
    <t>BENEFITS ACCOUNTS &amp; SUM OF TAX ACCOUNTS.</t>
  </si>
  <si>
    <t>4)</t>
  </si>
  <si>
    <t>Consultants</t>
  </si>
  <si>
    <t>Rate of Return Studies</t>
  </si>
  <si>
    <t>Cost of Service Studies</t>
  </si>
  <si>
    <t>WPD-2.22a</t>
  </si>
  <si>
    <t xml:space="preserve">Total Miscellaneous Expense Adjustment </t>
  </si>
  <si>
    <t>(A)</t>
  </si>
  <si>
    <t>Investment Tax Credits: (B)</t>
  </si>
  <si>
    <t xml:space="preserve">  3% Credit</t>
  </si>
  <si>
    <t>(F)</t>
  </si>
  <si>
    <t xml:space="preserve">  4% Credit</t>
  </si>
  <si>
    <t>(G)</t>
  </si>
  <si>
    <t>10% Credit</t>
  </si>
  <si>
    <t>Total Investment Tax Credits</t>
  </si>
  <si>
    <t>(C)</t>
  </si>
  <si>
    <t>Deferred Income Taxes:</t>
  </si>
  <si>
    <t>COMPARATIVE INCOME STATEMENTS</t>
  </si>
  <si>
    <t>SCHEDULE I-1</t>
  </si>
  <si>
    <t>UTILITY OPERATING INCOME</t>
  </si>
  <si>
    <t xml:space="preserve">  OPERATING REVENUES</t>
  </si>
  <si>
    <t xml:space="preserve">        SCHEDULE F-6</t>
  </si>
  <si>
    <t xml:space="preserve">WORK PAPER REFERENCE NO(S).: </t>
  </si>
  <si>
    <t>COMPARISON OF PROJECTED EXPENSES ASSOCIATED WITH THE CURRENT CASE TO PRIOR RATE CASES</t>
  </si>
  <si>
    <t>CASE NO.</t>
  </si>
  <si>
    <t>ITEM OF EXPENSE</t>
  </si>
  <si>
    <t>ESTIMATE</t>
  </si>
  <si>
    <t>ACTUAL</t>
  </si>
  <si>
    <t>CHANGE</t>
  </si>
  <si>
    <t xml:space="preserve">      Property Tax Expense</t>
  </si>
  <si>
    <t>PURPOSE AND DESCRIPTION: To reflect the elimination of Property Tax</t>
  </si>
  <si>
    <t>Unbilled Base Revenue</t>
  </si>
  <si>
    <t>Total Unbilled Base Rev</t>
  </si>
  <si>
    <t>TOTAL BENEFITS &amp; TAXES - ALLOCATED TO BARGAINING UNITS BASED UPON</t>
  </si>
  <si>
    <t xml:space="preserve"> OVERTIME HOURS</t>
  </si>
  <si>
    <t>TOTAL LABOR DOLLARS ON THIS SCHEDULE (LN 10).</t>
  </si>
  <si>
    <t xml:space="preserve"> TOTAL MANHOURS</t>
  </si>
  <si>
    <t>RATIO OF OVERTIME HOURS TO</t>
  </si>
  <si>
    <t xml:space="preserve">       STRAIGHT TIME HOURS</t>
  </si>
  <si>
    <t>STATISTIC FOR</t>
  </si>
  <si>
    <t>ALLOCATION FACTOR</t>
  </si>
  <si>
    <t>GROUPINGS OR ACCOUNT</t>
  </si>
  <si>
    <t>RATE AREA</t>
  </si>
  <si>
    <t>(B)</t>
  </si>
  <si>
    <t>(E = C+D)</t>
  </si>
  <si>
    <t>(G = F / E)</t>
  </si>
  <si>
    <t xml:space="preserve">      Investment Tax Credits </t>
  </si>
  <si>
    <t xml:space="preserve">      Deferred Income Taxes</t>
  </si>
  <si>
    <t xml:space="preserve">      Other Rate Base Adjustments</t>
  </si>
  <si>
    <t>ALLOWANCE FOR WORKING CAPITAL</t>
  </si>
  <si>
    <t>SCHEDULE B-5</t>
  </si>
  <si>
    <t>DESCRIPTION of METHODOLOGY</t>
  </si>
  <si>
    <t>WORK PAPER</t>
  </si>
  <si>
    <t>USED to DETERMINE</t>
  </si>
  <si>
    <t>TOTAL</t>
  </si>
  <si>
    <t>WORKING CAPITAL COMPONENT</t>
  </si>
  <si>
    <t xml:space="preserve">  LESS: ACCUM. PROVISION FOR DEPR. &amp; AMORT.</t>
  </si>
  <si>
    <t xml:space="preserve">  NOTES RECEIVABLE FROM ASSOCIATED COMPANIES</t>
  </si>
  <si>
    <t xml:space="preserve">  ACCUMULATED OTHER COMPREHENSIVE INCOME</t>
  </si>
  <si>
    <t>November</t>
  </si>
  <si>
    <t>December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</si>
  <si>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</si>
  <si>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</si>
  <si>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</si>
  <si>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</si>
  <si>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</si>
  <si>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</si>
  <si>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</si>
  <si>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</si>
  <si>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 xml:space="preserve">  Total</t>
  </si>
  <si>
    <t>WPD-2.8a</t>
  </si>
  <si>
    <t>(A) Source: Company Records</t>
  </si>
  <si>
    <t>(B) Percent Applicable to Kentucky Customers.</t>
  </si>
  <si>
    <t>ALLOC. TO</t>
  </si>
  <si>
    <t>JURIS.</t>
  </si>
  <si>
    <t>GAS DEPT.</t>
  </si>
  <si>
    <t>ALLOCATION</t>
  </si>
  <si>
    <t xml:space="preserve"> JURISDIC.</t>
  </si>
  <si>
    <t>COMPANY (1)</t>
  </si>
  <si>
    <t xml:space="preserve">     %     </t>
  </si>
  <si>
    <t>CODE</t>
  </si>
  <si>
    <t xml:space="preserve">  AMOUNT</t>
  </si>
  <si>
    <t xml:space="preserve">    Total</t>
  </si>
  <si>
    <t xml:space="preserve">  ACCOUNTS PAYABLE</t>
  </si>
  <si>
    <t xml:space="preserve">  NOTES PAYABLE TO ASSOCIATED COMPANIES</t>
  </si>
  <si>
    <t xml:space="preserve">  ACCOUNTS PAYABLE TO ASSOCIATED COMPANIES</t>
  </si>
  <si>
    <t xml:space="preserve">  CUSTOMER DEPOSITS</t>
  </si>
  <si>
    <t xml:space="preserve">  TAXES ACCRUED</t>
  </si>
  <si>
    <t>Tax Depreciation</t>
  </si>
  <si>
    <t xml:space="preserve">  before State Income Tax to Page 3</t>
  </si>
  <si>
    <t>Deferred State Income Taxes - Net</t>
  </si>
  <si>
    <t>SCHEDULE OF RATE CASE EXPENSE AMORTIZATION</t>
  </si>
  <si>
    <t>OPINION /</t>
  </si>
  <si>
    <t>TO BE</t>
  </si>
  <si>
    <t>AMORTIZATION</t>
  </si>
  <si>
    <t>AMORTIZED</t>
  </si>
  <si>
    <t>DURING</t>
  </si>
  <si>
    <t>RATE CASE</t>
  </si>
  <si>
    <t>TO DATE</t>
  </si>
  <si>
    <t>MONTHLY REVENUES AND EXPENSES BY ACCOUNT</t>
  </si>
  <si>
    <t>WORK PAPER REFERENCE NO(S).: SCHEDULE B-2.2, SCHEDULE B-2.3</t>
  </si>
  <si>
    <t xml:space="preserve">     Embedded cost of long-term debt (%)</t>
  </si>
  <si>
    <t xml:space="preserve">     Embedded cost of preferred stock (%)</t>
  </si>
  <si>
    <t xml:space="preserve">    Pre-tax interest coverage</t>
  </si>
  <si>
    <t xml:space="preserve">    Pre-tax interest coverage (excluding AFUDC)</t>
  </si>
  <si>
    <t xml:space="preserve">    After tax interest coverage</t>
  </si>
  <si>
    <t xml:space="preserve">    Indenture provision coverage (a)</t>
  </si>
  <si>
    <t xml:space="preserve">     Book value per share (year-end) ($)</t>
  </si>
  <si>
    <t>RATE OF RETURN MEASURES:</t>
  </si>
  <si>
    <t xml:space="preserve">        Return on common equity (average) (%)</t>
  </si>
  <si>
    <t xml:space="preserve">        Return on total capital (average) (%)</t>
  </si>
  <si>
    <t xml:space="preserve">        Return on net plant in service (average) - Total Company %</t>
  </si>
  <si>
    <t xml:space="preserve">              "                           "                      "                       - Gas %</t>
  </si>
  <si>
    <t xml:space="preserve">              "                           "                      "                       - Electric %</t>
  </si>
  <si>
    <t>OTHER FINANCIAL AND OPERATING DATA:</t>
  </si>
  <si>
    <t xml:space="preserve">    Mix of Sales ($000):</t>
  </si>
  <si>
    <t xml:space="preserve">         Gas revenues</t>
  </si>
  <si>
    <t xml:space="preserve">         Electric revenues</t>
  </si>
  <si>
    <t xml:space="preserve">            Total</t>
  </si>
  <si>
    <t xml:space="preserve">    Mix of Sales (%):</t>
  </si>
  <si>
    <t xml:space="preserve">         Gas</t>
  </si>
  <si>
    <t xml:space="preserve">         Electric</t>
  </si>
  <si>
    <t xml:space="preserve">    Mix of Fuel  ($000):</t>
  </si>
  <si>
    <t xml:space="preserve">    Mix of Fuel  (%):</t>
  </si>
  <si>
    <t>Composite depreciation rates:</t>
  </si>
  <si>
    <t>Publish Legal Notice</t>
  </si>
  <si>
    <t>Transportation, Lodging, Meals</t>
  </si>
  <si>
    <t>REV</t>
  </si>
  <si>
    <t>Revenues</t>
  </si>
  <si>
    <t>OperatingExpenses</t>
  </si>
  <si>
    <t>Fuel</t>
  </si>
  <si>
    <t>PO</t>
  </si>
  <si>
    <t>TO</t>
  </si>
  <si>
    <t>Transmission</t>
  </si>
  <si>
    <t>DO</t>
  </si>
  <si>
    <t>Distribution</t>
  </si>
  <si>
    <t>AGO</t>
  </si>
  <si>
    <t>OTH</t>
  </si>
  <si>
    <t>PM</t>
  </si>
  <si>
    <t>TM</t>
  </si>
  <si>
    <t>DM</t>
  </si>
  <si>
    <t>AGM</t>
  </si>
  <si>
    <t>Operation &amp; Maintenance Expense</t>
  </si>
  <si>
    <t>DEPR</t>
  </si>
  <si>
    <t>Amortization of Deferred Expenses</t>
  </si>
  <si>
    <t>OTHTX</t>
  </si>
  <si>
    <t>FIT</t>
  </si>
  <si>
    <t>Income Taxes</t>
  </si>
  <si>
    <t>SCHEDULE G-2</t>
  </si>
  <si>
    <t>WORK PAPER REFERENCE NO(S).:  SCHEDULE C-2.1, SCHEDULE D-1, WPC-2a through WPC-2e</t>
  </si>
  <si>
    <t>WPC-2e</t>
  </si>
  <si>
    <t xml:space="preserve">    AFUDC - Debt and Equity ($000,000)</t>
  </si>
  <si>
    <t xml:space="preserve">     Other income - net ($000,000) (a)</t>
  </si>
  <si>
    <t xml:space="preserve">     Extraordinary item ($000,000)</t>
  </si>
  <si>
    <t xml:space="preserve">     Net income ($000,000)</t>
  </si>
  <si>
    <t>Total (1)</t>
  </si>
  <si>
    <t>Base Revenue</t>
  </si>
  <si>
    <t>WORK PAPER REFERENCE NO(S).:  WPD-2.2a</t>
  </si>
  <si>
    <t>WORK PAPER REFERENCE NO(S).:  WPD-2.3a</t>
  </si>
  <si>
    <t>WORK PAPER REFERENCE NO(S).:  WPD-2.4a</t>
  </si>
  <si>
    <t>WORK PAPER REFERENCE NO(S).:  WPD-2.7a</t>
  </si>
  <si>
    <t xml:space="preserve">  MISCELLANEOUS CURRENT AND ACCRUED LIABILITIES</t>
  </si>
  <si>
    <t xml:space="preserve">    TOTAL CURRENT AND ACCRUED LIABILITIES</t>
  </si>
  <si>
    <t>DEFERRED CREDITS</t>
  </si>
  <si>
    <t xml:space="preserve">  CUSTOMER ADVANCES FOR CONSTRUCTION</t>
  </si>
  <si>
    <t xml:space="preserve">  ACCUMULATED DEFERRED INVESTMENT TAX CREDITS</t>
  </si>
  <si>
    <t xml:space="preserve">  OTHER DEFERRED CREDITS</t>
  </si>
  <si>
    <t>WPB-5.1h</t>
  </si>
  <si>
    <t>(1) WPB-5.1h.</t>
  </si>
  <si>
    <t>Transmission Expense</t>
  </si>
  <si>
    <t>Measuring and Reg. Stations - Industrial</t>
  </si>
  <si>
    <t>Meters and House Regulators</t>
  </si>
  <si>
    <t>Customer Installations</t>
  </si>
  <si>
    <t>Other Expenses</t>
  </si>
  <si>
    <t>Mains</t>
  </si>
  <si>
    <t>Measuring and Regulating Stations - General</t>
  </si>
  <si>
    <t>Sch C-2</t>
  </si>
  <si>
    <t>Cash Working Capital</t>
  </si>
  <si>
    <t>1/8 of Net Operation &amp; Maintenance Expense</t>
  </si>
  <si>
    <t>To Sch B-5.1 &lt;---</t>
  </si>
  <si>
    <t>ALLOCATED</t>
  </si>
  <si>
    <t>MONTH</t>
  </si>
  <si>
    <t>ALLOC. (B)</t>
  </si>
  <si>
    <t>Base Period</t>
  </si>
  <si>
    <t>October</t>
  </si>
  <si>
    <t xml:space="preserve">  Provision for Deferred Income Taxes - Net</t>
  </si>
  <si>
    <t xml:space="preserve">  Amortization of Investment Tax Credit</t>
  </si>
  <si>
    <t xml:space="preserve">  Deferred Inc Tax - Net</t>
  </si>
  <si>
    <t xml:space="preserve">   Total Deferred Income Taxes</t>
  </si>
  <si>
    <t>190,281,</t>
  </si>
  <si>
    <t>SCHEDULE C-1</t>
  </si>
  <si>
    <t>Misc. Service Revenue</t>
  </si>
  <si>
    <t>WPC-2d</t>
  </si>
  <si>
    <t xml:space="preserve">  INTEREST ACCRUED</t>
  </si>
  <si>
    <t xml:space="preserve">  TAX COLLECTIONS PAYABLE</t>
  </si>
  <si>
    <t>Rate of Return on Rate Base</t>
  </si>
  <si>
    <t>WPC-1a</t>
  </si>
  <si>
    <t>TO REFLECT AMOUNT OF REQUESTED INCREASE</t>
  </si>
  <si>
    <t>SCHEDULE/</t>
  </si>
  <si>
    <t xml:space="preserve">   DESCRIPTION   </t>
  </si>
  <si>
    <t>SCH. M</t>
  </si>
  <si>
    <t>ANNUALIZE DEPRECIATION EXPENSE</t>
  </si>
  <si>
    <t>PAGE  1  OF  3</t>
  </si>
  <si>
    <t>Amortization of Investment Tax Credit</t>
  </si>
  <si>
    <t xml:space="preserve">   Deferred State Income Taxes - Net</t>
  </si>
  <si>
    <t>Inter-Dept</t>
  </si>
  <si>
    <t>WPC-2c</t>
  </si>
  <si>
    <t>Total Transportation</t>
  </si>
  <si>
    <t>REVENUE DETAIL</t>
  </si>
  <si>
    <t xml:space="preserve">       Gas (%)</t>
  </si>
  <si>
    <t>Operating Income - Before Income Taxes</t>
  </si>
  <si>
    <t>FERC</t>
  </si>
  <si>
    <t>(D)</t>
  </si>
  <si>
    <t>(I)</t>
  </si>
  <si>
    <t>Residential</t>
  </si>
  <si>
    <t>Commercial</t>
  </si>
  <si>
    <t>Industrial</t>
  </si>
  <si>
    <t>OPA</t>
  </si>
  <si>
    <t>Total Base Revenue</t>
  </si>
  <si>
    <t>Taxes Other Than Income Taxes</t>
  </si>
  <si>
    <t>SCH. H</t>
  </si>
  <si>
    <t>Operating Expenses Before Income Taxes</t>
  </si>
  <si>
    <t>Operating Income Before Income Taxes (Line 1 - Line 10)</t>
  </si>
  <si>
    <t>Base Period - Ending Balance</t>
  </si>
  <si>
    <t>PREPAYMENTS</t>
  </si>
  <si>
    <t>SCHEDULE REFERENCE</t>
  </si>
  <si>
    <t xml:space="preserve">   PAGE  1  OF  2</t>
  </si>
  <si>
    <t xml:space="preserve">   PAGE  2  OF  2</t>
  </si>
  <si>
    <t>PAGE 1 OF 5</t>
  </si>
  <si>
    <t>PAGE 2 OF 5</t>
  </si>
  <si>
    <t>PAGE 3 OF 5</t>
  </si>
  <si>
    <t>PAGE 4 OF 5</t>
  </si>
  <si>
    <t>PAGE 5 OF 5</t>
  </si>
  <si>
    <t>SCHEDULE D-2.6</t>
  </si>
  <si>
    <t xml:space="preserve">PURPOSE AND DESCRIPTION: To adjust base period customer accounts expenses </t>
  </si>
  <si>
    <t>WPD-2.6a</t>
  </si>
  <si>
    <t>ADJUST BASE PERIOD CUSTOMER ACCOUNTS EXPENSE</t>
  </si>
  <si>
    <t>SCHEDULE D-2.7</t>
  </si>
  <si>
    <t>PURPOSE AND DESCRIPTION: To adjust base period customer service &amp;</t>
  </si>
  <si>
    <t>Customer Service &amp; Information Expenses</t>
  </si>
  <si>
    <t>WPD-2.7a</t>
  </si>
  <si>
    <t>NO. OF CUSTOMERS BY</t>
  </si>
  <si>
    <t xml:space="preserve"> CLASS (YEAR END)</t>
  </si>
  <si>
    <t xml:space="preserve">              TOTAL CUSTOMERS</t>
  </si>
  <si>
    <t xml:space="preserve">NO. OF CUSTOMERS BY </t>
  </si>
  <si>
    <t xml:space="preserve"> CLASS (AVERAGE)   </t>
  </si>
  <si>
    <t xml:space="preserve">AVERAGE REVENUE PER </t>
  </si>
  <si>
    <t xml:space="preserve">Miscellaneous Intangible Plant </t>
  </si>
  <si>
    <t>Electronic Data Processing Equipment</t>
  </si>
  <si>
    <t>Stores Equipment</t>
  </si>
  <si>
    <t>Communication Equipment</t>
  </si>
  <si>
    <t>Mains - Plastic</t>
  </si>
  <si>
    <t>Rate Case Expense</t>
  </si>
  <si>
    <t>Eliminate Misc. Expenses</t>
  </si>
  <si>
    <t>Eliminate Unbilled Revenue</t>
  </si>
  <si>
    <t>District Regulating Equipment</t>
  </si>
  <si>
    <t>380</t>
  </si>
  <si>
    <t>Services- Cast Iron &amp; Copper</t>
  </si>
  <si>
    <t>Services-Steel</t>
  </si>
  <si>
    <t>Services-Plastic</t>
  </si>
  <si>
    <t>382</t>
  </si>
  <si>
    <t>Meter Installations</t>
  </si>
  <si>
    <t>383</t>
  </si>
  <si>
    <t>House Regulators</t>
  </si>
  <si>
    <t>384</t>
  </si>
  <si>
    <t>House Regulator Installations</t>
  </si>
  <si>
    <t>385</t>
  </si>
  <si>
    <t>Large Industrial Meas. &amp; Reg. Equipment</t>
  </si>
  <si>
    <t>Large Industrial Meas. &amp; Reg. Equipment - Comm</t>
  </si>
  <si>
    <t>Other Equipment - Other</t>
  </si>
  <si>
    <t>387</t>
  </si>
  <si>
    <t>Street Lighting Equipment</t>
  </si>
  <si>
    <t xml:space="preserve">     Total Distribution Plant</t>
  </si>
  <si>
    <t>GENERAL PLANT</t>
  </si>
  <si>
    <t>PAGE  3  OF  4</t>
  </si>
  <si>
    <t>Miscellaneous Intangible Plant</t>
  </si>
  <si>
    <t>391</t>
  </si>
  <si>
    <t>Office Furniture &amp; Equipment</t>
  </si>
  <si>
    <t>392</t>
  </si>
  <si>
    <t>Transportation Equipment</t>
  </si>
  <si>
    <t>Trailers</t>
  </si>
  <si>
    <t>394</t>
  </si>
  <si>
    <t>Tools, Shop &amp; Garage Equipment</t>
  </si>
  <si>
    <t>396</t>
  </si>
  <si>
    <t>Power Operated Equipment</t>
  </si>
  <si>
    <t>398</t>
  </si>
  <si>
    <t>Miscellaneous Equipment</t>
  </si>
  <si>
    <t xml:space="preserve">     Total General Plant</t>
  </si>
  <si>
    <t xml:space="preserve">    Total Gas Plant</t>
  </si>
  <si>
    <t>COMMON PLANT</t>
  </si>
  <si>
    <t>PAGE  4  OF  4</t>
  </si>
  <si>
    <t>ANNUALIZE</t>
  </si>
  <si>
    <t>PROPERTY HELD FOR FUTURE USE INCLUDED IN RATE BASE</t>
  </si>
  <si>
    <t>SCHEDULE B-2.6</t>
  </si>
  <si>
    <t>Revenue Realized</t>
  </si>
  <si>
    <t>Expenses Incurred</t>
  </si>
  <si>
    <t>PURPOSE AND DESCRIPTION: To reflect the adjustment to state</t>
  </si>
  <si>
    <t>FORECASTED</t>
  </si>
  <si>
    <t>RETURN AT</t>
  </si>
  <si>
    <t>CURRENT</t>
  </si>
  <si>
    <t>PROPOSED</t>
  </si>
  <si>
    <t xml:space="preserve">            DESCRIPTION</t>
  </si>
  <si>
    <t>RATES</t>
  </si>
  <si>
    <t>INCREASE</t>
  </si>
  <si>
    <t>($)</t>
  </si>
  <si>
    <t>Operating Revenues</t>
  </si>
  <si>
    <t>Operating Expenses</t>
  </si>
  <si>
    <t xml:space="preserve">  Operation &amp; Maintenance</t>
  </si>
  <si>
    <t xml:space="preserve">  Depreciation</t>
  </si>
  <si>
    <t xml:space="preserve">  Taxes - Other</t>
  </si>
  <si>
    <t>Operating Expenses before Income Taxes</t>
  </si>
  <si>
    <t xml:space="preserve">  State Income Taxes</t>
  </si>
  <si>
    <t xml:space="preserve">  OTHER REGULATORY LIABILITIES</t>
  </si>
  <si>
    <t xml:space="preserve">    TOTAL DEFERRED CREDITS</t>
  </si>
  <si>
    <t>TOTAL LIABILITIES</t>
  </si>
  <si>
    <t>JURISDICTIONAL OPERATING INCOME SUMMARY</t>
  </si>
  <si>
    <t>PLANT IN SERVICE BY ACCOUNTS AND SUBACCOUNTS</t>
  </si>
  <si>
    <t>MANUFACTURED GAS PRODUCTION PLANT</t>
  </si>
  <si>
    <t>SCHEDULE B-2.1</t>
  </si>
  <si>
    <t>PAGE  1  OF  4</t>
  </si>
  <si>
    <t>Acct.</t>
  </si>
  <si>
    <t>Account Title</t>
  </si>
  <si>
    <t>1</t>
  </si>
  <si>
    <t>304</t>
  </si>
  <si>
    <t>Land  and Land Rights</t>
  </si>
  <si>
    <t>2</t>
  </si>
  <si>
    <t>Rights of Way</t>
  </si>
  <si>
    <t>3</t>
  </si>
  <si>
    <t>305</t>
  </si>
  <si>
    <t>Structures &amp; Improvements</t>
  </si>
  <si>
    <t>4</t>
  </si>
  <si>
    <t>311</t>
  </si>
  <si>
    <t>Liquefied Petroleum Gas Equipment</t>
  </si>
  <si>
    <t xml:space="preserve">     Total Manufactured Gas Production Plant </t>
  </si>
  <si>
    <t>DISTRIBUTION PLANT</t>
  </si>
  <si>
    <t>PAGE  2  OF  4</t>
  </si>
  <si>
    <t>374</t>
  </si>
  <si>
    <t>Land and Land Rights</t>
  </si>
  <si>
    <t>375</t>
  </si>
  <si>
    <t>376</t>
  </si>
  <si>
    <t>Mains - Cast Iron &amp; Copper</t>
  </si>
  <si>
    <t>Mains - Steel</t>
  </si>
  <si>
    <t>State Income Tax Expense</t>
  </si>
  <si>
    <t xml:space="preserve">   Deferred Federal Income Taxes - Net</t>
  </si>
  <si>
    <t xml:space="preserve">   Amortization of Investment Tax Credit</t>
  </si>
  <si>
    <t xml:space="preserve">     Total Manufactured Gas Production Plant</t>
  </si>
  <si>
    <t xml:space="preserve">PURPOSE AND DESCRIPTION: To reflect the adjustment to </t>
  </si>
  <si>
    <t xml:space="preserve">annualized depreciation expense as calculated on </t>
  </si>
  <si>
    <t>PAGE  2  OF  3</t>
  </si>
  <si>
    <t>(F) Excluded from Rate Base.</t>
  </si>
  <si>
    <t>PURPOSE AND DESCRIPTION: To eliminate unbilled revenue and gas costs.</t>
  </si>
  <si>
    <t>Total Unbilled Revenue</t>
  </si>
  <si>
    <t>(A)  To Schedule D-1</t>
  </si>
  <si>
    <t>Unbilled Gas Costs</t>
  </si>
  <si>
    <t>WORK PAPER REFERENCE NO(S).:  WPC-2b, WPD-2.24a</t>
  </si>
  <si>
    <t>Operating Expenses:</t>
  </si>
  <si>
    <t>To Sch C-1</t>
  </si>
  <si>
    <t xml:space="preserve">      Total Operating Expenses</t>
  </si>
  <si>
    <t>Income Available for Fixed Charges</t>
  </si>
  <si>
    <t>Mains - Feeder</t>
  </si>
  <si>
    <t>378</t>
  </si>
  <si>
    <t>System Meas. &amp; Reg. Station Equipment</t>
  </si>
  <si>
    <t>System Meas. &amp; Reg. Station Equipment-Elec</t>
  </si>
  <si>
    <t>Amort Exp - Limited Term</t>
  </si>
  <si>
    <t>DSM Amortization</t>
  </si>
  <si>
    <t>General Taxes</t>
  </si>
  <si>
    <t>Kentucky Property Tax - Gas</t>
  </si>
  <si>
    <t>West Virgina Property Tax-Gas</t>
  </si>
  <si>
    <t>Misc States Property Tax</t>
  </si>
  <si>
    <t>Indiana Highway Use Tax</t>
  </si>
  <si>
    <t>Federal Highway Use Tax - Gas</t>
  </si>
  <si>
    <t>Ohio Highway Use</t>
  </si>
  <si>
    <t>Kentucky Highway Use</t>
  </si>
  <si>
    <t>Sales and Use Expense</t>
  </si>
  <si>
    <t>Federal Income Taxes Utility Op Income</t>
  </si>
  <si>
    <t>State/Local Inc Tx Exp Utility Op Inc PY</t>
  </si>
  <si>
    <t>State/Local Inc Tax Exp Utility Op Inc</t>
  </si>
  <si>
    <t>Fed Inc Tax - Utility Operating Inc - PY</t>
  </si>
  <si>
    <t>Taxes Alloc From Serv Co - Gas Federal</t>
  </si>
  <si>
    <t>Taxes Alloc From Serv Co - Gas State</t>
  </si>
  <si>
    <t>Deferred FIT Utility Operating Inc</t>
  </si>
  <si>
    <t>Def FIT- Utility Operating Inc - PY</t>
  </si>
  <si>
    <t>Defer SIT Utility Operating Inc - PY</t>
  </si>
  <si>
    <t>UTP Tax Expense State Utility Prior Year</t>
  </si>
  <si>
    <t>UTP DFIT Utility Prior Year</t>
  </si>
  <si>
    <t>UTP DSIT Utility Prior Year</t>
  </si>
  <si>
    <t>Deferred SIT Utility Operating Inc</t>
  </si>
  <si>
    <t>UTP Tax Expense Fed Utility Prior Year</t>
  </si>
  <si>
    <t>Deferred FIT Credit - Utility Op Inc</t>
  </si>
  <si>
    <t>Def FIT Credit - Utility Oper Inc - PY</t>
  </si>
  <si>
    <t>Def SIT Credit - Utility Oper Inc -  PY</t>
  </si>
  <si>
    <t>Deferred SIT Credit - Utility Op Inc</t>
  </si>
  <si>
    <t>Residential Sales Gas</t>
  </si>
  <si>
    <t>Residential Unbilled Gas</t>
  </si>
  <si>
    <t>Commercial Sales Gas</t>
  </si>
  <si>
    <t>Commercial Unbilled Gas</t>
  </si>
  <si>
    <t>Industrial Sales Gas</t>
  </si>
  <si>
    <t>Industrial Unbilled Gas</t>
  </si>
  <si>
    <t>Public Str/Hgwy Lighting Gas</t>
  </si>
  <si>
    <t>DE-KY</t>
  </si>
  <si>
    <t>FACILITIES DEVOTED TO OTHER THAN DE-KENTUCKY CUSTOMERS</t>
  </si>
  <si>
    <t>FORECASTED PERIOD</t>
  </si>
  <si>
    <t>Forecasted</t>
  </si>
  <si>
    <t>Forecasted Period:</t>
  </si>
  <si>
    <t>Forecasted Period</t>
  </si>
  <si>
    <t>(1) The Base Period is the ending period balance.  The Forecasted Period is a 13 month average balance.</t>
  </si>
  <si>
    <t>BASE PERIOD AND FORECASTED PERIOD</t>
  </si>
  <si>
    <t>Forecasted Period - 13 Month Average Balance</t>
  </si>
  <si>
    <t>the level of revenue in the forecasted period.</t>
  </si>
  <si>
    <t>to the level of expenses in the forecasted period.</t>
  </si>
  <si>
    <t>information expense to the level of expenses in the forecasted period.</t>
  </si>
  <si>
    <t>expense to the level of expenses in the forecasted period.</t>
  </si>
  <si>
    <t>expense to the level in the forecasted period.</t>
  </si>
  <si>
    <t>expense to the level of the forecasted period.</t>
  </si>
  <si>
    <t xml:space="preserve">        SCHEDULE D-2.27</t>
  </si>
  <si>
    <t>WPD-2.19f</t>
  </si>
  <si>
    <t>Nov.</t>
  </si>
  <si>
    <t>Dec.</t>
  </si>
  <si>
    <t>Jan.</t>
  </si>
  <si>
    <t>Feb.</t>
  </si>
  <si>
    <t>(2) Expenses only for months in which Propane was vaporized.</t>
  </si>
  <si>
    <t xml:space="preserve">      Assumption: Propane was vaporized in November - February each year.</t>
  </si>
  <si>
    <t xml:space="preserve">     Shares outstanding - year end (000)</t>
  </si>
  <si>
    <t xml:space="preserve">     Shares outstanding - weighted average</t>
  </si>
  <si>
    <t xml:space="preserve">           (monthly) (000)</t>
  </si>
  <si>
    <t xml:space="preserve">     Earnings per share - weighted average ($)</t>
  </si>
  <si>
    <t>SCHEDULE D-1</t>
  </si>
  <si>
    <t>CLASSIFICATION</t>
  </si>
  <si>
    <t>OPERATING REVENUE</t>
  </si>
  <si>
    <t>Gas Cost</t>
  </si>
  <si>
    <t>Other Revenue</t>
  </si>
  <si>
    <t xml:space="preserve">   Total Revenue</t>
  </si>
  <si>
    <t>OPERATING EXPENSES</t>
  </si>
  <si>
    <t xml:space="preserve"> Operation and Maintenance Expenses</t>
  </si>
  <si>
    <t>Production Expenses</t>
  </si>
  <si>
    <t xml:space="preserve">          Purchased Power Cost</t>
  </si>
  <si>
    <t xml:space="preserve">  Liquefied Petroleum Gas</t>
  </si>
  <si>
    <t xml:space="preserve">  Other</t>
  </si>
  <si>
    <t>D-2.3</t>
  </si>
  <si>
    <t xml:space="preserve">   Total Production Expense</t>
  </si>
  <si>
    <t>Other Gas Supply Expenses</t>
  </si>
  <si>
    <t xml:space="preserve">  Purchased Gas</t>
  </si>
  <si>
    <t>D-2.4</t>
  </si>
  <si>
    <t xml:space="preserve">   Total Other Gas Supply Expenses</t>
  </si>
  <si>
    <t>Distribution Expense</t>
  </si>
  <si>
    <t>Customer Accounts Expense</t>
  </si>
  <si>
    <t>Customer Service &amp; Information Expense</t>
  </si>
  <si>
    <t>D-2.7</t>
  </si>
  <si>
    <t>Sales Expense</t>
  </si>
  <si>
    <t>Interdepartmental Sales</t>
  </si>
  <si>
    <t>Total Retail Revenue</t>
  </si>
  <si>
    <t>Administrative &amp; General Expense</t>
  </si>
  <si>
    <t xml:space="preserve">   Total Operation and Maintenance Expense</t>
  </si>
  <si>
    <t>Depreciation Expense</t>
  </si>
  <si>
    <t>D-2.10</t>
  </si>
  <si>
    <t xml:space="preserve">  Other Federal Taxes</t>
  </si>
  <si>
    <t>D-2.11</t>
  </si>
  <si>
    <t xml:space="preserve">  State and Other Taxes</t>
  </si>
  <si>
    <t xml:space="preserve">   Total Taxes Other Than Income Taxes</t>
  </si>
  <si>
    <t>State Income Taxes</t>
  </si>
  <si>
    <t xml:space="preserve">  State Income Tax - Current</t>
  </si>
  <si>
    <t>EXPLANATION OF CHANGES IN JURISDICTIONAL PROCEDURES</t>
  </si>
  <si>
    <t>RATE BASE</t>
  </si>
  <si>
    <t>SCHEDULE B-7.2</t>
  </si>
  <si>
    <t>Other Sales To Pub Authority Gas</t>
  </si>
  <si>
    <t>Other Sales To Pub Auth Unbill</t>
  </si>
  <si>
    <t>Street Lighting</t>
  </si>
  <si>
    <t>Rev Transp Gas of Others</t>
  </si>
  <si>
    <t>Gas Boiler Labor</t>
  </si>
  <si>
    <t>Liquid Petroleum Gas</t>
  </si>
  <si>
    <t>Purchase Gas Cost Unbilled Rev</t>
  </si>
  <si>
    <t>Gas Purchased Expenses</t>
  </si>
  <si>
    <t>Distribution Load Dispatching</t>
  </si>
  <si>
    <t>Mains And Services</t>
  </si>
  <si>
    <t>Property Insurance</t>
  </si>
  <si>
    <t xml:space="preserve">    TOTAL OTHER PROPERTY AND INVESTMENTS</t>
  </si>
  <si>
    <t>CURRENT AND ACCRUED ASSETS</t>
  </si>
  <si>
    <t xml:space="preserve">  CASH</t>
  </si>
  <si>
    <t xml:space="preserve">  SPECIAL DEPOSITS</t>
  </si>
  <si>
    <t xml:space="preserve">  WORKING FUNDS</t>
  </si>
  <si>
    <t xml:space="preserve">  TEMPORARY CASH INVESTMENTS</t>
  </si>
  <si>
    <t>System Meas. &amp; Reg. Station Equipment - Electric</t>
  </si>
  <si>
    <t>381</t>
  </si>
  <si>
    <t>COMPUTATION OF GROSS REVENUE CONVERSION FACTOR</t>
  </si>
  <si>
    <t>SCHEDULE H</t>
  </si>
  <si>
    <t>PERCENT OF</t>
  </si>
  <si>
    <t>INCREMENTAL</t>
  </si>
  <si>
    <t>GROSS</t>
  </si>
  <si>
    <t xml:space="preserve">   Operating Revenues</t>
  </si>
  <si>
    <t>Subtotal</t>
  </si>
  <si>
    <t xml:space="preserve">   Income Taxes - State of Kentucky</t>
  </si>
  <si>
    <t xml:space="preserve">     Total Common Plant</t>
  </si>
  <si>
    <t>Common Plant Allocated to Gas</t>
  </si>
  <si>
    <t>Total Gas Plant Including Allocated Common</t>
  </si>
  <si>
    <t>ADJUSTMENTS TO PLANT IN SERVICE</t>
  </si>
  <si>
    <t>SCHEDULE B-2.2</t>
  </si>
  <si>
    <t>Description and</t>
  </si>
  <si>
    <t>Workpaper</t>
  </si>
  <si>
    <t>Transp. Gas of Others</t>
  </si>
  <si>
    <t xml:space="preserve">        SCHEDULE D-2.28</t>
  </si>
  <si>
    <t xml:space="preserve">  RECEIVABLES FROM ASSOCIATED COMPANIES</t>
  </si>
  <si>
    <t xml:space="preserve">  MATERIALS, SUPPLIES AND FUEL</t>
  </si>
  <si>
    <t xml:space="preserve">  GAS STORED - CURRENT</t>
  </si>
  <si>
    <t xml:space="preserve">  PREPAYMENTS</t>
  </si>
  <si>
    <t xml:space="preserve">  MISCELLANEOUS CURRENT AND ACCRUED ASSETS</t>
  </si>
  <si>
    <t xml:space="preserve">  RENTS RECEIVABLE</t>
  </si>
  <si>
    <t xml:space="preserve">    TOTAL CURRENT AND ACCRUED ASSETS</t>
  </si>
  <si>
    <t>DEFERRED DEBITS</t>
  </si>
  <si>
    <t xml:space="preserve">  UNAMORTIZED DEBT EXPENSE</t>
  </si>
  <si>
    <t xml:space="preserve">  OTHER REGULATORY ASSETS</t>
  </si>
  <si>
    <t xml:space="preserve">  CLEARING ACCOUNTS</t>
  </si>
  <si>
    <t xml:space="preserve">  MISCELLANEOUS DEFERRED DEBITS</t>
  </si>
  <si>
    <t xml:space="preserve">  UNAMORTIZED LOSS ON REACQUIRED DEBT</t>
  </si>
  <si>
    <t xml:space="preserve">  ACCUMULATED DEFERRED INCOME TAXES</t>
  </si>
  <si>
    <t xml:space="preserve">  UNRECOVERED PURCHASED GAS COSTS</t>
  </si>
  <si>
    <t xml:space="preserve">    TOTAL DEFERRED DEBITS</t>
  </si>
  <si>
    <t>TOTAL ASSETS</t>
  </si>
  <si>
    <t>LIABILITIES AND NET WORTH</t>
  </si>
  <si>
    <t>PROPRIETARY CAPITAL</t>
  </si>
  <si>
    <t xml:space="preserve">  COMMON STOCK ISSUED</t>
  </si>
  <si>
    <t xml:space="preserve">  PREMIUM ON CAPITAL STOCK</t>
  </si>
  <si>
    <t xml:space="preserve">  OTHER PAID-IN CAPITAL</t>
  </si>
  <si>
    <t xml:space="preserve">  RETAINED EARNINGS</t>
  </si>
  <si>
    <t xml:space="preserve">    TOTAL PROPRIETARY CAPITAL</t>
  </si>
  <si>
    <t>LONG TERM DEBT</t>
  </si>
  <si>
    <t xml:space="preserve">  OTHER LONG TERM DEBT</t>
  </si>
  <si>
    <t xml:space="preserve">  UNAMORTIZED PREMIUM ON LONG TERM DEBT</t>
  </si>
  <si>
    <t>Jurisdiction</t>
  </si>
  <si>
    <t>General</t>
  </si>
  <si>
    <t>Common (Allocated to Gas)</t>
  </si>
  <si>
    <t>Completed Construction</t>
  </si>
  <si>
    <t xml:space="preserve">  Not Classified (1)</t>
  </si>
  <si>
    <t>Other (specify)</t>
  </si>
  <si>
    <t xml:space="preserve">   TOTAL</t>
  </si>
  <si>
    <t>(1) Included in each function on Schedule B-2.1</t>
  </si>
  <si>
    <t>\F</t>
  </si>
  <si>
    <t>\B</t>
  </si>
  <si>
    <t>\A</t>
  </si>
  <si>
    <t>\C</t>
  </si>
  <si>
    <t>\D</t>
  </si>
  <si>
    <t>\E</t>
  </si>
  <si>
    <t>Effective Income Tax Rate</t>
  </si>
  <si>
    <t>Prior Year Entries</t>
  </si>
  <si>
    <t>10.25% due 11/15/2020</t>
  </si>
  <si>
    <t>Series</t>
  </si>
  <si>
    <t xml:space="preserve">     Totals</t>
  </si>
  <si>
    <t>Embedded Cost of Long-Term Debt (I / H)</t>
  </si>
  <si>
    <t>(*) Annualized interest cost plus (or minus) amortization of discount or premium plus amortization</t>
  </si>
  <si>
    <t xml:space="preserve">  Federal Income Taxes</t>
  </si>
  <si>
    <t>Purpose of</t>
  </si>
  <si>
    <t>Reference No.</t>
  </si>
  <si>
    <t>Manufactured Gas Production Plant</t>
  </si>
  <si>
    <t>Exclusion of</t>
  </si>
  <si>
    <t xml:space="preserve">gas facilities </t>
  </si>
  <si>
    <t>devoted to other</t>
  </si>
  <si>
    <t>Completed Construction Not Classified</t>
  </si>
  <si>
    <t>customers.</t>
  </si>
  <si>
    <t>Total Manufactured Gas Production Plant</t>
  </si>
  <si>
    <t>Distribution Plant</t>
  </si>
  <si>
    <t xml:space="preserve">Land </t>
  </si>
  <si>
    <t>Mains-Steel Feeder Lines</t>
  </si>
  <si>
    <t>System M &amp; R Station Equip. - General</t>
  </si>
  <si>
    <t>System M &amp; R Station Equip.</t>
  </si>
  <si>
    <t>Total Distribution Plant</t>
  </si>
  <si>
    <t>General Plant</t>
  </si>
  <si>
    <t>Office Furniture &amp; Equipment #936</t>
  </si>
  <si>
    <t>Tools, Shop &amp; Garage Equipment #936</t>
  </si>
  <si>
    <t>Total General Plant</t>
  </si>
  <si>
    <t>Total Gas Plant</t>
  </si>
  <si>
    <t>GROSS ADDITIONS, RETIREMENTS, AND TRANSFERS</t>
  </si>
  <si>
    <t>SCHEDULE B-2.3</t>
  </si>
  <si>
    <t>Transfers/Reclassifications</t>
  </si>
  <si>
    <t>Beginning</t>
  </si>
  <si>
    <t>Explanation</t>
  </si>
  <si>
    <t>Other Accts.</t>
  </si>
  <si>
    <t>Ending</t>
  </si>
  <si>
    <t>Title</t>
  </si>
  <si>
    <t>Balance</t>
  </si>
  <si>
    <t>Additions</t>
  </si>
  <si>
    <t>Retirements</t>
  </si>
  <si>
    <t>of Transfer</t>
  </si>
  <si>
    <t>Involved</t>
  </si>
  <si>
    <t>5</t>
  </si>
  <si>
    <t>8</t>
  </si>
  <si>
    <t xml:space="preserve">    TOTAL LONG TERM DEBT</t>
  </si>
  <si>
    <t>OTHER NONCURRENT LIABILITIES</t>
  </si>
  <si>
    <t xml:space="preserve">  OBLIGATIONS UNDER CAPITAL LEASES - NONCURRENT</t>
  </si>
  <si>
    <t xml:space="preserve">  ACCUMULATED PROVISION FOR INJURIES AND DAMAGES</t>
  </si>
  <si>
    <t xml:space="preserve">    TOTAL OTHER NONCURRENT LIABILITIES</t>
  </si>
  <si>
    <t>CURRENT AND ACCRUED LIABILITIES</t>
  </si>
  <si>
    <t xml:space="preserve">  NOTES PAYABLE</t>
  </si>
  <si>
    <t>5 Year Average</t>
  </si>
  <si>
    <t>Monthly Calendar Sales</t>
  </si>
  <si>
    <t>Transp</t>
  </si>
  <si>
    <t>Retail</t>
  </si>
  <si>
    <t>Revenue</t>
  </si>
  <si>
    <t>(1) Plant Investment Includes Completed Construction Not Classified (Account 106)</t>
  </si>
  <si>
    <t xml:space="preserve">Allocated </t>
  </si>
  <si>
    <t>Reserve for Depreciation</t>
  </si>
  <si>
    <t>ADJUSTMENTS TO ACCUMULATED DEPRECIATION AND AMORTIZATION</t>
  </si>
  <si>
    <t>SCHEDULE B-3.1</t>
  </si>
  <si>
    <t>COMPARATIVE FINANCIAL DATA</t>
  </si>
  <si>
    <t>MOST RECENT CALENDAR YEARS</t>
  </si>
  <si>
    <t>FIXED CHARGE COVERAGE:</t>
  </si>
  <si>
    <t>STOCK AND BOND RATINGS:</t>
  </si>
  <si>
    <t xml:space="preserve">    Moody's Unsecured Debt</t>
  </si>
  <si>
    <t>Monthly</t>
  </si>
  <si>
    <t>and Location</t>
  </si>
  <si>
    <t>Accumulated</t>
  </si>
  <si>
    <t>Depreciation</t>
  </si>
  <si>
    <t>The company has no plant held for future use included in rate base.</t>
  </si>
  <si>
    <t>PROPERTY EXCLUDED FROM RATE BASE</t>
  </si>
  <si>
    <t>SCHEDULE D-2.20</t>
  </si>
  <si>
    <t>OTHER OPER.</t>
  </si>
  <si>
    <t xml:space="preserve">     SCHEDULE D-2.19</t>
  </si>
  <si>
    <t xml:space="preserve">   D-2.19  Pg 1</t>
  </si>
  <si>
    <t xml:space="preserve">      O&amp;M related to Interstate Service (WPD-2.19b)</t>
  </si>
  <si>
    <t>WORK PAPER REFERENCE NO(S).:  WPD-2.12a</t>
  </si>
  <si>
    <t>SCHEDULE D-2.12</t>
  </si>
  <si>
    <t>WORK PAPER REFERENCE NO(S).:  WPD-2.11a</t>
  </si>
  <si>
    <t>WORK PAPER REFERENCE NO(S).:  WPD-2.10a</t>
  </si>
  <si>
    <t>WORK PAPER REFERENCE NO(S).:  WPD-2.9a</t>
  </si>
  <si>
    <t>WORK PAPER REFERENCE NO(S).:  WPD-2.8a</t>
  </si>
  <si>
    <t>WORK PAPER REFERENCE NO(S).:  WPD-2.6a</t>
  </si>
  <si>
    <t>WORK PAPER REFERENCE NO(S).:  WPD-2.5a</t>
  </si>
  <si>
    <t xml:space="preserve">PURPOSE AND DESCRIPTION: To adjust base period transmission expenses </t>
  </si>
  <si>
    <t>ADJUST BASE PERIOD TRANSMISSION EXPENSE</t>
  </si>
  <si>
    <t>TRANSMISSION</t>
  </si>
  <si>
    <t xml:space="preserve">  Transmission Expense</t>
  </si>
  <si>
    <t xml:space="preserve"> Transmission Expense</t>
  </si>
  <si>
    <t xml:space="preserve">CONDENSED INCOME STATEMENT DATA: </t>
  </si>
  <si>
    <t xml:space="preserve">    Operating revenues ($000,000)</t>
  </si>
  <si>
    <t>Per Regulatory and</t>
  </si>
  <si>
    <t xml:space="preserve">    GAAP Guidelines</t>
  </si>
  <si>
    <t>190,</t>
  </si>
  <si>
    <t xml:space="preserve">  Normal and Surtax</t>
  </si>
  <si>
    <t xml:space="preserve"> COMPUTED</t>
  </si>
  <si>
    <t xml:space="preserve">  State Income Tax - Pr. Yr. Adj.</t>
  </si>
  <si>
    <t>Adjusted Jurisdiction</t>
  </si>
  <si>
    <t>Current</t>
  </si>
  <si>
    <t>Calculated</t>
  </si>
  <si>
    <t>or Major</t>
  </si>
  <si>
    <t>Accrual</t>
  </si>
  <si>
    <t>Depr/Amort</t>
  </si>
  <si>
    <t>% Net</t>
  </si>
  <si>
    <t>Service</t>
  </si>
  <si>
    <t>Curve</t>
  </si>
  <si>
    <t>Property Grouping</t>
  </si>
  <si>
    <t>Salvage</t>
  </si>
  <si>
    <t>Life</t>
  </si>
  <si>
    <t>Form</t>
  </si>
  <si>
    <t>(B-1)</t>
  </si>
  <si>
    <t>(B-2)</t>
  </si>
  <si>
    <t>(G=DxF)</t>
  </si>
  <si>
    <t>(H)</t>
  </si>
  <si>
    <t>(J)</t>
  </si>
  <si>
    <t>Perpetual Life</t>
  </si>
  <si>
    <t>SQ</t>
  </si>
  <si>
    <t>R3</t>
  </si>
  <si>
    <t>S1.5</t>
  </si>
  <si>
    <t xml:space="preserve">      O&amp;M related to Erlanger Gas Plant  (WPD-2.19c)</t>
  </si>
  <si>
    <t xml:space="preserve">   D-2.19  Pg 2</t>
  </si>
  <si>
    <t xml:space="preserve">   D-2.19  Pg 3</t>
  </si>
  <si>
    <t>WPD-2.19b</t>
  </si>
  <si>
    <t>O&amp;M Expenses  (WPD-2.19d)</t>
  </si>
  <si>
    <t xml:space="preserve">    WPD-2.19a</t>
  </si>
  <si>
    <t>WPD-2.19c</t>
  </si>
  <si>
    <t>WPD-2.19d</t>
  </si>
  <si>
    <t>To WPD-2.19c</t>
  </si>
  <si>
    <t>ADJUSTMENTS TO BASE PERIOD</t>
  </si>
  <si>
    <t>ADJUSTMENTS TO THE BASE PERIOD</t>
  </si>
  <si>
    <t>SUMMARY OF UTILITY JURISDICTIONAL ADJUSTMENTS TO</t>
  </si>
  <si>
    <t>Taxes</t>
  </si>
  <si>
    <t>ITC</t>
  </si>
  <si>
    <t>Tax - excl. ITC</t>
  </si>
  <si>
    <t>Income Before Tax &amp; Interest</t>
  </si>
  <si>
    <t>Interest Charges</t>
  </si>
  <si>
    <t>Income Before Tax</t>
  </si>
  <si>
    <t>BALANCE</t>
  </si>
  <si>
    <t>Cost (1)</t>
  </si>
  <si>
    <t>KY  Customers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</si>
  <si>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</si>
  <si>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Propane Cavern-Processing Facilities</t>
  </si>
  <si>
    <t>Production-Manufactured Gas</t>
  </si>
  <si>
    <t>System M&amp;R Equipment #149</t>
  </si>
  <si>
    <t xml:space="preserve">          Total</t>
  </si>
  <si>
    <t>Gas Feeder- Line AM</t>
  </si>
  <si>
    <t>(1) Includes account 106</t>
  </si>
  <si>
    <t>(2) To WPB-2.2f</t>
  </si>
  <si>
    <t xml:space="preserve">    Rate Department supplies allocation rates</t>
  </si>
  <si>
    <t>WPD-2.15a</t>
  </si>
  <si>
    <t>SCHEDULE D-2.25</t>
  </si>
  <si>
    <t>WIT8:</t>
  </si>
  <si>
    <t>Proposed</t>
  </si>
  <si>
    <t>D-2.25</t>
  </si>
  <si>
    <t>Other than</t>
  </si>
  <si>
    <t xml:space="preserve">          Grand Total</t>
  </si>
  <si>
    <t xml:space="preserve">   Total State Income Tax Expense</t>
  </si>
  <si>
    <t>Federal Income Taxes</t>
  </si>
  <si>
    <t xml:space="preserve">  Federal Income Tax - Current</t>
  </si>
  <si>
    <t xml:space="preserve">   Total Federal Income Tax Expense</t>
  </si>
  <si>
    <t>Total Operating Expenses and Taxes</t>
  </si>
  <si>
    <t>D-2.17</t>
  </si>
  <si>
    <t>Net Operating Income</t>
  </si>
  <si>
    <t xml:space="preserve">      WPC-2a</t>
  </si>
  <si>
    <t xml:space="preserve">      WITNESS RESPONSIBLE:</t>
  </si>
  <si>
    <t xml:space="preserve">   OPERATING REVENUES</t>
  </si>
  <si>
    <t>OPERATING</t>
  </si>
  <si>
    <t>TITLE of ACCOUNT</t>
  </si>
  <si>
    <t>GAS COST</t>
  </si>
  <si>
    <t>OTHER</t>
  </si>
  <si>
    <t>REVENUES</t>
  </si>
  <si>
    <t xml:space="preserve">  Late Payment Charge</t>
  </si>
  <si>
    <t xml:space="preserve">  Erlanger Gas Plant</t>
  </si>
  <si>
    <t xml:space="preserve">   Total Other Revenue</t>
  </si>
  <si>
    <t xml:space="preserve">    Total Revenues</t>
  </si>
  <si>
    <t>Notes:</t>
  </si>
  <si>
    <t xml:space="preserve">      WPC-2b</t>
  </si>
  <si>
    <t xml:space="preserve">    INTEREST AND DIVIDEND INCOME</t>
  </si>
  <si>
    <t xml:space="preserve">    ALLOWANCE FOR FUNDS USED DURING CONST</t>
  </si>
  <si>
    <t>January</t>
  </si>
  <si>
    <t>WPB-2.2a</t>
  </si>
  <si>
    <t>GAS FACILITIES DEVOTED TO OTHER THAN KENTUCKY CUSTOMERS</t>
  </si>
  <si>
    <t>Periods:</t>
  </si>
  <si>
    <t xml:space="preserve"> Other</t>
  </si>
  <si>
    <t>SCHEDULE D-2.19</t>
  </si>
  <si>
    <t>WPD-2.19a</t>
  </si>
  <si>
    <t>Services</t>
  </si>
  <si>
    <t>Meters</t>
  </si>
  <si>
    <t>Other</t>
  </si>
  <si>
    <t>INTEREST EXPENSE DEDUCTIBLE</t>
  </si>
  <si>
    <t xml:space="preserve">          SCHEDULE D-2.18</t>
  </si>
  <si>
    <t xml:space="preserve">          PAGE  1  OF  2</t>
  </si>
  <si>
    <t>PURPOSE AND DESCRIPTION: To reflect federal income taxes at</t>
  </si>
  <si>
    <t>on allocated interest costs based on Proforma interest charges</t>
  </si>
  <si>
    <t>as contained on Schedule J-1.</t>
  </si>
  <si>
    <t xml:space="preserve">          PAGE  2  OF  2</t>
  </si>
  <si>
    <t>PURPOSE AND DESCRIPTION: To reflect state income taxes at</t>
  </si>
  <si>
    <t>(a)  Includes Interest Charges and income tax on Other Income &amp; Deductions.</t>
  </si>
  <si>
    <t>OPERATING INCOME BY MAJOR ACCOUNTS</t>
  </si>
  <si>
    <t xml:space="preserve">          SCHEDULE D-1</t>
  </si>
  <si>
    <t xml:space="preserve">          WITNESS RESPONSIBLE:</t>
  </si>
  <si>
    <t>ADJUST</t>
  </si>
  <si>
    <t>PURCHASED</t>
  </si>
  <si>
    <t>DISTRIBUTION</t>
  </si>
  <si>
    <t xml:space="preserve">    The company has not merged or acquired property from other than affiliated companies.</t>
  </si>
  <si>
    <t>LEASED PROPERTY</t>
  </si>
  <si>
    <t>SCHEDULE B-2.5</t>
  </si>
  <si>
    <t>Dollar</t>
  </si>
  <si>
    <t xml:space="preserve">Identification </t>
  </si>
  <si>
    <t>Value of</t>
  </si>
  <si>
    <t>ELEMENT of OPERATING INCOME</t>
  </si>
  <si>
    <t>D-1</t>
  </si>
  <si>
    <t>PROD. EXP.</t>
  </si>
  <si>
    <t>Ended</t>
  </si>
  <si>
    <t>FEDERAL &amp; STATE INCOME TAX ON INTEREST DEDUCTION</t>
  </si>
  <si>
    <t>Long-Term</t>
  </si>
  <si>
    <t>Short-Term</t>
  </si>
  <si>
    <t>No</t>
  </si>
  <si>
    <t>Debt</t>
  </si>
  <si>
    <t>Capital Structure</t>
  </si>
  <si>
    <t xml:space="preserve"> Annual Cost Rate</t>
  </si>
  <si>
    <t xml:space="preserve"> for each Debt Component</t>
  </si>
  <si>
    <t>Capitalization</t>
  </si>
  <si>
    <t xml:space="preserve">     State Income Tax - Current to Page 3</t>
  </si>
  <si>
    <t>PURPOSE AND DESCRIPTION: To adjust base period depreciation</t>
  </si>
  <si>
    <t>WPD-2.10a</t>
  </si>
  <si>
    <t>ADJUST BASE PERIOD DEPRECIATION EXPENSE</t>
  </si>
  <si>
    <t>SCHEDULE D-2.11</t>
  </si>
  <si>
    <t>Pro Forma</t>
  </si>
  <si>
    <t>Adj to BP</t>
  </si>
  <si>
    <t>(FOR REASONS OTHER THAN JURISDICTIONAL ALLOCATION)</t>
  </si>
  <si>
    <t>SCHEDULE B-2.7</t>
  </si>
  <si>
    <t>Revenue and Expense</t>
  </si>
  <si>
    <t>and</t>
  </si>
  <si>
    <t>Reasons</t>
  </si>
  <si>
    <t>Amort.</t>
  </si>
  <si>
    <t>SCHEDULE D-2.16</t>
  </si>
  <si>
    <t xml:space="preserve">    Total Distribution Expenses</t>
  </si>
  <si>
    <t xml:space="preserve">  Supervision &amp; Engineering</t>
  </si>
  <si>
    <t xml:space="preserve">  Meter Reading Expense</t>
  </si>
  <si>
    <t xml:space="preserve">  Customer Records &amp; Collections</t>
  </si>
  <si>
    <t xml:space="preserve">  Uncollectible Accounts</t>
  </si>
  <si>
    <t xml:space="preserve">    Total Customer Accounts Expense</t>
  </si>
  <si>
    <t>Customer Services &amp; Information Expense</t>
  </si>
  <si>
    <t>Supervision</t>
  </si>
  <si>
    <t xml:space="preserve"> Alloc Sch F-3</t>
  </si>
  <si>
    <t xml:space="preserve">    Total Customer Services &amp;</t>
  </si>
  <si>
    <t xml:space="preserve">      Information Expense</t>
  </si>
  <si>
    <t xml:space="preserve">  Supervision</t>
  </si>
  <si>
    <t xml:space="preserve">    Total Sales Expense</t>
  </si>
  <si>
    <t xml:space="preserve">  Administrative &amp; General Salaries</t>
  </si>
  <si>
    <t xml:space="preserve">  Office Supplies &amp; Expenses</t>
  </si>
  <si>
    <t xml:space="preserve">  Outside Services Employed</t>
  </si>
  <si>
    <t xml:space="preserve">  Property Insurance</t>
  </si>
  <si>
    <t xml:space="preserve">  Injuries &amp; Damages</t>
  </si>
  <si>
    <t xml:space="preserve">  Employee Pension &amp; Benefits</t>
  </si>
  <si>
    <t xml:space="preserve">  State Reg. Commission Expense</t>
  </si>
  <si>
    <t xml:space="preserve">  Duplicate Charges-Credit</t>
  </si>
  <si>
    <t xml:space="preserve">  Rents</t>
  </si>
  <si>
    <t xml:space="preserve">  Maintenence of General Plant</t>
  </si>
  <si>
    <t xml:space="preserve">    Total Administrative &amp; General</t>
  </si>
  <si>
    <t xml:space="preserve">    Total Operating Expense</t>
  </si>
  <si>
    <t xml:space="preserve">      Total Depreciation Expense</t>
  </si>
  <si>
    <t>TAXES OTHER THAN INCOME TAXES</t>
  </si>
  <si>
    <t>Other Federal Taxes</t>
  </si>
  <si>
    <t xml:space="preserve">  Insurance Contribution</t>
  </si>
  <si>
    <t xml:space="preserve">  Unemployment Compensation</t>
  </si>
  <si>
    <t xml:space="preserve">    Total Other Federal</t>
  </si>
  <si>
    <t>State and Other Taxes</t>
  </si>
  <si>
    <t xml:space="preserve">  Property Tax</t>
  </si>
  <si>
    <t xml:space="preserve">    Total State &amp; Other</t>
  </si>
  <si>
    <t xml:space="preserve">    Total Taxes Other Than</t>
  </si>
  <si>
    <t xml:space="preserve">              WPD-2.18a</t>
  </si>
  <si>
    <t>Test Period Gas Interest Deduction</t>
  </si>
  <si>
    <t>To Sch D-2.18, Pg. 2 &lt;--</t>
  </si>
  <si>
    <t>To Sch D-2.18, Pg. 1 &lt;--</t>
  </si>
  <si>
    <t>(A)  Source: Schedule H</t>
  </si>
  <si>
    <t>ELIMINATE REVENUES RELATED TO FACILITIES DEVOTED</t>
  </si>
  <si>
    <t>Rate Base</t>
  </si>
  <si>
    <t>B-1</t>
  </si>
  <si>
    <t>TO FORECASTED PERIOD</t>
  </si>
  <si>
    <t>OPERATING REVENUES AND EXPENSES BY ACCOUNTS</t>
  </si>
  <si>
    <t>ADJUST BASE PERIOD REVENUE TO FORECASTED PERIOD</t>
  </si>
  <si>
    <t>ADJUST BASE PERIOD PURCHASED GAS COST TO FORECASTED PERIOD</t>
  </si>
  <si>
    <t>ADJUST BASE PERIOD OTHER PRODUCTION EXPENSES TO FORECASTED PERIOD</t>
  </si>
  <si>
    <t>ADJUST BASE PERIOD OTHER GAS SUPPLY EXPENSES TO FORECASTED PERIOD</t>
  </si>
  <si>
    <t>ADJUST BASE PERIOD TRANSMISSION EXPENSES TO FORECASTED PERIOD</t>
  </si>
  <si>
    <t>ADJUST BASE PERIOD DISTRIBUTION EXPENSES TO FORECASTED PERIOD</t>
  </si>
  <si>
    <t>ADJUST BASE PERIOD CUSTOMER ACCOUNTS EXPENSES TO FORECASTED PERIOD</t>
  </si>
  <si>
    <t>ADJUST BASE PERIOD CUSTOMER SERVICE &amp; INFORMATION EXPENSES TO FORECASTED PERIOD</t>
  </si>
  <si>
    <t>ADJUST BASE PERIOD SALES EXPENSES TO FORECASTED PERIOD</t>
  </si>
  <si>
    <t>ADJUST BASE PERIOD A&amp;G EXPENSES TO FORECASTED PERIOD</t>
  </si>
  <si>
    <t>ADJUST OTHER OPERATING EXPENSE TO FORECASTED PERIOD</t>
  </si>
  <si>
    <t>ADJUST BASE PERIOD DEPRECIATION EXPENSE TO FORECASTED PERIOD</t>
  </si>
  <si>
    <t>ADJUST BASE PERIOD OTHER TAX EXPENSE TO FORECASTED PERIOD</t>
  </si>
  <si>
    <t>ADJUST BASE PERIOD INCOME TAX EXPENSE TO FORECASTED PERIOD</t>
  </si>
  <si>
    <t>SO2 EA</t>
  </si>
  <si>
    <t>NOx</t>
  </si>
  <si>
    <t>EA Inventory</t>
  </si>
  <si>
    <t xml:space="preserve">    MISCELLANEOUS NONOPERATING INCOME</t>
  </si>
  <si>
    <t xml:space="preserve">    Operating expenses (excluding FIT</t>
  </si>
  <si>
    <t xml:space="preserve">    AMORTIZATION OF LOSS ON REACQUIRED DEBT </t>
  </si>
  <si>
    <t xml:space="preserve">    AMORTIZATION OF PREMIUM ON DEBT - CREDIT</t>
  </si>
  <si>
    <t xml:space="preserve">    INTEREST ON DEBT TO ASSOC. COMPANIES</t>
  </si>
  <si>
    <t>RATE CASE EXPENSE</t>
  </si>
  <si>
    <t>PURPOSE AND DESCRIPTION: To reflect the estimated cost</t>
  </si>
  <si>
    <t>WPB-2.2b</t>
  </si>
  <si>
    <t>Services - Steel</t>
  </si>
  <si>
    <t>Services - Plastic</t>
  </si>
  <si>
    <t>No property is excluded from rate base for reasons other than jurisdictional allocation.</t>
  </si>
  <si>
    <t xml:space="preserve">    To Sch D-1 Summary &lt;---</t>
  </si>
  <si>
    <t>AMORTIZATION OF RATE CASE EXPENSE</t>
  </si>
  <si>
    <t>Estimated Expense</t>
  </si>
  <si>
    <t>Amount Included in the Test Period</t>
  </si>
  <si>
    <t>Adjustment to Test Period Expenses</t>
  </si>
  <si>
    <t>Gas Cost Revenue</t>
  </si>
  <si>
    <t>WPD-2.14a</t>
  </si>
  <si>
    <t xml:space="preserve">  Federal Income Tax - Pr. Yr. Adj.</t>
  </si>
  <si>
    <t xml:space="preserve">  Allocated from the Service Company</t>
  </si>
  <si>
    <t xml:space="preserve">    Federal Income Tax - Current</t>
  </si>
  <si>
    <t xml:space="preserve">    Total Federal Income Taxes</t>
  </si>
  <si>
    <t xml:space="preserve">    Total Operating Expenses &amp; Taxes</t>
  </si>
  <si>
    <t xml:space="preserve">    Net Operating Income</t>
  </si>
  <si>
    <t>WORK PAPER REFERENCE NO(S).: See Below</t>
  </si>
  <si>
    <t>% OF</t>
  </si>
  <si>
    <t>WEIGHTED</t>
  </si>
  <si>
    <t>CLASS OF CAPITAL</t>
  </si>
  <si>
    <t>COST</t>
  </si>
  <si>
    <t>COST %</t>
  </si>
  <si>
    <t>Common Equity</t>
  </si>
  <si>
    <t>Long-Term Debt</t>
  </si>
  <si>
    <t>J-3</t>
  </si>
  <si>
    <t>Short-Term Debt</t>
  </si>
  <si>
    <t>J-2</t>
  </si>
  <si>
    <t xml:space="preserve">   Total Capital</t>
  </si>
  <si>
    <t>Accumulated Deferred Investment Tax Credit</t>
  </si>
  <si>
    <t xml:space="preserve">   Account 255</t>
  </si>
  <si>
    <t>Investment Tax Credit Included in Total Capital</t>
  </si>
  <si>
    <t xml:space="preserve">   Total Capital Including Investment Tax Credit</t>
  </si>
  <si>
    <t>THIRTEEN MONTH AVERAGE BALANCE</t>
  </si>
  <si>
    <t>(CORPORATE)</t>
  </si>
  <si>
    <t>EMBEDDED COST OF SHORT-TERM DEBT</t>
  </si>
  <si>
    <t xml:space="preserve">   SCHEDULE J-2</t>
  </si>
  <si>
    <t>ISSUE</t>
  </si>
  <si>
    <t>OUTSTANDING</t>
  </si>
  <si>
    <t>REQUIREMENT</t>
  </si>
  <si>
    <t>(%)</t>
  </si>
  <si>
    <t xml:space="preserve"> GAINS FROM DISP OF ALLOW - CREDIT</t>
  </si>
  <si>
    <t xml:space="preserve"> ACCRETION EXPENSE</t>
  </si>
  <si>
    <t>State Reg Comm Proceeding</t>
  </si>
  <si>
    <t>Source</t>
  </si>
  <si>
    <t>PROCEDURES APPROVED IN PRIOR CASE</t>
  </si>
  <si>
    <t>RATIONALE FOR CHANGE</t>
  </si>
  <si>
    <t>COMPARATIVE BALANCE SHEETS</t>
  </si>
  <si>
    <t>SCHEDULE B-8</t>
  </si>
  <si>
    <t>BASE PERIOD</t>
  </si>
  <si>
    <t>MOST RECENT FIVE CALENDAR YEARS</t>
  </si>
  <si>
    <t xml:space="preserve">ASSETS </t>
  </si>
  <si>
    <t>UTILITY PLANT</t>
  </si>
  <si>
    <t xml:space="preserve">  UTILITY PLANT IN SERVICE</t>
  </si>
  <si>
    <t xml:space="preserve">  CONSTRUCTION WORK IN PROGRESS</t>
  </si>
  <si>
    <t xml:space="preserve">    TOTAL UTILITY PLANT</t>
  </si>
  <si>
    <t>Investment Tax Credits:</t>
  </si>
  <si>
    <t>Sch. C-2.1</t>
  </si>
  <si>
    <t>Revenue Subject to Uncollectible Ratio (1) + (2) - (3)</t>
  </si>
  <si>
    <t>Uncollectible Expense Factor</t>
  </si>
  <si>
    <t>(A) Billed sales.</t>
  </si>
  <si>
    <t>Base Period Revenue</t>
  </si>
  <si>
    <t>Transp. Gas of Others - Inter Co.</t>
  </si>
  <si>
    <t>Commercial Transp.</t>
  </si>
  <si>
    <t>OPA Transp.</t>
  </si>
  <si>
    <t>Industrial Transp.</t>
  </si>
  <si>
    <t>Forecasted Period Revenue</t>
  </si>
  <si>
    <t>Note: Source is Company general ledger.</t>
  </si>
  <si>
    <t>154100 - Gas</t>
  </si>
  <si>
    <t>154100 - Elec</t>
  </si>
  <si>
    <t>154200 - Elec</t>
  </si>
  <si>
    <t>154410 - Gas</t>
  </si>
  <si>
    <t>163110 - Gas</t>
  </si>
  <si>
    <t>163110 - Elec</t>
  </si>
  <si>
    <t>M&amp;S Inventory - Gas</t>
  </si>
  <si>
    <t>M&amp;S Inventory - Electric</t>
  </si>
  <si>
    <t>Common M&amp;S - Gas</t>
  </si>
  <si>
    <t>Common M&amp;S - Electric</t>
  </si>
  <si>
    <t>Working Stock - Gas</t>
  </si>
  <si>
    <t>Stores Expense - Gas</t>
  </si>
  <si>
    <t>Stores Expense - Electric</t>
  </si>
  <si>
    <t>ACCT 151126</t>
  </si>
  <si>
    <t>Coal Stocks</t>
  </si>
  <si>
    <t>151130 (A)</t>
  </si>
  <si>
    <t>151131 (A)</t>
  </si>
  <si>
    <t>Diesel Fuel</t>
  </si>
  <si>
    <t>151140 (A)</t>
  </si>
  <si>
    <t>DETAIL OF THIRTEEN MONTH AVERAGE PREPAYMENTS</t>
  </si>
  <si>
    <t>165075 (A)</t>
  </si>
  <si>
    <t>165400 (A)</t>
  </si>
  <si>
    <t>Collateral</t>
  </si>
  <si>
    <t>Asset</t>
  </si>
  <si>
    <t>165520 (A)</t>
  </si>
  <si>
    <t>Collateral Asset</t>
  </si>
  <si>
    <t>KPSC Maintenance Tax - Gas</t>
  </si>
  <si>
    <t>KPSC Maintenance Tax - Electric</t>
  </si>
  <si>
    <t>PURPOSE AND DESCRIPTION: To adjust base period other tax</t>
  </si>
  <si>
    <t>Total Taxes Other than Income Taxes</t>
  </si>
  <si>
    <t>WPD-2.11a</t>
  </si>
  <si>
    <t>ADJUST BASE PERIOD OTHER TAX EXPENSE</t>
  </si>
  <si>
    <t xml:space="preserve">        PAGE  1  OF  1</t>
  </si>
  <si>
    <t xml:space="preserve">        WITNESS RESPONSIBLE:</t>
  </si>
  <si>
    <t>ADJUST UNCOLLECTIBLE EXPENSE</t>
  </si>
  <si>
    <t>PURPOSE AND DESCRIPTION: To reflect the reclassification of the "time value of money" portion</t>
  </si>
  <si>
    <t>Sch. C-2</t>
  </si>
  <si>
    <t>Fuel Revenue</t>
  </si>
  <si>
    <t>Collection Costs</t>
  </si>
  <si>
    <t>Late Charges</t>
  </si>
  <si>
    <t>Time Value</t>
  </si>
  <si>
    <t>Total Discount</t>
  </si>
  <si>
    <t>Less: Time Value</t>
  </si>
  <si>
    <t>Uncollectible Factor</t>
  </si>
  <si>
    <t>UNCOLLECTIBLE</t>
  </si>
  <si>
    <t>DUKE ENERGY KENTUCKY, INC.</t>
  </si>
  <si>
    <t>DE-KENTUCKY CUSTOMERS TO TOTAL PLANT FOR ELIMINATION PURPOSES</t>
  </si>
  <si>
    <t>PROPANE GALLONS VAPORIZED FOR DE-OHIO AND DE-KENTUCKY</t>
  </si>
  <si>
    <t>DE-Ohio</t>
  </si>
  <si>
    <t>DE-Kentucky</t>
  </si>
  <si>
    <t xml:space="preserve">       (DE-Kentucky Variance / DE-Kentucky Normal)</t>
  </si>
  <si>
    <t>INCENTIVE</t>
  </si>
  <si>
    <t>COMPENSATION</t>
  </si>
  <si>
    <t xml:space="preserve">          PAGE  5  OF  7</t>
  </si>
  <si>
    <t xml:space="preserve">          PAGE  6  OF  7</t>
  </si>
  <si>
    <t xml:space="preserve">          PAGE  2  OF  7</t>
  </si>
  <si>
    <t xml:space="preserve">          PAGE  3 OF  7</t>
  </si>
  <si>
    <t xml:space="preserve">          PAGE  4  OF  7</t>
  </si>
  <si>
    <t>PAGE 1 OF 7</t>
  </si>
  <si>
    <t>INCENTIVE COMPENSATION</t>
  </si>
  <si>
    <t xml:space="preserve">        MOST RECENT FIVE CALENDAR YEARS        </t>
  </si>
  <si>
    <t>CALENDAR YEARS</t>
  </si>
  <si>
    <t>REVENUE BY CUSTOMER</t>
  </si>
  <si>
    <t xml:space="preserve"> CLASS-$    (A)       </t>
  </si>
  <si>
    <t>RETAIL -</t>
  </si>
  <si>
    <t xml:space="preserve">    RESIDENTIAL</t>
  </si>
  <si>
    <t xml:space="preserve">    COMMERCIAL</t>
  </si>
  <si>
    <t xml:space="preserve">    INDUSTRIAL</t>
  </si>
  <si>
    <t xml:space="preserve">    OTHER</t>
  </si>
  <si>
    <t xml:space="preserve">        TOTAL RETAIL</t>
  </si>
  <si>
    <t xml:space="preserve">    OTHER INTEREST EXPENSE</t>
  </si>
  <si>
    <t xml:space="preserve">    ALLOW FOR BRWD FUNDS USED DUR CONST - CREDIT</t>
  </si>
  <si>
    <t xml:space="preserve">      NET INTEREST CHARGES</t>
  </si>
  <si>
    <t xml:space="preserve">      NET INCOME</t>
  </si>
  <si>
    <t>DATE OF CAPITAL STRUCTURE: END OF BASE PERIOD</t>
  </si>
  <si>
    <t>WORK PAPER REFERENCE NOS.: WPB-3.1a</t>
  </si>
  <si>
    <t>AT CURRENT RATES</t>
  </si>
  <si>
    <t>AT PROPOSED RATES</t>
  </si>
  <si>
    <t>Operating Income before Federal</t>
  </si>
  <si>
    <t xml:space="preserve">      and State Income Taxes</t>
  </si>
  <si>
    <t>Reconciling Items:</t>
  </si>
  <si>
    <t xml:space="preserve">   Interest Charges</t>
  </si>
  <si>
    <t xml:space="preserve">      Net Interest Charges</t>
  </si>
  <si>
    <t xml:space="preserve">   Book Depreciation</t>
  </si>
  <si>
    <t xml:space="preserve">      Excess of Tax over Book Depreciation</t>
  </si>
  <si>
    <t>Other Reconciling Items:</t>
  </si>
  <si>
    <t xml:space="preserve">   Total Other Reconciling Items</t>
  </si>
  <si>
    <t xml:space="preserve">      Total Reconciling Items</t>
  </si>
  <si>
    <t xml:space="preserve">  and State Income Tax from Page 1</t>
  </si>
  <si>
    <t>Total Reconciling Items from Page 1</t>
  </si>
  <si>
    <t>Federal Taxable Income</t>
  </si>
  <si>
    <t>Percent</t>
  </si>
  <si>
    <t>Non KY</t>
  </si>
  <si>
    <t>Customer</t>
  </si>
  <si>
    <t>Normal (1)</t>
  </si>
  <si>
    <t>Production</t>
  </si>
  <si>
    <t>Variance</t>
  </si>
  <si>
    <t>(2) Percentage of production expenses related to KY customers.</t>
  </si>
  <si>
    <t>(3) Percentage of production expenses related to non-KY customers to be eliminated.</t>
  </si>
  <si>
    <t>GAS SUPPLY EXP.</t>
  </si>
  <si>
    <t>EXPENSE</t>
  </si>
  <si>
    <t>D-2.1</t>
  </si>
  <si>
    <t>D-2.2</t>
  </si>
  <si>
    <t>D-2.5</t>
  </si>
  <si>
    <t>Operating Revenue</t>
  </si>
  <si>
    <t xml:space="preserve"> Base</t>
  </si>
  <si>
    <t xml:space="preserve"> Gas Cost</t>
  </si>
  <si>
    <t xml:space="preserve"> Other Revenue</t>
  </si>
  <si>
    <t xml:space="preserve">  Total Revenue</t>
  </si>
  <si>
    <t xml:space="preserve"> Operation and Maint. Expenses</t>
  </si>
  <si>
    <t xml:space="preserve">  Production Expenses</t>
  </si>
  <si>
    <t xml:space="preserve">   Liquefied Petroleum Gas</t>
  </si>
  <si>
    <t xml:space="preserve"> Total Production Expense</t>
  </si>
  <si>
    <t xml:space="preserve"> Other Gas Supply Expenses</t>
  </si>
  <si>
    <t xml:space="preserve">   Purchased Gas</t>
  </si>
  <si>
    <t>Total Other Gas Supply Expenses</t>
  </si>
  <si>
    <t xml:space="preserve">  Distribution Expense</t>
  </si>
  <si>
    <t xml:space="preserve">  Customer Accounts Expense</t>
  </si>
  <si>
    <t xml:space="preserve">  Customer Serv &amp; Info Expense </t>
  </si>
  <si>
    <t xml:space="preserve">  Sales Expense</t>
  </si>
  <si>
    <t>(A) Source: WPC-2c.</t>
  </si>
  <si>
    <t>Total Unbilled Revenue (A)</t>
  </si>
  <si>
    <t>WPD-2.2a</t>
  </si>
  <si>
    <t>ADJUST BASE PERIOD PURCHASED GAS COST</t>
  </si>
  <si>
    <t>SCHEDULE D-2.3</t>
  </si>
  <si>
    <t xml:space="preserve">PURPOSE AND DESCRIPTION: To adjust base period other production expenses </t>
  </si>
  <si>
    <t>Other Production Expenses</t>
  </si>
  <si>
    <t>WPD-2.3a</t>
  </si>
  <si>
    <t>OTHER PRODUCTION EXPENSES</t>
  </si>
  <si>
    <t>SCHEDULE D-2.4</t>
  </si>
  <si>
    <t xml:space="preserve">PURPOSE AND DESCRIPTION: To adjust base period other gas supply expenses </t>
  </si>
  <si>
    <t>WPD-2.4a</t>
  </si>
  <si>
    <t>OTHER GAS SUPPLY EXPENSES</t>
  </si>
  <si>
    <t>SCHEDULE D-2.5</t>
  </si>
  <si>
    <t xml:space="preserve">PURPOSE AND DESCRIPTION: To adjust base period distribution expenses </t>
  </si>
  <si>
    <t>WPD-2.5a</t>
  </si>
  <si>
    <t>ADJUST BASE PERIOD DISTRIBUTION EXPENSE</t>
  </si>
  <si>
    <t>PURPOSE AND DESCRIPTION: To reflect the elimination of</t>
  </si>
  <si>
    <t>WPB-5.1i</t>
  </si>
  <si>
    <t>AMORT.</t>
  </si>
  <si>
    <t>TRANSPORTATION -</t>
  </si>
  <si>
    <t xml:space="preserve">        TOTAL TRANSPORTATION</t>
  </si>
  <si>
    <t xml:space="preserve">              TOTAL REVENUES</t>
  </si>
  <si>
    <t xml:space="preserve"> CLASS (AVERAGE)</t>
  </si>
  <si>
    <t xml:space="preserve">AVERAGE SALES PER </t>
  </si>
  <si>
    <t xml:space="preserve"> CUSTOMER-MCF</t>
  </si>
  <si>
    <t>SALES STATISTICS-JURISDICTIONAL</t>
  </si>
  <si>
    <t>SCHEDULE I-5</t>
  </si>
  <si>
    <t xml:space="preserve"> CLASS-MCF_(A)__</t>
  </si>
  <si>
    <t>COST OF CAPITAL SUMMARY</t>
  </si>
  <si>
    <t>SCHEDULE J-1</t>
  </si>
  <si>
    <t>WORK PAPER REFERENCE NO(S).: WPC-2.1a</t>
  </si>
  <si>
    <t>Annual</t>
  </si>
  <si>
    <t>Jurisdictional</t>
  </si>
  <si>
    <t>Case</t>
  </si>
  <si>
    <t>Audit</t>
  </si>
  <si>
    <t xml:space="preserve"> Depreciation Expense</t>
  </si>
  <si>
    <t>RATE</t>
  </si>
  <si>
    <t>ELIMINATE</t>
  </si>
  <si>
    <t>INTEREST</t>
  </si>
  <si>
    <t>ELIM NON-</t>
  </si>
  <si>
    <t>CASE</t>
  </si>
  <si>
    <t>KY CUST</t>
  </si>
  <si>
    <t>PORTION</t>
  </si>
  <si>
    <t>D-2.12</t>
  </si>
  <si>
    <t>D-2.13</t>
  </si>
  <si>
    <t>D-2.14</t>
  </si>
  <si>
    <t>D-2.15</t>
  </si>
  <si>
    <t>D-2.16</t>
  </si>
  <si>
    <t>RESERVED</t>
  </si>
  <si>
    <t>D-2.18</t>
  </si>
  <si>
    <t>D-2.19</t>
  </si>
  <si>
    <t>D-2.20</t>
  </si>
  <si>
    <t>D-2.21</t>
  </si>
  <si>
    <t>D-2.22</t>
  </si>
  <si>
    <t>D-2.23</t>
  </si>
  <si>
    <t>D-2.26</t>
  </si>
  <si>
    <t>D-2.27</t>
  </si>
  <si>
    <t>D-2.28</t>
  </si>
  <si>
    <t>D-2.29</t>
  </si>
  <si>
    <t>**** NOTE:</t>
  </si>
  <si>
    <t>CONSTRUCTION WORK IN PROGRESS</t>
  </si>
  <si>
    <t>UNADJUSTED</t>
  </si>
  <si>
    <t>METHOD /</t>
  </si>
  <si>
    <t>ACCOUNT TITLE</t>
  </si>
  <si>
    <t>JURISDICTION</t>
  </si>
  <si>
    <t>Retail Revenue</t>
  </si>
  <si>
    <t>Various</t>
  </si>
  <si>
    <t>Other Revenues</t>
  </si>
  <si>
    <t>Jurisdictional amount</t>
  </si>
  <si>
    <t>(A) Allocation Code   -</t>
  </si>
  <si>
    <t>WPD-2.1a</t>
  </si>
  <si>
    <t xml:space="preserve">WITNESS RESPONSIBLE: </t>
  </si>
  <si>
    <t>Line</t>
  </si>
  <si>
    <t>No.</t>
  </si>
  <si>
    <t>Adjustment</t>
  </si>
  <si>
    <t>Total Revenue</t>
  </si>
  <si>
    <t>PURPOSE AND DESCRIPTION</t>
  </si>
  <si>
    <t xml:space="preserve">     Earnings per share - weighted</t>
  </si>
  <si>
    <t xml:space="preserve">          average - assuming dilution ($)</t>
  </si>
  <si>
    <t xml:space="preserve">     Dividends paid per share ($)</t>
  </si>
  <si>
    <t xml:space="preserve">     Dividends declared per share ($)</t>
  </si>
  <si>
    <t xml:space="preserve">     Dividend pay out ratio (declared basis) (%)</t>
  </si>
  <si>
    <t xml:space="preserve">     Market price - High-Low ($)</t>
  </si>
  <si>
    <t xml:space="preserve">           1st quarter - High</t>
  </si>
  <si>
    <t xml:space="preserve">                            - Low</t>
  </si>
  <si>
    <t xml:space="preserve">           2nd quarter - High</t>
  </si>
  <si>
    <t xml:space="preserve">           3rd quarter - High</t>
  </si>
  <si>
    <t xml:space="preserve">           4th quarter - High</t>
  </si>
  <si>
    <t xml:space="preserve">   Operation and Maintenance</t>
  </si>
  <si>
    <t>JANUARY</t>
  </si>
  <si>
    <t>WPB-6c</t>
  </si>
  <si>
    <t>Account 282 - Other</t>
  </si>
  <si>
    <t>Account 283 - Other</t>
  </si>
  <si>
    <t>--&gt; To Sch B-6, Page 1</t>
  </si>
  <si>
    <t>--&gt; To Sch B-6, Page 2</t>
  </si>
  <si>
    <t>WPB-6d</t>
  </si>
  <si>
    <t>WORK PAPER REFERENCE NO(S).: WPB-6b, WPB-6d</t>
  </si>
  <si>
    <t>PeriodF:</t>
  </si>
  <si>
    <t>WIT3:</t>
  </si>
  <si>
    <t>Department:</t>
  </si>
  <si>
    <t>GAS DEPARTMENT</t>
  </si>
  <si>
    <t>WIT4:</t>
  </si>
  <si>
    <t>Base Period:</t>
  </si>
  <si>
    <t>WIT5:</t>
  </si>
  <si>
    <t>Forecast Period:</t>
  </si>
  <si>
    <t>WIT6:</t>
  </si>
  <si>
    <t>Data:</t>
  </si>
  <si>
    <t>WIT7:</t>
  </si>
  <si>
    <t>DataF:</t>
  </si>
  <si>
    <t>DataBoth:</t>
  </si>
  <si>
    <t>DATA: "X" BASE PERIOD  "X" FORECASTED PERIOD</t>
  </si>
  <si>
    <t>Type:</t>
  </si>
  <si>
    <t xml:space="preserve">TYPE OF FILING:  "X" ORIGINAL   UPDATED    REVISED  </t>
  </si>
  <si>
    <t>Date Certain:</t>
  </si>
  <si>
    <t>UNCOLLECTIBLE ACCOUNTS</t>
  </si>
  <si>
    <t>KPSC MAINTENANCE</t>
  </si>
  <si>
    <t>STATE OF KENTUCKY INC TAX</t>
  </si>
  <si>
    <t>FEDERAL INCOME</t>
  </si>
  <si>
    <t>EFFECTIVE STATE</t>
  </si>
  <si>
    <t>EFF CONSOLIDATED STATE</t>
  </si>
  <si>
    <t>Base</t>
  </si>
  <si>
    <t>Account</t>
  </si>
  <si>
    <t>Description</t>
  </si>
  <si>
    <t>Period</t>
  </si>
  <si>
    <t>AUTOMATED RATE CASE FILING SYSTEM</t>
  </si>
  <si>
    <t>Company:</t>
  </si>
  <si>
    <t>Witnesses:</t>
  </si>
  <si>
    <t>Case:</t>
  </si>
  <si>
    <t>CURRENT CASE</t>
  </si>
  <si>
    <t xml:space="preserve">    -</t>
  </si>
  <si>
    <t>3 YEAR</t>
  </si>
  <si>
    <t>State Fuel Hearings and Other</t>
  </si>
  <si>
    <t>CIVIC, POLITICAL AND RELATED ACTIVITIES</t>
  </si>
  <si>
    <t xml:space="preserve">     SCHEDULE F-7</t>
  </si>
  <si>
    <t xml:space="preserve">Base Period </t>
  </si>
  <si>
    <t>Accumulated Deferred Income Taxes:</t>
  </si>
  <si>
    <t>MAY</t>
  </si>
  <si>
    <t>JUNE</t>
  </si>
  <si>
    <t>JULY</t>
  </si>
  <si>
    <t>AUGUST</t>
  </si>
  <si>
    <t>SEPTEMBER</t>
  </si>
  <si>
    <t>Operating Income Before Federal &amp; State Income Tax</t>
  </si>
  <si>
    <t>NON-UTILITY</t>
  </si>
  <si>
    <t>WPB-3.1a</t>
  </si>
  <si>
    <t>Allocation</t>
  </si>
  <si>
    <t>Allocated</t>
  </si>
  <si>
    <t>%  (A)</t>
  </si>
  <si>
    <t>Lines and Odorization Station Equip.</t>
  </si>
  <si>
    <t>Jurisdictional Rate Base</t>
  </si>
  <si>
    <t>JURISDICTIONAL RATE BASE SUMMARY</t>
  </si>
  <si>
    <t>SCHEDULE B-1</t>
  </si>
  <si>
    <t>13 MONTH AVG.</t>
  </si>
  <si>
    <t>RATE BASE COMPONENT</t>
  </si>
  <si>
    <t>Adjusted Jurisdictional Plant in Service</t>
  </si>
  <si>
    <t>B-2</t>
  </si>
  <si>
    <t>Accumulated Depreciation and Amortization</t>
  </si>
  <si>
    <t>Net Plant in Service (Line 1 + Line 2)</t>
  </si>
  <si>
    <t>Construction Work in Progress</t>
  </si>
  <si>
    <t>Cash Working Capital Allowance</t>
  </si>
  <si>
    <t>B-5</t>
  </si>
  <si>
    <t>Other Working Capital Allowances</t>
  </si>
  <si>
    <t>Other Items:</t>
  </si>
  <si>
    <t xml:space="preserve">      Customers' Advances for Construction</t>
  </si>
  <si>
    <t>B-6</t>
  </si>
  <si>
    <t xml:space="preserve">      Total Federal Income Tax Expense</t>
  </si>
  <si>
    <t xml:space="preserve">      Total Other Operating Revenues</t>
  </si>
  <si>
    <t xml:space="preserve"> --&gt; To Sch</t>
  </si>
  <si>
    <t>Expenses</t>
  </si>
  <si>
    <t xml:space="preserve">   Federal Taxable Income - Ordinary</t>
  </si>
  <si>
    <t>SOCIAL AND SERVICE CLUB DUES</t>
  </si>
  <si>
    <t xml:space="preserve">     SCHEDULE F-1</t>
  </si>
  <si>
    <t xml:space="preserve">     PAGE  1  OF  1</t>
  </si>
  <si>
    <t>SOCIAL</t>
  </si>
  <si>
    <t>ORGANIZATION/</t>
  </si>
  <si>
    <t>PERCENT</t>
  </si>
  <si>
    <t>SERVICE CLUB</t>
  </si>
  <si>
    <t>ADJUST BASE PERIOD SALES EXPENSE</t>
  </si>
  <si>
    <t>OPERATING REVENUES AND EXPENSES BY ACCOUNTS - JURISDICTIONAL</t>
  </si>
  <si>
    <t>13-Month Average</t>
  </si>
  <si>
    <t>Period (1)</t>
  </si>
  <si>
    <t xml:space="preserve">                      WITNESS RESPONSIBLE:</t>
  </si>
  <si>
    <t>DETAIL OF INCOME TAX RECONCILING ITEMS</t>
  </si>
  <si>
    <t>Twelve Months</t>
  </si>
  <si>
    <t>12 Months Ended</t>
  </si>
  <si>
    <t>Accounting Depreciation</t>
  </si>
  <si>
    <t>Interest Charges Allocated</t>
  </si>
  <si>
    <t>Liq Petro Gas Exp-Vapor Proc</t>
  </si>
  <si>
    <t>Gas Misc Production Exp</t>
  </si>
  <si>
    <t>Maint Gas Production Equipmen</t>
  </si>
  <si>
    <t>Measuring And Reg Stations-Ge</t>
  </si>
  <si>
    <t>Measuring &amp; Reg Station-Indus</t>
  </si>
  <si>
    <t>Meter And House Regulator Exp</t>
  </si>
  <si>
    <t>Customer Installation Expense</t>
  </si>
  <si>
    <t>Gas Distribution-Other Expense</t>
  </si>
  <si>
    <t>Maintenance of Mains</t>
  </si>
  <si>
    <t>Maint-Meas/Reg Stn Equip-Gas</t>
  </si>
  <si>
    <t>Maint-Other Distribution Equip</t>
  </si>
  <si>
    <t>Meter Reading Expense</t>
  </si>
  <si>
    <t>Cust Records &amp; Collection Exp</t>
  </si>
  <si>
    <t>Cust Contracts &amp; Orders-Local</t>
  </si>
  <si>
    <t>Cust Billing &amp; Acct</t>
  </si>
  <si>
    <t>Cust Collecting-Local</t>
  </si>
  <si>
    <t>Cust Assist Exp-General</t>
  </si>
  <si>
    <t>Misc Cust Serv/Inform Exp</t>
  </si>
  <si>
    <t>Exp-Rs Reg Prod/Svces-CstAccts</t>
  </si>
  <si>
    <t>A &amp; G Salaries</t>
  </si>
  <si>
    <t>Employee Expenses</t>
  </si>
  <si>
    <t>Office Expenses</t>
  </si>
  <si>
    <t>Computer Services Expenses</t>
  </si>
  <si>
    <t>Computer Rent (Go Only)</t>
  </si>
  <si>
    <t>Office Supplies &amp; Expenses</t>
  </si>
  <si>
    <t>Injuries And Damages-Other</t>
  </si>
  <si>
    <t>EMPL PENSIONS AND BENEFITS</t>
  </si>
  <si>
    <t>Employee Benefits-Transferred</t>
  </si>
  <si>
    <t>Misc General Expenses</t>
  </si>
  <si>
    <t>Industry Association Dues</t>
  </si>
  <si>
    <t>Exp Of Servicing Securities</t>
  </si>
  <si>
    <t>Director'S Expenses</t>
  </si>
  <si>
    <t>General Expenses</t>
  </si>
  <si>
    <t>Rents-A&amp;G</t>
  </si>
  <si>
    <t>Maintenance Of Gen Plant-Gas</t>
  </si>
  <si>
    <t>Maint General Plant-Elec</t>
  </si>
  <si>
    <t>Cust Infor &amp; Computer Control</t>
  </si>
  <si>
    <t>ORDER</t>
  </si>
  <si>
    <t>WORKING CAPITAL COMPONENTS</t>
  </si>
  <si>
    <t>SCHEDULE B-5.1</t>
  </si>
  <si>
    <t>PAGE  1  OF  2</t>
  </si>
  <si>
    <t>13 MONTH AVERAGE FOR PERIOD</t>
  </si>
  <si>
    <t>JURISDIC-</t>
  </si>
  <si>
    <t xml:space="preserve">     DESCRIPTION</t>
  </si>
  <si>
    <t>TIONAL</t>
  </si>
  <si>
    <t>%</t>
  </si>
  <si>
    <t>AMOUNT</t>
  </si>
  <si>
    <t>(1)</t>
  </si>
  <si>
    <t>WITNESS: RESPONSIBLE:</t>
  </si>
  <si>
    <t>ULH&amp;P</t>
  </si>
  <si>
    <t>ALLOCATED TO GAS DEPT</t>
  </si>
  <si>
    <t>ALLOCATED TO JURISDICTION</t>
  </si>
  <si>
    <t>ACCOUNT NO. and DESCRIPTION</t>
  </si>
  <si>
    <t>INVENTORY (A)</t>
  </si>
  <si>
    <t>ALLOC CODE</t>
  </si>
  <si>
    <t>Thirteen Month Average Balance</t>
  </si>
  <si>
    <t xml:space="preserve">    Total Operating Expenses</t>
  </si>
  <si>
    <t>JURISDICTIONAL ADJUSTED OPERATING INCOME STATEMENT</t>
  </si>
  <si>
    <t>(A) Allocation Code</t>
  </si>
  <si>
    <t>CHARITABLE CONTRIBUTIONS</t>
  </si>
  <si>
    <t xml:space="preserve">      SCHEDULE F-2.1</t>
  </si>
  <si>
    <t xml:space="preserve">      PAGE  1  OF  1</t>
  </si>
  <si>
    <t>CHARITABLE</t>
  </si>
  <si>
    <t>ORGANIZATION</t>
  </si>
  <si>
    <t>(A) Alloc Code</t>
  </si>
  <si>
    <t>INITIATION FEES/COUNTRY CLUB EXP.</t>
  </si>
  <si>
    <t>SCHEDULE F-2.2</t>
  </si>
  <si>
    <t>PAYEE</t>
  </si>
  <si>
    <t>EMPLOYEE PARTY, OUTING, &amp; GIFT EXPENSE</t>
  </si>
  <si>
    <t>SCHEDULE F-2.3</t>
  </si>
  <si>
    <t>EMPLOYEE</t>
  </si>
  <si>
    <t>EXPENDITURES</t>
  </si>
  <si>
    <t>ELIMINATION OF REVENUES AND EXPENSES RELATED TO FACILITIES</t>
  </si>
  <si>
    <t>Amount</t>
  </si>
  <si>
    <t xml:space="preserve">$  </t>
  </si>
  <si>
    <t>Other Operating Revenues</t>
  </si>
  <si>
    <t>Customer Service And Informational Expenses</t>
  </si>
  <si>
    <t xml:space="preserve">    To</t>
  </si>
  <si>
    <t>DEBT</t>
  </si>
  <si>
    <t>Annualized Gas Interest Expense</t>
  </si>
  <si>
    <t>Total Annualized Gas Interest Expense</t>
  </si>
  <si>
    <t>Schedule</t>
  </si>
  <si>
    <t>Other Than</t>
  </si>
  <si>
    <t>Gas</t>
  </si>
  <si>
    <t>Reference</t>
  </si>
  <si>
    <t>Company</t>
  </si>
  <si>
    <t>H</t>
  </si>
  <si>
    <t xml:space="preserve">      Total Customer Service and Informational Expenses</t>
  </si>
  <si>
    <t xml:space="preserve">      Total Sales Expense</t>
  </si>
  <si>
    <t xml:space="preserve">      Total General Advertising Expense</t>
  </si>
  <si>
    <t xml:space="preserve">   Kentucky Taxable Income</t>
  </si>
  <si>
    <t xml:space="preserve">   Kentucky Income Tax</t>
  </si>
  <si>
    <t>Kentucky Taxable Income - Gas</t>
  </si>
  <si>
    <t>Kentucky Taxable Income - Other</t>
  </si>
  <si>
    <t xml:space="preserve">      Total Kentucky Taxable Income</t>
  </si>
  <si>
    <t>Kentucky Income Tax Adjustments:</t>
  </si>
  <si>
    <t xml:space="preserve">      Total Kentucky Income Tax Adjustments</t>
  </si>
  <si>
    <t>Adjusted Operating Revenues</t>
  </si>
  <si>
    <t xml:space="preserve">     DESCRIPTION OF EXPENSES</t>
  </si>
  <si>
    <t>Base Period Accumulated Balances</t>
  </si>
  <si>
    <t/>
  </si>
  <si>
    <t>Total</t>
  </si>
  <si>
    <t>Source:</t>
  </si>
  <si>
    <t>(A) WPB-5.1d</t>
  </si>
  <si>
    <t xml:space="preserve">  MONTH  </t>
  </si>
  <si>
    <t>AMOUNT (A)</t>
  </si>
  <si>
    <t>(A) Company Records</t>
  </si>
  <si>
    <t>WPB-5.1d</t>
  </si>
  <si>
    <t>ACCOUNT</t>
  </si>
  <si>
    <t>SCHEDULE D-2.21</t>
  </si>
  <si>
    <t>WPD-2.13a</t>
  </si>
  <si>
    <t>SCHEDULE D-2.13</t>
  </si>
  <si>
    <t>WORK PAPER REFERENCE NO(S).:  WPD-2.13a</t>
  </si>
  <si>
    <t>Revenue Deficiency (Line 6 x Line 7)</t>
  </si>
  <si>
    <t xml:space="preserve">Revenue Increase Requested </t>
  </si>
  <si>
    <t xml:space="preserve">       Production-Manufactured Gas</t>
  </si>
  <si>
    <t xml:space="preserve">     Distribution</t>
  </si>
  <si>
    <t xml:space="preserve"> NO.</t>
  </si>
  <si>
    <t>OVERALL FINANCIAL SUMMARY</t>
  </si>
  <si>
    <t>SUPPORTING</t>
  </si>
  <si>
    <t>JURISDICTIONAL REVENUE REQUIREMENTS</t>
  </si>
  <si>
    <t>INCOME</t>
  </si>
  <si>
    <t>TAXES</t>
  </si>
  <si>
    <t>EXPENSES</t>
  </si>
  <si>
    <t>State</t>
  </si>
  <si>
    <t>Deferrals:</t>
  </si>
  <si>
    <t>Federal</t>
  </si>
  <si>
    <t xml:space="preserve">    Total Deferred Taxes</t>
  </si>
  <si>
    <t>WPD-2.16a</t>
  </si>
  <si>
    <t>PAGE  1 OF  2</t>
  </si>
  <si>
    <t>KY Customers</t>
  </si>
  <si>
    <t>Accum Reserve</t>
  </si>
  <si>
    <t>Assumes additions are spread evenly over months.</t>
  </si>
  <si>
    <t>PLANT IN SERVICE</t>
  </si>
  <si>
    <t>13 MONTH AVERAGE</t>
  </si>
  <si>
    <t>Gas Production</t>
  </si>
  <si>
    <t>Gas Distribution</t>
  </si>
  <si>
    <t>Gas General</t>
  </si>
  <si>
    <t>Provision for Rate Refunds</t>
  </si>
  <si>
    <t>RESERVED FOR FUTURE USE</t>
  </si>
  <si>
    <t>PURPOSE AND DESCRIPTION: Reserved for future use.</t>
  </si>
  <si>
    <t>Rev Transp Gas of Others - Inter Co.</t>
  </si>
  <si>
    <t xml:space="preserve">  Adm. Expenses Transferred - Credit</t>
  </si>
  <si>
    <t>Other Expense</t>
  </si>
  <si>
    <t xml:space="preserve">  DSM Amortization</t>
  </si>
  <si>
    <t xml:space="preserve">  Kentucky Highway Use</t>
  </si>
  <si>
    <t xml:space="preserve">  Allocated Payroll Taxes</t>
  </si>
  <si>
    <t>T13A08</t>
  </si>
  <si>
    <t>T13A26</t>
  </si>
  <si>
    <t>T15A24</t>
  </si>
  <si>
    <t>T13A28</t>
  </si>
  <si>
    <t>T11A02</t>
  </si>
  <si>
    <t>T17A02</t>
  </si>
  <si>
    <t>T19A94</t>
  </si>
  <si>
    <t>T22E06</t>
  </si>
  <si>
    <t>T11B16</t>
  </si>
  <si>
    <t>P11A79</t>
  </si>
  <si>
    <t>T19A89</t>
  </si>
  <si>
    <t>T19A91</t>
  </si>
  <si>
    <t>Book Depreciation/Amortization</t>
  </si>
  <si>
    <t>Tax Depreciation/Amortization</t>
  </si>
  <si>
    <t>T13B19</t>
  </si>
  <si>
    <t>Leased Meters - Elec &amp; Gas</t>
  </si>
  <si>
    <t>T20C02</t>
  </si>
  <si>
    <t>Demand Side Management (DSM) Defer</t>
  </si>
  <si>
    <t>P11A77</t>
  </si>
  <si>
    <t>AFUDC Equity</t>
  </si>
  <si>
    <t>T13B08</t>
  </si>
  <si>
    <t>Asset Retirement Obligation</t>
  </si>
  <si>
    <t>T15B04</t>
  </si>
  <si>
    <t>T17A01</t>
  </si>
  <si>
    <t>Vacation Carryover - Reg Asset</t>
  </si>
  <si>
    <t>T22A30</t>
  </si>
  <si>
    <t>FAS 112 Medical Expenses Accrual</t>
  </si>
  <si>
    <t>Revenue by Customer Class</t>
  </si>
  <si>
    <t>Total Retail</t>
  </si>
  <si>
    <t>(A) Contains Billed Sales.</t>
  </si>
  <si>
    <t xml:space="preserve"> CLASS-MCF_(B)___</t>
  </si>
  <si>
    <t xml:space="preserve">  Provision for Rate Refunds</t>
  </si>
  <si>
    <t xml:space="preserve">  Interdepartmental Sales</t>
  </si>
  <si>
    <t xml:space="preserve">  Reconnection Charges</t>
  </si>
  <si>
    <t xml:space="preserve">  Bad Check Charges</t>
  </si>
  <si>
    <t>Misc Rev on Sch M</t>
  </si>
  <si>
    <t>WPD-2.26a</t>
  </si>
  <si>
    <t xml:space="preserve">Charge-off's </t>
  </si>
  <si>
    <t xml:space="preserve">  NONCURRENT PORTION OF ALLOWANCES</t>
  </si>
  <si>
    <t xml:space="preserve">  INTEREST AND DIVIDENDS RECEIVABLE</t>
  </si>
  <si>
    <t xml:space="preserve">  DERIVATIVE INSTRUMENT ASSETS</t>
  </si>
  <si>
    <t xml:space="preserve">  (LESS) LONG-TERM PORTION OF DERIVATIVE INSTRUMENT ASSETS</t>
  </si>
  <si>
    <t xml:space="preserve">  DERIVATIVE INSTRUMENT ASSETS - HEDGES</t>
  </si>
  <si>
    <t xml:space="preserve">  (LESS) LONG-TERM PORTION OF DERIVATIVE INSTRUMENT ASSETS - HEDGES</t>
  </si>
  <si>
    <t xml:space="preserve">  PRELIM. SURVEY AND INVESTIGATION CHARGES (ELECTRIC)</t>
  </si>
  <si>
    <t xml:space="preserve">  DERIVATIVE INSTRUMENT LIABILITIES</t>
  </si>
  <si>
    <t xml:space="preserve">  (LESS) LONG-TERM PORTION OF DERIVATIVE INSTRUMENT LIABILITIES</t>
  </si>
  <si>
    <t xml:space="preserve">    REGULATORY DEBITS</t>
  </si>
  <si>
    <t>WPD-2.17a</t>
  </si>
  <si>
    <t xml:space="preserve">  Field Collection Charges</t>
  </si>
  <si>
    <t>Interest Expense</t>
  </si>
  <si>
    <t>Federal Taxable Income Adjustments - Net</t>
  </si>
  <si>
    <t xml:space="preserve">   Prior Year Adjustments</t>
  </si>
  <si>
    <t>Purchased</t>
  </si>
  <si>
    <t>Uncollectible Expense</t>
  </si>
  <si>
    <t>Eliminate Non-KY Customer</t>
  </si>
  <si>
    <t>Annualize Depreciation</t>
  </si>
  <si>
    <t>Incentive Compensation</t>
  </si>
  <si>
    <t>Deferred State Income Taxes - Prior Year</t>
  </si>
  <si>
    <t>Permanent Differences</t>
  </si>
  <si>
    <t>PERM</t>
  </si>
  <si>
    <t>410160, 411107</t>
  </si>
  <si>
    <t>Leased AMI Meters</t>
  </si>
  <si>
    <t>Capital Lease - Erlanger Facility</t>
  </si>
  <si>
    <t>Notes Payable - Money Pool</t>
  </si>
  <si>
    <t>7.65% due 7/15/2025</t>
  </si>
  <si>
    <t>5.5% due 1/1/2024</t>
  </si>
  <si>
    <t>6.5% due 1/15/2022</t>
  </si>
  <si>
    <t>Variable rate PCB, due 8/1/2027</t>
  </si>
  <si>
    <t>Variable</t>
  </si>
  <si>
    <t xml:space="preserve">      devoted to non DE-Kentucky customers.</t>
  </si>
  <si>
    <t>27602,27607</t>
  </si>
  <si>
    <t>27603,27608</t>
  </si>
  <si>
    <t>28002,28004</t>
  </si>
  <si>
    <t>28003,28005-28007</t>
  </si>
  <si>
    <t>28100,28101</t>
  </si>
  <si>
    <t>28200,28201</t>
  </si>
  <si>
    <t>28300,283001</t>
  </si>
  <si>
    <t>28400,28401</t>
  </si>
  <si>
    <t>Baa1</t>
  </si>
  <si>
    <t>A-</t>
  </si>
  <si>
    <t xml:space="preserve">   Kentucky Tax Inc. Adjustment - Bonus Depr</t>
  </si>
  <si>
    <t xml:space="preserve">   Kentucky Tax Inc. Adjustment - Misc</t>
  </si>
  <si>
    <t xml:space="preserve">   Liberalized Depreciation (Deferral)</t>
  </si>
  <si>
    <t>Other Operating  Expense</t>
  </si>
  <si>
    <t>Deferrals</t>
  </si>
  <si>
    <t>Amortization of ITC</t>
  </si>
  <si>
    <t>ELIMINATE UNBILLED REVENUE AND GAS COSTS</t>
  </si>
  <si>
    <t>UNBILLED REVENUE</t>
  </si>
  <si>
    <t>&amp; GAS COSTS</t>
  </si>
  <si>
    <t>SAME AS SCHEDULE I-4 - 100% OF TOTAL COMPANY OPERATIONS ARE JURISDICTIONAL</t>
  </si>
  <si>
    <t>Feeder Line AM-7 - Gas Feeder Lines - River Crossing</t>
  </si>
  <si>
    <t>Feeder Line AM-2 - Gas Feeder Lines - River Crossing</t>
  </si>
  <si>
    <t>Feeder Line AM-1 - Gas Feeder Lines - River Crossing</t>
  </si>
  <si>
    <t>Erlanger Gas Plant - Propane Gas Storage</t>
  </si>
  <si>
    <t>Three Mile Road - Measuring &amp; Regulating Stations</t>
  </si>
  <si>
    <t>Cold Springs - Measuring &amp; Regulating Stations</t>
  </si>
  <si>
    <t>Alexandria - Measuring &amp; Regulating Stations</t>
  </si>
  <si>
    <t>Feeder Line UL-6 - Gas Feeder Lines</t>
  </si>
  <si>
    <t>Feeder Line AM-7 - Gas Feeder Lines - KY</t>
  </si>
  <si>
    <t>Feeder Line AM-2 - Gas Feeder Lines</t>
  </si>
  <si>
    <t>Feeder Line AM-1 - Gas Feeder Lines - KY</t>
  </si>
  <si>
    <t>Feeder Line AM-0 - Gas Feeder Lines</t>
  </si>
  <si>
    <t>Line LP-3 - Propane Gas Storage</t>
  </si>
  <si>
    <t>Constance Cavern - Propane Gas Storage</t>
  </si>
  <si>
    <t>Alloc %</t>
  </si>
  <si>
    <t>Propane Plant Allocated to Other Than DEK Customers</t>
  </si>
  <si>
    <t>(B) Calendar sales.</t>
  </si>
  <si>
    <t>T22A29</t>
  </si>
  <si>
    <t>Non-qualified Pension - Accrual</t>
  </si>
  <si>
    <t>T22H12</t>
  </si>
  <si>
    <t>ARO Regulatory Asset</t>
  </si>
  <si>
    <t>6 Months Ended</t>
  </si>
  <si>
    <t>T22A28</t>
  </si>
  <si>
    <t>Deferred State Income Tax Adjustment - ARAM</t>
  </si>
  <si>
    <t>Asset Retirement Cost Obligation</t>
  </si>
  <si>
    <t xml:space="preserve">  CUSTOMER ACCOUNTS RECEIVABLE</t>
  </si>
  <si>
    <t xml:space="preserve">  OTHER ACCOUNTS RECEIVABLE</t>
  </si>
  <si>
    <t xml:space="preserve">  (LESS) ACCUM. PROVISION FOR UNCOLLECTIBLE ACCOUNTS - CREDIT</t>
  </si>
  <si>
    <t xml:space="preserve">  TEMPORARY FACILITIES</t>
  </si>
  <si>
    <t>Gas Meters</t>
  </si>
  <si>
    <t>Gas Regulators</t>
  </si>
  <si>
    <t>Bank of America</t>
  </si>
  <si>
    <t>Erlanger Cox Rd. Facility</t>
  </si>
  <si>
    <t>Edward Gary Leasing</t>
  </si>
  <si>
    <t>Total Capital Leases</t>
  </si>
  <si>
    <t>CASE NO. 2009-00202</t>
  </si>
  <si>
    <t>Charge-offs</t>
  </si>
  <si>
    <t>Collection</t>
  </si>
  <si>
    <t>Costs</t>
  </si>
  <si>
    <t>Late Payment</t>
  </si>
  <si>
    <t>Charges</t>
  </si>
  <si>
    <t>Base / Fuel</t>
  </si>
  <si>
    <t>Ratio</t>
  </si>
  <si>
    <t>(B) The time value of money is eliminated because the sale of accounts receivable is included in short-term debt on Schedule J-2.</t>
  </si>
  <si>
    <t>Thirteen</t>
  </si>
  <si>
    <t>TO OTHER THAN DUKE ENERGY KENTUCKY CUSTOMERS</t>
  </si>
  <si>
    <t>related to facilities devoted to other than Duke Energy Kentucky customers.</t>
  </si>
  <si>
    <t>payroll overheads related to facilities devoted to other than Duke Energy Kentucky customers.</t>
  </si>
  <si>
    <t>WORK PAPER REFERENCE NO(S).: WPD-2.15a</t>
  </si>
  <si>
    <t>The depreciation expense related to facilities devoted to other</t>
  </si>
  <si>
    <t>Devoted to Other Than Duke Energy Kentucky Customers:</t>
  </si>
  <si>
    <t xml:space="preserve">   Than Duke Energy Kentucky Customers</t>
  </si>
  <si>
    <t>Duke Energy Kentucky Customers to Total Plant   (Line 8 / Line 4)</t>
  </si>
  <si>
    <t>WORK PAPER REFERENCE NO(S).: WPD-2.24b</t>
  </si>
  <si>
    <t>deferred taxes as a result of the elimination of unbilled gas costs.</t>
  </si>
  <si>
    <t>WPD-2.24b</t>
  </si>
  <si>
    <t>Elimination of Unbilled Gas Costs</t>
  </si>
  <si>
    <t xml:space="preserve"> --&gt; To Sch D-2.24</t>
  </si>
  <si>
    <t>Deferred State Income Tax</t>
  </si>
  <si>
    <t>Deferred Federal Income Tax</t>
  </si>
  <si>
    <t>Transmission Expenses</t>
  </si>
  <si>
    <t>PRO FORMA ADJUSTMENTS TO THE FORECASTED PERIOD</t>
  </si>
  <si>
    <t>0920000</t>
  </si>
  <si>
    <t>0921100</t>
  </si>
  <si>
    <t>0921200</t>
  </si>
  <si>
    <t>0921400</t>
  </si>
  <si>
    <t>0923000</t>
  </si>
  <si>
    <t>0926600</t>
  </si>
  <si>
    <t>BUDGET</t>
  </si>
  <si>
    <t>S. E. LAWLER</t>
  </si>
  <si>
    <t>R. H. PRATT</t>
  </si>
  <si>
    <t>Depreciation Expense - ARO</t>
  </si>
  <si>
    <t>Highway Use Tax</t>
  </si>
  <si>
    <t>Franchise Tax</t>
  </si>
  <si>
    <t>Gas Production-Other Power Ex</t>
  </si>
  <si>
    <t>Purchases Gas &amp; NGL</t>
  </si>
  <si>
    <t>Purchases Gas &amp; NGL-Aff</t>
  </si>
  <si>
    <t>Unrecovered Purchase Gas Adj</t>
  </si>
  <si>
    <t>I/C Gas Purchased Expenses</t>
  </si>
  <si>
    <t>Operation Supv &amp; Eng-Tran</t>
  </si>
  <si>
    <t>Maintenance of Services</t>
  </si>
  <si>
    <t>Maint - Meters And House Reg</t>
  </si>
  <si>
    <t>Supervision-Cust Accts</t>
  </si>
  <si>
    <t>IC Collection Agent Revenue</t>
  </si>
  <si>
    <t>BAD DEBT EXPENSE</t>
  </si>
  <si>
    <t>Misc Customer Accts Expenses</t>
  </si>
  <si>
    <t>Cust Asst Exp-Conservation Pro</t>
  </si>
  <si>
    <t>Commer/Indust Assistance Exp</t>
  </si>
  <si>
    <t>Misc Advertising Expenses</t>
  </si>
  <si>
    <t>Demonstrating &amp; Selling Exp</t>
  </si>
  <si>
    <t>Advertising Expense</t>
  </si>
  <si>
    <t>Employee Exp - NC</t>
  </si>
  <si>
    <t>Relocation Expenses</t>
  </si>
  <si>
    <t>Telephone And Telegraph Exp</t>
  </si>
  <si>
    <t>Admin  Exp Transfer</t>
  </si>
  <si>
    <t>Outside Services Employee &amp;</t>
  </si>
  <si>
    <t>Inter-Co Prop Ins Exp</t>
  </si>
  <si>
    <t>Property Insurance For Corp.</t>
  </si>
  <si>
    <t>INTER-CO GEN LIAB EXP</t>
  </si>
  <si>
    <t>Environmental Inj &amp; Damages</t>
  </si>
  <si>
    <t>Injuries And Damages For Corp.</t>
  </si>
  <si>
    <t>Employees'Recreation Expense</t>
  </si>
  <si>
    <t>Non Serv Pension (ASU 2017-07)</t>
  </si>
  <si>
    <t>Duplicate Chrgs-Enrgy To Exp</t>
  </si>
  <si>
    <t>Admin Exp Transf</t>
  </si>
  <si>
    <t>Miscellaneous Advertising Exp</t>
  </si>
  <si>
    <t>Dues To Various Organizations</t>
  </si>
  <si>
    <t>Buy\Sell Transf Employee Homes</t>
  </si>
  <si>
    <t>Research &amp; Development</t>
  </si>
  <si>
    <t>A&amp;G Rents-IC</t>
  </si>
  <si>
    <t>Residential Sales-Gas</t>
  </si>
  <si>
    <t>Gas Residential Sales-Unbilled</t>
  </si>
  <si>
    <t>Industrial Sales-Gas</t>
  </si>
  <si>
    <t>Gas Industrial Sales Unbilled</t>
  </si>
  <si>
    <t>Gas Commercial Sales</t>
  </si>
  <si>
    <t>Gas Commercial Sales Unbilled</t>
  </si>
  <si>
    <t>Other Sales to Public Auth-Gas</t>
  </si>
  <si>
    <t>Gas OPA Unbilled</t>
  </si>
  <si>
    <t>Gas Public St Hwy Ltng</t>
  </si>
  <si>
    <t>Discounts Earn/Lost-Gas</t>
  </si>
  <si>
    <t>Misc Service Revenue-Gas</t>
  </si>
  <si>
    <t>IC Misc Svc Reg Gas Reg</t>
  </si>
  <si>
    <t>Transp Gas of Others</t>
  </si>
  <si>
    <t>IC Gas Transp Rev Reg</t>
  </si>
  <si>
    <t>Comm Gas Transp Only</t>
  </si>
  <si>
    <t>Comm Gas Transp Unbilled</t>
  </si>
  <si>
    <t>Indust Gas Transp Only</t>
  </si>
  <si>
    <t>Indust Gas Transp Unbilled</t>
  </si>
  <si>
    <t>OPA Gas Transp Only</t>
  </si>
  <si>
    <t>OPA Gas Transp Unbilled</t>
  </si>
  <si>
    <t>Transportation Fees</t>
  </si>
  <si>
    <t>Provision for Rate Refund</t>
  </si>
  <si>
    <t>CO</t>
  </si>
  <si>
    <t>IC Sale of AR Fees VIE</t>
  </si>
  <si>
    <t>Customer Accounts</t>
  </si>
  <si>
    <t>Customer Service &amp; Information</t>
  </si>
  <si>
    <t>SE</t>
  </si>
  <si>
    <t>Travel Expense</t>
  </si>
  <si>
    <t>Ind Gas Transp Unbilled</t>
  </si>
  <si>
    <t>Ind Gas Transp Only</t>
  </si>
  <si>
    <t>Com Gas Transp Only</t>
  </si>
  <si>
    <t>Com Gas Transp Unbilled</t>
  </si>
  <si>
    <t>Miscellaneous Service Rev - I/C</t>
  </si>
  <si>
    <t xml:space="preserve">   Interdepartmental Sales</t>
  </si>
  <si>
    <t xml:space="preserve">  Demonstrating &amp; Selling</t>
  </si>
  <si>
    <t xml:space="preserve">  Advertising Expense</t>
  </si>
  <si>
    <t xml:space="preserve">  Depreciation Expense </t>
  </si>
  <si>
    <t xml:space="preserve">  Amortization Expense</t>
  </si>
  <si>
    <t xml:space="preserve">  Customer Assistance</t>
  </si>
  <si>
    <t xml:space="preserve">  Information and Instructional Advertising</t>
  </si>
  <si>
    <t>Capital Lease - Meters (2009 Acquisitions)</t>
  </si>
  <si>
    <t>Capital Lease - Meters (2010 Acquisitions)</t>
  </si>
  <si>
    <t>Capital Leases - Current</t>
  </si>
  <si>
    <t>Notes Payable to Associated Companies</t>
  </si>
  <si>
    <t>Current Maturities</t>
  </si>
  <si>
    <t>4.65% due 10/1/19</t>
  </si>
  <si>
    <t>WPB-6</t>
  </si>
  <si>
    <t>MARCH 31, 2020</t>
  </si>
  <si>
    <t xml:space="preserve">Non Current Capital Leases </t>
  </si>
  <si>
    <t>Unamortized Loss on Reacquired Debt</t>
  </si>
  <si>
    <t>Other Long Term Debt</t>
  </si>
  <si>
    <t>LT Commercial Paper</t>
  </si>
  <si>
    <t>Future Debentures</t>
  </si>
  <si>
    <t>MCF Fees</t>
  </si>
  <si>
    <t>LOC Fees</t>
  </si>
  <si>
    <t>Other fees ($26.720M - remarketing, insurance, Bilateral LC)</t>
  </si>
  <si>
    <t>Non-Current Capital Leases</t>
  </si>
  <si>
    <t xml:space="preserve">Current Maturities </t>
  </si>
  <si>
    <t>R. H. PRATT / C. S. LEE</t>
  </si>
  <si>
    <t>AS OF DECEMBER 31, 2013-2017 AND BASE AND FORECASTED PERIODS</t>
  </si>
  <si>
    <t xml:space="preserve">  LONG TERM PORTION OF DERIVATIVE INSTRUMENT ASSETS</t>
  </si>
  <si>
    <t>Note: The Company does not forecast the balance sheet to the same level of detail as actuals are recorded.</t>
  </si>
  <si>
    <t xml:space="preserve">  ADVANCES FROM ASSOCIATED COMPANIES</t>
  </si>
  <si>
    <t xml:space="preserve">  UNAMORTIZED DISCOUNT ON LONG TERM DEBT - DEBIT</t>
  </si>
  <si>
    <t xml:space="preserve">  ACCUMULATED PROVISION FOR OPERATING PROVISIONS</t>
  </si>
  <si>
    <t xml:space="preserve">  LONG-TERM PORTION OF DERIVATIVE INSTRUMENT LIABILITIES</t>
  </si>
  <si>
    <t>NO VALUE</t>
  </si>
  <si>
    <t>BOTHRV</t>
  </si>
  <si>
    <t>Other Base Gas</t>
  </si>
  <si>
    <t>RCCHRG</t>
  </si>
  <si>
    <t>Fixed Customer Charge</t>
  </si>
  <si>
    <t>RGDSM</t>
  </si>
  <si>
    <t>Demand Side Mgmt Gas</t>
  </si>
  <si>
    <t>RGGCA</t>
  </si>
  <si>
    <t>Gas Cost Adjustment Clause</t>
  </si>
  <si>
    <t>ROEASR</t>
  </si>
  <si>
    <t>Accelerated Service Replacemen</t>
  </si>
  <si>
    <t>UNBILL</t>
  </si>
  <si>
    <t>Unbill Total (inc base&amp; rider)</t>
  </si>
  <si>
    <t>BFTARV</t>
  </si>
  <si>
    <t>Firm Transportation agree Gas</t>
  </si>
  <si>
    <t>PDREV</t>
  </si>
  <si>
    <t>PD Revenue</t>
  </si>
  <si>
    <t>Provision for rate refund - Ta</t>
  </si>
  <si>
    <t>BASE PERIOD REVENUES BY PRODUCT</t>
  </si>
  <si>
    <t>Product</t>
  </si>
  <si>
    <t>Product Desc.</t>
  </si>
  <si>
    <t>FORECASTED PERIOD REVENUES BY PRODUCT</t>
  </si>
  <si>
    <t>Adjustment to Uncollectible Expense (6) - (7) - (8) - (9)</t>
  </si>
  <si>
    <t>of Money (B)</t>
  </si>
  <si>
    <t>Uncollectible Accounts (A)</t>
  </si>
  <si>
    <t>Customer Billing - Common (A)</t>
  </si>
  <si>
    <t>Sale of A/R  (A)</t>
  </si>
  <si>
    <t>Cust Billing - Common</t>
  </si>
  <si>
    <t>Adjustments to</t>
  </si>
  <si>
    <t>Schedule D-1</t>
  </si>
  <si>
    <t>Schedule E-1</t>
  </si>
  <si>
    <t xml:space="preserve">  Federal Highway Use</t>
  </si>
  <si>
    <t xml:space="preserve">  Highway Use</t>
  </si>
  <si>
    <t xml:space="preserve">  Franchise Tax</t>
  </si>
  <si>
    <t xml:space="preserve">  Sales and Use Tax</t>
  </si>
  <si>
    <t xml:space="preserve">  Sale of A/R</t>
  </si>
  <si>
    <t xml:space="preserve">  Miscellaneous Advertising Exp</t>
  </si>
  <si>
    <t xml:space="preserve">  Misc General Expenses</t>
  </si>
  <si>
    <t xml:space="preserve">  Industry Association Dues</t>
  </si>
  <si>
    <t xml:space="preserve">  Exp Of Servicing Securities</t>
  </si>
  <si>
    <t xml:space="preserve">  Dues To Various Organizations</t>
  </si>
  <si>
    <t xml:space="preserve">  Director's Expenses</t>
  </si>
  <si>
    <t xml:space="preserve">  Buy\Sell Transf Employee Homes</t>
  </si>
  <si>
    <t xml:space="preserve">  Research &amp; Development</t>
  </si>
  <si>
    <t xml:space="preserve">  General Expenses</t>
  </si>
  <si>
    <t>Note: The Company is not requesting to include recovery of CWIP in base rates.</t>
  </si>
  <si>
    <t>(2) The Company is not requesting to include recovery of CWIP in base rates.</t>
  </si>
  <si>
    <t>B-3 / B-3.2</t>
  </si>
  <si>
    <t>13 Month Average Forecasted Period Accumulated Balances</t>
  </si>
  <si>
    <t>13 Month Average - Forecasted Period</t>
  </si>
  <si>
    <t>FOR THE BASE PERIOD AND THE FORECASTED PERIOD</t>
  </si>
  <si>
    <t>DATE OF CAPITAL STRUCTURE: END OF FORECASTED PERIOD</t>
  </si>
  <si>
    <t>Incentives</t>
  </si>
  <si>
    <t>PAYROLL ANALYSIS</t>
  </si>
  <si>
    <t>Note: The regular and straight time hours shown are 2017 labor hours.  The Company does not budget</t>
  </si>
  <si>
    <t>SCHEDULE G-3</t>
  </si>
  <si>
    <t>5/18</t>
  </si>
  <si>
    <t>6/18-11/18</t>
  </si>
  <si>
    <t>11/18</t>
  </si>
  <si>
    <t>Jun - Nov 18</t>
  </si>
  <si>
    <t>through 03/20</t>
  </si>
  <si>
    <t>03/20</t>
  </si>
  <si>
    <t>Dec 18 - Mar 20</t>
  </si>
  <si>
    <t>May 2018</t>
  </si>
  <si>
    <t>ELECTRIC AND COMMON</t>
  </si>
  <si>
    <t>Total Gas Including Common Allocated</t>
  </si>
  <si>
    <t>Oil</t>
  </si>
  <si>
    <t>Natural Gas</t>
  </si>
  <si>
    <t>GAS ENRICHER LIQUIDS</t>
  </si>
  <si>
    <t>December 2017</t>
  </si>
  <si>
    <t>January 2018</t>
  </si>
  <si>
    <t>March 2019</t>
  </si>
  <si>
    <t>January 2020</t>
  </si>
  <si>
    <t xml:space="preserve">(2) Not allowed due to Commission precedent. </t>
  </si>
  <si>
    <t xml:space="preserve">END OF BASE PERIOD BALANCE   </t>
  </si>
  <si>
    <t>Fees - Elec</t>
  </si>
  <si>
    <t>FOR THE BASE PERIOD AND FORECASTED PERIOD</t>
  </si>
  <si>
    <t>MATERIAL &amp; SUPPLIES</t>
  </si>
  <si>
    <t>154990 - Elec</t>
  </si>
  <si>
    <t>FUEL</t>
  </si>
  <si>
    <t>151660 (A)</t>
  </si>
  <si>
    <t>EMISSION ALLOWANCES</t>
  </si>
  <si>
    <t>158170 (A)</t>
  </si>
  <si>
    <t>158150 (A)</t>
  </si>
  <si>
    <t>30% Credit</t>
  </si>
  <si>
    <t>Regulatory Liability - Excess Deferred Taxes</t>
  </si>
  <si>
    <t>Protected</t>
  </si>
  <si>
    <t>Unprotected</t>
  </si>
  <si>
    <t>Total Regulatory Liability - Excess Deferred Taxes</t>
  </si>
  <si>
    <t>Total Account 281</t>
  </si>
  <si>
    <t>Monthly Change ADIT</t>
  </si>
  <si>
    <t>Monthly Proration</t>
  </si>
  <si>
    <t>Prorated ADIT</t>
  </si>
  <si>
    <t>PRORATED</t>
  </si>
  <si>
    <t>ADIT</t>
  </si>
  <si>
    <t>Jurisdictional Rate Base (Line 3 through Line 12)</t>
  </si>
  <si>
    <t>Cincinnati Business Committee</t>
  </si>
  <si>
    <t>Kentucky Association of Manufacturers</t>
  </si>
  <si>
    <t>(B) No Initiation Fees/Country Club Expenses are  included in the forecasted period operating expenses.</t>
  </si>
  <si>
    <t>Total Charitable Contributions</t>
  </si>
  <si>
    <t>Initiation Fees/Country Club Expenses are  included  on Schedule F-1.</t>
  </si>
  <si>
    <t>Total Employee Party &amp; Gift Expense</t>
  </si>
  <si>
    <t>CUSTOMER SERVICE AND INFORMATIONAL EXPENSE, SALES EXPENSE AND GENERAL ADVERTISING EXPENSE</t>
  </si>
  <si>
    <t>General Advertising Expense</t>
  </si>
  <si>
    <r>
      <t>Radio</t>
    </r>
    <r>
      <rPr>
        <b/>
        <sz val="10"/>
        <rFont val="Arial"/>
        <family val="2"/>
      </rPr>
      <t xml:space="preserve"> - Safety Advertising</t>
    </r>
  </si>
  <si>
    <t>SAFETY</t>
  </si>
  <si>
    <t>Conservation</t>
  </si>
  <si>
    <t>Safety</t>
  </si>
  <si>
    <t>WORK PAPER REFERENCE NO(S).: WPF-4a, WPF-4b</t>
  </si>
  <si>
    <r>
      <t xml:space="preserve">TOTAL </t>
    </r>
    <r>
      <rPr>
        <vertAlign val="superscript"/>
        <sz val="10"/>
        <rFont val="Arial"/>
        <family val="2"/>
      </rPr>
      <t>(1)</t>
    </r>
  </si>
  <si>
    <t>BPO - Business Process Outsourcing</t>
  </si>
  <si>
    <t>CONSULT - Consulting</t>
  </si>
  <si>
    <t>ITSUPP - IT Support</t>
  </si>
  <si>
    <t>MOVEBOX - Box Moves</t>
  </si>
  <si>
    <t>MOVEBOX - Office Relocations</t>
  </si>
  <si>
    <t>OTHADM - OTHADM</t>
  </si>
  <si>
    <t>Other - Non Specific</t>
  </si>
  <si>
    <t>STAFF - General &amp; Administrative supt</t>
  </si>
  <si>
    <t>STRAT10 - Grid Solutions Other</t>
  </si>
  <si>
    <t>2009-00202 (GAS)</t>
  </si>
  <si>
    <t>Depreciation Study</t>
  </si>
  <si>
    <t>2017-00321 (ELEC)</t>
  </si>
  <si>
    <t>Total Rate Case Expense Amortization</t>
  </si>
  <si>
    <t>(A) Represents rate case expense included on Schedule C-2, as adjusted.</t>
  </si>
  <si>
    <t>Demolition Study</t>
  </si>
  <si>
    <t>Cincinnati Regional Business Committee</t>
  </si>
  <si>
    <t>Northern Kentucky Chamber Of Commerce</t>
  </si>
  <si>
    <t>Other Items</t>
  </si>
  <si>
    <t>Total Civic, Political &amp; Related Activities</t>
  </si>
  <si>
    <t xml:space="preserve">    REGULATORY CREDITS</t>
  </si>
  <si>
    <t>GAS NET INCOME</t>
  </si>
  <si>
    <t>Operating Income Deductions</t>
  </si>
  <si>
    <t xml:space="preserve">  Operating and Maintenance Expenses:</t>
  </si>
  <si>
    <t>Customer Service and Informational Expenses</t>
  </si>
  <si>
    <t>Administerative and General Expenses</t>
  </si>
  <si>
    <t>Total (Line 5 through Line 14)</t>
  </si>
  <si>
    <t>Amort. &amp; Depl. of Utility Plant</t>
  </si>
  <si>
    <t>Income Taxes - Federal</t>
  </si>
  <si>
    <t>Income Taxes - Other</t>
  </si>
  <si>
    <t>Provision for Deferred Income Taxes - Net</t>
  </si>
  <si>
    <t>Investment Tax Credit Adj - Net</t>
  </si>
  <si>
    <t>Gains From Disp of Allow - Credit</t>
  </si>
  <si>
    <t xml:space="preserve"> Accretion Expense</t>
  </si>
  <si>
    <t xml:space="preserve">      Total Utility Operating Expenses</t>
  </si>
  <si>
    <t xml:space="preserve">      Net Utility Operating Income</t>
  </si>
  <si>
    <t>Other Income And Deductions</t>
  </si>
  <si>
    <t xml:space="preserve">  Other Income:</t>
  </si>
  <si>
    <t>Nonutility Operating Income</t>
  </si>
  <si>
    <t>Equity in Earnings of Subsidiary Companies</t>
  </si>
  <si>
    <t xml:space="preserve">    Interest and Dividend Income</t>
  </si>
  <si>
    <t xml:space="preserve">    Allowance for Funds Used During Const</t>
  </si>
  <si>
    <t xml:space="preserve">    Miscellaneous Nonoperating Income</t>
  </si>
  <si>
    <t xml:space="preserve">    Gain on Disposition of Property</t>
  </si>
  <si>
    <t xml:space="preserve">      Total Other Income</t>
  </si>
  <si>
    <t xml:space="preserve">  Other Income Deductions:</t>
  </si>
  <si>
    <t xml:space="preserve">    Loss on Disposition of Property</t>
  </si>
  <si>
    <t xml:space="preserve">    Miscellaneous Income Deductions</t>
  </si>
  <si>
    <t xml:space="preserve">      Total Other Income Deductions</t>
  </si>
  <si>
    <t xml:space="preserve">  Taxes Applicable to Other Income and Deductions</t>
  </si>
  <si>
    <t xml:space="preserve">    Income Taxes and Investment Tax Credits</t>
  </si>
  <si>
    <t xml:space="preserve">      Total Taxes on Other Income and Deductions</t>
  </si>
  <si>
    <t xml:space="preserve">      Net Other Income and Deductions</t>
  </si>
  <si>
    <t xml:space="preserve">    Interest on Long Term Debt</t>
  </si>
  <si>
    <t xml:space="preserve">    Amortization of Debt Discount and Expense</t>
  </si>
  <si>
    <t xml:space="preserve">    Amortization of Loss on Reacquired Debt </t>
  </si>
  <si>
    <t xml:space="preserve">    Amortization of Premium on Debt - Credit</t>
  </si>
  <si>
    <t xml:space="preserve">    Interest on Debt to Assoc. Companies</t>
  </si>
  <si>
    <t xml:space="preserve">    Other Interest Expense</t>
  </si>
  <si>
    <t xml:space="preserve">    Allow For Brwd Funds Used Dur Const - Credit</t>
  </si>
  <si>
    <t>Net Income</t>
  </si>
  <si>
    <t xml:space="preserve">  Operating Revenues</t>
  </si>
  <si>
    <t>1,000 MCF Sold</t>
  </si>
  <si>
    <t xml:space="preserve">MOST RECENT FIVE CALENDAR YEARS                  </t>
  </si>
  <si>
    <t>Net Income per MCF Sold</t>
  </si>
  <si>
    <t>Sch. E-1</t>
  </si>
  <si>
    <t>Gas Production Expenses</t>
  </si>
  <si>
    <t>Purchased Gas Expenses</t>
  </si>
  <si>
    <t>Source: Company Financial Records</t>
  </si>
  <si>
    <t>Actual Billed MCF Sales</t>
  </si>
  <si>
    <t>Forecasted MCF Sales</t>
  </si>
  <si>
    <t>Base Period MCF Sales</t>
  </si>
  <si>
    <t>End Users</t>
  </si>
  <si>
    <t xml:space="preserve">     Dividends Paid ($000,000)</t>
  </si>
  <si>
    <t xml:space="preserve">       BBB+</t>
  </si>
  <si>
    <t xml:space="preserve"> *    Not required until eight month filing as provided by Section 1.5.</t>
  </si>
  <si>
    <t>OF DEFERRED</t>
  </si>
  <si>
    <t>PURPOSE AND DESCRIPTION: To include in operating expense</t>
  </si>
  <si>
    <t>the amortization of deferred expenses.</t>
  </si>
  <si>
    <t xml:space="preserve">Line </t>
  </si>
  <si>
    <t>Amount (A)</t>
  </si>
  <si>
    <t>Amortization (B)</t>
  </si>
  <si>
    <t>(A) Source: Company Records.</t>
  </si>
  <si>
    <t>Integrity Management Reg Asset</t>
  </si>
  <si>
    <t>(C) Deferral authority granted per Case No. 2016-00159.</t>
  </si>
  <si>
    <t>(B) Total amortization to Schedule D-2.17.</t>
  </si>
  <si>
    <t>WORK PAPER REFERENCE NO(S).: WPD-2.17a</t>
  </si>
  <si>
    <t>MATERIALS AND SUPPLIES</t>
  </si>
  <si>
    <t>PAGE 1 OF 1</t>
  </si>
  <si>
    <t>Insurance - Gas</t>
  </si>
  <si>
    <t>Insurance - Elec</t>
  </si>
  <si>
    <t>Inter-Co Prepaid Insurance - Gas</t>
  </si>
  <si>
    <t>Inter-Co Prepaid Insurance - Elec</t>
  </si>
  <si>
    <t>158183 (A)</t>
  </si>
  <si>
    <t>Transm-Maint of Mains</t>
  </si>
  <si>
    <t>Cust Acctg-Loss On Sale-A/R</t>
  </si>
  <si>
    <t>Rent from Gas Properties - I/C</t>
  </si>
  <si>
    <t>INTER-CO NON-PROP EXP</t>
  </si>
  <si>
    <t>Inactive O&amp;M and A&amp;G</t>
  </si>
  <si>
    <t xml:space="preserve">    Total Transmission Expense</t>
  </si>
  <si>
    <t>20310</t>
  </si>
  <si>
    <t>Misc Intangible Plt - 10 Yr</t>
  </si>
  <si>
    <t>Electronic Data Processing</t>
  </si>
  <si>
    <t>29700</t>
  </si>
  <si>
    <t>6</t>
  </si>
  <si>
    <t>7</t>
  </si>
  <si>
    <t>9</t>
  </si>
  <si>
    <t>10</t>
  </si>
  <si>
    <t>Book</t>
  </si>
  <si>
    <t>Average KY</t>
  </si>
  <si>
    <t>Structures &amp; Improvements U-119 (3)</t>
  </si>
  <si>
    <t>Account Description</t>
  </si>
  <si>
    <t>Utility</t>
  </si>
  <si>
    <t>Liquified Petroleum Gas Equ</t>
  </si>
  <si>
    <t>Structures &amp; Improvements -</t>
  </si>
  <si>
    <t xml:space="preserve">System Meas &amp; Reg Station </t>
  </si>
  <si>
    <t>System M &amp; R St. Electronic</t>
  </si>
  <si>
    <t>District Regulating Equipme</t>
  </si>
  <si>
    <t>Office Furniture and Equipm</t>
  </si>
  <si>
    <t>Non-depr Land &amp; Land Rights</t>
  </si>
  <si>
    <t>Structures and Improvements</t>
  </si>
  <si>
    <t>Tools, Shop &amp; Garage Equip</t>
  </si>
  <si>
    <t>Gas Mains - Feeder Lines/St</t>
  </si>
  <si>
    <t>Gas Mains - Dist Lines/Stee</t>
  </si>
  <si>
    <t>Gas Mains - Dist Lines/Steel</t>
  </si>
  <si>
    <t>Kentucky Service Building, 19th &amp; Augustine - General Plant</t>
  </si>
  <si>
    <t>Communications Equipment</t>
  </si>
  <si>
    <t>19100-URR</t>
  </si>
  <si>
    <t>19101-URR</t>
  </si>
  <si>
    <t>19400-URR</t>
  </si>
  <si>
    <t>19700-URR</t>
  </si>
  <si>
    <t>19800-URR</t>
  </si>
  <si>
    <t>NA</t>
  </si>
  <si>
    <t xml:space="preserve">(2) </t>
  </si>
  <si>
    <t>(1) To Schedule B-2.2</t>
  </si>
  <si>
    <t>Current Unamortized Loss on Reacquired Debt</t>
  </si>
  <si>
    <t>9.7 due July 2019</t>
  </si>
  <si>
    <t>10.25 due June 2020</t>
  </si>
  <si>
    <t>10.25 due November 2020</t>
  </si>
  <si>
    <t>Alliance for Transportation</t>
  </si>
  <si>
    <t>Kentucky Coal Association</t>
  </si>
  <si>
    <t>Northern Kentucky Regional Alliance</t>
  </si>
  <si>
    <t>Northern Kentucky Chamber of Commerce</t>
  </si>
  <si>
    <t>AMERICAN HEART ASSOCIATION</t>
  </si>
  <si>
    <t>AMERICAN SIGN MUSEUM</t>
  </si>
  <si>
    <t>AVONDALE COMMUNITY COUNCIL INC</t>
  </si>
  <si>
    <t>AVONDALE COMPREHENSIVE DEVELOPMENT CORP</t>
  </si>
  <si>
    <t>BOONE COUNTY BUSINESSMEN ASSOCIATION INC</t>
  </si>
  <si>
    <t>BOY SCOUTS OF AMERICA</t>
  </si>
  <si>
    <t>BRIGHTON CENTER INC</t>
  </si>
  <si>
    <t>CATALYTIC DEVELOPMENT FUNDING CORP</t>
  </si>
  <si>
    <t>CENTER FOR GREAT NEIGHBORHOODS OF</t>
  </si>
  <si>
    <t>CINCINNATI BLACK THEAT</t>
  </si>
  <si>
    <t>CINCINNATI INSTITUTE OF FINE ARTS</t>
  </si>
  <si>
    <t>COVINGTON BUSINESS COUNCIL</t>
  </si>
  <si>
    <t>COVINGTON CATHOLIC HIGH SCHOOL</t>
  </si>
  <si>
    <t>DINSMORE HOMESTEAD FOUNDATION</t>
  </si>
  <si>
    <t>FORT THOMAS EDUCATION FOUNDATION</t>
  </si>
  <si>
    <t>HORIZON COMMUNITY FUNDS OF NORTHERN</t>
  </si>
  <si>
    <t>KENTON COUNTY</t>
  </si>
  <si>
    <t>KET</t>
  </si>
  <si>
    <t>LIFE LEARNING CENTER</t>
  </si>
  <si>
    <t>LOCAL INITIATIVES SUPPORT CORPORATION</t>
  </si>
  <si>
    <t>NATIONAL ASSOCIATION FOR THE ADVANCEMENT</t>
  </si>
  <si>
    <t>NATIONAL UNDERGROUND RAILROAD FREEDOM</t>
  </si>
  <si>
    <t>NORTHERN KENTUCKY COMMUNITY ACTION</t>
  </si>
  <si>
    <t>NORTHERN KENTUCKY EDUCATION COUNCIL</t>
  </si>
  <si>
    <t>NORTHERN KENTUCKY MUNICIPAL CLERS</t>
  </si>
  <si>
    <t>NORTHERN KENTUCKY UNIVERSITY</t>
  </si>
  <si>
    <t>NORTHERN KENTUCKY UNIVERSITY FOUNDATION</t>
  </si>
  <si>
    <t>PRINCETON CITY SCHOOLS</t>
  </si>
  <si>
    <t>THE LEAGUE FOR ANIMAL WELFARE</t>
  </si>
  <si>
    <t>THEARTSWAVE.ORG</t>
  </si>
  <si>
    <t>TM  BUNBURY MUSIC FEST</t>
  </si>
  <si>
    <t>TM  CIRQUE DU SOLEIL :</t>
  </si>
  <si>
    <t>UNITED WAY OF GREATER CINCINNATI</t>
  </si>
  <si>
    <t>ECOMPANY STORE.COM</t>
  </si>
  <si>
    <t>Kentucky Association of Electric</t>
  </si>
  <si>
    <t>Kentucky Retail Federation</t>
  </si>
  <si>
    <t>LG&amp;E and KU Services Company</t>
  </si>
  <si>
    <t>McBrayer McGinnis Leslie &amp;</t>
  </si>
  <si>
    <t xml:space="preserve">      Excess Deferred Income Taxes</t>
  </si>
  <si>
    <t>BILTRNG - Training</t>
  </si>
  <si>
    <t>CCSUPT - Customer Call Center Support</t>
  </si>
  <si>
    <t>CUSTSVC - Customer Services Function-Gen</t>
  </si>
  <si>
    <t>HRSERV - HR Service</t>
  </si>
  <si>
    <t>ITOM - IT O&amp;M Expense</t>
  </si>
  <si>
    <t>LEASBLD - Lease Building</t>
  </si>
  <si>
    <t>PGSYSIN - Piedmont System Integration</t>
  </si>
  <si>
    <t>SECURE - Security Services</t>
  </si>
  <si>
    <t>STAFF - STAFF</t>
  </si>
  <si>
    <t>STRAT7 - Communications</t>
  </si>
  <si>
    <t>SUPPLY - Miscellaneous Supplies</t>
  </si>
  <si>
    <t>TRAIN - Training</t>
  </si>
  <si>
    <t>Taxes Property - Allocated</t>
  </si>
  <si>
    <t xml:space="preserve">  Taxes Property-Allocated</t>
  </si>
  <si>
    <t>Unrecovered Purchased Gas</t>
  </si>
  <si>
    <t>Monthly Change 282 ADIT</t>
  </si>
  <si>
    <t>Total ADIT</t>
  </si>
  <si>
    <t>Prorated 282 ADIT</t>
  </si>
  <si>
    <t>ARAM &amp; Flow-Thru</t>
  </si>
  <si>
    <t>Completed Construction not Classified</t>
  </si>
  <si>
    <t>CINCINNATI BENGALS INC</t>
  </si>
  <si>
    <t>KENTUCKY GAS ASSOC</t>
  </si>
  <si>
    <t>YWCA OF GREATER CINCINNATI INC</t>
  </si>
  <si>
    <t>Fees - Gas</t>
  </si>
  <si>
    <t xml:space="preserve">   Less: KPSC Maintenance Tax</t>
  </si>
  <si>
    <t xml:space="preserve">   Income before Income Tax (Line 1 - Line 5)</t>
  </si>
  <si>
    <t xml:space="preserve">   Income before Federal Income Tax (Line 7 - Line 10)</t>
  </si>
  <si>
    <t xml:space="preserve">   Operating Income Percentage (Line 12 - Line 14) </t>
  </si>
  <si>
    <t>(A) Forecasted Period Uncollectible Expense is split using the following ratio developed from WPD-2.15b:</t>
  </si>
  <si>
    <t>WPD-2.15b</t>
  </si>
  <si>
    <t>November 2018</t>
  </si>
  <si>
    <t>5 Months Ended</t>
  </si>
  <si>
    <t>11 Months Ended</t>
  </si>
  <si>
    <t>November 2017</t>
  </si>
  <si>
    <t>Mains-Steel</t>
  </si>
  <si>
    <t>WORK PAPER REFERENCE NOS.: WPB-2.2g</t>
  </si>
  <si>
    <t>R. H. METZLER</t>
  </si>
  <si>
    <t>Responsiblity</t>
  </si>
  <si>
    <t>Center</t>
  </si>
  <si>
    <t>EPS</t>
  </si>
  <si>
    <t>Customer Satisfaction (CSAT)</t>
  </si>
  <si>
    <t>Team</t>
  </si>
  <si>
    <t>Measure</t>
  </si>
  <si>
    <t>SHORT TERM INCENTIVE</t>
  </si>
  <si>
    <t>Weight</t>
  </si>
  <si>
    <t>DE Kentucky</t>
  </si>
  <si>
    <t>DE Carolinas</t>
  </si>
  <si>
    <t xml:space="preserve">Service Company </t>
  </si>
  <si>
    <t>DE Progress</t>
  </si>
  <si>
    <t>Piedmont</t>
  </si>
  <si>
    <t>Accounts 107-426 (Balance Sheet)</t>
  </si>
  <si>
    <t>Accounts 500-935 (Income Statement)</t>
  </si>
  <si>
    <t>EPS weighted</t>
  </si>
  <si>
    <t>ROE</t>
  </si>
  <si>
    <t>LONG TERM INCENTIVE PERFORMANCE SHARES</t>
  </si>
  <si>
    <t>Total Shareholder Return</t>
  </si>
  <si>
    <t>TICR (Safety metric)</t>
  </si>
  <si>
    <t>EPS related recorded to Income Statement (Line 7 * Line 9)</t>
  </si>
  <si>
    <t>EPS, TICR, ROE weighted</t>
  </si>
  <si>
    <t>WPD-2.26b</t>
  </si>
  <si>
    <t>Operational Excellence</t>
  </si>
  <si>
    <t>EPS, TICR, ROE related recorded to Income Statement (Line 7 * Line 9)</t>
  </si>
  <si>
    <t>General &amp; Intangible</t>
  </si>
  <si>
    <t xml:space="preserve"> To Sch D-2.26 &lt;---</t>
  </si>
  <si>
    <t xml:space="preserve">Total to </t>
  </si>
  <si>
    <t>WORK PAPER REFERENCE NO(S).: WPD-2.26a, WPD-2.26b</t>
  </si>
  <si>
    <t>Amortization of Deferred Expense</t>
  </si>
  <si>
    <t>SUMMARY OF FORECASTED PERIOD PRO FORMA ADJUSTMENTS</t>
  </si>
  <si>
    <t>FIVE YEAR AVERAGE THROUGH FEBRUARY 2017</t>
  </si>
  <si>
    <t>FIVE YEAR AVERAGE ENDED DECEMBER 31, 2017</t>
  </si>
  <si>
    <t>(B) The company elected the ratable flow through option in 1971 as provided under Section 46(f)(2).</t>
  </si>
  <si>
    <t>(E) Included on Schedule B-1 as Excess Deferred Income Taxes, Line 11.</t>
  </si>
  <si>
    <t>(F) Elimination of Deferred Tax Balances Related to Facilities Devoted  to Other Than DE-Ky Customers.  (WPB-6c)</t>
  </si>
  <si>
    <t>(G) Excluded from Rate Base.</t>
  </si>
  <si>
    <t>ACCUMULATED</t>
  </si>
  <si>
    <t>DEFERRED</t>
  </si>
  <si>
    <t>(G) Elimination of Deferred Tax Balances Related to Facilities Devoted  to Other Than DE-Kentucky Customers.  (WPB-6d)</t>
  </si>
  <si>
    <t>1 Month Ended</t>
  </si>
  <si>
    <t>P11A95</t>
  </si>
  <si>
    <t>After Tax ADC,M&amp;E,ITC Permanent</t>
  </si>
  <si>
    <t>P11B02</t>
  </si>
  <si>
    <t>Auto Inclusion/Skybox Expenses</t>
  </si>
  <si>
    <t>Bad Debts - Tax over Book</t>
  </si>
  <si>
    <t>OFFSITE GAS STORAGE COSTS</t>
  </si>
  <si>
    <t>T13A19</t>
  </si>
  <si>
    <t>After Tax ADC,M&amp;E, ITC Temporary</t>
  </si>
  <si>
    <t>T13A30</t>
  </si>
  <si>
    <t>Tax Gains/Losses</t>
  </si>
  <si>
    <t>ASSET RETIREMENT OBLIGATION</t>
  </si>
  <si>
    <t>T13B23</t>
  </si>
  <si>
    <t>Non-Cash Overhead Basis Adj</t>
  </si>
  <si>
    <t>Loss on Reacquired Debt-Amort</t>
  </si>
  <si>
    <t>Reg Asset - Accr Pension FAS158 - FAS87Qual</t>
  </si>
  <si>
    <t>T15B17</t>
  </si>
  <si>
    <t>Reg Liab RSLI &amp; Other Misc Dfd Costs</t>
  </si>
  <si>
    <t>T15B28</t>
  </si>
  <si>
    <t>Reg Asset - Rate Case Expense</t>
  </si>
  <si>
    <t>T15B29</t>
  </si>
  <si>
    <t>Reg Asset-Pension Post Retirement PAA-FAS87Qual and Oth</t>
  </si>
  <si>
    <t>T15B37</t>
  </si>
  <si>
    <t>Reg Asset-Pension Post Retirement PAA-FAS87NQ and Oth</t>
  </si>
  <si>
    <t>T15B38</t>
  </si>
  <si>
    <t>Reg Asset-Pension Post Retirement PAA-FAS 106 and Oth</t>
  </si>
  <si>
    <t>T15B40</t>
  </si>
  <si>
    <t>Reg Asset - Accr Pension FAS158 - FAS87NQ</t>
  </si>
  <si>
    <t>T15B41</t>
  </si>
  <si>
    <t>Reg Asset - Accr Pension FAS158 - FAS 106/112</t>
  </si>
  <si>
    <t>Accrued Vacation</t>
  </si>
  <si>
    <t>T17A54</t>
  </si>
  <si>
    <t>MGP Sites</t>
  </si>
  <si>
    <t>GAS SUPPLIER REFUNDS</t>
  </si>
  <si>
    <t>Rate Case - Deferred Costs</t>
  </si>
  <si>
    <t xml:space="preserve"> UNBILLED REVENUE - FUEL</t>
  </si>
  <si>
    <t>T20A41</t>
  </si>
  <si>
    <t>Rate Refunds</t>
  </si>
  <si>
    <t>T22A07</t>
  </si>
  <si>
    <t>Charitable Contribution Carryover</t>
  </si>
  <si>
    <t>T22A23</t>
  </si>
  <si>
    <t>Retirement Plan Expense - Overfunded</t>
  </si>
  <si>
    <t>Retirement Plan Expense - Underfunded</t>
  </si>
  <si>
    <t>Retirement Plan Funding - Underfunded</t>
  </si>
  <si>
    <t>T22E02</t>
  </si>
  <si>
    <t>OPEB Expense Accrual</t>
  </si>
  <si>
    <t>T22H11</t>
  </si>
  <si>
    <t>Asset Retirement Costs - ARO</t>
  </si>
  <si>
    <t>Percent of Business Taxable in State</t>
  </si>
  <si>
    <t>Gross State Business Taxable Income</t>
  </si>
  <si>
    <t xml:space="preserve">   Kentucky Business Taxable Income</t>
  </si>
  <si>
    <t>Temporary Differences:</t>
  </si>
  <si>
    <t xml:space="preserve">   Percent of Business Taxable in State</t>
  </si>
  <si>
    <t xml:space="preserve">   Gross State Taxable Income</t>
  </si>
  <si>
    <t xml:space="preserve">    Percent of Business Taxable in State</t>
  </si>
  <si>
    <t>(2) 5 year life for Unrecovered Reserve for Amortization.</t>
  </si>
  <si>
    <t>AMORTIZATION OF DEFERRED EXPENSE</t>
  </si>
  <si>
    <t>J. R. PANIZZA</t>
  </si>
  <si>
    <t xml:space="preserve">   Unbilled Revenue - Fuel</t>
  </si>
  <si>
    <t xml:space="preserve">Deferred State Income Taxes - Amort. of Excess Def. Taxes </t>
  </si>
  <si>
    <t>Deferred Federal Income Tax - Amort. Of Excess Def. Taxes</t>
  </si>
  <si>
    <t>Deferred Federal Income Tax  - ARAM</t>
  </si>
  <si>
    <t>Deferred Federal Income Tax - Prior Year</t>
  </si>
  <si>
    <t>Deferred Federal Income Tax - Net</t>
  </si>
  <si>
    <t>Excess Deferred Taxes</t>
  </si>
  <si>
    <t>Advertising and Mktg</t>
  </si>
  <si>
    <t>0913001</t>
  </si>
  <si>
    <t>0930150</t>
  </si>
  <si>
    <t>Consumer Affairs - Midwest</t>
  </si>
  <si>
    <t>0903000</t>
  </si>
  <si>
    <t>0903100</t>
  </si>
  <si>
    <t>0903200</t>
  </si>
  <si>
    <t>0903300</t>
  </si>
  <si>
    <t>Corp Communication Staff</t>
  </si>
  <si>
    <t>Creative Services</t>
  </si>
  <si>
    <t>Digital External</t>
  </si>
  <si>
    <t>0930230</t>
  </si>
  <si>
    <t>Foundation Operations</t>
  </si>
  <si>
    <t>Foundation Programs</t>
  </si>
  <si>
    <t>Governmental Affairs - Federal</t>
  </si>
  <si>
    <t>Govt &amp; Comm Affairs Kentucky</t>
  </si>
  <si>
    <t>0911000</t>
  </si>
  <si>
    <t>0921540</t>
  </si>
  <si>
    <t>0931001</t>
  </si>
  <si>
    <t>(2) 5 year life for Unrecovered Reserve for Amortization</t>
  </si>
  <si>
    <t>L0</t>
  </si>
  <si>
    <t>S0</t>
  </si>
  <si>
    <t>The procedures used are the same as those used in the Company's prior proceeding, Case No. 2009-00202.</t>
  </si>
  <si>
    <t>((Line 14 - Line 16) * 35%)</t>
  </si>
  <si>
    <t>WORK PAPER REFERENCE NO(S).: WPD-2.19a through WPD-2.19f</t>
  </si>
  <si>
    <t xml:space="preserve">     PAGE  4  OF  4</t>
  </si>
  <si>
    <t xml:space="preserve">     PAGE  3  OF  4</t>
  </si>
  <si>
    <t xml:space="preserve">     PAGE  2  OF  4</t>
  </si>
  <si>
    <t>Total Accounts 874 and 887 (2)</t>
  </si>
  <si>
    <t>(2) Per budget.</t>
  </si>
  <si>
    <t>Includes 11 Officers</t>
  </si>
  <si>
    <t xml:space="preserve">Gross Payroll </t>
  </si>
  <si>
    <t>Salary</t>
  </si>
  <si>
    <t>Other Compensation</t>
  </si>
  <si>
    <t>Total Salary and Compensation</t>
  </si>
  <si>
    <t>NOTE:  This schedule contains confidential information, detail of these numbers are available upon request.</t>
  </si>
  <si>
    <t>Positions included on this schedule are:</t>
  </si>
  <si>
    <t>Chairman, President and Chief Executive Officer</t>
  </si>
  <si>
    <t>EVP, Administration and Chief Human Resources Officer</t>
  </si>
  <si>
    <t xml:space="preserve">EVP Energy Solutions and President, Midwest and Florida Regions </t>
  </si>
  <si>
    <t>EVP and Chief Operating Officer</t>
  </si>
  <si>
    <t>EVP, External Affairs, Chief Legal Officer &amp; Corporate Secretary</t>
  </si>
  <si>
    <t xml:space="preserve">EVP Customer &amp; Delivery Operations and President, Carolinas Region  </t>
  </si>
  <si>
    <t xml:space="preserve">EVP &amp; President, Natural Gas Business </t>
  </si>
  <si>
    <t>EVP and Chief Financial Officer</t>
  </si>
  <si>
    <t xml:space="preserve">SVP, Chief Accounting Officer &amp; Controller </t>
  </si>
  <si>
    <t>SVP, Tax &amp; Treasurer</t>
  </si>
  <si>
    <t xml:space="preserve">State President - OH/KY </t>
  </si>
  <si>
    <t>These costs are total costs for Duke Energy Corporation, a portion of which are allocated to Kentucky.</t>
  </si>
  <si>
    <t>DIFFERENCE</t>
  </si>
  <si>
    <t>(1)   The Company's forecast assumes an annual salary adjustment of 3.5%.</t>
  </si>
  <si>
    <r>
      <t xml:space="preserve">(2)    </t>
    </r>
    <r>
      <rPr>
        <i/>
        <sz val="10"/>
        <color theme="1"/>
        <rFont val="Arial"/>
        <family val="2"/>
      </rPr>
      <t xml:space="preserve">Other compensation includes cash based short-term incentives and stock based long term incentives at target.  </t>
    </r>
  </si>
  <si>
    <t xml:space="preserve">   Misc. Service Revenues (Acct. 488100)  (Erlanger Gas Plant)</t>
  </si>
  <si>
    <t>S2</t>
  </si>
  <si>
    <t>S0.5</t>
  </si>
  <si>
    <t>Amortizes over 120 months</t>
  </si>
  <si>
    <t>Unbilled Revenue - Fuel</t>
  </si>
  <si>
    <t>(A) The Company is recovering emission allowance inventory in its Environmental Surcharge Mechanism.</t>
  </si>
  <si>
    <t>INTEGRITY MANAGEMENT</t>
  </si>
  <si>
    <t>WPD-2.20a</t>
  </si>
  <si>
    <t>WORK PAPER REFERENCE NO(S).: WPD-2.20a</t>
  </si>
  <si>
    <t>Risk Assessment &amp; Analysis</t>
  </si>
  <si>
    <t>Records</t>
  </si>
  <si>
    <t>Training</t>
  </si>
  <si>
    <t xml:space="preserve"> --&gt; To Sch D-2.20</t>
  </si>
  <si>
    <t>Integrity Management Total</t>
  </si>
  <si>
    <t>(1) Allocation of fixed costs per agreement between DE-Kentucky and DE-Ohio.</t>
  </si>
  <si>
    <t>INTEGRITY</t>
  </si>
  <si>
    <t>MANAGEMENT</t>
  </si>
  <si>
    <t>Land U-119</t>
  </si>
  <si>
    <t>Damage Prevention</t>
  </si>
  <si>
    <t>Note:  Gas meter and gas regulator leases end in June 2019.</t>
  </si>
  <si>
    <t>March 31, 2020</t>
  </si>
  <si>
    <t>WPD-2.19e</t>
  </si>
  <si>
    <t>(3) This account is fully depreciated.</t>
  </si>
  <si>
    <t>Deferred State Income Taxes</t>
  </si>
  <si>
    <t>Deferred Federal Income Taxes</t>
  </si>
  <si>
    <t>(1) Includes adjustments for annualized depreciation, Schedule D-2.23, and unbilled gas costs, Schedule D-2.24.</t>
  </si>
  <si>
    <t>NATURAL GAS STORAGE BALANCE (ACCT NO. 164100)</t>
  </si>
  <si>
    <t xml:space="preserve">      Plant.  (WPD-2.19f)</t>
  </si>
  <si>
    <t>Integrity Management Expenses</t>
  </si>
  <si>
    <t>Service &amp;</t>
  </si>
  <si>
    <t>Info Exp.</t>
  </si>
  <si>
    <t>Schedule F-1, Dues</t>
  </si>
  <si>
    <r>
      <t xml:space="preserve">(1) </t>
    </r>
    <r>
      <rPr>
        <sz val="10"/>
        <rFont val="Arial"/>
        <family val="2"/>
      </rPr>
      <t>Eliminated on Schedule D-2.22</t>
    </r>
  </si>
  <si>
    <t>D-2.15 thru D-2.26</t>
  </si>
  <si>
    <t>of the total discount expense from uncollectible expense to interest expense.</t>
  </si>
  <si>
    <t>Safety and Service Awards</t>
  </si>
  <si>
    <t>Sch. A</t>
  </si>
  <si>
    <t>Federal Taxable Income  (Ln 37 - Ln 39)</t>
  </si>
  <si>
    <t>(WPD-2.19f)</t>
  </si>
  <si>
    <t>(1) Source: WPD-2.19e.</t>
  </si>
  <si>
    <t xml:space="preserve">  Ln. 11</t>
  </si>
  <si>
    <t>Other Operating Expense</t>
  </si>
  <si>
    <t>Prod</t>
  </si>
  <si>
    <t>Distr</t>
  </si>
  <si>
    <t>Gen</t>
  </si>
  <si>
    <t>Com</t>
  </si>
  <si>
    <t xml:space="preserve">  EXCESS DEFERRED INCOME TAXES</t>
  </si>
  <si>
    <t>FP</t>
  </si>
  <si>
    <t>BP</t>
  </si>
  <si>
    <t>AMORTIZATION OF ASRP 2018 FIT CHANGE</t>
  </si>
  <si>
    <t xml:space="preserve">OF ASRP 2018 </t>
  </si>
  <si>
    <t>FIT CHANGES</t>
  </si>
  <si>
    <t>(B) Total amortization to Schedule D-2.21.</t>
  </si>
  <si>
    <t>(A) Rate based on allocation of fixed costs per Duke Energy Kentucky FERC Filing PR18-70-00.</t>
  </si>
  <si>
    <t>(1) Allocation of O&amp;M expense per Duke Energy Kentucky FERC Filing PR18-70-00.</t>
  </si>
  <si>
    <t>ASRP 2018 FIT change</t>
  </si>
  <si>
    <t>WPD-2.21a</t>
  </si>
  <si>
    <t>of 2018 ASRP FIT change arising from the Tax Cuts and Jobs Act of 2017.</t>
  </si>
  <si>
    <t>PURPOSE and DESCRIPTION:  To include as a reduction to operating expenses the amortization</t>
  </si>
  <si>
    <t>R. H. PRATT / S. M. COVINGTON</t>
  </si>
  <si>
    <t xml:space="preserve">  Other Gas Revenue</t>
  </si>
  <si>
    <t>ADJUST REVENUE</t>
  </si>
  <si>
    <t>WORK PAPER REFERENCE NO(S).: Schedule M</t>
  </si>
  <si>
    <t>PURPOSE and DESCRIPTION:  To reconcile retail revenue calculated on Schedule M</t>
  </si>
  <si>
    <t>Adjust Revenue</t>
  </si>
  <si>
    <t>Amort. of ASRP FIT</t>
  </si>
  <si>
    <t>Required Rate of Return</t>
  </si>
  <si>
    <t>Other Base Revenue</t>
  </si>
  <si>
    <t>CASE NO. 2018-00261</t>
  </si>
  <si>
    <t>Unbilled GCA Revenue</t>
  </si>
  <si>
    <t>Calendar Sales - Used to Calculate Monthly GCA on WPC-2a</t>
  </si>
  <si>
    <t>GCA Revenue</t>
  </si>
  <si>
    <t>Total Unbilled GCA Rev</t>
  </si>
  <si>
    <t>Total GCA Revenue</t>
  </si>
  <si>
    <t>Calculated GCA - Billed</t>
  </si>
  <si>
    <t>Calculated GCA</t>
  </si>
  <si>
    <t>PURPOSE AND DESCRIPTION: To eliminate incentive compensation related to</t>
  </si>
  <si>
    <t>achievement of financial goals.</t>
  </si>
  <si>
    <t xml:space="preserve">PURPOSE and DESCRIPTION:  To reflect expenses related to integrity management </t>
  </si>
  <si>
    <t>not already reflected in the budget.</t>
  </si>
  <si>
    <t>Test Period Amortization ( Line 2 / 5 yrs )</t>
  </si>
  <si>
    <t>over a five year period.</t>
  </si>
  <si>
    <t>Maximum Allowable Operating Pressure Verification</t>
  </si>
  <si>
    <t>5 YEAR</t>
  </si>
  <si>
    <t xml:space="preserve">  Cust Relations Billg &amp; Coll-Gas</t>
  </si>
  <si>
    <t>PURPOSE AND DESCRIPTION: To adjust base period</t>
  </si>
  <si>
    <t>purchase gas costs to the level of costs in the forecasted period.</t>
  </si>
  <si>
    <t>state and federal deferred taxes which are related to facilities</t>
  </si>
  <si>
    <t>devoted to other than Duke Energy Kentucky customers.</t>
  </si>
  <si>
    <t xml:space="preserve">   Liberalized Depreciation </t>
  </si>
  <si>
    <t>State Taxable Income  (Ln 19 - Ln 35)</t>
  </si>
  <si>
    <t>than Duke Energy Kentucky customers is excluded on Sch. B-3.2</t>
  </si>
  <si>
    <t>with revenue included in the budget.</t>
  </si>
  <si>
    <t>WPF-5b</t>
  </si>
  <si>
    <t>C. S. LEE</t>
  </si>
  <si>
    <t xml:space="preserve">          or forecast labor hours but does not expect to deviate materially from 2017.</t>
  </si>
  <si>
    <t>as a result of plant investment being excluded on Sch. B-2.1</t>
  </si>
  <si>
    <t>and therfore has been eliminated from the test period via</t>
  </si>
  <si>
    <t>the adjustment on Schedule D-2.23.</t>
  </si>
  <si>
    <t>(1) Source: Schedule M</t>
  </si>
  <si>
    <t>(H) Includes elimination of unrecovered purchased gas costs and liberalized depreciation related to facilities</t>
  </si>
  <si>
    <t>Erlanger - Gas Supply to DEO Distribution - Telemetering - Eagle Creek Aquifer - Measuring &amp; Regulating Stations Account 27500 allocated at 40% of 65%</t>
  </si>
  <si>
    <t>Alloc to Other</t>
  </si>
  <si>
    <t>Than KY Cust.</t>
  </si>
  <si>
    <t>OTHER THAN DE-KENTUCKY CUSTOMERS</t>
  </si>
  <si>
    <t>WORK PAPER REFERENCE NO(S).: WPB-2.2g</t>
  </si>
  <si>
    <t>(A) Ratio of Plant Devoted to Other Than Duke Energy Kentucky Customers to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</si>
</sst>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0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_)"/>
    <numFmt numFmtId="165" formatCode="0.000_)"/>
    <numFmt numFmtId="166" formatCode="0.000%"/>
    <numFmt numFmtId="167" formatCode="mm/dd/yy_)"/>
    <numFmt numFmtId="168" formatCode=";;;"/>
    <numFmt numFmtId="169" formatCode="0_)"/>
    <numFmt numFmtId="170" formatCode="#,##0;[Red]\(#,##0\)"/>
    <numFmt numFmtId="171" formatCode="&quot;$&quot;\ \ #,##0_);&quot;$&quot;\ \ \(#,##0\)"/>
    <numFmt numFmtId="172" formatCode="#,##0.0_);\(#,##0.0\)"/>
    <numFmt numFmtId="173" formatCode="0.0%"/>
    <numFmt numFmtId="174" formatCode="0.0000000_)"/>
    <numFmt numFmtId="175" formatCode="dd\-mmm\-yy_)"/>
    <numFmt numFmtId="176" formatCode="#,##0.000_);\(#,##0.000\)"/>
    <numFmt numFmtId="177" formatCode="&quot;$&quot;#,##0.0000_);\(&quot;$&quot;#,##0.0000\)"/>
    <numFmt numFmtId="178" formatCode="0.00_)"/>
    <numFmt numFmtId="179" formatCode="0.0_)"/>
    <numFmt numFmtId="180" formatCode="0.0000%"/>
    <numFmt numFmtId="181" formatCode="General_)"/>
    <numFmt numFmtId="182" formatCode="_(* #,##0.0_);_(* \(#,##0.0\);_(* &quot;-&quot;??_);_(@_)"/>
    <numFmt numFmtId="183" formatCode="_(* #,##0_);_(* \(#,##0\);_(* &quot;-&quot;??_);_(@_)"/>
    <numFmt numFmtId="184" formatCode="&quot;$&quot;#,##0\ ;\(&quot;$&quot;#,##0\)"/>
    <numFmt numFmtId="185" formatCode="0.00000%"/>
    <numFmt numFmtId="186" formatCode="0.000"/>
    <numFmt numFmtId="187" formatCode="0.0"/>
    <numFmt numFmtId="188" formatCode="0.00%;\(0.00\)%"/>
    <numFmt numFmtId="189" formatCode="#,##0_);\(#,##0\);"/>
    <numFmt numFmtId="190" formatCode="00000"/>
    <numFmt numFmtId="191" formatCode="0.00_);\(0.00\)"/>
    <numFmt numFmtId="192" formatCode="0.00%;\(0.00\)%;&quot;-      &quot;"/>
    <numFmt numFmtId="193" formatCode="0.00%;\(0.00\)%;&quot;-&quot;"/>
    <numFmt numFmtId="194" formatCode="_(&quot;$&quot;\ \ \ #,##0_);_(&quot;$&quot;\ \ \ \(#,##0\);_(&quot;$&quot;\ \ \ &quot;-&quot;_);_(@_)"/>
    <numFmt numFmtId="195" formatCode="_(* #,##0_);_(* \(#,##0\)"/>
    <numFmt numFmtId="196" formatCode="_(&quot;$&quot;* #,##0_);_(&quot;$&quot;* \(#,##0\);_(&quot;$&quot;* &quot;0&quot;_);_(@_)"/>
    <numFmt numFmtId="197" formatCode="[$-409]mmm\-yy;@"/>
    <numFmt numFmtId="198" formatCode="[$-409]mmmm\ d\,\ yyyy;@"/>
    <numFmt numFmtId="199" formatCode="_(&quot;$&quot;* #,##0_);_(&quot;$&quot;* \(#,##0\);_(&quot;$&quot;* 0_);_(@_)"/>
    <numFmt numFmtId="200" formatCode="mmm\-yy_)"/>
    <numFmt numFmtId="201" formatCode="0.00000_)"/>
    <numFmt numFmtId="202" formatCode="0.0000000%"/>
    <numFmt numFmtId="203" formatCode="&quot;$&quot;#,##0"/>
    <numFmt numFmtId="204" formatCode="0.0000%;\(0.0000\)%;&quot;-&quot;"/>
    <numFmt numFmtId="205" formatCode="#,##0.00\ ;[Red]\(#,##0.00\)"/>
    <numFmt numFmtId="206" formatCode="_ * #,##0_ ;_ * \-#,##0_ ;_ * &quot;-&quot;_ ;_ @_ "/>
    <numFmt numFmtId="207" formatCode="#,##0.0\ \ \ _);\(#,##0.0\)"/>
    <numFmt numFmtId="208" formatCode="0.0_);\(0.0\)"/>
    <numFmt numFmtId="209" formatCode="#."/>
    <numFmt numFmtId="210" formatCode="mmmm\ yyyy"/>
    <numFmt numFmtId="211" formatCode="0.000000000%"/>
    <numFmt numFmtId="212" formatCode="_(* #,##0.000000_);_(* \(#,##0.000000\);_(* &quot;-&quot;??_);_(@_)"/>
    <numFmt numFmtId="213" formatCode="_ [$€-2]\ * #,##0.00_ ;_ [$€-2]\ * \-#,##0.00_ ;_ [$€-2]\ * &quot;-&quot;??_ "/>
    <numFmt numFmtId="214" formatCode="_([$€-2]* #,##0.00_);_([$€-2]* \(#,##0.00\);_([$€-2]* &quot;-&quot;??_)"/>
    <numFmt numFmtId="215" formatCode="_(&quot;$&quot;* #,##0_);_(&quot;$&quot;* \(#,##0\);_(&quot;$&quot;* &quot;-&quot;??_);_(@_)"/>
    <numFmt numFmtId="216" formatCode="_-* #,##0.0_-;\-* #,##0.0_-;_-* &quot;-&quot;??_-;_-@_-"/>
    <numFmt numFmtId="217" formatCode="#,##0.00&quot; $&quot;;\-#,##0.00&quot; $&quot;"/>
    <numFmt numFmtId="218" formatCode="0.000000_)"/>
    <numFmt numFmtId="219" formatCode="_-* #,##0.00_-;\-* #,##0.00_-;_-* &quot;-&quot;??_-;_-@_-"/>
    <numFmt numFmtId="220" formatCode="_-&quot;$&quot;* #,##0.00_-;\-&quot;$&quot;* #,##0.00_-;_-&quot;$&quot;* &quot;-&quot;??_-;_-@_-"/>
    <numFmt numFmtId="221" formatCode="#,##0_ ;[Red]\(#,##0\)\ "/>
    <numFmt numFmtId="222" formatCode="0.00000000%"/>
    <numFmt numFmtId="223" formatCode="_(* #,##0.00000_);_(* \(#,##0.00000\);_(* &quot;-&quot;??_);_(@_)"/>
    <numFmt numFmtId="224" formatCode="_-#,##0&quot; years&quot;"/>
    <numFmt numFmtId="225" formatCode="_-* #,##0_-;\-* #,##0_-;_-* &quot;-&quot;_-;_-@_-"/>
    <numFmt numFmtId="226" formatCode="_(* #,##0.0000_);_(* \(#,##0.0000\);_(* &quot;-&quot;??_);_(@_)"/>
  </numFmts>
  <fonts count="187">
    <font>
      <sz val="10"/>
      <name val="Arial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sz val="12"/>
      <name val="Courier"/>
      <family val="3"/>
    </font>
    <font>
      <sz val="10"/>
      <name val="Arial"/>
      <family val="2"/>
    </font>
    <font>
      <sz val="12"/>
      <name val="Arial"/>
      <family val="2"/>
    </font>
    <font>
      <sz val="12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4"/>
      <color indexed="10"/>
      <name val="Arial"/>
      <family val="2"/>
    </font>
    <font>
      <sz val="11"/>
      <color indexed="10"/>
      <name val="Arial"/>
      <family val="2"/>
    </font>
    <font>
      <sz val="11"/>
      <name val="Arial"/>
      <family val="2"/>
    </font>
    <font>
      <b/>
      <sz val="11"/>
      <color indexed="10"/>
      <name val="Arial"/>
      <family val="2"/>
    </font>
    <font>
      <b/>
      <sz val="11"/>
      <color indexed="8"/>
      <name val="Arial"/>
      <family val="2"/>
    </font>
    <font>
      <b/>
      <sz val="11"/>
      <name val="Arial"/>
      <family val="2"/>
    </font>
    <font>
      <sz val="11"/>
      <color indexed="12"/>
      <name val="Arial"/>
      <family val="2"/>
    </font>
    <font>
      <b/>
      <sz val="11"/>
      <color indexed="12"/>
      <name val="Arial"/>
      <family val="2"/>
    </font>
    <font>
      <b/>
      <sz val="11"/>
      <color indexed="9"/>
      <name val="Arial"/>
      <family val="2"/>
    </font>
    <font>
      <b/>
      <u/>
      <sz val="12"/>
      <name val="Arial"/>
      <family val="2"/>
    </font>
    <font>
      <b/>
      <sz val="12"/>
      <color indexed="10"/>
      <name val="Arial"/>
      <family val="2"/>
    </font>
    <font>
      <sz val="12"/>
      <color indexed="10"/>
      <name val="Arial"/>
      <family val="2"/>
    </font>
    <font>
      <sz val="12"/>
      <color indexed="12"/>
      <name val="Courier"/>
      <family val="3"/>
    </font>
    <font>
      <sz val="12"/>
      <color indexed="8"/>
      <name val="Courier"/>
      <family val="3"/>
    </font>
    <font>
      <b/>
      <sz val="10"/>
      <color indexed="10"/>
      <name val="Arial"/>
      <family val="2"/>
    </font>
    <font>
      <b/>
      <sz val="10"/>
      <name val="Arial"/>
      <family val="2"/>
    </font>
    <font>
      <sz val="12"/>
      <color indexed="8"/>
      <name val="Courier"/>
      <family val="3"/>
    </font>
    <font>
      <sz val="12"/>
      <color indexed="10"/>
      <name val="Courier"/>
      <family val="3"/>
    </font>
    <font>
      <b/>
      <sz val="12"/>
      <name val="Courier"/>
      <family val="3"/>
    </font>
    <font>
      <u/>
      <sz val="12"/>
      <name val="Arial"/>
      <family val="2"/>
    </font>
    <font>
      <sz val="12"/>
      <color indexed="12"/>
      <name val="Arial"/>
      <family val="2"/>
    </font>
    <font>
      <u/>
      <sz val="12"/>
      <color indexed="12"/>
      <name val="Arial"/>
      <family val="2"/>
    </font>
    <font>
      <u val="double"/>
      <sz val="12"/>
      <name val="Arial"/>
      <family val="2"/>
    </font>
    <font>
      <sz val="12"/>
      <color indexed="8"/>
      <name val="Arial"/>
      <family val="2"/>
    </font>
    <font>
      <u/>
      <sz val="12"/>
      <color indexed="8"/>
      <name val="Arial"/>
      <family val="2"/>
    </font>
    <font>
      <u val="double"/>
      <sz val="12"/>
      <color indexed="8"/>
      <name val="Arial"/>
      <family val="2"/>
    </font>
    <font>
      <sz val="14"/>
      <name val="Arial"/>
      <family val="2"/>
    </font>
    <font>
      <b/>
      <sz val="12"/>
      <name val="Arial"/>
      <family val="2"/>
    </font>
    <font>
      <b/>
      <sz val="12"/>
      <color indexed="12"/>
      <name val="Arial"/>
      <family val="2"/>
    </font>
    <font>
      <u val="doubleAccounting"/>
      <sz val="12"/>
      <name val="Arial"/>
      <family val="2"/>
    </font>
    <font>
      <u/>
      <sz val="12"/>
      <color indexed="10"/>
      <name val="Arial"/>
      <family val="2"/>
    </font>
    <font>
      <sz val="12"/>
      <name val="Courier"/>
      <family val="3"/>
    </font>
    <font>
      <sz val="12"/>
      <name val="Times New Roman"/>
      <family val="1"/>
    </font>
    <font>
      <u/>
      <sz val="12"/>
      <name val="Times New Roman"/>
      <family val="1"/>
    </font>
    <font>
      <u/>
      <sz val="12"/>
      <color indexed="8"/>
      <name val="Times New Roman"/>
      <family val="1"/>
    </font>
    <font>
      <sz val="12"/>
      <color indexed="8"/>
      <name val="Times New Roman"/>
      <family val="1"/>
    </font>
    <font>
      <u/>
      <sz val="12"/>
      <color indexed="12"/>
      <name val="Times New Roman"/>
      <family val="1"/>
    </font>
    <font>
      <u val="double"/>
      <sz val="12"/>
      <color indexed="8"/>
      <name val="Times New Roman"/>
      <family val="1"/>
    </font>
    <font>
      <sz val="12"/>
      <color indexed="12"/>
      <name val="Times New Roman"/>
      <family val="1"/>
    </font>
    <font>
      <sz val="10"/>
      <color indexed="81"/>
      <name val="Tahoma"/>
      <family val="2"/>
    </font>
    <font>
      <u/>
      <sz val="10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b/>
      <u/>
      <sz val="10"/>
      <name val="Arial"/>
      <family val="2"/>
    </font>
    <font>
      <sz val="8"/>
      <name val="Courier"/>
      <family val="3"/>
    </font>
    <font>
      <sz val="10"/>
      <color indexed="8"/>
      <name val="Arial"/>
      <family val="2"/>
    </font>
    <font>
      <u/>
      <sz val="12"/>
      <name val="Arial"/>
      <family val="2"/>
    </font>
    <font>
      <sz val="8"/>
      <color indexed="12"/>
      <name val="Arial"/>
      <family val="2"/>
    </font>
    <font>
      <b/>
      <sz val="12"/>
      <color indexed="10"/>
      <name val="Courier"/>
      <family val="3"/>
    </font>
    <font>
      <b/>
      <sz val="10"/>
      <name val="MS Sans Serif"/>
      <family val="2"/>
    </font>
    <font>
      <sz val="10"/>
      <color indexed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color rgb="FF3333FF"/>
      <name val="Arial"/>
      <family val="2"/>
    </font>
    <font>
      <sz val="12"/>
      <color rgb="FF3333FF"/>
      <name val="Arial"/>
      <family val="2"/>
    </font>
    <font>
      <sz val="12"/>
      <color rgb="FF0066FF"/>
      <name val="Arial"/>
      <family val="2"/>
    </font>
    <font>
      <b/>
      <sz val="10"/>
      <color rgb="FFFF0000"/>
      <name val="Arial"/>
      <family val="2"/>
    </font>
    <font>
      <b/>
      <sz val="12"/>
      <color rgb="FF3333FF"/>
      <name val="Arial"/>
      <family val="2"/>
    </font>
    <font>
      <sz val="12"/>
      <color rgb="FF0000CC"/>
      <name val="Arial"/>
      <family val="2"/>
    </font>
    <font>
      <sz val="9"/>
      <color theme="1"/>
      <name val="Arial"/>
      <family val="2"/>
    </font>
    <font>
      <sz val="10"/>
      <color rgb="FF0000FF"/>
      <name val="Arial"/>
      <family val="2"/>
    </font>
    <font>
      <u/>
      <sz val="10"/>
      <color rgb="FF0000FF"/>
      <name val="Arial"/>
      <family val="2"/>
    </font>
    <font>
      <sz val="12"/>
      <color rgb="FF0000FF"/>
      <name val="Arial"/>
      <family val="2"/>
    </font>
    <font>
      <sz val="10"/>
      <color indexed="18"/>
      <name val="Arial"/>
      <family val="2"/>
    </font>
    <font>
      <u val="double"/>
      <sz val="10"/>
      <name val="Arial"/>
      <family val="2"/>
    </font>
    <font>
      <u val="double"/>
      <sz val="10"/>
      <color indexed="12"/>
      <name val="Arial"/>
      <family val="2"/>
    </font>
    <font>
      <i/>
      <sz val="10"/>
      <color indexed="10"/>
      <name val="Arial"/>
      <family val="2"/>
    </font>
    <font>
      <b/>
      <sz val="10"/>
      <color indexed="12"/>
      <name val="Arial"/>
      <family val="2"/>
    </font>
    <font>
      <b/>
      <sz val="10"/>
      <color indexed="18"/>
      <name val="Arial"/>
      <family val="2"/>
    </font>
    <font>
      <u/>
      <sz val="10"/>
      <color rgb="FF3333FF"/>
      <name val="Arial"/>
      <family val="2"/>
    </font>
    <font>
      <u/>
      <sz val="10"/>
      <color indexed="8"/>
      <name val="Arial"/>
      <family val="2"/>
    </font>
    <font>
      <b/>
      <sz val="10"/>
      <color rgb="FF0000FF"/>
      <name val="Arial"/>
      <family val="2"/>
    </font>
    <font>
      <sz val="11"/>
      <color indexed="8"/>
      <name val="Arial"/>
      <family val="2"/>
    </font>
    <font>
      <u val="double"/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name val="Abadi MT Condensed Light"/>
      <family val="2"/>
    </font>
    <font>
      <vertAlign val="superscript"/>
      <sz val="10"/>
      <name val="Arial"/>
      <family val="2"/>
    </font>
    <font>
      <sz val="11"/>
      <color theme="1"/>
      <name val="Calibri"/>
      <family val="2"/>
      <scheme val="minor"/>
    </font>
    <font>
      <u/>
      <sz val="12"/>
      <color rgb="FF0000FF"/>
      <name val="Arial"/>
      <family val="2"/>
    </font>
    <font>
      <b/>
      <sz val="18"/>
      <name val="Arial"/>
      <family val="2"/>
    </font>
    <font>
      <sz val="10"/>
      <name val="LJ Helvetica"/>
    </font>
    <font>
      <sz val="11"/>
      <color indexed="8"/>
      <name val="Calibri"/>
      <family val="2"/>
    </font>
    <font>
      <sz val="11"/>
      <color theme="1"/>
      <name val="Cambria"/>
      <family val="2"/>
    </font>
    <font>
      <sz val="11"/>
      <color theme="0"/>
      <name val="Calibri"/>
      <family val="2"/>
      <scheme val="minor"/>
    </font>
    <font>
      <sz val="11"/>
      <color indexed="9"/>
      <name val="Calibri"/>
      <family val="2"/>
    </font>
    <font>
      <sz val="10"/>
      <color indexed="8"/>
      <name val="Book Antiqua"/>
      <family val="1"/>
    </font>
    <font>
      <sz val="8"/>
      <name val="Times New Roman"/>
      <family val="1"/>
    </font>
    <font>
      <sz val="11"/>
      <color rgb="FF9C0006"/>
      <name val="Calibri"/>
      <family val="2"/>
      <scheme val="minor"/>
    </font>
    <font>
      <sz val="11"/>
      <color indexed="20"/>
      <name val="Calibri"/>
      <family val="2"/>
    </font>
    <font>
      <b/>
      <sz val="12"/>
      <color indexed="9"/>
      <name val="Times New Roman"/>
      <family val="1"/>
    </font>
    <font>
      <b/>
      <sz val="11"/>
      <color rgb="FFFA7D00"/>
      <name val="Calibri"/>
      <family val="2"/>
      <scheme val="minor"/>
    </font>
    <font>
      <b/>
      <sz val="11"/>
      <color indexed="52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indexed="9"/>
      <name val="Calibri"/>
      <family val="2"/>
    </font>
    <font>
      <sz val="11"/>
      <name val="Tms Rmn"/>
      <family val="1"/>
    </font>
    <font>
      <sz val="11"/>
      <color theme="1"/>
      <name val="Arial"/>
      <family val="2"/>
    </font>
    <font>
      <sz val="10"/>
      <color indexed="24"/>
      <name val="Times New Roman"/>
      <family val="1"/>
    </font>
    <font>
      <sz val="11"/>
      <name val="??"/>
      <family val="3"/>
      <charset val="129"/>
    </font>
    <font>
      <sz val="1"/>
      <color indexed="16"/>
      <name val="Courier"/>
      <family val="3"/>
    </font>
    <font>
      <b/>
      <sz val="12"/>
      <name val="Times New Roman"/>
      <family val="1"/>
    </font>
    <font>
      <i/>
      <sz val="11"/>
      <color rgb="FF7F7F7F"/>
      <name val="Calibri"/>
      <family val="2"/>
      <scheme val="minor"/>
    </font>
    <font>
      <i/>
      <sz val="11"/>
      <color indexed="23"/>
      <name val="Calibri"/>
      <family val="2"/>
    </font>
    <font>
      <sz val="12"/>
      <color indexed="12"/>
      <name val="SWISS"/>
      <family val="2"/>
    </font>
    <font>
      <sz val="11"/>
      <color rgb="FF006100"/>
      <name val="Calibri"/>
      <family val="2"/>
      <scheme val="minor"/>
    </font>
    <font>
      <sz val="11"/>
      <color indexed="17"/>
      <name val="Calibri"/>
      <family val="2"/>
    </font>
    <font>
      <b/>
      <u/>
      <sz val="11"/>
      <color indexed="37"/>
      <name val="Arial"/>
      <family val="2"/>
    </font>
    <font>
      <b/>
      <sz val="14"/>
      <name val="Times New Roman"/>
      <family val="1"/>
    </font>
    <font>
      <b/>
      <sz val="15"/>
      <color theme="3"/>
      <name val="Calibri"/>
      <family val="2"/>
      <scheme val="minor"/>
    </font>
    <font>
      <b/>
      <sz val="15"/>
      <color indexed="56"/>
      <name val="Calibri"/>
      <family val="2"/>
    </font>
    <font>
      <b/>
      <sz val="13"/>
      <color theme="3"/>
      <name val="Calibri"/>
      <family val="2"/>
      <scheme val="minor"/>
    </font>
    <font>
      <b/>
      <sz val="13"/>
      <color indexed="56"/>
      <name val="Calibri"/>
      <family val="2"/>
    </font>
    <font>
      <b/>
      <sz val="11"/>
      <color theme="3"/>
      <name val="Calibri"/>
      <family val="2"/>
      <scheme val="minor"/>
    </font>
    <font>
      <b/>
      <sz val="11"/>
      <color indexed="56"/>
      <name val="Calibri"/>
      <family val="2"/>
    </font>
    <font>
      <b/>
      <u/>
      <sz val="14"/>
      <name val="Arial Narrow"/>
      <family val="2"/>
    </font>
    <font>
      <b/>
      <sz val="10"/>
      <name val="Times New Roman"/>
      <family val="1"/>
    </font>
    <font>
      <b/>
      <i/>
      <sz val="12"/>
      <color indexed="57"/>
      <name val="Swiss"/>
      <family val="2"/>
    </font>
    <font>
      <sz val="11"/>
      <color rgb="FF3F3F76"/>
      <name val="Calibri"/>
      <family val="2"/>
      <scheme val="minor"/>
    </font>
    <font>
      <sz val="11"/>
      <color indexed="62"/>
      <name val="Calibri"/>
      <family val="2"/>
    </font>
    <font>
      <sz val="11"/>
      <color rgb="FF3F3F76"/>
      <name val="Cambria"/>
      <family val="2"/>
    </font>
    <font>
      <sz val="11"/>
      <color indexed="32"/>
      <name val="Arial"/>
      <family val="2"/>
    </font>
    <font>
      <b/>
      <sz val="12"/>
      <name val="Swiss"/>
      <family val="2"/>
    </font>
    <font>
      <sz val="12"/>
      <color indexed="37"/>
      <name val="swiss"/>
    </font>
    <font>
      <sz val="12"/>
      <color indexed="37"/>
      <name val="Swiss"/>
      <family val="2"/>
    </font>
    <font>
      <b/>
      <sz val="10"/>
      <color indexed="37"/>
      <name val="Arial MT"/>
    </font>
    <font>
      <sz val="11"/>
      <color rgb="FFFA7D00"/>
      <name val="Calibri"/>
      <family val="2"/>
      <scheme val="minor"/>
    </font>
    <font>
      <sz val="11"/>
      <color indexed="52"/>
      <name val="Calibri"/>
      <family val="2"/>
    </font>
    <font>
      <b/>
      <sz val="11"/>
      <color indexed="18"/>
      <name val="Arial"/>
      <family val="2"/>
    </font>
    <font>
      <sz val="10"/>
      <color indexed="56"/>
      <name val="Courier"/>
      <family val="3"/>
    </font>
    <font>
      <sz val="11"/>
      <color indexed="16"/>
      <name val="Arial"/>
      <family val="2"/>
    </font>
    <font>
      <i/>
      <sz val="12"/>
      <color indexed="38"/>
      <name val="Swiss"/>
      <family val="2"/>
    </font>
    <font>
      <sz val="11"/>
      <color rgb="FF9C6500"/>
      <name val="Calibri"/>
      <family val="2"/>
      <scheme val="minor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0"/>
      <color theme="1"/>
      <name val="Times New Roman"/>
      <family val="2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Calibri"/>
      <family val="1"/>
      <scheme val="minor"/>
    </font>
    <font>
      <sz val="11"/>
      <color theme="1"/>
      <name val="Times New Roman"/>
      <family val="2"/>
    </font>
    <font>
      <b/>
      <sz val="11"/>
      <color rgb="FF3F3F3F"/>
      <name val="Calibri"/>
      <family val="2"/>
      <scheme val="minor"/>
    </font>
    <font>
      <b/>
      <sz val="11"/>
      <color indexed="63"/>
      <name val="Calibri"/>
      <family val="2"/>
    </font>
    <font>
      <b/>
      <sz val="11"/>
      <color indexed="16"/>
      <name val="Times New Roman"/>
      <family val="1"/>
    </font>
    <font>
      <sz val="10"/>
      <color indexed="55"/>
      <name val="Arial"/>
      <family val="2"/>
    </font>
    <font>
      <sz val="11"/>
      <name val="Times New Roman"/>
      <family val="1"/>
    </font>
    <font>
      <b/>
      <sz val="10"/>
      <name val="Book Antiqua"/>
      <family val="1"/>
    </font>
    <font>
      <sz val="14"/>
      <name val="Haettenschweiler"/>
      <family val="2"/>
    </font>
    <font>
      <sz val="10"/>
      <color indexed="18"/>
      <name val="Times New Roman"/>
      <family val="1"/>
    </font>
    <font>
      <b/>
      <sz val="9"/>
      <name val="Arial"/>
      <family val="2"/>
    </font>
    <font>
      <b/>
      <i/>
      <sz val="10"/>
      <color indexed="38"/>
      <name val="Arial"/>
      <family val="2"/>
    </font>
    <font>
      <b/>
      <sz val="12"/>
      <color indexed="38"/>
      <name val="Swiss"/>
      <family val="2"/>
    </font>
    <font>
      <i/>
      <sz val="10"/>
      <name val="MS Sans Serif"/>
      <family val="2"/>
    </font>
    <font>
      <b/>
      <sz val="14"/>
      <color indexed="8"/>
      <name val="Helv"/>
    </font>
    <font>
      <b/>
      <sz val="12"/>
      <color indexed="18"/>
      <name val="Arial"/>
      <family val="2"/>
    </font>
    <font>
      <sz val="8"/>
      <name val="Arial Narrow"/>
      <family val="2"/>
    </font>
    <font>
      <b/>
      <u/>
      <sz val="12"/>
      <name val="Arial Narrow"/>
      <family val="2"/>
    </font>
    <font>
      <sz val="11"/>
      <name val="Book Antiqua"/>
      <family val="1"/>
    </font>
    <font>
      <b/>
      <u/>
      <sz val="10"/>
      <name val="Arial Narrow"/>
      <family val="2"/>
    </font>
    <font>
      <b/>
      <sz val="18"/>
      <color indexed="56"/>
      <name val="Cambria"/>
      <family val="2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i/>
      <sz val="12"/>
      <color indexed="50"/>
      <name val="Arial"/>
      <family val="2"/>
    </font>
    <font>
      <b/>
      <sz val="7"/>
      <color indexed="12"/>
      <name val="Arial"/>
      <family val="2"/>
    </font>
    <font>
      <sz val="12"/>
      <color indexed="8"/>
      <name val="Arial MT"/>
    </font>
    <font>
      <i/>
      <sz val="12"/>
      <color indexed="8"/>
      <name val="Arial MT"/>
    </font>
    <font>
      <sz val="11"/>
      <color rgb="FFFF0000"/>
      <name val="Calibri"/>
      <family val="2"/>
      <scheme val="minor"/>
    </font>
    <font>
      <sz val="11"/>
      <color indexed="10"/>
      <name val="Calibri"/>
      <family val="2"/>
    </font>
    <font>
      <u/>
      <sz val="8.4"/>
      <color indexed="12"/>
      <name val="Arial"/>
      <family val="2"/>
    </font>
    <font>
      <u val="doubleAccounting"/>
      <sz val="10"/>
      <name val="Arial"/>
      <family val="2"/>
    </font>
    <font>
      <u/>
      <sz val="11"/>
      <color theme="1"/>
      <name val="Calibri"/>
      <family val="2"/>
      <scheme val="minor"/>
    </font>
    <font>
      <b/>
      <sz val="12"/>
      <color rgb="FFFF0000"/>
      <name val="Arial"/>
      <family val="2"/>
    </font>
    <font>
      <sz val="12"/>
      <color indexed="18"/>
      <name val="Arial"/>
      <family val="2"/>
    </font>
    <font>
      <u/>
      <sz val="12"/>
      <color indexed="18"/>
      <name val="Arial"/>
      <family val="2"/>
    </font>
    <font>
      <i/>
      <sz val="10"/>
      <color theme="1"/>
      <name val="Arial"/>
      <family val="2"/>
    </font>
    <font>
      <u/>
      <sz val="12"/>
      <color rgb="FF3333FF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81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  <bgColor indexed="55"/>
      </patternFill>
    </fill>
    <fill>
      <patternFill patternType="solid">
        <fgColor indexed="56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13"/>
        <bgColor indexed="13"/>
      </patternFill>
    </fill>
    <fill>
      <patternFill patternType="solid">
        <fgColor indexed="14"/>
        <bgColor indexed="14"/>
      </patternFill>
    </fill>
    <fill>
      <patternFill patternType="solid">
        <fgColor indexed="10"/>
        <bgColor indexed="10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8"/>
      </patternFill>
    </fill>
    <fill>
      <patternFill patternType="gray0625">
        <fgColor indexed="26"/>
        <bgColor indexed="4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15"/>
      </patternFill>
    </fill>
    <fill>
      <patternFill patternType="gray0625"/>
    </fill>
    <fill>
      <patternFill patternType="solid">
        <fgColor indexed="15"/>
        <bgColor indexed="15"/>
      </patternFill>
    </fill>
    <fill>
      <patternFill patternType="solid">
        <fgColor rgb="FF000099"/>
        <bgColor indexed="64"/>
      </patternFill>
    </fill>
    <fill>
      <patternFill patternType="solid">
        <fgColor theme="3" tint="0.59999389629810485"/>
        <bgColor indexed="64"/>
      </patternFill>
    </fill>
  </fills>
  <borders count="8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 style="double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ck">
        <color indexed="18"/>
      </left>
      <right style="thick">
        <color indexed="18"/>
      </right>
      <top style="thick">
        <color indexed="18"/>
      </top>
      <bottom style="thick">
        <color indexed="18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tted">
        <color indexed="23"/>
      </left>
      <right style="dotted">
        <color indexed="23"/>
      </right>
      <top style="dotted">
        <color indexed="23"/>
      </top>
      <bottom style="dotted">
        <color indexed="23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10"/>
      </left>
      <right style="hair">
        <color indexed="10"/>
      </right>
      <top style="hair">
        <color indexed="10"/>
      </top>
      <bottom style="hair">
        <color indexed="1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 style="dotted">
        <color indexed="50"/>
      </left>
      <right/>
      <top style="dotted">
        <color indexed="50"/>
      </top>
      <bottom/>
      <diagonal/>
    </border>
    <border>
      <left/>
      <right/>
      <top style="medium">
        <color indexed="8"/>
      </top>
      <bottom/>
      <diagonal/>
    </border>
    <border>
      <left/>
      <right/>
      <top/>
      <bottom style="double">
        <color indexed="52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 style="dotted">
        <color indexed="16"/>
      </left>
      <right style="dotted">
        <color indexed="16"/>
      </right>
      <top style="dotted">
        <color indexed="16"/>
      </top>
      <bottom style="dotted">
        <color indexed="1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thin">
        <color auto="1"/>
      </bottom>
      <diagonal/>
    </border>
  </borders>
  <cellStyleXfs count="43939">
    <xf numFmtId="0" fontId="0" fillId="0" borderId="0"/>
    <xf numFmtId="43" fontId="3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 applyProtection="0"/>
    <xf numFmtId="0" fontId="8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8" fillId="0" borderId="0"/>
    <xf numFmtId="181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3" fillId="0" borderId="0" applyFont="0" applyFill="0" applyBorder="0" applyAlignment="0" applyProtection="0"/>
    <xf numFmtId="0" fontId="10" fillId="0" borderId="0" applyNumberFormat="0" applyFont="0" applyFill="0" applyBorder="0" applyAlignment="0" applyProtection="0">
      <alignment horizontal="left"/>
    </xf>
    <xf numFmtId="4" fontId="10" fillId="0" borderId="0" applyFont="0" applyFill="0" applyBorder="0" applyAlignment="0" applyProtection="0"/>
    <xf numFmtId="0" fontId="60" fillId="0" borderId="1">
      <alignment horizontal="center"/>
    </xf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" fillId="0" borderId="0"/>
    <xf numFmtId="0" fontId="2" fillId="0" borderId="0"/>
    <xf numFmtId="0" fontId="3" fillId="0" borderId="0"/>
    <xf numFmtId="0" fontId="88" fillId="0" borderId="0"/>
    <xf numFmtId="0" fontId="3" fillId="0" borderId="7">
      <alignment horizontal="center" wrapText="1"/>
    </xf>
    <xf numFmtId="43" fontId="53" fillId="0" borderId="0"/>
    <xf numFmtId="0" fontId="53" fillId="0" borderId="0"/>
    <xf numFmtId="43" fontId="3" fillId="0" borderId="8"/>
    <xf numFmtId="43" fontId="3" fillId="0" borderId="0"/>
    <xf numFmtId="0" fontId="3" fillId="0" borderId="0"/>
    <xf numFmtId="0" fontId="38" fillId="0" borderId="0"/>
    <xf numFmtId="0" fontId="90" fillId="0" borderId="0"/>
    <xf numFmtId="37" fontId="91" fillId="0" borderId="0"/>
    <xf numFmtId="172" fontId="91" fillId="0" borderId="0"/>
    <xf numFmtId="39" fontId="91" fillId="0" borderId="0"/>
    <xf numFmtId="0" fontId="88" fillId="21" borderId="0" applyNumberFormat="0" applyBorder="0" applyAlignment="0" applyProtection="0"/>
    <xf numFmtId="0" fontId="88" fillId="21" borderId="0" applyNumberFormat="0" applyBorder="0" applyAlignment="0" applyProtection="0"/>
    <xf numFmtId="0" fontId="88" fillId="21" borderId="0" applyNumberFormat="0" applyBorder="0" applyAlignment="0" applyProtection="0"/>
    <xf numFmtId="0" fontId="88" fillId="21" borderId="0" applyNumberFormat="0" applyBorder="0" applyAlignment="0" applyProtection="0"/>
    <xf numFmtId="0" fontId="88" fillId="21" borderId="0" applyNumberFormat="0" applyBorder="0" applyAlignment="0" applyProtection="0"/>
    <xf numFmtId="0" fontId="88" fillId="21" borderId="0" applyNumberFormat="0" applyBorder="0" applyAlignment="0" applyProtection="0"/>
    <xf numFmtId="0" fontId="88" fillId="21" borderId="0" applyNumberFormat="0" applyBorder="0" applyAlignment="0" applyProtection="0"/>
    <xf numFmtId="0" fontId="88" fillId="21" borderId="0" applyNumberFormat="0" applyBorder="0" applyAlignment="0" applyProtection="0"/>
    <xf numFmtId="0" fontId="88" fillId="21" borderId="0" applyNumberFormat="0" applyBorder="0" applyAlignment="0" applyProtection="0"/>
    <xf numFmtId="0" fontId="92" fillId="44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88" fillId="21" borderId="0" applyNumberFormat="0" applyBorder="0" applyAlignment="0" applyProtection="0"/>
    <xf numFmtId="0" fontId="88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88" fillId="21" borderId="0" applyNumberFormat="0" applyBorder="0" applyAlignment="0" applyProtection="0"/>
    <xf numFmtId="0" fontId="88" fillId="21" borderId="0" applyNumberFormat="0" applyBorder="0" applyAlignment="0" applyProtection="0"/>
    <xf numFmtId="0" fontId="88" fillId="21" borderId="0" applyNumberFormat="0" applyBorder="0" applyAlignment="0" applyProtection="0"/>
    <xf numFmtId="0" fontId="2" fillId="21" borderId="0" applyNumberFormat="0" applyBorder="0" applyAlignment="0" applyProtection="0"/>
    <xf numFmtId="0" fontId="92" fillId="44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93" fillId="21" borderId="0" applyNumberFormat="0" applyBorder="0" applyAlignment="0" applyProtection="0"/>
    <xf numFmtId="0" fontId="88" fillId="21" borderId="0" applyNumberFormat="0" applyBorder="0" applyAlignment="0" applyProtection="0"/>
    <xf numFmtId="0" fontId="88" fillId="21" borderId="0" applyNumberFormat="0" applyBorder="0" applyAlignment="0" applyProtection="0"/>
    <xf numFmtId="0" fontId="88" fillId="21" borderId="0" applyNumberFormat="0" applyBorder="0" applyAlignment="0" applyProtection="0"/>
    <xf numFmtId="0" fontId="2" fillId="21" borderId="0" applyNumberFormat="0" applyBorder="0" applyAlignment="0" applyProtection="0"/>
    <xf numFmtId="0" fontId="88" fillId="21" borderId="0" applyNumberFormat="0" applyBorder="0" applyAlignment="0" applyProtection="0"/>
    <xf numFmtId="0" fontId="2" fillId="21" borderId="0" applyNumberFormat="0" applyBorder="0" applyAlignment="0" applyProtection="0"/>
    <xf numFmtId="0" fontId="93" fillId="21" borderId="0" applyNumberFormat="0" applyBorder="0" applyAlignment="0" applyProtection="0"/>
    <xf numFmtId="0" fontId="88" fillId="21" borderId="0" applyNumberFormat="0" applyBorder="0" applyAlignment="0" applyProtection="0"/>
    <xf numFmtId="0" fontId="88" fillId="21" borderId="0" applyNumberFormat="0" applyBorder="0" applyAlignment="0" applyProtection="0"/>
    <xf numFmtId="0" fontId="93" fillId="21" borderId="0" applyNumberFormat="0" applyBorder="0" applyAlignment="0" applyProtection="0"/>
    <xf numFmtId="0" fontId="88" fillId="21" borderId="0" applyNumberFormat="0" applyBorder="0" applyAlignment="0" applyProtection="0"/>
    <xf numFmtId="0" fontId="93" fillId="21" borderId="0" applyNumberFormat="0" applyBorder="0" applyAlignment="0" applyProtection="0"/>
    <xf numFmtId="0" fontId="88" fillId="21" borderId="0" applyNumberFormat="0" applyBorder="0" applyAlignment="0" applyProtection="0"/>
    <xf numFmtId="0" fontId="93" fillId="21" borderId="0" applyNumberFormat="0" applyBorder="0" applyAlignment="0" applyProtection="0"/>
    <xf numFmtId="0" fontId="88" fillId="21" borderId="0" applyNumberFormat="0" applyBorder="0" applyAlignment="0" applyProtection="0"/>
    <xf numFmtId="0" fontId="2" fillId="21" borderId="0" applyNumberFormat="0" applyBorder="0" applyAlignment="0" applyProtection="0"/>
    <xf numFmtId="0" fontId="88" fillId="21" borderId="0" applyNumberFormat="0" applyBorder="0" applyAlignment="0" applyProtection="0"/>
    <xf numFmtId="0" fontId="88" fillId="25" borderId="0" applyNumberFormat="0" applyBorder="0" applyAlignment="0" applyProtection="0"/>
    <xf numFmtId="0" fontId="88" fillId="25" borderId="0" applyNumberFormat="0" applyBorder="0" applyAlignment="0" applyProtection="0"/>
    <xf numFmtId="0" fontId="88" fillId="25" borderId="0" applyNumberFormat="0" applyBorder="0" applyAlignment="0" applyProtection="0"/>
    <xf numFmtId="0" fontId="88" fillId="25" borderId="0" applyNumberFormat="0" applyBorder="0" applyAlignment="0" applyProtection="0"/>
    <xf numFmtId="0" fontId="88" fillId="25" borderId="0" applyNumberFormat="0" applyBorder="0" applyAlignment="0" applyProtection="0"/>
    <xf numFmtId="0" fontId="88" fillId="25" borderId="0" applyNumberFormat="0" applyBorder="0" applyAlignment="0" applyProtection="0"/>
    <xf numFmtId="0" fontId="88" fillId="25" borderId="0" applyNumberFormat="0" applyBorder="0" applyAlignment="0" applyProtection="0"/>
    <xf numFmtId="0" fontId="88" fillId="25" borderId="0" applyNumberFormat="0" applyBorder="0" applyAlignment="0" applyProtection="0"/>
    <xf numFmtId="0" fontId="88" fillId="25" borderId="0" applyNumberFormat="0" applyBorder="0" applyAlignment="0" applyProtection="0"/>
    <xf numFmtId="0" fontId="92" fillId="4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88" fillId="25" borderId="0" applyNumberFormat="0" applyBorder="0" applyAlignment="0" applyProtection="0"/>
    <xf numFmtId="0" fontId="88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88" fillId="25" borderId="0" applyNumberFormat="0" applyBorder="0" applyAlignment="0" applyProtection="0"/>
    <xf numFmtId="0" fontId="88" fillId="25" borderId="0" applyNumberFormat="0" applyBorder="0" applyAlignment="0" applyProtection="0"/>
    <xf numFmtId="0" fontId="88" fillId="25" borderId="0" applyNumberFormat="0" applyBorder="0" applyAlignment="0" applyProtection="0"/>
    <xf numFmtId="0" fontId="2" fillId="25" borderId="0" applyNumberFormat="0" applyBorder="0" applyAlignment="0" applyProtection="0"/>
    <xf numFmtId="0" fontId="92" fillId="4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93" fillId="25" borderId="0" applyNumberFormat="0" applyBorder="0" applyAlignment="0" applyProtection="0"/>
    <xf numFmtId="0" fontId="88" fillId="25" borderId="0" applyNumberFormat="0" applyBorder="0" applyAlignment="0" applyProtection="0"/>
    <xf numFmtId="0" fontId="88" fillId="25" borderId="0" applyNumberFormat="0" applyBorder="0" applyAlignment="0" applyProtection="0"/>
    <xf numFmtId="0" fontId="88" fillId="25" borderId="0" applyNumberFormat="0" applyBorder="0" applyAlignment="0" applyProtection="0"/>
    <xf numFmtId="0" fontId="2" fillId="25" borderId="0" applyNumberFormat="0" applyBorder="0" applyAlignment="0" applyProtection="0"/>
    <xf numFmtId="0" fontId="88" fillId="25" borderId="0" applyNumberFormat="0" applyBorder="0" applyAlignment="0" applyProtection="0"/>
    <xf numFmtId="0" fontId="2" fillId="25" borderId="0" applyNumberFormat="0" applyBorder="0" applyAlignment="0" applyProtection="0"/>
    <xf numFmtId="0" fontId="93" fillId="25" borderId="0" applyNumberFormat="0" applyBorder="0" applyAlignment="0" applyProtection="0"/>
    <xf numFmtId="0" fontId="88" fillId="25" borderId="0" applyNumberFormat="0" applyBorder="0" applyAlignment="0" applyProtection="0"/>
    <xf numFmtId="0" fontId="88" fillId="25" borderId="0" applyNumberFormat="0" applyBorder="0" applyAlignment="0" applyProtection="0"/>
    <xf numFmtId="0" fontId="93" fillId="25" borderId="0" applyNumberFormat="0" applyBorder="0" applyAlignment="0" applyProtection="0"/>
    <xf numFmtId="0" fontId="88" fillId="25" borderId="0" applyNumberFormat="0" applyBorder="0" applyAlignment="0" applyProtection="0"/>
    <xf numFmtId="0" fontId="93" fillId="25" borderId="0" applyNumberFormat="0" applyBorder="0" applyAlignment="0" applyProtection="0"/>
    <xf numFmtId="0" fontId="88" fillId="25" borderId="0" applyNumberFormat="0" applyBorder="0" applyAlignment="0" applyProtection="0"/>
    <xf numFmtId="0" fontId="93" fillId="25" borderId="0" applyNumberFormat="0" applyBorder="0" applyAlignment="0" applyProtection="0"/>
    <xf numFmtId="0" fontId="88" fillId="25" borderId="0" applyNumberFormat="0" applyBorder="0" applyAlignment="0" applyProtection="0"/>
    <xf numFmtId="0" fontId="2" fillId="25" borderId="0" applyNumberFormat="0" applyBorder="0" applyAlignment="0" applyProtection="0"/>
    <xf numFmtId="0" fontId="88" fillId="25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92" fillId="46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2" fillId="29" borderId="0" applyNumberFormat="0" applyBorder="0" applyAlignment="0" applyProtection="0"/>
    <xf numFmtId="0" fontId="92" fillId="46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93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2" fillId="29" borderId="0" applyNumberFormat="0" applyBorder="0" applyAlignment="0" applyProtection="0"/>
    <xf numFmtId="0" fontId="88" fillId="29" borderId="0" applyNumberFormat="0" applyBorder="0" applyAlignment="0" applyProtection="0"/>
    <xf numFmtId="0" fontId="2" fillId="29" borderId="0" applyNumberFormat="0" applyBorder="0" applyAlignment="0" applyProtection="0"/>
    <xf numFmtId="0" fontId="93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93" fillId="29" borderId="0" applyNumberFormat="0" applyBorder="0" applyAlignment="0" applyProtection="0"/>
    <xf numFmtId="0" fontId="88" fillId="29" borderId="0" applyNumberFormat="0" applyBorder="0" applyAlignment="0" applyProtection="0"/>
    <xf numFmtId="0" fontId="93" fillId="29" borderId="0" applyNumberFormat="0" applyBorder="0" applyAlignment="0" applyProtection="0"/>
    <xf numFmtId="0" fontId="88" fillId="29" borderId="0" applyNumberFormat="0" applyBorder="0" applyAlignment="0" applyProtection="0"/>
    <xf numFmtId="0" fontId="93" fillId="29" borderId="0" applyNumberFormat="0" applyBorder="0" applyAlignment="0" applyProtection="0"/>
    <xf numFmtId="0" fontId="88" fillId="29" borderId="0" applyNumberFormat="0" applyBorder="0" applyAlignment="0" applyProtection="0"/>
    <xf numFmtId="0" fontId="2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92" fillId="4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2" fillId="33" borderId="0" applyNumberFormat="0" applyBorder="0" applyAlignment="0" applyProtection="0"/>
    <xf numFmtId="0" fontId="92" fillId="4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93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2" fillId="33" borderId="0" applyNumberFormat="0" applyBorder="0" applyAlignment="0" applyProtection="0"/>
    <xf numFmtId="0" fontId="88" fillId="33" borderId="0" applyNumberFormat="0" applyBorder="0" applyAlignment="0" applyProtection="0"/>
    <xf numFmtId="0" fontId="2" fillId="33" borderId="0" applyNumberFormat="0" applyBorder="0" applyAlignment="0" applyProtection="0"/>
    <xf numFmtId="0" fontId="93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93" fillId="33" borderId="0" applyNumberFormat="0" applyBorder="0" applyAlignment="0" applyProtection="0"/>
    <xf numFmtId="0" fontId="88" fillId="33" borderId="0" applyNumberFormat="0" applyBorder="0" applyAlignment="0" applyProtection="0"/>
    <xf numFmtId="0" fontId="93" fillId="33" borderId="0" applyNumberFormat="0" applyBorder="0" applyAlignment="0" applyProtection="0"/>
    <xf numFmtId="0" fontId="88" fillId="33" borderId="0" applyNumberFormat="0" applyBorder="0" applyAlignment="0" applyProtection="0"/>
    <xf numFmtId="0" fontId="93" fillId="33" borderId="0" applyNumberFormat="0" applyBorder="0" applyAlignment="0" applyProtection="0"/>
    <xf numFmtId="0" fontId="88" fillId="33" borderId="0" applyNumberFormat="0" applyBorder="0" applyAlignment="0" applyProtection="0"/>
    <xf numFmtId="0" fontId="2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7" borderId="0" applyNumberFormat="0" applyBorder="0" applyAlignment="0" applyProtection="0"/>
    <xf numFmtId="0" fontId="88" fillId="37" borderId="0" applyNumberFormat="0" applyBorder="0" applyAlignment="0" applyProtection="0"/>
    <xf numFmtId="0" fontId="88" fillId="37" borderId="0" applyNumberFormat="0" applyBorder="0" applyAlignment="0" applyProtection="0"/>
    <xf numFmtId="0" fontId="88" fillId="37" borderId="0" applyNumberFormat="0" applyBorder="0" applyAlignment="0" applyProtection="0"/>
    <xf numFmtId="0" fontId="88" fillId="37" borderId="0" applyNumberFormat="0" applyBorder="0" applyAlignment="0" applyProtection="0"/>
    <xf numFmtId="0" fontId="88" fillId="37" borderId="0" applyNumberFormat="0" applyBorder="0" applyAlignment="0" applyProtection="0"/>
    <xf numFmtId="0" fontId="88" fillId="37" borderId="0" applyNumberFormat="0" applyBorder="0" applyAlignment="0" applyProtection="0"/>
    <xf numFmtId="0" fontId="88" fillId="37" borderId="0" applyNumberFormat="0" applyBorder="0" applyAlignment="0" applyProtection="0"/>
    <xf numFmtId="0" fontId="88" fillId="37" borderId="0" applyNumberFormat="0" applyBorder="0" applyAlignment="0" applyProtection="0"/>
    <xf numFmtId="0" fontId="92" fillId="4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88" fillId="37" borderId="0" applyNumberFormat="0" applyBorder="0" applyAlignment="0" applyProtection="0"/>
    <xf numFmtId="0" fontId="88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88" fillId="37" borderId="0" applyNumberFormat="0" applyBorder="0" applyAlignment="0" applyProtection="0"/>
    <xf numFmtId="0" fontId="88" fillId="37" borderId="0" applyNumberFormat="0" applyBorder="0" applyAlignment="0" applyProtection="0"/>
    <xf numFmtId="0" fontId="88" fillId="37" borderId="0" applyNumberFormat="0" applyBorder="0" applyAlignment="0" applyProtection="0"/>
    <xf numFmtId="0" fontId="2" fillId="37" borderId="0" applyNumberFormat="0" applyBorder="0" applyAlignment="0" applyProtection="0"/>
    <xf numFmtId="0" fontId="92" fillId="4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93" fillId="37" borderId="0" applyNumberFormat="0" applyBorder="0" applyAlignment="0" applyProtection="0"/>
    <xf numFmtId="0" fontId="88" fillId="37" borderId="0" applyNumberFormat="0" applyBorder="0" applyAlignment="0" applyProtection="0"/>
    <xf numFmtId="0" fontId="88" fillId="37" borderId="0" applyNumberFormat="0" applyBorder="0" applyAlignment="0" applyProtection="0"/>
    <xf numFmtId="0" fontId="88" fillId="37" borderId="0" applyNumberFormat="0" applyBorder="0" applyAlignment="0" applyProtection="0"/>
    <xf numFmtId="0" fontId="2" fillId="37" borderId="0" applyNumberFormat="0" applyBorder="0" applyAlignment="0" applyProtection="0"/>
    <xf numFmtId="0" fontId="88" fillId="37" borderId="0" applyNumberFormat="0" applyBorder="0" applyAlignment="0" applyProtection="0"/>
    <xf numFmtId="0" fontId="2" fillId="37" borderId="0" applyNumberFormat="0" applyBorder="0" applyAlignment="0" applyProtection="0"/>
    <xf numFmtId="0" fontId="93" fillId="37" borderId="0" applyNumberFormat="0" applyBorder="0" applyAlignment="0" applyProtection="0"/>
    <xf numFmtId="0" fontId="88" fillId="37" borderId="0" applyNumberFormat="0" applyBorder="0" applyAlignment="0" applyProtection="0"/>
    <xf numFmtId="0" fontId="88" fillId="37" borderId="0" applyNumberFormat="0" applyBorder="0" applyAlignment="0" applyProtection="0"/>
    <xf numFmtId="0" fontId="93" fillId="37" borderId="0" applyNumberFormat="0" applyBorder="0" applyAlignment="0" applyProtection="0"/>
    <xf numFmtId="0" fontId="88" fillId="37" borderId="0" applyNumberFormat="0" applyBorder="0" applyAlignment="0" applyProtection="0"/>
    <xf numFmtId="0" fontId="93" fillId="37" borderId="0" applyNumberFormat="0" applyBorder="0" applyAlignment="0" applyProtection="0"/>
    <xf numFmtId="0" fontId="88" fillId="37" borderId="0" applyNumberFormat="0" applyBorder="0" applyAlignment="0" applyProtection="0"/>
    <xf numFmtId="0" fontId="93" fillId="37" borderId="0" applyNumberFormat="0" applyBorder="0" applyAlignment="0" applyProtection="0"/>
    <xf numFmtId="0" fontId="88" fillId="37" borderId="0" applyNumberFormat="0" applyBorder="0" applyAlignment="0" applyProtection="0"/>
    <xf numFmtId="0" fontId="2" fillId="37" borderId="0" applyNumberFormat="0" applyBorder="0" applyAlignment="0" applyProtection="0"/>
    <xf numFmtId="0" fontId="88" fillId="37" borderId="0" applyNumberFormat="0" applyBorder="0" applyAlignment="0" applyProtection="0"/>
    <xf numFmtId="0" fontId="88" fillId="41" borderId="0" applyNumberFormat="0" applyBorder="0" applyAlignment="0" applyProtection="0"/>
    <xf numFmtId="0" fontId="88" fillId="41" borderId="0" applyNumberFormat="0" applyBorder="0" applyAlignment="0" applyProtection="0"/>
    <xf numFmtId="0" fontId="88" fillId="41" borderId="0" applyNumberFormat="0" applyBorder="0" applyAlignment="0" applyProtection="0"/>
    <xf numFmtId="0" fontId="88" fillId="41" borderId="0" applyNumberFormat="0" applyBorder="0" applyAlignment="0" applyProtection="0"/>
    <xf numFmtId="0" fontId="88" fillId="41" borderId="0" applyNumberFormat="0" applyBorder="0" applyAlignment="0" applyProtection="0"/>
    <xf numFmtId="0" fontId="88" fillId="41" borderId="0" applyNumberFormat="0" applyBorder="0" applyAlignment="0" applyProtection="0"/>
    <xf numFmtId="0" fontId="88" fillId="41" borderId="0" applyNumberFormat="0" applyBorder="0" applyAlignment="0" applyProtection="0"/>
    <xf numFmtId="0" fontId="88" fillId="41" borderId="0" applyNumberFormat="0" applyBorder="0" applyAlignment="0" applyProtection="0"/>
    <xf numFmtId="0" fontId="88" fillId="41" borderId="0" applyNumberFormat="0" applyBorder="0" applyAlignment="0" applyProtection="0"/>
    <xf numFmtId="0" fontId="92" fillId="49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88" fillId="41" borderId="0" applyNumberFormat="0" applyBorder="0" applyAlignment="0" applyProtection="0"/>
    <xf numFmtId="0" fontId="88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88" fillId="41" borderId="0" applyNumberFormat="0" applyBorder="0" applyAlignment="0" applyProtection="0"/>
    <xf numFmtId="0" fontId="88" fillId="41" borderId="0" applyNumberFormat="0" applyBorder="0" applyAlignment="0" applyProtection="0"/>
    <xf numFmtId="0" fontId="88" fillId="41" borderId="0" applyNumberFormat="0" applyBorder="0" applyAlignment="0" applyProtection="0"/>
    <xf numFmtId="0" fontId="2" fillId="41" borderId="0" applyNumberFormat="0" applyBorder="0" applyAlignment="0" applyProtection="0"/>
    <xf numFmtId="0" fontId="92" fillId="49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93" fillId="41" borderId="0" applyNumberFormat="0" applyBorder="0" applyAlignment="0" applyProtection="0"/>
    <xf numFmtId="0" fontId="88" fillId="41" borderId="0" applyNumberFormat="0" applyBorder="0" applyAlignment="0" applyProtection="0"/>
    <xf numFmtId="0" fontId="88" fillId="41" borderId="0" applyNumberFormat="0" applyBorder="0" applyAlignment="0" applyProtection="0"/>
    <xf numFmtId="0" fontId="88" fillId="41" borderId="0" applyNumberFormat="0" applyBorder="0" applyAlignment="0" applyProtection="0"/>
    <xf numFmtId="0" fontId="2" fillId="41" borderId="0" applyNumberFormat="0" applyBorder="0" applyAlignment="0" applyProtection="0"/>
    <xf numFmtId="0" fontId="88" fillId="41" borderId="0" applyNumberFormat="0" applyBorder="0" applyAlignment="0" applyProtection="0"/>
    <xf numFmtId="0" fontId="2" fillId="41" borderId="0" applyNumberFormat="0" applyBorder="0" applyAlignment="0" applyProtection="0"/>
    <xf numFmtId="0" fontId="93" fillId="41" borderId="0" applyNumberFormat="0" applyBorder="0" applyAlignment="0" applyProtection="0"/>
    <xf numFmtId="0" fontId="88" fillId="41" borderId="0" applyNumberFormat="0" applyBorder="0" applyAlignment="0" applyProtection="0"/>
    <xf numFmtId="0" fontId="88" fillId="41" borderId="0" applyNumberFormat="0" applyBorder="0" applyAlignment="0" applyProtection="0"/>
    <xf numFmtId="0" fontId="93" fillId="41" borderId="0" applyNumberFormat="0" applyBorder="0" applyAlignment="0" applyProtection="0"/>
    <xf numFmtId="0" fontId="88" fillId="41" borderId="0" applyNumberFormat="0" applyBorder="0" applyAlignment="0" applyProtection="0"/>
    <xf numFmtId="0" fontId="93" fillId="41" borderId="0" applyNumberFormat="0" applyBorder="0" applyAlignment="0" applyProtection="0"/>
    <xf numFmtId="0" fontId="88" fillId="41" borderId="0" applyNumberFormat="0" applyBorder="0" applyAlignment="0" applyProtection="0"/>
    <xf numFmtId="0" fontId="93" fillId="41" borderId="0" applyNumberFormat="0" applyBorder="0" applyAlignment="0" applyProtection="0"/>
    <xf numFmtId="0" fontId="88" fillId="41" borderId="0" applyNumberFormat="0" applyBorder="0" applyAlignment="0" applyProtection="0"/>
    <xf numFmtId="0" fontId="2" fillId="41" borderId="0" applyNumberFormat="0" applyBorder="0" applyAlignment="0" applyProtection="0"/>
    <xf numFmtId="0" fontId="88" fillId="41" borderId="0" applyNumberFormat="0" applyBorder="0" applyAlignment="0" applyProtection="0"/>
    <xf numFmtId="0" fontId="88" fillId="22" borderId="0" applyNumberFormat="0" applyBorder="0" applyAlignment="0" applyProtection="0"/>
    <xf numFmtId="0" fontId="88" fillId="22" borderId="0" applyNumberFormat="0" applyBorder="0" applyAlignment="0" applyProtection="0"/>
    <xf numFmtId="0" fontId="88" fillId="22" borderId="0" applyNumberFormat="0" applyBorder="0" applyAlignment="0" applyProtection="0"/>
    <xf numFmtId="0" fontId="88" fillId="22" borderId="0" applyNumberFormat="0" applyBorder="0" applyAlignment="0" applyProtection="0"/>
    <xf numFmtId="0" fontId="88" fillId="22" borderId="0" applyNumberFormat="0" applyBorder="0" applyAlignment="0" applyProtection="0"/>
    <xf numFmtId="0" fontId="88" fillId="22" borderId="0" applyNumberFormat="0" applyBorder="0" applyAlignment="0" applyProtection="0"/>
    <xf numFmtId="0" fontId="88" fillId="22" borderId="0" applyNumberFormat="0" applyBorder="0" applyAlignment="0" applyProtection="0"/>
    <xf numFmtId="0" fontId="88" fillId="22" borderId="0" applyNumberFormat="0" applyBorder="0" applyAlignment="0" applyProtection="0"/>
    <xf numFmtId="0" fontId="88" fillId="22" borderId="0" applyNumberFormat="0" applyBorder="0" applyAlignment="0" applyProtection="0"/>
    <xf numFmtId="0" fontId="92" fillId="5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88" fillId="22" borderId="0" applyNumberFormat="0" applyBorder="0" applyAlignment="0" applyProtection="0"/>
    <xf numFmtId="0" fontId="88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88" fillId="22" borderId="0" applyNumberFormat="0" applyBorder="0" applyAlignment="0" applyProtection="0"/>
    <xf numFmtId="0" fontId="88" fillId="22" borderId="0" applyNumberFormat="0" applyBorder="0" applyAlignment="0" applyProtection="0"/>
    <xf numFmtId="0" fontId="88" fillId="22" borderId="0" applyNumberFormat="0" applyBorder="0" applyAlignment="0" applyProtection="0"/>
    <xf numFmtId="0" fontId="2" fillId="22" borderId="0" applyNumberFormat="0" applyBorder="0" applyAlignment="0" applyProtection="0"/>
    <xf numFmtId="0" fontId="92" fillId="5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93" fillId="22" borderId="0" applyNumberFormat="0" applyBorder="0" applyAlignment="0" applyProtection="0"/>
    <xf numFmtId="0" fontId="88" fillId="22" borderId="0" applyNumberFormat="0" applyBorder="0" applyAlignment="0" applyProtection="0"/>
    <xf numFmtId="0" fontId="88" fillId="22" borderId="0" applyNumberFormat="0" applyBorder="0" applyAlignment="0" applyProtection="0"/>
    <xf numFmtId="0" fontId="88" fillId="22" borderId="0" applyNumberFormat="0" applyBorder="0" applyAlignment="0" applyProtection="0"/>
    <xf numFmtId="0" fontId="2" fillId="22" borderId="0" applyNumberFormat="0" applyBorder="0" applyAlignment="0" applyProtection="0"/>
    <xf numFmtId="0" fontId="88" fillId="22" borderId="0" applyNumberFormat="0" applyBorder="0" applyAlignment="0" applyProtection="0"/>
    <xf numFmtId="0" fontId="2" fillId="22" borderId="0" applyNumberFormat="0" applyBorder="0" applyAlignment="0" applyProtection="0"/>
    <xf numFmtId="0" fontId="93" fillId="22" borderId="0" applyNumberFormat="0" applyBorder="0" applyAlignment="0" applyProtection="0"/>
    <xf numFmtId="0" fontId="88" fillId="22" borderId="0" applyNumberFormat="0" applyBorder="0" applyAlignment="0" applyProtection="0"/>
    <xf numFmtId="0" fontId="88" fillId="22" borderId="0" applyNumberFormat="0" applyBorder="0" applyAlignment="0" applyProtection="0"/>
    <xf numFmtId="0" fontId="93" fillId="22" borderId="0" applyNumberFormat="0" applyBorder="0" applyAlignment="0" applyProtection="0"/>
    <xf numFmtId="0" fontId="88" fillId="22" borderId="0" applyNumberFormat="0" applyBorder="0" applyAlignment="0" applyProtection="0"/>
    <xf numFmtId="0" fontId="93" fillId="22" borderId="0" applyNumberFormat="0" applyBorder="0" applyAlignment="0" applyProtection="0"/>
    <xf numFmtId="0" fontId="88" fillId="22" borderId="0" applyNumberFormat="0" applyBorder="0" applyAlignment="0" applyProtection="0"/>
    <xf numFmtId="0" fontId="93" fillId="22" borderId="0" applyNumberFormat="0" applyBorder="0" applyAlignment="0" applyProtection="0"/>
    <xf numFmtId="0" fontId="88" fillId="22" borderId="0" applyNumberFormat="0" applyBorder="0" applyAlignment="0" applyProtection="0"/>
    <xf numFmtId="0" fontId="2" fillId="22" borderId="0" applyNumberFormat="0" applyBorder="0" applyAlignment="0" applyProtection="0"/>
    <xf numFmtId="0" fontId="88" fillId="22" borderId="0" applyNumberFormat="0" applyBorder="0" applyAlignment="0" applyProtection="0"/>
    <xf numFmtId="0" fontId="88" fillId="26" borderId="0" applyNumberFormat="0" applyBorder="0" applyAlignment="0" applyProtection="0"/>
    <xf numFmtId="0" fontId="88" fillId="26" borderId="0" applyNumberFormat="0" applyBorder="0" applyAlignment="0" applyProtection="0"/>
    <xf numFmtId="0" fontId="88" fillId="26" borderId="0" applyNumberFormat="0" applyBorder="0" applyAlignment="0" applyProtection="0"/>
    <xf numFmtId="0" fontId="88" fillId="26" borderId="0" applyNumberFormat="0" applyBorder="0" applyAlignment="0" applyProtection="0"/>
    <xf numFmtId="0" fontId="88" fillId="26" borderId="0" applyNumberFormat="0" applyBorder="0" applyAlignment="0" applyProtection="0"/>
    <xf numFmtId="0" fontId="88" fillId="26" borderId="0" applyNumberFormat="0" applyBorder="0" applyAlignment="0" applyProtection="0"/>
    <xf numFmtId="0" fontId="88" fillId="26" borderId="0" applyNumberFormat="0" applyBorder="0" applyAlignment="0" applyProtection="0"/>
    <xf numFmtId="0" fontId="88" fillId="26" borderId="0" applyNumberFormat="0" applyBorder="0" applyAlignment="0" applyProtection="0"/>
    <xf numFmtId="0" fontId="88" fillId="26" borderId="0" applyNumberFormat="0" applyBorder="0" applyAlignment="0" applyProtection="0"/>
    <xf numFmtId="0" fontId="92" fillId="51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88" fillId="26" borderId="0" applyNumberFormat="0" applyBorder="0" applyAlignment="0" applyProtection="0"/>
    <xf numFmtId="0" fontId="88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88" fillId="26" borderId="0" applyNumberFormat="0" applyBorder="0" applyAlignment="0" applyProtection="0"/>
    <xf numFmtId="0" fontId="88" fillId="26" borderId="0" applyNumberFormat="0" applyBorder="0" applyAlignment="0" applyProtection="0"/>
    <xf numFmtId="0" fontId="88" fillId="26" borderId="0" applyNumberFormat="0" applyBorder="0" applyAlignment="0" applyProtection="0"/>
    <xf numFmtId="0" fontId="2" fillId="26" borderId="0" applyNumberFormat="0" applyBorder="0" applyAlignment="0" applyProtection="0"/>
    <xf numFmtId="0" fontId="92" fillId="51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93" fillId="26" borderId="0" applyNumberFormat="0" applyBorder="0" applyAlignment="0" applyProtection="0"/>
    <xf numFmtId="0" fontId="88" fillId="26" borderId="0" applyNumberFormat="0" applyBorder="0" applyAlignment="0" applyProtection="0"/>
    <xf numFmtId="0" fontId="88" fillId="26" borderId="0" applyNumberFormat="0" applyBorder="0" applyAlignment="0" applyProtection="0"/>
    <xf numFmtId="0" fontId="88" fillId="26" borderId="0" applyNumberFormat="0" applyBorder="0" applyAlignment="0" applyProtection="0"/>
    <xf numFmtId="0" fontId="2" fillId="26" borderId="0" applyNumberFormat="0" applyBorder="0" applyAlignment="0" applyProtection="0"/>
    <xf numFmtId="0" fontId="88" fillId="26" borderId="0" applyNumberFormat="0" applyBorder="0" applyAlignment="0" applyProtection="0"/>
    <xf numFmtId="0" fontId="2" fillId="26" borderId="0" applyNumberFormat="0" applyBorder="0" applyAlignment="0" applyProtection="0"/>
    <xf numFmtId="0" fontId="93" fillId="26" borderId="0" applyNumberFormat="0" applyBorder="0" applyAlignment="0" applyProtection="0"/>
    <xf numFmtId="0" fontId="88" fillId="26" borderId="0" applyNumberFormat="0" applyBorder="0" applyAlignment="0" applyProtection="0"/>
    <xf numFmtId="0" fontId="88" fillId="26" borderId="0" applyNumberFormat="0" applyBorder="0" applyAlignment="0" applyProtection="0"/>
    <xf numFmtId="0" fontId="93" fillId="26" borderId="0" applyNumberFormat="0" applyBorder="0" applyAlignment="0" applyProtection="0"/>
    <xf numFmtId="0" fontId="88" fillId="26" borderId="0" applyNumberFormat="0" applyBorder="0" applyAlignment="0" applyProtection="0"/>
    <xf numFmtId="0" fontId="93" fillId="26" borderId="0" applyNumberFormat="0" applyBorder="0" applyAlignment="0" applyProtection="0"/>
    <xf numFmtId="0" fontId="88" fillId="26" borderId="0" applyNumberFormat="0" applyBorder="0" applyAlignment="0" applyProtection="0"/>
    <xf numFmtId="0" fontId="93" fillId="26" borderId="0" applyNumberFormat="0" applyBorder="0" applyAlignment="0" applyProtection="0"/>
    <xf numFmtId="0" fontId="88" fillId="26" borderId="0" applyNumberFormat="0" applyBorder="0" applyAlignment="0" applyProtection="0"/>
    <xf numFmtId="0" fontId="2" fillId="26" borderId="0" applyNumberFormat="0" applyBorder="0" applyAlignment="0" applyProtection="0"/>
    <xf numFmtId="0" fontId="88" fillId="26" borderId="0" applyNumberFormat="0" applyBorder="0" applyAlignment="0" applyProtection="0"/>
    <xf numFmtId="0" fontId="88" fillId="30" borderId="0" applyNumberFormat="0" applyBorder="0" applyAlignment="0" applyProtection="0"/>
    <xf numFmtId="0" fontId="88" fillId="30" borderId="0" applyNumberFormat="0" applyBorder="0" applyAlignment="0" applyProtection="0"/>
    <xf numFmtId="0" fontId="88" fillId="30" borderId="0" applyNumberFormat="0" applyBorder="0" applyAlignment="0" applyProtection="0"/>
    <xf numFmtId="0" fontId="88" fillId="30" borderId="0" applyNumberFormat="0" applyBorder="0" applyAlignment="0" applyProtection="0"/>
    <xf numFmtId="0" fontId="88" fillId="30" borderId="0" applyNumberFormat="0" applyBorder="0" applyAlignment="0" applyProtection="0"/>
    <xf numFmtId="0" fontId="88" fillId="30" borderId="0" applyNumberFormat="0" applyBorder="0" applyAlignment="0" applyProtection="0"/>
    <xf numFmtId="0" fontId="88" fillId="30" borderId="0" applyNumberFormat="0" applyBorder="0" applyAlignment="0" applyProtection="0"/>
    <xf numFmtId="0" fontId="88" fillId="30" borderId="0" applyNumberFormat="0" applyBorder="0" applyAlignment="0" applyProtection="0"/>
    <xf numFmtId="0" fontId="88" fillId="30" borderId="0" applyNumberFormat="0" applyBorder="0" applyAlignment="0" applyProtection="0"/>
    <xf numFmtId="0" fontId="92" fillId="5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88" fillId="30" borderId="0" applyNumberFormat="0" applyBorder="0" applyAlignment="0" applyProtection="0"/>
    <xf numFmtId="0" fontId="88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88" fillId="30" borderId="0" applyNumberFormat="0" applyBorder="0" applyAlignment="0" applyProtection="0"/>
    <xf numFmtId="0" fontId="88" fillId="30" borderId="0" applyNumberFormat="0" applyBorder="0" applyAlignment="0" applyProtection="0"/>
    <xf numFmtId="0" fontId="88" fillId="30" borderId="0" applyNumberFormat="0" applyBorder="0" applyAlignment="0" applyProtection="0"/>
    <xf numFmtId="0" fontId="2" fillId="30" borderId="0" applyNumberFormat="0" applyBorder="0" applyAlignment="0" applyProtection="0"/>
    <xf numFmtId="0" fontId="92" fillId="5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93" fillId="30" borderId="0" applyNumberFormat="0" applyBorder="0" applyAlignment="0" applyProtection="0"/>
    <xf numFmtId="0" fontId="88" fillId="30" borderId="0" applyNumberFormat="0" applyBorder="0" applyAlignment="0" applyProtection="0"/>
    <xf numFmtId="0" fontId="88" fillId="30" borderId="0" applyNumberFormat="0" applyBorder="0" applyAlignment="0" applyProtection="0"/>
    <xf numFmtId="0" fontId="88" fillId="30" borderId="0" applyNumberFormat="0" applyBorder="0" applyAlignment="0" applyProtection="0"/>
    <xf numFmtId="0" fontId="2" fillId="30" borderId="0" applyNumberFormat="0" applyBorder="0" applyAlignment="0" applyProtection="0"/>
    <xf numFmtId="0" fontId="88" fillId="30" borderId="0" applyNumberFormat="0" applyBorder="0" applyAlignment="0" applyProtection="0"/>
    <xf numFmtId="0" fontId="2" fillId="30" borderId="0" applyNumberFormat="0" applyBorder="0" applyAlignment="0" applyProtection="0"/>
    <xf numFmtId="0" fontId="93" fillId="30" borderId="0" applyNumberFormat="0" applyBorder="0" applyAlignment="0" applyProtection="0"/>
    <xf numFmtId="0" fontId="88" fillId="30" borderId="0" applyNumberFormat="0" applyBorder="0" applyAlignment="0" applyProtection="0"/>
    <xf numFmtId="0" fontId="88" fillId="30" borderId="0" applyNumberFormat="0" applyBorder="0" applyAlignment="0" applyProtection="0"/>
    <xf numFmtId="0" fontId="93" fillId="30" borderId="0" applyNumberFormat="0" applyBorder="0" applyAlignment="0" applyProtection="0"/>
    <xf numFmtId="0" fontId="88" fillId="30" borderId="0" applyNumberFormat="0" applyBorder="0" applyAlignment="0" applyProtection="0"/>
    <xf numFmtId="0" fontId="93" fillId="30" borderId="0" applyNumberFormat="0" applyBorder="0" applyAlignment="0" applyProtection="0"/>
    <xf numFmtId="0" fontId="88" fillId="30" borderId="0" applyNumberFormat="0" applyBorder="0" applyAlignment="0" applyProtection="0"/>
    <xf numFmtId="0" fontId="93" fillId="30" borderId="0" applyNumberFormat="0" applyBorder="0" applyAlignment="0" applyProtection="0"/>
    <xf numFmtId="0" fontId="88" fillId="30" borderId="0" applyNumberFormat="0" applyBorder="0" applyAlignment="0" applyProtection="0"/>
    <xf numFmtId="0" fontId="2" fillId="30" borderId="0" applyNumberFormat="0" applyBorder="0" applyAlignment="0" applyProtection="0"/>
    <xf numFmtId="0" fontId="88" fillId="30" borderId="0" applyNumberFormat="0" applyBorder="0" applyAlignment="0" applyProtection="0"/>
    <xf numFmtId="0" fontId="88" fillId="34" borderId="0" applyNumberFormat="0" applyBorder="0" applyAlignment="0" applyProtection="0"/>
    <xf numFmtId="0" fontId="88" fillId="34" borderId="0" applyNumberFormat="0" applyBorder="0" applyAlignment="0" applyProtection="0"/>
    <xf numFmtId="0" fontId="88" fillId="34" borderId="0" applyNumberFormat="0" applyBorder="0" applyAlignment="0" applyProtection="0"/>
    <xf numFmtId="0" fontId="88" fillId="34" borderId="0" applyNumberFormat="0" applyBorder="0" applyAlignment="0" applyProtection="0"/>
    <xf numFmtId="0" fontId="88" fillId="34" borderId="0" applyNumberFormat="0" applyBorder="0" applyAlignment="0" applyProtection="0"/>
    <xf numFmtId="0" fontId="88" fillId="34" borderId="0" applyNumberFormat="0" applyBorder="0" applyAlignment="0" applyProtection="0"/>
    <xf numFmtId="0" fontId="88" fillId="34" borderId="0" applyNumberFormat="0" applyBorder="0" applyAlignment="0" applyProtection="0"/>
    <xf numFmtId="0" fontId="88" fillId="34" borderId="0" applyNumberFormat="0" applyBorder="0" applyAlignment="0" applyProtection="0"/>
    <xf numFmtId="0" fontId="88" fillId="34" borderId="0" applyNumberFormat="0" applyBorder="0" applyAlignment="0" applyProtection="0"/>
    <xf numFmtId="0" fontId="92" fillId="4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88" fillId="34" borderId="0" applyNumberFormat="0" applyBorder="0" applyAlignment="0" applyProtection="0"/>
    <xf numFmtId="0" fontId="88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88" fillId="34" borderId="0" applyNumberFormat="0" applyBorder="0" applyAlignment="0" applyProtection="0"/>
    <xf numFmtId="0" fontId="88" fillId="34" borderId="0" applyNumberFormat="0" applyBorder="0" applyAlignment="0" applyProtection="0"/>
    <xf numFmtId="0" fontId="88" fillId="34" borderId="0" applyNumberFormat="0" applyBorder="0" applyAlignment="0" applyProtection="0"/>
    <xf numFmtId="0" fontId="2" fillId="34" borderId="0" applyNumberFormat="0" applyBorder="0" applyAlignment="0" applyProtection="0"/>
    <xf numFmtId="0" fontId="92" fillId="4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93" fillId="34" borderId="0" applyNumberFormat="0" applyBorder="0" applyAlignment="0" applyProtection="0"/>
    <xf numFmtId="0" fontId="88" fillId="34" borderId="0" applyNumberFormat="0" applyBorder="0" applyAlignment="0" applyProtection="0"/>
    <xf numFmtId="0" fontId="88" fillId="34" borderId="0" applyNumberFormat="0" applyBorder="0" applyAlignment="0" applyProtection="0"/>
    <xf numFmtId="0" fontId="88" fillId="34" borderId="0" applyNumberFormat="0" applyBorder="0" applyAlignment="0" applyProtection="0"/>
    <xf numFmtId="0" fontId="2" fillId="34" borderId="0" applyNumberFormat="0" applyBorder="0" applyAlignment="0" applyProtection="0"/>
    <xf numFmtId="0" fontId="88" fillId="34" borderId="0" applyNumberFormat="0" applyBorder="0" applyAlignment="0" applyProtection="0"/>
    <xf numFmtId="0" fontId="2" fillId="34" borderId="0" applyNumberFormat="0" applyBorder="0" applyAlignment="0" applyProtection="0"/>
    <xf numFmtId="0" fontId="93" fillId="34" borderId="0" applyNumberFormat="0" applyBorder="0" applyAlignment="0" applyProtection="0"/>
    <xf numFmtId="0" fontId="88" fillId="34" borderId="0" applyNumberFormat="0" applyBorder="0" applyAlignment="0" applyProtection="0"/>
    <xf numFmtId="0" fontId="88" fillId="34" borderId="0" applyNumberFormat="0" applyBorder="0" applyAlignment="0" applyProtection="0"/>
    <xf numFmtId="0" fontId="93" fillId="34" borderId="0" applyNumberFormat="0" applyBorder="0" applyAlignment="0" applyProtection="0"/>
    <xf numFmtId="0" fontId="88" fillId="34" borderId="0" applyNumberFormat="0" applyBorder="0" applyAlignment="0" applyProtection="0"/>
    <xf numFmtId="0" fontId="93" fillId="34" borderId="0" applyNumberFormat="0" applyBorder="0" applyAlignment="0" applyProtection="0"/>
    <xf numFmtId="0" fontId="88" fillId="34" borderId="0" applyNumberFormat="0" applyBorder="0" applyAlignment="0" applyProtection="0"/>
    <xf numFmtId="0" fontId="93" fillId="34" borderId="0" applyNumberFormat="0" applyBorder="0" applyAlignment="0" applyProtection="0"/>
    <xf numFmtId="0" fontId="88" fillId="34" borderId="0" applyNumberFormat="0" applyBorder="0" applyAlignment="0" applyProtection="0"/>
    <xf numFmtId="0" fontId="2" fillId="34" borderId="0" applyNumberFormat="0" applyBorder="0" applyAlignment="0" applyProtection="0"/>
    <xf numFmtId="0" fontId="88" fillId="34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92" fillId="50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2" fillId="38" borderId="0" applyNumberFormat="0" applyBorder="0" applyAlignment="0" applyProtection="0"/>
    <xf numFmtId="0" fontId="92" fillId="50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93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2" fillId="38" borderId="0" applyNumberFormat="0" applyBorder="0" applyAlignment="0" applyProtection="0"/>
    <xf numFmtId="0" fontId="88" fillId="38" borderId="0" applyNumberFormat="0" applyBorder="0" applyAlignment="0" applyProtection="0"/>
    <xf numFmtId="0" fontId="2" fillId="38" borderId="0" applyNumberFormat="0" applyBorder="0" applyAlignment="0" applyProtection="0"/>
    <xf numFmtId="0" fontId="93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93" fillId="38" borderId="0" applyNumberFormat="0" applyBorder="0" applyAlignment="0" applyProtection="0"/>
    <xf numFmtId="0" fontId="88" fillId="38" borderId="0" applyNumberFormat="0" applyBorder="0" applyAlignment="0" applyProtection="0"/>
    <xf numFmtId="0" fontId="93" fillId="38" borderId="0" applyNumberFormat="0" applyBorder="0" applyAlignment="0" applyProtection="0"/>
    <xf numFmtId="0" fontId="88" fillId="38" borderId="0" applyNumberFormat="0" applyBorder="0" applyAlignment="0" applyProtection="0"/>
    <xf numFmtId="0" fontId="93" fillId="38" borderId="0" applyNumberFormat="0" applyBorder="0" applyAlignment="0" applyProtection="0"/>
    <xf numFmtId="0" fontId="88" fillId="38" borderId="0" applyNumberFormat="0" applyBorder="0" applyAlignment="0" applyProtection="0"/>
    <xf numFmtId="0" fontId="2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92" fillId="53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2" fillId="42" borderId="0" applyNumberFormat="0" applyBorder="0" applyAlignment="0" applyProtection="0"/>
    <xf numFmtId="0" fontId="92" fillId="53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93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2" fillId="42" borderId="0" applyNumberFormat="0" applyBorder="0" applyAlignment="0" applyProtection="0"/>
    <xf numFmtId="0" fontId="88" fillId="42" borderId="0" applyNumberFormat="0" applyBorder="0" applyAlignment="0" applyProtection="0"/>
    <xf numFmtId="0" fontId="2" fillId="42" borderId="0" applyNumberFormat="0" applyBorder="0" applyAlignment="0" applyProtection="0"/>
    <xf numFmtId="0" fontId="93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93" fillId="42" borderId="0" applyNumberFormat="0" applyBorder="0" applyAlignment="0" applyProtection="0"/>
    <xf numFmtId="0" fontId="88" fillId="42" borderId="0" applyNumberFormat="0" applyBorder="0" applyAlignment="0" applyProtection="0"/>
    <xf numFmtId="0" fontId="93" fillId="42" borderId="0" applyNumberFormat="0" applyBorder="0" applyAlignment="0" applyProtection="0"/>
    <xf numFmtId="0" fontId="88" fillId="42" borderId="0" applyNumberFormat="0" applyBorder="0" applyAlignment="0" applyProtection="0"/>
    <xf numFmtId="0" fontId="93" fillId="42" borderId="0" applyNumberFormat="0" applyBorder="0" applyAlignment="0" applyProtection="0"/>
    <xf numFmtId="0" fontId="88" fillId="42" borderId="0" applyNumberFormat="0" applyBorder="0" applyAlignment="0" applyProtection="0"/>
    <xf numFmtId="0" fontId="2" fillId="42" borderId="0" applyNumberFormat="0" applyBorder="0" applyAlignment="0" applyProtection="0"/>
    <xf numFmtId="0" fontId="88" fillId="42" borderId="0" applyNumberFormat="0" applyBorder="0" applyAlignment="0" applyProtection="0"/>
    <xf numFmtId="0" fontId="94" fillId="23" borderId="0" applyNumberFormat="0" applyBorder="0" applyAlignment="0" applyProtection="0"/>
    <xf numFmtId="0" fontId="95" fillId="54" borderId="0" applyNumberFormat="0" applyBorder="0" applyAlignment="0" applyProtection="0"/>
    <xf numFmtId="0" fontId="95" fillId="54" borderId="0" applyNumberFormat="0" applyBorder="0" applyAlignment="0" applyProtection="0"/>
    <xf numFmtId="0" fontId="94" fillId="27" borderId="0" applyNumberFormat="0" applyBorder="0" applyAlignment="0" applyProtection="0"/>
    <xf numFmtId="0" fontId="95" fillId="51" borderId="0" applyNumberFormat="0" applyBorder="0" applyAlignment="0" applyProtection="0"/>
    <xf numFmtId="0" fontId="95" fillId="51" borderId="0" applyNumberFormat="0" applyBorder="0" applyAlignment="0" applyProtection="0"/>
    <xf numFmtId="0" fontId="94" fillId="31" borderId="0" applyNumberFormat="0" applyBorder="0" applyAlignment="0" applyProtection="0"/>
    <xf numFmtId="0" fontId="95" fillId="52" borderId="0" applyNumberFormat="0" applyBorder="0" applyAlignment="0" applyProtection="0"/>
    <xf numFmtId="0" fontId="95" fillId="52" borderId="0" applyNumberFormat="0" applyBorder="0" applyAlignment="0" applyProtection="0"/>
    <xf numFmtId="0" fontId="94" fillId="35" borderId="0" applyNumberFormat="0" applyBorder="0" applyAlignment="0" applyProtection="0"/>
    <xf numFmtId="0" fontId="95" fillId="55" borderId="0" applyNumberFormat="0" applyBorder="0" applyAlignment="0" applyProtection="0"/>
    <xf numFmtId="0" fontId="95" fillId="55" borderId="0" applyNumberFormat="0" applyBorder="0" applyAlignment="0" applyProtection="0"/>
    <xf numFmtId="0" fontId="94" fillId="39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4" fillId="43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2" fontId="3" fillId="0" borderId="2" applyNumberFormat="0" applyFont="0" applyFill="0" applyAlignment="0"/>
    <xf numFmtId="2" fontId="3" fillId="0" borderId="2" applyNumberFormat="0" applyFont="0" applyFill="0" applyAlignment="0"/>
    <xf numFmtId="2" fontId="3" fillId="0" borderId="2" applyNumberFormat="0" applyFont="0" applyFill="0" applyAlignment="0"/>
    <xf numFmtId="2" fontId="3" fillId="0" borderId="2" applyNumberFormat="0" applyFont="0" applyFill="0" applyAlignment="0"/>
    <xf numFmtId="2" fontId="3" fillId="0" borderId="2" applyNumberFormat="0" applyFont="0" applyFill="0" applyAlignment="0"/>
    <xf numFmtId="2" fontId="3" fillId="0" borderId="2" applyNumberFormat="0" applyFont="0" applyFill="0" applyAlignment="0"/>
    <xf numFmtId="2" fontId="3" fillId="0" borderId="2" applyNumberFormat="0" applyFont="0" applyFill="0" applyAlignment="0"/>
    <xf numFmtId="2" fontId="3" fillId="0" borderId="2" applyNumberFormat="0" applyFont="0" applyFill="0" applyAlignment="0"/>
    <xf numFmtId="2" fontId="3" fillId="0" borderId="2" applyNumberFormat="0" applyFont="0" applyFill="0" applyAlignment="0"/>
    <xf numFmtId="0" fontId="94" fillId="20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4" fillId="24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4" fillId="28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4" fillId="32" borderId="0" applyNumberFormat="0" applyBorder="0" applyAlignment="0" applyProtection="0"/>
    <xf numFmtId="0" fontId="95" fillId="55" borderId="0" applyNumberFormat="0" applyBorder="0" applyAlignment="0" applyProtection="0"/>
    <xf numFmtId="0" fontId="95" fillId="55" borderId="0" applyNumberFormat="0" applyBorder="0" applyAlignment="0" applyProtection="0"/>
    <xf numFmtId="0" fontId="94" fillId="3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4" fillId="40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6" fillId="0" borderId="2"/>
    <xf numFmtId="0" fontId="96" fillId="0" borderId="2"/>
    <xf numFmtId="0" fontId="96" fillId="0" borderId="2"/>
    <xf numFmtId="0" fontId="96" fillId="0" borderId="2"/>
    <xf numFmtId="0" fontId="96" fillId="0" borderId="2"/>
    <xf numFmtId="0" fontId="96" fillId="0" borderId="2"/>
    <xf numFmtId="0" fontId="96" fillId="0" borderId="2"/>
    <xf numFmtId="0" fontId="96" fillId="0" borderId="2"/>
    <xf numFmtId="0" fontId="96" fillId="0" borderId="2"/>
    <xf numFmtId="205" fontId="3" fillId="7" borderId="52">
      <alignment horizontal="center" vertical="center"/>
    </xf>
    <xf numFmtId="206" fontId="3" fillId="7" borderId="52">
      <alignment horizontal="center" vertical="center"/>
    </xf>
    <xf numFmtId="207" fontId="97" fillId="0" borderId="0"/>
    <xf numFmtId="166" fontId="83" fillId="62" borderId="53" applyNumberFormat="0"/>
    <xf numFmtId="0" fontId="98" fillId="14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37" fontId="83" fillId="0" borderId="54">
      <protection locked="0"/>
    </xf>
    <xf numFmtId="0" fontId="100" fillId="63" borderId="55" applyNumberFormat="0" applyFont="0" applyFill="0" applyAlignment="0"/>
    <xf numFmtId="0" fontId="101" fillId="17" borderId="45" applyNumberFormat="0" applyAlignment="0" applyProtection="0"/>
    <xf numFmtId="0" fontId="102" fillId="64" borderId="56" applyNumberFormat="0" applyAlignment="0" applyProtection="0"/>
    <xf numFmtId="0" fontId="102" fillId="64" borderId="56" applyNumberFormat="0" applyAlignment="0" applyProtection="0"/>
    <xf numFmtId="0" fontId="9" fillId="0" borderId="57"/>
    <xf numFmtId="0" fontId="9" fillId="0" borderId="57"/>
    <xf numFmtId="0" fontId="9" fillId="0" borderId="57"/>
    <xf numFmtId="0" fontId="9" fillId="0" borderId="57"/>
    <xf numFmtId="0" fontId="9" fillId="0" borderId="57"/>
    <xf numFmtId="0" fontId="9" fillId="0" borderId="57"/>
    <xf numFmtId="0" fontId="9" fillId="0" borderId="57"/>
    <xf numFmtId="0" fontId="9" fillId="0" borderId="57"/>
    <xf numFmtId="0" fontId="9" fillId="0" borderId="57"/>
    <xf numFmtId="0" fontId="103" fillId="18" borderId="48" applyNumberFormat="0" applyAlignment="0" applyProtection="0"/>
    <xf numFmtId="0" fontId="104" fillId="65" borderId="58" applyNumberFormat="0" applyAlignment="0" applyProtection="0"/>
    <xf numFmtId="0" fontId="104" fillId="65" borderId="58" applyNumberFormat="0" applyAlignment="0" applyProtection="0"/>
    <xf numFmtId="0" fontId="60" fillId="0" borderId="0" applyNumberFormat="0" applyFill="0" applyBorder="0" applyAlignment="0" applyProtection="0"/>
    <xf numFmtId="0" fontId="52" fillId="0" borderId="0" applyBorder="0"/>
    <xf numFmtId="0" fontId="52" fillId="0" borderId="0" applyBorder="0"/>
    <xf numFmtId="0" fontId="52" fillId="0" borderId="0" applyBorder="0"/>
    <xf numFmtId="0" fontId="52" fillId="0" borderId="0" applyBorder="0"/>
    <xf numFmtId="0" fontId="52" fillId="0" borderId="0" applyBorder="0"/>
    <xf numFmtId="0" fontId="105" fillId="0" borderId="0"/>
    <xf numFmtId="165" fontId="105" fillId="0" borderId="0"/>
    <xf numFmtId="0" fontId="105" fillId="0" borderId="0"/>
    <xf numFmtId="165" fontId="105" fillId="0" borderId="0"/>
    <xf numFmtId="0" fontId="105" fillId="0" borderId="0"/>
    <xf numFmtId="165" fontId="105" fillId="0" borderId="0"/>
    <xf numFmtId="0" fontId="105" fillId="0" borderId="0"/>
    <xf numFmtId="165" fontId="105" fillId="0" borderId="0"/>
    <xf numFmtId="0" fontId="105" fillId="0" borderId="0"/>
    <xf numFmtId="165" fontId="105" fillId="0" borderId="0"/>
    <xf numFmtId="0" fontId="105" fillId="0" borderId="0"/>
    <xf numFmtId="165" fontId="105" fillId="0" borderId="0"/>
    <xf numFmtId="0" fontId="105" fillId="0" borderId="0"/>
    <xf numFmtId="165" fontId="105" fillId="0" borderId="0"/>
    <xf numFmtId="0" fontId="105" fillId="0" borderId="0"/>
    <xf numFmtId="165" fontId="105" fillId="0" borderId="0"/>
    <xf numFmtId="41" fontId="3" fillId="0" borderId="0" applyFont="0" applyFill="0" applyBorder="0" applyAlignment="0" applyProtection="0"/>
    <xf numFmtId="40" fontId="3" fillId="0" borderId="0" applyBorder="0" applyProtection="0"/>
    <xf numFmtId="40" fontId="3" fillId="0" borderId="0" applyBorder="0" applyProtection="0"/>
    <xf numFmtId="40" fontId="3" fillId="0" borderId="0" applyBorder="0" applyProtection="0"/>
    <xf numFmtId="40" fontId="3" fillId="0" borderId="0" applyBorder="0" applyProtection="0"/>
    <xf numFmtId="40" fontId="3" fillId="0" borderId="0" applyBorder="0" applyProtection="0"/>
    <xf numFmtId="37" fontId="56" fillId="0" borderId="0"/>
    <xf numFmtId="43" fontId="3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8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wrapText="1"/>
    </xf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3" fillId="0" borderId="0" applyFont="0" applyFill="0" applyBorder="0" applyAlignment="0" applyProtection="0">
      <alignment wrapText="1"/>
    </xf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3" fillId="0" borderId="0" applyFont="0" applyFill="0" applyBorder="0" applyAlignment="0" applyProtection="0">
      <alignment wrapText="1"/>
    </xf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10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88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88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4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3" fillId="0" borderId="0" applyFont="0" applyFill="0" applyBorder="0" applyAlignment="0" applyProtection="0">
      <alignment wrapText="1"/>
    </xf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4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wrapText="1"/>
    </xf>
    <xf numFmtId="43" fontId="88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3" fontId="107" fillId="0" borderId="0" applyFont="0" applyFill="0" applyBorder="0" applyAlignment="0" applyProtection="0"/>
    <xf numFmtId="3" fontId="107" fillId="0" borderId="0" applyFont="0" applyFill="0" applyBorder="0" applyAlignment="0" applyProtection="0"/>
    <xf numFmtId="3" fontId="3" fillId="0" borderId="0" applyFont="0" applyFill="0" applyBorder="0" applyAlignment="0" applyProtection="0"/>
    <xf numFmtId="208" fontId="3" fillId="0" borderId="0"/>
    <xf numFmtId="37" fontId="83" fillId="64" borderId="40"/>
    <xf numFmtId="37" fontId="83" fillId="64" borderId="40"/>
    <xf numFmtId="37" fontId="83" fillId="64" borderId="40"/>
    <xf numFmtId="37" fontId="83" fillId="64" borderId="40"/>
    <xf numFmtId="37" fontId="83" fillId="64" borderId="40"/>
    <xf numFmtId="37" fontId="83" fillId="64" borderId="40"/>
    <xf numFmtId="37" fontId="83" fillId="64" borderId="40"/>
    <xf numFmtId="37" fontId="83" fillId="64" borderId="40"/>
    <xf numFmtId="37" fontId="83" fillId="64" borderId="40"/>
    <xf numFmtId="37" fontId="83" fillId="64" borderId="40"/>
    <xf numFmtId="0" fontId="18" fillId="0" borderId="0">
      <alignment horizontal="left" vertical="center" indent="1"/>
    </xf>
    <xf numFmtId="44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3" fillId="0" borderId="0" applyFont="0" applyFill="0" applyBorder="0" applyAlignment="0" applyProtection="0"/>
    <xf numFmtId="184" fontId="107" fillId="0" borderId="0" applyFont="0" applyFill="0" applyBorder="0" applyAlignment="0" applyProtection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0" fontId="3" fillId="0" borderId="0" applyFont="0" applyFill="0" applyBorder="0" applyAlignment="0" applyProtection="0"/>
    <xf numFmtId="43" fontId="3" fillId="0" borderId="0" applyBorder="0"/>
    <xf numFmtId="0" fontId="107" fillId="0" borderId="0" applyFont="0" applyFill="0" applyBorder="0" applyAlignment="0" applyProtection="0"/>
    <xf numFmtId="6" fontId="108" fillId="0" borderId="0">
      <protection locked="0"/>
    </xf>
    <xf numFmtId="209" fontId="109" fillId="0" borderId="0">
      <protection locked="0"/>
    </xf>
    <xf numFmtId="210" fontId="110" fillId="0" borderId="0">
      <alignment horizontal="left"/>
    </xf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0" fontId="25" fillId="6" borderId="0">
      <alignment horizontal="left"/>
    </xf>
    <xf numFmtId="37" fontId="83" fillId="0" borderId="0"/>
    <xf numFmtId="213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111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215" fontId="3" fillId="0" borderId="0"/>
    <xf numFmtId="215" fontId="3" fillId="0" borderId="0"/>
    <xf numFmtId="3" fontId="9" fillId="6" borderId="59">
      <protection locked="0"/>
    </xf>
    <xf numFmtId="2" fontId="107" fillId="0" borderId="0" applyFont="0" applyFill="0" applyBorder="0" applyAlignment="0" applyProtection="0"/>
    <xf numFmtId="216" fontId="3" fillId="0" borderId="0">
      <protection locked="0"/>
    </xf>
    <xf numFmtId="209" fontId="109" fillId="0" borderId="0">
      <protection locked="0"/>
    </xf>
    <xf numFmtId="0" fontId="113" fillId="66" borderId="57"/>
    <xf numFmtId="0" fontId="113" fillId="66" borderId="57"/>
    <xf numFmtId="0" fontId="113" fillId="66" borderId="57"/>
    <xf numFmtId="0" fontId="113" fillId="66" borderId="57"/>
    <xf numFmtId="0" fontId="113" fillId="66" borderId="57"/>
    <xf numFmtId="0" fontId="113" fillId="66" borderId="57"/>
    <xf numFmtId="0" fontId="113" fillId="66" borderId="57"/>
    <xf numFmtId="0" fontId="113" fillId="66" borderId="57"/>
    <xf numFmtId="0" fontId="113" fillId="66" borderId="57"/>
    <xf numFmtId="0" fontId="114" fillId="13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38" fontId="52" fillId="6" borderId="0" applyNumberFormat="0" applyBorder="0" applyAlignment="0" applyProtection="0"/>
    <xf numFmtId="38" fontId="52" fillId="6" borderId="0" applyNumberFormat="0" applyBorder="0" applyAlignment="0" applyProtection="0"/>
    <xf numFmtId="38" fontId="52" fillId="6" borderId="0" applyNumberFormat="0" applyBorder="0" applyAlignment="0" applyProtection="0"/>
    <xf numFmtId="38" fontId="52" fillId="6" borderId="0" applyNumberFormat="0" applyBorder="0" applyAlignment="0" applyProtection="0"/>
    <xf numFmtId="38" fontId="52" fillId="6" borderId="0" applyNumberFormat="0" applyBorder="0" applyAlignment="0" applyProtection="0"/>
    <xf numFmtId="0" fontId="116" fillId="0" borderId="0" applyNumberFormat="0" applyFill="0" applyBorder="0" applyAlignment="0" applyProtection="0"/>
    <xf numFmtId="0" fontId="38" fillId="0" borderId="28" applyNumberFormat="0" applyAlignment="0" applyProtection="0">
      <alignment horizontal="left" vertical="center"/>
    </xf>
    <xf numFmtId="0" fontId="38" fillId="0" borderId="2">
      <alignment horizontal="left" vertical="center"/>
    </xf>
    <xf numFmtId="0" fontId="38" fillId="0" borderId="2">
      <alignment horizontal="left" vertical="center"/>
    </xf>
    <xf numFmtId="0" fontId="38" fillId="0" borderId="2">
      <alignment horizontal="left" vertical="center"/>
    </xf>
    <xf numFmtId="0" fontId="38" fillId="0" borderId="2">
      <alignment horizontal="left" vertical="center"/>
    </xf>
    <xf numFmtId="0" fontId="38" fillId="0" borderId="2">
      <alignment horizontal="left" vertical="center"/>
    </xf>
    <xf numFmtId="0" fontId="38" fillId="0" borderId="2">
      <alignment horizontal="left" vertical="center"/>
    </xf>
    <xf numFmtId="0" fontId="38" fillId="0" borderId="2">
      <alignment horizontal="left" vertical="center"/>
    </xf>
    <xf numFmtId="0" fontId="38" fillId="0" borderId="2">
      <alignment horizontal="left" vertical="center"/>
    </xf>
    <xf numFmtId="0" fontId="38" fillId="0" borderId="2">
      <alignment horizontal="left" vertical="center"/>
    </xf>
    <xf numFmtId="0" fontId="117" fillId="0" borderId="0">
      <alignment horizontal="centerContinuous"/>
    </xf>
    <xf numFmtId="0" fontId="118" fillId="0" borderId="42" applyNumberFormat="0" applyFill="0" applyAlignment="0" applyProtection="0"/>
    <xf numFmtId="0" fontId="119" fillId="0" borderId="60" applyNumberFormat="0" applyFill="0" applyAlignment="0" applyProtection="0"/>
    <xf numFmtId="209" fontId="109" fillId="0" borderId="0">
      <protection locked="0"/>
    </xf>
    <xf numFmtId="209" fontId="109" fillId="0" borderId="0">
      <protection locked="0"/>
    </xf>
    <xf numFmtId="0" fontId="119" fillId="0" borderId="60" applyNumberFormat="0" applyFill="0" applyAlignment="0" applyProtection="0"/>
    <xf numFmtId="0" fontId="120" fillId="0" borderId="43" applyNumberFormat="0" applyFill="0" applyAlignment="0" applyProtection="0"/>
    <xf numFmtId="0" fontId="121" fillId="0" borderId="61" applyNumberFormat="0" applyFill="0" applyAlignment="0" applyProtection="0"/>
    <xf numFmtId="209" fontId="109" fillId="0" borderId="0">
      <protection locked="0"/>
    </xf>
    <xf numFmtId="209" fontId="109" fillId="0" borderId="0">
      <protection locked="0"/>
    </xf>
    <xf numFmtId="0" fontId="121" fillId="0" borderId="61" applyNumberFormat="0" applyFill="0" applyAlignment="0" applyProtection="0"/>
    <xf numFmtId="0" fontId="122" fillId="0" borderId="44" applyNumberFormat="0" applyFill="0" applyAlignment="0" applyProtection="0"/>
    <xf numFmtId="0" fontId="123" fillId="0" borderId="62" applyNumberFormat="0" applyFill="0" applyAlignment="0" applyProtection="0"/>
    <xf numFmtId="0" fontId="123" fillId="0" borderId="62" applyNumberFormat="0" applyFill="0" applyAlignment="0" applyProtection="0"/>
    <xf numFmtId="0" fontId="1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217" fontId="3" fillId="0" borderId="0">
      <protection locked="0"/>
    </xf>
    <xf numFmtId="217" fontId="3" fillId="0" borderId="0">
      <protection locked="0"/>
    </xf>
    <xf numFmtId="0" fontId="124" fillId="0" borderId="0"/>
    <xf numFmtId="0" fontId="125" fillId="6" borderId="0"/>
    <xf numFmtId="0" fontId="53" fillId="0" borderId="63" applyNumberFormat="0" applyFill="0" applyAlignment="0" applyProtection="0"/>
    <xf numFmtId="0" fontId="9" fillId="67" borderId="54"/>
    <xf numFmtId="0" fontId="9" fillId="68" borderId="57"/>
    <xf numFmtId="0" fontId="9" fillId="68" borderId="57"/>
    <xf numFmtId="0" fontId="9" fillId="68" borderId="57"/>
    <xf numFmtId="0" fontId="9" fillId="68" borderId="57"/>
    <xf numFmtId="0" fontId="9" fillId="68" borderId="57"/>
    <xf numFmtId="0" fontId="9" fillId="68" borderId="57"/>
    <xf numFmtId="0" fontId="9" fillId="68" borderId="57"/>
    <xf numFmtId="0" fontId="9" fillId="68" borderId="57"/>
    <xf numFmtId="0" fontId="9" fillId="68" borderId="57"/>
    <xf numFmtId="0" fontId="9" fillId="66" borderId="57"/>
    <xf numFmtId="0" fontId="9" fillId="66" borderId="57"/>
    <xf numFmtId="0" fontId="9" fillId="66" borderId="57"/>
    <xf numFmtId="0" fontId="9" fillId="66" borderId="57"/>
    <xf numFmtId="0" fontId="9" fillId="66" borderId="57"/>
    <xf numFmtId="0" fontId="9" fillId="66" borderId="57"/>
    <xf numFmtId="0" fontId="9" fillId="66" borderId="57"/>
    <xf numFmtId="0" fontId="9" fillId="66" borderId="57"/>
    <xf numFmtId="0" fontId="9" fillId="66" borderId="57"/>
    <xf numFmtId="0" fontId="34" fillId="3" borderId="0"/>
    <xf numFmtId="218" fontId="126" fillId="69" borderId="64" applyAlignment="0"/>
    <xf numFmtId="10" fontId="52" fillId="70" borderId="65" applyNumberFormat="0" applyBorder="0" applyAlignment="0" applyProtection="0"/>
    <xf numFmtId="10" fontId="52" fillId="70" borderId="65" applyNumberFormat="0" applyBorder="0" applyAlignment="0" applyProtection="0"/>
    <xf numFmtId="10" fontId="52" fillId="70" borderId="65" applyNumberFormat="0" applyBorder="0" applyAlignment="0" applyProtection="0"/>
    <xf numFmtId="10" fontId="52" fillId="70" borderId="65" applyNumberFormat="0" applyBorder="0" applyAlignment="0" applyProtection="0"/>
    <xf numFmtId="10" fontId="52" fillId="70" borderId="65" applyNumberFormat="0" applyBorder="0" applyAlignment="0" applyProtection="0"/>
    <xf numFmtId="10" fontId="52" fillId="70" borderId="65" applyNumberFormat="0" applyBorder="0" applyAlignment="0" applyProtection="0"/>
    <xf numFmtId="10" fontId="52" fillId="70" borderId="65" applyNumberFormat="0" applyBorder="0" applyAlignment="0" applyProtection="0"/>
    <xf numFmtId="10" fontId="52" fillId="70" borderId="65" applyNumberFormat="0" applyBorder="0" applyAlignment="0" applyProtection="0"/>
    <xf numFmtId="10" fontId="52" fillId="70" borderId="65" applyNumberFormat="0" applyBorder="0" applyAlignment="0" applyProtection="0"/>
    <xf numFmtId="10" fontId="52" fillId="70" borderId="65" applyNumberFormat="0" applyBorder="0" applyAlignment="0" applyProtection="0"/>
    <xf numFmtId="10" fontId="52" fillId="70" borderId="65" applyNumberFormat="0" applyBorder="0" applyAlignment="0" applyProtection="0"/>
    <xf numFmtId="10" fontId="52" fillId="70" borderId="65" applyNumberFormat="0" applyBorder="0" applyAlignment="0" applyProtection="0"/>
    <xf numFmtId="10" fontId="52" fillId="70" borderId="65" applyNumberFormat="0" applyBorder="0" applyAlignment="0" applyProtection="0"/>
    <xf numFmtId="10" fontId="52" fillId="70" borderId="65" applyNumberFormat="0" applyBorder="0" applyAlignment="0" applyProtection="0"/>
    <xf numFmtId="0" fontId="127" fillId="16" borderId="45" applyNumberFormat="0" applyAlignment="0" applyProtection="0"/>
    <xf numFmtId="0" fontId="127" fillId="16" borderId="45" applyNumberFormat="0" applyAlignment="0" applyProtection="0"/>
    <xf numFmtId="0" fontId="127" fillId="16" borderId="45" applyNumberFormat="0" applyAlignment="0" applyProtection="0"/>
    <xf numFmtId="0" fontId="127" fillId="16" borderId="45" applyNumberFormat="0" applyAlignment="0" applyProtection="0"/>
    <xf numFmtId="0" fontId="127" fillId="16" borderId="45" applyNumberFormat="0" applyAlignment="0" applyProtection="0"/>
    <xf numFmtId="0" fontId="127" fillId="16" borderId="45" applyNumberFormat="0" applyAlignment="0" applyProtection="0"/>
    <xf numFmtId="0" fontId="127" fillId="16" borderId="45" applyNumberFormat="0" applyAlignment="0" applyProtection="0"/>
    <xf numFmtId="0" fontId="127" fillId="16" borderId="45" applyNumberFormat="0" applyAlignment="0" applyProtection="0"/>
    <xf numFmtId="0" fontId="127" fillId="16" borderId="45" applyNumberFormat="0" applyAlignment="0" applyProtection="0"/>
    <xf numFmtId="0" fontId="127" fillId="16" borderId="45" applyNumberFormat="0" applyAlignment="0" applyProtection="0"/>
    <xf numFmtId="0" fontId="127" fillId="16" borderId="45" applyNumberFormat="0" applyAlignment="0" applyProtection="0"/>
    <xf numFmtId="0" fontId="128" fillId="49" borderId="56" applyNumberFormat="0" applyAlignment="0" applyProtection="0"/>
    <xf numFmtId="0" fontId="127" fillId="16" borderId="45" applyNumberFormat="0" applyAlignment="0" applyProtection="0"/>
    <xf numFmtId="0" fontId="127" fillId="16" borderId="45" applyNumberFormat="0" applyAlignment="0" applyProtection="0"/>
    <xf numFmtId="0" fontId="127" fillId="16" borderId="45" applyNumberFormat="0" applyAlignment="0" applyProtection="0"/>
    <xf numFmtId="0" fontId="129" fillId="16" borderId="45" applyNumberFormat="0" applyAlignment="0" applyProtection="0"/>
    <xf numFmtId="0" fontId="128" fillId="49" borderId="56" applyNumberFormat="0" applyAlignment="0" applyProtection="0"/>
    <xf numFmtId="0" fontId="129" fillId="16" borderId="45" applyNumberFormat="0" applyAlignment="0" applyProtection="0"/>
    <xf numFmtId="0" fontId="127" fillId="16" borderId="45" applyNumberFormat="0" applyAlignment="0" applyProtection="0"/>
    <xf numFmtId="0" fontId="129" fillId="16" borderId="45" applyNumberFormat="0" applyAlignment="0" applyProtection="0"/>
    <xf numFmtId="0" fontId="127" fillId="16" borderId="45" applyNumberFormat="0" applyAlignment="0" applyProtection="0"/>
    <xf numFmtId="0" fontId="129" fillId="16" borderId="45" applyNumberFormat="0" applyAlignment="0" applyProtection="0"/>
    <xf numFmtId="0" fontId="127" fillId="16" borderId="45" applyNumberFormat="0" applyAlignment="0" applyProtection="0"/>
    <xf numFmtId="0" fontId="127" fillId="16" borderId="45" applyNumberFormat="0" applyAlignment="0" applyProtection="0"/>
    <xf numFmtId="0" fontId="127" fillId="16" borderId="45" applyNumberFormat="0" applyAlignment="0" applyProtection="0"/>
    <xf numFmtId="0" fontId="127" fillId="16" borderId="45" applyNumberFormat="0" applyAlignment="0" applyProtection="0"/>
    <xf numFmtId="10" fontId="130" fillId="0" borderId="66" applyFont="0" applyAlignment="0">
      <protection locked="0"/>
    </xf>
    <xf numFmtId="10" fontId="130" fillId="0" borderId="66" applyFont="0" applyAlignment="0">
      <protection locked="0"/>
    </xf>
    <xf numFmtId="10" fontId="130" fillId="0" borderId="66" applyFont="0" applyAlignment="0">
      <protection locked="0"/>
    </xf>
    <xf numFmtId="10" fontId="130" fillId="0" borderId="66" applyFont="0" applyAlignment="0">
      <protection locked="0"/>
    </xf>
    <xf numFmtId="10" fontId="130" fillId="0" borderId="66" applyFont="0" applyAlignment="0">
      <protection locked="0"/>
    </xf>
    <xf numFmtId="10" fontId="130" fillId="0" borderId="66" applyFont="0" applyAlignment="0">
      <protection locked="0"/>
    </xf>
    <xf numFmtId="10" fontId="130" fillId="0" borderId="66" applyFont="0" applyAlignment="0">
      <protection locked="0"/>
    </xf>
    <xf numFmtId="10" fontId="130" fillId="0" borderId="66" applyFont="0" applyAlignment="0">
      <protection locked="0"/>
    </xf>
    <xf numFmtId="10" fontId="130" fillId="0" borderId="66" applyFont="0" applyAlignment="0">
      <protection locked="0"/>
    </xf>
    <xf numFmtId="38" fontId="131" fillId="69" borderId="67" applyNumberFormat="0" applyFont="0" applyBorder="0" applyAlignment="0" applyProtection="0"/>
    <xf numFmtId="175" fontId="132" fillId="71" borderId="68" applyNumberFormat="0" applyBorder="0" applyAlignment="0" applyProtection="0"/>
    <xf numFmtId="175" fontId="132" fillId="71" borderId="68" applyNumberFormat="0" applyBorder="0" applyAlignment="0" applyProtection="0"/>
    <xf numFmtId="175" fontId="133" fillId="71" borderId="68" applyNumberFormat="0" applyBorder="0" applyAlignment="0" applyProtection="0"/>
    <xf numFmtId="0" fontId="134" fillId="72" borderId="0" applyNumberFormat="0"/>
    <xf numFmtId="0" fontId="52" fillId="6" borderId="0"/>
    <xf numFmtId="0" fontId="135" fillId="0" borderId="47" applyNumberFormat="0" applyFill="0" applyAlignment="0" applyProtection="0"/>
    <xf numFmtId="0" fontId="136" fillId="0" borderId="69" applyNumberFormat="0" applyFill="0" applyAlignment="0" applyProtection="0"/>
    <xf numFmtId="0" fontId="136" fillId="0" borderId="69" applyNumberFormat="0" applyFill="0" applyAlignment="0" applyProtection="0"/>
    <xf numFmtId="167" fontId="137" fillId="6" borderId="54" applyNumberFormat="0"/>
    <xf numFmtId="0" fontId="138" fillId="7" borderId="70"/>
    <xf numFmtId="0" fontId="138" fillId="7" borderId="70"/>
    <xf numFmtId="0" fontId="138" fillId="7" borderId="70"/>
    <xf numFmtId="0" fontId="138" fillId="7" borderId="70"/>
    <xf numFmtId="0" fontId="138" fillId="7" borderId="70"/>
    <xf numFmtId="0" fontId="138" fillId="7" borderId="70"/>
    <xf numFmtId="0" fontId="138" fillId="7" borderId="70"/>
    <xf numFmtId="0" fontId="138" fillId="7" borderId="70"/>
    <xf numFmtId="0" fontId="138" fillId="7" borderId="70"/>
    <xf numFmtId="0" fontId="131" fillId="0" borderId="57"/>
    <xf numFmtId="0" fontId="131" fillId="0" borderId="57"/>
    <xf numFmtId="0" fontId="131" fillId="0" borderId="57"/>
    <xf numFmtId="0" fontId="131" fillId="0" borderId="57"/>
    <xf numFmtId="0" fontId="131" fillId="0" borderId="57"/>
    <xf numFmtId="0" fontId="131" fillId="0" borderId="57"/>
    <xf numFmtId="0" fontId="131" fillId="0" borderId="57"/>
    <xf numFmtId="0" fontId="131" fillId="0" borderId="57"/>
    <xf numFmtId="0" fontId="131" fillId="0" borderId="57"/>
    <xf numFmtId="219" fontId="3" fillId="0" borderId="0" applyFont="0" applyFill="0" applyBorder="0" applyAlignment="0" applyProtection="0"/>
    <xf numFmtId="0" fontId="9" fillId="69" borderId="64"/>
    <xf numFmtId="37" fontId="139" fillId="0" borderId="71"/>
    <xf numFmtId="42" fontId="3" fillId="0" borderId="0" applyFont="0" applyFill="0" applyBorder="0" applyAlignment="0" applyProtection="0"/>
    <xf numFmtId="220" fontId="3" fillId="0" borderId="0" applyFont="0" applyFill="0" applyBorder="0" applyAlignment="0" applyProtection="0"/>
    <xf numFmtId="38" fontId="140" fillId="0" borderId="0"/>
    <xf numFmtId="0" fontId="141" fillId="15" borderId="0" applyNumberFormat="0" applyBorder="0" applyAlignment="0" applyProtection="0"/>
    <xf numFmtId="0" fontId="142" fillId="73" borderId="0" applyNumberFormat="0" applyBorder="0" applyAlignment="0" applyProtection="0"/>
    <xf numFmtId="0" fontId="142" fillId="73" borderId="0" applyNumberFormat="0" applyBorder="0" applyAlignment="0" applyProtection="0"/>
    <xf numFmtId="37" fontId="143" fillId="0" borderId="0"/>
    <xf numFmtId="178" fontId="144" fillId="0" borderId="0"/>
    <xf numFmtId="0" fontId="7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4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145" fillId="0" borderId="0"/>
    <xf numFmtId="0" fontId="88" fillId="0" borderId="0"/>
    <xf numFmtId="0" fontId="8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0"/>
    <xf numFmtId="0" fontId="7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7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56" fillId="0" borderId="0">
      <alignment vertical="top"/>
    </xf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7" fillId="0" borderId="0"/>
    <xf numFmtId="0" fontId="3" fillId="0" borderId="0"/>
    <xf numFmtId="37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88" fillId="0" borderId="0"/>
    <xf numFmtId="0" fontId="56" fillId="0" borderId="0">
      <alignment vertical="top"/>
    </xf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3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56" fillId="0" borderId="0">
      <alignment vertical="top"/>
    </xf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56" fillId="0" borderId="0">
      <alignment vertical="top"/>
    </xf>
    <xf numFmtId="0" fontId="2" fillId="0" borderId="0"/>
    <xf numFmtId="0" fontId="3" fillId="0" borderId="0"/>
    <xf numFmtId="0" fontId="3" fillId="0" borderId="0"/>
    <xf numFmtId="0" fontId="56" fillId="0" borderId="0">
      <alignment vertical="top"/>
    </xf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0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88" fillId="0" borderId="0"/>
    <xf numFmtId="0" fontId="3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3" fillId="0" borderId="0"/>
    <xf numFmtId="0" fontId="56" fillId="0" borderId="0">
      <alignment vertical="top"/>
    </xf>
    <xf numFmtId="0" fontId="3" fillId="0" borderId="0"/>
    <xf numFmtId="0" fontId="3" fillId="0" borderId="0"/>
    <xf numFmtId="0" fontId="56" fillId="0" borderId="0">
      <alignment vertical="top"/>
    </xf>
    <xf numFmtId="0" fontId="3" fillId="0" borderId="0"/>
    <xf numFmtId="0" fontId="3" fillId="0" borderId="0"/>
    <xf numFmtId="0" fontId="56" fillId="0" borderId="0">
      <alignment vertical="top"/>
    </xf>
    <xf numFmtId="0" fontId="3" fillId="0" borderId="0"/>
    <xf numFmtId="0" fontId="3" fillId="0" borderId="0"/>
    <xf numFmtId="0" fontId="3" fillId="0" borderId="0"/>
    <xf numFmtId="0" fontId="88" fillId="0" borderId="0"/>
    <xf numFmtId="0" fontId="88" fillId="0" borderId="0"/>
    <xf numFmtId="0" fontId="56" fillId="0" borderId="0">
      <alignment vertical="top"/>
    </xf>
    <xf numFmtId="0" fontId="3" fillId="0" borderId="0"/>
    <xf numFmtId="0" fontId="3" fillId="0" borderId="0"/>
    <xf numFmtId="0" fontId="56" fillId="0" borderId="0">
      <alignment vertical="top"/>
    </xf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88" fillId="0" borderId="0"/>
    <xf numFmtId="0" fontId="88" fillId="0" borderId="0"/>
    <xf numFmtId="0" fontId="3" fillId="0" borderId="0"/>
    <xf numFmtId="0" fontId="56" fillId="0" borderId="0">
      <alignment vertical="top"/>
    </xf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88" fillId="0" borderId="0"/>
    <xf numFmtId="0" fontId="88" fillId="0" borderId="0"/>
    <xf numFmtId="0" fontId="3" fillId="0" borderId="0"/>
    <xf numFmtId="0" fontId="56" fillId="0" borderId="0">
      <alignment vertical="top"/>
    </xf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88" fillId="0" borderId="0"/>
    <xf numFmtId="0" fontId="88" fillId="0" borderId="0"/>
    <xf numFmtId="0" fontId="3" fillId="0" borderId="0"/>
    <xf numFmtId="0" fontId="56" fillId="0" borderId="0">
      <alignment vertical="top"/>
    </xf>
    <xf numFmtId="0" fontId="3" fillId="0" borderId="0"/>
    <xf numFmtId="0" fontId="3" fillId="0" borderId="0"/>
    <xf numFmtId="0" fontId="56" fillId="0" borderId="0">
      <alignment vertical="top"/>
    </xf>
    <xf numFmtId="0" fontId="3" fillId="0" borderId="0"/>
    <xf numFmtId="0" fontId="3" fillId="0" borderId="0"/>
    <xf numFmtId="0" fontId="56" fillId="0" borderId="0">
      <alignment vertical="top"/>
    </xf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146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146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3" fillId="0" borderId="0"/>
    <xf numFmtId="0" fontId="56" fillId="0" borderId="0">
      <alignment vertical="top"/>
    </xf>
    <xf numFmtId="0" fontId="3" fillId="0" borderId="0"/>
    <xf numFmtId="0" fontId="3" fillId="0" borderId="0"/>
    <xf numFmtId="0" fontId="56" fillId="0" borderId="0">
      <alignment vertical="top"/>
    </xf>
    <xf numFmtId="0" fontId="3" fillId="0" borderId="0"/>
    <xf numFmtId="0" fontId="3" fillId="0" borderId="0"/>
    <xf numFmtId="0" fontId="56" fillId="0" borderId="0">
      <alignment vertical="top"/>
    </xf>
    <xf numFmtId="0" fontId="3" fillId="0" borderId="0"/>
    <xf numFmtId="0" fontId="3" fillId="0" borderId="0"/>
    <xf numFmtId="0" fontId="56" fillId="0" borderId="0">
      <alignment vertical="top"/>
    </xf>
    <xf numFmtId="0" fontId="3" fillId="0" borderId="0"/>
    <xf numFmtId="0" fontId="3" fillId="0" borderId="0"/>
    <xf numFmtId="0" fontId="56" fillId="0" borderId="0">
      <alignment vertical="top"/>
    </xf>
    <xf numFmtId="0" fontId="3" fillId="0" borderId="0"/>
    <xf numFmtId="0" fontId="3" fillId="0" borderId="0"/>
    <xf numFmtId="0" fontId="93" fillId="0" borderId="0"/>
    <xf numFmtId="0" fontId="56" fillId="0" borderId="0">
      <alignment vertical="top"/>
    </xf>
    <xf numFmtId="0" fontId="3" fillId="0" borderId="0"/>
    <xf numFmtId="0" fontId="3" fillId="0" borderId="0"/>
    <xf numFmtId="0" fontId="56" fillId="0" borderId="0">
      <alignment vertical="top"/>
    </xf>
    <xf numFmtId="0" fontId="3" fillId="0" borderId="0"/>
    <xf numFmtId="0" fontId="3" fillId="0" borderId="0"/>
    <xf numFmtId="0" fontId="56" fillId="0" borderId="0">
      <alignment vertical="top"/>
    </xf>
    <xf numFmtId="0" fontId="3" fillId="0" borderId="0"/>
    <xf numFmtId="0" fontId="3" fillId="0" borderId="0"/>
    <xf numFmtId="0" fontId="56" fillId="0" borderId="0">
      <alignment vertical="top"/>
    </xf>
    <xf numFmtId="0" fontId="3" fillId="0" borderId="0"/>
    <xf numFmtId="0" fontId="56" fillId="0" borderId="0">
      <alignment vertical="top"/>
    </xf>
    <xf numFmtId="0" fontId="7" fillId="0" borderId="0"/>
    <xf numFmtId="0" fontId="3" fillId="0" borderId="0"/>
    <xf numFmtId="0" fontId="107" fillId="0" borderId="0"/>
    <xf numFmtId="0" fontId="107" fillId="0" borderId="0"/>
    <xf numFmtId="0" fontId="3" fillId="0" borderId="0">
      <alignment wrapText="1"/>
    </xf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107" fillId="0" borderId="0"/>
    <xf numFmtId="0" fontId="3" fillId="0" borderId="0">
      <alignment wrapText="1"/>
    </xf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>
      <alignment wrapText="1"/>
    </xf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>
      <alignment wrapText="1"/>
    </xf>
    <xf numFmtId="181" fontId="9" fillId="0" borderId="0"/>
    <xf numFmtId="198" fontId="7" fillId="0" borderId="0"/>
    <xf numFmtId="0" fontId="56" fillId="0" borderId="0">
      <alignment vertical="top"/>
    </xf>
    <xf numFmtId="0" fontId="3" fillId="0" borderId="0"/>
    <xf numFmtId="0" fontId="56" fillId="0" borderId="0">
      <alignment vertical="top"/>
    </xf>
    <xf numFmtId="0" fontId="3" fillId="0" borderId="0"/>
    <xf numFmtId="0" fontId="56" fillId="0" borderId="0">
      <alignment vertical="top"/>
    </xf>
    <xf numFmtId="0" fontId="3" fillId="0" borderId="0"/>
    <xf numFmtId="0" fontId="56" fillId="0" borderId="0">
      <alignment vertical="top"/>
    </xf>
    <xf numFmtId="0" fontId="3" fillId="0" borderId="0"/>
    <xf numFmtId="0" fontId="56" fillId="0" borderId="0">
      <alignment vertical="top"/>
    </xf>
    <xf numFmtId="0" fontId="3" fillId="0" borderId="0"/>
    <xf numFmtId="0" fontId="56" fillId="0" borderId="0">
      <alignment vertical="top"/>
    </xf>
    <xf numFmtId="0" fontId="3" fillId="0" borderId="0"/>
    <xf numFmtId="0" fontId="56" fillId="0" borderId="0">
      <alignment vertical="top"/>
    </xf>
    <xf numFmtId="0" fontId="3" fillId="0" borderId="0"/>
    <xf numFmtId="0" fontId="56" fillId="0" borderId="0">
      <alignment vertical="top"/>
    </xf>
    <xf numFmtId="0" fontId="3" fillId="0" borderId="0"/>
    <xf numFmtId="0" fontId="3" fillId="0" borderId="0"/>
    <xf numFmtId="0" fontId="56" fillId="0" borderId="0">
      <alignment vertical="top"/>
    </xf>
    <xf numFmtId="0" fontId="3" fillId="0" borderId="0"/>
    <xf numFmtId="0" fontId="56" fillId="0" borderId="0">
      <alignment vertical="top"/>
    </xf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4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56" fillId="0" borderId="0">
      <alignment vertical="top"/>
    </xf>
    <xf numFmtId="0" fontId="3" fillId="0" borderId="0"/>
    <xf numFmtId="0" fontId="56" fillId="0" borderId="0">
      <alignment vertical="top"/>
    </xf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56" fillId="0" borderId="0">
      <alignment vertical="top"/>
    </xf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56" fillId="0" borderId="0">
      <alignment vertical="top"/>
    </xf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56" fillId="0" borderId="0">
      <alignment vertical="top"/>
    </xf>
    <xf numFmtId="0" fontId="3" fillId="0" borderId="0"/>
    <xf numFmtId="0" fontId="93" fillId="0" borderId="0"/>
    <xf numFmtId="0" fontId="56" fillId="0" borderId="0">
      <alignment vertical="top"/>
    </xf>
    <xf numFmtId="0" fontId="3" fillId="0" borderId="0"/>
    <xf numFmtId="0" fontId="93" fillId="0" borderId="0"/>
    <xf numFmtId="0" fontId="56" fillId="0" borderId="0">
      <alignment vertical="top"/>
    </xf>
    <xf numFmtId="0" fontId="3" fillId="0" borderId="0"/>
    <xf numFmtId="0" fontId="93" fillId="0" borderId="0"/>
    <xf numFmtId="0" fontId="56" fillId="0" borderId="0">
      <alignment vertical="top"/>
    </xf>
    <xf numFmtId="0" fontId="147" fillId="0" borderId="0"/>
    <xf numFmtId="0" fontId="3" fillId="0" borderId="0"/>
    <xf numFmtId="0" fontId="93" fillId="0" borderId="0"/>
    <xf numFmtId="0" fontId="56" fillId="0" borderId="0">
      <alignment vertical="top"/>
    </xf>
    <xf numFmtId="0" fontId="147" fillId="0" borderId="0"/>
    <xf numFmtId="0" fontId="88" fillId="0" borderId="0"/>
    <xf numFmtId="0" fontId="3" fillId="0" borderId="0"/>
    <xf numFmtId="0" fontId="88" fillId="0" borderId="0"/>
    <xf numFmtId="0" fontId="147" fillId="0" borderId="0"/>
    <xf numFmtId="0" fontId="70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56" fillId="0" borderId="0">
      <alignment vertical="top"/>
    </xf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88" fillId="0" borderId="0"/>
    <xf numFmtId="0" fontId="147" fillId="0" borderId="0"/>
    <xf numFmtId="0" fontId="3" fillId="0" borderId="0"/>
    <xf numFmtId="0" fontId="147" fillId="0" borderId="0"/>
    <xf numFmtId="0" fontId="3" fillId="0" borderId="0"/>
    <xf numFmtId="0" fontId="147" fillId="0" borderId="0"/>
    <xf numFmtId="0" fontId="3" fillId="0" borderId="0"/>
    <xf numFmtId="0" fontId="147" fillId="0" borderId="0"/>
    <xf numFmtId="0" fontId="93" fillId="0" borderId="0"/>
    <xf numFmtId="0" fontId="147" fillId="0" borderId="0"/>
    <xf numFmtId="0" fontId="93" fillId="0" borderId="0"/>
    <xf numFmtId="0" fontId="147" fillId="0" borderId="0"/>
    <xf numFmtId="0" fontId="93" fillId="0" borderId="0"/>
    <xf numFmtId="0" fontId="147" fillId="0" borderId="0"/>
    <xf numFmtId="0" fontId="93" fillId="0" borderId="0"/>
    <xf numFmtId="0" fontId="147" fillId="0" borderId="0"/>
    <xf numFmtId="0" fontId="93" fillId="0" borderId="0"/>
    <xf numFmtId="0" fontId="56" fillId="0" borderId="0">
      <alignment vertical="top"/>
    </xf>
    <xf numFmtId="0" fontId="93" fillId="0" borderId="0"/>
    <xf numFmtId="0" fontId="56" fillId="0" borderId="0">
      <alignment vertical="top"/>
    </xf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14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93" fillId="0" borderId="0"/>
    <xf numFmtId="0" fontId="56" fillId="0" borderId="0">
      <alignment vertical="top"/>
    </xf>
    <xf numFmtId="0" fontId="93" fillId="0" borderId="0"/>
    <xf numFmtId="0" fontId="88" fillId="0" borderId="0"/>
    <xf numFmtId="0" fontId="93" fillId="0" borderId="0"/>
    <xf numFmtId="0" fontId="88" fillId="0" borderId="0"/>
    <xf numFmtId="0" fontId="93" fillId="0" borderId="0"/>
    <xf numFmtId="0" fontId="88" fillId="0" borderId="0"/>
    <xf numFmtId="0" fontId="93" fillId="0" borderId="0"/>
    <xf numFmtId="0" fontId="88" fillId="0" borderId="0"/>
    <xf numFmtId="0" fontId="93" fillId="0" borderId="0"/>
    <xf numFmtId="0" fontId="88" fillId="0" borderId="0"/>
    <xf numFmtId="0" fontId="93" fillId="0" borderId="0"/>
    <xf numFmtId="0" fontId="88" fillId="0" borderId="0"/>
    <xf numFmtId="0" fontId="9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149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145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149" fillId="0" borderId="0"/>
    <xf numFmtId="0" fontId="88" fillId="0" borderId="0"/>
    <xf numFmtId="0" fontId="88" fillId="0" borderId="0"/>
    <xf numFmtId="0" fontId="149" fillId="0" borderId="0"/>
    <xf numFmtId="0" fontId="88" fillId="0" borderId="0"/>
    <xf numFmtId="0" fontId="88" fillId="0" borderId="0"/>
    <xf numFmtId="0" fontId="149" fillId="0" borderId="0"/>
    <xf numFmtId="0" fontId="88" fillId="0" borderId="0"/>
    <xf numFmtId="0" fontId="88" fillId="0" borderId="0"/>
    <xf numFmtId="0" fontId="149" fillId="0" borderId="0"/>
    <xf numFmtId="0" fontId="3" fillId="0" borderId="0"/>
    <xf numFmtId="0" fontId="149" fillId="0" borderId="0"/>
    <xf numFmtId="0" fontId="3" fillId="0" borderId="0"/>
    <xf numFmtId="0" fontId="149" fillId="0" borderId="0"/>
    <xf numFmtId="0" fontId="3" fillId="0" borderId="0"/>
    <xf numFmtId="0" fontId="88" fillId="0" borderId="0"/>
    <xf numFmtId="0" fontId="3" fillId="0" borderId="0"/>
    <xf numFmtId="0" fontId="3" fillId="0" borderId="0"/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3" fillId="0" borderId="0"/>
    <xf numFmtId="0" fontId="88" fillId="19" borderId="49" applyNumberFormat="0" applyFont="0" applyAlignment="0" applyProtection="0"/>
    <xf numFmtId="0" fontId="88" fillId="19" borderId="49" applyNumberFormat="0" applyFont="0" applyAlignment="0" applyProtection="0"/>
    <xf numFmtId="0" fontId="88" fillId="19" borderId="49" applyNumberFormat="0" applyFont="0" applyAlignment="0" applyProtection="0"/>
    <xf numFmtId="0" fontId="88" fillId="19" borderId="49" applyNumberFormat="0" applyFont="0" applyAlignment="0" applyProtection="0"/>
    <xf numFmtId="0" fontId="88" fillId="19" borderId="49" applyNumberFormat="0" applyFont="0" applyAlignment="0" applyProtection="0"/>
    <xf numFmtId="0" fontId="2" fillId="19" borderId="49" applyNumberFormat="0" applyFont="0" applyAlignment="0" applyProtection="0"/>
    <xf numFmtId="0" fontId="2" fillId="19" borderId="49" applyNumberFormat="0" applyFont="0" applyAlignment="0" applyProtection="0"/>
    <xf numFmtId="0" fontId="2" fillId="19" borderId="49" applyNumberFormat="0" applyFont="0" applyAlignment="0" applyProtection="0"/>
    <xf numFmtId="0" fontId="88" fillId="19" borderId="49" applyNumberFormat="0" applyFont="0" applyAlignment="0" applyProtection="0"/>
    <xf numFmtId="0" fontId="2" fillId="19" borderId="49" applyNumberFormat="0" applyFont="0" applyAlignment="0" applyProtection="0"/>
    <xf numFmtId="0" fontId="2" fillId="19" borderId="49" applyNumberFormat="0" applyFont="0" applyAlignment="0" applyProtection="0"/>
    <xf numFmtId="0" fontId="88" fillId="19" borderId="49" applyNumberFormat="0" applyFont="0" applyAlignment="0" applyProtection="0"/>
    <xf numFmtId="0" fontId="2" fillId="19" borderId="49" applyNumberFormat="0" applyFont="0" applyAlignment="0" applyProtection="0"/>
    <xf numFmtId="0" fontId="2" fillId="19" borderId="49" applyNumberFormat="0" applyFont="0" applyAlignment="0" applyProtection="0"/>
    <xf numFmtId="0" fontId="2" fillId="19" borderId="49" applyNumberFormat="0" applyFont="0" applyAlignment="0" applyProtection="0"/>
    <xf numFmtId="0" fontId="88" fillId="19" borderId="49" applyNumberFormat="0" applyFont="0" applyAlignment="0" applyProtection="0"/>
    <xf numFmtId="0" fontId="2" fillId="19" borderId="49" applyNumberFormat="0" applyFont="0" applyAlignment="0" applyProtection="0"/>
    <xf numFmtId="0" fontId="2" fillId="19" borderId="49" applyNumberFormat="0" applyFont="0" applyAlignment="0" applyProtection="0"/>
    <xf numFmtId="0" fontId="88" fillId="19" borderId="49" applyNumberFormat="0" applyFont="0" applyAlignment="0" applyProtection="0"/>
    <xf numFmtId="0" fontId="2" fillId="19" borderId="49" applyNumberFormat="0" applyFont="0" applyAlignment="0" applyProtection="0"/>
    <xf numFmtId="0" fontId="2" fillId="19" borderId="49" applyNumberFormat="0" applyFont="0" applyAlignment="0" applyProtection="0"/>
    <xf numFmtId="0" fontId="2" fillId="19" borderId="49" applyNumberFormat="0" applyFont="0" applyAlignment="0" applyProtection="0"/>
    <xf numFmtId="0" fontId="2" fillId="19" borderId="49" applyNumberFormat="0" applyFont="0" applyAlignment="0" applyProtection="0"/>
    <xf numFmtId="0" fontId="3" fillId="74" borderId="72" applyNumberFormat="0" applyFont="0" applyAlignment="0" applyProtection="0"/>
    <xf numFmtId="0" fontId="2" fillId="19" borderId="49" applyNumberFormat="0" applyFont="0" applyAlignment="0" applyProtection="0"/>
    <xf numFmtId="0" fontId="88" fillId="19" borderId="49" applyNumberFormat="0" applyFont="0" applyAlignment="0" applyProtection="0"/>
    <xf numFmtId="0" fontId="88" fillId="19" borderId="49" applyNumberFormat="0" applyFont="0" applyAlignment="0" applyProtection="0"/>
    <xf numFmtId="0" fontId="88" fillId="19" borderId="49" applyNumberFormat="0" applyFont="0" applyAlignment="0" applyProtection="0"/>
    <xf numFmtId="0" fontId="93" fillId="19" borderId="49" applyNumberFormat="0" applyFont="0" applyAlignment="0" applyProtection="0"/>
    <xf numFmtId="0" fontId="88" fillId="19" borderId="49" applyNumberFormat="0" applyFont="0" applyAlignment="0" applyProtection="0"/>
    <xf numFmtId="0" fontId="88" fillId="19" borderId="49" applyNumberFormat="0" applyFont="0" applyAlignment="0" applyProtection="0"/>
    <xf numFmtId="0" fontId="88" fillId="19" borderId="49" applyNumberFormat="0" applyFont="0" applyAlignment="0" applyProtection="0"/>
    <xf numFmtId="0" fontId="88" fillId="19" borderId="49" applyNumberFormat="0" applyFont="0" applyAlignment="0" applyProtection="0"/>
    <xf numFmtId="0" fontId="88" fillId="19" borderId="49" applyNumberFormat="0" applyFont="0" applyAlignment="0" applyProtection="0"/>
    <xf numFmtId="0" fontId="88" fillId="19" borderId="49" applyNumberFormat="0" applyFont="0" applyAlignment="0" applyProtection="0"/>
    <xf numFmtId="0" fontId="3" fillId="74" borderId="72" applyNumberFormat="0" applyFont="0" applyAlignment="0" applyProtection="0"/>
    <xf numFmtId="0" fontId="88" fillId="19" borderId="49" applyNumberFormat="0" applyFont="0" applyAlignment="0" applyProtection="0"/>
    <xf numFmtId="0" fontId="93" fillId="19" borderId="49" applyNumberFormat="0" applyFont="0" applyAlignment="0" applyProtection="0"/>
    <xf numFmtId="0" fontId="88" fillId="19" borderId="49" applyNumberFormat="0" applyFont="0" applyAlignment="0" applyProtection="0"/>
    <xf numFmtId="0" fontId="88" fillId="19" borderId="49" applyNumberFormat="0" applyFont="0" applyAlignment="0" applyProtection="0"/>
    <xf numFmtId="0" fontId="88" fillId="19" borderId="49" applyNumberFormat="0" applyFont="0" applyAlignment="0" applyProtection="0"/>
    <xf numFmtId="0" fontId="88" fillId="19" borderId="49" applyNumberFormat="0" applyFont="0" applyAlignment="0" applyProtection="0"/>
    <xf numFmtId="0" fontId="88" fillId="19" borderId="49" applyNumberFormat="0" applyFont="0" applyAlignment="0" applyProtection="0"/>
    <xf numFmtId="0" fontId="88" fillId="19" borderId="49" applyNumberFormat="0" applyFont="0" applyAlignment="0" applyProtection="0"/>
    <xf numFmtId="0" fontId="88" fillId="19" borderId="49" applyNumberFormat="0" applyFont="0" applyAlignment="0" applyProtection="0"/>
    <xf numFmtId="0" fontId="3" fillId="74" borderId="72" applyNumberFormat="0" applyFont="0" applyAlignment="0" applyProtection="0"/>
    <xf numFmtId="0" fontId="93" fillId="19" borderId="49" applyNumberFormat="0" applyFont="0" applyAlignment="0" applyProtection="0"/>
    <xf numFmtId="0" fontId="88" fillId="19" borderId="49" applyNumberFormat="0" applyFont="0" applyAlignment="0" applyProtection="0"/>
    <xf numFmtId="0" fontId="93" fillId="19" borderId="49" applyNumberFormat="0" applyFont="0" applyAlignment="0" applyProtection="0"/>
    <xf numFmtId="0" fontId="88" fillId="19" borderId="49" applyNumberFormat="0" applyFont="0" applyAlignment="0" applyProtection="0"/>
    <xf numFmtId="0" fontId="93" fillId="19" borderId="49" applyNumberFormat="0" applyFont="0" applyAlignment="0" applyProtection="0"/>
    <xf numFmtId="0" fontId="88" fillId="19" borderId="49" applyNumberFormat="0" applyFont="0" applyAlignment="0" applyProtection="0"/>
    <xf numFmtId="0" fontId="88" fillId="19" borderId="49" applyNumberFormat="0" applyFont="0" applyAlignment="0" applyProtection="0"/>
    <xf numFmtId="0" fontId="88" fillId="19" borderId="49" applyNumberFormat="0" applyFont="0" applyAlignment="0" applyProtection="0"/>
    <xf numFmtId="0" fontId="150" fillId="17" borderId="46" applyNumberFormat="0" applyAlignment="0" applyProtection="0"/>
    <xf numFmtId="0" fontId="151" fillId="64" borderId="73" applyNumberFormat="0" applyAlignment="0" applyProtection="0"/>
    <xf numFmtId="0" fontId="151" fillId="64" borderId="73" applyNumberFormat="0" applyAlignment="0" applyProtection="0"/>
    <xf numFmtId="0" fontId="152" fillId="0" borderId="0" applyBorder="0">
      <alignment horizontal="centerContinuous"/>
    </xf>
    <xf numFmtId="10" fontId="3" fillId="0" borderId="0" applyFont="0" applyFill="0" applyBorder="0" applyAlignment="0" applyProtection="0"/>
    <xf numFmtId="173" fontId="15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6" fillId="0" borderId="0" applyFont="0" applyFill="0" applyBorder="0" applyAlignment="0" applyProtection="0">
      <alignment vertical="top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56" fillId="0" borderId="0" applyFont="0" applyFill="0" applyBorder="0" applyAlignment="0" applyProtection="0">
      <alignment vertical="top"/>
    </xf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5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5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3" fillId="0" borderId="0" applyFont="0" applyFill="0" applyBorder="0" applyAlignment="0" applyProtection="0">
      <alignment wrapText="1"/>
    </xf>
    <xf numFmtId="9" fontId="88" fillId="0" borderId="0" applyFont="0" applyFill="0" applyBorder="0" applyAlignment="0" applyProtection="0"/>
    <xf numFmtId="0" fontId="155" fillId="70" borderId="0" applyNumberFormat="0" applyBorder="0" applyAlignment="0" applyProtection="0"/>
    <xf numFmtId="0" fontId="156" fillId="0" borderId="0"/>
    <xf numFmtId="15" fontId="10" fillId="0" borderId="0" applyFont="0" applyFill="0" applyBorder="0" applyAlignment="0" applyProtection="0"/>
    <xf numFmtId="221" fontId="157" fillId="0" borderId="30"/>
    <xf numFmtId="3" fontId="10" fillId="0" borderId="0" applyFont="0" applyFill="0" applyBorder="0" applyAlignment="0" applyProtection="0"/>
    <xf numFmtId="0" fontId="10" fillId="75" borderId="0" applyNumberFormat="0" applyFont="0" applyBorder="0" applyAlignment="0" applyProtection="0"/>
    <xf numFmtId="43" fontId="158" fillId="0" borderId="7" applyFill="0" applyBorder="0">
      <alignment horizontal="right"/>
    </xf>
    <xf numFmtId="3" fontId="159" fillId="0" borderId="0" applyNumberFormat="0"/>
    <xf numFmtId="3" fontId="160" fillId="0" borderId="0" applyNumberFormat="0" applyFill="0" applyBorder="0" applyAlignment="0"/>
    <xf numFmtId="0" fontId="113" fillId="0" borderId="0"/>
    <xf numFmtId="0" fontId="113" fillId="0" borderId="0"/>
    <xf numFmtId="0" fontId="113" fillId="0" borderId="0"/>
    <xf numFmtId="0" fontId="161" fillId="0" borderId="0" applyNumberFormat="0" applyFill="0" applyBorder="0" applyAlignment="0" applyProtection="0"/>
    <xf numFmtId="37" fontId="162" fillId="0" borderId="0"/>
    <xf numFmtId="37" fontId="162" fillId="76" borderId="54"/>
    <xf numFmtId="0" fontId="163" fillId="6" borderId="54">
      <alignment horizontal="center"/>
    </xf>
    <xf numFmtId="38" fontId="3" fillId="77" borderId="0" applyNumberFormat="0" applyFont="0" applyBorder="0" applyAlignment="0" applyProtection="0"/>
    <xf numFmtId="0" fontId="164" fillId="8" borderId="0" applyNumberFormat="0" applyFont="0" applyBorder="0" applyAlignment="0" applyProtection="0">
      <alignment horizontal="center"/>
    </xf>
    <xf numFmtId="0" fontId="165" fillId="0" borderId="0"/>
    <xf numFmtId="0" fontId="166" fillId="0" borderId="0"/>
    <xf numFmtId="9" fontId="3" fillId="0" borderId="0" applyFont="0" applyFill="0" applyBorder="0" applyAlignment="0" applyProtection="0"/>
    <xf numFmtId="0" fontId="167" fillId="0" borderId="0"/>
    <xf numFmtId="0" fontId="110" fillId="0" borderId="0">
      <alignment horizontal="left"/>
    </xf>
    <xf numFmtId="0" fontId="113" fillId="0" borderId="0"/>
    <xf numFmtId="0" fontId="113" fillId="0" borderId="0"/>
    <xf numFmtId="0" fontId="113" fillId="0" borderId="0"/>
    <xf numFmtId="0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9" fillId="0" borderId="50" applyNumberFormat="0" applyFill="0" applyAlignment="0" applyProtection="0"/>
    <xf numFmtId="217" fontId="3" fillId="0" borderId="8">
      <protection locked="0"/>
    </xf>
    <xf numFmtId="217" fontId="3" fillId="0" borderId="8">
      <protection locked="0"/>
    </xf>
    <xf numFmtId="217" fontId="3" fillId="0" borderId="8">
      <protection locked="0"/>
    </xf>
    <xf numFmtId="217" fontId="3" fillId="0" borderId="8">
      <protection locked="0"/>
    </xf>
    <xf numFmtId="209" fontId="109" fillId="0" borderId="14">
      <protection locked="0"/>
    </xf>
    <xf numFmtId="209" fontId="109" fillId="0" borderId="14">
      <protection locked="0"/>
    </xf>
    <xf numFmtId="0" fontId="170" fillId="0" borderId="74" applyNumberFormat="0" applyFill="0" applyAlignment="0" applyProtection="0"/>
    <xf numFmtId="217" fontId="3" fillId="0" borderId="8">
      <protection locked="0"/>
    </xf>
    <xf numFmtId="0" fontId="169" fillId="0" borderId="50" applyNumberFormat="0" applyFill="0" applyAlignment="0" applyProtection="0"/>
    <xf numFmtId="37" fontId="171" fillId="0" borderId="0" applyNumberFormat="0"/>
    <xf numFmtId="181" fontId="172" fillId="0" borderId="0">
      <alignment horizontal="left"/>
      <protection locked="0"/>
    </xf>
    <xf numFmtId="181" fontId="173" fillId="0" borderId="0"/>
    <xf numFmtId="0" fontId="174" fillId="0" borderId="0" applyNumberFormat="0" applyFont="0" applyFill="0"/>
    <xf numFmtId="37" fontId="52" fillId="5" borderId="0" applyNumberFormat="0" applyBorder="0" applyAlignment="0" applyProtection="0"/>
    <xf numFmtId="37" fontId="52" fillId="5" borderId="0" applyNumberFormat="0" applyBorder="0" applyAlignment="0" applyProtection="0"/>
    <xf numFmtId="37" fontId="52" fillId="5" borderId="0" applyNumberFormat="0" applyBorder="0" applyAlignment="0" applyProtection="0"/>
    <xf numFmtId="37" fontId="52" fillId="5" borderId="0" applyNumberFormat="0" applyBorder="0" applyAlignment="0" applyProtection="0"/>
    <xf numFmtId="37" fontId="52" fillId="5" borderId="0" applyNumberFormat="0" applyBorder="0" applyAlignment="0" applyProtection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5" borderId="0" applyNumberFormat="0" applyBorder="0" applyAlignment="0" applyProtection="0"/>
    <xf numFmtId="3" fontId="58" fillId="0" borderId="63" applyProtection="0"/>
    <xf numFmtId="14" fontId="164" fillId="0" borderId="0" applyNumberFormat="0" applyFont="0" applyBorder="0" applyAlignment="0" applyProtection="0">
      <alignment horizontal="center"/>
    </xf>
    <xf numFmtId="0" fontId="9" fillId="78" borderId="57"/>
    <xf numFmtId="0" fontId="9" fillId="78" borderId="57"/>
    <xf numFmtId="0" fontId="9" fillId="78" borderId="57"/>
    <xf numFmtId="0" fontId="9" fillId="78" borderId="57"/>
    <xf numFmtId="0" fontId="9" fillId="78" borderId="57"/>
    <xf numFmtId="0" fontId="9" fillId="78" borderId="57"/>
    <xf numFmtId="0" fontId="9" fillId="78" borderId="57"/>
    <xf numFmtId="0" fontId="9" fillId="78" borderId="57"/>
    <xf numFmtId="0" fontId="9" fillId="78" borderId="57"/>
    <xf numFmtId="222" fontId="3" fillId="0" borderId="0" applyFont="0" applyFill="0" applyBorder="0" applyAlignment="0" applyProtection="0"/>
    <xf numFmtId="223" fontId="3" fillId="0" borderId="0" applyFont="0" applyFill="0" applyBorder="0" applyAlignment="0" applyProtection="0"/>
    <xf numFmtId="0" fontId="175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224" fontId="52" fillId="0" borderId="0" applyFill="0" applyProtection="0"/>
    <xf numFmtId="225" fontId="3" fillId="0" borderId="0" applyFont="0" applyFill="0" applyBorder="0" applyAlignment="0" applyProtection="0"/>
    <xf numFmtId="219" fontId="3" fillId="0" borderId="0" applyFont="0" applyFill="0" applyBorder="0" applyAlignment="0" applyProtection="0"/>
    <xf numFmtId="0" fontId="177" fillId="0" borderId="0" applyNumberFormat="0" applyFill="0" applyBorder="0" applyAlignment="0" applyProtection="0">
      <alignment vertical="top"/>
      <protection locked="0"/>
    </xf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3601">
    <xf numFmtId="0" fontId="0" fillId="0" borderId="0" xfId="0"/>
    <xf numFmtId="0" fontId="11" fillId="2" borderId="0" xfId="9" applyFont="1" applyFill="1" applyAlignment="1" applyProtection="1">
      <alignment horizontal="centerContinuous"/>
      <protection locked="0"/>
    </xf>
    <xf numFmtId="0" fontId="12" fillId="2" borderId="0" xfId="9" applyFont="1" applyFill="1" applyAlignment="1">
      <alignment horizontal="centerContinuous"/>
    </xf>
    <xf numFmtId="0" fontId="13" fillId="2" borderId="0" xfId="9" applyFont="1" applyFill="1"/>
    <xf numFmtId="0" fontId="14" fillId="2" borderId="0" xfId="9" applyFont="1" applyFill="1" applyAlignment="1" applyProtection="1">
      <alignment horizontal="centerContinuous"/>
      <protection locked="0"/>
    </xf>
    <xf numFmtId="0" fontId="15" fillId="2" borderId="0" xfId="9" applyFont="1" applyFill="1" applyAlignment="1" applyProtection="1">
      <alignment horizontal="left"/>
      <protection locked="0"/>
    </xf>
    <xf numFmtId="0" fontId="13" fillId="2" borderId="0" xfId="9" applyFont="1" applyFill="1" applyAlignment="1">
      <alignment horizontal="centerContinuous"/>
    </xf>
    <xf numFmtId="0" fontId="17" fillId="3" borderId="2" xfId="9" applyFont="1" applyFill="1" applyBorder="1" applyAlignment="1" applyProtection="1">
      <alignment horizontal="centerContinuous"/>
      <protection locked="0"/>
    </xf>
    <xf numFmtId="0" fontId="17" fillId="3" borderId="3" xfId="9" applyFont="1" applyFill="1" applyBorder="1" applyAlignment="1" applyProtection="1">
      <alignment horizontal="centerContinuous"/>
      <protection locked="0"/>
    </xf>
    <xf numFmtId="0" fontId="17" fillId="2" borderId="0" xfId="9" applyFont="1" applyFill="1" applyAlignment="1" applyProtection="1">
      <alignment horizontal="centerContinuous"/>
      <protection locked="0"/>
    </xf>
    <xf numFmtId="0" fontId="16" fillId="2" borderId="0" xfId="9" applyFont="1" applyFill="1" applyAlignment="1" applyProtection="1">
      <alignment horizontal="left"/>
    </xf>
    <xf numFmtId="0" fontId="18" fillId="3" borderId="2" xfId="9" applyFont="1" applyFill="1" applyBorder="1" applyAlignment="1" applyProtection="1">
      <alignment horizontal="centerContinuous"/>
      <protection locked="0"/>
    </xf>
    <xf numFmtId="0" fontId="13" fillId="3" borderId="4" xfId="9" applyFont="1" applyFill="1" applyBorder="1" applyAlignment="1" applyProtection="1">
      <alignment horizontal="left"/>
    </xf>
    <xf numFmtId="0" fontId="18" fillId="3" borderId="5" xfId="9" applyFont="1" applyFill="1" applyBorder="1" applyProtection="1">
      <protection locked="0"/>
    </xf>
    <xf numFmtId="0" fontId="13" fillId="2" borderId="6" xfId="9" applyFont="1" applyFill="1" applyBorder="1"/>
    <xf numFmtId="0" fontId="13" fillId="3" borderId="4" xfId="9" applyFont="1" applyFill="1" applyBorder="1"/>
    <xf numFmtId="0" fontId="13" fillId="3" borderId="2" xfId="9" applyFont="1" applyFill="1" applyBorder="1"/>
    <xf numFmtId="0" fontId="17" fillId="3" borderId="3" xfId="9" applyFont="1" applyFill="1" applyBorder="1" applyProtection="1">
      <protection locked="0"/>
    </xf>
    <xf numFmtId="0" fontId="17" fillId="2" borderId="0" xfId="9" applyFont="1" applyFill="1" applyProtection="1">
      <protection locked="0"/>
    </xf>
    <xf numFmtId="0" fontId="18" fillId="3" borderId="5" xfId="9" applyFont="1" applyFill="1" applyBorder="1"/>
    <xf numFmtId="0" fontId="13" fillId="3" borderId="3" xfId="9" applyFont="1" applyFill="1" applyBorder="1"/>
    <xf numFmtId="0" fontId="13" fillId="3" borderId="5" xfId="9" applyFont="1" applyFill="1" applyBorder="1"/>
    <xf numFmtId="15" fontId="18" fillId="2" borderId="0" xfId="9" quotePrefix="1" applyNumberFormat="1" applyFont="1" applyFill="1" applyAlignment="1" applyProtection="1">
      <alignment horizontal="left"/>
    </xf>
    <xf numFmtId="0" fontId="13" fillId="2" borderId="0" xfId="9" applyFont="1" applyFill="1" applyAlignment="1" applyProtection="1">
      <alignment horizontal="left"/>
    </xf>
    <xf numFmtId="0" fontId="18" fillId="2" borderId="0" xfId="9" applyFont="1" applyFill="1"/>
    <xf numFmtId="0" fontId="19" fillId="2" borderId="0" xfId="9" applyFont="1" applyFill="1" applyProtection="1">
      <protection locked="0"/>
    </xf>
    <xf numFmtId="0" fontId="19" fillId="2" borderId="0" xfId="9" applyFont="1" applyFill="1"/>
    <xf numFmtId="167" fontId="13" fillId="2" borderId="0" xfId="9" applyNumberFormat="1" applyFont="1" applyFill="1" applyProtection="1"/>
    <xf numFmtId="0" fontId="16" fillId="2" borderId="0" xfId="9" applyFont="1" applyFill="1" applyAlignment="1" applyProtection="1">
      <alignment horizontal="centerContinuous"/>
    </xf>
    <xf numFmtId="167" fontId="16" fillId="2" borderId="0" xfId="9" applyNumberFormat="1" applyFont="1" applyFill="1" applyAlignment="1" applyProtection="1">
      <alignment horizontal="centerContinuous"/>
    </xf>
    <xf numFmtId="0" fontId="5" fillId="0" borderId="0" xfId="3" applyAlignment="1" applyProtection="1">
      <alignment horizontal="center"/>
    </xf>
    <xf numFmtId="0" fontId="23" fillId="0" borderId="0" xfId="3" applyNumberFormat="1" applyFont="1"/>
    <xf numFmtId="0" fontId="5" fillId="0" borderId="0" xfId="3" applyAlignment="1" applyProtection="1">
      <alignment horizontal="left"/>
    </xf>
    <xf numFmtId="0" fontId="5" fillId="0" borderId="0" xfId="3"/>
    <xf numFmtId="0" fontId="27" fillId="0" borderId="0" xfId="3" applyFont="1" applyFill="1" applyAlignment="1" applyProtection="1">
      <alignment horizontal="center"/>
    </xf>
    <xf numFmtId="0" fontId="28" fillId="0" borderId="0" xfId="3" applyNumberFormat="1" applyFont="1"/>
    <xf numFmtId="0" fontId="5" fillId="0" borderId="0" xfId="3" applyAlignment="1">
      <alignment horizontal="center"/>
    </xf>
    <xf numFmtId="0" fontId="24" fillId="0" borderId="0" xfId="3" applyNumberFormat="1" applyFont="1"/>
    <xf numFmtId="0" fontId="29" fillId="0" borderId="0" xfId="3" applyFont="1" applyAlignment="1" applyProtection="1">
      <alignment horizontal="left"/>
    </xf>
    <xf numFmtId="165" fontId="5" fillId="0" borderId="0" xfId="3" applyNumberFormat="1"/>
    <xf numFmtId="165" fontId="28" fillId="0" borderId="0" xfId="3" applyNumberFormat="1" applyFont="1"/>
    <xf numFmtId="0" fontId="8" fillId="0" borderId="0" xfId="13" applyFont="1" applyAlignment="1" applyProtection="1">
      <alignment horizontal="centerContinuous"/>
    </xf>
    <xf numFmtId="0" fontId="8" fillId="0" borderId="0" xfId="13" applyFont="1" applyAlignment="1">
      <alignment horizontal="centerContinuous"/>
    </xf>
    <xf numFmtId="0" fontId="8" fillId="0" borderId="0" xfId="13" applyFont="1"/>
    <xf numFmtId="0" fontId="8" fillId="0" borderId="0" xfId="56" applyFont="1" applyFill="1" applyAlignment="1" applyProtection="1">
      <alignment horizontal="centerContinuous"/>
    </xf>
    <xf numFmtId="0" fontId="8" fillId="0" borderId="0" xfId="13" applyFont="1" applyFill="1" applyProtection="1"/>
    <xf numFmtId="0" fontId="8" fillId="0" borderId="0" xfId="13" applyFont="1" applyFill="1"/>
    <xf numFmtId="0" fontId="8" fillId="0" borderId="0" xfId="13" applyFont="1" applyAlignment="1" applyProtection="1">
      <alignment horizontal="left"/>
    </xf>
    <xf numFmtId="0" fontId="8" fillId="0" borderId="0" xfId="13" applyFont="1" applyProtection="1"/>
    <xf numFmtId="0" fontId="8" fillId="0" borderId="7" xfId="13" applyFont="1" applyBorder="1" applyAlignment="1" applyProtection="1">
      <alignment horizontal="fill"/>
    </xf>
    <xf numFmtId="0" fontId="8" fillId="0" borderId="0" xfId="13" applyFont="1" applyBorder="1" applyAlignment="1" applyProtection="1">
      <alignment horizontal="fill"/>
    </xf>
    <xf numFmtId="0" fontId="8" fillId="0" borderId="0" xfId="13" applyFont="1" applyAlignment="1" applyProtection="1">
      <alignment horizontal="center"/>
    </xf>
    <xf numFmtId="0" fontId="8" fillId="0" borderId="0" xfId="13" applyFont="1" applyBorder="1"/>
    <xf numFmtId="0" fontId="8" fillId="0" borderId="0" xfId="13" applyFont="1" applyAlignment="1">
      <alignment horizontal="center"/>
    </xf>
    <xf numFmtId="0" fontId="8" fillId="0" borderId="7" xfId="13" applyFont="1" applyBorder="1" applyAlignment="1" applyProtection="1">
      <alignment horizontal="center"/>
    </xf>
    <xf numFmtId="0" fontId="8" fillId="0" borderId="0" xfId="13" applyFont="1" applyAlignment="1" applyProtection="1"/>
    <xf numFmtId="37" fontId="8" fillId="0" borderId="0" xfId="13" applyNumberFormat="1" applyFont="1" applyAlignment="1" applyProtection="1">
      <alignment horizontal="center"/>
    </xf>
    <xf numFmtId="37" fontId="8" fillId="0" borderId="0" xfId="13" applyNumberFormat="1" applyFont="1" applyProtection="1"/>
    <xf numFmtId="0" fontId="8" fillId="0" borderId="0" xfId="13" applyFont="1" applyAlignment="1"/>
    <xf numFmtId="37" fontId="31" fillId="0" borderId="0" xfId="13" applyNumberFormat="1" applyFont="1" applyProtection="1">
      <protection locked="0"/>
    </xf>
    <xf numFmtId="37" fontId="32" fillId="0" borderId="0" xfId="13" applyNumberFormat="1" applyFont="1" applyFill="1" applyProtection="1">
      <protection locked="0"/>
    </xf>
    <xf numFmtId="37" fontId="8" fillId="0" borderId="0" xfId="13" applyNumberFormat="1" applyFont="1" applyFill="1" applyProtection="1"/>
    <xf numFmtId="37" fontId="30" fillId="0" borderId="0" xfId="13" applyNumberFormat="1" applyFont="1" applyFill="1" applyProtection="1"/>
    <xf numFmtId="0" fontId="8" fillId="0" borderId="0" xfId="13" applyFont="1" applyAlignment="1" applyProtection="1">
      <alignment horizontal="right"/>
    </xf>
    <xf numFmtId="0" fontId="34" fillId="0" borderId="0" xfId="14" applyFont="1" applyFill="1" applyAlignment="1" applyProtection="1">
      <alignment horizontal="left"/>
    </xf>
    <xf numFmtId="0" fontId="8" fillId="0" borderId="0" xfId="8" applyFont="1"/>
    <xf numFmtId="0" fontId="8" fillId="0" borderId="0" xfId="8" applyFont="1" applyAlignment="1" applyProtection="1">
      <alignment horizontal="left"/>
    </xf>
    <xf numFmtId="0" fontId="8" fillId="0" borderId="0" xfId="8" applyFont="1" applyAlignment="1">
      <alignment horizontal="center"/>
    </xf>
    <xf numFmtId="0" fontId="8" fillId="0" borderId="0" xfId="8" applyFont="1" applyAlignment="1" applyProtection="1">
      <alignment horizontal="fill"/>
    </xf>
    <xf numFmtId="0" fontId="34" fillId="0" borderId="0" xfId="8" applyFont="1" applyFill="1" applyAlignment="1" applyProtection="1">
      <alignment horizontal="left"/>
    </xf>
    <xf numFmtId="0" fontId="34" fillId="0" borderId="0" xfId="8" applyFont="1" applyFill="1" applyAlignment="1">
      <alignment horizontal="right"/>
    </xf>
    <xf numFmtId="0" fontId="34" fillId="0" borderId="7" xfId="8" applyFont="1" applyFill="1" applyBorder="1" applyAlignment="1" applyProtection="1">
      <alignment horizontal="center"/>
    </xf>
    <xf numFmtId="0" fontId="8" fillId="0" borderId="0" xfId="8" applyFont="1" applyFill="1" applyAlignment="1" applyProtection="1">
      <alignment horizontal="left"/>
    </xf>
    <xf numFmtId="0" fontId="8" fillId="0" borderId="0" xfId="18" applyFont="1"/>
    <xf numFmtId="37" fontId="8" fillId="0" borderId="0" xfId="18" applyNumberFormat="1" applyFont="1" applyProtection="1"/>
    <xf numFmtId="0" fontId="8" fillId="0" borderId="0" xfId="18" applyFont="1" applyProtection="1"/>
    <xf numFmtId="0" fontId="8" fillId="0" borderId="0" xfId="18" applyFont="1" applyAlignment="1" applyProtection="1">
      <alignment horizontal="left"/>
    </xf>
    <xf numFmtId="0" fontId="8" fillId="0" borderId="0" xfId="18" applyFont="1" applyAlignment="1" applyProtection="1">
      <alignment horizontal="center"/>
    </xf>
    <xf numFmtId="0" fontId="8" fillId="0" borderId="0" xfId="18" quotePrefix="1" applyFont="1" applyAlignment="1" applyProtection="1">
      <alignment horizontal="center"/>
    </xf>
    <xf numFmtId="37" fontId="30" fillId="0" borderId="0" xfId="18" applyNumberFormat="1" applyFont="1" applyProtection="1"/>
    <xf numFmtId="0" fontId="8" fillId="0" borderId="0" xfId="18" applyFont="1" applyAlignment="1">
      <alignment horizontal="center"/>
    </xf>
    <xf numFmtId="0" fontId="31" fillId="0" borderId="0" xfId="18" applyFont="1" applyProtection="1">
      <protection locked="0"/>
    </xf>
    <xf numFmtId="37" fontId="8" fillId="0" borderId="0" xfId="18" applyNumberFormat="1" applyFont="1" applyAlignment="1" applyProtection="1">
      <alignment horizontal="right"/>
    </xf>
    <xf numFmtId="37" fontId="33" fillId="0" borderId="0" xfId="18" applyNumberFormat="1" applyFont="1" applyProtection="1"/>
    <xf numFmtId="167" fontId="8" fillId="0" borderId="0" xfId="18" applyNumberFormat="1" applyFont="1" applyAlignment="1" applyProtection="1">
      <alignment horizontal="left"/>
    </xf>
    <xf numFmtId="0" fontId="30" fillId="0" borderId="0" xfId="18" applyFont="1" applyAlignment="1" applyProtection="1">
      <alignment horizontal="center"/>
    </xf>
    <xf numFmtId="0" fontId="8" fillId="0" borderId="0" xfId="18" applyFont="1" applyAlignment="1" applyProtection="1">
      <alignment horizontal="fill"/>
    </xf>
    <xf numFmtId="0" fontId="8" fillId="0" borderId="0" xfId="18" applyFont="1" applyAlignment="1" applyProtection="1"/>
    <xf numFmtId="37" fontId="8" fillId="0" borderId="0" xfId="18" applyNumberFormat="1" applyFont="1" applyAlignment="1" applyProtection="1">
      <alignment horizontal="center"/>
    </xf>
    <xf numFmtId="0" fontId="8" fillId="0" borderId="0" xfId="18" applyFont="1" applyAlignment="1"/>
    <xf numFmtId="37" fontId="33" fillId="0" borderId="0" xfId="18" applyNumberFormat="1" applyFont="1" applyAlignment="1" applyProtection="1">
      <alignment horizontal="right"/>
    </xf>
    <xf numFmtId="0" fontId="8" fillId="0" borderId="0" xfId="18" quotePrefix="1" applyFont="1" applyAlignment="1"/>
    <xf numFmtId="10" fontId="8" fillId="0" borderId="0" xfId="18" applyNumberFormat="1" applyFont="1" applyProtection="1"/>
    <xf numFmtId="0" fontId="8" fillId="0" borderId="0" xfId="19" applyFont="1" applyAlignment="1" applyProtection="1">
      <alignment horizontal="left"/>
    </xf>
    <xf numFmtId="37" fontId="8" fillId="0" borderId="0" xfId="8" applyNumberFormat="1" applyFont="1" applyFill="1" applyProtection="1">
      <protection locked="0"/>
    </xf>
    <xf numFmtId="37" fontId="8" fillId="0" borderId="0" xfId="8" applyNumberFormat="1" applyFont="1" applyFill="1" applyProtection="1"/>
    <xf numFmtId="0" fontId="8" fillId="0" borderId="0" xfId="20" applyNumberFormat="1" applyFont="1" applyProtection="1"/>
    <xf numFmtId="0" fontId="8" fillId="0" borderId="0" xfId="20" applyFont="1"/>
    <xf numFmtId="0" fontId="8" fillId="0" borderId="0" xfId="20" applyNumberFormat="1" applyFont="1"/>
    <xf numFmtId="0" fontId="8" fillId="0" borderId="0" xfId="20" applyFont="1" applyAlignment="1" applyProtection="1">
      <alignment horizontal="centerContinuous"/>
    </xf>
    <xf numFmtId="0" fontId="8" fillId="0" borderId="0" xfId="20" applyFont="1" applyAlignment="1">
      <alignment horizontal="centerContinuous"/>
    </xf>
    <xf numFmtId="0" fontId="8" fillId="0" borderId="0" xfId="20" applyFont="1" applyAlignment="1" applyProtection="1">
      <alignment horizontal="left"/>
    </xf>
    <xf numFmtId="0" fontId="8" fillId="0" borderId="0" xfId="20" applyFont="1" applyProtection="1"/>
    <xf numFmtId="0" fontId="8" fillId="0" borderId="7" xfId="20" applyFont="1" applyBorder="1" applyAlignment="1" applyProtection="1">
      <alignment horizontal="left"/>
    </xf>
    <xf numFmtId="0" fontId="8" fillId="0" borderId="7" xfId="20" applyFont="1" applyBorder="1" applyAlignment="1" applyProtection="1">
      <alignment horizontal="fill"/>
    </xf>
    <xf numFmtId="0" fontId="8" fillId="0" borderId="0" xfId="20" applyFont="1" applyAlignment="1" applyProtection="1">
      <alignment horizontal="center"/>
    </xf>
    <xf numFmtId="0" fontId="8" fillId="0" borderId="0" xfId="20" applyFont="1" applyAlignment="1">
      <alignment horizontal="center"/>
    </xf>
    <xf numFmtId="0" fontId="8" fillId="0" borderId="7" xfId="20" applyFont="1" applyBorder="1"/>
    <xf numFmtId="0" fontId="8" fillId="0" borderId="7" xfId="20" applyFont="1" applyBorder="1" applyAlignment="1" applyProtection="1">
      <alignment horizontal="center"/>
    </xf>
    <xf numFmtId="3" fontId="8" fillId="0" borderId="0" xfId="20" quotePrefix="1" applyNumberFormat="1" applyFont="1" applyAlignment="1" applyProtection="1">
      <alignment horizontal="center"/>
    </xf>
    <xf numFmtId="37" fontId="8" fillId="0" borderId="0" xfId="20" applyNumberFormat="1" applyFont="1" applyProtection="1"/>
    <xf numFmtId="165" fontId="8" fillId="0" borderId="0" xfId="20" applyNumberFormat="1" applyFont="1" applyProtection="1"/>
    <xf numFmtId="0" fontId="8" fillId="0" borderId="0" xfId="20" quotePrefix="1" applyFont="1" applyAlignment="1" applyProtection="1">
      <alignment horizontal="center"/>
    </xf>
    <xf numFmtId="37" fontId="8" fillId="0" borderId="2" xfId="20" applyNumberFormat="1" applyFont="1" applyBorder="1" applyProtection="1"/>
    <xf numFmtId="0" fontId="8" fillId="0" borderId="0" xfId="20" applyFont="1" applyAlignment="1" applyProtection="1">
      <alignment horizontal="fill"/>
    </xf>
    <xf numFmtId="37" fontId="8" fillId="0" borderId="7" xfId="20" applyNumberFormat="1" applyFont="1" applyBorder="1" applyProtection="1"/>
    <xf numFmtId="0" fontId="8" fillId="0" borderId="0" xfId="20" applyNumberFormat="1" applyFont="1" applyAlignment="1" applyProtection="1">
      <alignment horizontal="center"/>
    </xf>
    <xf numFmtId="164" fontId="8" fillId="0" borderId="0" xfId="20" applyNumberFormat="1" applyFont="1" applyAlignment="1" applyProtection="1">
      <alignment horizontal="center"/>
    </xf>
    <xf numFmtId="37" fontId="8" fillId="0" borderId="0" xfId="20" applyNumberFormat="1" applyFont="1" applyAlignment="1" applyProtection="1">
      <alignment horizontal="fill"/>
    </xf>
    <xf numFmtId="37" fontId="8" fillId="0" borderId="9" xfId="20" applyNumberFormat="1" applyFont="1" applyBorder="1" applyProtection="1"/>
    <xf numFmtId="0" fontId="8" fillId="0" borderId="0" xfId="20" applyNumberFormat="1" applyFont="1" applyAlignment="1">
      <alignment horizontal="center"/>
    </xf>
    <xf numFmtId="37" fontId="8" fillId="0" borderId="2" xfId="20" applyNumberFormat="1" applyFont="1" applyBorder="1"/>
    <xf numFmtId="0" fontId="8" fillId="0" borderId="0" xfId="8" applyNumberFormat="1" applyFont="1" applyProtection="1"/>
    <xf numFmtId="0" fontId="8" fillId="0" borderId="0" xfId="8" applyNumberFormat="1" applyFont="1" applyAlignment="1" applyProtection="1">
      <alignment horizontal="center"/>
    </xf>
    <xf numFmtId="164" fontId="8" fillId="0" borderId="0" xfId="20" applyNumberFormat="1" applyFont="1" applyProtection="1"/>
    <xf numFmtId="0" fontId="31" fillId="0" borderId="0" xfId="20" applyNumberFormat="1" applyFont="1" applyProtection="1">
      <protection locked="0"/>
    </xf>
    <xf numFmtId="37" fontId="8" fillId="0" borderId="0" xfId="20" quotePrefix="1" applyNumberFormat="1" applyFont="1" applyProtection="1"/>
    <xf numFmtId="165" fontId="8" fillId="0" borderId="0" xfId="20" applyNumberFormat="1" applyFont="1" applyAlignment="1" applyProtection="1">
      <alignment horizontal="center"/>
    </xf>
    <xf numFmtId="0" fontId="8" fillId="0" borderId="0" xfId="20" applyFont="1" applyBorder="1"/>
    <xf numFmtId="0" fontId="8" fillId="0" borderId="0" xfId="20" applyFont="1" applyBorder="1" applyAlignment="1" applyProtection="1">
      <alignment horizontal="center"/>
    </xf>
    <xf numFmtId="37" fontId="8" fillId="0" borderId="0" xfId="20" applyNumberFormat="1" applyFont="1" applyBorder="1" applyProtection="1"/>
    <xf numFmtId="0" fontId="8" fillId="0" borderId="0" xfId="21" applyFont="1" applyFill="1" applyAlignment="1" applyProtection="1">
      <alignment horizontal="centerContinuous"/>
    </xf>
    <xf numFmtId="0" fontId="8" fillId="0" borderId="0" xfId="21" applyFont="1" applyFill="1" applyAlignment="1">
      <alignment horizontal="centerContinuous"/>
    </xf>
    <xf numFmtId="0" fontId="8" fillId="0" borderId="0" xfId="21" applyFont="1" applyFill="1"/>
    <xf numFmtId="37" fontId="8" fillId="0" borderId="0" xfId="21" applyNumberFormat="1" applyFont="1" applyFill="1" applyAlignment="1" applyProtection="1">
      <alignment horizontal="centerContinuous"/>
    </xf>
    <xf numFmtId="165" fontId="8" fillId="0" borderId="0" xfId="21" applyNumberFormat="1" applyFont="1" applyFill="1" applyAlignment="1" applyProtection="1">
      <alignment horizontal="centerContinuous"/>
    </xf>
    <xf numFmtId="0" fontId="8" fillId="0" borderId="0" xfId="21" applyFont="1" applyFill="1" applyProtection="1"/>
    <xf numFmtId="0" fontId="8" fillId="0" borderId="0" xfId="21" quotePrefix="1" applyFont="1" applyFill="1" applyAlignment="1" applyProtection="1">
      <alignment horizontal="left"/>
    </xf>
    <xf numFmtId="0" fontId="8" fillId="0" borderId="0" xfId="21" applyFont="1" applyFill="1" applyAlignment="1" applyProtection="1">
      <alignment horizontal="left"/>
    </xf>
    <xf numFmtId="0" fontId="8" fillId="0" borderId="7" xfId="21" applyFont="1" applyFill="1" applyBorder="1" applyAlignment="1" applyProtection="1">
      <alignment horizontal="fill"/>
    </xf>
    <xf numFmtId="0" fontId="8" fillId="0" borderId="0" xfId="21" applyFont="1" applyFill="1" applyAlignment="1" applyProtection="1">
      <alignment horizontal="center"/>
    </xf>
    <xf numFmtId="165" fontId="8" fillId="0" borderId="0" xfId="21" applyNumberFormat="1" applyFont="1" applyFill="1" applyAlignment="1" applyProtection="1">
      <alignment horizontal="center"/>
    </xf>
    <xf numFmtId="37" fontId="8" fillId="0" borderId="0" xfId="21" applyNumberFormat="1" applyFont="1" applyFill="1" applyAlignment="1" applyProtection="1">
      <alignment horizontal="center"/>
    </xf>
    <xf numFmtId="0" fontId="8" fillId="0" borderId="7" xfId="21" applyFont="1" applyFill="1" applyBorder="1" applyAlignment="1" applyProtection="1">
      <alignment horizontal="center"/>
    </xf>
    <xf numFmtId="0" fontId="8" fillId="0" borderId="7" xfId="21" applyFont="1" applyFill="1" applyBorder="1"/>
    <xf numFmtId="37" fontId="8" fillId="0" borderId="7" xfId="21" applyNumberFormat="1" applyFont="1" applyFill="1" applyBorder="1" applyAlignment="1" applyProtection="1">
      <alignment horizontal="center"/>
    </xf>
    <xf numFmtId="0" fontId="38" fillId="0" borderId="0" xfId="21" applyFont="1" applyFill="1" applyAlignment="1" applyProtection="1">
      <alignment horizontal="left"/>
    </xf>
    <xf numFmtId="37" fontId="8" fillId="0" borderId="0" xfId="21" applyNumberFormat="1" applyFont="1" applyFill="1" applyProtection="1"/>
    <xf numFmtId="37" fontId="8" fillId="0" borderId="2" xfId="21" applyNumberFormat="1" applyFont="1" applyFill="1" applyBorder="1" applyProtection="1"/>
    <xf numFmtId="37" fontId="8" fillId="0" borderId="0" xfId="21" applyNumberFormat="1" applyFont="1" applyFill="1" applyAlignment="1" applyProtection="1">
      <alignment horizontal="right"/>
    </xf>
    <xf numFmtId="37" fontId="8" fillId="0" borderId="0" xfId="21" applyNumberFormat="1" applyFont="1" applyFill="1" applyBorder="1" applyProtection="1"/>
    <xf numFmtId="37" fontId="8" fillId="0" borderId="7" xfId="21" applyNumberFormat="1" applyFont="1" applyFill="1" applyBorder="1" applyProtection="1"/>
    <xf numFmtId="0" fontId="38" fillId="0" borderId="0" xfId="5" applyFont="1" applyFill="1" applyAlignment="1">
      <alignment horizontal="left"/>
    </xf>
    <xf numFmtId="0" fontId="8" fillId="0" borderId="0" xfId="5" applyFont="1" applyFill="1" applyBorder="1"/>
    <xf numFmtId="0" fontId="8" fillId="0" borderId="0" xfId="8" applyFont="1" applyFill="1"/>
    <xf numFmtId="0" fontId="8" fillId="0" borderId="0" xfId="5" applyFont="1" applyFill="1"/>
    <xf numFmtId="0" fontId="38" fillId="0" borderId="0" xfId="5" applyFont="1" applyFill="1"/>
    <xf numFmtId="37" fontId="8" fillId="0" borderId="9" xfId="21" applyNumberFormat="1" applyFont="1" applyFill="1" applyBorder="1" applyProtection="1"/>
    <xf numFmtId="0" fontId="8" fillId="0" borderId="7" xfId="21" applyFont="1" applyFill="1" applyBorder="1" applyAlignment="1">
      <alignment horizontal="center"/>
    </xf>
    <xf numFmtId="0" fontId="38" fillId="0" borderId="0" xfId="21" applyFont="1" applyFill="1"/>
    <xf numFmtId="37" fontId="22" fillId="0" borderId="0" xfId="21" applyNumberFormat="1" applyFont="1" applyFill="1" applyProtection="1"/>
    <xf numFmtId="0" fontId="8" fillId="0" borderId="0" xfId="21" applyFont="1" applyFill="1" applyBorder="1" applyAlignment="1" applyProtection="1">
      <alignment horizontal="center"/>
    </xf>
    <xf numFmtId="37" fontId="8" fillId="0" borderId="0" xfId="21" applyNumberFormat="1" applyFont="1" applyFill="1"/>
    <xf numFmtId="0" fontId="8" fillId="0" borderId="0" xfId="22" applyFont="1" applyAlignment="1" applyProtection="1">
      <alignment horizontal="centerContinuous"/>
    </xf>
    <xf numFmtId="0" fontId="8" fillId="0" borderId="0" xfId="22" applyFont="1" applyAlignment="1">
      <alignment horizontal="centerContinuous"/>
    </xf>
    <xf numFmtId="0" fontId="8" fillId="0" borderId="0" xfId="22" applyFont="1"/>
    <xf numFmtId="0" fontId="8" fillId="0" borderId="0" xfId="22" applyFont="1" applyProtection="1"/>
    <xf numFmtId="0" fontId="8" fillId="0" borderId="0" xfId="22" quotePrefix="1" applyFont="1" applyAlignment="1" applyProtection="1">
      <alignment horizontal="left"/>
    </xf>
    <xf numFmtId="0" fontId="8" fillId="0" borderId="0" xfId="22" applyFont="1" applyAlignment="1" applyProtection="1">
      <alignment horizontal="left"/>
    </xf>
    <xf numFmtId="0" fontId="8" fillId="0" borderId="7" xfId="22" applyFont="1" applyBorder="1" applyAlignment="1" applyProtection="1">
      <alignment horizontal="fill"/>
    </xf>
    <xf numFmtId="0" fontId="8" fillId="0" borderId="0" xfId="22" applyFont="1" applyAlignment="1" applyProtection="1">
      <alignment horizontal="center"/>
    </xf>
    <xf numFmtId="37" fontId="8" fillId="0" borderId="0" xfId="22" applyNumberFormat="1" applyFont="1" applyProtection="1"/>
    <xf numFmtId="42" fontId="8" fillId="0" borderId="0" xfId="22" applyNumberFormat="1" applyFont="1" applyProtection="1"/>
    <xf numFmtId="37" fontId="30" fillId="0" borderId="0" xfId="22" applyNumberFormat="1" applyFont="1" applyProtection="1"/>
    <xf numFmtId="195" fontId="30" fillId="0" borderId="0" xfId="22" applyNumberFormat="1" applyFont="1" applyProtection="1"/>
    <xf numFmtId="42" fontId="40" fillId="0" borderId="0" xfId="22" applyNumberFormat="1" applyFont="1" applyProtection="1"/>
    <xf numFmtId="0" fontId="8" fillId="0" borderId="0" xfId="22" applyFont="1" applyAlignment="1" applyProtection="1">
      <alignment horizontal="right"/>
    </xf>
    <xf numFmtId="0" fontId="31" fillId="0" borderId="0" xfId="22" applyFont="1" applyAlignment="1" applyProtection="1">
      <alignment horizontal="left"/>
    </xf>
    <xf numFmtId="42" fontId="8" fillId="0" borderId="0" xfId="22" applyNumberFormat="1" applyFont="1"/>
    <xf numFmtId="194" fontId="8" fillId="0" borderId="0" xfId="22" applyNumberFormat="1" applyFont="1"/>
    <xf numFmtId="37" fontId="33" fillId="0" borderId="0" xfId="22" applyNumberFormat="1" applyFont="1"/>
    <xf numFmtId="0" fontId="8" fillId="0" borderId="0" xfId="25" applyFont="1" applyAlignment="1" applyProtection="1">
      <alignment horizontal="left"/>
    </xf>
    <xf numFmtId="0" fontId="8" fillId="0" borderId="0" xfId="25" applyFont="1"/>
    <xf numFmtId="0" fontId="8" fillId="0" borderId="0" xfId="26" applyFont="1"/>
    <xf numFmtId="0" fontId="8" fillId="0" borderId="0" xfId="22" applyFont="1" applyAlignment="1">
      <alignment horizontal="center"/>
    </xf>
    <xf numFmtId="0" fontId="30" fillId="0" borderId="0" xfId="22" applyFont="1" applyAlignment="1">
      <alignment horizontal="center"/>
    </xf>
    <xf numFmtId="0" fontId="30" fillId="0" borderId="0" xfId="22" applyFont="1"/>
    <xf numFmtId="37" fontId="8" fillId="0" borderId="0" xfId="22" applyNumberFormat="1" applyFont="1"/>
    <xf numFmtId="37" fontId="8" fillId="0" borderId="7" xfId="22" applyNumberFormat="1" applyFont="1" applyBorder="1"/>
    <xf numFmtId="0" fontId="8" fillId="0" borderId="0" xfId="22" applyFont="1" applyAlignment="1">
      <alignment horizontal="left" indent="1"/>
    </xf>
    <xf numFmtId="42" fontId="8" fillId="0" borderId="9" xfId="22" applyNumberFormat="1" applyFont="1" applyBorder="1"/>
    <xf numFmtId="0" fontId="8" fillId="0" borderId="0" xfId="22" applyFont="1" applyBorder="1"/>
    <xf numFmtId="164" fontId="8" fillId="0" borderId="0" xfId="22" applyNumberFormat="1" applyFont="1" applyBorder="1" applyProtection="1"/>
    <xf numFmtId="0" fontId="8" fillId="0" borderId="0" xfId="22" quotePrefix="1" applyFont="1" applyBorder="1" applyAlignment="1" applyProtection="1">
      <alignment horizontal="left"/>
    </xf>
    <xf numFmtId="0" fontId="8" fillId="0" borderId="0" xfId="22" applyFont="1" applyBorder="1" applyAlignment="1" applyProtection="1">
      <alignment horizontal="left"/>
    </xf>
    <xf numFmtId="0" fontId="8" fillId="0" borderId="0" xfId="22" applyFont="1" applyAlignment="1"/>
    <xf numFmtId="0" fontId="8" fillId="0" borderId="0" xfId="31" applyFont="1" applyAlignment="1" applyProtection="1">
      <alignment horizontal="centerContinuous"/>
    </xf>
    <xf numFmtId="0" fontId="8" fillId="0" borderId="0" xfId="31" applyFont="1" applyAlignment="1">
      <alignment horizontal="centerContinuous"/>
    </xf>
    <xf numFmtId="0" fontId="8" fillId="0" borderId="0" xfId="31" applyFont="1"/>
    <xf numFmtId="0" fontId="8" fillId="0" borderId="0" xfId="31" applyFont="1" applyProtection="1"/>
    <xf numFmtId="0" fontId="8" fillId="0" borderId="0" xfId="31" quotePrefix="1" applyFont="1" applyAlignment="1" applyProtection="1">
      <alignment horizontal="left"/>
    </xf>
    <xf numFmtId="0" fontId="8" fillId="0" borderId="0" xfId="31" applyFont="1" applyAlignment="1" applyProtection="1">
      <alignment horizontal="left"/>
    </xf>
    <xf numFmtId="0" fontId="8" fillId="0" borderId="7" xfId="31" applyFont="1" applyBorder="1" applyAlignment="1" applyProtection="1">
      <alignment horizontal="fill"/>
    </xf>
    <xf numFmtId="0" fontId="8" fillId="0" borderId="0" xfId="31" applyFont="1" applyAlignment="1" applyProtection="1">
      <alignment horizontal="center"/>
    </xf>
    <xf numFmtId="0" fontId="8" fillId="0" borderId="0" xfId="31" applyFont="1" applyAlignment="1">
      <alignment horizontal="center"/>
    </xf>
    <xf numFmtId="0" fontId="30" fillId="0" borderId="0" xfId="31" applyFont="1" applyAlignment="1" applyProtection="1">
      <alignment horizontal="left"/>
    </xf>
    <xf numFmtId="0" fontId="30" fillId="0" borderId="0" xfId="31" applyFont="1" applyAlignment="1">
      <alignment horizontal="center"/>
    </xf>
    <xf numFmtId="37" fontId="8" fillId="0" borderId="0" xfId="31" applyNumberFormat="1" applyFont="1"/>
    <xf numFmtId="0" fontId="8" fillId="0" borderId="0" xfId="31" applyFont="1" applyAlignment="1" applyProtection="1">
      <alignment horizontal="right"/>
    </xf>
    <xf numFmtId="166" fontId="30" fillId="0" borderId="0" xfId="31" applyNumberFormat="1" applyFont="1" applyProtection="1"/>
    <xf numFmtId="196" fontId="40" fillId="0" borderId="0" xfId="22" applyNumberFormat="1" applyFont="1" applyProtection="1"/>
    <xf numFmtId="0" fontId="31" fillId="0" borderId="0" xfId="31" applyFont="1" applyAlignment="1" applyProtection="1">
      <alignment horizontal="center"/>
    </xf>
    <xf numFmtId="0" fontId="8" fillId="0" borderId="0" xfId="31" applyFont="1" applyAlignment="1" applyProtection="1">
      <alignment horizontal="left" indent="1"/>
    </xf>
    <xf numFmtId="37" fontId="31" fillId="0" borderId="0" xfId="31" applyNumberFormat="1" applyFont="1"/>
    <xf numFmtId="0" fontId="8" fillId="0" borderId="0" xfId="25" applyFont="1" applyAlignment="1" applyProtection="1">
      <alignment horizontal="centerContinuous"/>
    </xf>
    <xf numFmtId="0" fontId="8" fillId="0" borderId="0" xfId="25" applyFont="1" applyAlignment="1">
      <alignment horizontal="centerContinuous"/>
    </xf>
    <xf numFmtId="0" fontId="8" fillId="0" borderId="0" xfId="25" applyFont="1" applyProtection="1"/>
    <xf numFmtId="0" fontId="8" fillId="0" borderId="0" xfId="25" quotePrefix="1" applyFont="1" applyAlignment="1" applyProtection="1">
      <alignment horizontal="left"/>
    </xf>
    <xf numFmtId="0" fontId="8" fillId="0" borderId="7" xfId="25" applyFont="1" applyBorder="1" applyAlignment="1" applyProtection="1">
      <alignment horizontal="fill"/>
    </xf>
    <xf numFmtId="0" fontId="8" fillId="0" borderId="0" xfId="25" applyFont="1" applyAlignment="1" applyProtection="1">
      <alignment horizontal="center"/>
    </xf>
    <xf numFmtId="0" fontId="8" fillId="0" borderId="0" xfId="25" applyFont="1" applyAlignment="1">
      <alignment horizontal="center"/>
    </xf>
    <xf numFmtId="0" fontId="8" fillId="0" borderId="0" xfId="25" applyFont="1" applyAlignment="1" applyProtection="1"/>
    <xf numFmtId="0" fontId="8" fillId="0" borderId="0" xfId="25" applyFont="1" applyAlignment="1" applyProtection="1">
      <alignment horizontal="right"/>
    </xf>
    <xf numFmtId="196" fontId="8" fillId="0" borderId="0" xfId="22" applyNumberFormat="1" applyFont="1" applyProtection="1"/>
    <xf numFmtId="0" fontId="8" fillId="0" borderId="0" xfId="24" applyFont="1" applyAlignment="1" applyProtection="1">
      <alignment horizontal="right"/>
    </xf>
    <xf numFmtId="0" fontId="8" fillId="0" borderId="0" xfId="24" applyFont="1"/>
    <xf numFmtId="166" fontId="30" fillId="0" borderId="0" xfId="24" applyNumberFormat="1" applyFont="1" applyProtection="1"/>
    <xf numFmtId="171" fontId="33" fillId="0" borderId="0" xfId="24" applyNumberFormat="1" applyFont="1" applyProtection="1"/>
    <xf numFmtId="0" fontId="8" fillId="0" borderId="0" xfId="25" applyFont="1" applyAlignment="1" applyProtection="1">
      <alignment horizontal="fill"/>
    </xf>
    <xf numFmtId="0" fontId="31" fillId="0" borderId="0" xfId="25" applyFont="1"/>
    <xf numFmtId="0" fontId="8" fillId="0" borderId="0" xfId="32" applyFont="1" applyAlignment="1" applyProtection="1">
      <alignment horizontal="centerContinuous"/>
    </xf>
    <xf numFmtId="0" fontId="8" fillId="0" borderId="0" xfId="32" applyFont="1" applyAlignment="1">
      <alignment horizontal="centerContinuous"/>
    </xf>
    <xf numFmtId="0" fontId="8" fillId="0" borderId="0" xfId="32" applyFont="1"/>
    <xf numFmtId="37" fontId="8" fillId="0" borderId="0" xfId="32" applyNumberFormat="1" applyFont="1" applyAlignment="1" applyProtection="1">
      <alignment horizontal="centerContinuous"/>
    </xf>
    <xf numFmtId="0" fontId="8" fillId="0" borderId="0" xfId="32" applyFont="1" applyProtection="1"/>
    <xf numFmtId="0" fontId="8" fillId="0" borderId="0" xfId="32" applyFont="1" applyAlignment="1" applyProtection="1">
      <alignment horizontal="left"/>
    </xf>
    <xf numFmtId="0" fontId="8" fillId="0" borderId="7" xfId="32" applyFont="1" applyBorder="1" applyAlignment="1" applyProtection="1">
      <alignment horizontal="fill"/>
    </xf>
    <xf numFmtId="0" fontId="8" fillId="0" borderId="0" xfId="32" applyFont="1" applyAlignment="1" applyProtection="1">
      <alignment horizontal="center"/>
    </xf>
    <xf numFmtId="0" fontId="8" fillId="0" borderId="0" xfId="32" applyFont="1" applyAlignment="1" applyProtection="1">
      <alignment horizontal="right"/>
    </xf>
    <xf numFmtId="0" fontId="8" fillId="0" borderId="0" xfId="32" applyFont="1" applyBorder="1" applyProtection="1"/>
    <xf numFmtId="0" fontId="8" fillId="0" borderId="0" xfId="32" applyFont="1" applyBorder="1"/>
    <xf numFmtId="0" fontId="8" fillId="0" borderId="0" xfId="32" applyFont="1" applyBorder="1" applyAlignment="1" applyProtection="1">
      <alignment horizontal="left"/>
    </xf>
    <xf numFmtId="167" fontId="8" fillId="0" borderId="0" xfId="32" applyNumberFormat="1" applyFont="1" applyBorder="1" applyProtection="1"/>
    <xf numFmtId="0" fontId="8" fillId="0" borderId="0" xfId="33" applyFont="1" applyProtection="1"/>
    <xf numFmtId="0" fontId="8" fillId="0" borderId="0" xfId="33" applyFont="1"/>
    <xf numFmtId="0" fontId="8" fillId="0" borderId="0" xfId="33" applyFont="1" applyAlignment="1" applyProtection="1">
      <alignment horizontal="left"/>
    </xf>
    <xf numFmtId="0" fontId="8" fillId="0" borderId="0" xfId="32" applyFont="1" applyBorder="1" applyAlignment="1" applyProtection="1">
      <alignment horizontal="center"/>
    </xf>
    <xf numFmtId="0" fontId="30" fillId="0" borderId="0" xfId="32" applyFont="1" applyBorder="1" applyAlignment="1" applyProtection="1">
      <alignment horizontal="center"/>
    </xf>
    <xf numFmtId="0" fontId="31" fillId="0" borderId="0" xfId="33" applyFont="1" applyAlignment="1" applyProtection="1">
      <alignment horizontal="left"/>
    </xf>
    <xf numFmtId="0" fontId="34" fillId="0" borderId="0" xfId="32" applyFont="1" applyFill="1" applyBorder="1" applyAlignment="1" applyProtection="1">
      <alignment horizontal="center"/>
    </xf>
    <xf numFmtId="14" fontId="8" fillId="0" borderId="0" xfId="33" applyNumberFormat="1" applyFont="1"/>
    <xf numFmtId="0" fontId="8" fillId="0" borderId="0" xfId="33" applyFont="1" applyAlignment="1" applyProtection="1">
      <alignment horizontal="center"/>
    </xf>
    <xf numFmtId="0" fontId="30" fillId="0" borderId="0" xfId="33" applyFont="1" applyAlignment="1" applyProtection="1">
      <alignment horizontal="center"/>
    </xf>
    <xf numFmtId="0" fontId="30" fillId="0" borderId="0" xfId="33" applyFont="1"/>
    <xf numFmtId="0" fontId="30" fillId="0" borderId="0" xfId="33" applyFont="1" applyAlignment="1" applyProtection="1">
      <alignment horizontal="left"/>
    </xf>
    <xf numFmtId="0" fontId="8" fillId="0" borderId="0" xfId="33" applyFont="1" applyAlignment="1">
      <alignment horizontal="left"/>
    </xf>
    <xf numFmtId="0" fontId="8" fillId="0" borderId="0" xfId="33" applyFont="1" applyAlignment="1">
      <alignment horizontal="center"/>
    </xf>
    <xf numFmtId="37" fontId="33" fillId="0" borderId="0" xfId="33" applyNumberFormat="1" applyFont="1" applyProtection="1">
      <protection locked="0"/>
    </xf>
    <xf numFmtId="0" fontId="8" fillId="0" borderId="0" xfId="33" applyFont="1" applyAlignment="1" applyProtection="1">
      <alignment horizontal="right"/>
    </xf>
    <xf numFmtId="37" fontId="8" fillId="0" borderId="0" xfId="33" applyNumberFormat="1" applyFont="1" applyProtection="1"/>
    <xf numFmtId="37" fontId="30" fillId="0" borderId="0" xfId="33" applyNumberFormat="1" applyFont="1" applyProtection="1"/>
    <xf numFmtId="37" fontId="30" fillId="0" borderId="0" xfId="32" applyNumberFormat="1" applyFont="1"/>
    <xf numFmtId="37" fontId="33" fillId="0" borderId="0" xfId="32" applyNumberFormat="1" applyFont="1"/>
    <xf numFmtId="37" fontId="8" fillId="0" borderId="0" xfId="22" applyNumberFormat="1" applyFont="1" applyBorder="1"/>
    <xf numFmtId="42" fontId="8" fillId="0" borderId="0" xfId="22" applyNumberFormat="1" applyFont="1" applyBorder="1"/>
    <xf numFmtId="0" fontId="8" fillId="0" borderId="0" xfId="23" applyFont="1" applyAlignment="1">
      <alignment horizontal="centerContinuous"/>
    </xf>
    <xf numFmtId="0" fontId="8" fillId="0" borderId="0" xfId="23" applyFont="1"/>
    <xf numFmtId="0" fontId="8" fillId="0" borderId="0" xfId="23" applyFont="1" applyProtection="1"/>
    <xf numFmtId="0" fontId="8" fillId="0" borderId="0" xfId="23" quotePrefix="1" applyFont="1" applyAlignment="1" applyProtection="1">
      <alignment horizontal="left"/>
    </xf>
    <xf numFmtId="0" fontId="8" fillId="0" borderId="0" xfId="23" applyFont="1" applyAlignment="1" applyProtection="1">
      <alignment horizontal="left"/>
    </xf>
    <xf numFmtId="0" fontId="8" fillId="0" borderId="0" xfId="23" applyFont="1" applyBorder="1"/>
    <xf numFmtId="0" fontId="8" fillId="0" borderId="0" xfId="23" applyFont="1" applyAlignment="1">
      <alignment horizontal="center"/>
    </xf>
    <xf numFmtId="0" fontId="8" fillId="0" borderId="0" xfId="23" applyFont="1" applyAlignment="1" applyProtection="1">
      <alignment horizontal="right"/>
    </xf>
    <xf numFmtId="0" fontId="8" fillId="0" borderId="0" xfId="23" quotePrefix="1" applyFont="1"/>
    <xf numFmtId="0" fontId="34" fillId="0" borderId="0" xfId="8" applyFont="1" applyFill="1" applyAlignment="1" applyProtection="1">
      <alignment horizontal="center"/>
    </xf>
    <xf numFmtId="0" fontId="31" fillId="0" borderId="0" xfId="8" applyFont="1" applyFill="1"/>
    <xf numFmtId="37" fontId="8" fillId="0" borderId="2" xfId="8" applyNumberFormat="1" applyFont="1" applyFill="1" applyBorder="1" applyProtection="1"/>
    <xf numFmtId="0" fontId="8" fillId="0" borderId="0" xfId="8" quotePrefix="1" applyFont="1"/>
    <xf numFmtId="0" fontId="31" fillId="0" borderId="0" xfId="23" applyFont="1" applyAlignment="1" applyProtection="1">
      <alignment horizontal="left"/>
    </xf>
    <xf numFmtId="0" fontId="30" fillId="0" borderId="0" xfId="23" applyFont="1" applyAlignment="1">
      <alignment horizontal="center"/>
    </xf>
    <xf numFmtId="166" fontId="8" fillId="0" borderId="0" xfId="23" applyNumberFormat="1" applyFont="1"/>
    <xf numFmtId="37" fontId="8" fillId="0" borderId="0" xfId="23" applyNumberFormat="1" applyFont="1"/>
    <xf numFmtId="37" fontId="8" fillId="0" borderId="9" xfId="23" applyNumberFormat="1" applyFont="1" applyBorder="1"/>
    <xf numFmtId="0" fontId="34" fillId="0" borderId="7" xfId="8" applyFont="1" applyFill="1" applyBorder="1" applyAlignment="1" applyProtection="1">
      <alignment horizontal="right"/>
    </xf>
    <xf numFmtId="0" fontId="34" fillId="0" borderId="0" xfId="8" applyFont="1" applyFill="1" applyBorder="1" applyAlignment="1" applyProtection="1">
      <alignment horizontal="right"/>
    </xf>
    <xf numFmtId="0" fontId="34" fillId="0" borderId="0" xfId="8" applyFont="1" applyFill="1" applyAlignment="1" applyProtection="1"/>
    <xf numFmtId="0" fontId="34" fillId="0" borderId="7" xfId="8" applyFont="1" applyFill="1" applyBorder="1" applyAlignment="1">
      <alignment horizontal="center"/>
    </xf>
    <xf numFmtId="17" fontId="34" fillId="0" borderId="7" xfId="8" applyNumberFormat="1" applyFont="1" applyFill="1" applyBorder="1" applyAlignment="1">
      <alignment horizontal="center"/>
    </xf>
    <xf numFmtId="0" fontId="8" fillId="0" borderId="0" xfId="29" applyFont="1"/>
    <xf numFmtId="0" fontId="8" fillId="0" borderId="0" xfId="29" applyFont="1" applyAlignment="1" applyProtection="1">
      <alignment horizontal="left"/>
    </xf>
    <xf numFmtId="0" fontId="8" fillId="0" borderId="0" xfId="29" applyFont="1" applyAlignment="1" applyProtection="1">
      <alignment horizontal="center"/>
    </xf>
    <xf numFmtId="0" fontId="8" fillId="0" borderId="0" xfId="29" applyFont="1" applyAlignment="1">
      <alignment horizontal="center"/>
    </xf>
    <xf numFmtId="0" fontId="8" fillId="0" borderId="0" xfId="29" applyFont="1" applyAlignment="1" applyProtection="1"/>
    <xf numFmtId="0" fontId="8" fillId="0" borderId="0" xfId="29" applyFont="1" applyAlignment="1"/>
    <xf numFmtId="0" fontId="8" fillId="0" borderId="0" xfId="29" applyFont="1" applyAlignment="1" applyProtection="1">
      <alignment horizontal="right"/>
    </xf>
    <xf numFmtId="0" fontId="8" fillId="0" borderId="0" xfId="34" applyFont="1" applyAlignment="1" applyProtection="1"/>
    <xf numFmtId="0" fontId="8" fillId="0" borderId="0" xfId="30" applyFont="1"/>
    <xf numFmtId="0" fontId="8" fillId="0" borderId="0" xfId="30" applyFont="1" applyAlignment="1">
      <alignment horizontal="right"/>
    </xf>
    <xf numFmtId="0" fontId="8" fillId="0" borderId="0" xfId="34" applyFont="1"/>
    <xf numFmtId="0" fontId="8" fillId="0" borderId="0" xfId="29" applyFont="1" applyAlignment="1" applyProtection="1">
      <alignment horizontal="fill"/>
    </xf>
    <xf numFmtId="0" fontId="31" fillId="0" borderId="0" xfId="29" applyFont="1" applyAlignment="1" applyProtection="1">
      <alignment horizontal="left"/>
    </xf>
    <xf numFmtId="0" fontId="8" fillId="0" borderId="0" xfId="29" applyFont="1" applyAlignment="1">
      <alignment horizontal="left"/>
    </xf>
    <xf numFmtId="166" fontId="8" fillId="0" borderId="0" xfId="29" applyNumberFormat="1" applyFont="1" applyAlignment="1" applyProtection="1">
      <alignment horizontal="center"/>
    </xf>
    <xf numFmtId="0" fontId="30" fillId="0" borderId="0" xfId="29" applyFont="1" applyAlignment="1" applyProtection="1">
      <alignment horizontal="center"/>
    </xf>
    <xf numFmtId="0" fontId="30" fillId="0" borderId="0" xfId="29" applyFont="1" applyAlignment="1">
      <alignment horizontal="left"/>
    </xf>
    <xf numFmtId="0" fontId="8" fillId="0" borderId="0" xfId="35" applyFont="1" applyAlignment="1" applyProtection="1">
      <alignment horizontal="centerContinuous"/>
    </xf>
    <xf numFmtId="0" fontId="8" fillId="0" borderId="0" xfId="35" applyFont="1" applyAlignment="1">
      <alignment horizontal="centerContinuous"/>
    </xf>
    <xf numFmtId="0" fontId="8" fillId="0" borderId="0" xfId="35" applyFont="1"/>
    <xf numFmtId="0" fontId="8" fillId="0" borderId="0" xfId="35" applyFont="1" applyProtection="1"/>
    <xf numFmtId="0" fontId="8" fillId="0" borderId="0" xfId="35" applyFont="1" applyAlignment="1" applyProtection="1">
      <alignment horizontal="left"/>
    </xf>
    <xf numFmtId="0" fontId="8" fillId="0" borderId="7" xfId="35" applyFont="1" applyBorder="1" applyAlignment="1" applyProtection="1">
      <alignment horizontal="fill"/>
    </xf>
    <xf numFmtId="0" fontId="8" fillId="0" borderId="0" xfId="35" applyFont="1" applyBorder="1" applyAlignment="1" applyProtection="1">
      <alignment horizontal="fill"/>
    </xf>
    <xf numFmtId="0" fontId="8" fillId="0" borderId="0" xfId="35" applyFont="1" applyAlignment="1" applyProtection="1">
      <alignment horizontal="center"/>
    </xf>
    <xf numFmtId="0" fontId="8" fillId="0" borderId="0" xfId="35" applyFont="1" applyBorder="1"/>
    <xf numFmtId="0" fontId="34" fillId="0" borderId="0" xfId="35" applyFont="1" applyFill="1" applyAlignment="1" applyProtection="1">
      <alignment horizontal="center"/>
    </xf>
    <xf numFmtId="0" fontId="34" fillId="0" borderId="0" xfId="35" applyFont="1" applyFill="1" applyAlignment="1" applyProtection="1">
      <alignment horizontal="right"/>
    </xf>
    <xf numFmtId="0" fontId="31" fillId="0" borderId="0" xfId="35" applyFont="1" applyAlignment="1" applyProtection="1">
      <alignment horizontal="center"/>
      <protection locked="0"/>
    </xf>
    <xf numFmtId="165" fontId="34" fillId="0" borderId="0" xfId="35" applyNumberFormat="1" applyFont="1" applyFill="1" applyAlignment="1" applyProtection="1">
      <alignment horizontal="right"/>
    </xf>
    <xf numFmtId="0" fontId="34" fillId="0" borderId="0" xfId="35" applyFont="1" applyFill="1" applyAlignment="1">
      <alignment horizontal="right"/>
    </xf>
    <xf numFmtId="165" fontId="34" fillId="0" borderId="0" xfId="35" applyNumberFormat="1" applyFont="1" applyFill="1" applyAlignment="1" applyProtection="1">
      <alignment horizontal="left"/>
    </xf>
    <xf numFmtId="0" fontId="34" fillId="0" borderId="0" xfId="35" applyFont="1" applyFill="1" applyAlignment="1">
      <alignment horizontal="center"/>
    </xf>
    <xf numFmtId="0" fontId="31" fillId="0" borderId="0" xfId="35" applyFont="1" applyProtection="1">
      <protection locked="0"/>
    </xf>
    <xf numFmtId="0" fontId="34" fillId="0" borderId="0" xfId="35" applyFont="1" applyFill="1" applyAlignment="1" applyProtection="1">
      <alignment horizontal="center"/>
      <protection locked="0"/>
    </xf>
    <xf numFmtId="165" fontId="31" fillId="0" borderId="0" xfId="35" applyNumberFormat="1" applyFont="1" applyFill="1" applyAlignment="1" applyProtection="1">
      <alignment horizontal="right"/>
    </xf>
    <xf numFmtId="0" fontId="8" fillId="0" borderId="0" xfId="35" applyFont="1" applyBorder="1" applyAlignment="1" applyProtection="1">
      <alignment horizontal="centerContinuous"/>
    </xf>
    <xf numFmtId="0" fontId="8" fillId="0" borderId="0" xfId="35" applyFont="1" applyBorder="1" applyAlignment="1">
      <alignment horizontal="centerContinuous"/>
    </xf>
    <xf numFmtId="0" fontId="8" fillId="0" borderId="0" xfId="35" applyFont="1" applyBorder="1" applyProtection="1"/>
    <xf numFmtId="0" fontId="8" fillId="0" borderId="0" xfId="35" applyFont="1" applyBorder="1" applyAlignment="1" applyProtection="1">
      <alignment horizontal="left"/>
    </xf>
    <xf numFmtId="0" fontId="8" fillId="0" borderId="0" xfId="35" applyFont="1" applyBorder="1" applyAlignment="1" applyProtection="1">
      <alignment horizontal="center"/>
    </xf>
    <xf numFmtId="0" fontId="8" fillId="0" borderId="0" xfId="35" applyFont="1" applyBorder="1" applyAlignment="1">
      <alignment horizontal="center"/>
    </xf>
    <xf numFmtId="0" fontId="21" fillId="0" borderId="0" xfId="35" applyFont="1" applyBorder="1"/>
    <xf numFmtId="0" fontId="34" fillId="0" borderId="0" xfId="35" applyFont="1" applyFill="1" applyBorder="1" applyAlignment="1">
      <alignment horizontal="center"/>
    </xf>
    <xf numFmtId="37" fontId="31" fillId="0" borderId="0" xfId="35" applyNumberFormat="1" applyFont="1" applyBorder="1" applyProtection="1"/>
    <xf numFmtId="37" fontId="8" fillId="0" borderId="0" xfId="35" applyNumberFormat="1" applyFont="1" applyBorder="1" applyAlignment="1" applyProtection="1">
      <alignment horizontal="left"/>
    </xf>
    <xf numFmtId="166" fontId="8" fillId="0" borderId="0" xfId="35" applyNumberFormat="1" applyFont="1" applyBorder="1" applyProtection="1"/>
    <xf numFmtId="0" fontId="34" fillId="0" borderId="0" xfId="35" applyFont="1" applyFill="1" applyBorder="1" applyAlignment="1" applyProtection="1">
      <alignment horizontal="center"/>
    </xf>
    <xf numFmtId="5" fontId="31" fillId="0" borderId="0" xfId="35" applyNumberFormat="1" applyFont="1" applyBorder="1" applyProtection="1"/>
    <xf numFmtId="5" fontId="8" fillId="0" borderId="0" xfId="35" applyNumberFormat="1" applyFont="1" applyBorder="1" applyProtection="1"/>
    <xf numFmtId="165" fontId="8" fillId="0" borderId="0" xfId="35" applyNumberFormat="1" applyFont="1" applyBorder="1" applyProtection="1"/>
    <xf numFmtId="37" fontId="8" fillId="0" borderId="0" xfId="35" applyNumberFormat="1" applyFont="1" applyBorder="1" applyProtection="1"/>
    <xf numFmtId="37" fontId="8" fillId="0" borderId="0" xfId="35" applyNumberFormat="1" applyFont="1" applyBorder="1"/>
    <xf numFmtId="165" fontId="8" fillId="0" borderId="0" xfId="35" applyNumberFormat="1" applyFont="1" applyBorder="1" applyAlignment="1" applyProtection="1">
      <alignment horizontal="center"/>
    </xf>
    <xf numFmtId="165" fontId="34" fillId="0" borderId="0" xfId="35" applyNumberFormat="1" applyFont="1" applyFill="1" applyBorder="1" applyAlignment="1" applyProtection="1">
      <alignment horizontal="left"/>
    </xf>
    <xf numFmtId="0" fontId="8" fillId="0" borderId="0" xfId="36" applyFont="1" applyAlignment="1" applyProtection="1">
      <alignment horizontal="centerContinuous"/>
    </xf>
    <xf numFmtId="0" fontId="8" fillId="0" borderId="0" xfId="36" applyFont="1" applyAlignment="1">
      <alignment horizontal="centerContinuous"/>
    </xf>
    <xf numFmtId="0" fontId="8" fillId="0" borderId="0" xfId="36" applyFont="1"/>
    <xf numFmtId="0" fontId="8" fillId="0" borderId="0" xfId="36" applyFont="1" applyProtection="1"/>
    <xf numFmtId="0" fontId="8" fillId="0" borderId="0" xfId="36" applyFont="1" applyAlignment="1" applyProtection="1">
      <alignment horizontal="left"/>
    </xf>
    <xf numFmtId="0" fontId="8" fillId="0" borderId="7" xfId="36" applyFont="1" applyBorder="1" applyAlignment="1" applyProtection="1">
      <alignment horizontal="fill"/>
    </xf>
    <xf numFmtId="0" fontId="8" fillId="0" borderId="0" xfId="36" applyFont="1" applyAlignment="1" applyProtection="1">
      <alignment horizontal="center"/>
    </xf>
    <xf numFmtId="0" fontId="8" fillId="0" borderId="0" xfId="36" applyFont="1" applyAlignment="1">
      <alignment horizontal="center"/>
    </xf>
    <xf numFmtId="0" fontId="8" fillId="0" borderId="7" xfId="36" applyFont="1" applyBorder="1" applyAlignment="1" applyProtection="1">
      <alignment horizontal="center"/>
    </xf>
    <xf numFmtId="0" fontId="8" fillId="0" borderId="7" xfId="36" applyFont="1" applyBorder="1"/>
    <xf numFmtId="0" fontId="21" fillId="0" borderId="0" xfId="36" applyFont="1"/>
    <xf numFmtId="0" fontId="34" fillId="0" borderId="0" xfId="36" applyFont="1" applyFill="1" applyAlignment="1">
      <alignment horizontal="center"/>
    </xf>
    <xf numFmtId="37" fontId="31" fillId="0" borderId="0" xfId="36" applyNumberFormat="1" applyFont="1" applyProtection="1"/>
    <xf numFmtId="37" fontId="8" fillId="0" borderId="0" xfId="36" applyNumberFormat="1" applyFont="1" applyAlignment="1" applyProtection="1">
      <alignment horizontal="left"/>
    </xf>
    <xf numFmtId="166" fontId="8" fillId="0" borderId="0" xfId="36" applyNumberFormat="1" applyFont="1" applyProtection="1"/>
    <xf numFmtId="0" fontId="34" fillId="0" borderId="0" xfId="36" applyFont="1" applyFill="1" applyAlignment="1" applyProtection="1">
      <alignment horizontal="center"/>
    </xf>
    <xf numFmtId="5" fontId="31" fillId="0" borderId="0" xfId="36" applyNumberFormat="1" applyFont="1" applyProtection="1"/>
    <xf numFmtId="5" fontId="8" fillId="0" borderId="0" xfId="36" applyNumberFormat="1" applyFont="1" applyProtection="1"/>
    <xf numFmtId="165" fontId="8" fillId="0" borderId="0" xfId="36" applyNumberFormat="1" applyFont="1" applyProtection="1"/>
    <xf numFmtId="37" fontId="8" fillId="0" borderId="0" xfId="36" applyNumberFormat="1" applyFont="1" applyProtection="1"/>
    <xf numFmtId="37" fontId="8" fillId="0" borderId="0" xfId="36" applyNumberFormat="1" applyFont="1"/>
    <xf numFmtId="165" fontId="8" fillId="0" borderId="0" xfId="36" applyNumberFormat="1" applyFont="1" applyAlignment="1" applyProtection="1">
      <alignment horizontal="center"/>
    </xf>
    <xf numFmtId="165" fontId="34" fillId="0" borderId="0" xfId="36" applyNumberFormat="1" applyFont="1" applyFill="1" applyAlignment="1" applyProtection="1">
      <alignment horizontal="left"/>
    </xf>
    <xf numFmtId="37" fontId="8" fillId="0" borderId="0" xfId="46" applyNumberFormat="1" applyFont="1" applyAlignment="1" applyProtection="1">
      <alignment horizontal="centerContinuous"/>
    </xf>
    <xf numFmtId="0" fontId="8" fillId="0" borderId="0" xfId="46" applyFont="1" applyAlignment="1">
      <alignment horizontal="centerContinuous"/>
    </xf>
    <xf numFmtId="0" fontId="8" fillId="0" borderId="0" xfId="46" applyFont="1"/>
    <xf numFmtId="0" fontId="8" fillId="0" borderId="0" xfId="46" applyFont="1" applyAlignment="1" applyProtection="1">
      <alignment horizontal="centerContinuous"/>
    </xf>
    <xf numFmtId="0" fontId="8" fillId="0" borderId="0" xfId="46" applyFont="1" applyProtection="1"/>
    <xf numFmtId="0" fontId="8" fillId="0" borderId="0" xfId="46" quotePrefix="1" applyFont="1" applyAlignment="1" applyProtection="1">
      <alignment horizontal="left"/>
    </xf>
    <xf numFmtId="0" fontId="8" fillId="0" borderId="0" xfId="46" applyFont="1" applyAlignment="1" applyProtection="1">
      <alignment horizontal="left"/>
    </xf>
    <xf numFmtId="0" fontId="8" fillId="0" borderId="7" xfId="46" applyFont="1" applyBorder="1"/>
    <xf numFmtId="0" fontId="8" fillId="0" borderId="7" xfId="46" applyFont="1" applyBorder="1" applyAlignment="1" applyProtection="1">
      <alignment horizontal="fill"/>
    </xf>
    <xf numFmtId="0" fontId="8" fillId="0" borderId="2" xfId="46" applyFont="1" applyBorder="1"/>
    <xf numFmtId="0" fontId="8" fillId="0" borderId="0" xfId="46" applyFont="1" applyAlignment="1" applyProtection="1">
      <alignment horizontal="center"/>
    </xf>
    <xf numFmtId="0" fontId="30" fillId="0" borderId="0" xfId="46" applyFont="1" applyAlignment="1" applyProtection="1">
      <alignment horizontal="left"/>
    </xf>
    <xf numFmtId="0" fontId="34" fillId="0" borderId="0" xfId="46" applyFont="1" applyAlignment="1" applyProtection="1">
      <alignment horizontal="centerContinuous"/>
    </xf>
    <xf numFmtId="0" fontId="30" fillId="0" borderId="0" xfId="46" applyFont="1" applyAlignment="1" applyProtection="1">
      <alignment horizontal="centerContinuous"/>
    </xf>
    <xf numFmtId="0" fontId="8" fillId="0" borderId="0" xfId="46" applyFont="1" applyAlignment="1">
      <alignment horizontal="center"/>
    </xf>
    <xf numFmtId="0" fontId="8" fillId="0" borderId="7" xfId="46" quotePrefix="1" applyFont="1" applyBorder="1" applyAlignment="1" applyProtection="1">
      <alignment horizontal="center"/>
    </xf>
    <xf numFmtId="0" fontId="30" fillId="0" borderId="7" xfId="46" applyFont="1" applyBorder="1" applyAlignment="1" applyProtection="1">
      <alignment horizontal="centerContinuous"/>
    </xf>
    <xf numFmtId="37" fontId="8" fillId="0" borderId="0" xfId="46" applyNumberFormat="1" applyFont="1" applyProtection="1"/>
    <xf numFmtId="37" fontId="8" fillId="0" borderId="8" xfId="46" applyNumberFormat="1" applyFont="1" applyBorder="1" applyProtection="1"/>
    <xf numFmtId="37" fontId="8" fillId="0" borderId="0" xfId="46" applyNumberFormat="1" applyFont="1" applyAlignment="1" applyProtection="1">
      <alignment horizontal="right"/>
    </xf>
    <xf numFmtId="0" fontId="8" fillId="0" borderId="0" xfId="46" applyFont="1" applyBorder="1" applyAlignment="1" applyProtection="1">
      <alignment horizontal="centerContinuous"/>
    </xf>
    <xf numFmtId="0" fontId="8" fillId="0" borderId="0" xfId="46" applyFont="1" applyAlignment="1" applyProtection="1">
      <alignment horizontal="right"/>
    </xf>
    <xf numFmtId="0" fontId="8" fillId="0" borderId="7" xfId="46" applyFont="1" applyBorder="1" applyAlignment="1" applyProtection="1">
      <alignment horizontal="center"/>
    </xf>
    <xf numFmtId="37" fontId="8" fillId="0" borderId="0" xfId="46" applyNumberFormat="1" applyFont="1" applyAlignment="1" applyProtection="1">
      <alignment horizontal="center"/>
    </xf>
    <xf numFmtId="37" fontId="34" fillId="0" borderId="0" xfId="46" applyNumberFormat="1" applyFont="1" applyProtection="1">
      <protection locked="0"/>
    </xf>
    <xf numFmtId="0" fontId="8" fillId="0" borderId="0" xfId="46" quotePrefix="1" applyFont="1"/>
    <xf numFmtId="0" fontId="31" fillId="0" borderId="0" xfId="46" applyFont="1" applyProtection="1">
      <protection locked="0"/>
    </xf>
    <xf numFmtId="37" fontId="8" fillId="0" borderId="0" xfId="46" applyNumberFormat="1" applyFont="1" applyProtection="1">
      <protection locked="0"/>
    </xf>
    <xf numFmtId="37" fontId="31" fillId="0" borderId="7" xfId="46" applyNumberFormat="1" applyFont="1" applyBorder="1" applyProtection="1">
      <protection locked="0"/>
    </xf>
    <xf numFmtId="0" fontId="8" fillId="0" borderId="0" xfId="52" applyFont="1" applyAlignment="1" applyProtection="1">
      <alignment horizontal="centerContinuous"/>
    </xf>
    <xf numFmtId="0" fontId="8" fillId="0" borderId="0" xfId="52" applyFont="1" applyAlignment="1">
      <alignment horizontal="centerContinuous"/>
    </xf>
    <xf numFmtId="0" fontId="8" fillId="0" borderId="0" xfId="52" quotePrefix="1" applyFont="1" applyAlignment="1" applyProtection="1">
      <alignment horizontal="center"/>
    </xf>
    <xf numFmtId="0" fontId="8" fillId="0" borderId="0" xfId="52" applyFont="1"/>
    <xf numFmtId="0" fontId="8" fillId="0" borderId="0" xfId="52" quotePrefix="1" applyFont="1" applyAlignment="1" applyProtection="1">
      <alignment horizontal="right"/>
    </xf>
    <xf numFmtId="0" fontId="8" fillId="0" borderId="0" xfId="52" applyFont="1" applyAlignment="1" applyProtection="1">
      <alignment horizontal="left"/>
    </xf>
    <xf numFmtId="0" fontId="31" fillId="0" borderId="0" xfId="52" applyFont="1" applyAlignment="1" applyProtection="1">
      <alignment horizontal="centerContinuous"/>
      <protection locked="0"/>
    </xf>
    <xf numFmtId="0" fontId="8" fillId="0" borderId="0" xfId="52" applyFont="1" applyAlignment="1" applyProtection="1">
      <alignment horizontal="center"/>
    </xf>
    <xf numFmtId="0" fontId="8" fillId="0" borderId="0" xfId="52" applyFont="1" applyAlignment="1" applyProtection="1">
      <alignment horizontal="fill"/>
    </xf>
    <xf numFmtId="0" fontId="8" fillId="0" borderId="0" xfId="52" applyFont="1" applyBorder="1" applyAlignment="1" applyProtection="1">
      <alignment horizontal="center"/>
    </xf>
    <xf numFmtId="0" fontId="8" fillId="0" borderId="0" xfId="52" applyFont="1" applyBorder="1" applyAlignment="1" applyProtection="1">
      <alignment horizontal="centerContinuous"/>
    </xf>
    <xf numFmtId="0" fontId="8" fillId="0" borderId="0" xfId="52" applyFont="1" applyProtection="1"/>
    <xf numFmtId="169" fontId="34" fillId="0" borderId="7" xfId="54" applyNumberFormat="1" applyFont="1" applyFill="1" applyBorder="1" applyAlignment="1" applyProtection="1">
      <alignment horizontal="center"/>
      <protection locked="0"/>
    </xf>
    <xf numFmtId="0" fontId="30" fillId="0" borderId="0" xfId="52" applyFont="1" applyAlignment="1" applyProtection="1">
      <alignment horizontal="left"/>
    </xf>
    <xf numFmtId="170" fontId="31" fillId="0" borderId="0" xfId="52" applyNumberFormat="1" applyFont="1" applyProtection="1">
      <protection locked="0"/>
    </xf>
    <xf numFmtId="170" fontId="8" fillId="0" borderId="0" xfId="52" applyNumberFormat="1" applyFont="1" applyProtection="1"/>
    <xf numFmtId="170" fontId="32" fillId="0" borderId="0" xfId="52" applyNumberFormat="1" applyFont="1" applyProtection="1">
      <protection locked="0"/>
    </xf>
    <xf numFmtId="170" fontId="30" fillId="0" borderId="0" xfId="52" applyNumberFormat="1" applyFont="1" applyProtection="1"/>
    <xf numFmtId="170" fontId="33" fillId="0" borderId="0" xfId="52" applyNumberFormat="1" applyFont="1" applyProtection="1"/>
    <xf numFmtId="170" fontId="8" fillId="0" borderId="0" xfId="52" applyNumberFormat="1" applyFont="1"/>
    <xf numFmtId="170" fontId="8" fillId="0" borderId="0" xfId="52" applyNumberFormat="1" applyFont="1" applyProtection="1">
      <protection locked="0"/>
    </xf>
    <xf numFmtId="170" fontId="30" fillId="0" borderId="0" xfId="52" applyNumberFormat="1" applyFont="1" applyProtection="1">
      <protection locked="0"/>
    </xf>
    <xf numFmtId="170" fontId="33" fillId="0" borderId="0" xfId="52" applyNumberFormat="1" applyFont="1" applyAlignment="1" applyProtection="1">
      <alignment horizontal="right"/>
    </xf>
    <xf numFmtId="170" fontId="8" fillId="0" borderId="0" xfId="52" applyNumberFormat="1" applyFont="1" applyAlignment="1" applyProtection="1">
      <alignment horizontal="right"/>
    </xf>
    <xf numFmtId="0" fontId="8" fillId="0" borderId="0" xfId="52" applyFont="1" applyBorder="1"/>
    <xf numFmtId="0" fontId="8" fillId="0" borderId="0" xfId="52" applyFont="1" applyBorder="1" applyAlignment="1">
      <alignment horizontal="centerContinuous"/>
    </xf>
    <xf numFmtId="0" fontId="8" fillId="0" borderId="0" xfId="52" quotePrefix="1" applyFont="1" applyBorder="1" applyAlignment="1" applyProtection="1">
      <alignment horizontal="center"/>
    </xf>
    <xf numFmtId="0" fontId="8" fillId="0" borderId="0" xfId="52" applyFont="1" applyBorder="1" applyProtection="1"/>
    <xf numFmtId="0" fontId="8" fillId="0" borderId="0" xfId="52" applyFont="1" applyBorder="1" applyAlignment="1" applyProtection="1">
      <alignment horizontal="left"/>
    </xf>
    <xf numFmtId="0" fontId="30" fillId="0" borderId="0" xfId="52" applyFont="1" applyBorder="1" applyAlignment="1" applyProtection="1">
      <alignment horizontal="center"/>
    </xf>
    <xf numFmtId="0" fontId="30" fillId="0" borderId="0" xfId="52" applyFont="1" applyBorder="1" applyAlignment="1" applyProtection="1">
      <alignment horizontal="left"/>
    </xf>
    <xf numFmtId="0" fontId="30" fillId="0" borderId="0" xfId="52" applyFont="1" applyBorder="1" applyAlignment="1" applyProtection="1">
      <alignment horizontal="centerContinuous"/>
    </xf>
    <xf numFmtId="0" fontId="30" fillId="0" borderId="0" xfId="52" applyFont="1" applyBorder="1" applyAlignment="1">
      <alignment horizontal="centerContinuous"/>
    </xf>
    <xf numFmtId="0" fontId="8" fillId="0" borderId="0" xfId="52" applyFont="1" applyBorder="1" applyAlignment="1" applyProtection="1">
      <alignment horizontal="fill"/>
    </xf>
    <xf numFmtId="0" fontId="22" fillId="0" borderId="0" xfId="52" applyFont="1" applyBorder="1" applyAlignment="1" applyProtection="1">
      <alignment horizontal="center"/>
    </xf>
    <xf numFmtId="169" fontId="35" fillId="0" borderId="0" xfId="52" applyNumberFormat="1" applyFont="1" applyFill="1" applyBorder="1" applyAlignment="1" applyProtection="1">
      <alignment horizontal="center"/>
      <protection locked="0"/>
    </xf>
    <xf numFmtId="169" fontId="41" fillId="0" borderId="0" xfId="52" applyNumberFormat="1" applyFont="1" applyFill="1" applyBorder="1" applyAlignment="1" applyProtection="1">
      <alignment horizontal="center"/>
    </xf>
    <xf numFmtId="170" fontId="34" fillId="0" borderId="0" xfId="52" applyNumberFormat="1" applyFont="1" applyBorder="1" applyProtection="1">
      <protection locked="0"/>
    </xf>
    <xf numFmtId="170" fontId="32" fillId="0" borderId="0" xfId="52" applyNumberFormat="1" applyFont="1" applyBorder="1" applyProtection="1">
      <protection locked="0"/>
    </xf>
    <xf numFmtId="170" fontId="36" fillId="0" borderId="0" xfId="52" applyNumberFormat="1" applyFont="1" applyBorder="1" applyProtection="1">
      <protection locked="0"/>
    </xf>
    <xf numFmtId="0" fontId="8" fillId="0" borderId="0" xfId="52" applyFont="1" applyBorder="1" applyAlignment="1" applyProtection="1">
      <alignment horizontal="right"/>
    </xf>
    <xf numFmtId="170" fontId="35" fillId="0" borderId="0" xfId="52" applyNumberFormat="1" applyFont="1" applyBorder="1" applyProtection="1">
      <protection locked="0"/>
    </xf>
    <xf numFmtId="0" fontId="34" fillId="0" borderId="0" xfId="52" applyFont="1" applyFill="1" applyBorder="1" applyAlignment="1" applyProtection="1">
      <alignment horizontal="center"/>
    </xf>
    <xf numFmtId="0" fontId="31" fillId="0" borderId="0" xfId="52" applyFont="1" applyBorder="1" applyProtection="1">
      <protection locked="0"/>
    </xf>
    <xf numFmtId="0" fontId="8" fillId="0" borderId="0" xfId="52" quotePrefix="1" applyFont="1" applyAlignment="1" applyProtection="1">
      <alignment horizontal="centerContinuous"/>
    </xf>
    <xf numFmtId="0" fontId="8" fillId="0" borderId="0" xfId="52" applyFont="1" applyAlignment="1" applyProtection="1">
      <alignment horizontal="centerContinuous"/>
      <protection locked="0"/>
    </xf>
    <xf numFmtId="0" fontId="8" fillId="0" borderId="0" xfId="53" quotePrefix="1" applyFont="1" applyAlignment="1" applyProtection="1">
      <alignment horizontal="centerContinuous"/>
      <protection locked="0"/>
    </xf>
    <xf numFmtId="17" fontId="30" fillId="0" borderId="0" xfId="52" applyNumberFormat="1" applyFont="1" applyAlignment="1">
      <alignment horizontal="center"/>
    </xf>
    <xf numFmtId="0" fontId="30" fillId="0" borderId="0" xfId="52" applyFont="1" applyAlignment="1" applyProtection="1">
      <alignment horizontal="center"/>
    </xf>
    <xf numFmtId="170" fontId="33" fillId="0" borderId="0" xfId="52" applyNumberFormat="1" applyFont="1"/>
    <xf numFmtId="170" fontId="30" fillId="0" borderId="0" xfId="52" applyNumberFormat="1" applyFont="1"/>
    <xf numFmtId="170" fontId="30" fillId="0" borderId="0" xfId="52" applyNumberFormat="1" applyFont="1" applyBorder="1"/>
    <xf numFmtId="0" fontId="8" fillId="0" borderId="0" xfId="53" applyFont="1" applyAlignment="1" applyProtection="1">
      <alignment horizontal="centerContinuous"/>
    </xf>
    <xf numFmtId="0" fontId="8" fillId="0" borderId="0" xfId="53" applyFont="1" applyAlignment="1">
      <alignment horizontal="centerContinuous"/>
    </xf>
    <xf numFmtId="0" fontId="8" fillId="0" borderId="0" xfId="53" quotePrefix="1" applyFont="1" applyAlignment="1" applyProtection="1">
      <alignment horizontal="center"/>
    </xf>
    <xf numFmtId="0" fontId="8" fillId="0" borderId="0" xfId="53" applyFont="1"/>
    <xf numFmtId="0" fontId="8" fillId="0" borderId="0" xfId="53" quotePrefix="1" applyFont="1" applyAlignment="1" applyProtection="1">
      <alignment horizontal="right"/>
    </xf>
    <xf numFmtId="0" fontId="8" fillId="0" borderId="0" xfId="53" applyFont="1" applyAlignment="1" applyProtection="1">
      <alignment horizontal="left"/>
    </xf>
    <xf numFmtId="0" fontId="31" fillId="0" borderId="0" xfId="53" applyFont="1" applyAlignment="1" applyProtection="1">
      <alignment horizontal="centerContinuous"/>
      <protection locked="0"/>
    </xf>
    <xf numFmtId="181" fontId="8" fillId="0" borderId="0" xfId="11" quotePrefix="1" applyNumberFormat="1" applyFont="1" applyAlignment="1" applyProtection="1">
      <alignment horizontal="centerContinuous"/>
      <protection locked="0"/>
    </xf>
    <xf numFmtId="0" fontId="31" fillId="0" borderId="0" xfId="53" applyFont="1" applyAlignment="1" applyProtection="1">
      <alignment horizontal="left"/>
      <protection locked="0"/>
    </xf>
    <xf numFmtId="0" fontId="8" fillId="0" borderId="0" xfId="53" applyFont="1" applyAlignment="1" applyProtection="1">
      <alignment horizontal="center"/>
    </xf>
    <xf numFmtId="0" fontId="34" fillId="0" borderId="0" xfId="53" applyFont="1" applyAlignment="1" applyProtection="1">
      <alignment horizontal="left"/>
      <protection locked="0"/>
    </xf>
    <xf numFmtId="0" fontId="8" fillId="0" borderId="7" xfId="53" applyFont="1" applyBorder="1" applyAlignment="1" applyProtection="1">
      <alignment horizontal="left"/>
    </xf>
    <xf numFmtId="0" fontId="8" fillId="0" borderId="7" xfId="53" applyFont="1" applyBorder="1"/>
    <xf numFmtId="0" fontId="31" fillId="0" borderId="7" xfId="53" applyFont="1" applyBorder="1" applyAlignment="1" applyProtection="1">
      <alignment horizontal="centerContinuous"/>
      <protection locked="0"/>
    </xf>
    <xf numFmtId="0" fontId="8" fillId="0" borderId="7" xfId="53" applyFont="1" applyBorder="1" applyAlignment="1">
      <alignment horizontal="centerContinuous"/>
    </xf>
    <xf numFmtId="0" fontId="30" fillId="0" borderId="0" xfId="53" applyFont="1" applyBorder="1" applyAlignment="1">
      <alignment horizontal="centerContinuous"/>
    </xf>
    <xf numFmtId="0" fontId="8" fillId="0" borderId="0" xfId="53" applyFont="1" applyAlignment="1" applyProtection="1">
      <alignment horizontal="fill"/>
    </xf>
    <xf numFmtId="0" fontId="8" fillId="0" borderId="7" xfId="53" applyFont="1" applyBorder="1" applyAlignment="1" applyProtection="1">
      <alignment horizontal="center"/>
    </xf>
    <xf numFmtId="169" fontId="34" fillId="0" borderId="7" xfId="53" applyNumberFormat="1" applyFont="1" applyFill="1" applyBorder="1" applyAlignment="1" applyProtection="1">
      <alignment horizontal="center"/>
      <protection locked="0"/>
    </xf>
    <xf numFmtId="170" fontId="34" fillId="0" borderId="0" xfId="53" applyNumberFormat="1" applyFont="1" applyProtection="1">
      <protection locked="0"/>
    </xf>
    <xf numFmtId="170" fontId="30" fillId="0" borderId="0" xfId="53" applyNumberFormat="1" applyFont="1" applyProtection="1">
      <protection locked="0"/>
    </xf>
    <xf numFmtId="170" fontId="30" fillId="0" borderId="0" xfId="53" applyNumberFormat="1" applyFont="1" applyProtection="1"/>
    <xf numFmtId="170" fontId="8" fillId="0" borderId="0" xfId="53" applyNumberFormat="1" applyFont="1" applyAlignment="1" applyProtection="1">
      <alignment horizontal="right"/>
    </xf>
    <xf numFmtId="170" fontId="8" fillId="0" borderId="0" xfId="53" applyNumberFormat="1" applyFont="1"/>
    <xf numFmtId="170" fontId="35" fillId="0" borderId="0" xfId="53" applyNumberFormat="1" applyFont="1" applyProtection="1">
      <protection locked="0"/>
    </xf>
    <xf numFmtId="170" fontId="30" fillId="0" borderId="0" xfId="52" applyNumberFormat="1" applyFont="1" applyAlignment="1" applyProtection="1">
      <alignment horizontal="right"/>
    </xf>
    <xf numFmtId="170" fontId="33" fillId="0" borderId="0" xfId="52" applyNumberFormat="1" applyFont="1" applyProtection="1">
      <protection locked="0"/>
    </xf>
    <xf numFmtId="170" fontId="8" fillId="0" borderId="0" xfId="53" applyNumberFormat="1" applyFont="1" applyProtection="1"/>
    <xf numFmtId="0" fontId="8" fillId="0" borderId="0" xfId="53" quotePrefix="1" applyFont="1" applyBorder="1" applyAlignment="1" applyProtection="1">
      <alignment horizontal="left"/>
    </xf>
    <xf numFmtId="0" fontId="8" fillId="0" borderId="0" xfId="53" applyFont="1" applyBorder="1"/>
    <xf numFmtId="0" fontId="8" fillId="0" borderId="0" xfId="53" applyFont="1" applyBorder="1" applyAlignment="1" applyProtection="1">
      <alignment horizontal="centerContinuous"/>
    </xf>
    <xf numFmtId="0" fontId="8" fillId="0" borderId="0" xfId="53" applyFont="1" applyBorder="1" applyAlignment="1">
      <alignment horizontal="centerContinuous"/>
    </xf>
    <xf numFmtId="0" fontId="8" fillId="0" borderId="0" xfId="53" quotePrefix="1" applyFont="1" applyBorder="1" applyAlignment="1" applyProtection="1">
      <alignment horizontal="center"/>
    </xf>
    <xf numFmtId="0" fontId="8" fillId="0" borderId="0" xfId="53" applyFont="1" applyBorder="1" applyProtection="1"/>
    <xf numFmtId="0" fontId="8" fillId="0" borderId="0" xfId="53" applyFont="1" applyBorder="1" applyAlignment="1" applyProtection="1">
      <alignment horizontal="left"/>
    </xf>
    <xf numFmtId="0" fontId="8" fillId="0" borderId="0" xfId="53" applyFont="1" applyBorder="1" applyAlignment="1" applyProtection="1">
      <alignment horizontal="center"/>
    </xf>
    <xf numFmtId="0" fontId="30" fillId="0" borderId="0" xfId="53" applyFont="1" applyBorder="1" applyAlignment="1" applyProtection="1">
      <alignment horizontal="center"/>
    </xf>
    <xf numFmtId="0" fontId="30" fillId="0" borderId="0" xfId="53" applyFont="1" applyBorder="1" applyAlignment="1" applyProtection="1">
      <alignment horizontal="left"/>
    </xf>
    <xf numFmtId="0" fontId="30" fillId="0" borderId="0" xfId="53" applyFont="1" applyBorder="1" applyAlignment="1" applyProtection="1">
      <alignment horizontal="centerContinuous"/>
    </xf>
    <xf numFmtId="0" fontId="8" fillId="0" borderId="0" xfId="53" applyFont="1" applyBorder="1" applyAlignment="1" applyProtection="1">
      <alignment horizontal="fill"/>
    </xf>
    <xf numFmtId="0" fontId="22" fillId="0" borderId="0" xfId="53" applyFont="1" applyBorder="1" applyAlignment="1" applyProtection="1">
      <alignment horizontal="center"/>
    </xf>
    <xf numFmtId="169" fontId="35" fillId="0" borderId="0" xfId="53" applyNumberFormat="1" applyFont="1" applyFill="1" applyBorder="1" applyAlignment="1" applyProtection="1">
      <alignment horizontal="center"/>
      <protection locked="0"/>
    </xf>
    <xf numFmtId="169" fontId="41" fillId="0" borderId="0" xfId="53" applyNumberFormat="1" applyFont="1" applyFill="1" applyBorder="1" applyAlignment="1" applyProtection="1">
      <alignment horizontal="center"/>
    </xf>
    <xf numFmtId="170" fontId="31" fillId="0" borderId="0" xfId="53" applyNumberFormat="1" applyFont="1" applyBorder="1" applyProtection="1">
      <protection locked="0"/>
    </xf>
    <xf numFmtId="170" fontId="32" fillId="0" borderId="0" xfId="53" applyNumberFormat="1" applyFont="1" applyBorder="1" applyProtection="1">
      <protection locked="0"/>
    </xf>
    <xf numFmtId="170" fontId="36" fillId="0" borderId="0" xfId="53" applyNumberFormat="1" applyFont="1" applyBorder="1" applyProtection="1">
      <protection locked="0"/>
    </xf>
    <xf numFmtId="0" fontId="8" fillId="0" borderId="0" xfId="53" applyFont="1" applyBorder="1" applyAlignment="1" applyProtection="1">
      <alignment horizontal="right"/>
    </xf>
    <xf numFmtId="170" fontId="34" fillId="0" borderId="0" xfId="53" applyNumberFormat="1" applyFont="1" applyBorder="1" applyProtection="1">
      <protection locked="0"/>
    </xf>
    <xf numFmtId="170" fontId="35" fillId="0" borderId="0" xfId="53" applyNumberFormat="1" applyFont="1" applyBorder="1" applyProtection="1">
      <protection locked="0"/>
    </xf>
    <xf numFmtId="0" fontId="34" fillId="0" borderId="0" xfId="53" applyFont="1" applyFill="1" applyBorder="1" applyAlignment="1" applyProtection="1">
      <alignment horizontal="center"/>
    </xf>
    <xf numFmtId="0" fontId="31" fillId="0" borderId="0" xfId="53" applyFont="1" applyBorder="1" applyProtection="1">
      <protection locked="0"/>
    </xf>
    <xf numFmtId="0" fontId="42" fillId="0" borderId="0" xfId="54" quotePrefix="1" applyFont="1" applyAlignment="1" applyProtection="1">
      <alignment horizontal="center"/>
    </xf>
    <xf numFmtId="0" fontId="42" fillId="0" borderId="0" xfId="54" applyFont="1"/>
    <xf numFmtId="0" fontId="42" fillId="0" borderId="0" xfId="54" quotePrefix="1" applyFont="1" applyAlignment="1" applyProtection="1">
      <alignment horizontal="right"/>
    </xf>
    <xf numFmtId="0" fontId="42" fillId="0" borderId="0" xfId="54" applyFont="1" applyAlignment="1" applyProtection="1">
      <alignment horizontal="left"/>
    </xf>
    <xf numFmtId="0" fontId="8" fillId="0" borderId="0" xfId="54" applyFont="1" applyAlignment="1" applyProtection="1">
      <alignment horizontal="left"/>
    </xf>
    <xf numFmtId="0" fontId="42" fillId="0" borderId="0" xfId="54" applyFont="1" applyAlignment="1" applyProtection="1">
      <alignment horizontal="center"/>
    </xf>
    <xf numFmtId="0" fontId="42" fillId="0" borderId="0" xfId="54" applyFont="1" applyAlignment="1" applyProtection="1">
      <alignment horizontal="fill"/>
    </xf>
    <xf numFmtId="0" fontId="42" fillId="0" borderId="0" xfId="54" applyFont="1" applyProtection="1"/>
    <xf numFmtId="0" fontId="30" fillId="0" borderId="0" xfId="54" applyFont="1" applyAlignment="1" applyProtection="1">
      <alignment horizontal="left"/>
    </xf>
    <xf numFmtId="0" fontId="43" fillId="0" borderId="0" xfId="54" applyFont="1"/>
    <xf numFmtId="0" fontId="43" fillId="0" borderId="0" xfId="54" applyFont="1" applyAlignment="1" applyProtection="1">
      <alignment horizontal="left"/>
    </xf>
    <xf numFmtId="0" fontId="43" fillId="0" borderId="0" xfId="54" applyFont="1" applyBorder="1"/>
    <xf numFmtId="0" fontId="43" fillId="0" borderId="0" xfId="54" applyFont="1" applyBorder="1" applyAlignment="1" applyProtection="1">
      <alignment horizontal="left"/>
    </xf>
    <xf numFmtId="0" fontId="42" fillId="0" borderId="0" xfId="54" quotePrefix="1" applyFont="1" applyBorder="1" applyAlignment="1" applyProtection="1">
      <alignment horizontal="center"/>
    </xf>
    <xf numFmtId="0" fontId="42" fillId="0" borderId="0" xfId="54" applyFont="1" applyBorder="1"/>
    <xf numFmtId="0" fontId="43" fillId="0" borderId="0" xfId="54" applyFont="1" applyBorder="1" applyProtection="1"/>
    <xf numFmtId="0" fontId="43" fillId="0" borderId="0" xfId="54" applyFont="1" applyBorder="1" applyAlignment="1">
      <alignment horizontal="centerContinuous"/>
    </xf>
    <xf numFmtId="0" fontId="43" fillId="0" borderId="0" xfId="54" applyFont="1" applyBorder="1" applyAlignment="1" applyProtection="1">
      <alignment horizontal="centerContinuous"/>
    </xf>
    <xf numFmtId="0" fontId="43" fillId="0" borderId="0" xfId="54" applyFont="1" applyBorder="1" applyAlignment="1" applyProtection="1">
      <alignment horizontal="center"/>
    </xf>
    <xf numFmtId="0" fontId="44" fillId="0" borderId="0" xfId="54" applyFont="1" applyBorder="1" applyAlignment="1" applyProtection="1">
      <alignment horizontal="center"/>
    </xf>
    <xf numFmtId="0" fontId="44" fillId="0" borderId="0" xfId="54" applyFont="1" applyBorder="1" applyAlignment="1" applyProtection="1">
      <alignment horizontal="left"/>
    </xf>
    <xf numFmtId="0" fontId="44" fillId="0" borderId="0" xfId="54" applyFont="1" applyBorder="1" applyAlignment="1">
      <alignment horizontal="centerContinuous"/>
    </xf>
    <xf numFmtId="0" fontId="43" fillId="0" borderId="0" xfId="54" applyFont="1" applyBorder="1" applyAlignment="1" applyProtection="1">
      <alignment horizontal="fill"/>
    </xf>
    <xf numFmtId="169" fontId="45" fillId="0" borderId="0" xfId="54" applyNumberFormat="1" applyFont="1" applyFill="1" applyBorder="1" applyAlignment="1" applyProtection="1">
      <alignment horizontal="center"/>
      <protection locked="0"/>
    </xf>
    <xf numFmtId="170" fontId="46" fillId="0" borderId="0" xfId="54" applyNumberFormat="1" applyFont="1" applyBorder="1" applyProtection="1">
      <protection locked="0"/>
    </xf>
    <xf numFmtId="170" fontId="47" fillId="0" borderId="0" xfId="54" applyNumberFormat="1" applyFont="1" applyBorder="1" applyProtection="1">
      <protection locked="0"/>
    </xf>
    <xf numFmtId="170" fontId="48" fillId="0" borderId="0" xfId="54" applyNumberFormat="1" applyFont="1" applyBorder="1" applyProtection="1">
      <protection locked="0"/>
    </xf>
    <xf numFmtId="0" fontId="43" fillId="0" borderId="0" xfId="54" applyFont="1" applyBorder="1" applyAlignment="1" applyProtection="1">
      <alignment horizontal="right"/>
    </xf>
    <xf numFmtId="0" fontId="46" fillId="0" borderId="0" xfId="54" applyFont="1" applyFill="1" applyBorder="1" applyAlignment="1" applyProtection="1">
      <alignment horizontal="center"/>
    </xf>
    <xf numFmtId="0" fontId="49" fillId="0" borderId="0" xfId="54" applyFont="1" applyBorder="1" applyProtection="1">
      <protection locked="0"/>
    </xf>
    <xf numFmtId="0" fontId="23" fillId="0" borderId="0" xfId="54" applyFont="1" applyBorder="1" applyProtection="1">
      <protection locked="0"/>
    </xf>
    <xf numFmtId="0" fontId="42" fillId="0" borderId="0" xfId="54" applyFont="1" applyBorder="1" applyProtection="1"/>
    <xf numFmtId="0" fontId="42" fillId="0" borderId="0" xfId="54" applyFont="1" applyBorder="1" applyAlignment="1" applyProtection="1">
      <alignment horizontal="fill"/>
    </xf>
    <xf numFmtId="0" fontId="5" fillId="0" borderId="0" xfId="54" applyBorder="1"/>
    <xf numFmtId="0" fontId="42" fillId="0" borderId="0" xfId="54" applyFont="1" applyBorder="1" applyAlignment="1" applyProtection="1">
      <alignment horizontal="left"/>
    </xf>
    <xf numFmtId="0" fontId="5" fillId="0" borderId="0" xfId="54"/>
    <xf numFmtId="169" fontId="35" fillId="0" borderId="0" xfId="55" applyNumberFormat="1" applyFont="1" applyFill="1" applyBorder="1" applyAlignment="1" applyProtection="1">
      <alignment horizontal="center"/>
      <protection locked="0"/>
    </xf>
    <xf numFmtId="169" fontId="41" fillId="0" borderId="0" xfId="55" applyNumberFormat="1" applyFont="1" applyFill="1" applyBorder="1" applyAlignment="1" applyProtection="1">
      <alignment horizontal="center"/>
    </xf>
    <xf numFmtId="0" fontId="34" fillId="0" borderId="0" xfId="55" applyFont="1" applyFill="1" applyBorder="1" applyAlignment="1" applyProtection="1">
      <alignment horizontal="center"/>
    </xf>
    <xf numFmtId="0" fontId="8" fillId="0" borderId="0" xfId="56" applyFont="1" applyFill="1" applyAlignment="1" applyProtection="1">
      <alignment horizontal="left"/>
    </xf>
    <xf numFmtId="37" fontId="6" fillId="0" borderId="0" xfId="2" applyNumberFormat="1" applyFont="1" applyFill="1"/>
    <xf numFmtId="0" fontId="6" fillId="0" borderId="0" xfId="2" applyFont="1" applyFill="1"/>
    <xf numFmtId="1" fontId="6" fillId="0" borderId="0" xfId="0" applyNumberFormat="1" applyFont="1" applyFill="1" applyAlignment="1" applyProtection="1">
      <alignment horizontal="left"/>
    </xf>
    <xf numFmtId="1" fontId="51" fillId="0" borderId="0" xfId="0" applyNumberFormat="1" applyFont="1" applyFill="1" applyAlignment="1" applyProtection="1">
      <alignment horizontal="left"/>
    </xf>
    <xf numFmtId="1" fontId="6" fillId="0" borderId="0" xfId="0" applyNumberFormat="1" applyFont="1" applyFill="1" applyAlignment="1" applyProtection="1">
      <alignment horizontal="left" indent="1"/>
    </xf>
    <xf numFmtId="1" fontId="6" fillId="0" borderId="0" xfId="0" applyNumberFormat="1" applyFont="1" applyFill="1" applyAlignment="1" applyProtection="1">
      <alignment horizontal="left" indent="2"/>
    </xf>
    <xf numFmtId="37" fontId="6" fillId="0" borderId="0" xfId="2" applyNumberFormat="1" applyFont="1" applyFill="1" applyProtection="1"/>
    <xf numFmtId="0" fontId="8" fillId="0" borderId="10" xfId="37" applyFont="1" applyFill="1" applyBorder="1"/>
    <xf numFmtId="0" fontId="8" fillId="0" borderId="10" xfId="37" applyFont="1" applyFill="1" applyBorder="1" applyAlignment="1">
      <alignment horizontal="left"/>
    </xf>
    <xf numFmtId="0" fontId="8" fillId="0" borderId="10" xfId="37" applyFont="1" applyFill="1" applyBorder="1" applyAlignment="1" applyProtection="1">
      <alignment horizontal="centerContinuous"/>
    </xf>
    <xf numFmtId="0" fontId="8" fillId="0" borderId="10" xfId="37" applyFont="1" applyFill="1" applyBorder="1" applyAlignment="1">
      <alignment horizontal="centerContinuous"/>
    </xf>
    <xf numFmtId="0" fontId="8" fillId="0" borderId="2" xfId="37" applyFont="1" applyFill="1" applyBorder="1" applyAlignment="1">
      <alignment horizontal="centerContinuous"/>
    </xf>
    <xf numFmtId="0" fontId="8" fillId="0" borderId="0" xfId="37" applyFont="1" applyFill="1" applyBorder="1" applyAlignment="1" applyProtection="1">
      <alignment horizontal="center"/>
    </xf>
    <xf numFmtId="0" fontId="8" fillId="0" borderId="10" xfId="37" applyFont="1" applyFill="1" applyBorder="1" applyAlignment="1">
      <alignment horizontal="center"/>
    </xf>
    <xf numFmtId="0" fontId="8" fillId="0" borderId="10" xfId="37" applyFont="1" applyFill="1" applyBorder="1" applyAlignment="1" applyProtection="1">
      <alignment horizontal="center"/>
    </xf>
    <xf numFmtId="0" fontId="8" fillId="0" borderId="10" xfId="37" applyFont="1" applyFill="1" applyBorder="1" applyAlignment="1" applyProtection="1"/>
    <xf numFmtId="0" fontId="8" fillId="0" borderId="0" xfId="37" applyFont="1" applyFill="1" applyBorder="1" applyAlignment="1">
      <alignment horizontal="center"/>
    </xf>
    <xf numFmtId="0" fontId="8" fillId="0" borderId="0" xfId="37" applyFont="1" applyFill="1" applyBorder="1"/>
    <xf numFmtId="0" fontId="8" fillId="0" borderId="0" xfId="37" applyFont="1" applyFill="1" applyBorder="1" applyAlignment="1">
      <alignment horizontal="centerContinuous"/>
    </xf>
    <xf numFmtId="0" fontId="8" fillId="0" borderId="0" xfId="37" applyFont="1" applyFill="1" applyBorder="1" applyAlignment="1" applyProtection="1">
      <alignment horizontal="left"/>
    </xf>
    <xf numFmtId="167" fontId="8" fillId="0" borderId="0" xfId="37" applyNumberFormat="1" applyFont="1" applyFill="1" applyBorder="1" applyAlignment="1" applyProtection="1">
      <alignment horizontal="left"/>
    </xf>
    <xf numFmtId="0" fontId="8" fillId="0" borderId="0" xfId="37" applyFont="1" applyFill="1" applyBorder="1" applyAlignment="1" applyProtection="1">
      <alignment horizontal="center"/>
      <protection locked="0"/>
    </xf>
    <xf numFmtId="0" fontId="8" fillId="0" borderId="0" xfId="0" applyFont="1" applyAlignment="1" applyProtection="1">
      <alignment horizontal="left"/>
    </xf>
    <xf numFmtId="0" fontId="8" fillId="0" borderId="0" xfId="0" applyFont="1"/>
    <xf numFmtId="0" fontId="8" fillId="0" borderId="0" xfId="0" applyFont="1" applyAlignment="1" applyProtection="1">
      <alignment horizontal="center"/>
    </xf>
    <xf numFmtId="0" fontId="30" fillId="0" borderId="0" xfId="13" applyFont="1" applyAlignment="1">
      <alignment horizontal="centerContinuous"/>
    </xf>
    <xf numFmtId="37" fontId="6" fillId="0" borderId="0" xfId="8" applyNumberFormat="1" applyFont="1" applyFill="1"/>
    <xf numFmtId="0" fontId="8" fillId="0" borderId="0" xfId="8" applyFont="1" applyFill="1" applyAlignment="1" applyProtection="1">
      <alignment horizontal="center"/>
    </xf>
    <xf numFmtId="0" fontId="13" fillId="3" borderId="5" xfId="9" applyFont="1" applyFill="1" applyBorder="1" applyAlignment="1" applyProtection="1">
      <alignment horizontal="left"/>
      <protection locked="0"/>
    </xf>
    <xf numFmtId="0" fontId="13" fillId="3" borderId="5" xfId="9" applyFont="1" applyFill="1" applyBorder="1" applyProtection="1">
      <protection locked="0"/>
    </xf>
    <xf numFmtId="0" fontId="8" fillId="0" borderId="0" xfId="55" applyFont="1" applyFill="1" applyBorder="1"/>
    <xf numFmtId="0" fontId="8" fillId="0" borderId="0" xfId="55" applyFont="1" applyFill="1"/>
    <xf numFmtId="181" fontId="8" fillId="0" borderId="0" xfId="11" quotePrefix="1" applyNumberFormat="1" applyFont="1" applyFill="1" applyAlignment="1" applyProtection="1">
      <alignment horizontal="centerContinuous"/>
      <protection locked="0"/>
    </xf>
    <xf numFmtId="0" fontId="8" fillId="0" borderId="0" xfId="52" applyFont="1" applyFill="1" applyAlignment="1">
      <alignment horizontal="centerContinuous"/>
    </xf>
    <xf numFmtId="0" fontId="8" fillId="0" borderId="0" xfId="52" applyFont="1" applyFill="1"/>
    <xf numFmtId="0" fontId="8" fillId="0" borderId="0" xfId="52" applyFont="1" applyFill="1" applyAlignment="1" applyProtection="1">
      <alignment horizontal="left"/>
    </xf>
    <xf numFmtId="0" fontId="15" fillId="3" borderId="4" xfId="9" applyFont="1" applyFill="1" applyBorder="1" applyAlignment="1" applyProtection="1">
      <alignment horizontal="left"/>
    </xf>
    <xf numFmtId="17" fontId="25" fillId="0" borderId="11" xfId="2" applyNumberFormat="1" applyFont="1" applyFill="1" applyBorder="1" applyAlignment="1">
      <alignment horizontal="center"/>
    </xf>
    <xf numFmtId="0" fontId="6" fillId="0" borderId="0" xfId="2" applyNumberFormat="1" applyFont="1" applyFill="1" applyAlignment="1">
      <alignment horizontal="left"/>
    </xf>
    <xf numFmtId="0" fontId="6" fillId="0" borderId="0" xfId="2" applyNumberFormat="1" applyFont="1" applyFill="1" applyAlignment="1">
      <alignment horizontal="center"/>
    </xf>
    <xf numFmtId="0" fontId="53" fillId="0" borderId="0" xfId="2" applyNumberFormat="1" applyFont="1" applyFill="1" applyAlignment="1">
      <alignment horizontal="left"/>
    </xf>
    <xf numFmtId="0" fontId="25" fillId="0" borderId="0" xfId="2" applyFont="1" applyFill="1" applyAlignment="1">
      <alignment horizontal="center"/>
    </xf>
    <xf numFmtId="0" fontId="6" fillId="0" borderId="0" xfId="8" applyFont="1" applyFill="1" applyAlignment="1">
      <alignment horizontal="center"/>
    </xf>
    <xf numFmtId="0" fontId="6" fillId="0" borderId="0" xfId="8" applyFont="1" applyFill="1"/>
    <xf numFmtId="0" fontId="0" fillId="0" borderId="0" xfId="0" applyFill="1"/>
    <xf numFmtId="0" fontId="6" fillId="0" borderId="0" xfId="2" applyNumberFormat="1" applyFont="1" applyFill="1" applyAlignment="1" applyProtection="1">
      <alignment horizontal="center"/>
    </xf>
    <xf numFmtId="164" fontId="6" fillId="0" borderId="0" xfId="2" applyNumberFormat="1" applyFont="1" applyFill="1" applyProtection="1"/>
    <xf numFmtId="164" fontId="54" fillId="0" borderId="0" xfId="2" applyNumberFormat="1" applyFont="1" applyFill="1" applyProtection="1"/>
    <xf numFmtId="37" fontId="8" fillId="0" borderId="0" xfId="38" applyNumberFormat="1" applyFont="1" applyFill="1" applyProtection="1"/>
    <xf numFmtId="0" fontId="8" fillId="0" borderId="7" xfId="21" applyFont="1" applyFill="1" applyBorder="1" applyAlignment="1" applyProtection="1">
      <alignment horizontal="right"/>
    </xf>
    <xf numFmtId="0" fontId="8" fillId="0" borderId="0" xfId="53" applyFont="1" applyAlignment="1" applyProtection="1">
      <alignment horizontal="centerContinuous"/>
      <protection locked="0"/>
    </xf>
    <xf numFmtId="17" fontId="13" fillId="2" borderId="0" xfId="9" applyNumberFormat="1" applyFont="1" applyFill="1"/>
    <xf numFmtId="0" fontId="16" fillId="0" borderId="4" xfId="9" applyFont="1" applyFill="1" applyBorder="1" applyAlignment="1" applyProtection="1">
      <alignment horizontal="left"/>
    </xf>
    <xf numFmtId="17" fontId="13" fillId="0" borderId="4" xfId="9" applyNumberFormat="1" applyFont="1" applyFill="1" applyBorder="1" applyAlignment="1">
      <alignment horizontal="left"/>
    </xf>
    <xf numFmtId="0" fontId="16" fillId="0" borderId="4" xfId="9" applyFont="1" applyFill="1" applyBorder="1" applyAlignment="1" applyProtection="1">
      <alignment horizontal="center"/>
    </xf>
    <xf numFmtId="0" fontId="16" fillId="0" borderId="4" xfId="9" applyFont="1" applyFill="1" applyBorder="1"/>
    <xf numFmtId="0" fontId="8" fillId="0" borderId="0" xfId="21" applyFont="1" applyFill="1" applyBorder="1" applyAlignment="1" applyProtection="1">
      <alignment horizontal="fill"/>
    </xf>
    <xf numFmtId="0" fontId="8" fillId="0" borderId="10" xfId="21" applyFont="1" applyFill="1" applyBorder="1" applyAlignment="1" applyProtection="1">
      <alignment horizontal="center"/>
    </xf>
    <xf numFmtId="37" fontId="8" fillId="0" borderId="0" xfId="23" applyNumberFormat="1" applyFont="1" applyFill="1"/>
    <xf numFmtId="0" fontId="8" fillId="0" borderId="0" xfId="23" applyFont="1" applyFill="1"/>
    <xf numFmtId="0" fontId="7" fillId="0" borderId="0" xfId="0" applyFont="1"/>
    <xf numFmtId="0" fontId="34" fillId="0" borderId="10" xfId="57" applyFont="1" applyFill="1" applyBorder="1"/>
    <xf numFmtId="0" fontId="8" fillId="0" borderId="10" xfId="57" quotePrefix="1" applyFont="1" applyFill="1" applyBorder="1" applyAlignment="1">
      <alignment horizontal="center"/>
    </xf>
    <xf numFmtId="37" fontId="34" fillId="0" borderId="10" xfId="57" applyNumberFormat="1" applyFont="1" applyFill="1" applyBorder="1" applyProtection="1"/>
    <xf numFmtId="0" fontId="34" fillId="0" borderId="10" xfId="57" applyFont="1" applyFill="1" applyBorder="1" applyAlignment="1" applyProtection="1">
      <alignment horizontal="center"/>
    </xf>
    <xf numFmtId="0" fontId="34" fillId="0" borderId="0" xfId="57" applyFont="1" applyFill="1" applyBorder="1"/>
    <xf numFmtId="0" fontId="34" fillId="0" borderId="0" xfId="57" applyFont="1" applyFill="1" applyBorder="1" applyAlignment="1" applyProtection="1">
      <alignment horizontal="center"/>
    </xf>
    <xf numFmtId="0" fontId="8" fillId="0" borderId="0" xfId="57" quotePrefix="1" applyFont="1" applyFill="1" applyBorder="1" applyAlignment="1">
      <alignment horizontal="center"/>
    </xf>
    <xf numFmtId="0" fontId="34" fillId="0" borderId="7" xfId="57" applyFont="1" applyFill="1" applyBorder="1"/>
    <xf numFmtId="0" fontId="34" fillId="0" borderId="10" xfId="57" quotePrefix="1" applyFont="1" applyFill="1" applyBorder="1" applyAlignment="1">
      <alignment horizontal="center"/>
    </xf>
    <xf numFmtId="0" fontId="34" fillId="0" borderId="7" xfId="57" applyFont="1" applyFill="1" applyBorder="1" applyAlignment="1" applyProtection="1">
      <alignment horizontal="centerContinuous"/>
    </xf>
    <xf numFmtId="0" fontId="34" fillId="0" borderId="10" xfId="57" applyFont="1" applyFill="1" applyBorder="1" applyAlignment="1" applyProtection="1"/>
    <xf numFmtId="39" fontId="34" fillId="0" borderId="10" xfId="57" applyNumberFormat="1" applyFont="1" applyFill="1" applyBorder="1" applyProtection="1"/>
    <xf numFmtId="176" fontId="34" fillId="0" borderId="10" xfId="57" applyNumberFormat="1" applyFont="1" applyFill="1" applyBorder="1" applyProtection="1"/>
    <xf numFmtId="37" fontId="34" fillId="0" borderId="10" xfId="57" applyNumberFormat="1" applyFont="1" applyFill="1" applyBorder="1"/>
    <xf numFmtId="0" fontId="8" fillId="0" borderId="10" xfId="57" applyFont="1" applyFill="1" applyBorder="1" applyAlignment="1" applyProtection="1">
      <alignment horizontal="center"/>
    </xf>
    <xf numFmtId="0" fontId="8" fillId="0" borderId="10" xfId="57" quotePrefix="1" applyFont="1" applyFill="1" applyBorder="1" applyAlignment="1" applyProtection="1">
      <alignment horizontal="center"/>
    </xf>
    <xf numFmtId="0" fontId="8" fillId="0" borderId="0" xfId="57" applyFont="1" applyFill="1" applyBorder="1" applyAlignment="1" applyProtection="1">
      <alignment horizontal="center"/>
    </xf>
    <xf numFmtId="0" fontId="8" fillId="0" borderId="7" xfId="57" applyFont="1" applyFill="1" applyBorder="1" applyAlignment="1" applyProtection="1">
      <alignment horizontal="centerContinuous"/>
    </xf>
    <xf numFmtId="0" fontId="8" fillId="0" borderId="10" xfId="57" applyFont="1" applyFill="1" applyBorder="1"/>
    <xf numFmtId="0" fontId="8" fillId="0" borderId="0" xfId="58" applyFont="1" applyAlignment="1" applyProtection="1">
      <alignment horizontal="centerContinuous"/>
    </xf>
    <xf numFmtId="0" fontId="8" fillId="0" borderId="0" xfId="58" applyFont="1" applyAlignment="1">
      <alignment horizontal="centerContinuous"/>
    </xf>
    <xf numFmtId="0" fontId="8" fillId="0" borderId="0" xfId="58" quotePrefix="1" applyFont="1" applyAlignment="1" applyProtection="1">
      <alignment horizontal="centerContinuous"/>
    </xf>
    <xf numFmtId="0" fontId="8" fillId="0" borderId="0" xfId="58" applyFont="1"/>
    <xf numFmtId="0" fontId="8" fillId="0" borderId="0" xfId="58" applyFont="1" applyBorder="1"/>
    <xf numFmtId="10" fontId="8" fillId="0" borderId="0" xfId="58" applyNumberFormat="1" applyFont="1" applyProtection="1"/>
    <xf numFmtId="10" fontId="8" fillId="0" borderId="0" xfId="58" applyNumberFormat="1" applyFont="1"/>
    <xf numFmtId="0" fontId="8" fillId="0" borderId="0" xfId="58" applyFont="1" applyAlignment="1" applyProtection="1">
      <alignment horizontal="left"/>
    </xf>
    <xf numFmtId="37" fontId="8" fillId="0" borderId="0" xfId="58" applyNumberFormat="1" applyFont="1" applyAlignment="1" applyProtection="1">
      <alignment horizontal="left"/>
    </xf>
    <xf numFmtId="0" fontId="8" fillId="0" borderId="0" xfId="58" applyFont="1" applyProtection="1"/>
    <xf numFmtId="0" fontId="8" fillId="0" borderId="7" xfId="58" applyFont="1" applyBorder="1"/>
    <xf numFmtId="0" fontId="34" fillId="0" borderId="10" xfId="58" applyFont="1" applyFill="1" applyBorder="1"/>
    <xf numFmtId="0" fontId="8" fillId="0" borderId="10" xfId="58" applyFont="1" applyFill="1" applyBorder="1" applyAlignment="1" applyProtection="1">
      <alignment horizontal="center"/>
    </xf>
    <xf numFmtId="0" fontId="8" fillId="0" borderId="10" xfId="58" quotePrefix="1" applyFont="1" applyFill="1" applyBorder="1" applyAlignment="1" applyProtection="1">
      <alignment horizontal="center"/>
    </xf>
    <xf numFmtId="0" fontId="34" fillId="0" borderId="10" xfId="58" applyFont="1" applyFill="1" applyBorder="1" applyAlignment="1">
      <alignment horizontal="center"/>
    </xf>
    <xf numFmtId="0" fontId="34" fillId="0" borderId="0" xfId="58" applyFont="1" applyFill="1" applyBorder="1" applyAlignment="1">
      <alignment horizontal="center"/>
    </xf>
    <xf numFmtId="37" fontId="34" fillId="0" borderId="10" xfId="58" applyNumberFormat="1" applyFont="1" applyFill="1" applyBorder="1" applyProtection="1"/>
    <xf numFmtId="10" fontId="34" fillId="0" borderId="10" xfId="58" applyNumberFormat="1" applyFont="1" applyFill="1" applyBorder="1" applyProtection="1"/>
    <xf numFmtId="0" fontId="34" fillId="0" borderId="0" xfId="58" applyFont="1" applyFill="1" applyBorder="1"/>
    <xf numFmtId="0" fontId="8" fillId="0" borderId="0" xfId="58" applyFont="1" applyFill="1" applyBorder="1" applyAlignment="1" applyProtection="1">
      <alignment horizontal="center"/>
    </xf>
    <xf numFmtId="37" fontId="34" fillId="0" borderId="7" xfId="58" applyNumberFormat="1" applyFont="1" applyFill="1" applyBorder="1" applyAlignment="1" applyProtection="1">
      <alignment horizontal="centerContinuous"/>
    </xf>
    <xf numFmtId="0" fontId="8" fillId="0" borderId="0" xfId="58" applyFont="1" applyAlignment="1" applyProtection="1">
      <alignment horizontal="center"/>
    </xf>
    <xf numFmtId="0" fontId="8" fillId="0" borderId="0" xfId="58" applyFont="1" applyAlignment="1">
      <alignment horizontal="center"/>
    </xf>
    <xf numFmtId="0" fontId="8" fillId="0" borderId="0" xfId="58" applyFont="1" applyBorder="1" applyAlignment="1">
      <alignment horizontal="center"/>
    </xf>
    <xf numFmtId="37" fontId="8" fillId="0" borderId="0" xfId="58" applyNumberFormat="1" applyFont="1" applyAlignment="1" applyProtection="1">
      <alignment horizontal="right"/>
    </xf>
    <xf numFmtId="10" fontId="34" fillId="0" borderId="10" xfId="58" applyNumberFormat="1" applyFont="1" applyFill="1" applyBorder="1"/>
    <xf numFmtId="0" fontId="8" fillId="0" borderId="0" xfId="58" quotePrefix="1" applyFont="1"/>
    <xf numFmtId="0" fontId="8" fillId="0" borderId="0" xfId="58" applyFont="1" applyAlignment="1"/>
    <xf numFmtId="0" fontId="34" fillId="0" borderId="10" xfId="58" applyFont="1" applyFill="1" applyBorder="1" applyAlignment="1" applyProtection="1">
      <alignment horizontal="center"/>
    </xf>
    <xf numFmtId="0" fontId="34" fillId="0" borderId="10" xfId="58" quotePrefix="1" applyFont="1" applyFill="1" applyBorder="1" applyAlignment="1" applyProtection="1">
      <alignment horizontal="center"/>
    </xf>
    <xf numFmtId="0" fontId="34" fillId="0" borderId="0" xfId="58" applyFont="1" applyFill="1" applyBorder="1" applyAlignment="1" applyProtection="1">
      <alignment horizontal="center"/>
    </xf>
    <xf numFmtId="0" fontId="34" fillId="0" borderId="7" xfId="58" applyFont="1" applyFill="1" applyBorder="1" applyAlignment="1">
      <alignment horizontal="centerContinuous"/>
    </xf>
    <xf numFmtId="0" fontId="8" fillId="0" borderId="0" xfId="58" quotePrefix="1" applyFont="1" applyAlignment="1" applyProtection="1">
      <alignment horizontal="center"/>
    </xf>
    <xf numFmtId="0" fontId="8" fillId="0" borderId="0" xfId="58" quotePrefix="1" applyFont="1" applyAlignment="1">
      <alignment horizontal="center"/>
    </xf>
    <xf numFmtId="37" fontId="8" fillId="0" borderId="0" xfId="58" applyNumberFormat="1" applyFont="1" applyFill="1" applyAlignment="1" applyProtection="1">
      <alignment horizontal="right"/>
    </xf>
    <xf numFmtId="0" fontId="8" fillId="0" borderId="0" xfId="58" applyFont="1" applyBorder="1" applyAlignment="1" applyProtection="1">
      <alignment horizontal="center"/>
    </xf>
    <xf numFmtId="0" fontId="34" fillId="0" borderId="7" xfId="58" applyFont="1" applyFill="1" applyBorder="1"/>
    <xf numFmtId="37" fontId="8" fillId="0" borderId="7" xfId="58" applyNumberFormat="1" applyFont="1" applyBorder="1"/>
    <xf numFmtId="37" fontId="8" fillId="0" borderId="0" xfId="58" applyNumberFormat="1" applyFont="1"/>
    <xf numFmtId="0" fontId="8" fillId="0" borderId="7" xfId="58" quotePrefix="1" applyFont="1" applyBorder="1" applyAlignment="1" applyProtection="1">
      <alignment horizontal="center"/>
    </xf>
    <xf numFmtId="0" fontId="8" fillId="0" borderId="7" xfId="58" quotePrefix="1" applyFont="1" applyBorder="1" applyAlignment="1">
      <alignment horizontal="center"/>
    </xf>
    <xf numFmtId="0" fontId="8" fillId="0" borderId="0" xfId="58" quotePrefix="1" applyFont="1" applyBorder="1" applyAlignment="1" applyProtection="1">
      <alignment horizontal="center"/>
    </xf>
    <xf numFmtId="0" fontId="8" fillId="0" borderId="0" xfId="58" quotePrefix="1" applyFont="1" applyBorder="1" applyAlignment="1">
      <alignment horizontal="center"/>
    </xf>
    <xf numFmtId="0" fontId="8" fillId="0" borderId="0" xfId="58" applyFont="1" applyFill="1"/>
    <xf numFmtId="3" fontId="8" fillId="0" borderId="0" xfId="58" applyNumberFormat="1" applyFont="1" applyAlignment="1" applyProtection="1">
      <alignment horizontal="right"/>
    </xf>
    <xf numFmtId="9" fontId="8" fillId="0" borderId="7" xfId="58" applyNumberFormat="1" applyFont="1" applyBorder="1"/>
    <xf numFmtId="0" fontId="34" fillId="0" borderId="10" xfId="59" applyFont="1" applyFill="1" applyBorder="1"/>
    <xf numFmtId="0" fontId="34" fillId="0" borderId="10" xfId="59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5" fontId="8" fillId="0" borderId="0" xfId="13" applyNumberFormat="1" applyFont="1" applyProtection="1">
      <protection locked="0"/>
    </xf>
    <xf numFmtId="3" fontId="8" fillId="0" borderId="0" xfId="0" applyNumberFormat="1" applyFont="1"/>
    <xf numFmtId="10" fontId="8" fillId="0" borderId="0" xfId="0" applyNumberFormat="1" applyFont="1"/>
    <xf numFmtId="0" fontId="8" fillId="0" borderId="0" xfId="0" applyFont="1" applyAlignment="1"/>
    <xf numFmtId="10" fontId="8" fillId="0" borderId="10" xfId="58" applyNumberFormat="1" applyFont="1" applyFill="1" applyBorder="1"/>
    <xf numFmtId="0" fontId="13" fillId="3" borderId="5" xfId="9" quotePrefix="1" applyFont="1" applyFill="1" applyBorder="1" applyAlignment="1" applyProtection="1">
      <alignment horizontal="left"/>
      <protection locked="0"/>
    </xf>
    <xf numFmtId="198" fontId="14" fillId="2" borderId="0" xfId="9" applyNumberFormat="1" applyFont="1" applyFill="1"/>
    <xf numFmtId="0" fontId="8" fillId="0" borderId="10" xfId="58" applyFont="1" applyFill="1" applyBorder="1" applyAlignment="1">
      <alignment horizontal="center"/>
    </xf>
    <xf numFmtId="0" fontId="8" fillId="0" borderId="0" xfId="58" applyFont="1" applyFill="1" applyBorder="1" applyAlignment="1">
      <alignment horizontal="center"/>
    </xf>
    <xf numFmtId="37" fontId="8" fillId="0" borderId="7" xfId="58" applyNumberFormat="1" applyFont="1" applyFill="1" applyBorder="1" applyAlignment="1" applyProtection="1">
      <alignment horizontal="centerContinuous"/>
    </xf>
    <xf numFmtId="37" fontId="34" fillId="0" borderId="7" xfId="58" applyNumberFormat="1" applyFont="1" applyFill="1" applyBorder="1" applyAlignment="1">
      <alignment horizontal="centerContinuous"/>
    </xf>
    <xf numFmtId="0" fontId="8" fillId="0" borderId="10" xfId="58" applyFont="1" applyFill="1" applyBorder="1"/>
    <xf numFmtId="0" fontId="8" fillId="0" borderId="0" xfId="58" applyFont="1" applyFill="1" applyBorder="1"/>
    <xf numFmtId="37" fontId="8" fillId="0" borderId="7" xfId="58" applyNumberFormat="1" applyFont="1" applyFill="1" applyBorder="1" applyAlignment="1">
      <alignment horizontal="centerContinuous"/>
    </xf>
    <xf numFmtId="0" fontId="8" fillId="0" borderId="7" xfId="58" applyFont="1" applyFill="1" applyBorder="1" applyAlignment="1">
      <alignment horizontal="centerContinuous"/>
    </xf>
    <xf numFmtId="0" fontId="31" fillId="0" borderId="0" xfId="0" applyFont="1"/>
    <xf numFmtId="0" fontId="8" fillId="0" borderId="0" xfId="57" applyFont="1" applyFill="1" applyBorder="1" applyAlignment="1">
      <alignment horizontal="center"/>
    </xf>
    <xf numFmtId="0" fontId="8" fillId="0" borderId="0" xfId="57" applyFont="1" applyFill="1" applyAlignment="1" applyProtection="1">
      <alignment horizontal="centerContinuous"/>
    </xf>
    <xf numFmtId="0" fontId="8" fillId="0" borderId="0" xfId="31" applyFont="1" applyBorder="1"/>
    <xf numFmtId="0" fontId="8" fillId="0" borderId="0" xfId="21" applyFont="1" applyFill="1" applyAlignment="1">
      <alignment horizontal="center"/>
    </xf>
    <xf numFmtId="0" fontId="8" fillId="0" borderId="0" xfId="21" applyFont="1" applyFill="1" applyBorder="1"/>
    <xf numFmtId="37" fontId="8" fillId="0" borderId="0" xfId="21" applyNumberFormat="1" applyFont="1" applyFill="1" applyBorder="1"/>
    <xf numFmtId="37" fontId="8" fillId="2" borderId="15" xfId="21" applyNumberFormat="1" applyFont="1" applyFill="1" applyBorder="1"/>
    <xf numFmtId="37" fontId="8" fillId="2" borderId="12" xfId="21" applyNumberFormat="1" applyFont="1" applyFill="1" applyBorder="1"/>
    <xf numFmtId="0" fontId="8" fillId="2" borderId="16" xfId="5" applyFont="1" applyFill="1" applyBorder="1"/>
    <xf numFmtId="0" fontId="8" fillId="2" borderId="13" xfId="5" applyFont="1" applyFill="1" applyBorder="1"/>
    <xf numFmtId="37" fontId="8" fillId="2" borderId="17" xfId="21" applyNumberFormat="1" applyFont="1" applyFill="1" applyBorder="1"/>
    <xf numFmtId="37" fontId="8" fillId="2" borderId="18" xfId="5" applyNumberFormat="1" applyFont="1" applyFill="1" applyBorder="1"/>
    <xf numFmtId="0" fontId="8" fillId="0" borderId="0" xfId="21" applyFont="1" applyFill="1" applyBorder="1" applyAlignment="1" applyProtection="1">
      <alignment horizontal="centerContinuous"/>
    </xf>
    <xf numFmtId="0" fontId="8" fillId="0" borderId="0" xfId="21" applyFont="1" applyFill="1" applyBorder="1" applyAlignment="1">
      <alignment horizontal="centerContinuous"/>
    </xf>
    <xf numFmtId="37" fontId="8" fillId="0" borderId="0" xfId="21" applyNumberFormat="1" applyFont="1" applyFill="1" applyBorder="1" applyAlignment="1" applyProtection="1">
      <alignment horizontal="centerContinuous"/>
    </xf>
    <xf numFmtId="165" fontId="8" fillId="0" borderId="0" xfId="21" applyNumberFormat="1" applyFont="1" applyFill="1" applyBorder="1" applyAlignment="1" applyProtection="1">
      <alignment horizontal="centerContinuous"/>
    </xf>
    <xf numFmtId="0" fontId="8" fillId="0" borderId="0" xfId="21" applyFont="1" applyFill="1" applyBorder="1" applyProtection="1"/>
    <xf numFmtId="0" fontId="8" fillId="0" borderId="0" xfId="21" quotePrefix="1" applyFont="1" applyFill="1" applyBorder="1" applyAlignment="1" applyProtection="1">
      <alignment horizontal="left"/>
    </xf>
    <xf numFmtId="0" fontId="8" fillId="0" borderId="0" xfId="21" applyFont="1" applyFill="1" applyBorder="1" applyAlignment="1" applyProtection="1">
      <alignment horizontal="left"/>
    </xf>
    <xf numFmtId="0" fontId="8" fillId="0" borderId="0" xfId="21" applyFont="1" applyFill="1" applyBorder="1" applyAlignment="1">
      <alignment horizontal="center"/>
    </xf>
    <xf numFmtId="0" fontId="8" fillId="0" borderId="0" xfId="21" applyFont="1" applyFill="1" applyBorder="1" applyAlignment="1" applyProtection="1">
      <alignment horizontal="right"/>
    </xf>
    <xf numFmtId="0" fontId="38" fillId="0" borderId="0" xfId="21" applyFont="1" applyFill="1" applyBorder="1" applyAlignment="1" applyProtection="1">
      <alignment horizontal="left"/>
    </xf>
    <xf numFmtId="37" fontId="8" fillId="0" borderId="0" xfId="21" applyNumberFormat="1" applyFont="1" applyFill="1" applyBorder="1" applyAlignment="1" applyProtection="1">
      <alignment horizontal="right"/>
    </xf>
    <xf numFmtId="0" fontId="8" fillId="2" borderId="19" xfId="5" applyFont="1" applyFill="1" applyBorder="1"/>
    <xf numFmtId="0" fontId="8" fillId="2" borderId="20" xfId="5" applyFont="1" applyFill="1" applyBorder="1"/>
    <xf numFmtId="165" fontId="31" fillId="0" borderId="0" xfId="21" applyNumberFormat="1" applyFont="1" applyFill="1" applyAlignment="1" applyProtection="1">
      <alignment horizontal="centerContinuous"/>
    </xf>
    <xf numFmtId="165" fontId="38" fillId="0" borderId="0" xfId="21" applyNumberFormat="1" applyFont="1" applyFill="1" applyAlignment="1" applyProtection="1">
      <alignment horizontal="centerContinuous"/>
    </xf>
    <xf numFmtId="37" fontId="8" fillId="2" borderId="26" xfId="21" applyNumberFormat="1" applyFont="1" applyFill="1" applyBorder="1"/>
    <xf numFmtId="37" fontId="8" fillId="2" borderId="0" xfId="21" applyNumberFormat="1" applyFont="1" applyFill="1" applyBorder="1"/>
    <xf numFmtId="37" fontId="8" fillId="2" borderId="27" xfId="21" applyNumberFormat="1" applyFont="1" applyFill="1" applyBorder="1"/>
    <xf numFmtId="37" fontId="8" fillId="2" borderId="28" xfId="5" applyNumberFormat="1" applyFont="1" applyFill="1" applyBorder="1"/>
    <xf numFmtId="0" fontId="8" fillId="0" borderId="0" xfId="5" applyFont="1" applyFill="1" applyAlignment="1">
      <alignment horizontal="center"/>
    </xf>
    <xf numFmtId="37" fontId="8" fillId="2" borderId="15" xfId="21" quotePrefix="1" applyNumberFormat="1" applyFont="1" applyFill="1" applyBorder="1"/>
    <xf numFmtId="37" fontId="8" fillId="2" borderId="0" xfId="21" quotePrefix="1" applyNumberFormat="1" applyFont="1" applyFill="1" applyBorder="1"/>
    <xf numFmtId="0" fontId="8" fillId="0" borderId="2" xfId="21" applyFont="1" applyFill="1" applyBorder="1" applyAlignment="1" applyProtection="1">
      <alignment horizontal="center"/>
    </xf>
    <xf numFmtId="170" fontId="31" fillId="0" borderId="0" xfId="52" applyNumberFormat="1" applyFont="1" applyFill="1" applyProtection="1">
      <protection locked="0"/>
    </xf>
    <xf numFmtId="170" fontId="8" fillId="0" borderId="0" xfId="52" applyNumberFormat="1" applyFont="1" applyFill="1" applyProtection="1"/>
    <xf numFmtId="0" fontId="8" fillId="0" borderId="0" xfId="54" applyFont="1" applyFill="1" applyAlignment="1" applyProtection="1">
      <alignment horizontal="fill"/>
    </xf>
    <xf numFmtId="0" fontId="42" fillId="0" borderId="0" xfId="54" applyFont="1" applyFill="1"/>
    <xf numFmtId="170" fontId="35" fillId="0" borderId="0" xfId="54" applyNumberFormat="1" applyFont="1" applyFill="1" applyProtection="1">
      <protection locked="0"/>
    </xf>
    <xf numFmtId="170" fontId="36" fillId="0" borderId="0" xfId="54" applyNumberFormat="1" applyFont="1" applyFill="1" applyProtection="1">
      <protection locked="0"/>
    </xf>
    <xf numFmtId="170" fontId="36" fillId="0" borderId="0" xfId="54" applyNumberFormat="1" applyFont="1" applyFill="1" applyBorder="1" applyProtection="1">
      <protection locked="0"/>
    </xf>
    <xf numFmtId="170" fontId="30" fillId="0" borderId="0" xfId="52" applyNumberFormat="1" applyFont="1" applyAlignment="1" applyProtection="1">
      <alignment horizontal="center"/>
    </xf>
    <xf numFmtId="0" fontId="57" fillId="0" borderId="0" xfId="0" applyFont="1"/>
    <xf numFmtId="0" fontId="57" fillId="0" borderId="0" xfId="0" applyFont="1" applyBorder="1" applyAlignment="1">
      <alignment horizontal="center"/>
    </xf>
    <xf numFmtId="0" fontId="57" fillId="0" borderId="0" xfId="0" applyFont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left"/>
    </xf>
    <xf numFmtId="37" fontId="34" fillId="0" borderId="10" xfId="58" applyNumberFormat="1" applyFont="1" applyFill="1" applyBorder="1"/>
    <xf numFmtId="0" fontId="34" fillId="0" borderId="0" xfId="14" quotePrefix="1" applyFont="1" applyFill="1" applyAlignment="1" applyProtection="1">
      <alignment horizontal="center"/>
    </xf>
    <xf numFmtId="166" fontId="30" fillId="0" borderId="0" xfId="22" applyNumberFormat="1" applyFont="1" applyProtection="1"/>
    <xf numFmtId="0" fontId="8" fillId="0" borderId="0" xfId="38" applyFont="1" applyFill="1" applyAlignment="1" applyProtection="1">
      <alignment horizontal="left"/>
    </xf>
    <xf numFmtId="0" fontId="8" fillId="0" borderId="0" xfId="38" applyFont="1" applyFill="1"/>
    <xf numFmtId="0" fontId="8" fillId="0" borderId="0" xfId="38" quotePrefix="1" applyFont="1" applyFill="1" applyAlignment="1" applyProtection="1">
      <alignment horizontal="left"/>
    </xf>
    <xf numFmtId="0" fontId="8" fillId="0" borderId="0" xfId="38" quotePrefix="1" applyFont="1" applyFill="1"/>
    <xf numFmtId="0" fontId="38" fillId="0" borderId="0" xfId="38" applyFont="1" applyFill="1" applyAlignment="1">
      <alignment horizontal="center"/>
    </xf>
    <xf numFmtId="0" fontId="8" fillId="0" borderId="0" xfId="38" applyFont="1" applyFill="1" applyAlignment="1">
      <alignment horizontal="center"/>
    </xf>
    <xf numFmtId="0" fontId="30" fillId="0" borderId="0" xfId="28" applyFont="1" applyFill="1" applyAlignment="1" applyProtection="1">
      <alignment horizontal="center"/>
    </xf>
    <xf numFmtId="0" fontId="30" fillId="0" borderId="0" xfId="38" applyFont="1" applyFill="1"/>
    <xf numFmtId="0" fontId="30" fillId="0" borderId="0" xfId="38" applyFont="1" applyFill="1" applyAlignment="1" applyProtection="1">
      <alignment horizontal="center"/>
    </xf>
    <xf numFmtId="0" fontId="30" fillId="0" borderId="0" xfId="56" applyFont="1" applyFill="1" applyAlignment="1" applyProtection="1">
      <alignment horizontal="centerContinuous"/>
    </xf>
    <xf numFmtId="0" fontId="30" fillId="0" borderId="0" xfId="56" applyFont="1" applyFill="1" applyAlignment="1" applyProtection="1">
      <alignment horizontal="center"/>
    </xf>
    <xf numFmtId="0" fontId="8" fillId="0" borderId="0" xfId="38" applyFont="1" applyFill="1" applyAlignment="1" applyProtection="1">
      <alignment horizontal="right"/>
    </xf>
    <xf numFmtId="0" fontId="8" fillId="0" borderId="0" xfId="38" applyFont="1" applyFill="1" applyAlignment="1" applyProtection="1">
      <alignment horizontal="fill"/>
    </xf>
    <xf numFmtId="0" fontId="8" fillId="0" borderId="0" xfId="38" applyFont="1" applyFill="1" applyAlignment="1" applyProtection="1">
      <alignment horizontal="center"/>
    </xf>
    <xf numFmtId="37" fontId="31" fillId="0" borderId="0" xfId="38" applyNumberFormat="1" applyFont="1" applyFill="1" applyProtection="1">
      <protection locked="0"/>
    </xf>
    <xf numFmtId="37" fontId="8" fillId="0" borderId="0" xfId="38" applyNumberFormat="1" applyFont="1" applyFill="1" applyProtection="1">
      <protection locked="0"/>
    </xf>
    <xf numFmtId="37" fontId="8" fillId="0" borderId="0" xfId="38" applyNumberFormat="1" applyFont="1" applyFill="1"/>
    <xf numFmtId="37" fontId="8" fillId="0" borderId="0" xfId="38" applyNumberFormat="1" applyFont="1" applyFill="1" applyBorder="1" applyProtection="1"/>
    <xf numFmtId="37" fontId="8" fillId="0" borderId="9" xfId="38" applyNumberFormat="1" applyFont="1" applyFill="1" applyBorder="1" applyProtection="1"/>
    <xf numFmtId="166" fontId="8" fillId="0" borderId="0" xfId="38" applyNumberFormat="1" applyFont="1" applyFill="1" applyProtection="1"/>
    <xf numFmtId="37" fontId="8" fillId="0" borderId="7" xfId="38" applyNumberFormat="1" applyFont="1" applyFill="1" applyBorder="1" applyProtection="1"/>
    <xf numFmtId="0" fontId="34" fillId="0" borderId="0" xfId="38" applyFont="1" applyFill="1" applyBorder="1" applyAlignment="1" applyProtection="1">
      <alignment horizontal="center"/>
    </xf>
    <xf numFmtId="0" fontId="8" fillId="0" borderId="0" xfId="38" applyFont="1" applyFill="1" applyBorder="1"/>
    <xf numFmtId="0" fontId="8" fillId="0" borderId="0" xfId="37" applyFont="1" applyFill="1"/>
    <xf numFmtId="0" fontId="8" fillId="0" borderId="0" xfId="38" applyFont="1" applyFill="1" applyAlignment="1" applyProtection="1">
      <alignment horizontal="centerContinuous"/>
    </xf>
    <xf numFmtId="0" fontId="8" fillId="0" borderId="0" xfId="38" applyFont="1" applyFill="1" applyAlignment="1">
      <alignment horizontal="centerContinuous"/>
    </xf>
    <xf numFmtId="43" fontId="8" fillId="0" borderId="0" xfId="38" applyNumberFormat="1" applyFont="1" applyFill="1" applyBorder="1" applyProtection="1"/>
    <xf numFmtId="41" fontId="8" fillId="0" borderId="0" xfId="38" applyNumberFormat="1" applyFont="1" applyFill="1" applyBorder="1" applyProtection="1"/>
    <xf numFmtId="39" fontId="8" fillId="0" borderId="0" xfId="38" applyNumberFormat="1" applyFont="1" applyFill="1" applyBorder="1" applyProtection="1"/>
    <xf numFmtId="165" fontId="31" fillId="0" borderId="0" xfId="38" applyNumberFormat="1" applyFont="1" applyFill="1" applyAlignment="1" applyProtection="1">
      <alignment horizontal="centerContinuous"/>
      <protection locked="0"/>
    </xf>
    <xf numFmtId="0" fontId="8" fillId="0" borderId="0" xfId="38" applyFont="1" applyFill="1" applyBorder="1" applyAlignment="1">
      <alignment horizontal="centerContinuous"/>
    </xf>
    <xf numFmtId="0" fontId="8" fillId="0" borderId="0" xfId="38" applyFont="1" applyFill="1" applyProtection="1"/>
    <xf numFmtId="165" fontId="31" fillId="0" borderId="0" xfId="38" applyNumberFormat="1" applyFont="1" applyFill="1" applyProtection="1">
      <protection locked="0"/>
    </xf>
    <xf numFmtId="43" fontId="8" fillId="0" borderId="0" xfId="38" applyNumberFormat="1" applyFont="1" applyFill="1" applyBorder="1"/>
    <xf numFmtId="41" fontId="8" fillId="0" borderId="0" xfId="38" applyNumberFormat="1" applyFont="1" applyFill="1" applyBorder="1"/>
    <xf numFmtId="0" fontId="8" fillId="0" borderId="7" xfId="38" applyFont="1" applyFill="1" applyBorder="1" applyAlignment="1" applyProtection="1">
      <alignment horizontal="fill"/>
    </xf>
    <xf numFmtId="0" fontId="21" fillId="0" borderId="7" xfId="38" applyFont="1" applyFill="1" applyBorder="1" applyAlignment="1" applyProtection="1">
      <alignment horizontal="fill"/>
    </xf>
    <xf numFmtId="0" fontId="8" fillId="0" borderId="0" xfId="38" applyFont="1" applyFill="1" applyBorder="1" applyAlignment="1" applyProtection="1">
      <alignment horizontal="center"/>
    </xf>
    <xf numFmtId="37" fontId="8" fillId="0" borderId="0" xfId="38" applyNumberFormat="1" applyFont="1" applyFill="1" applyAlignment="1" applyProtection="1">
      <alignment horizontal="center"/>
    </xf>
    <xf numFmtId="0" fontId="34" fillId="0" borderId="0" xfId="38" applyFont="1" applyFill="1" applyBorder="1"/>
    <xf numFmtId="43" fontId="8" fillId="0" borderId="0" xfId="38" applyNumberFormat="1" applyFont="1" applyFill="1"/>
    <xf numFmtId="41" fontId="8" fillId="0" borderId="0" xfId="38" applyNumberFormat="1" applyFont="1" applyFill="1"/>
    <xf numFmtId="0" fontId="8" fillId="0" borderId="0" xfId="0" applyFont="1" applyBorder="1" applyAlignment="1" applyProtection="1">
      <alignment horizontal="left"/>
    </xf>
    <xf numFmtId="37" fontId="30" fillId="0" borderId="0" xfId="14" applyNumberFormat="1" applyFont="1" applyFill="1" applyAlignment="1">
      <alignment horizontal="centerContinuous"/>
    </xf>
    <xf numFmtId="0" fontId="30" fillId="0" borderId="0" xfId="14" applyFont="1" applyFill="1" applyAlignment="1">
      <alignment horizontal="centerContinuous"/>
    </xf>
    <xf numFmtId="37" fontId="8" fillId="0" borderId="0" xfId="14" applyNumberFormat="1" applyFont="1" applyFill="1" applyAlignment="1">
      <alignment horizontal="center"/>
    </xf>
    <xf numFmtId="37" fontId="8" fillId="0" borderId="7" xfId="14" applyNumberFormat="1" applyFont="1" applyFill="1" applyBorder="1" applyAlignment="1">
      <alignment horizontal="center"/>
    </xf>
    <xf numFmtId="0" fontId="8" fillId="0" borderId="7" xfId="14" applyFont="1" applyFill="1" applyBorder="1" applyAlignment="1">
      <alignment horizontal="center"/>
    </xf>
    <xf numFmtId="0" fontId="8" fillId="0" borderId="0" xfId="14" applyFont="1" applyFill="1" applyAlignment="1">
      <alignment horizontal="center"/>
    </xf>
    <xf numFmtId="37" fontId="8" fillId="0" borderId="0" xfId="14" applyNumberFormat="1" applyFont="1" applyFill="1"/>
    <xf numFmtId="186" fontId="8" fillId="0" borderId="0" xfId="14" applyNumberFormat="1" applyFont="1" applyFill="1"/>
    <xf numFmtId="186" fontId="8" fillId="0" borderId="0" xfId="14" applyNumberFormat="1" applyFont="1" applyFill="1" applyAlignment="1">
      <alignment horizontal="center"/>
    </xf>
    <xf numFmtId="37" fontId="30" fillId="0" borderId="0" xfId="14" applyNumberFormat="1" applyFont="1" applyFill="1"/>
    <xf numFmtId="0" fontId="8" fillId="0" borderId="0" xfId="14" applyFont="1" applyFill="1"/>
    <xf numFmtId="37" fontId="33" fillId="0" borderId="0" xfId="14" applyNumberFormat="1" applyFont="1" applyFill="1"/>
    <xf numFmtId="17" fontId="34" fillId="0" borderId="7" xfId="8" quotePrefix="1" applyNumberFormat="1" applyFont="1" applyFill="1" applyBorder="1" applyAlignment="1" applyProtection="1">
      <alignment horizontal="center"/>
    </xf>
    <xf numFmtId="0" fontId="8" fillId="0" borderId="0" xfId="34" applyFont="1" applyAlignment="1" applyProtection="1">
      <alignment horizontal="centerContinuous"/>
    </xf>
    <xf numFmtId="0" fontId="8" fillId="0" borderId="0" xfId="34" applyFont="1" applyAlignment="1">
      <alignment horizontal="centerContinuous"/>
    </xf>
    <xf numFmtId="0" fontId="8" fillId="0" borderId="0" xfId="34" applyFont="1" applyProtection="1"/>
    <xf numFmtId="0" fontId="8" fillId="0" borderId="0" xfId="34" applyFont="1" applyAlignment="1" applyProtection="1">
      <alignment horizontal="left"/>
    </xf>
    <xf numFmtId="0" fontId="8" fillId="0" borderId="7" xfId="34" applyFont="1" applyBorder="1" applyAlignment="1" applyProtection="1">
      <alignment horizontal="fill"/>
    </xf>
    <xf numFmtId="0" fontId="8" fillId="0" borderId="0" xfId="34" applyFont="1" applyAlignment="1" applyProtection="1">
      <alignment horizontal="center"/>
    </xf>
    <xf numFmtId="0" fontId="8" fillId="0" borderId="0" xfId="34" applyFont="1" applyAlignment="1">
      <alignment horizontal="center"/>
    </xf>
    <xf numFmtId="37" fontId="8" fillId="0" borderId="0" xfId="34" applyNumberFormat="1" applyFont="1" applyProtection="1"/>
    <xf numFmtId="0" fontId="8" fillId="0" borderId="0" xfId="34" applyFont="1" applyAlignment="1" applyProtection="1">
      <alignment horizontal="right"/>
    </xf>
    <xf numFmtId="0" fontId="8" fillId="0" borderId="0" xfId="34" applyFont="1" applyAlignment="1" applyProtection="1">
      <alignment horizontal="fill"/>
    </xf>
    <xf numFmtId="166" fontId="30" fillId="0" borderId="0" xfId="34" applyNumberFormat="1" applyFont="1" applyProtection="1"/>
    <xf numFmtId="0" fontId="31" fillId="0" borderId="0" xfId="34" applyFont="1" applyAlignment="1" applyProtection="1">
      <alignment horizontal="center"/>
    </xf>
    <xf numFmtId="167" fontId="8" fillId="0" borderId="0" xfId="34" applyNumberFormat="1" applyFont="1" applyProtection="1"/>
    <xf numFmtId="0" fontId="30" fillId="0" borderId="0" xfId="34" applyFont="1" applyAlignment="1" applyProtection="1">
      <alignment horizontal="center"/>
    </xf>
    <xf numFmtId="0" fontId="30" fillId="0" borderId="0" xfId="34" applyFont="1" applyAlignment="1" applyProtection="1">
      <alignment horizontal="left"/>
    </xf>
    <xf numFmtId="0" fontId="8" fillId="0" borderId="0" xfId="34" quotePrefix="1" applyFont="1" applyAlignment="1" applyProtection="1">
      <alignment horizontal="center"/>
    </xf>
    <xf numFmtId="174" fontId="8" fillId="0" borderId="0" xfId="34" applyNumberFormat="1" applyFont="1" applyProtection="1"/>
    <xf numFmtId="39" fontId="8" fillId="0" borderId="0" xfId="34" applyNumberFormat="1" applyFont="1" applyProtection="1"/>
    <xf numFmtId="201" fontId="8" fillId="0" borderId="0" xfId="34" applyNumberFormat="1" applyFont="1" applyProtection="1"/>
    <xf numFmtId="0" fontId="8" fillId="0" borderId="0" xfId="34" applyFont="1" applyAlignment="1">
      <alignment horizontal="left"/>
    </xf>
    <xf numFmtId="37" fontId="31" fillId="0" borderId="0" xfId="34" applyNumberFormat="1" applyFont="1" applyProtection="1">
      <protection locked="0"/>
    </xf>
    <xf numFmtId="37" fontId="30" fillId="0" borderId="0" xfId="34" applyNumberFormat="1" applyFont="1" applyProtection="1"/>
    <xf numFmtId="37" fontId="33" fillId="0" borderId="0" xfId="34" applyNumberFormat="1" applyFont="1" applyProtection="1"/>
    <xf numFmtId="37" fontId="8" fillId="0" borderId="0" xfId="8" applyNumberFormat="1" applyFont="1" applyFill="1"/>
    <xf numFmtId="0" fontId="8" fillId="0" borderId="0" xfId="52" quotePrefix="1" applyFont="1" applyBorder="1"/>
    <xf numFmtId="0" fontId="8" fillId="0" borderId="0" xfId="55" quotePrefix="1" applyFont="1" applyFill="1" applyAlignment="1" applyProtection="1">
      <alignment horizontal="center"/>
    </xf>
    <xf numFmtId="37" fontId="8" fillId="0" borderId="0" xfId="0" applyNumberFormat="1" applyFont="1" applyFill="1" applyProtection="1"/>
    <xf numFmtId="37" fontId="34" fillId="0" borderId="0" xfId="57" applyNumberFormat="1" applyFont="1" applyFill="1" applyBorder="1" applyAlignment="1" applyProtection="1">
      <alignment horizontal="center"/>
    </xf>
    <xf numFmtId="37" fontId="34" fillId="0" borderId="0" xfId="58" applyNumberFormat="1" applyFont="1" applyFill="1" applyBorder="1"/>
    <xf numFmtId="0" fontId="31" fillId="0" borderId="0" xfId="0" applyFont="1" applyFill="1"/>
    <xf numFmtId="0" fontId="31" fillId="0" borderId="0" xfId="0" applyFont="1" applyAlignment="1">
      <alignment horizontal="center"/>
    </xf>
    <xf numFmtId="10" fontId="8" fillId="0" borderId="0" xfId="0" applyNumberFormat="1" applyFont="1" applyFill="1"/>
    <xf numFmtId="0" fontId="8" fillId="0" borderId="0" xfId="0" applyFont="1" applyAlignment="1">
      <alignment horizontal="right"/>
    </xf>
    <xf numFmtId="0" fontId="34" fillId="0" borderId="0" xfId="58" applyFont="1" applyFill="1" applyBorder="1" applyAlignment="1">
      <alignment horizontal="centerContinuous"/>
    </xf>
    <xf numFmtId="0" fontId="8" fillId="0" borderId="0" xfId="8" applyFont="1" applyFill="1" applyBorder="1"/>
    <xf numFmtId="0" fontId="8" fillId="0" borderId="0" xfId="8" applyFont="1" applyFill="1" applyBorder="1" applyAlignment="1" applyProtection="1">
      <alignment horizontal="center"/>
    </xf>
    <xf numFmtId="0" fontId="8" fillId="0" borderId="0" xfId="20" quotePrefix="1" applyFont="1" applyAlignment="1" applyProtection="1">
      <alignment horizontal="left"/>
    </xf>
    <xf numFmtId="37" fontId="8" fillId="0" borderId="7" xfId="8" applyNumberFormat="1" applyFont="1" applyFill="1" applyBorder="1" applyProtection="1"/>
    <xf numFmtId="0" fontId="8" fillId="0" borderId="0" xfId="8" applyFont="1" applyFill="1" applyAlignment="1">
      <alignment horizontal="left" indent="1"/>
    </xf>
    <xf numFmtId="0" fontId="30" fillId="0" borderId="0" xfId="8" applyFont="1" applyFill="1"/>
    <xf numFmtId="0" fontId="8" fillId="0" borderId="0" xfId="8" applyFont="1" applyFill="1" applyAlignment="1">
      <alignment horizontal="center"/>
    </xf>
    <xf numFmtId="37" fontId="8" fillId="0" borderId="7" xfId="13" applyNumberFormat="1" applyFont="1" applyFill="1" applyBorder="1" applyProtection="1">
      <protection locked="0"/>
    </xf>
    <xf numFmtId="37" fontId="8" fillId="0" borderId="7" xfId="13" applyNumberFormat="1" applyFont="1" applyFill="1" applyBorder="1"/>
    <xf numFmtId="5" fontId="8" fillId="0" borderId="9" xfId="13" applyNumberFormat="1" applyFont="1" applyBorder="1" applyProtection="1"/>
    <xf numFmtId="37" fontId="8" fillId="0" borderId="0" xfId="37" applyNumberFormat="1" applyFont="1" applyFill="1"/>
    <xf numFmtId="0" fontId="8" fillId="0" borderId="0" xfId="23" applyFont="1" applyAlignment="1" applyProtection="1">
      <alignment horizontal="centerContinuous"/>
    </xf>
    <xf numFmtId="37" fontId="8" fillId="0" borderId="0" xfId="23" applyNumberFormat="1" applyFont="1" applyAlignment="1" applyProtection="1">
      <alignment horizontal="centerContinuous"/>
    </xf>
    <xf numFmtId="0" fontId="8" fillId="0" borderId="0" xfId="23" applyFont="1" applyAlignment="1" applyProtection="1"/>
    <xf numFmtId="0" fontId="8" fillId="0" borderId="7" xfId="23" applyFont="1" applyBorder="1" applyAlignment="1" applyProtection="1">
      <alignment horizontal="fill"/>
    </xf>
    <xf numFmtId="0" fontId="8" fillId="0" borderId="0" xfId="23" applyFont="1" applyBorder="1" applyAlignment="1" applyProtection="1">
      <alignment horizontal="left"/>
    </xf>
    <xf numFmtId="0" fontId="8" fillId="0" borderId="0" xfId="23" applyFont="1" applyAlignment="1" applyProtection="1">
      <alignment horizontal="center"/>
    </xf>
    <xf numFmtId="9" fontId="34" fillId="0" borderId="0" xfId="23" applyNumberFormat="1" applyFont="1" applyFill="1" applyAlignment="1" applyProtection="1">
      <alignment horizontal="left"/>
    </xf>
    <xf numFmtId="10" fontId="8" fillId="0" borderId="0" xfId="23" applyNumberFormat="1" applyFont="1" applyProtection="1"/>
    <xf numFmtId="166" fontId="30" fillId="0" borderId="0" xfId="23" applyNumberFormat="1" applyFont="1" applyProtection="1"/>
    <xf numFmtId="0" fontId="31" fillId="0" borderId="0" xfId="23" applyFont="1"/>
    <xf numFmtId="37" fontId="8" fillId="0" borderId="7" xfId="23" applyNumberFormat="1" applyFont="1" applyFill="1" applyBorder="1"/>
    <xf numFmtId="0" fontId="8" fillId="0" borderId="0" xfId="23" applyFont="1" applyAlignment="1">
      <alignment horizontal="right"/>
    </xf>
    <xf numFmtId="37" fontId="8" fillId="0" borderId="0" xfId="23" applyNumberFormat="1" applyFont="1" applyProtection="1"/>
    <xf numFmtId="0" fontId="8" fillId="0" borderId="0" xfId="23" applyFont="1" applyAlignment="1"/>
    <xf numFmtId="37" fontId="8" fillId="0" borderId="0" xfId="23" applyNumberFormat="1" applyFont="1" applyAlignment="1" applyProtection="1">
      <alignment horizontal="right"/>
    </xf>
    <xf numFmtId="0" fontId="8" fillId="0" borderId="0" xfId="61" applyFont="1" applyFill="1"/>
    <xf numFmtId="0" fontId="8" fillId="0" borderId="0" xfId="8" applyFont="1" applyFill="1" applyProtection="1"/>
    <xf numFmtId="0" fontId="31" fillId="0" borderId="0" xfId="8" applyFont="1" applyFill="1" applyAlignment="1" applyProtection="1">
      <alignment horizontal="left"/>
    </xf>
    <xf numFmtId="0" fontId="30" fillId="0" borderId="0" xfId="8" applyFont="1" applyFill="1" applyAlignment="1">
      <alignment horizontal="center"/>
    </xf>
    <xf numFmtId="0" fontId="8" fillId="0" borderId="0" xfId="8" applyFont="1" applyFill="1" applyAlignment="1" applyProtection="1">
      <alignment horizontal="fill"/>
    </xf>
    <xf numFmtId="37" fontId="8" fillId="0" borderId="0" xfId="8" applyNumberFormat="1" applyFont="1" applyFill="1" applyAlignment="1" applyProtection="1">
      <alignment horizontal="right"/>
    </xf>
    <xf numFmtId="37" fontId="8" fillId="0" borderId="8" xfId="8" applyNumberFormat="1" applyFont="1" applyFill="1" applyBorder="1" applyProtection="1"/>
    <xf numFmtId="37" fontId="8" fillId="0" borderId="9" xfId="8" applyNumberFormat="1" applyFont="1" applyFill="1" applyBorder="1" applyProtection="1"/>
    <xf numFmtId="37" fontId="8" fillId="0" borderId="0" xfId="8" applyNumberFormat="1" applyFont="1" applyFill="1" applyAlignment="1" applyProtection="1">
      <alignment horizontal="left"/>
    </xf>
    <xf numFmtId="0" fontId="8" fillId="0" borderId="0" xfId="8" applyFont="1" applyFill="1" applyAlignment="1" applyProtection="1">
      <alignment horizontal="centerContinuous"/>
    </xf>
    <xf numFmtId="37" fontId="8" fillId="0" borderId="0" xfId="8" applyNumberFormat="1" applyFont="1" applyFill="1" applyBorder="1" applyProtection="1"/>
    <xf numFmtId="0" fontId="8" fillId="0" borderId="0" xfId="8" applyFont="1" applyFill="1" applyAlignment="1" applyProtection="1">
      <alignment horizontal="right"/>
    </xf>
    <xf numFmtId="0" fontId="8" fillId="0" borderId="0" xfId="8" applyFont="1" applyFill="1" applyAlignment="1">
      <alignment horizontal="centerContinuous"/>
    </xf>
    <xf numFmtId="0" fontId="31" fillId="0" borderId="0" xfId="8" applyFont="1" applyFill="1" applyAlignment="1" applyProtection="1">
      <alignment horizontal="centerContinuous"/>
    </xf>
    <xf numFmtId="0" fontId="8" fillId="0" borderId="10" xfId="8" applyFont="1" applyFill="1" applyBorder="1"/>
    <xf numFmtId="0" fontId="8" fillId="0" borderId="0" xfId="8" applyFont="1" applyFill="1" applyAlignment="1" applyProtection="1"/>
    <xf numFmtId="0" fontId="8" fillId="0" borderId="0" xfId="8" applyFont="1" applyFill="1" applyAlignment="1"/>
    <xf numFmtId="196" fontId="8" fillId="0" borderId="0" xfId="22" applyNumberFormat="1" applyFont="1" applyFill="1" applyProtection="1"/>
    <xf numFmtId="0" fontId="8" fillId="0" borderId="0" xfId="24" applyFont="1" applyFill="1" applyAlignment="1" applyProtection="1">
      <alignment horizontal="right"/>
    </xf>
    <xf numFmtId="0" fontId="8" fillId="0" borderId="0" xfId="24" applyFont="1" applyFill="1"/>
    <xf numFmtId="166" fontId="8" fillId="0" borderId="7" xfId="24" applyNumberFormat="1" applyFont="1" applyFill="1" applyBorder="1" applyProtection="1"/>
    <xf numFmtId="171" fontId="33" fillId="0" borderId="0" xfId="24" applyNumberFormat="1" applyFont="1" applyFill="1" applyProtection="1"/>
    <xf numFmtId="196" fontId="8" fillId="0" borderId="9" xfId="22" applyNumberFormat="1" applyFont="1" applyFill="1" applyBorder="1" applyProtection="1"/>
    <xf numFmtId="0" fontId="8" fillId="0" borderId="0" xfId="33" applyFont="1" applyFill="1" applyAlignment="1" applyProtection="1">
      <alignment horizontal="left"/>
    </xf>
    <xf numFmtId="0" fontId="8" fillId="0" borderId="0" xfId="33" applyFont="1" applyFill="1"/>
    <xf numFmtId="0" fontId="22" fillId="0" borderId="0" xfId="33" applyFont="1" applyFill="1" applyAlignment="1" applyProtection="1">
      <alignment horizontal="center"/>
    </xf>
    <xf numFmtId="0" fontId="8" fillId="0" borderId="0" xfId="8" quotePrefix="1" applyFont="1" applyFill="1" applyAlignment="1" applyProtection="1">
      <alignment horizontal="left"/>
    </xf>
    <xf numFmtId="0" fontId="8" fillId="0" borderId="7" xfId="8" applyFont="1" applyFill="1" applyBorder="1" applyAlignment="1" applyProtection="1">
      <alignment horizontal="fill"/>
    </xf>
    <xf numFmtId="0" fontId="8" fillId="0" borderId="0" xfId="8" applyFont="1" applyFill="1" applyAlignment="1">
      <alignment horizontal="left"/>
    </xf>
    <xf numFmtId="195" fontId="8" fillId="0" borderId="7" xfId="22" applyNumberFormat="1" applyFont="1" applyFill="1" applyBorder="1" applyProtection="1"/>
    <xf numFmtId="42" fontId="8" fillId="0" borderId="0" xfId="22" applyNumberFormat="1" applyFont="1" applyFill="1" applyProtection="1"/>
    <xf numFmtId="37" fontId="8" fillId="0" borderId="0" xfId="8" applyNumberFormat="1" applyFont="1" applyFill="1" applyAlignment="1" applyProtection="1">
      <alignment horizontal="fill"/>
    </xf>
    <xf numFmtId="166" fontId="8" fillId="0" borderId="7" xfId="33" applyNumberFormat="1" applyFont="1" applyFill="1" applyBorder="1" applyProtection="1"/>
    <xf numFmtId="0" fontId="8" fillId="0" borderId="0" xfId="8" applyFont="1" applyFill="1" applyBorder="1" applyAlignment="1" applyProtection="1">
      <alignment horizontal="fill"/>
    </xf>
    <xf numFmtId="166" fontId="8" fillId="0" borderId="0" xfId="8" applyNumberFormat="1" applyFont="1" applyFill="1" applyProtection="1"/>
    <xf numFmtId="5" fontId="8" fillId="0" borderId="0" xfId="8" applyNumberFormat="1" applyFont="1" applyFill="1" applyProtection="1"/>
    <xf numFmtId="0" fontId="20" fillId="0" borderId="0" xfId="8" applyFont="1" applyFill="1" applyAlignment="1" applyProtection="1">
      <alignment horizontal="left"/>
    </xf>
    <xf numFmtId="0" fontId="8" fillId="0" borderId="7" xfId="8" applyFont="1" applyFill="1" applyBorder="1" applyAlignment="1" applyProtection="1">
      <alignment horizontal="center"/>
    </xf>
    <xf numFmtId="0" fontId="8" fillId="0" borderId="7" xfId="8" applyFont="1" applyFill="1" applyBorder="1"/>
    <xf numFmtId="0" fontId="8" fillId="0" borderId="7" xfId="8" applyFont="1" applyFill="1" applyBorder="1" applyProtection="1">
      <protection locked="0"/>
    </xf>
    <xf numFmtId="0" fontId="8" fillId="0" borderId="0" xfId="8" applyFont="1" applyFill="1" applyBorder="1" applyProtection="1">
      <protection locked="0"/>
    </xf>
    <xf numFmtId="37" fontId="30" fillId="0" borderId="0" xfId="8" applyNumberFormat="1" applyFont="1" applyFill="1" applyAlignment="1" applyProtection="1">
      <alignment horizontal="left"/>
    </xf>
    <xf numFmtId="37" fontId="38" fillId="0" borderId="0" xfId="8" applyNumberFormat="1" applyFont="1" applyFill="1" applyAlignment="1" applyProtection="1">
      <alignment horizontal="left"/>
    </xf>
    <xf numFmtId="0" fontId="8" fillId="0" borderId="0" xfId="8" quotePrefix="1" applyFont="1" applyFill="1" applyAlignment="1" applyProtection="1">
      <alignment horizontal="center"/>
    </xf>
    <xf numFmtId="10" fontId="8" fillId="0" borderId="0" xfId="8" applyNumberFormat="1" applyFont="1" applyFill="1" applyProtection="1"/>
    <xf numFmtId="0" fontId="8" fillId="0" borderId="7" xfId="8" applyFont="1" applyFill="1" applyBorder="1" applyAlignment="1">
      <alignment horizontal="left"/>
    </xf>
    <xf numFmtId="10" fontId="8" fillId="0" borderId="0" xfId="8" applyNumberFormat="1" applyFont="1" applyFill="1" applyAlignment="1" applyProtection="1">
      <alignment horizontal="center"/>
    </xf>
    <xf numFmtId="166" fontId="8" fillId="0" borderId="0" xfId="8" applyNumberFormat="1" applyFont="1" applyFill="1" applyAlignment="1" applyProtection="1">
      <alignment horizontal="center"/>
    </xf>
    <xf numFmtId="0" fontId="8" fillId="0" borderId="7" xfId="8" applyFont="1" applyFill="1" applyBorder="1" applyAlignment="1" applyProtection="1">
      <alignment horizontal="center"/>
      <protection locked="0"/>
    </xf>
    <xf numFmtId="0" fontId="30" fillId="0" borderId="0" xfId="8" applyFont="1" applyFill="1" applyAlignment="1" applyProtection="1">
      <alignment horizontal="left"/>
    </xf>
    <xf numFmtId="173" fontId="8" fillId="0" borderId="0" xfId="8" applyNumberFormat="1" applyFont="1" applyFill="1" applyProtection="1"/>
    <xf numFmtId="37" fontId="8" fillId="0" borderId="0" xfId="8" applyNumberFormat="1" applyFont="1" applyFill="1" applyAlignment="1" applyProtection="1"/>
    <xf numFmtId="0" fontId="22" fillId="0" borderId="0" xfId="8" applyFont="1" applyFill="1"/>
    <xf numFmtId="196" fontId="33" fillId="0" borderId="0" xfId="8" applyNumberFormat="1" applyFont="1" applyFill="1" applyProtection="1">
      <protection locked="0"/>
    </xf>
    <xf numFmtId="37" fontId="33" fillId="0" borderId="0" xfId="8" applyNumberFormat="1" applyFont="1" applyFill="1" applyProtection="1">
      <protection locked="0"/>
    </xf>
    <xf numFmtId="10" fontId="33" fillId="0" borderId="0" xfId="8" applyNumberFormat="1" applyFont="1" applyFill="1" applyProtection="1"/>
    <xf numFmtId="0" fontId="8" fillId="0" borderId="7" xfId="8" applyFont="1" applyFill="1" applyBorder="1" applyAlignment="1">
      <alignment horizontal="centerContinuous"/>
    </xf>
    <xf numFmtId="166" fontId="8" fillId="0" borderId="7" xfId="8" applyNumberFormat="1" applyFont="1" applyFill="1" applyBorder="1" applyAlignment="1" applyProtection="1">
      <alignment horizontal="centerContinuous"/>
    </xf>
    <xf numFmtId="17" fontId="8" fillId="0" borderId="7" xfId="8" applyNumberFormat="1" applyFont="1" applyFill="1" applyBorder="1" applyAlignment="1">
      <alignment horizontal="center"/>
    </xf>
    <xf numFmtId="17" fontId="8" fillId="0" borderId="7" xfId="8" applyNumberFormat="1" applyFont="1" applyFill="1" applyBorder="1" applyAlignment="1" applyProtection="1">
      <alignment horizontal="center"/>
      <protection locked="0"/>
    </xf>
    <xf numFmtId="10" fontId="31" fillId="0" borderId="0" xfId="8" applyNumberFormat="1" applyFont="1" applyFill="1"/>
    <xf numFmtId="10" fontId="8" fillId="0" borderId="0" xfId="8" applyNumberFormat="1" applyFont="1" applyFill="1"/>
    <xf numFmtId="37" fontId="30" fillId="0" borderId="0" xfId="8" applyNumberFormat="1" applyFont="1" applyFill="1"/>
    <xf numFmtId="37" fontId="33" fillId="0" borderId="0" xfId="8" applyNumberFormat="1" applyFont="1" applyFill="1"/>
    <xf numFmtId="0" fontId="8" fillId="0" borderId="0" xfId="8" quotePrefix="1" applyFont="1" applyFill="1"/>
    <xf numFmtId="0" fontId="31" fillId="0" borderId="0" xfId="8" applyFont="1" applyFill="1" applyProtection="1"/>
    <xf numFmtId="17" fontId="8" fillId="0" borderId="0" xfId="8" applyNumberFormat="1" applyFont="1" applyFill="1" applyAlignment="1">
      <alignment horizontal="left"/>
    </xf>
    <xf numFmtId="37" fontId="8" fillId="0" borderId="8" xfId="8" applyNumberFormat="1" applyFont="1" applyFill="1" applyBorder="1"/>
    <xf numFmtId="43" fontId="8" fillId="0" borderId="7" xfId="38" applyNumberFormat="1" applyFont="1" applyFill="1" applyBorder="1" applyAlignment="1">
      <alignment horizontal="centerContinuous"/>
    </xf>
    <xf numFmtId="43" fontId="8" fillId="0" borderId="0" xfId="38" applyNumberFormat="1" applyFont="1" applyFill="1" applyBorder="1" applyAlignment="1">
      <alignment horizontal="center"/>
    </xf>
    <xf numFmtId="0" fontId="8" fillId="0" borderId="0" xfId="37" applyFont="1" applyFill="1" applyAlignment="1" applyProtection="1">
      <alignment horizontal="centerContinuous"/>
    </xf>
    <xf numFmtId="0" fontId="8" fillId="0" borderId="0" xfId="37" applyFont="1" applyFill="1" applyAlignment="1">
      <alignment horizontal="centerContinuous"/>
    </xf>
    <xf numFmtId="0" fontId="8" fillId="0" borderId="0" xfId="37" applyFont="1" applyFill="1" applyAlignment="1">
      <alignment horizontal="left"/>
    </xf>
    <xf numFmtId="0" fontId="8" fillId="0" borderId="0" xfId="37" applyFont="1" applyFill="1" applyProtection="1"/>
    <xf numFmtId="0" fontId="8" fillId="0" borderId="0" xfId="37" applyFont="1" applyFill="1" applyAlignment="1" applyProtection="1">
      <alignment horizontal="left"/>
    </xf>
    <xf numFmtId="0" fontId="8" fillId="0" borderId="0" xfId="37" applyFont="1" applyFill="1" applyAlignment="1" applyProtection="1">
      <alignment horizontal="center"/>
    </xf>
    <xf numFmtId="0" fontId="8" fillId="0" borderId="7" xfId="37" applyFont="1" applyFill="1" applyBorder="1"/>
    <xf numFmtId="0" fontId="8" fillId="0" borderId="7" xfId="37" applyFont="1" applyFill="1" applyBorder="1" applyAlignment="1">
      <alignment horizontal="left"/>
    </xf>
    <xf numFmtId="0" fontId="8" fillId="0" borderId="7" xfId="37" applyFont="1" applyFill="1" applyBorder="1" applyAlignment="1" applyProtection="1">
      <alignment horizontal="center"/>
    </xf>
    <xf numFmtId="0" fontId="8" fillId="0" borderId="7" xfId="37" quotePrefix="1" applyFont="1" applyFill="1" applyBorder="1" applyAlignment="1" applyProtection="1">
      <alignment horizontal="center"/>
    </xf>
    <xf numFmtId="37" fontId="8" fillId="0" borderId="0" xfId="37" quotePrefix="1" applyNumberFormat="1" applyFont="1" applyFill="1" applyBorder="1" applyProtection="1"/>
    <xf numFmtId="37" fontId="8" fillId="0" borderId="0" xfId="37" applyNumberFormat="1" applyFont="1" applyFill="1" applyBorder="1" applyProtection="1"/>
    <xf numFmtId="37" fontId="8" fillId="0" borderId="0" xfId="37" applyNumberFormat="1" applyFont="1" applyFill="1" applyBorder="1"/>
    <xf numFmtId="37" fontId="8" fillId="0" borderId="0" xfId="37" applyNumberFormat="1" applyFont="1" applyFill="1" applyBorder="1" applyAlignment="1" applyProtection="1">
      <alignment horizontal="fill"/>
    </xf>
    <xf numFmtId="37" fontId="8" fillId="0" borderId="7" xfId="37" applyNumberFormat="1" applyFont="1" applyFill="1" applyBorder="1" applyProtection="1"/>
    <xf numFmtId="37" fontId="8" fillId="0" borderId="2" xfId="37" applyNumberFormat="1" applyFont="1" applyFill="1" applyBorder="1" applyProtection="1"/>
    <xf numFmtId="37" fontId="8" fillId="0" borderId="0" xfId="37" applyNumberFormat="1" applyFont="1" applyFill="1" applyBorder="1" applyProtection="1">
      <protection locked="0"/>
    </xf>
    <xf numFmtId="37" fontId="8" fillId="0" borderId="8" xfId="37" applyNumberFormat="1" applyFont="1" applyFill="1" applyBorder="1" applyProtection="1"/>
    <xf numFmtId="37" fontId="8" fillId="0" borderId="0" xfId="37" applyNumberFormat="1" applyFont="1" applyFill="1" applyBorder="1" applyAlignment="1">
      <alignment horizontal="right"/>
    </xf>
    <xf numFmtId="0" fontId="8" fillId="0" borderId="0" xfId="37" applyFont="1" applyFill="1" applyBorder="1" applyAlignment="1" applyProtection="1">
      <alignment horizontal="centerContinuous"/>
    </xf>
    <xf numFmtId="0" fontId="6" fillId="0" borderId="0" xfId="2" applyFont="1" applyFill="1" applyBorder="1"/>
    <xf numFmtId="0" fontId="0" fillId="0" borderId="0" xfId="0" applyFill="1" applyBorder="1"/>
    <xf numFmtId="17" fontId="30" fillId="0" borderId="0" xfId="52" applyNumberFormat="1" applyFont="1" applyFill="1" applyAlignment="1">
      <alignment horizontal="center"/>
    </xf>
    <xf numFmtId="170" fontId="8" fillId="0" borderId="0" xfId="52" applyNumberFormat="1" applyFont="1" applyFill="1" applyBorder="1" applyProtection="1"/>
    <xf numFmtId="0" fontId="8" fillId="0" borderId="0" xfId="52" applyFont="1" applyFill="1" applyBorder="1" applyAlignment="1">
      <alignment horizontal="centerContinuous"/>
    </xf>
    <xf numFmtId="166" fontId="8" fillId="0" borderId="0" xfId="8" quotePrefix="1" applyNumberFormat="1" applyFont="1" applyFill="1" applyProtection="1"/>
    <xf numFmtId="0" fontId="8" fillId="0" borderId="7" xfId="52" applyFont="1" applyFill="1" applyBorder="1" applyAlignment="1">
      <alignment horizontal="centerContinuous"/>
    </xf>
    <xf numFmtId="0" fontId="8" fillId="0" borderId="7" xfId="52" applyFont="1" applyFill="1" applyBorder="1" applyAlignment="1" applyProtection="1">
      <alignment horizontal="centerContinuous"/>
    </xf>
    <xf numFmtId="0" fontId="8" fillId="0" borderId="0" xfId="52" applyFont="1" applyFill="1" applyAlignment="1" applyProtection="1">
      <alignment horizontal="fill"/>
    </xf>
    <xf numFmtId="0" fontId="21" fillId="0" borderId="0" xfId="52" applyFont="1" applyFill="1"/>
    <xf numFmtId="0" fontId="8" fillId="0" borderId="0" xfId="52" applyFont="1" applyFill="1" applyBorder="1"/>
    <xf numFmtId="0" fontId="30" fillId="0" borderId="0" xfId="52" applyFont="1" applyFill="1" applyBorder="1" applyAlignment="1">
      <alignment horizontal="centerContinuous"/>
    </xf>
    <xf numFmtId="0" fontId="8" fillId="0" borderId="0" xfId="52" applyFont="1" applyFill="1" applyBorder="1" applyAlignment="1" applyProtection="1">
      <alignment horizontal="fill"/>
    </xf>
    <xf numFmtId="170" fontId="34" fillId="0" borderId="0" xfId="52" applyNumberFormat="1" applyFont="1" applyFill="1" applyBorder="1" applyProtection="1">
      <protection locked="0"/>
    </xf>
    <xf numFmtId="170" fontId="32" fillId="0" borderId="0" xfId="52" applyNumberFormat="1" applyFont="1" applyFill="1" applyBorder="1" applyProtection="1">
      <protection locked="0"/>
    </xf>
    <xf numFmtId="170" fontId="33" fillId="0" borderId="0" xfId="52" applyNumberFormat="1" applyFont="1" applyFill="1" applyBorder="1" applyProtection="1"/>
    <xf numFmtId="170" fontId="8" fillId="0" borderId="0" xfId="52" applyNumberFormat="1" applyFont="1" applyFill="1" applyBorder="1" applyAlignment="1" applyProtection="1">
      <alignment horizontal="right"/>
    </xf>
    <xf numFmtId="170" fontId="8" fillId="0" borderId="0" xfId="52" applyNumberFormat="1" applyFont="1" applyFill="1" applyBorder="1"/>
    <xf numFmtId="170" fontId="31" fillId="0" borderId="0" xfId="52" applyNumberFormat="1" applyFont="1" applyFill="1" applyBorder="1" applyProtection="1">
      <protection locked="0"/>
    </xf>
    <xf numFmtId="170" fontId="36" fillId="0" borderId="0" xfId="52" applyNumberFormat="1" applyFont="1" applyFill="1" applyBorder="1" applyProtection="1">
      <protection locked="0"/>
    </xf>
    <xf numFmtId="0" fontId="8" fillId="0" borderId="0" xfId="52" applyFont="1" applyFill="1" applyBorder="1" applyAlignment="1" applyProtection="1">
      <alignment horizontal="right"/>
    </xf>
    <xf numFmtId="170" fontId="35" fillId="0" borderId="0" xfId="52" applyNumberFormat="1" applyFont="1" applyFill="1" applyBorder="1" applyProtection="1">
      <protection locked="0"/>
    </xf>
    <xf numFmtId="0" fontId="8" fillId="0" borderId="0" xfId="52" applyFont="1" applyFill="1" applyBorder="1" applyAlignment="1" applyProtection="1">
      <alignment horizontal="center"/>
    </xf>
    <xf numFmtId="0" fontId="8" fillId="0" borderId="0" xfId="54" applyFont="1" applyFill="1" applyAlignment="1">
      <alignment horizontal="centerContinuous"/>
    </xf>
    <xf numFmtId="0" fontId="8" fillId="0" borderId="7" xfId="54" applyFont="1" applyFill="1" applyBorder="1" applyAlignment="1">
      <alignment horizontal="centerContinuous"/>
    </xf>
    <xf numFmtId="0" fontId="30" fillId="0" borderId="7" xfId="54" applyFont="1" applyFill="1" applyBorder="1" applyAlignment="1">
      <alignment horizontal="centerContinuous"/>
    </xf>
    <xf numFmtId="0" fontId="59" fillId="0" borderId="0" xfId="54" applyFont="1" applyFill="1"/>
    <xf numFmtId="170" fontId="34" fillId="0" borderId="0" xfId="54" applyNumberFormat="1" applyFont="1" applyFill="1" applyProtection="1">
      <protection locked="0"/>
    </xf>
    <xf numFmtId="0" fontId="43" fillId="0" borderId="0" xfId="54" applyFont="1" applyFill="1"/>
    <xf numFmtId="0" fontId="43" fillId="0" borderId="0" xfId="54" applyFont="1" applyFill="1" applyBorder="1"/>
    <xf numFmtId="0" fontId="43" fillId="0" borderId="0" xfId="54" applyFont="1" applyFill="1" applyBorder="1" applyAlignment="1">
      <alignment horizontal="centerContinuous"/>
    </xf>
    <xf numFmtId="0" fontId="44" fillId="0" borderId="0" xfId="54" applyFont="1" applyFill="1" applyBorder="1" applyAlignment="1">
      <alignment horizontal="centerContinuous"/>
    </xf>
    <xf numFmtId="0" fontId="43" fillId="0" borderId="0" xfId="54" applyFont="1" applyFill="1" applyBorder="1" applyAlignment="1" applyProtection="1">
      <alignment horizontal="fill"/>
    </xf>
    <xf numFmtId="170" fontId="46" fillId="0" borderId="0" xfId="54" applyNumberFormat="1" applyFont="1" applyFill="1" applyBorder="1" applyProtection="1">
      <protection locked="0"/>
    </xf>
    <xf numFmtId="170" fontId="47" fillId="0" borderId="0" xfId="54" applyNumberFormat="1" applyFont="1" applyFill="1" applyBorder="1" applyProtection="1">
      <protection locked="0"/>
    </xf>
    <xf numFmtId="170" fontId="48" fillId="0" borderId="0" xfId="54" applyNumberFormat="1" applyFont="1" applyFill="1" applyBorder="1" applyProtection="1">
      <protection locked="0"/>
    </xf>
    <xf numFmtId="0" fontId="43" fillId="0" borderId="0" xfId="54" applyFont="1" applyFill="1" applyBorder="1" applyAlignment="1" applyProtection="1">
      <alignment horizontal="right"/>
    </xf>
    <xf numFmtId="0" fontId="43" fillId="0" borderId="0" xfId="54" applyFont="1" applyFill="1" applyBorder="1" applyAlignment="1" applyProtection="1">
      <alignment horizontal="center"/>
    </xf>
    <xf numFmtId="0" fontId="42" fillId="0" borderId="0" xfId="54" applyFont="1" applyFill="1" applyBorder="1"/>
    <xf numFmtId="0" fontId="5" fillId="0" borderId="0" xfId="54" applyFill="1" applyBorder="1"/>
    <xf numFmtId="0" fontId="5" fillId="0" borderId="0" xfId="54" applyFill="1"/>
    <xf numFmtId="0" fontId="8" fillId="0" borderId="0" xfId="55" applyFont="1" applyFill="1" applyAlignment="1" applyProtection="1">
      <alignment horizontal="centerContinuous"/>
    </xf>
    <xf numFmtId="0" fontId="8" fillId="0" borderId="0" xfId="55" applyFont="1" applyFill="1" applyAlignment="1">
      <alignment horizontal="centerContinuous"/>
    </xf>
    <xf numFmtId="0" fontId="8" fillId="0" borderId="0" xfId="55" quotePrefix="1" applyFont="1" applyFill="1" applyAlignment="1" applyProtection="1">
      <alignment horizontal="right"/>
    </xf>
    <xf numFmtId="0" fontId="8" fillId="0" borderId="0" xfId="55" applyFont="1" applyFill="1" applyAlignment="1" applyProtection="1">
      <alignment horizontal="left"/>
    </xf>
    <xf numFmtId="0" fontId="8" fillId="0" borderId="0" xfId="55" applyFont="1" applyFill="1" applyAlignment="1" applyProtection="1">
      <alignment horizontal="centerContinuous"/>
      <protection locked="0"/>
    </xf>
    <xf numFmtId="0" fontId="31" fillId="0" borderId="0" xfId="55" applyFont="1" applyFill="1" applyAlignment="1" applyProtection="1">
      <alignment horizontal="left"/>
      <protection locked="0"/>
    </xf>
    <xf numFmtId="0" fontId="8" fillId="0" borderId="0" xfId="55" applyFont="1" applyFill="1" applyAlignment="1" applyProtection="1">
      <alignment horizontal="center"/>
    </xf>
    <xf numFmtId="0" fontId="31" fillId="0" borderId="0" xfId="55" applyFont="1" applyFill="1" applyAlignment="1" applyProtection="1">
      <alignment horizontal="centerContinuous"/>
      <protection locked="0"/>
    </xf>
    <xf numFmtId="0" fontId="34" fillId="0" borderId="0" xfId="55" applyFont="1" applyFill="1" applyAlignment="1" applyProtection="1">
      <alignment horizontal="left"/>
      <protection locked="0"/>
    </xf>
    <xf numFmtId="0" fontId="8" fillId="0" borderId="7" xfId="55" applyFont="1" applyFill="1" applyBorder="1" applyAlignment="1" applyProtection="1">
      <alignment horizontal="left"/>
    </xf>
    <xf numFmtId="0" fontId="8" fillId="0" borderId="7" xfId="55" applyFont="1" applyFill="1" applyBorder="1"/>
    <xf numFmtId="0" fontId="8" fillId="0" borderId="7" xfId="55" applyFont="1" applyFill="1" applyBorder="1" applyAlignment="1">
      <alignment horizontal="centerContinuous"/>
    </xf>
    <xf numFmtId="0" fontId="8" fillId="0" borderId="0" xfId="55" applyFont="1" applyFill="1" applyBorder="1" applyAlignment="1">
      <alignment horizontal="centerContinuous"/>
    </xf>
    <xf numFmtId="0" fontId="8" fillId="0" borderId="0" xfId="53" applyFont="1" applyFill="1" applyAlignment="1">
      <alignment horizontal="centerContinuous"/>
    </xf>
    <xf numFmtId="0" fontId="8" fillId="0" borderId="0" xfId="53" quotePrefix="1" applyFont="1" applyFill="1" applyAlignment="1" applyProtection="1">
      <alignment horizontal="centerContinuous"/>
    </xf>
    <xf numFmtId="0" fontId="8" fillId="0" borderId="0" xfId="53" applyFont="1" applyFill="1" applyBorder="1" applyAlignment="1">
      <alignment horizontal="center"/>
    </xf>
    <xf numFmtId="0" fontId="8" fillId="0" borderId="0" xfId="52" applyFont="1" applyFill="1" applyAlignment="1" applyProtection="1">
      <alignment horizontal="centerContinuous"/>
    </xf>
    <xf numFmtId="0" fontId="8" fillId="0" borderId="0" xfId="55" applyFont="1" applyFill="1" applyAlignment="1" applyProtection="1">
      <alignment horizontal="fill"/>
    </xf>
    <xf numFmtId="0" fontId="8" fillId="0" borderId="7" xfId="55" applyFont="1" applyFill="1" applyBorder="1" applyAlignment="1" applyProtection="1">
      <alignment horizontal="center"/>
    </xf>
    <xf numFmtId="0" fontId="8" fillId="0" borderId="0" xfId="55" applyFont="1" applyFill="1" applyProtection="1"/>
    <xf numFmtId="0" fontId="30" fillId="0" borderId="0" xfId="55" applyFont="1" applyFill="1" applyAlignment="1" applyProtection="1">
      <alignment horizontal="left"/>
    </xf>
    <xf numFmtId="0" fontId="8" fillId="0" borderId="0" xfId="55" applyFont="1" applyFill="1" applyBorder="1" applyAlignment="1">
      <alignment horizontal="center"/>
    </xf>
    <xf numFmtId="0" fontId="8" fillId="0" borderId="0" xfId="55" quotePrefix="1" applyFont="1" applyFill="1" applyBorder="1" applyAlignment="1" applyProtection="1">
      <alignment horizontal="center"/>
    </xf>
    <xf numFmtId="0" fontId="8" fillId="0" borderId="0" xfId="55" applyFont="1" applyFill="1" applyBorder="1" applyAlignment="1" applyProtection="1">
      <alignment horizontal="left"/>
    </xf>
    <xf numFmtId="0" fontId="8" fillId="0" borderId="0" xfId="55" quotePrefix="1" applyFont="1" applyFill="1" applyBorder="1" applyAlignment="1" applyProtection="1">
      <alignment horizontal="left"/>
    </xf>
    <xf numFmtId="0" fontId="30" fillId="0" borderId="0" xfId="55" applyFont="1" applyFill="1" applyBorder="1" applyAlignment="1" applyProtection="1">
      <alignment horizontal="center"/>
    </xf>
    <xf numFmtId="0" fontId="30" fillId="0" borderId="0" xfId="55" applyFont="1" applyFill="1" applyBorder="1" applyAlignment="1" applyProtection="1">
      <alignment horizontal="left"/>
    </xf>
    <xf numFmtId="0" fontId="8" fillId="0" borderId="0" xfId="55" applyFont="1" applyFill="1" applyBorder="1" applyAlignment="1" applyProtection="1">
      <alignment horizontal="center"/>
    </xf>
    <xf numFmtId="0" fontId="30" fillId="0" borderId="0" xfId="55" applyFont="1" applyFill="1" applyBorder="1" applyAlignment="1" applyProtection="1">
      <alignment horizontal="centerContinuous"/>
    </xf>
    <xf numFmtId="0" fontId="30" fillId="0" borderId="0" xfId="55" applyFont="1" applyFill="1" applyBorder="1" applyAlignment="1">
      <alignment horizontal="centerContinuous"/>
    </xf>
    <xf numFmtId="0" fontId="8" fillId="0" borderId="0" xfId="55" applyFont="1" applyFill="1" applyBorder="1" applyAlignment="1" applyProtection="1">
      <alignment horizontal="fill"/>
    </xf>
    <xf numFmtId="0" fontId="22" fillId="0" borderId="0" xfId="55" applyFont="1" applyFill="1" applyBorder="1" applyAlignment="1" applyProtection="1">
      <alignment horizontal="center"/>
    </xf>
    <xf numFmtId="170" fontId="34" fillId="0" borderId="0" xfId="55" applyNumberFormat="1" applyFont="1" applyFill="1" applyBorder="1" applyProtection="1">
      <protection locked="0"/>
    </xf>
    <xf numFmtId="170" fontId="32" fillId="0" borderId="0" xfId="55" applyNumberFormat="1" applyFont="1" applyFill="1" applyBorder="1" applyProtection="1">
      <protection locked="0"/>
    </xf>
    <xf numFmtId="170" fontId="36" fillId="0" borderId="0" xfId="55" applyNumberFormat="1" applyFont="1" applyFill="1" applyBorder="1" applyProtection="1">
      <protection locked="0"/>
    </xf>
    <xf numFmtId="0" fontId="8" fillId="0" borderId="0" xfId="55" applyFont="1" applyFill="1" applyBorder="1" applyAlignment="1" applyProtection="1">
      <alignment horizontal="right"/>
    </xf>
    <xf numFmtId="0" fontId="31" fillId="0" borderId="0" xfId="55" applyFont="1" applyFill="1" applyBorder="1" applyProtection="1">
      <protection locked="0"/>
    </xf>
    <xf numFmtId="0" fontId="8" fillId="0" borderId="0" xfId="55" applyFont="1" applyFill="1" applyBorder="1" applyProtection="1"/>
    <xf numFmtId="0" fontId="8" fillId="0" borderId="0" xfId="38" applyFont="1" applyFill="1" applyAlignment="1">
      <alignment horizontal="right"/>
    </xf>
    <xf numFmtId="37" fontId="30" fillId="0" borderId="0" xfId="8" applyNumberFormat="1" applyFont="1" applyFill="1" applyProtection="1">
      <protection locked="0"/>
    </xf>
    <xf numFmtId="42" fontId="8" fillId="0" borderId="0" xfId="31" applyNumberFormat="1" applyFont="1"/>
    <xf numFmtId="37" fontId="30" fillId="0" borderId="0" xfId="31" applyNumberFormat="1" applyFont="1"/>
    <xf numFmtId="0" fontId="8" fillId="0" borderId="2" xfId="21" applyFont="1" applyFill="1" applyBorder="1"/>
    <xf numFmtId="37" fontId="8" fillId="0" borderId="0" xfId="29" applyNumberFormat="1" applyFont="1" applyAlignment="1" applyProtection="1">
      <alignment horizontal="right"/>
      <protection locked="0"/>
    </xf>
    <xf numFmtId="166" fontId="8" fillId="0" borderId="0" xfId="24" applyNumberFormat="1" applyFont="1" applyFill="1" applyBorder="1" applyProtection="1"/>
    <xf numFmtId="196" fontId="8" fillId="0" borderId="0" xfId="22" applyNumberFormat="1" applyFont="1" applyFill="1" applyBorder="1" applyProtection="1"/>
    <xf numFmtId="10" fontId="8" fillId="0" borderId="0" xfId="21" applyNumberFormat="1" applyFont="1" applyFill="1"/>
    <xf numFmtId="0" fontId="30" fillId="0" borderId="7" xfId="48" applyFont="1" applyFill="1" applyBorder="1" applyAlignment="1">
      <alignment horizontal="centerContinuous"/>
    </xf>
    <xf numFmtId="0" fontId="30" fillId="0" borderId="7" xfId="48" applyFont="1" applyFill="1" applyBorder="1" applyAlignment="1" applyProtection="1">
      <alignment horizontal="centerContinuous"/>
    </xf>
    <xf numFmtId="0" fontId="8" fillId="0" borderId="0" xfId="48" applyFont="1" applyFill="1" applyAlignment="1" applyProtection="1">
      <alignment horizontal="center"/>
    </xf>
    <xf numFmtId="42" fontId="31" fillId="0" borderId="0" xfId="22" applyNumberFormat="1" applyFont="1" applyBorder="1"/>
    <xf numFmtId="0" fontId="8" fillId="0" borderId="0" xfId="48" applyFont="1" applyFill="1" applyAlignment="1" applyProtection="1">
      <alignment horizontal="centerContinuous"/>
    </xf>
    <xf numFmtId="0" fontId="8" fillId="0" borderId="0" xfId="48" applyFont="1" applyFill="1" applyAlignment="1">
      <alignment horizontal="centerContinuous"/>
    </xf>
    <xf numFmtId="0" fontId="8" fillId="0" borderId="0" xfId="48" applyFont="1" applyFill="1" applyBorder="1" applyAlignment="1">
      <alignment horizontal="centerContinuous"/>
    </xf>
    <xf numFmtId="0" fontId="8" fillId="0" borderId="0" xfId="48" applyFont="1" applyFill="1"/>
    <xf numFmtId="37" fontId="8" fillId="0" borderId="0" xfId="48" applyNumberFormat="1" applyFont="1" applyFill="1" applyAlignment="1" applyProtection="1">
      <alignment horizontal="centerContinuous"/>
    </xf>
    <xf numFmtId="0" fontId="8" fillId="0" borderId="0" xfId="48" applyFont="1" applyFill="1" applyProtection="1"/>
    <xf numFmtId="0" fontId="8" fillId="0" borderId="0" xfId="48" applyFont="1" applyFill="1" applyBorder="1"/>
    <xf numFmtId="0" fontId="8" fillId="0" borderId="0" xfId="48" quotePrefix="1" applyFont="1" applyFill="1" applyAlignment="1" applyProtection="1">
      <alignment horizontal="left"/>
    </xf>
    <xf numFmtId="0" fontId="8" fillId="0" borderId="0" xfId="48" applyFont="1" applyFill="1" applyBorder="1" applyAlignment="1" applyProtection="1">
      <alignment horizontal="left"/>
    </xf>
    <xf numFmtId="0" fontId="8" fillId="0" borderId="0" xfId="48" applyFont="1" applyFill="1" applyAlignment="1" applyProtection="1">
      <alignment horizontal="left"/>
    </xf>
    <xf numFmtId="0" fontId="8" fillId="0" borderId="0" xfId="48" applyFont="1" applyFill="1" applyAlignment="1">
      <alignment horizontal="left"/>
    </xf>
    <xf numFmtId="0" fontId="8" fillId="0" borderId="0" xfId="48" applyFont="1" applyFill="1" applyBorder="1" applyAlignment="1" applyProtection="1">
      <alignment horizontal="center"/>
    </xf>
    <xf numFmtId="0" fontId="8" fillId="0" borderId="7" xfId="48" applyFont="1" applyFill="1" applyBorder="1" applyAlignment="1" applyProtection="1">
      <alignment horizontal="fill"/>
    </xf>
    <xf numFmtId="37" fontId="8" fillId="0" borderId="7" xfId="48" applyNumberFormat="1" applyFont="1" applyFill="1" applyBorder="1" applyAlignment="1" applyProtection="1">
      <alignment horizontal="centerContinuous"/>
    </xf>
    <xf numFmtId="0" fontId="8" fillId="0" borderId="0" xfId="48" applyFont="1" applyFill="1" applyAlignment="1">
      <alignment horizontal="center"/>
    </xf>
    <xf numFmtId="0" fontId="8" fillId="0" borderId="7" xfId="48" quotePrefix="1" applyFont="1" applyFill="1" applyBorder="1" applyAlignment="1" applyProtection="1">
      <alignment horizontal="center"/>
    </xf>
    <xf numFmtId="0" fontId="38" fillId="0" borderId="0" xfId="48" applyFont="1" applyFill="1"/>
    <xf numFmtId="37" fontId="8" fillId="0" borderId="0" xfId="48" applyNumberFormat="1" applyFont="1" applyFill="1" applyAlignment="1" applyProtection="1">
      <alignment horizontal="right"/>
    </xf>
    <xf numFmtId="37" fontId="8" fillId="0" borderId="0" xfId="48" applyNumberFormat="1" applyFont="1" applyFill="1" applyAlignment="1" applyProtection="1">
      <alignment horizontal="fill"/>
    </xf>
    <xf numFmtId="37" fontId="8" fillId="0" borderId="0" xfId="48" applyNumberFormat="1" applyFont="1" applyFill="1" applyBorder="1" applyAlignment="1" applyProtection="1">
      <alignment horizontal="fill"/>
    </xf>
    <xf numFmtId="37" fontId="8" fillId="0" borderId="0" xfId="48" applyNumberFormat="1" applyFont="1" applyFill="1" applyBorder="1" applyAlignment="1" applyProtection="1">
      <alignment horizontal="right"/>
    </xf>
    <xf numFmtId="37" fontId="8" fillId="0" borderId="0" xfId="48" applyNumberFormat="1" applyFont="1" applyFill="1" applyBorder="1" applyProtection="1"/>
    <xf numFmtId="37" fontId="8" fillId="0" borderId="8" xfId="48" applyNumberFormat="1" applyFont="1" applyFill="1" applyBorder="1" applyProtection="1"/>
    <xf numFmtId="0" fontId="31" fillId="0" borderId="0" xfId="48" applyFont="1" applyFill="1" applyAlignment="1" applyProtection="1">
      <alignment horizontal="center"/>
    </xf>
    <xf numFmtId="0" fontId="0" fillId="0" borderId="0" xfId="0" applyFill="1" applyAlignment="1">
      <alignment horizontal="left"/>
    </xf>
    <xf numFmtId="10" fontId="3" fillId="0" borderId="0" xfId="62" applyNumberFormat="1" applyFont="1" applyFill="1"/>
    <xf numFmtId="43" fontId="3" fillId="0" borderId="0" xfId="1" applyFill="1"/>
    <xf numFmtId="183" fontId="3" fillId="0" borderId="0" xfId="1" applyNumberFormat="1" applyFill="1"/>
    <xf numFmtId="0" fontId="0" fillId="0" borderId="10" xfId="0" applyFill="1" applyBorder="1" applyAlignment="1">
      <alignment horizontal="center"/>
    </xf>
    <xf numFmtId="0" fontId="0" fillId="0" borderId="10" xfId="0" applyFill="1" applyBorder="1"/>
    <xf numFmtId="183" fontId="3" fillId="0" borderId="10" xfId="1" applyNumberFormat="1" applyFill="1" applyBorder="1" applyAlignment="1">
      <alignment horizontal="center"/>
    </xf>
    <xf numFmtId="183" fontId="3" fillId="0" borderId="10" xfId="1" applyNumberFormat="1" applyFill="1" applyBorder="1"/>
    <xf numFmtId="10" fontId="3" fillId="0" borderId="10" xfId="62" applyNumberFormat="1" applyFill="1" applyBorder="1"/>
    <xf numFmtId="43" fontId="3" fillId="0" borderId="10" xfId="1" applyFill="1" applyBorder="1"/>
    <xf numFmtId="0" fontId="0" fillId="0" borderId="0" xfId="0" applyFill="1" applyAlignment="1">
      <alignment horizontal="center"/>
    </xf>
    <xf numFmtId="183" fontId="3" fillId="0" borderId="0" xfId="1" applyNumberFormat="1" applyFont="1" applyFill="1" applyAlignment="1">
      <alignment horizontal="center"/>
    </xf>
    <xf numFmtId="10" fontId="3" fillId="0" borderId="0" xfId="62" applyNumberFormat="1" applyFill="1"/>
    <xf numFmtId="183" fontId="3" fillId="0" borderId="0" xfId="1" applyNumberFormat="1" applyFill="1" applyAlignment="1">
      <alignment horizontal="center"/>
    </xf>
    <xf numFmtId="10" fontId="3" fillId="0" borderId="0" xfId="62" applyNumberFormat="1" applyFill="1" applyAlignment="1">
      <alignment horizontal="center"/>
    </xf>
    <xf numFmtId="183" fontId="3" fillId="0" borderId="0" xfId="1" applyNumberFormat="1" applyFont="1" applyFill="1" applyBorder="1" applyAlignment="1">
      <alignment horizontal="center"/>
    </xf>
    <xf numFmtId="0" fontId="0" fillId="0" borderId="7" xfId="0" applyFill="1" applyBorder="1"/>
    <xf numFmtId="183" fontId="3" fillId="0" borderId="7" xfId="1" quotePrefix="1" applyNumberFormat="1" applyFont="1" applyFill="1" applyBorder="1" applyAlignment="1">
      <alignment horizontal="center"/>
    </xf>
    <xf numFmtId="10" fontId="3" fillId="0" borderId="7" xfId="62" applyNumberFormat="1" applyFill="1" applyBorder="1" applyAlignment="1">
      <alignment horizontal="center"/>
    </xf>
    <xf numFmtId="183" fontId="3" fillId="0" borderId="7" xfId="1" applyNumberFormat="1" applyFill="1" applyBorder="1" applyAlignment="1">
      <alignment horizontal="center"/>
    </xf>
    <xf numFmtId="43" fontId="3" fillId="0" borderId="7" xfId="1" applyFill="1" applyBorder="1" applyAlignment="1">
      <alignment horizontal="center"/>
    </xf>
    <xf numFmtId="183" fontId="3" fillId="0" borderId="0" xfId="1" quotePrefix="1" applyNumberFormat="1" applyFill="1" applyAlignment="1">
      <alignment horizontal="center"/>
    </xf>
    <xf numFmtId="0" fontId="0" fillId="0" borderId="0" xfId="0" quotePrefix="1" applyFill="1" applyAlignment="1">
      <alignment horizontal="center"/>
    </xf>
    <xf numFmtId="0" fontId="0" fillId="0" borderId="0" xfId="0" quotePrefix="1" applyFill="1" applyBorder="1" applyAlignment="1">
      <alignment horizontal="center"/>
    </xf>
    <xf numFmtId="183" fontId="0" fillId="0" borderId="0" xfId="0" applyNumberFormat="1" applyFill="1"/>
    <xf numFmtId="183" fontId="0" fillId="0" borderId="0" xfId="0" applyNumberFormat="1" applyFill="1" applyBorder="1"/>
    <xf numFmtId="183" fontId="3" fillId="0" borderId="0" xfId="1" applyNumberFormat="1" applyFont="1" applyFill="1"/>
    <xf numFmtId="183" fontId="3" fillId="0" borderId="2" xfId="1" applyNumberFormat="1" applyFill="1" applyBorder="1"/>
    <xf numFmtId="183" fontId="3" fillId="0" borderId="32" xfId="1" applyNumberFormat="1" applyFill="1" applyBorder="1"/>
    <xf numFmtId="0" fontId="13" fillId="0" borderId="5" xfId="9" applyFont="1" applyFill="1" applyBorder="1"/>
    <xf numFmtId="0" fontId="8" fillId="0" borderId="0" xfId="6" applyFont="1" applyAlignment="1" applyProtection="1">
      <alignment horizontal="centerContinuous"/>
    </xf>
    <xf numFmtId="0" fontId="8" fillId="0" borderId="0" xfId="6" applyFont="1" applyAlignment="1" applyProtection="1"/>
    <xf numFmtId="0" fontId="8" fillId="0" borderId="0" xfId="6" applyFont="1" applyProtection="1"/>
    <xf numFmtId="0" fontId="8" fillId="0" borderId="0" xfId="6" applyFont="1"/>
    <xf numFmtId="0" fontId="8" fillId="0" borderId="0" xfId="6" applyFont="1" applyAlignment="1" applyProtection="1">
      <alignment horizontal="left"/>
    </xf>
    <xf numFmtId="37" fontId="8" fillId="0" borderId="0" xfId="6" applyNumberFormat="1" applyFont="1" applyProtection="1"/>
    <xf numFmtId="0" fontId="8" fillId="0" borderId="0" xfId="6" applyFont="1" applyAlignment="1">
      <alignment horizontal="center"/>
    </xf>
    <xf numFmtId="37" fontId="8" fillId="0" borderId="0" xfId="6" applyNumberFormat="1" applyFont="1" applyAlignment="1" applyProtection="1">
      <alignment horizontal="center"/>
    </xf>
    <xf numFmtId="0" fontId="8" fillId="0" borderId="0" xfId="6" applyFont="1" applyBorder="1" applyAlignment="1">
      <alignment horizontal="center"/>
    </xf>
    <xf numFmtId="0" fontId="30" fillId="0" borderId="0" xfId="6" applyFont="1" applyBorder="1" applyAlignment="1">
      <alignment horizontal="center"/>
    </xf>
    <xf numFmtId="0" fontId="8" fillId="0" borderId="0" xfId="6" applyFont="1" applyBorder="1" applyAlignment="1" applyProtection="1">
      <alignment horizontal="center"/>
    </xf>
    <xf numFmtId="0" fontId="8" fillId="0" borderId="0" xfId="6" applyFont="1" applyBorder="1"/>
    <xf numFmtId="37" fontId="8" fillId="0" borderId="0" xfId="6" applyNumberFormat="1" applyFont="1" applyBorder="1" applyAlignment="1" applyProtection="1">
      <alignment horizontal="right"/>
    </xf>
    <xf numFmtId="37" fontId="30" fillId="0" borderId="0" xfId="6" applyNumberFormat="1" applyFont="1" applyBorder="1" applyAlignment="1" applyProtection="1">
      <alignment horizontal="right"/>
    </xf>
    <xf numFmtId="37" fontId="8" fillId="0" borderId="0" xfId="6" applyNumberFormat="1" applyFont="1" applyBorder="1" applyProtection="1"/>
    <xf numFmtId="17" fontId="8" fillId="0" borderId="0" xfId="6" applyNumberFormat="1" applyFont="1" applyBorder="1" applyAlignment="1" applyProtection="1">
      <alignment horizontal="left"/>
    </xf>
    <xf numFmtId="39" fontId="8" fillId="0" borderId="0" xfId="6" applyNumberFormat="1" applyFont="1" applyBorder="1" applyAlignment="1" applyProtection="1">
      <alignment horizontal="right"/>
    </xf>
    <xf numFmtId="39" fontId="8" fillId="0" borderId="0" xfId="6" applyNumberFormat="1" applyFont="1" applyBorder="1" applyAlignment="1">
      <alignment horizontal="center"/>
    </xf>
    <xf numFmtId="39" fontId="8" fillId="0" borderId="0" xfId="6" applyNumberFormat="1" applyFont="1" applyBorder="1" applyAlignment="1">
      <alignment horizontal="right"/>
    </xf>
    <xf numFmtId="180" fontId="30" fillId="0" borderId="0" xfId="6" applyNumberFormat="1" applyFont="1" applyBorder="1" applyAlignment="1" applyProtection="1">
      <alignment horizontal="right"/>
    </xf>
    <xf numFmtId="0" fontId="8" fillId="0" borderId="0" xfId="6" applyFont="1" applyBorder="1" applyProtection="1"/>
    <xf numFmtId="39" fontId="8" fillId="0" borderId="0" xfId="6" applyNumberFormat="1" applyFont="1" applyFill="1" applyBorder="1" applyAlignment="1" applyProtection="1">
      <alignment horizontal="right"/>
    </xf>
    <xf numFmtId="39" fontId="8" fillId="0" borderId="0" xfId="6" applyNumberFormat="1" applyFont="1" applyFill="1" applyBorder="1" applyAlignment="1">
      <alignment horizontal="right"/>
    </xf>
    <xf numFmtId="0" fontId="8" fillId="0" borderId="0" xfId="0" applyFont="1" applyFill="1"/>
    <xf numFmtId="0" fontId="8" fillId="0" borderId="0" xfId="27" applyFont="1" applyAlignment="1" applyProtection="1">
      <alignment horizontal="centerContinuous"/>
    </xf>
    <xf numFmtId="0" fontId="8" fillId="0" borderId="0" xfId="27" applyFont="1" applyAlignment="1">
      <alignment horizontal="centerContinuous"/>
    </xf>
    <xf numFmtId="0" fontId="8" fillId="0" borderId="0" xfId="27" applyFont="1" applyAlignment="1">
      <alignment horizontal="left"/>
    </xf>
    <xf numFmtId="0" fontId="8" fillId="0" borderId="0" xfId="27" applyFont="1"/>
    <xf numFmtId="0" fontId="31" fillId="0" borderId="0" xfId="29" applyFont="1" applyAlignment="1" applyProtection="1">
      <alignment horizontal="centerContinuous"/>
    </xf>
    <xf numFmtId="165" fontId="8" fillId="0" borderId="0" xfId="27" applyNumberFormat="1" applyFont="1" applyAlignment="1" applyProtection="1">
      <alignment horizontal="centerContinuous"/>
    </xf>
    <xf numFmtId="0" fontId="8" fillId="0" borderId="0" xfId="27" applyFont="1" applyAlignment="1" applyProtection="1">
      <alignment horizontal="left"/>
    </xf>
    <xf numFmtId="0" fontId="8" fillId="0" borderId="7" xfId="27" applyFont="1" applyBorder="1" applyAlignment="1" applyProtection="1">
      <alignment horizontal="left"/>
    </xf>
    <xf numFmtId="0" fontId="8" fillId="0" borderId="0" xfId="27" applyFont="1" applyAlignment="1" applyProtection="1">
      <alignment horizontal="center"/>
    </xf>
    <xf numFmtId="0" fontId="8" fillId="0" borderId="0" xfId="27" applyFont="1" applyAlignment="1">
      <alignment horizontal="center"/>
    </xf>
    <xf numFmtId="0" fontId="31" fillId="0" borderId="0" xfId="27" applyFont="1" applyAlignment="1" applyProtection="1">
      <alignment horizontal="left"/>
    </xf>
    <xf numFmtId="166" fontId="30" fillId="0" borderId="0" xfId="29" applyNumberFormat="1" applyFont="1" applyAlignment="1" applyProtection="1">
      <alignment horizontal="centerContinuous"/>
    </xf>
    <xf numFmtId="166" fontId="30" fillId="0" borderId="0" xfId="29" applyNumberFormat="1" applyFont="1" applyAlignment="1" applyProtection="1">
      <alignment horizontal="center"/>
    </xf>
    <xf numFmtId="0" fontId="21" fillId="0" borderId="0" xfId="29" applyFont="1" applyFill="1" applyAlignment="1">
      <alignment horizontal="left"/>
    </xf>
    <xf numFmtId="0" fontId="8" fillId="0" borderId="0" xfId="34" applyFont="1" applyBorder="1" applyProtection="1"/>
    <xf numFmtId="0" fontId="8" fillId="0" borderId="0" xfId="34" applyFont="1" applyBorder="1"/>
    <xf numFmtId="0" fontId="43" fillId="0" borderId="0" xfId="54" applyFont="1" applyFill="1" applyBorder="1" applyAlignment="1" applyProtection="1">
      <alignment horizontal="left"/>
    </xf>
    <xf numFmtId="0" fontId="43" fillId="0" borderId="0" xfId="54" applyFont="1" applyFill="1" applyBorder="1" applyAlignment="1" applyProtection="1">
      <alignment horizontal="centerContinuous"/>
    </xf>
    <xf numFmtId="0" fontId="43" fillId="0" borderId="0" xfId="54" applyFont="1" applyFill="1" applyBorder="1" applyProtection="1"/>
    <xf numFmtId="0" fontId="8" fillId="0" borderId="0" xfId="52" applyFont="1" applyFill="1" applyBorder="1" applyAlignment="1" applyProtection="1">
      <alignment horizontal="centerContinuous"/>
    </xf>
    <xf numFmtId="0" fontId="6" fillId="0" borderId="33" xfId="60" applyFont="1" applyFill="1" applyBorder="1" applyAlignment="1" applyProtection="1">
      <alignment horizontal="left"/>
    </xf>
    <xf numFmtId="0" fontId="6" fillId="0" borderId="35" xfId="60" applyFont="1" applyFill="1" applyBorder="1" applyAlignment="1" applyProtection="1">
      <alignment horizontal="left"/>
    </xf>
    <xf numFmtId="0" fontId="6" fillId="0" borderId="35" xfId="60" applyFont="1" applyFill="1" applyBorder="1"/>
    <xf numFmtId="166" fontId="53" fillId="0" borderId="36" xfId="60" applyNumberFormat="1" applyFont="1" applyFill="1" applyBorder="1" applyProtection="1"/>
    <xf numFmtId="166" fontId="56" fillId="0" borderId="36" xfId="60" applyNumberFormat="1" applyFont="1" applyFill="1" applyBorder="1" applyProtection="1"/>
    <xf numFmtId="0" fontId="6" fillId="0" borderId="36" xfId="60" applyFont="1" applyFill="1" applyBorder="1"/>
    <xf numFmtId="0" fontId="6" fillId="0" borderId="37" xfId="60" applyFont="1" applyFill="1" applyBorder="1" applyAlignment="1" applyProtection="1">
      <alignment horizontal="left"/>
    </xf>
    <xf numFmtId="166" fontId="53" fillId="0" borderId="38" xfId="60" applyNumberFormat="1" applyFont="1" applyFill="1" applyBorder="1" applyProtection="1"/>
    <xf numFmtId="0" fontId="8" fillId="0" borderId="0" xfId="10"/>
    <xf numFmtId="1" fontId="8" fillId="0" borderId="0" xfId="10" applyNumberFormat="1"/>
    <xf numFmtId="37" fontId="30" fillId="0" borderId="0" xfId="25" applyNumberFormat="1" applyFont="1"/>
    <xf numFmtId="0" fontId="31" fillId="0" borderId="0" xfId="6" applyFont="1" applyProtection="1"/>
    <xf numFmtId="0" fontId="8" fillId="0" borderId="0" xfId="8" applyFont="1" applyAlignment="1">
      <alignment horizontal="left" indent="1"/>
    </xf>
    <xf numFmtId="0" fontId="8" fillId="0" borderId="0" xfId="10" applyFont="1" applyAlignment="1">
      <alignment horizontal="left" indent="2"/>
    </xf>
    <xf numFmtId="0" fontId="8" fillId="0" borderId="0" xfId="8" applyFont="1" applyAlignment="1">
      <alignment horizontal="right"/>
    </xf>
    <xf numFmtId="0" fontId="8" fillId="0" borderId="0" xfId="10" applyFont="1" applyAlignment="1" applyProtection="1">
      <alignment horizontal="left" indent="2"/>
    </xf>
    <xf numFmtId="0" fontId="8" fillId="0" borderId="0" xfId="20" applyFont="1" applyAlignment="1" applyProtection="1">
      <alignment horizontal="left" indent="1"/>
    </xf>
    <xf numFmtId="37" fontId="32" fillId="0" borderId="0" xfId="6" applyNumberFormat="1" applyFont="1" applyBorder="1" applyAlignment="1" applyProtection="1">
      <alignment horizontal="right"/>
    </xf>
    <xf numFmtId="0" fontId="26" fillId="2" borderId="0" xfId="2" applyFont="1" applyFill="1" applyBorder="1" applyAlignment="1">
      <alignment horizontal="centerContinuous"/>
    </xf>
    <xf numFmtId="37" fontId="0" fillId="0" borderId="0" xfId="0" applyNumberFormat="1" applyFill="1"/>
    <xf numFmtId="0" fontId="8" fillId="0" borderId="0" xfId="20" applyFont="1" applyFill="1" applyAlignment="1">
      <alignment horizontal="centerContinuous"/>
    </xf>
    <xf numFmtId="0" fontId="8" fillId="0" borderId="0" xfId="20" applyFont="1" applyFill="1"/>
    <xf numFmtId="0" fontId="8" fillId="0" borderId="0" xfId="20" applyFont="1" applyFill="1" applyAlignment="1" applyProtection="1">
      <alignment horizontal="left"/>
    </xf>
    <xf numFmtId="0" fontId="8" fillId="0" borderId="7" xfId="20" applyFont="1" applyFill="1" applyBorder="1" applyAlignment="1" applyProtection="1">
      <alignment horizontal="fill"/>
    </xf>
    <xf numFmtId="0" fontId="8" fillId="0" borderId="0" xfId="20" applyFont="1" applyFill="1" applyAlignment="1" applyProtection="1">
      <alignment horizontal="center"/>
    </xf>
    <xf numFmtId="0" fontId="8" fillId="0" borderId="7" xfId="20" applyFont="1" applyFill="1" applyBorder="1" applyAlignment="1" applyProtection="1">
      <alignment horizontal="center"/>
    </xf>
    <xf numFmtId="37" fontId="8" fillId="0" borderId="0" xfId="20" applyNumberFormat="1" applyFont="1" applyFill="1" applyProtection="1"/>
    <xf numFmtId="37" fontId="8" fillId="0" borderId="2" xfId="20" applyNumberFormat="1" applyFont="1" applyFill="1" applyBorder="1" applyProtection="1"/>
    <xf numFmtId="37" fontId="8" fillId="0" borderId="0" xfId="20" applyNumberFormat="1" applyFont="1" applyFill="1" applyAlignment="1" applyProtection="1">
      <alignment horizontal="fill"/>
    </xf>
    <xf numFmtId="37" fontId="8" fillId="0" borderId="9" xfId="20" applyNumberFormat="1" applyFont="1" applyFill="1" applyBorder="1" applyProtection="1"/>
    <xf numFmtId="37" fontId="8" fillId="0" borderId="2" xfId="20" applyNumberFormat="1" applyFont="1" applyFill="1" applyBorder="1"/>
    <xf numFmtId="0" fontId="8" fillId="0" borderId="0" xfId="20" applyFont="1" applyFill="1" applyAlignment="1" applyProtection="1">
      <alignment horizontal="fill"/>
    </xf>
    <xf numFmtId="37" fontId="8" fillId="0" borderId="0" xfId="20" applyNumberFormat="1" applyFont="1" applyFill="1" applyBorder="1" applyProtection="1"/>
    <xf numFmtId="0" fontId="8" fillId="0" borderId="0" xfId="20" applyFont="1" applyFill="1" applyBorder="1" applyAlignment="1" applyProtection="1">
      <alignment horizontal="center"/>
    </xf>
    <xf numFmtId="37" fontId="8" fillId="0" borderId="7" xfId="20" applyNumberFormat="1" applyFont="1" applyFill="1" applyBorder="1" applyProtection="1"/>
    <xf numFmtId="0" fontId="8" fillId="0" borderId="0" xfId="25" applyFont="1" applyBorder="1"/>
    <xf numFmtId="0" fontId="8" fillId="0" borderId="0" xfId="6" applyFont="1" applyBorder="1" applyAlignment="1" applyProtection="1"/>
    <xf numFmtId="0" fontId="8" fillId="0" borderId="0" xfId="6" applyFont="1" applyBorder="1" applyAlignment="1" applyProtection="1">
      <alignment horizontal="left"/>
    </xf>
    <xf numFmtId="37" fontId="8" fillId="0" borderId="0" xfId="6" applyNumberFormat="1" applyFont="1" applyBorder="1" applyAlignment="1" applyProtection="1">
      <alignment horizontal="center"/>
    </xf>
    <xf numFmtId="0" fontId="8" fillId="0" borderId="0" xfId="10" applyBorder="1"/>
    <xf numFmtId="1" fontId="8" fillId="0" borderId="0" xfId="10" applyNumberFormat="1" applyBorder="1"/>
    <xf numFmtId="37" fontId="33" fillId="0" borderId="0" xfId="25" applyNumberFormat="1" applyFont="1" applyBorder="1"/>
    <xf numFmtId="0" fontId="8" fillId="0" borderId="0" xfId="25" applyFont="1" applyBorder="1" applyAlignment="1" applyProtection="1">
      <alignment horizontal="left"/>
    </xf>
    <xf numFmtId="42" fontId="31" fillId="0" borderId="0" xfId="22" applyNumberFormat="1" applyFont="1"/>
    <xf numFmtId="17" fontId="26" fillId="0" borderId="11" xfId="2" applyNumberFormat="1" applyFont="1" applyFill="1" applyBorder="1" applyAlignment="1">
      <alignment horizontal="center"/>
    </xf>
    <xf numFmtId="0" fontId="22" fillId="0" borderId="0" xfId="13" applyFont="1"/>
    <xf numFmtId="0" fontId="8" fillId="0" borderId="0" xfId="14" applyFont="1" applyFill="1" applyAlignment="1" applyProtection="1">
      <alignment horizontal="center"/>
    </xf>
    <xf numFmtId="197" fontId="39" fillId="0" borderId="0" xfId="52" applyNumberFormat="1" applyFont="1" applyFill="1" applyProtection="1">
      <protection locked="0"/>
    </xf>
    <xf numFmtId="37" fontId="0" fillId="0" borderId="0" xfId="0" applyNumberFormat="1"/>
    <xf numFmtId="0" fontId="7" fillId="0" borderId="7" xfId="46" applyFont="1" applyBorder="1" applyAlignment="1" applyProtection="1">
      <alignment horizontal="centerContinuous"/>
    </xf>
    <xf numFmtId="0" fontId="7" fillId="0" borderId="0" xfId="20" applyFont="1" applyAlignment="1" applyProtection="1">
      <alignment horizontal="left" indent="1"/>
    </xf>
    <xf numFmtId="0" fontId="7" fillId="0" borderId="0" xfId="20" applyFont="1" applyAlignment="1" applyProtection="1">
      <alignment horizontal="left"/>
    </xf>
    <xf numFmtId="0" fontId="3" fillId="0" borderId="0" xfId="8" applyFont="1" applyFill="1" applyAlignment="1">
      <alignment horizontal="center"/>
    </xf>
    <xf numFmtId="0" fontId="7" fillId="0" borderId="0" xfId="20" applyFont="1" applyAlignment="1" applyProtection="1">
      <alignment horizontal="center"/>
    </xf>
    <xf numFmtId="0" fontId="3" fillId="0" borderId="0" xfId="0" applyFont="1"/>
    <xf numFmtId="196" fontId="7" fillId="0" borderId="0" xfId="8" applyNumberFormat="1" applyFont="1" applyFill="1" applyProtection="1">
      <protection locked="0"/>
    </xf>
    <xf numFmtId="0" fontId="7" fillId="0" borderId="0" xfId="8" applyFont="1" applyFill="1"/>
    <xf numFmtId="0" fontId="7" fillId="0" borderId="0" xfId="38" applyFont="1" applyFill="1"/>
    <xf numFmtId="37" fontId="65" fillId="0" borderId="0" xfId="38" applyNumberFormat="1" applyFont="1" applyFill="1" applyProtection="1"/>
    <xf numFmtId="0" fontId="7" fillId="0" borderId="7" xfId="21" applyFont="1" applyFill="1" applyBorder="1" applyAlignment="1" applyProtection="1">
      <alignment horizontal="center"/>
    </xf>
    <xf numFmtId="0" fontId="7" fillId="0" borderId="0" xfId="25" applyFont="1" applyAlignment="1" applyProtection="1">
      <alignment horizontal="left"/>
    </xf>
    <xf numFmtId="0" fontId="7" fillId="0" borderId="0" xfId="8" applyFont="1" applyFill="1" applyAlignment="1">
      <alignment horizontal="left"/>
    </xf>
    <xf numFmtId="173" fontId="31" fillId="0" borderId="0" xfId="8" applyNumberFormat="1" applyFont="1" applyFill="1" applyProtection="1">
      <protection locked="0"/>
    </xf>
    <xf numFmtId="0" fontId="66" fillId="0" borderId="0" xfId="8" applyFont="1" applyFill="1"/>
    <xf numFmtId="0" fontId="7" fillId="0" borderId="0" xfId="52" quotePrefix="1" applyFont="1" applyBorder="1"/>
    <xf numFmtId="0" fontId="7" fillId="0" borderId="0" xfId="52" applyFont="1" applyBorder="1"/>
    <xf numFmtId="0" fontId="8" fillId="0" borderId="0" xfId="52" quotePrefix="1" applyFont="1" applyFill="1" applyAlignment="1" applyProtection="1">
      <alignment horizontal="center"/>
    </xf>
    <xf numFmtId="0" fontId="8" fillId="0" borderId="0" xfId="52" applyFont="1" applyFill="1" applyAlignment="1"/>
    <xf numFmtId="0" fontId="8" fillId="0" borderId="0" xfId="52" quotePrefix="1" applyFont="1" applyFill="1" applyAlignment="1" applyProtection="1"/>
    <xf numFmtId="0" fontId="8" fillId="0" borderId="0" xfId="52" quotePrefix="1" applyFont="1" applyFill="1" applyBorder="1" applyAlignment="1" applyProtection="1">
      <alignment horizontal="center"/>
    </xf>
    <xf numFmtId="170" fontId="30" fillId="0" borderId="0" xfId="52" applyNumberFormat="1" applyFont="1" applyFill="1" applyAlignment="1" applyProtection="1">
      <alignment horizontal="center"/>
    </xf>
    <xf numFmtId="0" fontId="7" fillId="0" borderId="0" xfId="8" applyFont="1" applyFill="1" applyAlignment="1" applyProtection="1">
      <alignment horizontal="left"/>
    </xf>
    <xf numFmtId="165" fontId="8" fillId="0" borderId="0" xfId="20" applyNumberFormat="1" applyFont="1" applyFill="1" applyProtection="1"/>
    <xf numFmtId="0" fontId="7" fillId="0" borderId="0" xfId="20" applyFont="1"/>
    <xf numFmtId="0" fontId="7" fillId="0" borderId="0" xfId="34" applyFont="1" applyAlignment="1" applyProtection="1">
      <alignment horizontal="left"/>
    </xf>
    <xf numFmtId="0" fontId="7" fillId="0" borderId="0" xfId="6" applyFont="1" applyAlignment="1" applyProtection="1">
      <alignment horizontal="centerContinuous"/>
    </xf>
    <xf numFmtId="0" fontId="7" fillId="0" borderId="0" xfId="8" applyFont="1" applyAlignment="1" applyProtection="1">
      <alignment horizontal="left"/>
    </xf>
    <xf numFmtId="0" fontId="7" fillId="0" borderId="0" xfId="6" applyFont="1" applyAlignment="1" applyProtection="1"/>
    <xf numFmtId="17" fontId="7" fillId="0" borderId="0" xfId="6" applyNumberFormat="1" applyFont="1" applyBorder="1" applyAlignment="1" applyProtection="1">
      <alignment horizontal="left"/>
    </xf>
    <xf numFmtId="0" fontId="8" fillId="0" borderId="0" xfId="18" applyFont="1" applyFill="1" applyAlignment="1" applyProtection="1">
      <alignment horizontal="left"/>
    </xf>
    <xf numFmtId="0" fontId="8" fillId="0" borderId="0" xfId="18" applyFont="1" applyFill="1"/>
    <xf numFmtId="37" fontId="8" fillId="0" borderId="0" xfId="18" applyNumberFormat="1" applyFont="1" applyFill="1" applyProtection="1"/>
    <xf numFmtId="0" fontId="8" fillId="0" borderId="0" xfId="20" applyNumberFormat="1" applyFont="1" applyFill="1" applyProtection="1"/>
    <xf numFmtId="0" fontId="8" fillId="0" borderId="0" xfId="20" applyFont="1" applyFill="1" applyProtection="1"/>
    <xf numFmtId="0" fontId="8" fillId="0" borderId="0" xfId="20" applyNumberFormat="1" applyFont="1" applyFill="1"/>
    <xf numFmtId="0" fontId="8" fillId="0" borderId="0" xfId="20" applyNumberFormat="1" applyFont="1" applyFill="1" applyBorder="1" applyProtection="1"/>
    <xf numFmtId="0" fontId="8" fillId="0" borderId="0" xfId="20" applyFont="1" applyFill="1" applyBorder="1"/>
    <xf numFmtId="0" fontId="8" fillId="0" borderId="0" xfId="20" applyFont="1" applyFill="1" applyBorder="1" applyAlignment="1" applyProtection="1">
      <alignment horizontal="left"/>
    </xf>
    <xf numFmtId="0" fontId="7" fillId="0" borderId="0" xfId="20" applyFont="1" applyFill="1" applyBorder="1" applyAlignment="1" applyProtection="1">
      <alignment horizontal="left"/>
    </xf>
    <xf numFmtId="0" fontId="7" fillId="0" borderId="0" xfId="20" applyFont="1" applyFill="1" applyAlignment="1" applyProtection="1">
      <alignment horizontal="left"/>
    </xf>
    <xf numFmtId="165" fontId="8" fillId="0" borderId="0" xfId="20" applyNumberFormat="1" applyFont="1" applyFill="1" applyBorder="1" applyProtection="1"/>
    <xf numFmtId="0" fontId="7" fillId="0" borderId="0" xfId="21" applyFont="1" applyFill="1" applyBorder="1" applyAlignment="1" applyProtection="1">
      <alignment horizontal="center"/>
    </xf>
    <xf numFmtId="0" fontId="7" fillId="0" borderId="0" xfId="22" applyFont="1" applyAlignment="1">
      <alignment horizontal="center"/>
    </xf>
    <xf numFmtId="0" fontId="7" fillId="0" borderId="0" xfId="48" quotePrefix="1" applyFont="1" applyFill="1"/>
    <xf numFmtId="0" fontId="7" fillId="0" borderId="0" xfId="38" applyFont="1" applyFill="1" applyAlignment="1" applyProtection="1">
      <alignment horizontal="left"/>
    </xf>
    <xf numFmtId="0" fontId="7" fillId="0" borderId="0" xfId="37" applyFont="1" applyFill="1" applyAlignment="1" applyProtection="1">
      <alignment horizontal="left"/>
    </xf>
    <xf numFmtId="37" fontId="6" fillId="11" borderId="0" xfId="8" applyNumberFormat="1" applyFont="1" applyFill="1"/>
    <xf numFmtId="37" fontId="6" fillId="11" borderId="0" xfId="2" applyNumberFormat="1" applyFont="1" applyFill="1"/>
    <xf numFmtId="0" fontId="7" fillId="0" borderId="0" xfId="31" applyFont="1" applyAlignment="1" applyProtection="1">
      <alignment horizontal="left"/>
    </xf>
    <xf numFmtId="0" fontId="8" fillId="0" borderId="0" xfId="22" applyFont="1" applyBorder="1" applyAlignment="1">
      <alignment horizontal="center"/>
    </xf>
    <xf numFmtId="37" fontId="31" fillId="0" borderId="0" xfId="22" applyNumberFormat="1" applyFont="1" applyBorder="1"/>
    <xf numFmtId="0" fontId="8" fillId="0" borderId="0" xfId="31" applyFont="1" applyBorder="1" applyAlignment="1" applyProtection="1">
      <alignment horizontal="left"/>
    </xf>
    <xf numFmtId="0" fontId="7" fillId="0" borderId="0" xfId="31" applyFont="1"/>
    <xf numFmtId="0" fontId="7" fillId="0" borderId="0" xfId="37" applyFont="1" applyFill="1"/>
    <xf numFmtId="0" fontId="7" fillId="0" borderId="0" xfId="58" applyFont="1" applyAlignment="1" applyProtection="1">
      <alignment horizontal="left"/>
    </xf>
    <xf numFmtId="37" fontId="8" fillId="0" borderId="7" xfId="37" applyNumberFormat="1" applyFont="1" applyFill="1" applyBorder="1"/>
    <xf numFmtId="37" fontId="8" fillId="0" borderId="2" xfId="37" applyNumberFormat="1" applyFont="1" applyFill="1" applyBorder="1"/>
    <xf numFmtId="37" fontId="65" fillId="0" borderId="7" xfId="37" applyNumberFormat="1" applyFont="1" applyFill="1" applyBorder="1"/>
    <xf numFmtId="37" fontId="65" fillId="0" borderId="0" xfId="37" applyNumberFormat="1" applyFont="1" applyFill="1" applyBorder="1"/>
    <xf numFmtId="10" fontId="64" fillId="0" borderId="0" xfId="62" applyNumberFormat="1" applyFont="1" applyFill="1"/>
    <xf numFmtId="0" fontId="7" fillId="0" borderId="0" xfId="23" applyFont="1" applyFill="1"/>
    <xf numFmtId="37" fontId="7" fillId="0" borderId="0" xfId="13" quotePrefix="1" applyNumberFormat="1" applyFont="1" applyAlignment="1" applyProtection="1">
      <alignment horizontal="center"/>
    </xf>
    <xf numFmtId="0" fontId="7" fillId="0" borderId="0" xfId="13" quotePrefix="1" applyFont="1"/>
    <xf numFmtId="0" fontId="8" fillId="9" borderId="0" xfId="58" applyFont="1" applyFill="1"/>
    <xf numFmtId="10" fontId="8" fillId="9" borderId="0" xfId="0" applyNumberFormat="1" applyFont="1" applyFill="1"/>
    <xf numFmtId="3" fontId="8" fillId="9" borderId="0" xfId="0" applyNumberFormat="1" applyFont="1" applyFill="1"/>
    <xf numFmtId="10" fontId="8" fillId="0" borderId="0" xfId="58" applyNumberFormat="1" applyFont="1" applyFill="1" applyProtection="1"/>
    <xf numFmtId="0" fontId="7" fillId="0" borderId="0" xfId="10" applyFont="1" applyFill="1" applyAlignment="1"/>
    <xf numFmtId="0" fontId="7" fillId="0" borderId="0" xfId="0" applyFont="1" applyFill="1" applyAlignment="1">
      <alignment horizontal="center"/>
    </xf>
    <xf numFmtId="37" fontId="8" fillId="0" borderId="8" xfId="46" applyNumberFormat="1" applyFont="1" applyFill="1" applyBorder="1" applyProtection="1"/>
    <xf numFmtId="0" fontId="7" fillId="0" borderId="0" xfId="46" applyFont="1" applyAlignment="1" applyProtection="1">
      <alignment horizontal="left"/>
    </xf>
    <xf numFmtId="0" fontId="7" fillId="0" borderId="0" xfId="8" quotePrefix="1" applyFont="1" applyFill="1"/>
    <xf numFmtId="0" fontId="7" fillId="0" borderId="0" xfId="34" quotePrefix="1" applyFont="1"/>
    <xf numFmtId="0" fontId="7" fillId="0" borderId="0" xfId="36" applyFont="1"/>
    <xf numFmtId="170" fontId="30" fillId="0" borderId="0" xfId="52" applyNumberFormat="1" applyFont="1" applyFill="1" applyProtection="1"/>
    <xf numFmtId="170" fontId="33" fillId="0" borderId="0" xfId="52" applyNumberFormat="1" applyFont="1" applyFill="1" applyProtection="1"/>
    <xf numFmtId="170" fontId="8" fillId="0" borderId="0" xfId="52" applyNumberFormat="1" applyFont="1" applyFill="1"/>
    <xf numFmtId="170" fontId="33" fillId="0" borderId="0" xfId="52" applyNumberFormat="1" applyFont="1" applyFill="1" applyAlignment="1" applyProtection="1">
      <alignment horizontal="right"/>
    </xf>
    <xf numFmtId="170" fontId="8" fillId="0" borderId="0" xfId="52" applyNumberFormat="1" applyFont="1" applyFill="1" applyAlignment="1" applyProtection="1">
      <alignment horizontal="right"/>
    </xf>
    <xf numFmtId="0" fontId="34" fillId="0" borderId="0" xfId="52" applyFont="1" applyFill="1" applyAlignment="1" applyProtection="1">
      <alignment horizontal="left"/>
      <protection locked="0"/>
    </xf>
    <xf numFmtId="170" fontId="8" fillId="0" borderId="0" xfId="52" applyNumberFormat="1" applyFont="1" applyFill="1" applyProtection="1">
      <protection locked="0"/>
    </xf>
    <xf numFmtId="170" fontId="30" fillId="0" borderId="0" xfId="52" applyNumberFormat="1" applyFont="1" applyFill="1" applyProtection="1">
      <protection locked="0"/>
    </xf>
    <xf numFmtId="0" fontId="8" fillId="0" borderId="0" xfId="6" applyFont="1" applyFill="1" applyBorder="1" applyAlignment="1" applyProtection="1">
      <alignment horizontal="center"/>
    </xf>
    <xf numFmtId="0" fontId="8" fillId="0" borderId="0" xfId="6" applyFont="1" applyFill="1" applyBorder="1"/>
    <xf numFmtId="17" fontId="8" fillId="0" borderId="0" xfId="6" applyNumberFormat="1" applyFont="1" applyFill="1" applyBorder="1" applyAlignment="1" applyProtection="1">
      <alignment horizontal="left"/>
    </xf>
    <xf numFmtId="0" fontId="8" fillId="0" borderId="0" xfId="25" applyFont="1" applyFill="1"/>
    <xf numFmtId="37" fontId="30" fillId="0" borderId="0" xfId="6" applyNumberFormat="1" applyFont="1" applyFill="1" applyBorder="1" applyAlignment="1" applyProtection="1">
      <alignment horizontal="right"/>
    </xf>
    <xf numFmtId="37" fontId="7" fillId="0" borderId="0" xfId="0" applyNumberFormat="1" applyFont="1" applyFill="1" applyProtection="1"/>
    <xf numFmtId="183" fontId="3" fillId="0" borderId="2" xfId="1" applyNumberFormat="1" applyFont="1" applyFill="1" applyBorder="1"/>
    <xf numFmtId="37" fontId="7" fillId="0" borderId="7" xfId="57" applyNumberFormat="1" applyFont="1" applyFill="1" applyBorder="1" applyProtection="1"/>
    <xf numFmtId="0" fontId="7" fillId="0" borderId="0" xfId="57" applyFont="1" applyFill="1"/>
    <xf numFmtId="37" fontId="7" fillId="0" borderId="7" xfId="57" applyNumberFormat="1" applyFont="1" applyFill="1" applyBorder="1"/>
    <xf numFmtId="0" fontId="8" fillId="0" borderId="0" xfId="58" applyFont="1" applyFill="1" applyAlignment="1" applyProtection="1">
      <alignment horizontal="centerContinuous"/>
    </xf>
    <xf numFmtId="0" fontId="8" fillId="0" borderId="0" xfId="58" applyFont="1" applyFill="1" applyAlignment="1">
      <alignment horizontal="centerContinuous"/>
    </xf>
    <xf numFmtId="0" fontId="8" fillId="0" borderId="0" xfId="58" applyFont="1" applyFill="1" applyAlignment="1" applyProtection="1">
      <alignment horizontal="center"/>
    </xf>
    <xf numFmtId="37" fontId="65" fillId="0" borderId="0" xfId="0" applyNumberFormat="1" applyFont="1" applyFill="1" applyProtection="1"/>
    <xf numFmtId="37" fontId="8" fillId="0" borderId="7" xfId="58" applyNumberFormat="1" applyFont="1" applyFill="1" applyBorder="1"/>
    <xf numFmtId="37" fontId="8" fillId="0" borderId="9" xfId="58" applyNumberFormat="1" applyFont="1" applyFill="1" applyBorder="1"/>
    <xf numFmtId="170" fontId="7" fillId="0" borderId="0" xfId="52" applyNumberFormat="1" applyFont="1" applyFill="1" applyAlignment="1" applyProtection="1">
      <alignment horizontal="right"/>
    </xf>
    <xf numFmtId="170" fontId="7" fillId="0" borderId="0" xfId="52" applyNumberFormat="1" applyFont="1" applyFill="1"/>
    <xf numFmtId="0" fontId="30" fillId="0" borderId="0" xfId="52" applyFont="1" applyFill="1" applyBorder="1"/>
    <xf numFmtId="170" fontId="30" fillId="0" borderId="0" xfId="52" applyNumberFormat="1" applyFont="1" applyFill="1" applyBorder="1"/>
    <xf numFmtId="0" fontId="65" fillId="0" borderId="0" xfId="0" applyFont="1"/>
    <xf numFmtId="0" fontId="68" fillId="0" borderId="0" xfId="20" applyFont="1" applyAlignment="1" applyProtection="1">
      <alignment horizontal="left"/>
    </xf>
    <xf numFmtId="0" fontId="68" fillId="0" borderId="0" xfId="20" applyFont="1" applyFill="1" applyAlignment="1" applyProtection="1">
      <alignment horizontal="left"/>
    </xf>
    <xf numFmtId="37" fontId="64" fillId="0" borderId="0" xfId="8" applyNumberFormat="1" applyFont="1" applyFill="1"/>
    <xf numFmtId="10" fontId="65" fillId="0" borderId="0" xfId="0" applyNumberFormat="1" applyFont="1"/>
    <xf numFmtId="10" fontId="65" fillId="0" borderId="0" xfId="0" applyNumberFormat="1" applyFont="1" applyFill="1"/>
    <xf numFmtId="170" fontId="65" fillId="0" borderId="0" xfId="52" applyNumberFormat="1" applyFont="1" applyProtection="1">
      <protection locked="0"/>
    </xf>
    <xf numFmtId="0" fontId="65" fillId="0" borderId="0" xfId="46" applyFont="1"/>
    <xf numFmtId="0" fontId="65" fillId="0" borderId="0" xfId="46" applyFont="1" applyProtection="1">
      <protection locked="0"/>
    </xf>
    <xf numFmtId="37" fontId="65" fillId="0" borderId="0" xfId="46" applyNumberFormat="1" applyFont="1" applyAlignment="1" applyProtection="1">
      <alignment horizontal="right"/>
      <protection locked="0"/>
    </xf>
    <xf numFmtId="0" fontId="8" fillId="0" borderId="0" xfId="8" applyFont="1" applyFill="1" applyAlignment="1" applyProtection="1">
      <alignment horizontal="center"/>
    </xf>
    <xf numFmtId="37" fontId="8" fillId="0" borderId="7" xfId="38" applyNumberFormat="1" applyFont="1" applyFill="1" applyBorder="1" applyProtection="1">
      <protection locked="0"/>
    </xf>
    <xf numFmtId="37" fontId="7" fillId="0" borderId="0" xfId="38" applyNumberFormat="1" applyFont="1" applyFill="1" applyProtection="1">
      <protection locked="0"/>
    </xf>
    <xf numFmtId="37" fontId="7" fillId="0" borderId="0" xfId="38" applyNumberFormat="1" applyFont="1" applyFill="1" applyProtection="1"/>
    <xf numFmtId="37" fontId="7" fillId="0" borderId="7" xfId="38" applyNumberFormat="1" applyFont="1" applyFill="1" applyBorder="1" applyProtection="1">
      <protection locked="0"/>
    </xf>
    <xf numFmtId="3" fontId="65" fillId="0" borderId="0" xfId="0" applyNumberFormat="1" applyFont="1" applyFill="1" applyProtection="1"/>
    <xf numFmtId="0" fontId="8" fillId="0" borderId="0" xfId="57" applyFont="1" applyFill="1" applyAlignment="1" applyProtection="1">
      <alignment horizontal="left"/>
    </xf>
    <xf numFmtId="0" fontId="7" fillId="0" borderId="0" xfId="58" applyFont="1" applyAlignment="1">
      <alignment horizontal="center"/>
    </xf>
    <xf numFmtId="0" fontId="64" fillId="0" borderId="0" xfId="0" applyFont="1" applyFill="1"/>
    <xf numFmtId="0" fontId="5" fillId="0" borderId="0" xfId="57" applyFill="1"/>
    <xf numFmtId="37" fontId="8" fillId="0" borderId="0" xfId="37" applyNumberFormat="1" applyFont="1" applyFill="1" applyProtection="1"/>
    <xf numFmtId="39" fontId="8" fillId="0" borderId="0" xfId="37" applyNumberFormat="1" applyFont="1" applyFill="1" applyProtection="1">
      <protection locked="0"/>
    </xf>
    <xf numFmtId="0" fontId="8" fillId="0" borderId="0" xfId="37" quotePrefix="1" applyFont="1" applyFill="1" applyBorder="1" applyAlignment="1" applyProtection="1">
      <alignment horizontal="center"/>
    </xf>
    <xf numFmtId="0" fontId="8" fillId="0" borderId="0" xfId="37" applyFont="1" applyFill="1" applyProtection="1">
      <protection locked="0"/>
    </xf>
    <xf numFmtId="37" fontId="8" fillId="0" borderId="0" xfId="37" applyNumberFormat="1" applyFont="1" applyFill="1" applyProtection="1">
      <protection locked="0"/>
    </xf>
    <xf numFmtId="37" fontId="8" fillId="0" borderId="0" xfId="37" applyNumberFormat="1" applyFont="1" applyFill="1" applyAlignment="1" applyProtection="1">
      <alignment horizontal="fill"/>
    </xf>
    <xf numFmtId="0" fontId="7" fillId="0" borderId="0" xfId="38" applyFont="1" applyFill="1" applyProtection="1"/>
    <xf numFmtId="39" fontId="8" fillId="0" borderId="0" xfId="37" applyNumberFormat="1" applyFont="1" applyFill="1" applyProtection="1"/>
    <xf numFmtId="0" fontId="8" fillId="0" borderId="0" xfId="37" applyFont="1" applyFill="1" applyBorder="1" applyProtection="1"/>
    <xf numFmtId="0" fontId="8" fillId="0" borderId="0" xfId="37" quotePrefix="1" applyFont="1" applyFill="1" applyAlignment="1" applyProtection="1">
      <alignment horizontal="center"/>
    </xf>
    <xf numFmtId="164" fontId="8" fillId="0" borderId="0" xfId="37" applyNumberFormat="1" applyFont="1" applyFill="1" applyProtection="1"/>
    <xf numFmtId="0" fontId="8" fillId="0" borderId="0" xfId="37" applyFont="1" applyFill="1" applyBorder="1" applyAlignment="1" applyProtection="1">
      <alignment horizontal="fill"/>
    </xf>
    <xf numFmtId="37" fontId="8" fillId="0" borderId="0" xfId="37" applyNumberFormat="1" applyFont="1" applyFill="1" applyBorder="1" applyAlignment="1" applyProtection="1">
      <alignment horizontal="right"/>
    </xf>
    <xf numFmtId="0" fontId="8" fillId="0" borderId="0" xfId="37" applyFont="1" applyFill="1" applyBorder="1" applyAlignment="1" applyProtection="1">
      <alignment horizontal="right"/>
    </xf>
    <xf numFmtId="164" fontId="8" fillId="0" borderId="0" xfId="37" applyNumberFormat="1" applyFont="1" applyFill="1" applyBorder="1" applyProtection="1"/>
    <xf numFmtId="165" fontId="8" fillId="0" borderId="0" xfId="37" applyNumberFormat="1" applyFont="1" applyFill="1" applyBorder="1" applyProtection="1"/>
    <xf numFmtId="165" fontId="8" fillId="0" borderId="0" xfId="37" applyNumberFormat="1" applyFont="1" applyFill="1" applyProtection="1"/>
    <xf numFmtId="37" fontId="69" fillId="0" borderId="0" xfId="37" applyNumberFormat="1" applyFont="1" applyFill="1" applyBorder="1"/>
    <xf numFmtId="37" fontId="8" fillId="0" borderId="8" xfId="37" applyNumberFormat="1" applyFont="1" applyFill="1" applyBorder="1"/>
    <xf numFmtId="37" fontId="8" fillId="0" borderId="2" xfId="38" applyNumberFormat="1" applyFont="1" applyFill="1" applyBorder="1" applyProtection="1"/>
    <xf numFmtId="37" fontId="8" fillId="0" borderId="0" xfId="37" applyNumberFormat="1" applyFont="1" applyFill="1" applyBorder="1" applyAlignment="1" applyProtection="1">
      <alignment horizontal="left"/>
    </xf>
    <xf numFmtId="37" fontId="8" fillId="0" borderId="0" xfId="38" quotePrefix="1" applyNumberFormat="1" applyFont="1" applyFill="1" applyProtection="1"/>
    <xf numFmtId="37" fontId="31" fillId="0" borderId="0" xfId="37" applyNumberFormat="1" applyFont="1" applyFill="1" applyBorder="1"/>
    <xf numFmtId="39" fontId="8" fillId="0" borderId="0" xfId="37" applyNumberFormat="1" applyFont="1" applyFill="1" applyBorder="1" applyProtection="1"/>
    <xf numFmtId="37" fontId="30" fillId="0" borderId="0" xfId="37" applyNumberFormat="1" applyFont="1" applyFill="1" applyBorder="1" applyProtection="1"/>
    <xf numFmtId="37" fontId="31" fillId="0" borderId="7" xfId="38" applyNumberFormat="1" applyFont="1" applyFill="1" applyBorder="1" applyProtection="1">
      <protection locked="0"/>
    </xf>
    <xf numFmtId="169" fontId="8" fillId="0" borderId="0" xfId="37" applyNumberFormat="1" applyFont="1" applyFill="1" applyProtection="1"/>
    <xf numFmtId="43" fontId="8" fillId="0" borderId="0" xfId="37" applyNumberFormat="1" applyFont="1" applyFill="1"/>
    <xf numFmtId="0" fontId="8" fillId="0" borderId="0" xfId="37" applyFont="1" applyFill="1" applyBorder="1" applyAlignment="1">
      <alignment horizontal="left"/>
    </xf>
    <xf numFmtId="0" fontId="30" fillId="0" borderId="0" xfId="37" applyFont="1" applyFill="1" applyBorder="1" applyAlignment="1" applyProtection="1">
      <alignment horizontal="left"/>
    </xf>
    <xf numFmtId="0" fontId="30" fillId="0" borderId="0" xfId="37" applyFont="1" applyFill="1" applyBorder="1"/>
    <xf numFmtId="0" fontId="30" fillId="0" borderId="0" xfId="37" applyFont="1" applyFill="1" applyBorder="1" applyAlignment="1" applyProtection="1">
      <alignment horizontal="center"/>
    </xf>
    <xf numFmtId="0" fontId="30" fillId="0" borderId="0" xfId="37" quotePrefix="1" applyFont="1" applyFill="1" applyBorder="1" applyAlignment="1" applyProtection="1">
      <alignment horizontal="left"/>
    </xf>
    <xf numFmtId="0" fontId="6" fillId="0" borderId="0" xfId="0" applyFont="1" applyFill="1"/>
    <xf numFmtId="0" fontId="26" fillId="0" borderId="0" xfId="0" applyFont="1" applyFill="1"/>
    <xf numFmtId="0" fontId="26" fillId="0" borderId="0" xfId="0" applyFont="1" applyFill="1" applyAlignment="1">
      <alignment horizontal="center"/>
    </xf>
    <xf numFmtId="3" fontId="26" fillId="0" borderId="0" xfId="0" applyNumberFormat="1" applyFont="1" applyFill="1" applyAlignment="1">
      <alignment horizontal="center"/>
    </xf>
    <xf numFmtId="197" fontId="0" fillId="0" borderId="0" xfId="0" applyNumberFormat="1" applyFill="1"/>
    <xf numFmtId="10" fontId="26" fillId="0" borderId="7" xfId="0" applyNumberFormat="1" applyFont="1" applyFill="1" applyBorder="1" applyAlignment="1">
      <alignment horizontal="center"/>
    </xf>
    <xf numFmtId="183" fontId="0" fillId="0" borderId="2" xfId="0" applyNumberFormat="1" applyFill="1" applyBorder="1"/>
    <xf numFmtId="183" fontId="26" fillId="0" borderId="0" xfId="1" applyNumberFormat="1" applyFont="1" applyFill="1"/>
    <xf numFmtId="0" fontId="8" fillId="0" borderId="0" xfId="57" applyFont="1" applyFill="1" applyAlignment="1">
      <alignment horizontal="centerContinuous"/>
    </xf>
    <xf numFmtId="0" fontId="8" fillId="0" borderId="0" xfId="57" quotePrefix="1" applyFont="1" applyFill="1" applyAlignment="1" applyProtection="1">
      <alignment horizontal="centerContinuous"/>
    </xf>
    <xf numFmtId="0" fontId="8" fillId="0" borderId="0" xfId="57" applyFont="1" applyFill="1"/>
    <xf numFmtId="0" fontId="8" fillId="0" borderId="0" xfId="57" applyFont="1" applyFill="1" applyProtection="1"/>
    <xf numFmtId="0" fontId="8" fillId="0" borderId="7" xfId="57" applyFont="1" applyFill="1" applyBorder="1"/>
    <xf numFmtId="0" fontId="8" fillId="0" borderId="0" xfId="57" applyFont="1" applyFill="1" applyAlignment="1" applyProtection="1">
      <alignment horizontal="center"/>
    </xf>
    <xf numFmtId="37" fontId="8" fillId="0" borderId="0" xfId="57" applyNumberFormat="1" applyFont="1" applyFill="1"/>
    <xf numFmtId="39" fontId="8" fillId="0" borderId="0" xfId="57" applyNumberFormat="1" applyFont="1" applyFill="1" applyProtection="1"/>
    <xf numFmtId="37" fontId="8" fillId="0" borderId="0" xfId="57" applyNumberFormat="1" applyFont="1" applyFill="1" applyProtection="1"/>
    <xf numFmtId="0" fontId="8" fillId="0" borderId="0" xfId="58" applyFont="1" applyFill="1" applyBorder="1" applyAlignment="1" applyProtection="1">
      <alignment horizontal="centerContinuous"/>
    </xf>
    <xf numFmtId="10" fontId="8" fillId="0" borderId="0" xfId="58" applyNumberFormat="1" applyFont="1" applyFill="1" applyAlignment="1">
      <alignment horizontal="centerContinuous"/>
    </xf>
    <xf numFmtId="0" fontId="8" fillId="0" borderId="0" xfId="58" applyFont="1" applyFill="1" applyBorder="1" applyAlignment="1">
      <alignment horizontal="centerContinuous"/>
    </xf>
    <xf numFmtId="0" fontId="8" fillId="0" borderId="0" xfId="58" quotePrefix="1" applyFont="1" applyFill="1" applyAlignment="1" applyProtection="1">
      <alignment horizontal="centerContinuous"/>
    </xf>
    <xf numFmtId="0" fontId="8" fillId="0" borderId="0" xfId="58" applyFont="1" applyFill="1" applyAlignment="1"/>
    <xf numFmtId="10" fontId="8" fillId="0" borderId="0" xfId="58" applyNumberFormat="1" applyFont="1" applyFill="1"/>
    <xf numFmtId="0" fontId="8" fillId="0" borderId="0" xfId="58" applyFont="1" applyFill="1" applyAlignment="1" applyProtection="1">
      <alignment horizontal="left"/>
    </xf>
    <xf numFmtId="37" fontId="8" fillId="0" borderId="0" xfId="58" applyNumberFormat="1" applyFont="1" applyFill="1" applyAlignment="1" applyProtection="1">
      <alignment horizontal="left"/>
    </xf>
    <xf numFmtId="37" fontId="8" fillId="0" borderId="0" xfId="58" applyNumberFormat="1" applyFont="1" applyFill="1" applyProtection="1"/>
    <xf numFmtId="0" fontId="8" fillId="0" borderId="7" xfId="58" applyFont="1" applyFill="1" applyBorder="1"/>
    <xf numFmtId="37" fontId="8" fillId="0" borderId="0" xfId="58" applyNumberFormat="1" applyFont="1" applyFill="1" applyAlignment="1">
      <alignment horizontal="center"/>
    </xf>
    <xf numFmtId="37" fontId="8" fillId="0" borderId="0" xfId="58" applyNumberFormat="1" applyFont="1" applyFill="1" applyAlignment="1" applyProtection="1">
      <alignment horizontal="center"/>
    </xf>
    <xf numFmtId="10" fontId="8" fillId="0" borderId="0" xfId="58" applyNumberFormat="1" applyFont="1" applyFill="1" applyAlignment="1" applyProtection="1">
      <alignment horizontal="center"/>
    </xf>
    <xf numFmtId="0" fontId="8" fillId="0" borderId="7" xfId="58" applyFont="1" applyFill="1" applyBorder="1" applyAlignment="1" applyProtection="1">
      <alignment horizontal="center"/>
    </xf>
    <xf numFmtId="37" fontId="8" fillId="0" borderId="7" xfId="58" applyNumberFormat="1" applyFont="1" applyFill="1" applyBorder="1" applyAlignment="1" applyProtection="1">
      <alignment horizontal="center"/>
    </xf>
    <xf numFmtId="10" fontId="8" fillId="0" borderId="7" xfId="58" applyNumberFormat="1" applyFont="1" applyFill="1" applyBorder="1" applyAlignment="1" applyProtection="1">
      <alignment horizontal="center"/>
    </xf>
    <xf numFmtId="0" fontId="5" fillId="0" borderId="0" xfId="58" applyFill="1"/>
    <xf numFmtId="10" fontId="5" fillId="0" borderId="0" xfId="58" applyNumberFormat="1" applyFill="1"/>
    <xf numFmtId="0" fontId="8" fillId="0" borderId="0" xfId="58" quotePrefix="1" applyFont="1" applyFill="1" applyAlignment="1" applyProtection="1">
      <alignment horizontal="center"/>
    </xf>
    <xf numFmtId="0" fontId="8" fillId="0" borderId="0" xfId="58" applyFont="1" applyFill="1" applyBorder="1" applyAlignment="1" applyProtection="1">
      <alignment horizontal="left"/>
    </xf>
    <xf numFmtId="37" fontId="31" fillId="0" borderId="0" xfId="0" applyNumberFormat="1" applyFont="1" applyFill="1" applyProtection="1"/>
    <xf numFmtId="10" fontId="31" fillId="0" borderId="0" xfId="58" applyNumberFormat="1" applyFont="1" applyFill="1" applyProtection="1"/>
    <xf numFmtId="0" fontId="8" fillId="0" borderId="0" xfId="58" quotePrefix="1" applyFont="1" applyFill="1" applyBorder="1" applyAlignment="1" applyProtection="1">
      <alignment horizontal="left"/>
    </xf>
    <xf numFmtId="37" fontId="8" fillId="0" borderId="0" xfId="58" applyNumberFormat="1" applyFont="1" applyFill="1"/>
    <xf numFmtId="37" fontId="5" fillId="0" borderId="0" xfId="58" applyNumberFormat="1" applyFill="1"/>
    <xf numFmtId="0" fontId="8" fillId="0" borderId="0" xfId="58" quotePrefix="1" applyFont="1" applyFill="1"/>
    <xf numFmtId="3" fontId="6" fillId="0" borderId="0" xfId="0" applyNumberFormat="1" applyFont="1" applyFill="1"/>
    <xf numFmtId="3" fontId="26" fillId="0" borderId="0" xfId="0" applyNumberFormat="1" applyFont="1" applyFill="1"/>
    <xf numFmtId="3" fontId="0" fillId="0" borderId="0" xfId="0" applyNumberFormat="1" applyFill="1" applyAlignment="1">
      <alignment horizontal="center"/>
    </xf>
    <xf numFmtId="3" fontId="0" fillId="0" borderId="0" xfId="0" applyNumberFormat="1" applyFill="1"/>
    <xf numFmtId="3" fontId="0" fillId="0" borderId="2" xfId="0" applyNumberFormat="1" applyFill="1" applyBorder="1"/>
    <xf numFmtId="0" fontId="8" fillId="0" borderId="0" xfId="58" applyFont="1" applyFill="1" applyProtection="1"/>
    <xf numFmtId="0" fontId="7" fillId="0" borderId="0" xfId="58" applyFont="1" applyFill="1" applyAlignment="1">
      <alignment horizontal="center"/>
    </xf>
    <xf numFmtId="0" fontId="8" fillId="0" borderId="0" xfId="58" applyFont="1" applyFill="1" applyAlignment="1">
      <alignment horizontal="center"/>
    </xf>
    <xf numFmtId="0" fontId="8" fillId="0" borderId="0" xfId="58" quotePrefix="1" applyFont="1" applyFill="1" applyAlignment="1">
      <alignment horizontal="center"/>
    </xf>
    <xf numFmtId="0" fontId="8" fillId="0" borderId="7" xfId="58" quotePrefix="1" applyFont="1" applyFill="1" applyBorder="1" applyAlignment="1" applyProtection="1">
      <alignment horizontal="center"/>
    </xf>
    <xf numFmtId="0" fontId="8" fillId="0" borderId="7" xfId="58" quotePrefix="1" applyFont="1" applyFill="1" applyBorder="1" applyAlignment="1">
      <alignment horizontal="center"/>
    </xf>
    <xf numFmtId="0" fontId="8" fillId="0" borderId="0" xfId="58" quotePrefix="1" applyFont="1" applyFill="1" applyBorder="1" applyAlignment="1" applyProtection="1">
      <alignment horizontal="center"/>
    </xf>
    <xf numFmtId="0" fontId="8" fillId="0" borderId="0" xfId="58" quotePrefix="1" applyFont="1" applyFill="1" applyBorder="1" applyAlignment="1">
      <alignment horizontal="center"/>
    </xf>
    <xf numFmtId="0" fontId="8" fillId="0" borderId="0" xfId="0" applyFont="1" applyFill="1" applyAlignment="1"/>
    <xf numFmtId="0" fontId="8" fillId="0" borderId="0" xfId="0" applyFont="1" applyFill="1" applyAlignment="1">
      <alignment horizontal="center"/>
    </xf>
    <xf numFmtId="9" fontId="8" fillId="0" borderId="7" xfId="58" applyNumberFormat="1" applyFont="1" applyFill="1" applyBorder="1"/>
    <xf numFmtId="3" fontId="8" fillId="0" borderId="0" xfId="58" applyNumberFormat="1" applyFont="1" applyFill="1" applyAlignment="1" applyProtection="1">
      <alignment horizontal="right"/>
    </xf>
    <xf numFmtId="0" fontId="8" fillId="0" borderId="0" xfId="59" applyFont="1" applyFill="1" applyAlignment="1" applyProtection="1">
      <alignment horizontal="centerContinuous"/>
    </xf>
    <xf numFmtId="0" fontId="8" fillId="0" borderId="0" xfId="59" applyFont="1" applyFill="1"/>
    <xf numFmtId="0" fontId="8" fillId="0" borderId="0" xfId="59" quotePrefix="1" applyFont="1" applyFill="1" applyAlignment="1" applyProtection="1">
      <alignment horizontal="centerContinuous"/>
    </xf>
    <xf numFmtId="0" fontId="8" fillId="0" borderId="0" xfId="59" applyFont="1" applyFill="1" applyBorder="1"/>
    <xf numFmtId="176" fontId="8" fillId="0" borderId="0" xfId="59" applyNumberFormat="1" applyFont="1" applyFill="1" applyProtection="1"/>
    <xf numFmtId="37" fontId="8" fillId="0" borderId="0" xfId="59" applyNumberFormat="1" applyFont="1" applyFill="1" applyProtection="1"/>
    <xf numFmtId="0" fontId="8" fillId="0" borderId="0" xfId="59" applyFont="1" applyFill="1" applyAlignment="1" applyProtection="1">
      <alignment horizontal="left"/>
    </xf>
    <xf numFmtId="0" fontId="8" fillId="0" borderId="7" xfId="59" applyFont="1" applyFill="1" applyBorder="1"/>
    <xf numFmtId="37" fontId="8" fillId="0" borderId="7" xfId="59" applyNumberFormat="1" applyFont="1" applyFill="1" applyBorder="1" applyProtection="1"/>
    <xf numFmtId="176" fontId="8" fillId="0" borderId="7" xfId="59" applyNumberFormat="1" applyFont="1" applyFill="1" applyBorder="1" applyProtection="1"/>
    <xf numFmtId="0" fontId="8" fillId="0" borderId="0" xfId="59" applyFont="1" applyFill="1" applyAlignment="1" applyProtection="1">
      <alignment horizontal="center"/>
    </xf>
    <xf numFmtId="176" fontId="30" fillId="0" borderId="10" xfId="59" applyNumberFormat="1" applyFont="1" applyFill="1" applyBorder="1" applyAlignment="1" applyProtection="1">
      <alignment horizontal="centerContinuous"/>
    </xf>
    <xf numFmtId="0" fontId="8" fillId="0" borderId="0" xfId="59" applyFont="1" applyFill="1" applyAlignment="1">
      <alignment horizontal="center"/>
    </xf>
    <xf numFmtId="10" fontId="8" fillId="0" borderId="0" xfId="59" applyNumberFormat="1" applyFont="1" applyFill="1"/>
    <xf numFmtId="37" fontId="8" fillId="0" borderId="0" xfId="59" applyNumberFormat="1" applyFont="1" applyFill="1"/>
    <xf numFmtId="37" fontId="8" fillId="0" borderId="0" xfId="59" applyNumberFormat="1" applyFont="1" applyFill="1" applyBorder="1"/>
    <xf numFmtId="37" fontId="8" fillId="0" borderId="7" xfId="59" applyNumberFormat="1" applyFont="1" applyFill="1" applyBorder="1"/>
    <xf numFmtId="0" fontId="7" fillId="0" borderId="0" xfId="59" applyFont="1" applyFill="1"/>
    <xf numFmtId="0" fontId="8" fillId="0" borderId="2" xfId="59" applyFont="1" applyFill="1" applyBorder="1" applyAlignment="1">
      <alignment horizontal="center"/>
    </xf>
    <xf numFmtId="0" fontId="8" fillId="0" borderId="2" xfId="59" applyFont="1" applyFill="1" applyBorder="1"/>
    <xf numFmtId="10" fontId="8" fillId="0" borderId="2" xfId="59" applyNumberFormat="1" applyFont="1" applyFill="1" applyBorder="1"/>
    <xf numFmtId="37" fontId="8" fillId="0" borderId="2" xfId="59" applyNumberFormat="1" applyFont="1" applyFill="1" applyBorder="1"/>
    <xf numFmtId="0" fontId="8" fillId="0" borderId="0" xfId="14" applyFont="1" applyFill="1" applyAlignment="1" applyProtection="1">
      <alignment horizontal="centerContinuous"/>
    </xf>
    <xf numFmtId="0" fontId="8" fillId="0" borderId="0" xfId="14" applyFont="1" applyFill="1" applyAlignment="1">
      <alignment horizontal="centerContinuous"/>
    </xf>
    <xf numFmtId="0" fontId="8" fillId="0" borderId="0" xfId="14" applyFont="1" applyFill="1" applyProtection="1"/>
    <xf numFmtId="0" fontId="8" fillId="0" borderId="0" xfId="14" applyFont="1" applyFill="1" applyAlignment="1" applyProtection="1">
      <alignment horizontal="left"/>
    </xf>
    <xf numFmtId="0" fontId="8" fillId="0" borderId="7" xfId="14" applyFont="1" applyFill="1" applyBorder="1" applyAlignment="1" applyProtection="1">
      <alignment horizontal="fill"/>
    </xf>
    <xf numFmtId="0" fontId="8" fillId="0" borderId="0" xfId="14" applyFont="1" applyFill="1" applyBorder="1" applyAlignment="1" applyProtection="1">
      <alignment horizontal="fill"/>
    </xf>
    <xf numFmtId="0" fontId="8" fillId="0" borderId="0" xfId="14" applyFont="1" applyFill="1" applyBorder="1" applyAlignment="1">
      <alignment horizontal="center"/>
    </xf>
    <xf numFmtId="0" fontId="8" fillId="0" borderId="0" xfId="14" quotePrefix="1" applyFont="1" applyFill="1" applyAlignment="1">
      <alignment horizontal="center"/>
    </xf>
    <xf numFmtId="37" fontId="8" fillId="0" borderId="0" xfId="14" applyNumberFormat="1" applyFont="1" applyFill="1" applyProtection="1"/>
    <xf numFmtId="37" fontId="30" fillId="0" borderId="0" xfId="14" applyNumberFormat="1" applyFont="1" applyFill="1" applyAlignment="1">
      <alignment horizontal="right"/>
    </xf>
    <xf numFmtId="0" fontId="8" fillId="0" borderId="0" xfId="14" applyFont="1" applyFill="1" applyAlignment="1">
      <alignment horizontal="right"/>
    </xf>
    <xf numFmtId="37" fontId="30" fillId="0" borderId="0" xfId="14" applyNumberFormat="1" applyFont="1" applyFill="1" applyBorder="1"/>
    <xf numFmtId="0" fontId="8" fillId="0" borderId="0" xfId="14" applyFont="1" applyFill="1" applyAlignment="1">
      <alignment horizontal="left"/>
    </xf>
    <xf numFmtId="0" fontId="8" fillId="0" borderId="0" xfId="14" applyFont="1" applyFill="1" applyAlignment="1">
      <alignment horizontal="left" indent="1"/>
    </xf>
    <xf numFmtId="0" fontId="8" fillId="0" borderId="0" xfId="14" applyFont="1" applyFill="1" applyAlignment="1">
      <alignment horizontal="left" indent="2"/>
    </xf>
    <xf numFmtId="3" fontId="8" fillId="0" borderId="0" xfId="14" applyNumberFormat="1" applyFont="1" applyFill="1"/>
    <xf numFmtId="0" fontId="30" fillId="0" borderId="0" xfId="14" applyFont="1" applyFill="1"/>
    <xf numFmtId="37" fontId="33" fillId="0" borderId="0" xfId="14" applyNumberFormat="1" applyFont="1" applyFill="1" applyBorder="1"/>
    <xf numFmtId="37" fontId="8" fillId="0" borderId="0" xfId="14" applyNumberFormat="1" applyFont="1" applyFill="1" applyBorder="1" applyProtection="1"/>
    <xf numFmtId="37" fontId="8" fillId="0" borderId="0" xfId="14" applyNumberFormat="1" applyFont="1" applyFill="1" applyAlignment="1" applyProtection="1">
      <alignment horizontal="right"/>
    </xf>
    <xf numFmtId="37" fontId="8" fillId="0" borderId="0" xfId="14" applyNumberFormat="1" applyFont="1" applyFill="1" applyAlignment="1">
      <alignment horizontal="centerContinuous"/>
    </xf>
    <xf numFmtId="37" fontId="8" fillId="0" borderId="0" xfId="14" applyNumberFormat="1" applyFont="1" applyFill="1" applyAlignment="1" applyProtection="1">
      <alignment horizontal="left"/>
    </xf>
    <xf numFmtId="0" fontId="8" fillId="0" borderId="7" xfId="14" applyFont="1" applyFill="1" applyBorder="1"/>
    <xf numFmtId="37" fontId="8" fillId="0" borderId="7" xfId="14" applyNumberFormat="1" applyFont="1" applyFill="1" applyBorder="1"/>
    <xf numFmtId="0" fontId="31" fillId="0" borderId="0" xfId="14" applyFont="1" applyFill="1"/>
    <xf numFmtId="0" fontId="65" fillId="0" borderId="0" xfId="14" applyFont="1" applyFill="1"/>
    <xf numFmtId="3" fontId="8" fillId="0" borderId="0" xfId="14" applyNumberFormat="1" applyFont="1" applyFill="1" applyAlignment="1">
      <alignment horizontal="center"/>
    </xf>
    <xf numFmtId="186" fontId="65" fillId="0" borderId="0" xfId="14" applyNumberFormat="1" applyFont="1" applyFill="1" applyAlignment="1">
      <alignment horizontal="center"/>
    </xf>
    <xf numFmtId="0" fontId="8" fillId="0" borderId="0" xfId="14" applyFont="1" applyFill="1" applyBorder="1"/>
    <xf numFmtId="37" fontId="8" fillId="0" borderId="0" xfId="14" applyNumberFormat="1" applyFont="1" applyFill="1" applyBorder="1"/>
    <xf numFmtId="0" fontId="8" fillId="0" borderId="0" xfId="57" applyFont="1" applyFill="1" applyAlignment="1">
      <alignment horizontal="center"/>
    </xf>
    <xf numFmtId="0" fontId="8" fillId="0" borderId="7" xfId="57" applyFont="1" applyFill="1" applyBorder="1" applyAlignment="1" applyProtection="1">
      <alignment horizontal="center"/>
    </xf>
    <xf numFmtId="37" fontId="8" fillId="0" borderId="0" xfId="57" applyNumberFormat="1" applyFont="1" applyFill="1" applyAlignment="1" applyProtection="1">
      <alignment horizontal="center"/>
    </xf>
    <xf numFmtId="0" fontId="8" fillId="0" borderId="0" xfId="57" applyFont="1" applyFill="1" applyBorder="1"/>
    <xf numFmtId="0" fontId="30" fillId="0" borderId="0" xfId="57" applyFont="1" applyFill="1" applyAlignment="1" applyProtection="1">
      <alignment horizontal="left"/>
    </xf>
    <xf numFmtId="2" fontId="8" fillId="0" borderId="0" xfId="57" applyNumberFormat="1" applyFont="1" applyFill="1" applyProtection="1"/>
    <xf numFmtId="0" fontId="65" fillId="0" borderId="0" xfId="57" applyFont="1" applyFill="1"/>
    <xf numFmtId="37" fontId="8" fillId="0" borderId="7" xfId="57" applyNumberFormat="1" applyFont="1" applyFill="1" applyBorder="1"/>
    <xf numFmtId="0" fontId="30" fillId="0" borderId="0" xfId="57" applyFont="1" applyFill="1"/>
    <xf numFmtId="2" fontId="8" fillId="0" borderId="0" xfId="57" applyNumberFormat="1" applyFont="1" applyFill="1"/>
    <xf numFmtId="37" fontId="8" fillId="0" borderId="7" xfId="57" applyNumberFormat="1" applyFont="1" applyFill="1" applyBorder="1" applyProtection="1"/>
    <xf numFmtId="0" fontId="7" fillId="0" borderId="10" xfId="57" applyFont="1" applyFill="1" applyBorder="1"/>
    <xf numFmtId="37" fontId="8" fillId="0" borderId="9" xfId="57" applyNumberFormat="1" applyFont="1" applyFill="1" applyBorder="1"/>
    <xf numFmtId="37" fontId="8" fillId="0" borderId="0" xfId="57" applyNumberFormat="1" applyFont="1" applyFill="1" applyBorder="1"/>
    <xf numFmtId="0" fontId="5" fillId="0" borderId="0" xfId="57" applyFill="1" applyAlignment="1">
      <alignment horizontal="centerContinuous"/>
    </xf>
    <xf numFmtId="3" fontId="31" fillId="0" borderId="0" xfId="0" applyNumberFormat="1" applyFont="1" applyFill="1" applyProtection="1"/>
    <xf numFmtId="39" fontId="8" fillId="0" borderId="0" xfId="0" applyNumberFormat="1" applyFont="1" applyFill="1" applyProtection="1"/>
    <xf numFmtId="37" fontId="8" fillId="0" borderId="0" xfId="0" applyNumberFormat="1" applyFont="1" applyFill="1"/>
    <xf numFmtId="176" fontId="8" fillId="0" borderId="0" xfId="57" applyNumberFormat="1" applyFont="1" applyFill="1" applyProtection="1"/>
    <xf numFmtId="0" fontId="5" fillId="0" borderId="0" xfId="58" applyFill="1" applyAlignment="1">
      <alignment horizontal="centerContinuous"/>
    </xf>
    <xf numFmtId="0" fontId="5" fillId="0" borderId="0" xfId="58" applyFill="1" applyBorder="1" applyAlignment="1">
      <alignment horizontal="centerContinuous"/>
    </xf>
    <xf numFmtId="10" fontId="8" fillId="0" borderId="0" xfId="58" applyNumberFormat="1" applyFont="1" applyFill="1" applyAlignment="1" applyProtection="1">
      <alignment horizontal="centerContinuous"/>
    </xf>
    <xf numFmtId="37" fontId="8" fillId="0" borderId="0" xfId="58" applyNumberFormat="1" applyFont="1" applyFill="1" applyAlignment="1" applyProtection="1">
      <alignment horizontal="centerContinuous"/>
    </xf>
    <xf numFmtId="37" fontId="8" fillId="0" borderId="0" xfId="58" applyNumberFormat="1" applyFont="1" applyFill="1" applyBorder="1" applyAlignment="1" applyProtection="1">
      <alignment horizontal="center"/>
    </xf>
    <xf numFmtId="37" fontId="31" fillId="0" borderId="0" xfId="58" applyNumberFormat="1" applyFont="1" applyFill="1" applyProtection="1"/>
    <xf numFmtId="0" fontId="5" fillId="0" borderId="0" xfId="58" applyFont="1" applyFill="1"/>
    <xf numFmtId="37" fontId="31" fillId="0" borderId="0" xfId="58" applyNumberFormat="1" applyFont="1" applyFill="1" applyAlignment="1" applyProtection="1">
      <alignment horizontal="right"/>
    </xf>
    <xf numFmtId="37" fontId="31" fillId="0" borderId="0" xfId="58" applyNumberFormat="1" applyFont="1" applyFill="1" applyAlignment="1" applyProtection="1">
      <alignment horizontal="left"/>
    </xf>
    <xf numFmtId="0" fontId="7" fillId="0" borderId="0" xfId="0" applyFont="1" applyFill="1" applyAlignment="1" applyProtection="1">
      <alignment horizontal="left"/>
    </xf>
    <xf numFmtId="0" fontId="5" fillId="0" borderId="0" xfId="58" applyFill="1" applyBorder="1"/>
    <xf numFmtId="37" fontId="8" fillId="0" borderId="9" xfId="38" applyNumberFormat="1" applyFont="1" applyFill="1" applyBorder="1"/>
    <xf numFmtId="37" fontId="65" fillId="0" borderId="0" xfId="38" applyNumberFormat="1" applyFont="1" applyFill="1"/>
    <xf numFmtId="0" fontId="8" fillId="0" borderId="0" xfId="6" applyFont="1" applyFill="1" applyProtection="1"/>
    <xf numFmtId="0" fontId="8" fillId="0" borderId="0" xfId="6" applyFont="1" applyFill="1"/>
    <xf numFmtId="0" fontId="8" fillId="0" borderId="0" xfId="6" applyFont="1" applyFill="1" applyAlignment="1" applyProtection="1"/>
    <xf numFmtId="0" fontId="8" fillId="0" borderId="0" xfId="6" applyFont="1" applyFill="1" applyAlignment="1" applyProtection="1">
      <alignment horizontal="left"/>
    </xf>
    <xf numFmtId="37" fontId="8" fillId="0" borderId="0" xfId="6" applyNumberFormat="1" applyFont="1" applyFill="1" applyProtection="1"/>
    <xf numFmtId="0" fontId="8" fillId="0" borderId="0" xfId="6" applyFont="1" applyFill="1" applyAlignment="1">
      <alignment horizontal="center"/>
    </xf>
    <xf numFmtId="37" fontId="8" fillId="0" borderId="0" xfId="6" applyNumberFormat="1" applyFont="1" applyFill="1" applyAlignment="1" applyProtection="1">
      <alignment horizontal="center"/>
    </xf>
    <xf numFmtId="0" fontId="8" fillId="0" borderId="0" xfId="6" applyFont="1" applyFill="1" applyBorder="1" applyAlignment="1">
      <alignment horizontal="center"/>
    </xf>
    <xf numFmtId="0" fontId="30" fillId="0" borderId="0" xfId="6" applyFont="1" applyFill="1" applyBorder="1" applyAlignment="1">
      <alignment horizontal="center"/>
    </xf>
    <xf numFmtId="37" fontId="8" fillId="0" borderId="0" xfId="6" applyNumberFormat="1" applyFont="1" applyFill="1" applyBorder="1" applyAlignment="1" applyProtection="1">
      <alignment horizontal="right"/>
    </xf>
    <xf numFmtId="37" fontId="8" fillId="0" borderId="0" xfId="6" applyNumberFormat="1" applyFont="1" applyFill="1" applyBorder="1" applyProtection="1"/>
    <xf numFmtId="180" fontId="30" fillId="0" borderId="0" xfId="6" applyNumberFormat="1" applyFont="1" applyFill="1" applyBorder="1" applyAlignment="1" applyProtection="1">
      <alignment horizontal="right"/>
    </xf>
    <xf numFmtId="0" fontId="8" fillId="0" borderId="0" xfId="6" applyFont="1" applyFill="1" applyBorder="1" applyProtection="1"/>
    <xf numFmtId="37" fontId="33" fillId="0" borderId="0" xfId="25" applyNumberFormat="1" applyFont="1" applyFill="1"/>
    <xf numFmtId="0" fontId="7" fillId="0" borderId="0" xfId="22" applyFont="1"/>
    <xf numFmtId="3" fontId="0" fillId="0" borderId="0" xfId="0" quotePrefix="1" applyNumberFormat="1" applyFill="1"/>
    <xf numFmtId="0" fontId="7" fillId="0" borderId="0" xfId="25" applyFont="1"/>
    <xf numFmtId="0" fontId="7" fillId="0" borderId="0" xfId="25" applyFont="1" applyAlignment="1">
      <alignment horizontal="center"/>
    </xf>
    <xf numFmtId="0" fontId="30" fillId="0" borderId="0" xfId="25" applyFont="1" applyAlignment="1">
      <alignment horizontal="center"/>
    </xf>
    <xf numFmtId="0" fontId="7" fillId="0" borderId="0" xfId="6" applyFont="1" applyBorder="1" applyAlignment="1">
      <alignment horizontal="center"/>
    </xf>
    <xf numFmtId="10" fontId="8" fillId="0" borderId="0" xfId="25" applyNumberFormat="1" applyFont="1"/>
    <xf numFmtId="0" fontId="8" fillId="0" borderId="0" xfId="25" applyFont="1" applyAlignment="1"/>
    <xf numFmtId="10" fontId="8" fillId="0" borderId="0" xfId="25" applyNumberFormat="1" applyFont="1" applyAlignment="1"/>
    <xf numFmtId="10" fontId="30" fillId="0" borderId="0" xfId="25" applyNumberFormat="1" applyFont="1" applyAlignment="1"/>
    <xf numFmtId="180" fontId="8" fillId="0" borderId="0" xfId="25" applyNumberFormat="1" applyFont="1" applyAlignment="1"/>
    <xf numFmtId="180" fontId="30" fillId="0" borderId="0" xfId="25" applyNumberFormat="1" applyFont="1" applyAlignment="1"/>
    <xf numFmtId="180" fontId="8" fillId="0" borderId="0" xfId="25" applyNumberFormat="1" applyFont="1"/>
    <xf numFmtId="37" fontId="7" fillId="0" borderId="5" xfId="25" applyNumberFormat="1" applyFont="1" applyBorder="1"/>
    <xf numFmtId="37" fontId="7" fillId="0" borderId="2" xfId="25" applyNumberFormat="1" applyFont="1" applyBorder="1"/>
    <xf numFmtId="0" fontId="7" fillId="0" borderId="2" xfId="25" applyFont="1" applyBorder="1"/>
    <xf numFmtId="37" fontId="7" fillId="0" borderId="3" xfId="25" applyNumberFormat="1" applyFont="1" applyBorder="1"/>
    <xf numFmtId="0" fontId="7" fillId="0" borderId="0" xfId="25" quotePrefix="1" applyFont="1" applyAlignment="1">
      <alignment horizontal="center"/>
    </xf>
    <xf numFmtId="183" fontId="3" fillId="0" borderId="7" xfId="1" applyNumberFormat="1" applyFont="1" applyFill="1" applyBorder="1" applyAlignment="1">
      <alignment horizontal="center"/>
    </xf>
    <xf numFmtId="0" fontId="8" fillId="0" borderId="41" xfId="21" applyFont="1" applyFill="1" applyBorder="1"/>
    <xf numFmtId="0" fontId="7" fillId="0" borderId="0" xfId="8" applyFont="1" applyFill="1" applyAlignment="1" applyProtection="1"/>
    <xf numFmtId="0" fontId="7" fillId="0" borderId="0" xfId="29" applyFont="1" applyAlignment="1" applyProtection="1">
      <alignment horizontal="left"/>
    </xf>
    <xf numFmtId="183" fontId="64" fillId="0" borderId="0" xfId="1" applyNumberFormat="1" applyFont="1" applyFill="1"/>
    <xf numFmtId="0" fontId="8" fillId="0" borderId="0" xfId="18" applyFont="1" applyFill="1" applyAlignment="1" applyProtection="1">
      <alignment horizontal="centerContinuous"/>
    </xf>
    <xf numFmtId="0" fontId="8" fillId="0" borderId="0" xfId="18" applyFont="1" applyFill="1" applyAlignment="1">
      <alignment horizontal="centerContinuous"/>
    </xf>
    <xf numFmtId="0" fontId="8" fillId="0" borderId="0" xfId="18" applyFont="1" applyFill="1" applyProtection="1"/>
    <xf numFmtId="0" fontId="8" fillId="0" borderId="7" xfId="18" applyFont="1" applyFill="1" applyBorder="1" applyAlignment="1" applyProtection="1">
      <alignment horizontal="fill"/>
    </xf>
    <xf numFmtId="0" fontId="8" fillId="0" borderId="0" xfId="18" applyFont="1" applyFill="1" applyBorder="1" applyAlignment="1" applyProtection="1">
      <alignment horizontal="fill"/>
    </xf>
    <xf numFmtId="0" fontId="8" fillId="0" borderId="0" xfId="18" applyFont="1" applyFill="1" applyBorder="1" applyAlignment="1" applyProtection="1">
      <alignment horizontal="center"/>
    </xf>
    <xf numFmtId="0" fontId="8" fillId="0" borderId="0" xfId="18" applyFont="1" applyFill="1" applyAlignment="1" applyProtection="1">
      <alignment horizontal="center"/>
    </xf>
    <xf numFmtId="0" fontId="8" fillId="0" borderId="0" xfId="18" quotePrefix="1" applyFont="1" applyFill="1" applyAlignment="1" applyProtection="1">
      <alignment horizontal="center"/>
    </xf>
    <xf numFmtId="37" fontId="30" fillId="0" borderId="0" xfId="18" applyNumberFormat="1" applyFont="1" applyFill="1" applyProtection="1"/>
    <xf numFmtId="37" fontId="8" fillId="0" borderId="0" xfId="18" quotePrefix="1" applyNumberFormat="1" applyFont="1" applyFill="1" applyProtection="1"/>
    <xf numFmtId="0" fontId="8" fillId="0" borderId="0" xfId="18" applyFont="1" applyFill="1" applyAlignment="1">
      <alignment horizontal="center"/>
    </xf>
    <xf numFmtId="0" fontId="31" fillId="0" borderId="0" xfId="18" applyFont="1" applyFill="1" applyProtection="1">
      <protection locked="0"/>
    </xf>
    <xf numFmtId="37" fontId="8" fillId="0" borderId="0" xfId="18" applyNumberFormat="1" applyFont="1" applyFill="1" applyAlignment="1" applyProtection="1">
      <alignment horizontal="right"/>
    </xf>
    <xf numFmtId="37" fontId="31" fillId="0" borderId="0" xfId="18" applyNumberFormat="1" applyFont="1" applyFill="1" applyProtection="1">
      <protection locked="0"/>
    </xf>
    <xf numFmtId="37" fontId="65" fillId="0" borderId="0" xfId="18" applyNumberFormat="1" applyFont="1" applyFill="1" applyProtection="1"/>
    <xf numFmtId="37" fontId="33" fillId="0" borderId="0" xfId="18" applyNumberFormat="1" applyFont="1" applyFill="1" applyProtection="1"/>
    <xf numFmtId="37" fontId="8" fillId="0" borderId="0" xfId="18" applyNumberFormat="1" applyFont="1" applyFill="1" applyBorder="1" applyProtection="1"/>
    <xf numFmtId="0" fontId="8" fillId="0" borderId="0" xfId="18" applyFont="1" applyFill="1" applyBorder="1"/>
    <xf numFmtId="10" fontId="8" fillId="0" borderId="0" xfId="18" applyNumberFormat="1" applyFont="1" applyFill="1" applyBorder="1" applyProtection="1"/>
    <xf numFmtId="0" fontId="7" fillId="0" borderId="0" xfId="18" quotePrefix="1" applyFont="1" applyFill="1" applyAlignment="1" applyProtection="1">
      <alignment horizontal="left"/>
    </xf>
    <xf numFmtId="0" fontId="8" fillId="0" borderId="0" xfId="52" applyFont="1" applyFill="1" applyAlignment="1" applyProtection="1">
      <alignment horizontal="centerContinuous"/>
      <protection locked="0"/>
    </xf>
    <xf numFmtId="0" fontId="31" fillId="0" borderId="0" xfId="52" applyFont="1" applyFill="1" applyAlignment="1" applyProtection="1">
      <alignment horizontal="left"/>
      <protection locked="0"/>
    </xf>
    <xf numFmtId="0" fontId="8" fillId="0" borderId="0" xfId="52" applyFont="1" applyFill="1" applyAlignment="1" applyProtection="1">
      <alignment horizontal="center"/>
    </xf>
    <xf numFmtId="0" fontId="31" fillId="0" borderId="0" xfId="52" applyFont="1" applyFill="1" applyAlignment="1" applyProtection="1">
      <alignment horizontal="centerContinuous"/>
      <protection locked="0"/>
    </xf>
    <xf numFmtId="0" fontId="8" fillId="0" borderId="7" xfId="52" applyFont="1" applyFill="1" applyBorder="1" applyAlignment="1" applyProtection="1">
      <alignment horizontal="left"/>
    </xf>
    <xf numFmtId="0" fontId="8" fillId="0" borderId="7" xfId="52" applyFont="1" applyFill="1" applyBorder="1"/>
    <xf numFmtId="0" fontId="31" fillId="0" borderId="7" xfId="52" applyFont="1" applyFill="1" applyBorder="1" applyAlignment="1" applyProtection="1">
      <alignment horizontal="centerContinuous"/>
      <protection locked="0"/>
    </xf>
    <xf numFmtId="0" fontId="31" fillId="0" borderId="0" xfId="52" applyFont="1" applyFill="1" applyAlignment="1" applyProtection="1">
      <alignment horizontal="centerContinuous"/>
    </xf>
    <xf numFmtId="0" fontId="8" fillId="0" borderId="0" xfId="52" applyFont="1" applyFill="1" applyProtection="1"/>
    <xf numFmtId="0" fontId="8" fillId="0" borderId="7" xfId="52" applyFont="1" applyFill="1" applyBorder="1" applyAlignment="1" applyProtection="1">
      <alignment horizontal="center"/>
    </xf>
    <xf numFmtId="0" fontId="30" fillId="0" borderId="0" xfId="52" applyFont="1" applyFill="1" applyAlignment="1" applyProtection="1">
      <alignment horizontal="left"/>
    </xf>
    <xf numFmtId="170" fontId="32" fillId="0" borderId="0" xfId="52" applyNumberFormat="1" applyFont="1" applyFill="1" applyProtection="1">
      <protection locked="0"/>
    </xf>
    <xf numFmtId="0" fontId="7" fillId="0" borderId="0" xfId="52" quotePrefix="1" applyFont="1" applyFill="1" applyBorder="1" applyAlignment="1" applyProtection="1">
      <alignment horizontal="left"/>
    </xf>
    <xf numFmtId="0" fontId="8" fillId="0" borderId="0" xfId="52" applyFont="1" applyFill="1" applyBorder="1" applyProtection="1"/>
    <xf numFmtId="0" fontId="8" fillId="0" borderId="0" xfId="52" applyFont="1" applyFill="1" applyBorder="1" applyAlignment="1" applyProtection="1">
      <alignment horizontal="left"/>
    </xf>
    <xf numFmtId="0" fontId="30" fillId="0" borderId="0" xfId="52" applyFont="1" applyFill="1" applyBorder="1" applyAlignment="1" applyProtection="1">
      <alignment horizontal="center"/>
    </xf>
    <xf numFmtId="0" fontId="30" fillId="0" borderId="0" xfId="52" applyFont="1" applyFill="1" applyBorder="1" applyAlignment="1" applyProtection="1">
      <alignment horizontal="left"/>
    </xf>
    <xf numFmtId="0" fontId="30" fillId="0" borderId="0" xfId="52" applyFont="1" applyFill="1" applyBorder="1" applyAlignment="1" applyProtection="1">
      <alignment horizontal="centerContinuous"/>
    </xf>
    <xf numFmtId="0" fontId="22" fillId="0" borderId="0" xfId="52" applyFont="1" applyFill="1" applyBorder="1" applyAlignment="1" applyProtection="1">
      <alignment horizontal="center"/>
    </xf>
    <xf numFmtId="0" fontId="31" fillId="0" borderId="0" xfId="52" applyFont="1" applyFill="1" applyBorder="1" applyProtection="1">
      <protection locked="0"/>
    </xf>
    <xf numFmtId="0" fontId="8" fillId="0" borderId="0" xfId="54" applyFont="1" applyFill="1" applyAlignment="1" applyProtection="1">
      <alignment horizontal="centerContinuous"/>
    </xf>
    <xf numFmtId="0" fontId="8" fillId="0" borderId="0" xfId="54" applyFont="1" applyFill="1" applyAlignment="1" applyProtection="1">
      <alignment horizontal="centerContinuous"/>
      <protection locked="0"/>
    </xf>
    <xf numFmtId="0" fontId="8" fillId="0" borderId="0" xfId="54" applyFont="1" applyFill="1"/>
    <xf numFmtId="0" fontId="31" fillId="0" borderId="0" xfId="54" applyFont="1" applyFill="1" applyAlignment="1" applyProtection="1">
      <alignment horizontal="left"/>
      <protection locked="0"/>
    </xf>
    <xf numFmtId="0" fontId="8" fillId="0" borderId="0" xfId="54" applyFont="1" applyFill="1" applyAlignment="1" applyProtection="1">
      <alignment horizontal="left"/>
    </xf>
    <xf numFmtId="0" fontId="31" fillId="0" borderId="0" xfId="54" applyFont="1" applyFill="1" applyAlignment="1" applyProtection="1">
      <alignment horizontal="centerContinuous"/>
      <protection locked="0"/>
    </xf>
    <xf numFmtId="0" fontId="34" fillId="0" borderId="0" xfId="54" applyFont="1" applyFill="1" applyAlignment="1" applyProtection="1">
      <alignment horizontal="left"/>
      <protection locked="0"/>
    </xf>
    <xf numFmtId="0" fontId="8" fillId="0" borderId="7" xfId="54" applyFont="1" applyFill="1" applyBorder="1" applyAlignment="1" applyProtection="1">
      <alignment horizontal="left"/>
    </xf>
    <xf numFmtId="0" fontId="8" fillId="0" borderId="7" xfId="54" applyFont="1" applyFill="1" applyBorder="1"/>
    <xf numFmtId="0" fontId="31" fillId="0" borderId="7" xfId="54" applyFont="1" applyFill="1" applyBorder="1" applyAlignment="1" applyProtection="1">
      <alignment horizontal="centerContinuous"/>
      <protection locked="0"/>
    </xf>
    <xf numFmtId="0" fontId="8" fillId="0" borderId="0" xfId="54" applyFont="1" applyFill="1" applyAlignment="1" applyProtection="1">
      <alignment horizontal="center"/>
    </xf>
    <xf numFmtId="0" fontId="8" fillId="0" borderId="7" xfId="54" applyFont="1" applyFill="1" applyBorder="1" applyAlignment="1" applyProtection="1">
      <alignment horizontal="center"/>
    </xf>
    <xf numFmtId="0" fontId="30" fillId="0" borderId="0" xfId="54" applyFont="1" applyFill="1" applyAlignment="1" applyProtection="1">
      <alignment horizontal="left"/>
    </xf>
    <xf numFmtId="170" fontId="8" fillId="0" borderId="0" xfId="54" applyNumberFormat="1" applyFont="1" applyFill="1" applyProtection="1">
      <protection locked="0"/>
    </xf>
    <xf numFmtId="170" fontId="30" fillId="0" borderId="0" xfId="54" applyNumberFormat="1" applyFont="1" applyFill="1" applyProtection="1">
      <protection locked="0"/>
    </xf>
    <xf numFmtId="170" fontId="33" fillId="0" borderId="0" xfId="54" applyNumberFormat="1" applyFont="1" applyFill="1" applyProtection="1">
      <protection locked="0"/>
    </xf>
    <xf numFmtId="0" fontId="8" fillId="0" borderId="0" xfId="54" applyFont="1" applyFill="1" applyAlignment="1" applyProtection="1">
      <alignment horizontal="right"/>
    </xf>
    <xf numFmtId="0" fontId="7" fillId="0" borderId="0" xfId="54" quotePrefix="1" applyFont="1" applyFill="1" applyBorder="1" applyAlignment="1" applyProtection="1">
      <alignment horizontal="left"/>
    </xf>
    <xf numFmtId="0" fontId="8" fillId="0" borderId="0" xfId="54" applyFont="1" applyFill="1" applyBorder="1"/>
    <xf numFmtId="0" fontId="7" fillId="0" borderId="0" xfId="14" applyFont="1" applyFill="1" applyAlignment="1">
      <alignment horizontal="center"/>
    </xf>
    <xf numFmtId="166" fontId="8" fillId="0" borderId="7" xfId="23" applyNumberFormat="1" applyFont="1" applyBorder="1"/>
    <xf numFmtId="0" fontId="65" fillId="0" borderId="0" xfId="22" applyFont="1" applyAlignment="1" applyProtection="1">
      <alignment horizontal="centerContinuous"/>
    </xf>
    <xf numFmtId="37" fontId="65" fillId="0" borderId="0" xfId="34" applyNumberFormat="1" applyFont="1" applyAlignment="1" applyProtection="1">
      <alignment horizontal="centerContinuous"/>
    </xf>
    <xf numFmtId="0" fontId="7" fillId="0" borderId="0" xfId="34" applyFont="1" applyAlignment="1" applyProtection="1">
      <alignment horizontal="center"/>
    </xf>
    <xf numFmtId="0" fontId="7" fillId="0" borderId="0" xfId="34" applyFont="1"/>
    <xf numFmtId="0" fontId="8" fillId="0" borderId="0" xfId="20" applyFont="1" applyFill="1" applyAlignment="1" applyProtection="1">
      <alignment horizontal="centerContinuous"/>
    </xf>
    <xf numFmtId="0" fontId="8" fillId="0" borderId="7" xfId="20" applyFont="1" applyFill="1" applyBorder="1" applyAlignment="1" applyProtection="1">
      <alignment horizontal="left"/>
    </xf>
    <xf numFmtId="0" fontId="8" fillId="0" borderId="0" xfId="20" applyFont="1" applyFill="1" applyAlignment="1">
      <alignment horizontal="center"/>
    </xf>
    <xf numFmtId="0" fontId="8" fillId="0" borderId="7" xfId="20" applyFont="1" applyFill="1" applyBorder="1"/>
    <xf numFmtId="0" fontId="8" fillId="0" borderId="0" xfId="10" applyFont="1" applyFill="1" applyAlignment="1" applyProtection="1">
      <alignment horizontal="left" indent="2"/>
    </xf>
    <xf numFmtId="0" fontId="7" fillId="0" borderId="0" xfId="48" applyFont="1" applyFill="1" applyAlignment="1" applyProtection="1">
      <alignment horizontal="left"/>
    </xf>
    <xf numFmtId="0" fontId="51" fillId="0" borderId="0" xfId="0" applyFont="1" applyAlignment="1">
      <alignment horizontal="center"/>
    </xf>
    <xf numFmtId="0" fontId="26" fillId="0" borderId="0" xfId="0" applyFont="1"/>
    <xf numFmtId="0" fontId="30" fillId="0" borderId="0" xfId="29" applyFont="1" applyFill="1" applyAlignment="1" applyProtection="1">
      <alignment horizontal="center"/>
    </xf>
    <xf numFmtId="0" fontId="7" fillId="0" borderId="0" xfId="21" applyFont="1" applyFill="1"/>
    <xf numFmtId="0" fontId="26" fillId="7" borderId="1" xfId="2" applyFont="1" applyFill="1" applyBorder="1" applyAlignment="1">
      <alignment horizontal="centerContinuous"/>
    </xf>
    <xf numFmtId="0" fontId="26" fillId="10" borderId="1" xfId="2" applyFont="1" applyFill="1" applyBorder="1" applyAlignment="1">
      <alignment horizontal="centerContinuous"/>
    </xf>
    <xf numFmtId="37" fontId="71" fillId="0" borderId="0" xfId="0" applyNumberFormat="1" applyFont="1"/>
    <xf numFmtId="0" fontId="3" fillId="0" borderId="0" xfId="0" applyFont="1" applyFill="1"/>
    <xf numFmtId="37" fontId="3" fillId="0" borderId="0" xfId="0" applyNumberFormat="1" applyFont="1" applyFill="1"/>
    <xf numFmtId="0" fontId="64" fillId="0" borderId="0" xfId="8" applyFont="1" applyFill="1"/>
    <xf numFmtId="0" fontId="6" fillId="0" borderId="0" xfId="8" applyFont="1" applyFill="1" applyAlignment="1">
      <alignment horizontal="left"/>
    </xf>
    <xf numFmtId="1" fontId="3" fillId="0" borderId="0" xfId="0" applyNumberFormat="1" applyFont="1" applyFill="1" applyAlignment="1" applyProtection="1">
      <alignment horizontal="left" indent="1"/>
    </xf>
    <xf numFmtId="0" fontId="3" fillId="0" borderId="41" xfId="8" applyFont="1" applyFill="1" applyBorder="1"/>
    <xf numFmtId="0" fontId="3" fillId="0" borderId="41" xfId="8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8" applyFont="1" applyFill="1" applyAlignment="1" applyProtection="1">
      <alignment horizontal="center"/>
    </xf>
    <xf numFmtId="0" fontId="3" fillId="0" borderId="0" xfId="8" applyFont="1" applyFill="1"/>
    <xf numFmtId="37" fontId="3" fillId="0" borderId="0" xfId="8" applyNumberFormat="1" applyFont="1" applyFill="1" applyAlignment="1" applyProtection="1">
      <alignment horizontal="center"/>
    </xf>
    <xf numFmtId="178" fontId="3" fillId="0" borderId="0" xfId="8" applyNumberFormat="1" applyFont="1" applyFill="1" applyAlignment="1" applyProtection="1">
      <alignment horizontal="center"/>
    </xf>
    <xf numFmtId="10" fontId="3" fillId="0" borderId="0" xfId="8" applyNumberFormat="1" applyFont="1" applyFill="1" applyAlignment="1" applyProtection="1">
      <alignment horizontal="center"/>
    </xf>
    <xf numFmtId="0" fontId="3" fillId="0" borderId="0" xfId="8" applyFont="1" applyFill="1" applyAlignment="1" applyProtection="1">
      <alignment horizontal="fill"/>
    </xf>
    <xf numFmtId="0" fontId="3" fillId="0" borderId="41" xfId="8" applyFont="1" applyFill="1" applyBorder="1" applyAlignment="1" applyProtection="1">
      <alignment horizontal="center"/>
    </xf>
    <xf numFmtId="0" fontId="51" fillId="0" borderId="0" xfId="8" applyFont="1" applyFill="1" applyAlignment="1" applyProtection="1">
      <alignment horizontal="left" indent="1"/>
    </xf>
    <xf numFmtId="0" fontId="3" fillId="0" borderId="0" xfId="8" applyFont="1" applyFill="1" applyBorder="1"/>
    <xf numFmtId="0" fontId="3" fillId="0" borderId="0" xfId="7" applyFont="1" applyFill="1"/>
    <xf numFmtId="37" fontId="53" fillId="0" borderId="0" xfId="8" applyNumberFormat="1" applyFont="1" applyFill="1" applyProtection="1">
      <protection locked="0"/>
    </xf>
    <xf numFmtId="183" fontId="3" fillId="0" borderId="0" xfId="1" applyNumberFormat="1" applyFont="1" applyFill="1" applyProtection="1"/>
    <xf numFmtId="37" fontId="3" fillId="0" borderId="0" xfId="8" applyNumberFormat="1" applyFont="1" applyFill="1" applyProtection="1"/>
    <xf numFmtId="0" fontId="3" fillId="0" borderId="0" xfId="8" applyFont="1" applyFill="1" applyAlignment="1">
      <alignment horizontal="left"/>
    </xf>
    <xf numFmtId="0" fontId="3" fillId="0" borderId="0" xfId="8" applyFont="1" applyFill="1" applyAlignment="1" applyProtection="1">
      <alignment horizontal="left"/>
    </xf>
    <xf numFmtId="0" fontId="3" fillId="0" borderId="0" xfId="8" quotePrefix="1" applyFont="1" applyFill="1" applyAlignment="1" applyProtection="1">
      <alignment horizontal="left"/>
    </xf>
    <xf numFmtId="37" fontId="71" fillId="0" borderId="0" xfId="8" applyNumberFormat="1" applyFont="1" applyFill="1" applyProtection="1"/>
    <xf numFmtId="37" fontId="3" fillId="0" borderId="0" xfId="8" applyNumberFormat="1" applyFont="1" applyFill="1" applyBorder="1" applyProtection="1"/>
    <xf numFmtId="37" fontId="3" fillId="0" borderId="9" xfId="8" applyNumberFormat="1" applyFont="1" applyFill="1" applyBorder="1" applyProtection="1"/>
    <xf numFmtId="166" fontId="3" fillId="0" borderId="9" xfId="8" applyNumberFormat="1" applyFont="1" applyFill="1" applyBorder="1" applyProtection="1"/>
    <xf numFmtId="0" fontId="3" fillId="0" borderId="0" xfId="8" applyFont="1" applyAlignment="1" applyProtection="1">
      <alignment horizontal="centerContinuous"/>
    </xf>
    <xf numFmtId="0" fontId="3" fillId="0" borderId="0" xfId="8" applyFont="1" applyAlignment="1">
      <alignment horizontal="centerContinuous"/>
    </xf>
    <xf numFmtId="0" fontId="64" fillId="0" borderId="0" xfId="8" applyFont="1" applyAlignment="1" applyProtection="1">
      <alignment horizontal="centerContinuous"/>
    </xf>
    <xf numFmtId="0" fontId="3" fillId="0" borderId="0" xfId="56" applyFont="1" applyFill="1" applyAlignment="1" applyProtection="1">
      <alignment horizontal="centerContinuous"/>
    </xf>
    <xf numFmtId="0" fontId="3" fillId="0" borderId="0" xfId="55" applyFont="1"/>
    <xf numFmtId="0" fontId="3" fillId="0" borderId="0" xfId="8" applyFont="1"/>
    <xf numFmtId="0" fontId="3" fillId="0" borderId="0" xfId="8" applyFont="1" applyAlignment="1" applyProtection="1">
      <alignment horizontal="left"/>
    </xf>
    <xf numFmtId="0" fontId="3" fillId="0" borderId="0" xfId="56" applyFont="1" applyAlignment="1" applyProtection="1">
      <alignment horizontal="left"/>
    </xf>
    <xf numFmtId="0" fontId="3" fillId="0" borderId="0" xfId="56" applyFont="1" applyFill="1" applyAlignment="1">
      <alignment horizontal="centerContinuous"/>
    </xf>
    <xf numFmtId="0" fontId="3" fillId="0" borderId="0" xfId="56" applyFont="1" applyFill="1" applyAlignment="1">
      <alignment horizontal="left"/>
    </xf>
    <xf numFmtId="0" fontId="3" fillId="0" borderId="0" xfId="56" applyFont="1" applyFill="1"/>
    <xf numFmtId="0" fontId="3" fillId="0" borderId="0" xfId="56" applyFont="1" applyFill="1" applyAlignment="1">
      <alignment horizontal="center"/>
    </xf>
    <xf numFmtId="0" fontId="3" fillId="0" borderId="0" xfId="55" applyFont="1" applyFill="1"/>
    <xf numFmtId="0" fontId="3" fillId="0" borderId="0" xfId="56" applyFont="1" applyFill="1" applyAlignment="1" applyProtection="1">
      <alignment horizontal="left"/>
    </xf>
    <xf numFmtId="0" fontId="3" fillId="0" borderId="0" xfId="56" applyFont="1" applyFill="1" applyProtection="1"/>
    <xf numFmtId="0" fontId="3" fillId="0" borderId="0" xfId="56" applyFont="1" applyFill="1" applyBorder="1"/>
    <xf numFmtId="0" fontId="3" fillId="0" borderId="7" xfId="56" applyFont="1" applyFill="1" applyBorder="1" applyAlignment="1" applyProtection="1">
      <alignment horizontal="fill"/>
    </xf>
    <xf numFmtId="0" fontId="3" fillId="0" borderId="0" xfId="0" applyFont="1" applyFill="1" applyBorder="1"/>
    <xf numFmtId="0" fontId="3" fillId="0" borderId="0" xfId="56" applyFont="1" applyFill="1" applyAlignment="1" applyProtection="1">
      <alignment horizontal="center"/>
    </xf>
    <xf numFmtId="0" fontId="3" fillId="0" borderId="0" xfId="56" applyFont="1" applyFill="1" applyBorder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3" fillId="0" borderId="7" xfId="8" applyFont="1" applyFill="1" applyBorder="1"/>
    <xf numFmtId="0" fontId="3" fillId="0" borderId="7" xfId="56" applyFont="1" applyFill="1" applyBorder="1" applyAlignment="1" applyProtection="1">
      <alignment horizontal="center"/>
    </xf>
    <xf numFmtId="0" fontId="3" fillId="0" borderId="7" xfId="0" applyFont="1" applyFill="1" applyBorder="1" applyAlignment="1" applyProtection="1">
      <alignment horizontal="center"/>
    </xf>
    <xf numFmtId="0" fontId="3" fillId="0" borderId="0" xfId="56" applyFont="1" applyFill="1" applyAlignment="1" applyProtection="1"/>
    <xf numFmtId="37" fontId="53" fillId="0" borderId="0" xfId="56" applyNumberFormat="1" applyFont="1" applyFill="1" applyProtection="1">
      <protection locked="0"/>
    </xf>
    <xf numFmtId="166" fontId="3" fillId="0" borderId="0" xfId="56" applyNumberFormat="1" applyFont="1" applyFill="1" applyProtection="1"/>
    <xf numFmtId="10" fontId="3" fillId="0" borderId="0" xfId="56" applyNumberFormat="1" applyFont="1" applyFill="1" applyProtection="1"/>
    <xf numFmtId="166" fontId="53" fillId="0" borderId="0" xfId="56" applyNumberFormat="1" applyFont="1" applyFill="1" applyProtection="1">
      <protection locked="0"/>
    </xf>
    <xf numFmtId="37" fontId="3" fillId="0" borderId="0" xfId="56" applyNumberFormat="1" applyFont="1" applyFill="1" applyProtection="1">
      <protection locked="0"/>
    </xf>
    <xf numFmtId="166" fontId="3" fillId="0" borderId="0" xfId="56" applyNumberFormat="1" applyFont="1" applyFill="1" applyProtection="1">
      <protection locked="0"/>
    </xf>
    <xf numFmtId="0" fontId="3" fillId="0" borderId="0" xfId="56" applyFont="1" applyFill="1" applyAlignment="1"/>
    <xf numFmtId="37" fontId="3" fillId="0" borderId="0" xfId="56" applyNumberFormat="1" applyFont="1" applyFill="1" applyAlignment="1" applyProtection="1">
      <alignment horizontal="center"/>
    </xf>
    <xf numFmtId="37" fontId="3" fillId="0" borderId="0" xfId="56" applyNumberFormat="1" applyFont="1" applyFill="1" applyProtection="1"/>
    <xf numFmtId="37" fontId="51" fillId="0" borderId="0" xfId="56" applyNumberFormat="1" applyFont="1" applyFill="1" applyProtection="1">
      <protection locked="0"/>
    </xf>
    <xf numFmtId="166" fontId="51" fillId="0" borderId="0" xfId="56" applyNumberFormat="1" applyFont="1" applyFill="1" applyProtection="1"/>
    <xf numFmtId="178" fontId="53" fillId="0" borderId="0" xfId="56" applyNumberFormat="1" applyFont="1" applyFill="1" applyProtection="1">
      <protection locked="0"/>
    </xf>
    <xf numFmtId="166" fontId="3" fillId="0" borderId="0" xfId="56" applyNumberFormat="1" applyFont="1" applyFill="1"/>
    <xf numFmtId="37" fontId="75" fillId="0" borderId="0" xfId="56" applyNumberFormat="1" applyFont="1" applyFill="1" applyProtection="1"/>
    <xf numFmtId="166" fontId="75" fillId="0" borderId="0" xfId="56" applyNumberFormat="1" applyFont="1" applyFill="1" applyProtection="1"/>
    <xf numFmtId="37" fontId="3" fillId="0" borderId="0" xfId="56" applyNumberFormat="1" applyFont="1" applyFill="1" applyAlignment="1" applyProtection="1">
      <alignment horizontal="right"/>
    </xf>
    <xf numFmtId="166" fontId="3" fillId="0" borderId="0" xfId="56" applyNumberFormat="1" applyFont="1" applyFill="1" applyAlignment="1" applyProtection="1">
      <alignment horizontal="right"/>
    </xf>
    <xf numFmtId="178" fontId="3" fillId="0" borderId="0" xfId="56" applyNumberFormat="1" applyFont="1" applyFill="1" applyAlignment="1" applyProtection="1">
      <alignment horizontal="right"/>
    </xf>
    <xf numFmtId="178" fontId="3" fillId="0" borderId="0" xfId="56" applyNumberFormat="1" applyFont="1" applyFill="1" applyProtection="1"/>
    <xf numFmtId="179" fontId="3" fillId="0" borderId="0" xfId="56" applyNumberFormat="1" applyFont="1" applyFill="1" applyProtection="1"/>
    <xf numFmtId="0" fontId="51" fillId="0" borderId="0" xfId="56" applyFont="1" applyFill="1" applyAlignment="1" applyProtection="1"/>
    <xf numFmtId="37" fontId="76" fillId="0" borderId="0" xfId="56" applyNumberFormat="1" applyFont="1" applyFill="1" applyProtection="1">
      <protection locked="0"/>
    </xf>
    <xf numFmtId="37" fontId="51" fillId="0" borderId="0" xfId="56" applyNumberFormat="1" applyFont="1" applyFill="1" applyAlignment="1" applyProtection="1">
      <alignment horizontal="right"/>
    </xf>
    <xf numFmtId="37" fontId="75" fillId="0" borderId="0" xfId="56" applyNumberFormat="1" applyFont="1" applyFill="1" applyAlignment="1" applyProtection="1">
      <alignment horizontal="right"/>
    </xf>
    <xf numFmtId="166" fontId="75" fillId="0" borderId="0" xfId="56" applyNumberFormat="1" applyFont="1" applyFill="1" applyBorder="1"/>
    <xf numFmtId="0" fontId="3" fillId="0" borderId="0" xfId="56" applyFont="1" applyFill="1" applyBorder="1" applyAlignment="1" applyProtection="1">
      <alignment horizontal="left"/>
    </xf>
    <xf numFmtId="0" fontId="3" fillId="0" borderId="0" xfId="23" applyFont="1" applyFill="1"/>
    <xf numFmtId="0" fontId="3" fillId="0" borderId="0" xfId="23" applyFont="1" applyFill="1" applyBorder="1" applyAlignment="1">
      <alignment horizontal="centerContinuous"/>
    </xf>
    <xf numFmtId="0" fontId="51" fillId="0" borderId="0" xfId="56" applyFont="1" applyFill="1" applyBorder="1" applyAlignment="1" applyProtection="1">
      <alignment horizontal="center"/>
    </xf>
    <xf numFmtId="0" fontId="3" fillId="0" borderId="0" xfId="56" applyFont="1" applyFill="1" applyBorder="1" applyAlignment="1" applyProtection="1">
      <alignment horizontal="fill"/>
    </xf>
    <xf numFmtId="37" fontId="3" fillId="0" borderId="0" xfId="56" applyNumberFormat="1" applyFont="1" applyFill="1" applyBorder="1" applyAlignment="1" applyProtection="1">
      <alignment horizontal="right"/>
    </xf>
    <xf numFmtId="0" fontId="3" fillId="0" borderId="0" xfId="8" applyFont="1" applyAlignment="1" applyProtection="1">
      <alignment horizontal="fill"/>
    </xf>
    <xf numFmtId="0" fontId="3" fillId="0" borderId="10" xfId="8" applyFont="1" applyBorder="1"/>
    <xf numFmtId="0" fontId="3" fillId="0" borderId="0" xfId="8" applyFont="1" applyAlignment="1" applyProtection="1">
      <alignment horizontal="center"/>
    </xf>
    <xf numFmtId="37" fontId="3" fillId="0" borderId="0" xfId="8" applyNumberFormat="1" applyFont="1" applyAlignment="1" applyProtection="1">
      <alignment horizontal="center"/>
    </xf>
    <xf numFmtId="178" fontId="3" fillId="0" borderId="0" xfId="8" applyNumberFormat="1" applyFont="1" applyAlignment="1" applyProtection="1">
      <alignment horizontal="center"/>
    </xf>
    <xf numFmtId="0" fontId="3" fillId="0" borderId="10" xfId="8" applyFont="1" applyBorder="1" applyAlignment="1" applyProtection="1">
      <alignment horizontal="center"/>
    </xf>
    <xf numFmtId="0" fontId="3" fillId="0" borderId="0" xfId="8" applyFont="1" applyBorder="1"/>
    <xf numFmtId="166" fontId="3" fillId="0" borderId="0" xfId="62" applyNumberFormat="1" applyFont="1"/>
    <xf numFmtId="183" fontId="3" fillId="0" borderId="0" xfId="1" applyNumberFormat="1" applyFont="1" applyProtection="1"/>
    <xf numFmtId="37" fontId="3" fillId="0" borderId="0" xfId="8" applyNumberFormat="1" applyFont="1"/>
    <xf numFmtId="37" fontId="75" fillId="0" borderId="0" xfId="8" applyNumberFormat="1" applyFont="1" applyProtection="1"/>
    <xf numFmtId="180" fontId="3" fillId="0" borderId="0" xfId="8" applyNumberFormat="1" applyFont="1" applyProtection="1"/>
    <xf numFmtId="37" fontId="3" fillId="0" borderId="9" xfId="8" applyNumberFormat="1" applyFont="1" applyBorder="1" applyProtection="1"/>
    <xf numFmtId="166" fontId="3" fillId="0" borderId="9" xfId="8" applyNumberFormat="1" applyFont="1" applyBorder="1" applyProtection="1"/>
    <xf numFmtId="0" fontId="53" fillId="0" borderId="0" xfId="8" applyFont="1" applyAlignment="1" applyProtection="1">
      <alignment horizontal="centerContinuous"/>
    </xf>
    <xf numFmtId="0" fontId="53" fillId="0" borderId="0" xfId="8" applyFont="1" applyAlignment="1" applyProtection="1">
      <alignment horizontal="left"/>
    </xf>
    <xf numFmtId="175" fontId="3" fillId="0" borderId="0" xfId="8" applyNumberFormat="1" applyFont="1" applyAlignment="1" applyProtection="1">
      <alignment horizontal="centerContinuous"/>
      <protection locked="0"/>
    </xf>
    <xf numFmtId="37" fontId="3" fillId="0" borderId="0" xfId="8" applyNumberFormat="1" applyFont="1" applyAlignment="1" applyProtection="1">
      <alignment horizontal="centerContinuous"/>
    </xf>
    <xf numFmtId="10" fontId="3" fillId="0" borderId="0" xfId="8" applyNumberFormat="1" applyFont="1" applyAlignment="1" applyProtection="1">
      <alignment horizontal="centerContinuous"/>
    </xf>
    <xf numFmtId="0" fontId="3" fillId="0" borderId="0" xfId="8" applyFont="1" applyAlignment="1"/>
    <xf numFmtId="0" fontId="3" fillId="0" borderId="0" xfId="8" applyFont="1" applyProtection="1">
      <protection locked="0"/>
    </xf>
    <xf numFmtId="37" fontId="3" fillId="0" borderId="0" xfId="8" applyNumberFormat="1" applyFont="1" applyProtection="1"/>
    <xf numFmtId="183" fontId="64" fillId="0" borderId="0" xfId="1" applyNumberFormat="1" applyFont="1" applyFill="1" applyProtection="1">
      <protection locked="0"/>
    </xf>
    <xf numFmtId="37" fontId="64" fillId="0" borderId="0" xfId="8" applyNumberFormat="1" applyFont="1" applyFill="1" applyProtection="1">
      <protection locked="0"/>
    </xf>
    <xf numFmtId="183" fontId="3" fillId="0" borderId="0" xfId="8" applyNumberFormat="1" applyFont="1"/>
    <xf numFmtId="175" fontId="3" fillId="0" borderId="0" xfId="8" applyNumberFormat="1" applyFont="1" applyFill="1" applyProtection="1">
      <protection locked="0"/>
    </xf>
    <xf numFmtId="166" fontId="3" fillId="0" borderId="0" xfId="8" applyNumberFormat="1" applyFont="1" applyFill="1" applyAlignment="1" applyProtection="1">
      <alignment horizontal="left"/>
      <protection locked="0"/>
    </xf>
    <xf numFmtId="175" fontId="64" fillId="0" borderId="0" xfId="8" applyNumberFormat="1" applyFont="1" applyFill="1" applyProtection="1">
      <protection locked="0"/>
    </xf>
    <xf numFmtId="10" fontId="3" fillId="0" borderId="0" xfId="8" applyNumberFormat="1" applyFont="1"/>
    <xf numFmtId="166" fontId="3" fillId="0" borderId="0" xfId="62" applyNumberFormat="1" applyFont="1" applyFill="1" applyAlignment="1">
      <alignment horizontal="left"/>
    </xf>
    <xf numFmtId="183" fontId="3" fillId="0" borderId="0" xfId="1" applyNumberFormat="1" applyFont="1" applyFill="1" applyProtection="1">
      <protection locked="0"/>
    </xf>
    <xf numFmtId="183" fontId="3" fillId="0" borderId="8" xfId="1" applyNumberFormat="1" applyFont="1" applyFill="1" applyBorder="1" applyProtection="1"/>
    <xf numFmtId="0" fontId="77" fillId="0" borderId="0" xfId="8" applyFont="1" applyAlignment="1">
      <alignment horizontal="right"/>
    </xf>
    <xf numFmtId="183" fontId="77" fillId="0" borderId="0" xfId="1" applyNumberFormat="1" applyFont="1"/>
    <xf numFmtId="0" fontId="61" fillId="0" borderId="0" xfId="8" applyFont="1"/>
    <xf numFmtId="37" fontId="3" fillId="0" borderId="0" xfId="8" applyNumberFormat="1" applyFont="1" applyAlignment="1" applyProtection="1">
      <alignment horizontal="right"/>
    </xf>
    <xf numFmtId="0" fontId="3" fillId="0" borderId="41" xfId="8" applyFont="1" applyFill="1" applyBorder="1" applyProtection="1">
      <protection locked="0"/>
    </xf>
    <xf numFmtId="166" fontId="71" fillId="0" borderId="0" xfId="62" applyNumberFormat="1" applyFont="1" applyFill="1"/>
    <xf numFmtId="166" fontId="71" fillId="0" borderId="0" xfId="69" applyNumberFormat="1" applyFont="1" applyFill="1" applyAlignment="1" applyProtection="1">
      <alignment horizontal="center"/>
      <protection locked="0"/>
    </xf>
    <xf numFmtId="175" fontId="71" fillId="0" borderId="0" xfId="69" applyNumberFormat="1" applyFont="1" applyFill="1" applyProtection="1">
      <protection locked="0"/>
    </xf>
    <xf numFmtId="37" fontId="71" fillId="0" borderId="0" xfId="8" applyNumberFormat="1" applyFont="1" applyFill="1" applyProtection="1">
      <protection locked="0"/>
    </xf>
    <xf numFmtId="183" fontId="71" fillId="0" borderId="0" xfId="1" applyNumberFormat="1" applyFont="1" applyFill="1" applyProtection="1">
      <protection locked="0"/>
    </xf>
    <xf numFmtId="0" fontId="51" fillId="0" borderId="0" xfId="8" applyFont="1" applyFill="1" applyAlignment="1" applyProtection="1">
      <alignment horizontal="left" indent="1"/>
      <protection locked="0"/>
    </xf>
    <xf numFmtId="0" fontId="71" fillId="0" borderId="0" xfId="8" applyFont="1" applyFill="1" applyAlignment="1" applyProtection="1">
      <alignment horizontal="left"/>
    </xf>
    <xf numFmtId="0" fontId="71" fillId="0" borderId="0" xfId="8" applyFont="1" applyFill="1" applyAlignment="1">
      <alignment horizontal="center"/>
    </xf>
    <xf numFmtId="0" fontId="71" fillId="0" borderId="0" xfId="8" applyFont="1" applyFill="1"/>
    <xf numFmtId="37" fontId="71" fillId="0" borderId="0" xfId="8" applyNumberFormat="1" applyFont="1" applyFill="1"/>
    <xf numFmtId="183" fontId="71" fillId="0" borderId="0" xfId="1" applyNumberFormat="1" applyFont="1" applyFill="1"/>
    <xf numFmtId="175" fontId="71" fillId="0" borderId="0" xfId="8" applyNumberFormat="1" applyFont="1" applyFill="1" applyProtection="1">
      <protection locked="0"/>
    </xf>
    <xf numFmtId="10" fontId="71" fillId="0" borderId="0" xfId="8" applyNumberFormat="1" applyFont="1" applyFill="1"/>
    <xf numFmtId="166" fontId="71" fillId="0" borderId="0" xfId="62" applyNumberFormat="1" applyFont="1" applyFill="1" applyAlignment="1">
      <alignment horizontal="center"/>
    </xf>
    <xf numFmtId="166" fontId="0" fillId="0" borderId="0" xfId="8" applyNumberFormat="1" applyFont="1" applyFill="1" applyAlignment="1" applyProtection="1">
      <alignment horizontal="left"/>
      <protection locked="0"/>
    </xf>
    <xf numFmtId="10" fontId="3" fillId="0" borderId="0" xfId="8" applyNumberFormat="1" applyFont="1" applyFill="1"/>
    <xf numFmtId="166" fontId="3" fillId="0" borderId="0" xfId="62" applyNumberFormat="1" applyFont="1" applyFill="1" applyAlignment="1">
      <alignment horizontal="center"/>
    </xf>
    <xf numFmtId="0" fontId="3" fillId="0" borderId="0" xfId="8" applyFont="1" applyFill="1" applyAlignment="1" applyProtection="1">
      <alignment horizontal="centerContinuous"/>
    </xf>
    <xf numFmtId="0" fontId="53" fillId="0" borderId="0" xfId="8" applyFont="1" applyFill="1" applyAlignment="1" applyProtection="1">
      <alignment horizontal="centerContinuous"/>
    </xf>
    <xf numFmtId="0" fontId="3" fillId="0" borderId="0" xfId="8" applyFont="1" applyFill="1" applyAlignment="1">
      <alignment horizontal="centerContinuous"/>
    </xf>
    <xf numFmtId="175" fontId="3" fillId="0" borderId="0" xfId="8" applyNumberFormat="1" applyFont="1" applyFill="1" applyAlignment="1" applyProtection="1">
      <alignment horizontal="centerContinuous"/>
      <protection locked="0"/>
    </xf>
    <xf numFmtId="37" fontId="3" fillId="0" borderId="0" xfId="8" applyNumberFormat="1" applyFont="1" applyFill="1" applyAlignment="1" applyProtection="1">
      <alignment horizontal="centerContinuous"/>
    </xf>
    <xf numFmtId="10" fontId="3" fillId="0" borderId="0" xfId="8" applyNumberFormat="1" applyFont="1" applyFill="1" applyAlignment="1" applyProtection="1">
      <alignment horizontal="centerContinuous"/>
    </xf>
    <xf numFmtId="0" fontId="3" fillId="0" borderId="0" xfId="8" applyFont="1" applyFill="1" applyAlignment="1"/>
    <xf numFmtId="0" fontId="3" fillId="0" borderId="0" xfId="8" applyFont="1" applyFill="1" applyProtection="1">
      <protection locked="0"/>
    </xf>
    <xf numFmtId="0" fontId="64" fillId="0" borderId="0" xfId="8" applyFont="1" applyFill="1" applyAlignment="1" applyProtection="1">
      <alignment horizontal="left"/>
    </xf>
    <xf numFmtId="0" fontId="77" fillId="0" borderId="0" xfId="8" applyFont="1" applyFill="1" applyAlignment="1">
      <alignment horizontal="right"/>
    </xf>
    <xf numFmtId="183" fontId="77" fillId="0" borderId="0" xfId="1" applyNumberFormat="1" applyFont="1" applyFill="1"/>
    <xf numFmtId="0" fontId="61" fillId="0" borderId="0" xfId="8" applyFont="1" applyFill="1"/>
    <xf numFmtId="37" fontId="3" fillId="0" borderId="0" xfId="8" applyNumberFormat="1" applyFont="1" applyFill="1" applyAlignment="1" applyProtection="1">
      <alignment horizontal="right"/>
    </xf>
    <xf numFmtId="166" fontId="71" fillId="0" borderId="0" xfId="0" applyNumberFormat="1" applyFont="1" applyFill="1" applyAlignment="1" applyProtection="1">
      <alignment horizontal="center"/>
    </xf>
    <xf numFmtId="166" fontId="71" fillId="0" borderId="0" xfId="0" applyNumberFormat="1" applyFont="1" applyFill="1" applyAlignment="1" applyProtection="1">
      <alignment horizontal="left"/>
    </xf>
    <xf numFmtId="0" fontId="71" fillId="0" borderId="0" xfId="8" applyFont="1" applyFill="1" applyBorder="1"/>
    <xf numFmtId="183" fontId="71" fillId="0" borderId="0" xfId="1" applyNumberFormat="1" applyFont="1" applyFill="1" applyBorder="1" applyAlignment="1">
      <alignment horizontal="center" vertical="center"/>
    </xf>
    <xf numFmtId="0" fontId="3" fillId="0" borderId="0" xfId="4" applyFont="1" applyFill="1" applyAlignment="1" applyProtection="1">
      <alignment horizontal="centerContinuous"/>
    </xf>
    <xf numFmtId="183" fontId="3" fillId="0" borderId="0" xfId="1" applyNumberFormat="1" applyFont="1" applyFill="1" applyAlignment="1" applyProtection="1">
      <alignment horizontal="centerContinuous"/>
    </xf>
    <xf numFmtId="0" fontId="3" fillId="0" borderId="0" xfId="4" applyFont="1" applyFill="1"/>
    <xf numFmtId="0" fontId="3" fillId="0" borderId="0" xfId="4" applyFont="1" applyFill="1" applyAlignment="1">
      <alignment horizontal="centerContinuous"/>
    </xf>
    <xf numFmtId="183" fontId="3" fillId="0" borderId="0" xfId="1" applyNumberFormat="1" applyFont="1" applyFill="1" applyAlignment="1">
      <alignment horizontal="centerContinuous"/>
    </xf>
    <xf numFmtId="0" fontId="3" fillId="0" borderId="0" xfId="4" applyFont="1" applyFill="1" applyProtection="1"/>
    <xf numFmtId="0" fontId="3" fillId="0" borderId="0" xfId="4" applyFont="1" applyFill="1" applyAlignment="1" applyProtection="1">
      <alignment horizontal="left"/>
    </xf>
    <xf numFmtId="0" fontId="3" fillId="0" borderId="0" xfId="4" applyFont="1" applyFill="1" applyBorder="1" applyProtection="1"/>
    <xf numFmtId="0" fontId="3" fillId="0" borderId="7" xfId="4" applyFont="1" applyFill="1" applyBorder="1" applyProtection="1"/>
    <xf numFmtId="183" fontId="3" fillId="0" borderId="7" xfId="1" applyNumberFormat="1" applyFont="1" applyFill="1" applyBorder="1" applyProtection="1"/>
    <xf numFmtId="0" fontId="3" fillId="0" borderId="0" xfId="4" applyFont="1" applyFill="1" applyAlignment="1" applyProtection="1">
      <alignment horizontal="center"/>
    </xf>
    <xf numFmtId="183" fontId="3" fillId="0" borderId="0" xfId="1" applyNumberFormat="1" applyFont="1" applyFill="1" applyAlignment="1" applyProtection="1">
      <alignment horizontal="center"/>
    </xf>
    <xf numFmtId="0" fontId="53" fillId="0" borderId="2" xfId="4" applyFont="1" applyFill="1" applyBorder="1" applyAlignment="1" applyProtection="1">
      <alignment horizontal="centerContinuous"/>
    </xf>
    <xf numFmtId="0" fontId="3" fillId="0" borderId="2" xfId="4" applyFont="1" applyFill="1" applyBorder="1" applyAlignment="1" applyProtection="1">
      <alignment horizontal="centerContinuous"/>
    </xf>
    <xf numFmtId="0" fontId="3" fillId="0" borderId="7" xfId="4" applyFont="1" applyFill="1" applyBorder="1" applyAlignment="1" applyProtection="1">
      <alignment horizontal="center"/>
    </xf>
    <xf numFmtId="0" fontId="3" fillId="0" borderId="7" xfId="4" applyFont="1" applyFill="1" applyBorder="1" applyAlignment="1">
      <alignment horizontal="center"/>
    </xf>
    <xf numFmtId="183" fontId="3" fillId="0" borderId="7" xfId="1" applyNumberFormat="1" applyFont="1" applyFill="1" applyBorder="1" applyAlignment="1" applyProtection="1">
      <alignment horizontal="center"/>
    </xf>
    <xf numFmtId="0" fontId="61" fillId="0" borderId="0" xfId="4" applyFont="1" applyFill="1" applyProtection="1"/>
    <xf numFmtId="183" fontId="61" fillId="0" borderId="0" xfId="1" applyNumberFormat="1" applyFont="1" applyFill="1" applyProtection="1"/>
    <xf numFmtId="0" fontId="26" fillId="0" borderId="0" xfId="4" applyFont="1" applyFill="1" applyAlignment="1" applyProtection="1">
      <alignment horizontal="left"/>
    </xf>
    <xf numFmtId="0" fontId="51" fillId="0" borderId="0" xfId="4" quotePrefix="1" applyFont="1" applyFill="1" applyAlignment="1" applyProtection="1">
      <alignment horizontal="left"/>
    </xf>
    <xf numFmtId="0" fontId="3" fillId="0" borderId="0" xfId="4" applyFont="1" applyFill="1" applyBorder="1"/>
    <xf numFmtId="183" fontId="64" fillId="0" borderId="7" xfId="1" applyNumberFormat="1" applyFont="1" applyFill="1" applyBorder="1"/>
    <xf numFmtId="183" fontId="3" fillId="0" borderId="10" xfId="1" applyNumberFormat="1" applyFont="1" applyFill="1" applyBorder="1"/>
    <xf numFmtId="183" fontId="3" fillId="0" borderId="0" xfId="1" applyNumberFormat="1" applyFont="1" applyFill="1" applyBorder="1"/>
    <xf numFmtId="183" fontId="3" fillId="0" borderId="7" xfId="1" applyNumberFormat="1" applyFont="1" applyFill="1" applyBorder="1"/>
    <xf numFmtId="37" fontId="51" fillId="0" borderId="0" xfId="4" quotePrefix="1" applyNumberFormat="1" applyFont="1" applyFill="1" applyAlignment="1" applyProtection="1">
      <alignment horizontal="left"/>
    </xf>
    <xf numFmtId="37" fontId="3" fillId="0" borderId="0" xfId="4" applyNumberFormat="1" applyFont="1" applyFill="1" applyAlignment="1" applyProtection="1">
      <alignment horizontal="left"/>
    </xf>
    <xf numFmtId="183" fontId="53" fillId="0" borderId="7" xfId="1" applyNumberFormat="1" applyFont="1" applyFill="1" applyBorder="1"/>
    <xf numFmtId="0" fontId="53" fillId="0" borderId="0" xfId="4" applyFont="1" applyFill="1"/>
    <xf numFmtId="183" fontId="3" fillId="0" borderId="9" xfId="1" applyNumberFormat="1" applyFont="1" applyFill="1" applyBorder="1"/>
    <xf numFmtId="0" fontId="3" fillId="0" borderId="0" xfId="4" applyFont="1" applyFill="1" applyAlignment="1">
      <alignment horizontal="center"/>
    </xf>
    <xf numFmtId="0" fontId="3" fillId="0" borderId="0" xfId="4" applyFont="1" applyFill="1" applyAlignment="1">
      <alignment horizontal="left"/>
    </xf>
    <xf numFmtId="181" fontId="3" fillId="0" borderId="0" xfId="11" applyFont="1" applyFill="1" applyAlignment="1">
      <alignment horizontal="centerContinuous"/>
    </xf>
    <xf numFmtId="188" fontId="3" fillId="0" borderId="0" xfId="11" applyNumberFormat="1" applyFont="1" applyFill="1" applyAlignment="1">
      <alignment horizontal="centerContinuous"/>
    </xf>
    <xf numFmtId="181" fontId="3" fillId="0" borderId="0" xfId="11" applyFont="1" applyFill="1" applyAlignment="1" applyProtection="1">
      <alignment horizontal="left"/>
    </xf>
    <xf numFmtId="181" fontId="3" fillId="0" borderId="0" xfId="11" applyFont="1" applyFill="1"/>
    <xf numFmtId="188" fontId="3" fillId="0" borderId="0" xfId="11" applyNumberFormat="1" applyFont="1" applyFill="1"/>
    <xf numFmtId="0" fontId="3" fillId="0" borderId="0" xfId="50" applyFont="1" applyFill="1" applyProtection="1"/>
    <xf numFmtId="0" fontId="3" fillId="0" borderId="0" xfId="4" applyFont="1" applyFill="1" applyAlignment="1" applyProtection="1"/>
    <xf numFmtId="182" fontId="3" fillId="0" borderId="0" xfId="1" applyNumberFormat="1" applyFont="1" applyFill="1"/>
    <xf numFmtId="0" fontId="3" fillId="0" borderId="0" xfId="51" applyFont="1" applyFill="1"/>
    <xf numFmtId="0" fontId="3" fillId="0" borderId="7" xfId="4" applyFont="1" applyFill="1" applyBorder="1"/>
    <xf numFmtId="181" fontId="3" fillId="0" borderId="0" xfId="11" applyFont="1" applyFill="1" applyBorder="1" applyAlignment="1">
      <alignment horizontal="centerContinuous"/>
    </xf>
    <xf numFmtId="181" fontId="3" fillId="0" borderId="0" xfId="11" applyFont="1" applyFill="1" applyAlignment="1" applyProtection="1">
      <alignment horizontal="center"/>
    </xf>
    <xf numFmtId="181" fontId="3" fillId="0" borderId="0" xfId="11" applyFont="1" applyFill="1" applyAlignment="1">
      <alignment horizontal="center"/>
    </xf>
    <xf numFmtId="181" fontId="3" fillId="0" borderId="7" xfId="11" applyFont="1" applyFill="1" applyBorder="1" applyAlignment="1" applyProtection="1">
      <alignment horizontal="center"/>
    </xf>
    <xf numFmtId="181" fontId="3" fillId="0" borderId="7" xfId="11" applyNumberFormat="1" applyFont="1" applyFill="1" applyBorder="1" applyAlignment="1" applyProtection="1">
      <alignment horizontal="center"/>
      <protection locked="0"/>
    </xf>
    <xf numFmtId="197" fontId="3" fillId="0" borderId="7" xfId="11" applyNumberFormat="1" applyFont="1" applyFill="1" applyBorder="1" applyAlignment="1" applyProtection="1">
      <alignment horizontal="center"/>
      <protection locked="0"/>
    </xf>
    <xf numFmtId="0" fontId="26" fillId="0" borderId="0" xfId="4" applyFont="1" applyFill="1"/>
    <xf numFmtId="183" fontId="53" fillId="0" borderId="0" xfId="1" applyNumberFormat="1" applyFont="1" applyFill="1"/>
    <xf numFmtId="183" fontId="61" fillId="0" borderId="0" xfId="1" applyNumberFormat="1" applyFont="1" applyFill="1"/>
    <xf numFmtId="172" fontId="3" fillId="0" borderId="0" xfId="1" applyNumberFormat="1" applyFont="1" applyFill="1"/>
    <xf numFmtId="172" fontId="64" fillId="0" borderId="0" xfId="1" applyNumberFormat="1" applyFont="1" applyFill="1"/>
    <xf numFmtId="172" fontId="53" fillId="0" borderId="0" xfId="1" applyNumberFormat="1" applyFont="1" applyFill="1"/>
    <xf numFmtId="0" fontId="3" fillId="0" borderId="0" xfId="4" quotePrefix="1" applyFont="1" applyFill="1" applyAlignment="1">
      <alignment horizontal="left"/>
    </xf>
    <xf numFmtId="172" fontId="3" fillId="0" borderId="7" xfId="1" applyNumberFormat="1" applyFont="1" applyFill="1" applyBorder="1"/>
    <xf numFmtId="172" fontId="3" fillId="0" borderId="2" xfId="1" applyNumberFormat="1" applyFont="1" applyFill="1" applyBorder="1"/>
    <xf numFmtId="0" fontId="78" fillId="0" borderId="0" xfId="4" applyFont="1" applyFill="1"/>
    <xf numFmtId="41" fontId="3" fillId="0" borderId="0" xfId="1" applyNumberFormat="1" applyFont="1" applyFill="1"/>
    <xf numFmtId="41" fontId="53" fillId="0" borderId="0" xfId="1" applyNumberFormat="1" applyFont="1" applyFill="1"/>
    <xf numFmtId="0" fontId="3" fillId="0" borderId="0" xfId="4" quotePrefix="1" applyFont="1" applyFill="1"/>
    <xf numFmtId="2" fontId="3" fillId="0" borderId="0" xfId="1" applyNumberFormat="1" applyFont="1" applyFill="1"/>
    <xf numFmtId="0" fontId="26" fillId="0" borderId="0" xfId="4" applyFont="1" applyFill="1" applyAlignment="1">
      <alignment horizontal="left"/>
    </xf>
    <xf numFmtId="43" fontId="3" fillId="0" borderId="0" xfId="1" applyFont="1" applyFill="1"/>
    <xf numFmtId="43" fontId="53" fillId="0" borderId="0" xfId="1" applyFont="1" applyFill="1"/>
    <xf numFmtId="0" fontId="3" fillId="0" borderId="0" xfId="4" quotePrefix="1" applyFont="1" applyFill="1" applyAlignment="1" applyProtection="1">
      <alignment horizontal="left"/>
    </xf>
    <xf numFmtId="0" fontId="3" fillId="0" borderId="7" xfId="4" applyFont="1" applyFill="1" applyBorder="1" applyAlignment="1" applyProtection="1"/>
    <xf numFmtId="183" fontId="3" fillId="0" borderId="0" xfId="1" applyNumberFormat="1" applyFont="1" applyFill="1" applyBorder="1" applyProtection="1"/>
    <xf numFmtId="43" fontId="74" fillId="0" borderId="0" xfId="1" applyFont="1" applyFill="1"/>
    <xf numFmtId="0" fontId="54" fillId="0" borderId="0" xfId="4" applyFont="1" applyFill="1" applyAlignment="1">
      <alignment horizontal="left"/>
    </xf>
    <xf numFmtId="43" fontId="53" fillId="0" borderId="0" xfId="1" applyFont="1" applyFill="1" applyAlignment="1">
      <alignment horizontal="left"/>
    </xf>
    <xf numFmtId="183" fontId="53" fillId="0" borderId="0" xfId="1" applyNumberFormat="1" applyFont="1" applyFill="1" applyAlignment="1">
      <alignment horizontal="left"/>
    </xf>
    <xf numFmtId="0" fontId="3" fillId="0" borderId="7" xfId="1" applyNumberFormat="1" applyFont="1" applyFill="1" applyBorder="1" applyAlignment="1" applyProtection="1">
      <alignment horizontal="center"/>
    </xf>
    <xf numFmtId="0" fontId="53" fillId="0" borderId="0" xfId="4" quotePrefix="1" applyFont="1" applyFill="1" applyAlignment="1">
      <alignment horizontal="center"/>
    </xf>
    <xf numFmtId="0" fontId="3" fillId="0" borderId="0" xfId="4" applyFont="1" applyFill="1" applyAlignment="1"/>
    <xf numFmtId="0" fontId="53" fillId="0" borderId="0" xfId="4" applyFont="1" applyFill="1" applyAlignment="1"/>
    <xf numFmtId="4" fontId="3" fillId="0" borderId="0" xfId="1" applyNumberFormat="1" applyFont="1" applyFill="1"/>
    <xf numFmtId="2" fontId="64" fillId="0" borderId="0" xfId="4" applyNumberFormat="1" applyFont="1" applyFill="1" applyAlignment="1">
      <alignment horizontal="center"/>
    </xf>
    <xf numFmtId="4" fontId="3" fillId="0" borderId="0" xfId="4" applyNumberFormat="1" applyFont="1" applyFill="1" applyAlignment="1"/>
    <xf numFmtId="0" fontId="53" fillId="0" borderId="0" xfId="4" applyFont="1" applyFill="1" applyAlignment="1">
      <alignment horizontal="right"/>
    </xf>
    <xf numFmtId="4" fontId="53" fillId="0" borderId="0" xfId="4" applyNumberFormat="1" applyFont="1" applyFill="1" applyAlignment="1">
      <alignment horizontal="right"/>
    </xf>
    <xf numFmtId="2" fontId="53" fillId="0" borderId="0" xfId="4" applyNumberFormat="1" applyFont="1" applyFill="1"/>
    <xf numFmtId="39" fontId="53" fillId="0" borderId="0" xfId="4" applyNumberFormat="1" applyFont="1" applyFill="1"/>
    <xf numFmtId="39" fontId="3" fillId="0" borderId="0" xfId="4" applyNumberFormat="1" applyFont="1" applyFill="1"/>
    <xf numFmtId="187" fontId="3" fillId="0" borderId="0" xfId="4" applyNumberFormat="1" applyFont="1" applyFill="1"/>
    <xf numFmtId="187" fontId="3" fillId="0" borderId="2" xfId="4" applyNumberFormat="1" applyFont="1" applyFill="1" applyBorder="1"/>
    <xf numFmtId="10" fontId="53" fillId="0" borderId="0" xfId="1" applyNumberFormat="1" applyFont="1" applyFill="1" applyAlignment="1">
      <alignment horizontal="right"/>
    </xf>
    <xf numFmtId="10" fontId="53" fillId="0" borderId="0" xfId="1" applyNumberFormat="1" applyFont="1" applyFill="1"/>
    <xf numFmtId="10" fontId="53" fillId="0" borderId="0" xfId="4" applyNumberFormat="1" applyFont="1" applyFill="1" applyBorder="1"/>
    <xf numFmtId="181" fontId="3" fillId="0" borderId="0" xfId="11" applyFont="1" applyFill="1" applyAlignment="1" applyProtection="1">
      <alignment horizontal="centerContinuous"/>
    </xf>
    <xf numFmtId="181" fontId="3" fillId="0" borderId="0" xfId="11" applyNumberFormat="1" applyFont="1" applyFill="1" applyAlignment="1" applyProtection="1">
      <alignment horizontal="centerContinuous"/>
      <protection locked="0"/>
    </xf>
    <xf numFmtId="181" fontId="26" fillId="0" borderId="0" xfId="11" applyFont="1" applyFill="1"/>
    <xf numFmtId="181" fontId="3" fillId="0" borderId="0" xfId="11" quotePrefix="1" applyFont="1" applyFill="1" applyAlignment="1">
      <alignment horizontal="center"/>
    </xf>
    <xf numFmtId="181" fontId="3" fillId="0" borderId="7" xfId="11" applyFont="1" applyFill="1" applyBorder="1" applyAlignment="1" applyProtection="1">
      <alignment horizontal="centerContinuous"/>
    </xf>
    <xf numFmtId="181" fontId="3" fillId="0" borderId="7" xfId="11" applyFont="1" applyFill="1" applyBorder="1" applyAlignment="1">
      <alignment horizontal="centerContinuous"/>
    </xf>
    <xf numFmtId="181" fontId="3" fillId="0" borderId="0" xfId="11" applyFont="1" applyFill="1" applyBorder="1"/>
    <xf numFmtId="41" fontId="3" fillId="0" borderId="0" xfId="11" applyNumberFormat="1" applyFont="1" applyFill="1" applyAlignment="1">
      <alignment horizontal="center"/>
    </xf>
    <xf numFmtId="181" fontId="3" fillId="0" borderId="10" xfId="11" applyFont="1" applyFill="1" applyBorder="1" applyAlignment="1">
      <alignment horizontal="center"/>
    </xf>
    <xf numFmtId="41" fontId="3" fillId="0" borderId="7" xfId="11" applyNumberFormat="1" applyFont="1" applyFill="1" applyBorder="1" applyAlignment="1" applyProtection="1">
      <alignment horizontal="center"/>
      <protection locked="0"/>
    </xf>
    <xf numFmtId="181" fontId="53" fillId="0" borderId="7" xfId="11" applyFont="1" applyFill="1" applyBorder="1" applyAlignment="1" applyProtection="1">
      <alignment horizontal="center"/>
    </xf>
    <xf numFmtId="181" fontId="3" fillId="0" borderId="0" xfId="11" applyFont="1" applyFill="1" applyProtection="1"/>
    <xf numFmtId="181" fontId="26" fillId="0" borderId="0" xfId="11" applyFont="1" applyFill="1" applyAlignment="1" applyProtection="1">
      <alignment horizontal="left"/>
    </xf>
    <xf numFmtId="37" fontId="3" fillId="0" borderId="0" xfId="11" applyNumberFormat="1" applyFont="1" applyFill="1" applyProtection="1">
      <protection locked="0"/>
    </xf>
    <xf numFmtId="37" fontId="3" fillId="0" borderId="0" xfId="11" applyNumberFormat="1" applyFont="1" applyFill="1" applyAlignment="1" applyProtection="1">
      <alignment horizontal="left"/>
    </xf>
    <xf numFmtId="37" fontId="3" fillId="0" borderId="0" xfId="11" applyNumberFormat="1" applyFont="1" applyFill="1" applyProtection="1"/>
    <xf numFmtId="193" fontId="3" fillId="0" borderId="0" xfId="11" quotePrefix="1" applyNumberFormat="1" applyFont="1" applyFill="1" applyBorder="1" applyAlignment="1" applyProtection="1">
      <alignment horizontal="right"/>
    </xf>
    <xf numFmtId="41" fontId="3" fillId="0" borderId="0" xfId="11" applyNumberFormat="1" applyFont="1" applyFill="1" applyProtection="1"/>
    <xf numFmtId="181" fontId="3" fillId="0" borderId="0" xfId="11" quotePrefix="1" applyFont="1" applyFill="1" applyAlignment="1" applyProtection="1">
      <alignment horizontal="left"/>
    </xf>
    <xf numFmtId="41" fontId="3" fillId="0" borderId="0" xfId="11" applyNumberFormat="1" applyFont="1" applyFill="1" applyAlignment="1" applyProtection="1">
      <alignment horizontal="left"/>
    </xf>
    <xf numFmtId="41" fontId="3" fillId="0" borderId="0" xfId="11" applyNumberFormat="1" applyFont="1" applyFill="1"/>
    <xf numFmtId="41" fontId="3" fillId="0" borderId="0" xfId="11" applyNumberFormat="1" applyFont="1" applyFill="1" applyAlignment="1">
      <alignment horizontal="centerContinuous"/>
    </xf>
    <xf numFmtId="41" fontId="3" fillId="0" borderId="7" xfId="11" applyNumberFormat="1" applyFont="1" applyFill="1" applyBorder="1" applyAlignment="1" applyProtection="1">
      <alignment horizontal="centerContinuous"/>
    </xf>
    <xf numFmtId="41" fontId="3" fillId="0" borderId="7" xfId="11" applyNumberFormat="1" applyFont="1" applyFill="1" applyBorder="1" applyAlignment="1">
      <alignment horizontal="centerContinuous"/>
    </xf>
    <xf numFmtId="41" fontId="3" fillId="0" borderId="0" xfId="11" applyNumberFormat="1" applyFont="1" applyFill="1" applyBorder="1"/>
    <xf numFmtId="181" fontId="3" fillId="0" borderId="0" xfId="11" applyFont="1" applyFill="1" applyAlignment="1" applyProtection="1">
      <alignment horizontal="right"/>
    </xf>
    <xf numFmtId="0" fontId="3" fillId="0" borderId="0" xfId="17" applyFont="1" applyFill="1"/>
    <xf numFmtId="39" fontId="3" fillId="0" borderId="0" xfId="11" applyNumberFormat="1" applyFont="1" applyFill="1" applyBorder="1" applyProtection="1"/>
    <xf numFmtId="181" fontId="3" fillId="0" borderId="0" xfId="11" applyFont="1" applyFill="1" applyBorder="1" applyAlignment="1" applyProtection="1">
      <alignment horizontal="centerContinuous"/>
    </xf>
    <xf numFmtId="37" fontId="3" fillId="0" borderId="0" xfId="11" applyNumberFormat="1" applyFont="1" applyFill="1"/>
    <xf numFmtId="37" fontId="3" fillId="0" borderId="0" xfId="11" applyNumberFormat="1" applyFont="1" applyFill="1" applyBorder="1" applyProtection="1"/>
    <xf numFmtId="181" fontId="3" fillId="0" borderId="0" xfId="11" quotePrefix="1" applyNumberFormat="1" applyFont="1" applyFill="1" applyBorder="1" applyAlignment="1" applyProtection="1">
      <alignment horizontal="centerContinuous"/>
      <protection locked="0"/>
    </xf>
    <xf numFmtId="181" fontId="3" fillId="0" borderId="0" xfId="11" applyFont="1" applyFill="1" applyBorder="1" applyAlignment="1" applyProtection="1">
      <alignment horizontal="left"/>
    </xf>
    <xf numFmtId="181" fontId="3" fillId="0" borderId="0" xfId="11" quotePrefix="1" applyFont="1" applyFill="1" applyBorder="1" applyAlignment="1" applyProtection="1">
      <alignment horizontal="left"/>
    </xf>
    <xf numFmtId="181" fontId="3" fillId="0" borderId="0" xfId="11" applyFont="1" applyFill="1" applyBorder="1" applyAlignment="1" applyProtection="1">
      <alignment horizontal="center"/>
    </xf>
    <xf numFmtId="181" fontId="3" fillId="0" borderId="0" xfId="11" applyFont="1" applyFill="1" applyBorder="1" applyAlignment="1">
      <alignment horizontal="center"/>
    </xf>
    <xf numFmtId="181" fontId="51" fillId="0" borderId="0" xfId="11" applyFont="1" applyFill="1" applyBorder="1" applyAlignment="1" applyProtection="1">
      <alignment horizontal="centerContinuous"/>
    </xf>
    <xf numFmtId="181" fontId="3" fillId="0" borderId="0" xfId="11" applyFont="1" applyFill="1" applyBorder="1" applyProtection="1"/>
    <xf numFmtId="181" fontId="3" fillId="0" borderId="0" xfId="11" applyNumberFormat="1" applyFont="1" applyFill="1" applyBorder="1" applyAlignment="1" applyProtection="1">
      <alignment horizontal="center"/>
      <protection locked="0"/>
    </xf>
    <xf numFmtId="181" fontId="3" fillId="0" borderId="0" xfId="11" applyFont="1" applyFill="1" applyBorder="1" applyAlignment="1" applyProtection="1">
      <alignment horizontal="fill"/>
    </xf>
    <xf numFmtId="37" fontId="3" fillId="0" borderId="0" xfId="11" applyNumberFormat="1" applyFont="1" applyFill="1" applyBorder="1" applyProtection="1">
      <protection locked="0"/>
    </xf>
    <xf numFmtId="37" fontId="61" fillId="0" borderId="0" xfId="11" applyNumberFormat="1" applyFont="1" applyFill="1" applyBorder="1" applyProtection="1"/>
    <xf numFmtId="37" fontId="3" fillId="0" borderId="0" xfId="11" applyNumberFormat="1" applyFont="1" applyFill="1" applyBorder="1" applyAlignment="1" applyProtection="1">
      <alignment horizontal="left"/>
    </xf>
    <xf numFmtId="37" fontId="3" fillId="0" borderId="0" xfId="11" applyNumberFormat="1" applyFont="1" applyFill="1" applyBorder="1" applyAlignment="1" applyProtection="1">
      <alignment horizontal="left"/>
      <protection locked="0"/>
    </xf>
    <xf numFmtId="181" fontId="3" fillId="0" borderId="0" xfId="11" quotePrefix="1" applyFont="1" applyFill="1" applyBorder="1" applyAlignment="1">
      <alignment horizontal="left"/>
    </xf>
    <xf numFmtId="0" fontId="73" fillId="0" borderId="0" xfId="20" applyNumberFormat="1" applyFont="1" applyAlignment="1" applyProtection="1">
      <alignment horizontal="center"/>
    </xf>
    <xf numFmtId="0" fontId="73" fillId="0" borderId="0" xfId="20" applyNumberFormat="1" applyFont="1" applyProtection="1"/>
    <xf numFmtId="0" fontId="3" fillId="0" borderId="0" xfId="8" applyFont="1" applyFill="1" applyAlignment="1" applyProtection="1"/>
    <xf numFmtId="0" fontId="3" fillId="0" borderId="7" xfId="8" applyFont="1" applyFill="1" applyBorder="1" applyAlignment="1" applyProtection="1">
      <alignment horizontal="centerContinuous"/>
    </xf>
    <xf numFmtId="0" fontId="3" fillId="0" borderId="7" xfId="8" applyFont="1" applyFill="1" applyBorder="1" applyAlignment="1">
      <alignment horizontal="centerContinuous"/>
    </xf>
    <xf numFmtId="0" fontId="3" fillId="0" borderId="7" xfId="8" applyFont="1" applyFill="1" applyBorder="1" applyAlignment="1" applyProtection="1">
      <alignment horizontal="center"/>
    </xf>
    <xf numFmtId="0" fontId="3" fillId="0" borderId="7" xfId="8" applyFont="1" applyFill="1" applyBorder="1" applyAlignment="1" applyProtection="1">
      <alignment horizontal="left"/>
    </xf>
    <xf numFmtId="37" fontId="3" fillId="0" borderId="0" xfId="8" applyNumberFormat="1" applyFont="1" applyFill="1"/>
    <xf numFmtId="37" fontId="3" fillId="0" borderId="0" xfId="8" applyNumberFormat="1" applyFont="1" applyFill="1" applyProtection="1">
      <protection locked="0"/>
    </xf>
    <xf numFmtId="37" fontId="53" fillId="0" borderId="0" xfId="8" applyNumberFormat="1" applyFont="1" applyFill="1" applyBorder="1" applyProtection="1"/>
    <xf numFmtId="37" fontId="3" fillId="0" borderId="0" xfId="8" applyNumberFormat="1" applyFont="1" applyFill="1" applyBorder="1"/>
    <xf numFmtId="0" fontId="53" fillId="0" borderId="0" xfId="8" applyFont="1" applyFill="1" applyBorder="1"/>
    <xf numFmtId="37" fontId="53" fillId="0" borderId="0" xfId="8" applyNumberFormat="1" applyFont="1" applyFill="1" applyBorder="1" applyAlignment="1" applyProtection="1">
      <alignment horizontal="center"/>
    </xf>
    <xf numFmtId="0" fontId="3" fillId="0" borderId="0" xfId="10" applyFont="1" applyFill="1" applyAlignment="1"/>
    <xf numFmtId="0" fontId="3" fillId="0" borderId="0" xfId="8" applyFont="1" applyFill="1" applyProtection="1"/>
    <xf numFmtId="0" fontId="3" fillId="0" borderId="0" xfId="8" quotePrefix="1" applyFont="1" applyFill="1" applyBorder="1"/>
    <xf numFmtId="39" fontId="3" fillId="0" borderId="0" xfId="8" applyNumberFormat="1" applyFont="1" applyFill="1" applyBorder="1"/>
    <xf numFmtId="0" fontId="3" fillId="0" borderId="0" xfId="8" applyFont="1" applyFill="1" applyBorder="1" applyAlignment="1" applyProtection="1">
      <alignment horizontal="center"/>
    </xf>
    <xf numFmtId="165" fontId="3" fillId="0" borderId="0" xfId="8" applyNumberFormat="1" applyFont="1" applyFill="1" applyProtection="1"/>
    <xf numFmtId="37" fontId="53" fillId="0" borderId="0" xfId="8" applyNumberFormat="1" applyFont="1" applyFill="1"/>
    <xf numFmtId="0" fontId="3" fillId="0" borderId="0" xfId="8" applyFont="1" applyFill="1" applyBorder="1" applyAlignment="1">
      <alignment horizontal="centerContinuous"/>
    </xf>
    <xf numFmtId="0" fontId="3" fillId="0" borderId="0" xfId="8" applyFont="1" applyFill="1" applyBorder="1" applyAlignment="1" applyProtection="1">
      <alignment horizontal="centerContinuous"/>
    </xf>
    <xf numFmtId="0" fontId="51" fillId="0" borderId="0" xfId="8" applyFont="1" applyFill="1" applyBorder="1"/>
    <xf numFmtId="37" fontId="51" fillId="0" borderId="0" xfId="8" applyNumberFormat="1" applyFont="1" applyFill="1" applyBorder="1"/>
    <xf numFmtId="0" fontId="51" fillId="0" borderId="0" xfId="8" applyFont="1" applyFill="1" applyBorder="1" applyAlignment="1">
      <alignment horizontal="center"/>
    </xf>
    <xf numFmtId="0" fontId="51" fillId="0" borderId="0" xfId="8" applyFont="1" applyFill="1" applyBorder="1" applyAlignment="1" applyProtection="1">
      <alignment horizontal="center"/>
    </xf>
    <xf numFmtId="0" fontId="51" fillId="0" borderId="0" xfId="8" applyFont="1" applyFill="1" applyAlignment="1">
      <alignment horizontal="center"/>
    </xf>
    <xf numFmtId="197" fontId="51" fillId="0" borderId="0" xfId="8" applyNumberFormat="1" applyFont="1" applyFill="1" applyAlignment="1">
      <alignment horizontal="center"/>
    </xf>
    <xf numFmtId="168" fontId="3" fillId="0" borderId="0" xfId="8" applyNumberFormat="1" applyFont="1" applyFill="1" applyAlignment="1">
      <alignment horizontal="center"/>
    </xf>
    <xf numFmtId="0" fontId="51" fillId="0" borderId="0" xfId="8" applyFont="1" applyFill="1"/>
    <xf numFmtId="0" fontId="3" fillId="0" borderId="0" xfId="8" applyFont="1" applyFill="1" applyAlignment="1">
      <alignment horizontal="left" indent="1"/>
    </xf>
    <xf numFmtId="37" fontId="3" fillId="0" borderId="10" xfId="8" applyNumberFormat="1" applyFont="1" applyFill="1" applyBorder="1"/>
    <xf numFmtId="37" fontId="3" fillId="0" borderId="7" xfId="8" applyNumberFormat="1" applyFont="1" applyFill="1" applyBorder="1"/>
    <xf numFmtId="37" fontId="3" fillId="0" borderId="9" xfId="8" applyNumberFormat="1" applyFont="1" applyFill="1" applyBorder="1"/>
    <xf numFmtId="37" fontId="3" fillId="0" borderId="18" xfId="8" applyNumberFormat="1" applyFont="1" applyFill="1" applyBorder="1"/>
    <xf numFmtId="37" fontId="3" fillId="0" borderId="28" xfId="8" applyNumberFormat="1" applyFont="1" applyFill="1" applyBorder="1"/>
    <xf numFmtId="37" fontId="3" fillId="0" borderId="39" xfId="8" applyNumberFormat="1" applyFont="1" applyFill="1" applyBorder="1"/>
    <xf numFmtId="0" fontId="3" fillId="0" borderId="0" xfId="0" applyFont="1" applyFill="1" applyBorder="1" applyAlignment="1">
      <alignment horizontal="centerContinuous"/>
    </xf>
    <xf numFmtId="0" fontId="3" fillId="0" borderId="0" xfId="0" applyFont="1" applyFill="1" applyBorder="1" applyAlignment="1">
      <alignment horizontal="center"/>
    </xf>
    <xf numFmtId="0" fontId="51" fillId="0" borderId="0" xfId="0" applyFont="1" applyFill="1" applyAlignment="1">
      <alignment horizontal="center"/>
    </xf>
    <xf numFmtId="0" fontId="51" fillId="0" borderId="0" xfId="0" applyFont="1" applyFill="1"/>
    <xf numFmtId="37" fontId="3" fillId="0" borderId="8" xfId="0" applyNumberFormat="1" applyFont="1" applyFill="1" applyBorder="1"/>
    <xf numFmtId="0" fontId="79" fillId="0" borderId="51" xfId="0" applyFont="1" applyFill="1" applyBorder="1" applyAlignment="1">
      <alignment horizontal="center"/>
    </xf>
    <xf numFmtId="0" fontId="0" fillId="0" borderId="0" xfId="0" applyAlignment="1">
      <alignment horizontal="center"/>
    </xf>
    <xf numFmtId="197" fontId="26" fillId="0" borderId="51" xfId="0" quotePrefix="1" applyNumberFormat="1" applyFont="1" applyFill="1" applyBorder="1" applyAlignment="1">
      <alignment horizontal="center"/>
    </xf>
    <xf numFmtId="0" fontId="3" fillId="0" borderId="0" xfId="22" applyFont="1" applyFill="1"/>
    <xf numFmtId="0" fontId="3" fillId="0" borderId="7" xfId="22" applyFont="1" applyFill="1" applyBorder="1" applyAlignment="1">
      <alignment horizontal="centerContinuous"/>
    </xf>
    <xf numFmtId="0" fontId="3" fillId="0" borderId="0" xfId="22" applyFont="1" applyFill="1" applyAlignment="1">
      <alignment horizontal="center"/>
    </xf>
    <xf numFmtId="0" fontId="51" fillId="0" borderId="0" xfId="22" applyFont="1" applyFill="1" applyAlignment="1">
      <alignment horizontal="center"/>
    </xf>
    <xf numFmtId="0" fontId="51" fillId="0" borderId="0" xfId="22" applyFont="1" applyFill="1" applyAlignment="1">
      <alignment horizontal="left" indent="2"/>
    </xf>
    <xf numFmtId="0" fontId="51" fillId="0" borderId="0" xfId="31" applyFont="1" applyFill="1" applyAlignment="1" applyProtection="1">
      <alignment horizontal="left"/>
    </xf>
    <xf numFmtId="0" fontId="3" fillId="0" borderId="0" xfId="31" applyFont="1" applyFill="1"/>
    <xf numFmtId="0" fontId="3" fillId="0" borderId="0" xfId="31" applyFont="1" applyFill="1" applyAlignment="1" applyProtection="1">
      <alignment horizontal="left" indent="1"/>
    </xf>
    <xf numFmtId="42" fontId="3" fillId="0" borderId="0" xfId="22" applyNumberFormat="1" applyFont="1" applyFill="1" applyBorder="1"/>
    <xf numFmtId="0" fontId="3" fillId="0" borderId="0" xfId="22" applyFont="1" applyFill="1" applyBorder="1"/>
    <xf numFmtId="42" fontId="3" fillId="0" borderId="0" xfId="22" applyNumberFormat="1" applyFont="1" applyFill="1"/>
    <xf numFmtId="37" fontId="3" fillId="0" borderId="0" xfId="22" applyNumberFormat="1" applyFont="1" applyFill="1" applyBorder="1"/>
    <xf numFmtId="0" fontId="3" fillId="0" borderId="0" xfId="31" applyFont="1" applyFill="1" applyAlignment="1" applyProtection="1">
      <alignment horizontal="left"/>
    </xf>
    <xf numFmtId="0" fontId="3" fillId="0" borderId="0" xfId="31" applyFont="1" applyFill="1" applyBorder="1"/>
    <xf numFmtId="0" fontId="3" fillId="0" borderId="0" xfId="31" applyFont="1" applyAlignment="1" applyProtection="1">
      <alignment horizontal="centerContinuous"/>
    </xf>
    <xf numFmtId="0" fontId="3" fillId="0" borderId="0" xfId="31" applyFont="1" applyAlignment="1">
      <alignment horizontal="centerContinuous"/>
    </xf>
    <xf numFmtId="0" fontId="3" fillId="0" borderId="0" xfId="31" applyFont="1"/>
    <xf numFmtId="0" fontId="3" fillId="0" borderId="0" xfId="22" applyFont="1" applyAlignment="1" applyProtection="1">
      <alignment horizontal="centerContinuous"/>
    </xf>
    <xf numFmtId="0" fontId="3" fillId="0" borderId="0" xfId="31" applyFont="1" applyProtection="1"/>
    <xf numFmtId="0" fontId="3" fillId="0" borderId="0" xfId="31" quotePrefix="1" applyFont="1" applyAlignment="1" applyProtection="1">
      <alignment horizontal="left"/>
    </xf>
    <xf numFmtId="0" fontId="3" fillId="0" borderId="0" xfId="31" applyFont="1" applyAlignment="1" applyProtection="1">
      <alignment horizontal="left"/>
    </xf>
    <xf numFmtId="0" fontId="3" fillId="0" borderId="7" xfId="31" applyFont="1" applyBorder="1" applyAlignment="1" applyProtection="1">
      <alignment horizontal="fill"/>
    </xf>
    <xf numFmtId="0" fontId="3" fillId="0" borderId="0" xfId="31" applyFont="1" applyAlignment="1" applyProtection="1">
      <alignment horizontal="center"/>
    </xf>
    <xf numFmtId="0" fontId="3" fillId="0" borderId="0" xfId="31" applyFont="1" applyAlignment="1">
      <alignment horizontal="center"/>
    </xf>
    <xf numFmtId="0" fontId="51" fillId="0" borderId="0" xfId="31" applyFont="1" applyAlignment="1">
      <alignment horizontal="center"/>
    </xf>
    <xf numFmtId="0" fontId="3" fillId="0" borderId="0" xfId="31" applyFont="1" applyAlignment="1" applyProtection="1">
      <alignment horizontal="left" indent="1"/>
    </xf>
    <xf numFmtId="42" fontId="3" fillId="0" borderId="0" xfId="22" applyNumberFormat="1" applyFont="1" applyProtection="1"/>
    <xf numFmtId="37" fontId="3" fillId="0" borderId="0" xfId="31" applyNumberFormat="1" applyFont="1"/>
    <xf numFmtId="195" fontId="3" fillId="0" borderId="0" xfId="22" applyNumberFormat="1" applyFont="1" applyBorder="1" applyProtection="1"/>
    <xf numFmtId="195" fontId="3" fillId="0" borderId="7" xfId="22" applyNumberFormat="1" applyFont="1" applyBorder="1" applyProtection="1"/>
    <xf numFmtId="0" fontId="3" fillId="0" borderId="0" xfId="31" applyFont="1" applyAlignment="1" applyProtection="1">
      <alignment horizontal="right"/>
    </xf>
    <xf numFmtId="166" fontId="3" fillId="0" borderId="7" xfId="31" applyNumberFormat="1" applyFont="1" applyBorder="1" applyProtection="1"/>
    <xf numFmtId="196" fontId="3" fillId="0" borderId="9" xfId="22" applyNumberFormat="1" applyFont="1" applyBorder="1" applyProtection="1"/>
    <xf numFmtId="0" fontId="53" fillId="0" borderId="0" xfId="31" applyFont="1" applyAlignment="1" applyProtection="1">
      <alignment horizontal="center"/>
    </xf>
    <xf numFmtId="0" fontId="3" fillId="0" borderId="0" xfId="25" applyFont="1" applyAlignment="1" applyProtection="1">
      <alignment horizontal="left"/>
    </xf>
    <xf numFmtId="0" fontId="3" fillId="0" borderId="0" xfId="25" applyFont="1"/>
    <xf numFmtId="0" fontId="3" fillId="0" borderId="0" xfId="22" applyFont="1"/>
    <xf numFmtId="0" fontId="3" fillId="0" borderId="0" xfId="26" applyFont="1"/>
    <xf numFmtId="0" fontId="3" fillId="0" borderId="0" xfId="22" applyFont="1" applyAlignment="1">
      <alignment horizontal="center"/>
    </xf>
    <xf numFmtId="37" fontId="53" fillId="0" borderId="0" xfId="31" applyNumberFormat="1" applyFont="1"/>
    <xf numFmtId="0" fontId="8" fillId="0" borderId="0" xfId="20" applyNumberFormat="1" applyFont="1" applyFill="1" applyBorder="1" applyAlignment="1" applyProtection="1">
      <alignment horizontal="center"/>
    </xf>
    <xf numFmtId="0" fontId="3" fillId="0" borderId="0" xfId="12" applyFont="1" applyFill="1" applyBorder="1"/>
    <xf numFmtId="0" fontId="3" fillId="0" borderId="0" xfId="13" applyFont="1" applyAlignment="1" applyProtection="1">
      <alignment horizontal="centerContinuous"/>
    </xf>
    <xf numFmtId="0" fontId="3" fillId="0" borderId="0" xfId="12" applyFont="1" applyAlignment="1">
      <alignment horizontal="centerContinuous"/>
    </xf>
    <xf numFmtId="0" fontId="3" fillId="0" borderId="0" xfId="12" applyFont="1"/>
    <xf numFmtId="0" fontId="3" fillId="0" borderId="0" xfId="12" applyFont="1" applyAlignment="1" applyProtection="1">
      <alignment horizontal="centerContinuous"/>
    </xf>
    <xf numFmtId="0" fontId="3" fillId="0" borderId="0" xfId="12" applyFont="1" applyProtection="1"/>
    <xf numFmtId="0" fontId="3" fillId="0" borderId="0" xfId="12" applyFont="1" applyAlignment="1" applyProtection="1">
      <alignment horizontal="left"/>
    </xf>
    <xf numFmtId="0" fontId="3" fillId="0" borderId="7" xfId="12" applyFont="1" applyBorder="1" applyAlignment="1" applyProtection="1">
      <alignment horizontal="fill"/>
    </xf>
    <xf numFmtId="0" fontId="3" fillId="0" borderId="7" xfId="12" applyFont="1" applyBorder="1"/>
    <xf numFmtId="0" fontId="3" fillId="0" borderId="0" xfId="12" applyFont="1" applyAlignment="1" applyProtection="1">
      <alignment horizontal="center"/>
    </xf>
    <xf numFmtId="0" fontId="51" fillId="0" borderId="0" xfId="12" applyFont="1" applyAlignment="1" applyProtection="1">
      <alignment horizontal="centerContinuous"/>
    </xf>
    <xf numFmtId="0" fontId="3" fillId="0" borderId="0" xfId="12" applyFont="1" applyBorder="1" applyAlignment="1">
      <alignment horizontal="centerContinuous"/>
    </xf>
    <xf numFmtId="0" fontId="3" fillId="0" borderId="0" xfId="12" applyFont="1" applyAlignment="1">
      <alignment horizontal="center"/>
    </xf>
    <xf numFmtId="0" fontId="3" fillId="0" borderId="0" xfId="12" applyFont="1" applyAlignment="1" applyProtection="1"/>
    <xf numFmtId="37" fontId="3" fillId="0" borderId="0" xfId="12" applyNumberFormat="1" applyFont="1" applyAlignment="1" applyProtection="1">
      <alignment horizontal="center"/>
    </xf>
    <xf numFmtId="37" fontId="3" fillId="0" borderId="0" xfId="12" applyNumberFormat="1" applyFont="1" applyFill="1" applyProtection="1"/>
    <xf numFmtId="0" fontId="3" fillId="0" borderId="0" xfId="12" applyFont="1" applyFill="1"/>
    <xf numFmtId="37" fontId="3" fillId="0" borderId="0" xfId="12" applyNumberFormat="1" applyFont="1" applyFill="1"/>
    <xf numFmtId="37" fontId="3" fillId="0" borderId="0" xfId="12" applyNumberFormat="1" applyFont="1"/>
    <xf numFmtId="0" fontId="3" fillId="0" borderId="0" xfId="12" applyFont="1" applyAlignment="1"/>
    <xf numFmtId="37" fontId="3" fillId="0" borderId="0" xfId="12" applyNumberFormat="1" applyFont="1" applyProtection="1"/>
    <xf numFmtId="10" fontId="3" fillId="0" borderId="0" xfId="12" applyNumberFormat="1" applyFont="1" applyProtection="1"/>
    <xf numFmtId="166" fontId="3" fillId="0" borderId="0" xfId="12" quotePrefix="1" applyNumberFormat="1" applyFont="1" applyFill="1" applyProtection="1"/>
    <xf numFmtId="166" fontId="3" fillId="0" borderId="0" xfId="12" applyNumberFormat="1" applyFont="1" applyProtection="1"/>
    <xf numFmtId="174" fontId="3" fillId="0" borderId="0" xfId="12" quotePrefix="1" applyNumberFormat="1" applyFont="1" applyFill="1" applyProtection="1"/>
    <xf numFmtId="174" fontId="3" fillId="0" borderId="0" xfId="12" applyNumberFormat="1" applyFont="1" applyProtection="1"/>
    <xf numFmtId="37" fontId="3" fillId="0" borderId="0" xfId="12" applyNumberFormat="1" applyFont="1" applyFill="1" applyAlignment="1" applyProtection="1">
      <alignment horizontal="center"/>
    </xf>
    <xf numFmtId="0" fontId="3" fillId="0" borderId="0" xfId="12" quotePrefix="1" applyFont="1" applyAlignment="1">
      <alignment horizontal="center"/>
    </xf>
    <xf numFmtId="0" fontId="3" fillId="0" borderId="0" xfId="12" applyFont="1" applyBorder="1"/>
    <xf numFmtId="0" fontId="51" fillId="0" borderId="0" xfId="23" applyFont="1" applyFill="1" applyAlignment="1">
      <alignment horizontal="center"/>
    </xf>
    <xf numFmtId="37" fontId="3" fillId="0" borderId="0" xfId="12" applyNumberFormat="1" applyFont="1" applyBorder="1" applyProtection="1"/>
    <xf numFmtId="37" fontId="3" fillId="0" borderId="0" xfId="23" applyNumberFormat="1" applyFont="1" applyFill="1"/>
    <xf numFmtId="10" fontId="3" fillId="0" borderId="0" xfId="12" applyNumberFormat="1" applyFont="1" applyFill="1" applyBorder="1"/>
    <xf numFmtId="0" fontId="3" fillId="0" borderId="0" xfId="12" applyFont="1" applyBorder="1" applyAlignment="1">
      <alignment horizontal="center"/>
    </xf>
    <xf numFmtId="37" fontId="3" fillId="0" borderId="0" xfId="12" applyNumberFormat="1" applyFont="1" applyBorder="1"/>
    <xf numFmtId="10" fontId="3" fillId="0" borderId="0" xfId="12" applyNumberFormat="1" applyFont="1" applyBorder="1" applyProtection="1"/>
    <xf numFmtId="166" fontId="3" fillId="0" borderId="0" xfId="12" applyNumberFormat="1" applyFont="1" applyBorder="1" applyProtection="1"/>
    <xf numFmtId="174" fontId="3" fillId="0" borderId="0" xfId="12" applyNumberFormat="1" applyFont="1" applyFill="1" applyBorder="1" applyProtection="1"/>
    <xf numFmtId="174" fontId="3" fillId="0" borderId="0" xfId="12" applyNumberFormat="1" applyFont="1" applyBorder="1" applyProtection="1"/>
    <xf numFmtId="0" fontId="3" fillId="0" borderId="0" xfId="12" quotePrefix="1" applyFont="1" applyBorder="1" applyAlignment="1">
      <alignment horizontal="center"/>
    </xf>
    <xf numFmtId="0" fontId="3" fillId="0" borderId="0" xfId="23" applyFont="1" applyFill="1" applyBorder="1" applyProtection="1"/>
    <xf numFmtId="0" fontId="3" fillId="0" borderId="0" xfId="23" applyFont="1" applyFill="1" applyBorder="1"/>
    <xf numFmtId="0" fontId="3" fillId="0" borderId="0" xfId="23" applyFont="1" applyFill="1" applyBorder="1" applyAlignment="1" applyProtection="1">
      <alignment horizontal="left"/>
    </xf>
    <xf numFmtId="0" fontId="53" fillId="0" borderId="0" xfId="23" applyFont="1" applyFill="1" applyBorder="1" applyAlignment="1" applyProtection="1">
      <alignment horizontal="left"/>
    </xf>
    <xf numFmtId="0" fontId="3" fillId="0" borderId="0" xfId="23" applyFont="1" applyFill="1" applyBorder="1" applyAlignment="1">
      <alignment horizontal="center"/>
    </xf>
    <xf numFmtId="0" fontId="51" fillId="0" borderId="0" xfId="23" applyFont="1" applyFill="1" applyBorder="1" applyAlignment="1">
      <alignment horizontal="center"/>
    </xf>
    <xf numFmtId="0" fontId="3" fillId="0" borderId="0" xfId="23" quotePrefix="1" applyFont="1" applyFill="1" applyBorder="1" applyAlignment="1">
      <alignment horizontal="center"/>
    </xf>
    <xf numFmtId="37" fontId="3" fillId="0" borderId="0" xfId="23" applyNumberFormat="1" applyFont="1" applyFill="1" applyBorder="1"/>
    <xf numFmtId="166" fontId="3" fillId="0" borderId="0" xfId="23" applyNumberFormat="1" applyFont="1" applyFill="1" applyBorder="1"/>
    <xf numFmtId="10" fontId="3" fillId="0" borderId="0" xfId="23" applyNumberFormat="1" applyFont="1" applyFill="1" applyBorder="1"/>
    <xf numFmtId="37" fontId="51" fillId="0" borderId="0" xfId="23" applyNumberFormat="1" applyFont="1" applyFill="1" applyBorder="1"/>
    <xf numFmtId="37" fontId="75" fillId="0" borderId="0" xfId="23" applyNumberFormat="1" applyFont="1" applyFill="1" applyBorder="1"/>
    <xf numFmtId="0" fontId="3" fillId="0" borderId="0" xfId="23" quotePrefix="1" applyFont="1" applyFill="1" applyBorder="1"/>
    <xf numFmtId="37" fontId="53" fillId="0" borderId="0" xfId="23" applyNumberFormat="1" applyFont="1" applyFill="1" applyBorder="1"/>
    <xf numFmtId="0" fontId="3" fillId="0" borderId="0" xfId="61" applyFont="1" applyFill="1" applyBorder="1" applyProtection="1"/>
    <xf numFmtId="0" fontId="3" fillId="0" borderId="0" xfId="61" applyFont="1" applyFill="1" applyBorder="1"/>
    <xf numFmtId="0" fontId="3" fillId="0" borderId="0" xfId="61" applyFont="1" applyFill="1" applyBorder="1" applyAlignment="1" applyProtection="1">
      <alignment horizontal="left"/>
    </xf>
    <xf numFmtId="37" fontId="3" fillId="0" borderId="0" xfId="8" applyNumberFormat="1" applyFont="1" applyFill="1" applyBorder="1" applyAlignment="1" applyProtection="1">
      <alignment horizontal="center"/>
    </xf>
    <xf numFmtId="166" fontId="3" fillId="0" borderId="0" xfId="8" applyNumberFormat="1" applyFont="1" applyFill="1" applyBorder="1" applyProtection="1"/>
    <xf numFmtId="37" fontId="7" fillId="0" borderId="0" xfId="13" applyNumberFormat="1" applyFont="1" applyAlignment="1" applyProtection="1">
      <alignment horizontal="center"/>
    </xf>
    <xf numFmtId="37" fontId="7" fillId="0" borderId="7" xfId="58" applyNumberFormat="1" applyFont="1" applyFill="1" applyBorder="1" applyAlignment="1" applyProtection="1">
      <alignment horizontal="centerContinuous"/>
    </xf>
    <xf numFmtId="0" fontId="7" fillId="0" borderId="0" xfId="48" applyFont="1" applyFill="1" applyAlignment="1" applyProtection="1">
      <alignment horizontal="center"/>
    </xf>
    <xf numFmtId="0" fontId="7" fillId="0" borderId="0" xfId="48" applyFont="1" applyFill="1"/>
    <xf numFmtId="0" fontId="7" fillId="0" borderId="0" xfId="48" applyFont="1" applyFill="1" applyAlignment="1">
      <alignment horizontal="center"/>
    </xf>
    <xf numFmtId="165" fontId="7" fillId="0" borderId="0" xfId="48" applyNumberFormat="1" applyFont="1" applyFill="1" applyAlignment="1" applyProtection="1">
      <alignment horizontal="center"/>
    </xf>
    <xf numFmtId="37" fontId="7" fillId="0" borderId="0" xfId="48" applyNumberFormat="1" applyFont="1" applyFill="1" applyProtection="1"/>
    <xf numFmtId="37" fontId="7" fillId="0" borderId="0" xfId="48" applyNumberFormat="1" applyFont="1" applyFill="1" applyBorder="1" applyProtection="1"/>
    <xf numFmtId="37" fontId="73" fillId="0" borderId="0" xfId="48" applyNumberFormat="1" applyFont="1" applyFill="1" applyProtection="1"/>
    <xf numFmtId="37" fontId="7" fillId="0" borderId="0" xfId="48" applyNumberFormat="1" applyFont="1" applyFill="1" applyProtection="1">
      <protection locked="0"/>
    </xf>
    <xf numFmtId="0" fontId="3" fillId="0" borderId="0" xfId="49" applyFont="1" applyFill="1"/>
    <xf numFmtId="0" fontId="26" fillId="0" borderId="0" xfId="49" applyFont="1" applyFill="1"/>
    <xf numFmtId="37" fontId="3" fillId="0" borderId="0" xfId="49" applyNumberFormat="1" applyFont="1" applyFill="1" applyProtection="1"/>
    <xf numFmtId="192" fontId="3" fillId="0" borderId="0" xfId="49" applyNumberFormat="1" applyFont="1" applyFill="1" applyProtection="1"/>
    <xf numFmtId="0" fontId="56" fillId="0" borderId="0" xfId="49" applyFont="1" applyFill="1" applyAlignment="1" applyProtection="1">
      <alignment horizontal="centerContinuous"/>
      <protection locked="0"/>
    </xf>
    <xf numFmtId="0" fontId="53" fillId="0" borderId="0" xfId="49" applyFont="1" applyFill="1" applyAlignment="1" applyProtection="1">
      <alignment horizontal="centerContinuous"/>
      <protection locked="0"/>
    </xf>
    <xf numFmtId="0" fontId="3" fillId="0" borderId="0" xfId="49" applyFont="1" applyFill="1" applyAlignment="1">
      <alignment horizontal="centerContinuous"/>
    </xf>
    <xf numFmtId="192" fontId="3" fillId="0" borderId="0" xfId="49" applyNumberFormat="1" applyFont="1" applyFill="1" applyAlignment="1">
      <alignment horizontal="centerContinuous"/>
    </xf>
    <xf numFmtId="0" fontId="3" fillId="0" borderId="0" xfId="49" applyFont="1" applyFill="1" applyAlignment="1" applyProtection="1">
      <alignment horizontal="left"/>
    </xf>
    <xf numFmtId="0" fontId="3" fillId="0" borderId="0" xfId="49" applyFont="1" applyFill="1" applyAlignment="1" applyProtection="1">
      <alignment horizontal="center"/>
    </xf>
    <xf numFmtId="0" fontId="3" fillId="0" borderId="0" xfId="49" applyFont="1" applyFill="1" applyAlignment="1" applyProtection="1">
      <alignment horizontal="right"/>
    </xf>
    <xf numFmtId="192" fontId="53" fillId="0" borderId="0" xfId="49" applyNumberFormat="1" applyFont="1" applyFill="1" applyAlignment="1" applyProtection="1">
      <alignment horizontal="centerContinuous"/>
      <protection locked="0"/>
    </xf>
    <xf numFmtId="0" fontId="53" fillId="0" borderId="0" xfId="49" applyFont="1" applyFill="1" applyProtection="1">
      <protection locked="0"/>
    </xf>
    <xf numFmtId="192" fontId="53" fillId="0" borderId="0" xfId="49" applyNumberFormat="1" applyFont="1" applyFill="1" applyProtection="1">
      <protection locked="0"/>
    </xf>
    <xf numFmtId="37" fontId="3" fillId="0" borderId="0" xfId="49" applyNumberFormat="1" applyFont="1" applyFill="1" applyAlignment="1" applyProtection="1">
      <alignment horizontal="center"/>
    </xf>
    <xf numFmtId="0" fontId="56" fillId="0" borderId="0" xfId="49" applyFont="1" applyFill="1" applyAlignment="1" applyProtection="1">
      <alignment horizontal="left"/>
      <protection locked="0"/>
    </xf>
    <xf numFmtId="192" fontId="3" fillId="0" borderId="0" xfId="49" applyNumberFormat="1" applyFont="1" applyFill="1" applyProtection="1">
      <protection locked="0"/>
    </xf>
    <xf numFmtId="0" fontId="3" fillId="0" borderId="0" xfId="49" applyFont="1" applyFill="1" applyAlignment="1" applyProtection="1">
      <alignment horizontal="fill"/>
    </xf>
    <xf numFmtId="192" fontId="25" fillId="0" borderId="0" xfId="49" applyNumberFormat="1" applyFont="1" applyFill="1" applyProtection="1">
      <protection locked="0"/>
    </xf>
    <xf numFmtId="178" fontId="3" fillId="0" borderId="0" xfId="49" applyNumberFormat="1" applyFont="1" applyFill="1" applyProtection="1"/>
    <xf numFmtId="37" fontId="53" fillId="0" borderId="0" xfId="49" applyNumberFormat="1" applyFont="1" applyFill="1" applyProtection="1">
      <protection locked="0"/>
    </xf>
    <xf numFmtId="0" fontId="3" fillId="0" borderId="0" xfId="49" applyFont="1" applyFill="1" applyAlignment="1" applyProtection="1">
      <alignment horizontal="left"/>
      <protection locked="0"/>
    </xf>
    <xf numFmtId="0" fontId="53" fillId="0" borderId="0" xfId="49" applyFont="1" applyFill="1" applyBorder="1" applyProtection="1">
      <protection locked="0"/>
    </xf>
    <xf numFmtId="192" fontId="53" fillId="0" borderId="0" xfId="49" applyNumberFormat="1" applyFont="1" applyFill="1" applyBorder="1" applyProtection="1">
      <protection locked="0"/>
    </xf>
    <xf numFmtId="0" fontId="3" fillId="0" borderId="0" xfId="49" applyFont="1" applyFill="1" applyBorder="1" applyAlignment="1" applyProtection="1">
      <alignment horizontal="centerContinuous"/>
    </xf>
    <xf numFmtId="192" fontId="51" fillId="0" borderId="0" xfId="49" applyNumberFormat="1" applyFont="1" applyFill="1" applyBorder="1" applyAlignment="1" applyProtection="1">
      <alignment horizontal="centerContinuous"/>
    </xf>
    <xf numFmtId="0" fontId="51" fillId="0" borderId="0" xfId="49" applyFont="1" applyFill="1" applyBorder="1" applyAlignment="1">
      <alignment horizontal="centerContinuous"/>
    </xf>
    <xf numFmtId="0" fontId="3" fillId="0" borderId="0" xfId="49" applyFont="1" applyFill="1" applyBorder="1" applyAlignment="1" applyProtection="1">
      <alignment horizontal="fill"/>
    </xf>
    <xf numFmtId="192" fontId="3" fillId="0" borderId="0" xfId="49" applyNumberFormat="1" applyFont="1" applyFill="1" applyAlignment="1" applyProtection="1">
      <alignment horizontal="center"/>
    </xf>
    <xf numFmtId="168" fontId="3" fillId="0" borderId="0" xfId="49" applyNumberFormat="1" applyFont="1" applyFill="1" applyProtection="1"/>
    <xf numFmtId="0" fontId="51" fillId="0" borderId="0" xfId="49" applyFont="1" applyFill="1" applyAlignment="1" applyProtection="1">
      <alignment horizontal="center"/>
    </xf>
    <xf numFmtId="0" fontId="51" fillId="0" borderId="0" xfId="49" applyFont="1" applyFill="1" applyAlignment="1" applyProtection="1">
      <alignment horizontal="left"/>
    </xf>
    <xf numFmtId="0" fontId="80" fillId="0" borderId="0" xfId="49" applyFont="1" applyFill="1" applyBorder="1" applyAlignment="1" applyProtection="1">
      <alignment horizontal="center"/>
    </xf>
    <xf numFmtId="192" fontId="81" fillId="0" borderId="0" xfId="49" applyNumberFormat="1" applyFont="1" applyFill="1" applyAlignment="1" applyProtection="1">
      <alignment horizontal="center"/>
      <protection locked="0"/>
    </xf>
    <xf numFmtId="0" fontId="26" fillId="0" borderId="0" xfId="49" applyFont="1" applyFill="1" applyAlignment="1" applyProtection="1">
      <alignment horizontal="left"/>
    </xf>
    <xf numFmtId="37" fontId="3" fillId="0" borderId="0" xfId="49" applyNumberFormat="1" applyFont="1" applyFill="1" applyBorder="1" applyProtection="1"/>
    <xf numFmtId="192" fontId="3" fillId="0" borderId="0" xfId="49" applyNumberFormat="1" applyFont="1" applyFill="1"/>
    <xf numFmtId="192" fontId="3" fillId="0" borderId="0" xfId="49" applyNumberFormat="1" applyFont="1" applyFill="1" applyAlignment="1" applyProtection="1"/>
    <xf numFmtId="37" fontId="3" fillId="0" borderId="8" xfId="49" applyNumberFormat="1" applyFont="1" applyFill="1" applyBorder="1" applyAlignment="1" applyProtection="1"/>
    <xf numFmtId="0" fontId="3" fillId="0" borderId="0" xfId="49" applyFont="1" applyFill="1" applyBorder="1" applyAlignment="1" applyProtection="1">
      <alignment horizontal="right"/>
    </xf>
    <xf numFmtId="192" fontId="3" fillId="0" borderId="0" xfId="49" applyNumberFormat="1" applyFont="1" applyFill="1" applyAlignment="1" applyProtection="1">
      <alignment horizontal="right"/>
    </xf>
    <xf numFmtId="0" fontId="3" fillId="0" borderId="0" xfId="49" applyFont="1" applyFill="1" applyBorder="1"/>
    <xf numFmtId="178" fontId="3" fillId="0" borderId="0" xfId="49" applyNumberFormat="1" applyFont="1" applyFill="1" applyBorder="1" applyProtection="1"/>
    <xf numFmtId="0" fontId="3" fillId="0" borderId="0" xfId="48" applyFont="1" applyFill="1" applyAlignment="1" applyProtection="1">
      <alignment horizontal="center"/>
    </xf>
    <xf numFmtId="0" fontId="3" fillId="0" borderId="0" xfId="48" applyFont="1" applyFill="1"/>
    <xf numFmtId="0" fontId="3" fillId="0" borderId="0" xfId="48" applyFont="1" applyFill="1" applyBorder="1" applyAlignment="1" applyProtection="1">
      <alignment horizontal="left"/>
    </xf>
    <xf numFmtId="37" fontId="3" fillId="0" borderId="0" xfId="48" applyNumberFormat="1" applyFont="1" applyFill="1" applyBorder="1" applyProtection="1">
      <protection locked="0"/>
    </xf>
    <xf numFmtId="37" fontId="3" fillId="0" borderId="0" xfId="48" applyNumberFormat="1" applyFont="1" applyFill="1" applyProtection="1">
      <protection locked="0"/>
    </xf>
    <xf numFmtId="0" fontId="3" fillId="0" borderId="0" xfId="48" quotePrefix="1" applyFont="1" applyFill="1"/>
    <xf numFmtId="0" fontId="3" fillId="0" borderId="0" xfId="48" applyFont="1" applyAlignment="1" applyProtection="1">
      <alignment horizontal="centerContinuous"/>
    </xf>
    <xf numFmtId="0" fontId="3" fillId="0" borderId="0" xfId="48" applyFont="1" applyAlignment="1">
      <alignment horizontal="centerContinuous"/>
    </xf>
    <xf numFmtId="0" fontId="3" fillId="0" borderId="0" xfId="48" quotePrefix="1" applyFont="1" applyAlignment="1" applyProtection="1">
      <alignment horizontal="centerContinuous"/>
    </xf>
    <xf numFmtId="0" fontId="3" fillId="0" borderId="0" xfId="48" applyFont="1" applyBorder="1"/>
    <xf numFmtId="0" fontId="3" fillId="0" borderId="0" xfId="48" applyFont="1"/>
    <xf numFmtId="186" fontId="3" fillId="0" borderId="0" xfId="48" applyNumberFormat="1" applyFont="1" applyBorder="1"/>
    <xf numFmtId="0" fontId="3" fillId="0" borderId="0" xfId="48" quotePrefix="1" applyFont="1" applyAlignment="1" applyProtection="1">
      <alignment horizontal="left"/>
    </xf>
    <xf numFmtId="0" fontId="3" fillId="0" borderId="0" xfId="48" applyFont="1" applyProtection="1"/>
    <xf numFmtId="0" fontId="3" fillId="0" borderId="0" xfId="48" applyFont="1" applyAlignment="1" applyProtection="1">
      <alignment horizontal="left"/>
    </xf>
    <xf numFmtId="0" fontId="3" fillId="0" borderId="7" xfId="48" applyFont="1" applyBorder="1" applyAlignment="1" applyProtection="1">
      <alignment horizontal="fill"/>
    </xf>
    <xf numFmtId="0" fontId="3" fillId="0" borderId="0" xfId="48" applyFont="1" applyBorder="1" applyAlignment="1" applyProtection="1">
      <alignment horizontal="fill"/>
    </xf>
    <xf numFmtId="0" fontId="3" fillId="0" borderId="0" xfId="48" applyFont="1" applyAlignment="1" applyProtection="1">
      <alignment horizontal="center"/>
    </xf>
    <xf numFmtId="0" fontId="3" fillId="0" borderId="0" xfId="48" applyFont="1" applyBorder="1" applyAlignment="1" applyProtection="1">
      <alignment horizontal="center"/>
    </xf>
    <xf numFmtId="37" fontId="3" fillId="0" borderId="0" xfId="48" applyNumberFormat="1" applyFont="1" applyBorder="1" applyProtection="1"/>
    <xf numFmtId="0" fontId="53" fillId="0" borderId="0" xfId="48" applyFont="1" applyAlignment="1" applyProtection="1">
      <alignment horizontal="center"/>
    </xf>
    <xf numFmtId="0" fontId="56" fillId="0" borderId="10" xfId="57" applyFont="1" applyFill="1" applyBorder="1"/>
    <xf numFmtId="0" fontId="3" fillId="0" borderId="10" xfId="57" applyFont="1" applyFill="1" applyBorder="1" applyAlignment="1" applyProtection="1">
      <alignment horizontal="center"/>
    </xf>
    <xf numFmtId="0" fontId="3" fillId="0" borderId="10" xfId="57" quotePrefix="1" applyFont="1" applyFill="1" applyBorder="1" applyAlignment="1" applyProtection="1">
      <alignment horizontal="center"/>
    </xf>
    <xf numFmtId="37" fontId="56" fillId="0" borderId="10" xfId="57" applyNumberFormat="1" applyFont="1" applyFill="1" applyBorder="1" applyProtection="1"/>
    <xf numFmtId="10" fontId="56" fillId="0" borderId="10" xfId="57" applyNumberFormat="1" applyFont="1" applyFill="1" applyBorder="1" applyProtection="1"/>
    <xf numFmtId="0" fontId="56" fillId="0" borderId="0" xfId="57" applyFont="1" applyFill="1" applyBorder="1"/>
    <xf numFmtId="0" fontId="3" fillId="0" borderId="0" xfId="57" applyFont="1" applyFill="1" applyBorder="1" applyAlignment="1" applyProtection="1">
      <alignment horizontal="center"/>
    </xf>
    <xf numFmtId="0" fontId="3" fillId="0" borderId="0" xfId="57" quotePrefix="1" applyFont="1" applyFill="1" applyBorder="1" applyAlignment="1">
      <alignment horizontal="center"/>
    </xf>
    <xf numFmtId="10" fontId="56" fillId="0" borderId="0" xfId="57" applyNumberFormat="1" applyFont="1" applyFill="1" applyBorder="1" applyProtection="1"/>
    <xf numFmtId="37" fontId="56" fillId="0" borderId="0" xfId="57" applyNumberFormat="1" applyFont="1" applyFill="1" applyBorder="1" applyProtection="1"/>
    <xf numFmtId="10" fontId="56" fillId="0" borderId="10" xfId="57" applyNumberFormat="1" applyFont="1" applyFill="1" applyBorder="1"/>
    <xf numFmtId="0" fontId="56" fillId="0" borderId="10" xfId="57" applyFont="1" applyFill="1" applyBorder="1" applyAlignment="1" applyProtection="1">
      <alignment horizontal="center"/>
    </xf>
    <xf numFmtId="0" fontId="56" fillId="0" borderId="10" xfId="57" quotePrefix="1" applyFont="1" applyFill="1" applyBorder="1" applyAlignment="1" applyProtection="1">
      <alignment horizontal="center"/>
    </xf>
    <xf numFmtId="0" fontId="56" fillId="0" borderId="0" xfId="57" applyFont="1" applyFill="1" applyBorder="1" applyAlignment="1" applyProtection="1">
      <alignment horizontal="center"/>
    </xf>
    <xf numFmtId="10" fontId="56" fillId="0" borderId="0" xfId="57" applyNumberFormat="1" applyFont="1" applyFill="1" applyBorder="1"/>
    <xf numFmtId="37" fontId="3" fillId="0" borderId="0" xfId="0" applyNumberFormat="1" applyFont="1" applyFill="1" applyProtection="1"/>
    <xf numFmtId="37" fontId="56" fillId="0" borderId="10" xfId="57" applyNumberFormat="1" applyFont="1" applyFill="1" applyBorder="1" applyAlignment="1" applyProtection="1">
      <alignment horizontal="center"/>
    </xf>
    <xf numFmtId="37" fontId="56" fillId="0" borderId="0" xfId="57" applyNumberFormat="1" applyFont="1" applyFill="1" applyBorder="1" applyAlignment="1" applyProtection="1">
      <alignment horizontal="center"/>
    </xf>
    <xf numFmtId="183" fontId="71" fillId="0" borderId="7" xfId="1" quotePrefix="1" applyNumberFormat="1" applyFont="1" applyFill="1" applyBorder="1" applyAlignment="1">
      <alignment horizontal="center"/>
    </xf>
    <xf numFmtId="183" fontId="71" fillId="0" borderId="0" xfId="1" applyNumberFormat="1" applyFont="1" applyFill="1" applyAlignment="1">
      <alignment horizontal="center"/>
    </xf>
    <xf numFmtId="183" fontId="0" fillId="0" borderId="7" xfId="0" quotePrefix="1" applyNumberFormat="1" applyFill="1" applyBorder="1" applyAlignment="1">
      <alignment horizontal="center"/>
    </xf>
    <xf numFmtId="0" fontId="71" fillId="0" borderId="7" xfId="0" applyFont="1" applyFill="1" applyBorder="1" applyAlignment="1">
      <alignment horizontal="center"/>
    </xf>
    <xf numFmtId="0" fontId="71" fillId="0" borderId="7" xfId="0" quotePrefix="1" applyFont="1" applyFill="1" applyBorder="1" applyAlignment="1">
      <alignment horizontal="center"/>
    </xf>
    <xf numFmtId="43" fontId="71" fillId="0" borderId="0" xfId="1" applyFont="1" applyFill="1" applyAlignment="1">
      <alignment horizontal="center"/>
    </xf>
    <xf numFmtId="183" fontId="71" fillId="0" borderId="0" xfId="0" applyNumberFormat="1" applyFont="1" applyFill="1" applyBorder="1"/>
    <xf numFmtId="2" fontId="56" fillId="0" borderId="10" xfId="57" applyNumberFormat="1" applyFont="1" applyFill="1" applyBorder="1"/>
    <xf numFmtId="37" fontId="56" fillId="0" borderId="10" xfId="57" applyNumberFormat="1" applyFont="1" applyFill="1" applyBorder="1" applyAlignment="1" applyProtection="1">
      <alignment horizontal="centerContinuous"/>
    </xf>
    <xf numFmtId="1" fontId="56" fillId="0" borderId="10" xfId="57" applyNumberFormat="1" applyFont="1" applyFill="1" applyBorder="1" applyAlignment="1" applyProtection="1">
      <alignment horizontal="centerContinuous"/>
    </xf>
    <xf numFmtId="2" fontId="56" fillId="0" borderId="10" xfId="57" applyNumberFormat="1" applyFont="1" applyFill="1" applyBorder="1" applyAlignment="1" applyProtection="1">
      <alignment horizontal="centerContinuous"/>
    </xf>
    <xf numFmtId="37" fontId="56" fillId="0" borderId="10" xfId="57" applyNumberFormat="1" applyFont="1" applyFill="1" applyBorder="1"/>
    <xf numFmtId="1" fontId="56" fillId="0" borderId="10" xfId="57" applyNumberFormat="1" applyFont="1" applyFill="1" applyBorder="1"/>
    <xf numFmtId="10" fontId="7" fillId="0" borderId="0" xfId="57" applyNumberFormat="1" applyFont="1" applyFill="1" applyProtection="1"/>
    <xf numFmtId="0" fontId="7" fillId="0" borderId="0" xfId="14" applyFont="1" applyFill="1" applyAlignment="1">
      <alignment horizontal="left" indent="2"/>
    </xf>
    <xf numFmtId="0" fontId="3" fillId="0" borderId="0" xfId="61" applyFont="1" applyFill="1" applyProtection="1"/>
    <xf numFmtId="0" fontId="3" fillId="0" borderId="0" xfId="61" applyFont="1" applyFill="1"/>
    <xf numFmtId="0" fontId="3" fillId="0" borderId="0" xfId="61" applyFont="1" applyFill="1" applyAlignment="1" applyProtection="1">
      <alignment horizontal="left"/>
    </xf>
    <xf numFmtId="0" fontId="3" fillId="0" borderId="0" xfId="61" applyFont="1" applyFill="1" applyAlignment="1">
      <alignment horizontal="centerContinuous"/>
    </xf>
    <xf numFmtId="0" fontId="71" fillId="0" borderId="0" xfId="61" applyFont="1" applyFill="1" applyAlignment="1" applyProtection="1">
      <alignment horizontal="left"/>
    </xf>
    <xf numFmtId="167" fontId="3" fillId="0" borderId="0" xfId="61" applyNumberFormat="1" applyFont="1" applyFill="1" applyProtection="1"/>
    <xf numFmtId="0" fontId="3" fillId="0" borderId="0" xfId="61" applyFont="1" applyFill="1" applyAlignment="1" applyProtection="1">
      <alignment horizontal="center"/>
    </xf>
    <xf numFmtId="0" fontId="3" fillId="0" borderId="7" xfId="61" applyFont="1" applyFill="1" applyBorder="1" applyAlignment="1" applyProtection="1">
      <alignment horizontal="centerContinuous"/>
    </xf>
    <xf numFmtId="0" fontId="3" fillId="0" borderId="7" xfId="61" applyFont="1" applyFill="1" applyBorder="1" applyAlignment="1">
      <alignment horizontal="centerContinuous"/>
    </xf>
    <xf numFmtId="0" fontId="51" fillId="0" borderId="0" xfId="61" applyFont="1" applyFill="1" applyAlignment="1" applyProtection="1">
      <alignment horizontal="center"/>
    </xf>
    <xf numFmtId="0" fontId="51" fillId="0" borderId="0" xfId="61" applyFont="1" applyFill="1" applyAlignment="1" applyProtection="1">
      <alignment horizontal="left"/>
    </xf>
    <xf numFmtId="0" fontId="3" fillId="0" borderId="0" xfId="61" applyFont="1" applyFill="1" applyAlignment="1" applyProtection="1">
      <alignment horizontal="right"/>
    </xf>
    <xf numFmtId="0" fontId="3" fillId="0" borderId="0" xfId="61" applyFont="1" applyFill="1" applyAlignment="1" applyProtection="1">
      <alignment horizontal="fill"/>
    </xf>
    <xf numFmtId="0" fontId="51" fillId="0" borderId="0" xfId="61" applyFont="1" applyFill="1"/>
    <xf numFmtId="37" fontId="3" fillId="0" borderId="0" xfId="61" applyNumberFormat="1" applyFont="1" applyFill="1" applyAlignment="1" applyProtection="1">
      <alignment horizontal="center"/>
    </xf>
    <xf numFmtId="37" fontId="3" fillId="0" borderId="0" xfId="61" applyNumberFormat="1" applyFont="1" applyFill="1" applyProtection="1"/>
    <xf numFmtId="37" fontId="3" fillId="0" borderId="7" xfId="61" applyNumberFormat="1" applyFont="1" applyFill="1" applyBorder="1" applyProtection="1"/>
    <xf numFmtId="37" fontId="3" fillId="0" borderId="0" xfId="61" applyNumberFormat="1" applyFont="1" applyFill="1" applyAlignment="1" applyProtection="1">
      <alignment horizontal="fill"/>
    </xf>
    <xf numFmtId="37" fontId="3" fillId="0" borderId="9" xfId="61" applyNumberFormat="1" applyFont="1" applyFill="1" applyBorder="1" applyProtection="1"/>
    <xf numFmtId="37" fontId="3" fillId="0" borderId="0" xfId="61" applyNumberFormat="1" applyFont="1" applyFill="1" applyBorder="1" applyProtection="1"/>
    <xf numFmtId="0" fontId="3" fillId="0" borderId="0" xfId="61" quotePrefix="1" applyFont="1" applyFill="1" applyAlignment="1" applyProtection="1">
      <alignment horizontal="left"/>
    </xf>
    <xf numFmtId="0" fontId="3" fillId="0" borderId="0" xfId="61" applyFont="1" applyFill="1" applyAlignment="1">
      <alignment horizontal="center"/>
    </xf>
    <xf numFmtId="0" fontId="25" fillId="0" borderId="0" xfId="61" applyFont="1" applyFill="1" applyAlignment="1">
      <alignment horizontal="center"/>
    </xf>
    <xf numFmtId="0" fontId="53" fillId="0" borderId="0" xfId="61" applyFont="1" applyFill="1"/>
    <xf numFmtId="37" fontId="64" fillId="0" borderId="7" xfId="61" applyNumberFormat="1" applyFont="1" applyFill="1" applyBorder="1" applyProtection="1"/>
    <xf numFmtId="37" fontId="53" fillId="0" borderId="0" xfId="61" applyNumberFormat="1" applyFont="1" applyFill="1" applyAlignment="1" applyProtection="1">
      <alignment horizontal="center"/>
    </xf>
    <xf numFmtId="37" fontId="3" fillId="0" borderId="0" xfId="61" applyNumberFormat="1" applyFont="1" applyFill="1" applyBorder="1" applyAlignment="1" applyProtection="1">
      <alignment horizontal="center"/>
    </xf>
    <xf numFmtId="167" fontId="3" fillId="0" borderId="0" xfId="8" applyNumberFormat="1" applyFont="1" applyFill="1" applyProtection="1"/>
    <xf numFmtId="0" fontId="51" fillId="0" borderId="0" xfId="8" applyFont="1" applyFill="1" applyAlignment="1" applyProtection="1">
      <alignment horizontal="center"/>
    </xf>
    <xf numFmtId="0" fontId="81" fillId="0" borderId="0" xfId="8" applyFont="1" applyFill="1" applyAlignment="1" applyProtection="1">
      <alignment horizontal="center"/>
    </xf>
    <xf numFmtId="0" fontId="51" fillId="0" borderId="0" xfId="61" applyFont="1" applyFill="1" applyAlignment="1">
      <alignment horizontal="center"/>
    </xf>
    <xf numFmtId="37" fontId="3" fillId="0" borderId="0" xfId="8" applyNumberFormat="1" applyFont="1" applyFill="1" applyAlignment="1" applyProtection="1">
      <alignment horizontal="center"/>
      <protection locked="0"/>
    </xf>
    <xf numFmtId="37" fontId="3" fillId="0" borderId="0" xfId="61" applyNumberFormat="1" applyFont="1" applyFill="1"/>
    <xf numFmtId="10" fontId="3" fillId="0" borderId="0" xfId="8" applyNumberFormat="1" applyFont="1" applyFill="1" applyAlignment="1" applyProtection="1">
      <alignment horizontal="center"/>
      <protection locked="0"/>
    </xf>
    <xf numFmtId="37" fontId="3" fillId="0" borderId="0" xfId="8" quotePrefix="1" applyNumberFormat="1" applyFont="1" applyFill="1" applyAlignment="1" applyProtection="1">
      <alignment horizontal="left"/>
    </xf>
    <xf numFmtId="7" fontId="53" fillId="0" borderId="0" xfId="8" applyNumberFormat="1" applyFont="1" applyFill="1" applyProtection="1">
      <protection locked="0"/>
    </xf>
    <xf numFmtId="37" fontId="3" fillId="0" borderId="8" xfId="8" applyNumberFormat="1" applyFont="1" applyFill="1" applyBorder="1" applyProtection="1"/>
    <xf numFmtId="14" fontId="3" fillId="0" borderId="0" xfId="61" applyNumberFormat="1" applyFont="1" applyFill="1"/>
    <xf numFmtId="0" fontId="3" fillId="0" borderId="0" xfId="61" applyFont="1" applyFill="1" applyProtection="1">
      <protection locked="0"/>
    </xf>
    <xf numFmtId="167" fontId="3" fillId="0" borderId="0" xfId="61" applyNumberFormat="1" applyFont="1" applyFill="1" applyBorder="1" applyProtection="1"/>
    <xf numFmtId="0" fontId="3" fillId="0" borderId="0" xfId="61" applyFont="1" applyFill="1" applyBorder="1" applyAlignment="1" applyProtection="1">
      <alignment horizontal="center"/>
    </xf>
    <xf numFmtId="0" fontId="51" fillId="0" borderId="0" xfId="61" applyFont="1" applyFill="1" applyAlignment="1">
      <alignment horizontal="centerContinuous"/>
    </xf>
    <xf numFmtId="0" fontId="51" fillId="0" borderId="0" xfId="61" applyFont="1" applyFill="1" applyBorder="1" applyAlignment="1" applyProtection="1">
      <alignment horizontal="center"/>
    </xf>
    <xf numFmtId="0" fontId="3" fillId="0" borderId="0" xfId="61" quotePrefix="1" applyFont="1" applyFill="1" applyBorder="1" applyAlignment="1" applyProtection="1">
      <alignment horizontal="center"/>
    </xf>
    <xf numFmtId="3" fontId="3" fillId="0" borderId="0" xfId="61" applyNumberFormat="1" applyFont="1" applyFill="1"/>
    <xf numFmtId="0" fontId="3" fillId="0" borderId="0" xfId="61" quotePrefix="1" applyFont="1" applyFill="1"/>
    <xf numFmtId="186" fontId="3" fillId="0" borderId="0" xfId="61" applyNumberFormat="1" applyFont="1" applyFill="1"/>
    <xf numFmtId="0" fontId="64" fillId="0" borderId="0" xfId="61" applyFont="1" applyFill="1"/>
    <xf numFmtId="10" fontId="64" fillId="0" borderId="0" xfId="61" applyNumberFormat="1" applyFont="1" applyFill="1" applyProtection="1">
      <protection locked="0"/>
    </xf>
    <xf numFmtId="37" fontId="53" fillId="0" borderId="0" xfId="61" applyNumberFormat="1" applyFont="1" applyFill="1" applyBorder="1" applyProtection="1">
      <protection locked="0"/>
    </xf>
    <xf numFmtId="39" fontId="3" fillId="0" borderId="0" xfId="61" applyNumberFormat="1" applyFont="1" applyFill="1" applyAlignment="1" applyProtection="1">
      <alignment horizontal="right"/>
    </xf>
    <xf numFmtId="0" fontId="3" fillId="0" borderId="0" xfId="61" applyNumberFormat="1" applyFont="1" applyFill="1" applyBorder="1" applyProtection="1"/>
    <xf numFmtId="37" fontId="3" fillId="0" borderId="0" xfId="61" applyNumberFormat="1" applyFont="1" applyFill="1" applyProtection="1">
      <protection locked="0"/>
    </xf>
    <xf numFmtId="10" fontId="3" fillId="0" borderId="0" xfId="61" applyNumberFormat="1" applyFont="1" applyFill="1" applyProtection="1"/>
    <xf numFmtId="10" fontId="51" fillId="0" borderId="0" xfId="61" applyNumberFormat="1" applyFont="1" applyFill="1" applyProtection="1"/>
    <xf numFmtId="37" fontId="75" fillId="0" borderId="0" xfId="61" applyNumberFormat="1" applyFont="1" applyFill="1" applyProtection="1"/>
    <xf numFmtId="10" fontId="75" fillId="0" borderId="0" xfId="61" applyNumberFormat="1" applyFont="1" applyFill="1" applyProtection="1"/>
    <xf numFmtId="0" fontId="3" fillId="0" borderId="0" xfId="61" applyNumberFormat="1" applyFont="1" applyFill="1" applyBorder="1"/>
    <xf numFmtId="37" fontId="53" fillId="0" borderId="0" xfId="61" applyNumberFormat="1" applyFont="1" applyFill="1"/>
    <xf numFmtId="0" fontId="3" fillId="0" borderId="0" xfId="61" applyNumberFormat="1" applyFont="1" applyFill="1" applyBorder="1" applyAlignment="1" applyProtection="1">
      <alignment horizontal="right"/>
    </xf>
    <xf numFmtId="37" fontId="3" fillId="0" borderId="0" xfId="61" applyNumberFormat="1" applyFont="1" applyFill="1" applyAlignment="1" applyProtection="1">
      <alignment horizontal="right"/>
    </xf>
    <xf numFmtId="37" fontId="85" fillId="0" borderId="0" xfId="61" applyNumberFormat="1" applyFont="1" applyFill="1"/>
    <xf numFmtId="0" fontId="51" fillId="0" borderId="0" xfId="61" applyFont="1" applyFill="1" applyAlignment="1" applyProtection="1">
      <alignment horizontal="centerContinuous"/>
    </xf>
    <xf numFmtId="0" fontId="53" fillId="0" borderId="0" xfId="61" applyFont="1" applyFill="1" applyProtection="1">
      <protection locked="0"/>
    </xf>
    <xf numFmtId="37" fontId="53" fillId="0" borderId="0" xfId="61" applyNumberFormat="1" applyFont="1" applyFill="1" applyProtection="1">
      <protection locked="0"/>
    </xf>
    <xf numFmtId="0" fontId="3" fillId="0" borderId="0" xfId="61" applyFont="1" applyFill="1" applyAlignment="1" applyProtection="1"/>
    <xf numFmtId="165" fontId="3" fillId="0" borderId="0" xfId="61" applyNumberFormat="1" applyFont="1" applyFill="1" applyProtection="1"/>
    <xf numFmtId="37" fontId="51" fillId="0" borderId="0" xfId="61" applyNumberFormat="1" applyFont="1" applyFill="1" applyProtection="1">
      <protection locked="0"/>
    </xf>
    <xf numFmtId="37" fontId="51" fillId="0" borderId="0" xfId="61" applyNumberFormat="1" applyFont="1" applyFill="1" applyProtection="1"/>
    <xf numFmtId="37" fontId="64" fillId="0" borderId="0" xfId="61" applyNumberFormat="1" applyFont="1" applyFill="1" applyProtection="1">
      <protection locked="0"/>
    </xf>
    <xf numFmtId="0" fontId="53" fillId="0" borderId="0" xfId="8" applyFont="1" applyFill="1" applyProtection="1">
      <protection locked="0"/>
    </xf>
    <xf numFmtId="37" fontId="53" fillId="0" borderId="0" xfId="8" applyNumberFormat="1" applyFont="1" applyFill="1" applyAlignment="1" applyProtection="1">
      <alignment horizontal="centerContinuous"/>
      <protection locked="0"/>
    </xf>
    <xf numFmtId="17" fontId="3" fillId="0" borderId="0" xfId="8" quotePrefix="1" applyNumberFormat="1" applyFont="1" applyFill="1"/>
    <xf numFmtId="37" fontId="53" fillId="0" borderId="0" xfId="8" applyNumberFormat="1" applyFont="1" applyFill="1" applyBorder="1" applyProtection="1">
      <protection locked="0"/>
    </xf>
    <xf numFmtId="17" fontId="3" fillId="0" borderId="0" xfId="8" quotePrefix="1" applyNumberFormat="1" applyFont="1" applyFill="1" applyAlignment="1" applyProtection="1">
      <alignment horizontal="left"/>
      <protection locked="0"/>
    </xf>
    <xf numFmtId="0" fontId="3" fillId="0" borderId="0" xfId="8" applyFont="1" applyFill="1" applyBorder="1" applyAlignment="1" applyProtection="1">
      <alignment horizontal="right"/>
    </xf>
    <xf numFmtId="0" fontId="3" fillId="0" borderId="0" xfId="8" applyFont="1" applyFill="1" applyAlignment="1" applyProtection="1">
      <alignment horizontal="right"/>
    </xf>
    <xf numFmtId="177" fontId="53" fillId="0" borderId="0" xfId="8" applyNumberFormat="1" applyFont="1" applyFill="1" applyProtection="1">
      <protection locked="0"/>
    </xf>
    <xf numFmtId="178" fontId="53" fillId="0" borderId="0" xfId="8" applyNumberFormat="1" applyFont="1" applyFill="1" applyProtection="1">
      <protection locked="0"/>
    </xf>
    <xf numFmtId="179" fontId="53" fillId="0" borderId="0" xfId="8" applyNumberFormat="1" applyFont="1" applyFill="1" applyProtection="1">
      <protection locked="0"/>
    </xf>
    <xf numFmtId="0" fontId="3" fillId="0" borderId="0" xfId="8" applyFont="1" applyFill="1" applyBorder="1" applyAlignment="1" applyProtection="1">
      <alignment horizontal="left"/>
    </xf>
    <xf numFmtId="0" fontId="3" fillId="0" borderId="0" xfId="8" applyFont="1" applyFill="1" applyBorder="1" applyProtection="1"/>
    <xf numFmtId="0" fontId="3" fillId="0" borderId="0" xfId="8" applyFont="1" applyFill="1" applyBorder="1" applyAlignment="1">
      <alignment horizontal="center"/>
    </xf>
    <xf numFmtId="37" fontId="3" fillId="0" borderId="0" xfId="8" applyNumberFormat="1" applyFont="1" applyFill="1" applyBorder="1" applyAlignment="1" applyProtection="1">
      <alignment horizontal="center"/>
      <protection locked="0"/>
    </xf>
    <xf numFmtId="0" fontId="25" fillId="0" borderId="0" xfId="8" applyFont="1" applyFill="1" applyAlignment="1">
      <alignment horizontal="center"/>
    </xf>
    <xf numFmtId="0" fontId="26" fillId="0" borderId="0" xfId="8" applyFont="1" applyFill="1"/>
    <xf numFmtId="0" fontId="64" fillId="0" borderId="0" xfId="61" applyFont="1" applyFill="1" applyBorder="1"/>
    <xf numFmtId="0" fontId="64" fillId="0" borderId="0" xfId="8" applyFont="1" applyFill="1" applyBorder="1"/>
    <xf numFmtId="39" fontId="3" fillId="0" borderId="0" xfId="61" applyNumberFormat="1" applyFont="1" applyFill="1"/>
    <xf numFmtId="187" fontId="3" fillId="0" borderId="0" xfId="61" applyNumberFormat="1" applyFont="1" applyFill="1" applyBorder="1" applyProtection="1">
      <protection locked="0"/>
    </xf>
    <xf numFmtId="3" fontId="3" fillId="0" borderId="0" xfId="61" applyNumberFormat="1" applyFont="1" applyFill="1" applyBorder="1" applyProtection="1">
      <protection locked="0"/>
    </xf>
    <xf numFmtId="3" fontId="3" fillId="0" borderId="0" xfId="61" applyNumberFormat="1" applyFont="1" applyFill="1" applyBorder="1"/>
    <xf numFmtId="2" fontId="3" fillId="0" borderId="0" xfId="61" applyNumberFormat="1" applyFont="1" applyFill="1" applyBorder="1" applyProtection="1">
      <protection locked="0"/>
    </xf>
    <xf numFmtId="187" fontId="3" fillId="0" borderId="0" xfId="61" applyNumberFormat="1" applyFont="1" applyFill="1" applyBorder="1"/>
    <xf numFmtId="2" fontId="3" fillId="0" borderId="0" xfId="61" applyNumberFormat="1" applyFont="1" applyFill="1" applyBorder="1"/>
    <xf numFmtId="14" fontId="3" fillId="0" borderId="0" xfId="61" applyNumberFormat="1" applyFont="1" applyFill="1" applyBorder="1"/>
    <xf numFmtId="186" fontId="3" fillId="0" borderId="0" xfId="61" applyNumberFormat="1" applyFont="1" applyFill="1" applyBorder="1"/>
    <xf numFmtId="0" fontId="51" fillId="0" borderId="0" xfId="61" applyFont="1" applyFill="1" applyBorder="1" applyAlignment="1">
      <alignment horizontal="centerContinuous"/>
    </xf>
    <xf numFmtId="3" fontId="51" fillId="0" borderId="0" xfId="61" applyNumberFormat="1" applyFont="1" applyFill="1" applyBorder="1" applyAlignment="1">
      <alignment horizontal="centerContinuous"/>
    </xf>
    <xf numFmtId="2" fontId="51" fillId="0" borderId="0" xfId="61" applyNumberFormat="1" applyFont="1" applyFill="1" applyBorder="1" applyAlignment="1">
      <alignment horizontal="centerContinuous"/>
    </xf>
    <xf numFmtId="0" fontId="25" fillId="0" borderId="0" xfId="8" applyFont="1" applyFill="1" applyBorder="1" applyAlignment="1">
      <alignment horizontal="center"/>
    </xf>
    <xf numFmtId="0" fontId="3" fillId="0" borderId="0" xfId="61" applyFont="1" applyFill="1" applyBorder="1" applyAlignment="1">
      <alignment horizontal="center"/>
    </xf>
    <xf numFmtId="2" fontId="3" fillId="0" borderId="0" xfId="61" applyNumberFormat="1" applyFont="1" applyFill="1" applyBorder="1" applyAlignment="1">
      <alignment horizontal="center"/>
    </xf>
    <xf numFmtId="3" fontId="3" fillId="0" borderId="0" xfId="61" applyNumberFormat="1" applyFont="1" applyFill="1" applyBorder="1" applyAlignment="1">
      <alignment horizontal="center"/>
    </xf>
    <xf numFmtId="0" fontId="51" fillId="0" borderId="0" xfId="61" applyFont="1" applyFill="1" applyBorder="1" applyAlignment="1">
      <alignment horizontal="center"/>
    </xf>
    <xf numFmtId="0" fontId="51" fillId="0" borderId="0" xfId="61" applyFont="1" applyFill="1" applyBorder="1"/>
    <xf numFmtId="187" fontId="51" fillId="0" borderId="0" xfId="61" applyNumberFormat="1" applyFont="1" applyFill="1" applyBorder="1"/>
    <xf numFmtId="39" fontId="3" fillId="0" borderId="0" xfId="61" applyNumberFormat="1" applyFont="1" applyFill="1" applyBorder="1"/>
    <xf numFmtId="3" fontId="51" fillId="0" borderId="0" xfId="61" applyNumberFormat="1" applyFont="1" applyFill="1" applyBorder="1"/>
    <xf numFmtId="3" fontId="75" fillId="0" borderId="0" xfId="61" applyNumberFormat="1" applyFont="1" applyFill="1" applyBorder="1"/>
    <xf numFmtId="0" fontId="3" fillId="0" borderId="0" xfId="61" applyFont="1" applyFill="1" applyBorder="1" applyAlignment="1">
      <alignment horizontal="centerContinuous"/>
    </xf>
    <xf numFmtId="0" fontId="3" fillId="0" borderId="0" xfId="61" applyFont="1" applyFill="1" applyBorder="1" applyProtection="1">
      <protection locked="0"/>
    </xf>
    <xf numFmtId="179" fontId="53" fillId="0" borderId="0" xfId="8" applyNumberFormat="1" applyFont="1" applyFill="1" applyBorder="1" applyProtection="1">
      <protection locked="0"/>
    </xf>
    <xf numFmtId="0" fontId="51" fillId="0" borderId="0" xfId="61" applyFont="1" applyFill="1" applyBorder="1" applyProtection="1">
      <protection locked="0"/>
    </xf>
    <xf numFmtId="184" fontId="3" fillId="0" borderId="0" xfId="61" applyNumberFormat="1" applyFont="1" applyFill="1" applyBorder="1"/>
    <xf numFmtId="0" fontId="71" fillId="0" borderId="0" xfId="8" quotePrefix="1" applyFont="1" applyFill="1" applyAlignment="1" applyProtection="1">
      <alignment horizontal="left"/>
      <protection locked="0"/>
    </xf>
    <xf numFmtId="0" fontId="71" fillId="0" borderId="0" xfId="8" applyFont="1" applyFill="1" applyAlignment="1" applyProtection="1">
      <alignment horizontal="left"/>
      <protection locked="0"/>
    </xf>
    <xf numFmtId="10" fontId="71" fillId="0" borderId="0" xfId="8" applyNumberFormat="1" applyFont="1" applyFill="1" applyAlignment="1" applyProtection="1">
      <alignment horizontal="center"/>
      <protection locked="0"/>
    </xf>
    <xf numFmtId="0" fontId="54" fillId="0" borderId="0" xfId="8" applyFont="1" applyFill="1"/>
    <xf numFmtId="37" fontId="7" fillId="0" borderId="0" xfId="14" quotePrefix="1" applyNumberFormat="1" applyFont="1" applyFill="1" applyAlignment="1">
      <alignment horizontal="center"/>
    </xf>
    <xf numFmtId="10" fontId="71" fillId="0" borderId="0" xfId="61" applyNumberFormat="1" applyFont="1" applyFill="1"/>
    <xf numFmtId="0" fontId="71" fillId="0" borderId="0" xfId="61" applyFont="1" applyFill="1"/>
    <xf numFmtId="10" fontId="71" fillId="0" borderId="0" xfId="61" applyNumberFormat="1" applyFont="1" applyFill="1" applyProtection="1">
      <protection locked="0"/>
    </xf>
    <xf numFmtId="37" fontId="3" fillId="0" borderId="0" xfId="8" applyNumberFormat="1" applyFont="1" applyFill="1" applyBorder="1" applyProtection="1">
      <protection locked="0"/>
    </xf>
    <xf numFmtId="0" fontId="3" fillId="0" borderId="0" xfId="15" applyFont="1" applyFill="1" applyAlignment="1" applyProtection="1"/>
    <xf numFmtId="0" fontId="3" fillId="0" borderId="0" xfId="15" applyFont="1" applyFill="1" applyAlignment="1">
      <alignment horizontal="centerContinuous"/>
    </xf>
    <xf numFmtId="0" fontId="3" fillId="0" borderId="0" xfId="15" applyFont="1" applyFill="1"/>
    <xf numFmtId="0" fontId="3" fillId="0" borderId="0" xfId="15" applyFont="1" applyFill="1" applyAlignment="1">
      <alignment horizontal="left"/>
    </xf>
    <xf numFmtId="0" fontId="3" fillId="0" borderId="0" xfId="15" applyFont="1" applyFill="1" applyBorder="1" applyAlignment="1">
      <alignment horizontal="centerContinuous"/>
    </xf>
    <xf numFmtId="0" fontId="53" fillId="0" borderId="0" xfId="8" applyFont="1" applyFill="1" applyAlignment="1" applyProtection="1">
      <alignment horizontal="left"/>
    </xf>
    <xf numFmtId="0" fontId="3" fillId="0" borderId="0" xfId="15" applyFont="1" applyFill="1" applyAlignment="1" applyProtection="1">
      <alignment horizontal="centerContinuous"/>
    </xf>
    <xf numFmtId="0" fontId="3" fillId="0" borderId="0" xfId="15" applyFont="1" applyFill="1" applyBorder="1"/>
    <xf numFmtId="0" fontId="3" fillId="0" borderId="0" xfId="15" applyFont="1" applyFill="1" applyAlignment="1">
      <alignment horizontal="center"/>
    </xf>
    <xf numFmtId="0" fontId="3" fillId="0" borderId="0" xfId="15" applyFont="1" applyFill="1" applyBorder="1" applyAlignment="1">
      <alignment horizontal="center"/>
    </xf>
    <xf numFmtId="0" fontId="3" fillId="0" borderId="7" xfId="15" applyFont="1" applyFill="1" applyBorder="1" applyAlignment="1" applyProtection="1">
      <alignment horizontal="fill"/>
    </xf>
    <xf numFmtId="0" fontId="3" fillId="0" borderId="0" xfId="15" applyFont="1" applyFill="1" applyBorder="1" applyAlignment="1" applyProtection="1">
      <alignment horizontal="fill"/>
    </xf>
    <xf numFmtId="0" fontId="3" fillId="0" borderId="0" xfId="15" applyFont="1" applyFill="1" applyAlignment="1" applyProtection="1">
      <alignment horizontal="center"/>
    </xf>
    <xf numFmtId="17" fontId="3" fillId="0" borderId="0" xfId="8" applyNumberFormat="1" applyFont="1" applyFill="1" applyAlignment="1" applyProtection="1">
      <alignment horizontal="center"/>
      <protection locked="0"/>
    </xf>
    <xf numFmtId="0" fontId="3" fillId="0" borderId="0" xfId="8" applyFont="1" applyFill="1" applyAlignment="1" applyProtection="1">
      <alignment horizontal="center"/>
      <protection locked="0"/>
    </xf>
    <xf numFmtId="17" fontId="3" fillId="0" borderId="0" xfId="8" quotePrefix="1" applyNumberFormat="1" applyFont="1" applyFill="1" applyAlignment="1" applyProtection="1">
      <alignment horizontal="center"/>
      <protection locked="0"/>
    </xf>
    <xf numFmtId="17" fontId="53" fillId="0" borderId="0" xfId="8" applyNumberFormat="1" applyFont="1" applyFill="1" applyBorder="1" applyAlignment="1">
      <alignment horizontal="center"/>
    </xf>
    <xf numFmtId="0" fontId="3" fillId="0" borderId="7" xfId="15" applyFont="1" applyFill="1" applyBorder="1"/>
    <xf numFmtId="0" fontId="3" fillId="0" borderId="0" xfId="15" quotePrefix="1" applyFont="1" applyFill="1" applyBorder="1" applyAlignment="1">
      <alignment horizontal="center"/>
    </xf>
    <xf numFmtId="0" fontId="3" fillId="0" borderId="0" xfId="15" quotePrefix="1" applyFont="1" applyFill="1" applyBorder="1" applyAlignment="1">
      <alignment horizontal="centerContinuous"/>
    </xf>
    <xf numFmtId="0" fontId="26" fillId="0" borderId="0" xfId="15" applyFont="1" applyFill="1"/>
    <xf numFmtId="37" fontId="3" fillId="0" borderId="0" xfId="15" applyNumberFormat="1" applyFont="1" applyFill="1" applyBorder="1"/>
    <xf numFmtId="37" fontId="3" fillId="0" borderId="0" xfId="15" applyNumberFormat="1" applyFont="1" applyFill="1"/>
    <xf numFmtId="37" fontId="3" fillId="0" borderId="0" xfId="15" applyNumberFormat="1" applyFont="1" applyFill="1" applyAlignment="1">
      <alignment horizontal="center"/>
    </xf>
    <xf numFmtId="37" fontId="51" fillId="0" borderId="0" xfId="15" applyNumberFormat="1" applyFont="1" applyFill="1"/>
    <xf numFmtId="0" fontId="3" fillId="0" borderId="0" xfId="15" applyFont="1" applyFill="1" applyAlignment="1">
      <alignment horizontal="left" indent="1"/>
    </xf>
    <xf numFmtId="37" fontId="3" fillId="0" borderId="9" xfId="15" applyNumberFormat="1" applyFont="1" applyFill="1" applyBorder="1"/>
    <xf numFmtId="37" fontId="3" fillId="0" borderId="0" xfId="15" applyNumberFormat="1" applyFont="1" applyFill="1" applyBorder="1" applyProtection="1">
      <protection locked="0"/>
    </xf>
    <xf numFmtId="37" fontId="3" fillId="0" borderId="0" xfId="15" applyNumberFormat="1" applyFont="1" applyFill="1" applyProtection="1">
      <protection locked="0"/>
    </xf>
    <xf numFmtId="0" fontId="3" fillId="0" borderId="0" xfId="15" applyFont="1" applyFill="1" applyAlignment="1">
      <alignment horizontal="left" indent="2"/>
    </xf>
    <xf numFmtId="37" fontId="3" fillId="0" borderId="9" xfId="15" applyNumberFormat="1" applyFont="1" applyFill="1" applyBorder="1" applyProtection="1">
      <protection locked="0"/>
    </xf>
    <xf numFmtId="37" fontId="53" fillId="0" borderId="0" xfId="15" applyNumberFormat="1" applyFont="1" applyFill="1" applyBorder="1" applyProtection="1">
      <protection locked="0"/>
    </xf>
    <xf numFmtId="0" fontId="26" fillId="0" borderId="0" xfId="15" applyFont="1" applyFill="1" applyBorder="1"/>
    <xf numFmtId="0" fontId="3" fillId="0" borderId="7" xfId="15" applyFont="1" applyFill="1" applyBorder="1" applyAlignment="1" applyProtection="1">
      <alignment horizontal="center"/>
    </xf>
    <xf numFmtId="0" fontId="3" fillId="0" borderId="10" xfId="15" applyFont="1" applyFill="1" applyBorder="1"/>
    <xf numFmtId="0" fontId="3" fillId="0" borderId="10" xfId="15" applyFont="1" applyFill="1" applyBorder="1" applyAlignment="1">
      <alignment horizontal="center"/>
    </xf>
    <xf numFmtId="0" fontId="3" fillId="0" borderId="0" xfId="8" quotePrefix="1" applyFont="1" applyFill="1" applyAlignment="1" applyProtection="1">
      <alignment horizontal="center"/>
      <protection locked="0"/>
    </xf>
    <xf numFmtId="17" fontId="53" fillId="0" borderId="0" xfId="8" applyNumberFormat="1" applyFont="1" applyFill="1" applyAlignment="1">
      <alignment horizontal="center"/>
    </xf>
    <xf numFmtId="37" fontId="3" fillId="0" borderId="7" xfId="15" applyNumberFormat="1" applyFont="1" applyFill="1" applyBorder="1"/>
    <xf numFmtId="37" fontId="53" fillId="0" borderId="9" xfId="15" applyNumberFormat="1" applyFont="1" applyFill="1" applyBorder="1"/>
    <xf numFmtId="0" fontId="86" fillId="0" borderId="0" xfId="8" applyFont="1" applyFill="1"/>
    <xf numFmtId="0" fontId="3" fillId="0" borderId="0" xfId="0" applyFont="1" applyFill="1" applyAlignment="1" applyProtection="1">
      <alignment horizontal="left"/>
    </xf>
    <xf numFmtId="0" fontId="56" fillId="0" borderId="0" xfId="0" applyFont="1" applyFill="1" applyAlignment="1" applyProtection="1">
      <alignment horizontal="left"/>
    </xf>
    <xf numFmtId="0" fontId="64" fillId="0" borderId="0" xfId="0" applyFont="1" applyFill="1" applyAlignment="1" applyProtection="1">
      <alignment horizontal="left"/>
    </xf>
    <xf numFmtId="0" fontId="56" fillId="0" borderId="0" xfId="8" applyFont="1" applyFill="1" applyBorder="1" applyAlignment="1" applyProtection="1">
      <alignment horizontal="left"/>
    </xf>
    <xf numFmtId="0" fontId="53" fillId="0" borderId="0" xfId="8" applyFont="1" applyFill="1" applyBorder="1" applyAlignment="1" applyProtection="1">
      <alignment horizontal="left"/>
    </xf>
    <xf numFmtId="0" fontId="3" fillId="0" borderId="0" xfId="0" applyFont="1" applyFill="1" applyAlignment="1" applyProtection="1">
      <alignment horizontal="right"/>
    </xf>
    <xf numFmtId="0" fontId="56" fillId="0" borderId="0" xfId="0" applyFont="1" applyFill="1" applyAlignment="1">
      <alignment horizontal="right"/>
    </xf>
    <xf numFmtId="0" fontId="3" fillId="0" borderId="7" xfId="0" applyFont="1" applyFill="1" applyBorder="1"/>
    <xf numFmtId="0" fontId="56" fillId="0" borderId="7" xfId="0" applyFont="1" applyFill="1" applyBorder="1" applyAlignment="1" applyProtection="1">
      <alignment horizontal="center"/>
    </xf>
    <xf numFmtId="37" fontId="3" fillId="0" borderId="0" xfId="0" applyNumberFormat="1" applyFont="1" applyFill="1" applyAlignment="1" applyProtection="1">
      <alignment horizontal="center"/>
    </xf>
    <xf numFmtId="0" fontId="3" fillId="0" borderId="0" xfId="0" applyFont="1" applyFill="1" applyProtection="1">
      <protection locked="0"/>
    </xf>
    <xf numFmtId="10" fontId="3" fillId="0" borderId="0" xfId="0" applyNumberFormat="1" applyFont="1" applyFill="1" applyProtection="1"/>
    <xf numFmtId="37" fontId="3" fillId="0" borderId="0" xfId="0" quotePrefix="1" applyNumberFormat="1" applyFont="1" applyFill="1" applyAlignment="1" applyProtection="1">
      <alignment horizontal="left"/>
    </xf>
    <xf numFmtId="0" fontId="3" fillId="0" borderId="0" xfId="0" applyFont="1" applyFill="1" applyAlignment="1">
      <alignment horizontal="left"/>
    </xf>
    <xf numFmtId="0" fontId="3" fillId="0" borderId="0" xfId="8" applyFont="1" applyFill="1" applyBorder="1" applyAlignment="1" applyProtection="1">
      <alignment horizontal="left"/>
      <protection locked="0"/>
    </xf>
    <xf numFmtId="0" fontId="3" fillId="0" borderId="0" xfId="8" applyFont="1" applyFill="1" applyBorder="1" applyAlignment="1">
      <alignment horizontal="left"/>
    </xf>
    <xf numFmtId="37" fontId="75" fillId="0" borderId="0" xfId="8" applyNumberFormat="1" applyFont="1" applyFill="1" applyBorder="1" applyProtection="1"/>
    <xf numFmtId="37" fontId="3" fillId="0" borderId="0" xfId="8" applyNumberFormat="1" applyFont="1" applyFill="1" applyBorder="1" applyAlignment="1" applyProtection="1">
      <alignment horizontal="left"/>
    </xf>
    <xf numFmtId="0" fontId="3" fillId="0" borderId="0" xfId="8" applyFont="1" applyFill="1" applyBorder="1" applyAlignment="1" applyProtection="1">
      <alignment horizontal="fill"/>
    </xf>
    <xf numFmtId="0" fontId="3" fillId="0" borderId="0" xfId="8" quotePrefix="1" applyNumberFormat="1" applyFont="1" applyFill="1" applyAlignment="1" applyProtection="1">
      <alignment horizontal="center"/>
      <protection locked="0"/>
    </xf>
    <xf numFmtId="0" fontId="71" fillId="0" borderId="0" xfId="8" quotePrefix="1" applyNumberFormat="1" applyFont="1" applyFill="1" applyAlignment="1" applyProtection="1">
      <alignment horizontal="center"/>
      <protection locked="0"/>
    </xf>
    <xf numFmtId="37" fontId="53" fillId="0" borderId="0" xfId="15" applyNumberFormat="1" applyFont="1" applyFill="1" applyBorder="1"/>
    <xf numFmtId="0" fontId="0" fillId="0" borderId="0" xfId="15" applyFont="1" applyFill="1" applyAlignment="1">
      <alignment horizontal="left" indent="1"/>
    </xf>
    <xf numFmtId="37" fontId="53" fillId="0" borderId="7" xfId="15" applyNumberFormat="1" applyFont="1" applyFill="1" applyBorder="1"/>
    <xf numFmtId="37" fontId="53" fillId="0" borderId="0" xfId="15" applyNumberFormat="1" applyFont="1" applyFill="1" applyProtection="1">
      <protection locked="0"/>
    </xf>
    <xf numFmtId="37" fontId="53" fillId="0" borderId="7" xfId="15" applyNumberFormat="1" applyFont="1" applyFill="1" applyBorder="1" applyProtection="1">
      <protection locked="0"/>
    </xf>
    <xf numFmtId="37" fontId="3" fillId="0" borderId="8" xfId="15" applyNumberFormat="1" applyFont="1" applyFill="1" applyBorder="1"/>
    <xf numFmtId="0" fontId="3" fillId="0" borderId="0" xfId="8" quotePrefix="1" applyFont="1" applyFill="1" applyBorder="1" applyAlignment="1" applyProtection="1">
      <alignment horizontal="center"/>
      <protection locked="0"/>
    </xf>
    <xf numFmtId="37" fontId="3" fillId="0" borderId="7" xfId="15" applyNumberFormat="1" applyFont="1" applyFill="1" applyBorder="1" applyProtection="1">
      <protection locked="0"/>
    </xf>
    <xf numFmtId="37" fontId="53" fillId="0" borderId="0" xfId="0" applyNumberFormat="1" applyFont="1" applyFill="1" applyBorder="1" applyProtection="1">
      <protection locked="0"/>
    </xf>
    <xf numFmtId="37" fontId="3" fillId="0" borderId="7" xfId="0" applyNumberFormat="1" applyFont="1" applyFill="1" applyBorder="1"/>
    <xf numFmtId="37" fontId="3" fillId="0" borderId="9" xfId="0" applyNumberFormat="1" applyFont="1" applyFill="1" applyBorder="1" applyProtection="1">
      <protection locked="0"/>
    </xf>
    <xf numFmtId="37" fontId="3" fillId="0" borderId="0" xfId="0" applyNumberFormat="1" applyFont="1" applyFill="1" applyBorder="1" applyProtection="1">
      <protection locked="0"/>
    </xf>
    <xf numFmtId="0" fontId="0" fillId="0" borderId="0" xfId="0" applyFont="1" applyFill="1" applyAlignment="1">
      <alignment horizontal="left" indent="2"/>
    </xf>
    <xf numFmtId="0" fontId="7" fillId="0" borderId="0" xfId="13" applyFont="1" applyAlignment="1" applyProtection="1"/>
    <xf numFmtId="37" fontId="75" fillId="0" borderId="0" xfId="15" applyNumberFormat="1" applyFont="1" applyFill="1"/>
    <xf numFmtId="0" fontId="3" fillId="0" borderId="0" xfId="39" applyFont="1" applyFill="1" applyAlignment="1">
      <alignment horizontal="center"/>
    </xf>
    <xf numFmtId="0" fontId="3" fillId="0" borderId="0" xfId="39" applyFont="1" applyFill="1"/>
    <xf numFmtId="37" fontId="53" fillId="0" borderId="0" xfId="0" applyNumberFormat="1" applyFont="1" applyFill="1" applyBorder="1"/>
    <xf numFmtId="4" fontId="3" fillId="0" borderId="0" xfId="38" applyNumberFormat="1" applyFont="1" applyFill="1" applyProtection="1"/>
    <xf numFmtId="37" fontId="3" fillId="0" borderId="0" xfId="0" applyNumberFormat="1" applyFont="1" applyFill="1" applyBorder="1"/>
    <xf numFmtId="37" fontId="3" fillId="0" borderId="0" xfId="39" applyNumberFormat="1" applyFont="1" applyFill="1"/>
    <xf numFmtId="0" fontId="3" fillId="0" borderId="0" xfId="39" applyFont="1" applyFill="1" applyBorder="1"/>
    <xf numFmtId="0" fontId="3" fillId="0" borderId="0" xfId="39" applyFont="1" applyAlignment="1" applyProtection="1">
      <alignment horizontal="centerContinuous"/>
    </xf>
    <xf numFmtId="0" fontId="3" fillId="0" borderId="0" xfId="39" applyFont="1" applyAlignment="1">
      <alignment horizontal="centerContinuous"/>
    </xf>
    <xf numFmtId="0" fontId="3" fillId="0" borderId="0" xfId="39" applyFont="1"/>
    <xf numFmtId="37" fontId="3" fillId="0" borderId="0" xfId="39" applyNumberFormat="1" applyFont="1" applyAlignment="1" applyProtection="1">
      <alignment horizontal="centerContinuous"/>
    </xf>
    <xf numFmtId="0" fontId="3" fillId="0" borderId="0" xfId="39" applyFont="1" applyProtection="1"/>
    <xf numFmtId="0" fontId="3" fillId="0" borderId="0" xfId="39" applyFont="1" applyAlignment="1" applyProtection="1">
      <alignment horizontal="left"/>
    </xf>
    <xf numFmtId="0" fontId="3" fillId="0" borderId="0" xfId="39" quotePrefix="1" applyFont="1" applyAlignment="1" applyProtection="1">
      <alignment horizontal="left"/>
    </xf>
    <xf numFmtId="0" fontId="3" fillId="0" borderId="7" xfId="39" applyFont="1" applyBorder="1" applyAlignment="1" applyProtection="1">
      <alignment horizontal="fill"/>
    </xf>
    <xf numFmtId="0" fontId="3" fillId="0" borderId="0" xfId="39" applyFont="1" applyBorder="1" applyAlignment="1" applyProtection="1">
      <alignment horizontal="fill"/>
    </xf>
    <xf numFmtId="0" fontId="3" fillId="0" borderId="2" xfId="39" applyFont="1" applyBorder="1" applyAlignment="1" applyProtection="1">
      <alignment horizontal="centerContinuous"/>
    </xf>
    <xf numFmtId="0" fontId="3" fillId="0" borderId="7" xfId="39" applyFont="1" applyBorder="1" applyAlignment="1" applyProtection="1">
      <alignment horizontal="centerContinuous"/>
    </xf>
    <xf numFmtId="0" fontId="3" fillId="0" borderId="0" xfId="39" applyFont="1" applyAlignment="1" applyProtection="1">
      <alignment horizontal="center"/>
    </xf>
    <xf numFmtId="0" fontId="3" fillId="0" borderId="0" xfId="39" applyFont="1" applyAlignment="1">
      <alignment horizontal="center"/>
    </xf>
    <xf numFmtId="165" fontId="3" fillId="0" borderId="0" xfId="40" applyNumberFormat="1" applyFont="1" applyAlignment="1" applyProtection="1">
      <alignment horizontal="center"/>
    </xf>
    <xf numFmtId="165" fontId="3" fillId="0" borderId="0" xfId="40" applyNumberFormat="1" applyFont="1" applyAlignment="1" applyProtection="1">
      <alignment horizontal="centerContinuous"/>
    </xf>
    <xf numFmtId="0" fontId="3" fillId="0" borderId="0" xfId="40" applyFont="1" applyAlignment="1">
      <alignment horizontal="center"/>
    </xf>
    <xf numFmtId="190" fontId="3" fillId="0" borderId="7" xfId="39" applyNumberFormat="1" applyFont="1" applyBorder="1" applyAlignment="1" applyProtection="1">
      <alignment horizontal="center"/>
    </xf>
    <xf numFmtId="190" fontId="3" fillId="0" borderId="7" xfId="39" applyNumberFormat="1" applyFont="1" applyBorder="1" applyAlignment="1" applyProtection="1"/>
    <xf numFmtId="0" fontId="3" fillId="0" borderId="7" xfId="40" applyFont="1" applyBorder="1" applyAlignment="1" applyProtection="1">
      <alignment horizontal="center"/>
    </xf>
    <xf numFmtId="0" fontId="3" fillId="0" borderId="7" xfId="40" applyFont="1" applyBorder="1" applyAlignment="1" applyProtection="1">
      <alignment horizontal="fill"/>
    </xf>
    <xf numFmtId="0" fontId="3" fillId="0" borderId="0" xfId="0" applyFont="1" applyBorder="1"/>
    <xf numFmtId="0" fontId="3" fillId="0" borderId="0" xfId="39" applyFont="1" applyBorder="1"/>
    <xf numFmtId="4" fontId="3" fillId="0" borderId="0" xfId="38" applyNumberFormat="1" applyFont="1" applyProtection="1"/>
    <xf numFmtId="37" fontId="3" fillId="0" borderId="0" xfId="0" applyNumberFormat="1" applyFont="1" applyBorder="1"/>
    <xf numFmtId="37" fontId="3" fillId="0" borderId="8" xfId="39" applyNumberFormat="1" applyFont="1" applyBorder="1"/>
    <xf numFmtId="39" fontId="3" fillId="0" borderId="0" xfId="39" applyNumberFormat="1" applyFont="1" applyBorder="1"/>
    <xf numFmtId="37" fontId="3" fillId="0" borderId="0" xfId="39" applyNumberFormat="1" applyFont="1"/>
    <xf numFmtId="0" fontId="53" fillId="0" borderId="0" xfId="39" applyFont="1" applyBorder="1"/>
    <xf numFmtId="0" fontId="3" fillId="0" borderId="0" xfId="47" applyFont="1" applyAlignment="1" applyProtection="1">
      <alignment horizontal="left"/>
    </xf>
    <xf numFmtId="39" fontId="3" fillId="0" borderId="0" xfId="0" applyNumberFormat="1" applyFont="1" applyBorder="1"/>
    <xf numFmtId="179" fontId="53" fillId="0" borderId="0" xfId="39" applyNumberFormat="1" applyFont="1" applyProtection="1">
      <protection locked="0"/>
    </xf>
    <xf numFmtId="0" fontId="53" fillId="0" borderId="0" xfId="39" applyFont="1" applyFill="1" applyBorder="1"/>
    <xf numFmtId="0" fontId="3" fillId="0" borderId="0" xfId="47" applyFont="1" applyFill="1" applyAlignment="1" applyProtection="1">
      <alignment horizontal="left"/>
    </xf>
    <xf numFmtId="0" fontId="82" fillId="0" borderId="0" xfId="41" applyFont="1" applyFill="1"/>
    <xf numFmtId="0" fontId="82" fillId="0" borderId="0" xfId="39" applyFont="1" applyFill="1" applyBorder="1"/>
    <xf numFmtId="0" fontId="82" fillId="0" borderId="0" xfId="39" applyFont="1" applyFill="1"/>
    <xf numFmtId="0" fontId="3" fillId="0" borderId="0" xfId="40" applyFont="1" applyFill="1"/>
    <xf numFmtId="0" fontId="51" fillId="0" borderId="0" xfId="40" applyFont="1" applyFill="1"/>
    <xf numFmtId="0" fontId="78" fillId="0" borderId="0" xfId="39" applyFont="1" applyFill="1"/>
    <xf numFmtId="0" fontId="3" fillId="0" borderId="0" xfId="40" applyFont="1" applyFill="1" applyAlignment="1" applyProtection="1">
      <alignment horizontal="center"/>
    </xf>
    <xf numFmtId="0" fontId="3" fillId="0" borderId="0" xfId="40" quotePrefix="1" applyFont="1" applyFill="1" applyAlignment="1" applyProtection="1">
      <alignment horizontal="center"/>
    </xf>
    <xf numFmtId="0" fontId="3" fillId="0" borderId="0" xfId="40" applyFont="1" applyFill="1" applyAlignment="1">
      <alignment horizontal="center"/>
    </xf>
    <xf numFmtId="0" fontId="3" fillId="0" borderId="0" xfId="40" applyFont="1" applyFill="1" applyAlignment="1" applyProtection="1">
      <alignment horizontal="left"/>
    </xf>
    <xf numFmtId="37" fontId="3" fillId="0" borderId="0" xfId="40" applyNumberFormat="1" applyFont="1" applyFill="1" applyBorder="1" applyProtection="1"/>
    <xf numFmtId="37" fontId="3" fillId="0" borderId="0" xfId="40" applyNumberFormat="1" applyFont="1" applyFill="1" applyBorder="1"/>
    <xf numFmtId="0" fontId="3" fillId="0" borderId="0" xfId="40" applyFont="1" applyFill="1" applyBorder="1"/>
    <xf numFmtId="4" fontId="3" fillId="0" borderId="0" xfId="38" applyNumberFormat="1" applyFont="1" applyFill="1" applyBorder="1" applyProtection="1"/>
    <xf numFmtId="37" fontId="3" fillId="0" borderId="0" xfId="40" applyNumberFormat="1" applyFont="1" applyFill="1"/>
    <xf numFmtId="39" fontId="53" fillId="0" borderId="0" xfId="40" applyNumberFormat="1" applyFont="1" applyFill="1" applyProtection="1"/>
    <xf numFmtId="39" fontId="3" fillId="0" borderId="0" xfId="0" applyNumberFormat="1" applyFont="1" applyFill="1" applyBorder="1"/>
    <xf numFmtId="37" fontId="3" fillId="0" borderId="9" xfId="39" applyNumberFormat="1" applyFont="1" applyFill="1" applyBorder="1"/>
    <xf numFmtId="39" fontId="3" fillId="0" borderId="0" xfId="40" applyNumberFormat="1" applyFont="1" applyFill="1" applyBorder="1"/>
    <xf numFmtId="39" fontId="3" fillId="0" borderId="0" xfId="40" applyNumberFormat="1" applyFont="1" applyFill="1"/>
    <xf numFmtId="0" fontId="3" fillId="0" borderId="0" xfId="40" applyFont="1" applyAlignment="1" applyProtection="1">
      <alignment horizontal="centerContinuous"/>
    </xf>
    <xf numFmtId="0" fontId="3" fillId="0" borderId="0" xfId="40" applyFont="1" applyAlignment="1">
      <alignment horizontal="centerContinuous"/>
    </xf>
    <xf numFmtId="0" fontId="3" fillId="0" borderId="0" xfId="40" applyFont="1"/>
    <xf numFmtId="37" fontId="3" fillId="0" borderId="0" xfId="40" applyNumberFormat="1" applyFont="1" applyAlignment="1" applyProtection="1">
      <alignment horizontal="centerContinuous"/>
    </xf>
    <xf numFmtId="0" fontId="3" fillId="0" borderId="0" xfId="40" applyFont="1" applyProtection="1"/>
    <xf numFmtId="0" fontId="3" fillId="0" borderId="0" xfId="40" applyFont="1" applyAlignment="1" applyProtection="1">
      <alignment horizontal="left"/>
    </xf>
    <xf numFmtId="0" fontId="3" fillId="0" borderId="0" xfId="40" applyFont="1" applyBorder="1" applyAlignment="1" applyProtection="1">
      <alignment horizontal="fill"/>
    </xf>
    <xf numFmtId="0" fontId="3" fillId="0" borderId="2" xfId="40" applyFont="1" applyBorder="1" applyAlignment="1" applyProtection="1">
      <alignment horizontal="centerContinuous"/>
    </xf>
    <xf numFmtId="0" fontId="3" fillId="0" borderId="7" xfId="40" applyFont="1" applyBorder="1" applyAlignment="1" applyProtection="1">
      <alignment horizontal="centerContinuous"/>
    </xf>
    <xf numFmtId="0" fontId="3" fillId="0" borderId="0" xfId="40" applyFont="1" applyAlignment="1" applyProtection="1">
      <alignment horizontal="center"/>
    </xf>
    <xf numFmtId="0" fontId="3" fillId="0" borderId="0" xfId="40" quotePrefix="1" applyFont="1" applyAlignment="1" applyProtection="1">
      <alignment horizontal="center"/>
    </xf>
    <xf numFmtId="0" fontId="3" fillId="0" borderId="0" xfId="41" applyFont="1" applyAlignment="1" applyProtection="1">
      <alignment horizontal="centerContinuous"/>
    </xf>
    <xf numFmtId="0" fontId="3" fillId="0" borderId="0" xfId="41" applyFont="1" applyAlignment="1">
      <alignment horizontal="centerContinuous"/>
    </xf>
    <xf numFmtId="0" fontId="3" fillId="0" borderId="0" xfId="41" applyFont="1"/>
    <xf numFmtId="37" fontId="3" fillId="0" borderId="0" xfId="41" applyNumberFormat="1" applyFont="1" applyAlignment="1" applyProtection="1">
      <alignment horizontal="centerContinuous"/>
    </xf>
    <xf numFmtId="0" fontId="3" fillId="0" borderId="0" xfId="41" applyFont="1" applyProtection="1"/>
    <xf numFmtId="0" fontId="3" fillId="0" borderId="0" xfId="41" applyFont="1" applyAlignment="1" applyProtection="1">
      <alignment horizontal="left"/>
    </xf>
    <xf numFmtId="0" fontId="3" fillId="0" borderId="7" xfId="41" applyFont="1" applyBorder="1" applyAlignment="1" applyProtection="1">
      <alignment horizontal="fill"/>
    </xf>
    <xf numFmtId="0" fontId="3" fillId="0" borderId="0" xfId="41" applyFont="1" applyBorder="1" applyAlignment="1" applyProtection="1">
      <alignment horizontal="fill"/>
    </xf>
    <xf numFmtId="0" fontId="3" fillId="0" borderId="2" xfId="41" applyFont="1" applyBorder="1" applyAlignment="1" applyProtection="1">
      <alignment horizontal="centerContinuous"/>
    </xf>
    <xf numFmtId="0" fontId="3" fillId="0" borderId="0" xfId="41" applyFont="1" applyAlignment="1" applyProtection="1">
      <alignment horizontal="center"/>
    </xf>
    <xf numFmtId="37" fontId="3" fillId="0" borderId="0" xfId="41" applyNumberFormat="1" applyFont="1" applyAlignment="1" applyProtection="1">
      <alignment horizontal="center"/>
    </xf>
    <xf numFmtId="165" fontId="3" fillId="0" borderId="0" xfId="41" applyNumberFormat="1" applyFont="1" applyAlignment="1" applyProtection="1">
      <alignment horizontal="center"/>
    </xf>
    <xf numFmtId="0" fontId="3" fillId="0" borderId="0" xfId="41" applyFont="1" applyAlignment="1">
      <alignment horizontal="center"/>
    </xf>
    <xf numFmtId="0" fontId="3" fillId="0" borderId="7" xfId="41" applyFont="1" applyBorder="1" applyAlignment="1" applyProtection="1">
      <alignment horizontal="center"/>
    </xf>
    <xf numFmtId="0" fontId="3" fillId="0" borderId="0" xfId="39" applyFont="1" applyBorder="1" applyAlignment="1">
      <alignment horizontal="center"/>
    </xf>
    <xf numFmtId="0" fontId="51" fillId="0" borderId="0" xfId="40" applyFont="1" applyBorder="1"/>
    <xf numFmtId="39" fontId="53" fillId="0" borderId="0" xfId="0" applyNumberFormat="1" applyFont="1" applyFill="1" applyBorder="1"/>
    <xf numFmtId="0" fontId="3" fillId="0" borderId="0" xfId="41" applyFont="1" applyBorder="1"/>
    <xf numFmtId="37" fontId="3" fillId="0" borderId="0" xfId="40" applyNumberFormat="1" applyFont="1" applyBorder="1" applyProtection="1"/>
    <xf numFmtId="4" fontId="3" fillId="0" borderId="0" xfId="38" applyNumberFormat="1" applyFont="1" applyBorder="1" applyProtection="1"/>
    <xf numFmtId="0" fontId="3" fillId="0" borderId="0" xfId="41" applyFont="1" applyBorder="1" applyAlignment="1">
      <alignment horizontal="center"/>
    </xf>
    <xf numFmtId="37" fontId="3" fillId="0" borderId="0" xfId="39" applyNumberFormat="1" applyFont="1" applyBorder="1"/>
    <xf numFmtId="37" fontId="3" fillId="0" borderId="0" xfId="41" applyNumberFormat="1" applyFont="1" applyBorder="1"/>
    <xf numFmtId="37" fontId="53" fillId="0" borderId="0" xfId="41" applyNumberFormat="1" applyFont="1" applyBorder="1"/>
    <xf numFmtId="39" fontId="3" fillId="0" borderId="0" xfId="41" applyNumberFormat="1" applyFont="1" applyBorder="1"/>
    <xf numFmtId="0" fontId="3" fillId="0" borderId="0" xfId="41" applyFont="1" applyFill="1"/>
    <xf numFmtId="0" fontId="3" fillId="0" borderId="0" xfId="42" applyFont="1" applyAlignment="1" applyProtection="1">
      <alignment horizontal="centerContinuous"/>
    </xf>
    <xf numFmtId="0" fontId="3" fillId="0" borderId="0" xfId="42" applyFont="1" applyAlignment="1">
      <alignment horizontal="centerContinuous"/>
    </xf>
    <xf numFmtId="0" fontId="3" fillId="0" borderId="0" xfId="42" applyFont="1"/>
    <xf numFmtId="37" fontId="3" fillId="0" borderId="0" xfId="42" applyNumberFormat="1" applyFont="1" applyAlignment="1" applyProtection="1">
      <alignment horizontal="centerContinuous"/>
    </xf>
    <xf numFmtId="0" fontId="3" fillId="0" borderId="0" xfId="42" applyFont="1" applyProtection="1"/>
    <xf numFmtId="0" fontId="3" fillId="0" borderId="0" xfId="42" applyFont="1" applyAlignment="1" applyProtection="1">
      <alignment horizontal="left"/>
    </xf>
    <xf numFmtId="0" fontId="3" fillId="0" borderId="7" xfId="42" applyFont="1" applyBorder="1" applyAlignment="1" applyProtection="1">
      <alignment horizontal="fill"/>
    </xf>
    <xf numFmtId="0" fontId="3" fillId="0" borderId="0" xfId="42" applyFont="1" applyBorder="1" applyAlignment="1" applyProtection="1">
      <alignment horizontal="fill"/>
    </xf>
    <xf numFmtId="0" fontId="3" fillId="0" borderId="0" xfId="42" applyFont="1" applyAlignment="1" applyProtection="1">
      <alignment horizontal="center"/>
    </xf>
    <xf numFmtId="165" fontId="3" fillId="0" borderId="0" xfId="42" applyNumberFormat="1" applyFont="1" applyAlignment="1" applyProtection="1">
      <alignment horizontal="center"/>
    </xf>
    <xf numFmtId="0" fontId="3" fillId="0" borderId="0" xfId="42" applyFont="1" applyAlignment="1">
      <alignment horizontal="center"/>
    </xf>
    <xf numFmtId="0" fontId="3" fillId="0" borderId="7" xfId="42" applyFont="1" applyBorder="1" applyAlignment="1" applyProtection="1">
      <alignment horizontal="center"/>
    </xf>
    <xf numFmtId="0" fontId="3" fillId="0" borderId="0" xfId="42" applyFont="1" applyFill="1"/>
    <xf numFmtId="37" fontId="3" fillId="0" borderId="0" xfId="42" applyNumberFormat="1" applyFont="1" applyFill="1" applyProtection="1"/>
    <xf numFmtId="0" fontId="3" fillId="0" borderId="0" xfId="42" applyFont="1" applyFill="1" applyAlignment="1">
      <alignment horizontal="center"/>
    </xf>
    <xf numFmtId="0" fontId="3" fillId="0" borderId="0" xfId="39" applyFont="1" applyFill="1" applyAlignment="1" applyProtection="1">
      <alignment horizontal="left"/>
    </xf>
    <xf numFmtId="0" fontId="3" fillId="0" borderId="0" xfId="42" quotePrefix="1" applyFont="1" applyFill="1"/>
    <xf numFmtId="37" fontId="53" fillId="0" borderId="0" xfId="42" applyNumberFormat="1" applyFont="1" applyFill="1"/>
    <xf numFmtId="4" fontId="3" fillId="0" borderId="0" xfId="38" applyNumberFormat="1" applyFont="1" applyFill="1" applyAlignment="1" applyProtection="1">
      <alignment horizontal="center"/>
    </xf>
    <xf numFmtId="37" fontId="3" fillId="0" borderId="0" xfId="39" applyNumberFormat="1" applyFont="1" applyFill="1" applyProtection="1"/>
    <xf numFmtId="37" fontId="3" fillId="0" borderId="0" xfId="42" applyNumberFormat="1" applyFont="1" applyFill="1"/>
    <xf numFmtId="37" fontId="3" fillId="0" borderId="7" xfId="39" applyNumberFormat="1" applyFont="1" applyFill="1" applyBorder="1" applyProtection="1"/>
    <xf numFmtId="37" fontId="53" fillId="0" borderId="41" xfId="42" applyNumberFormat="1" applyFont="1" applyFill="1" applyBorder="1"/>
    <xf numFmtId="0" fontId="3" fillId="0" borderId="0" xfId="42" applyFont="1" applyFill="1" applyAlignment="1" applyProtection="1">
      <alignment horizontal="left"/>
    </xf>
    <xf numFmtId="179" fontId="3" fillId="0" borderId="0" xfId="42" applyNumberFormat="1" applyFont="1" applyFill="1" applyProtection="1">
      <protection locked="0"/>
    </xf>
    <xf numFmtId="179" fontId="53" fillId="0" borderId="0" xfId="42" applyNumberFormat="1" applyFont="1" applyFill="1" applyProtection="1">
      <protection locked="0"/>
    </xf>
    <xf numFmtId="37" fontId="3" fillId="0" borderId="9" xfId="42" applyNumberFormat="1" applyFont="1" applyFill="1" applyBorder="1" applyProtection="1"/>
    <xf numFmtId="178" fontId="53" fillId="0" borderId="0" xfId="42" applyNumberFormat="1" applyFont="1" applyFill="1" applyProtection="1">
      <protection locked="0"/>
    </xf>
    <xf numFmtId="37" fontId="53" fillId="0" borderId="0" xfId="42" applyNumberFormat="1" applyFont="1" applyFill="1" applyProtection="1">
      <protection locked="0"/>
    </xf>
    <xf numFmtId="39" fontId="53" fillId="0" borderId="0" xfId="42" applyNumberFormat="1" applyFont="1" applyFill="1" applyProtection="1">
      <protection locked="0"/>
    </xf>
    <xf numFmtId="39" fontId="3" fillId="0" borderId="0" xfId="42" applyNumberFormat="1" applyFont="1" applyFill="1" applyProtection="1"/>
    <xf numFmtId="0" fontId="3" fillId="0" borderId="0" xfId="42" applyFont="1" applyFill="1" applyAlignment="1">
      <alignment horizontal="right"/>
    </xf>
    <xf numFmtId="39" fontId="3" fillId="0" borderId="0" xfId="42" applyNumberFormat="1" applyFont="1" applyFill="1"/>
    <xf numFmtId="0" fontId="53" fillId="0" borderId="0" xfId="42" applyFont="1" applyFill="1"/>
    <xf numFmtId="0" fontId="78" fillId="0" borderId="0" xfId="41" applyFont="1" applyFill="1"/>
    <xf numFmtId="0" fontId="26" fillId="0" borderId="0" xfId="43" applyFont="1" applyFill="1" applyAlignment="1" applyProtection="1">
      <alignment horizontal="left"/>
    </xf>
    <xf numFmtId="0" fontId="3" fillId="0" borderId="0" xfId="43" applyNumberFormat="1" applyFont="1" applyAlignment="1">
      <alignment horizontal="center"/>
    </xf>
    <xf numFmtId="0" fontId="3" fillId="0" borderId="0" xfId="43" applyFont="1" applyAlignment="1" applyProtection="1">
      <alignment horizontal="centerContinuous"/>
    </xf>
    <xf numFmtId="0" fontId="3" fillId="0" borderId="0" xfId="43" applyFont="1" applyAlignment="1">
      <alignment horizontal="centerContinuous"/>
    </xf>
    <xf numFmtId="0" fontId="3" fillId="0" borderId="0" xfId="43" applyFont="1"/>
    <xf numFmtId="0" fontId="3" fillId="0" borderId="0" xfId="43" applyFont="1" applyProtection="1"/>
    <xf numFmtId="0" fontId="3" fillId="0" borderId="0" xfId="43" applyFont="1" applyBorder="1"/>
    <xf numFmtId="0" fontId="3" fillId="0" borderId="0" xfId="43" applyFont="1" applyAlignment="1" applyProtection="1">
      <alignment horizontal="left"/>
    </xf>
    <xf numFmtId="0" fontId="3" fillId="0" borderId="7" xfId="43" applyFont="1" applyBorder="1" applyAlignment="1" applyProtection="1">
      <alignment horizontal="fill"/>
    </xf>
    <xf numFmtId="0" fontId="3" fillId="0" borderId="0" xfId="43" applyFont="1" applyAlignment="1" applyProtection="1">
      <alignment horizontal="center"/>
    </xf>
    <xf numFmtId="0" fontId="3" fillId="0" borderId="7" xfId="43" quotePrefix="1" applyFont="1" applyBorder="1" applyAlignment="1">
      <alignment horizontal="center"/>
    </xf>
    <xf numFmtId="0" fontId="3" fillId="0" borderId="7" xfId="43" applyFont="1" applyBorder="1"/>
    <xf numFmtId="0" fontId="3" fillId="0" borderId="0" xfId="43" applyFont="1" applyFill="1"/>
    <xf numFmtId="0" fontId="3" fillId="0" borderId="0" xfId="43" applyFont="1" applyBorder="1" applyAlignment="1" applyProtection="1">
      <alignment horizontal="fill"/>
    </xf>
    <xf numFmtId="0" fontId="3" fillId="0" borderId="0" xfId="43" applyNumberFormat="1" applyFont="1" applyAlignment="1" applyProtection="1">
      <alignment horizontal="center"/>
    </xf>
    <xf numFmtId="37" fontId="3" fillId="0" borderId="0" xfId="43" applyNumberFormat="1" applyFont="1" applyFill="1" applyAlignment="1" applyProtection="1">
      <alignment horizontal="left"/>
    </xf>
    <xf numFmtId="37" fontId="3" fillId="0" borderId="0" xfId="20" quotePrefix="1" applyNumberFormat="1" applyFont="1" applyProtection="1"/>
    <xf numFmtId="165" fontId="3" fillId="0" borderId="0" xfId="43" applyNumberFormat="1" applyFont="1" applyAlignment="1" applyProtection="1">
      <alignment horizontal="center"/>
    </xf>
    <xf numFmtId="37" fontId="3" fillId="0" borderId="0" xfId="43" applyNumberFormat="1" applyFont="1" applyProtection="1"/>
    <xf numFmtId="37" fontId="3" fillId="0" borderId="0" xfId="43" applyNumberFormat="1" applyFont="1" applyBorder="1" applyProtection="1"/>
    <xf numFmtId="165" fontId="3" fillId="0" borderId="0" xfId="43" applyNumberFormat="1" applyFont="1" applyProtection="1"/>
    <xf numFmtId="0" fontId="3" fillId="0" borderId="0" xfId="43" applyFont="1" applyFill="1" applyAlignment="1" applyProtection="1">
      <alignment horizontal="left"/>
    </xf>
    <xf numFmtId="37" fontId="3" fillId="0" borderId="2" xfId="43" applyNumberFormat="1" applyFont="1" applyBorder="1" applyProtection="1"/>
    <xf numFmtId="0" fontId="3" fillId="0" borderId="0" xfId="43" applyFont="1" applyAlignment="1">
      <alignment horizontal="center"/>
    </xf>
    <xf numFmtId="37" fontId="3" fillId="0" borderId="0" xfId="43" applyNumberFormat="1" applyFont="1" applyFill="1" applyProtection="1"/>
    <xf numFmtId="0" fontId="3" fillId="0" borderId="0" xfId="43" quotePrefix="1" applyFont="1" applyAlignment="1" applyProtection="1">
      <alignment horizontal="left"/>
    </xf>
    <xf numFmtId="0" fontId="53" fillId="0" borderId="0" xfId="42" applyFont="1"/>
    <xf numFmtId="0" fontId="53" fillId="0" borderId="0" xfId="8" applyFont="1" applyBorder="1"/>
    <xf numFmtId="0" fontId="3" fillId="0" borderId="0" xfId="8" applyFont="1" applyBorder="1" applyAlignment="1">
      <alignment horizontal="center"/>
    </xf>
    <xf numFmtId="0" fontId="51" fillId="0" borderId="0" xfId="8" applyFont="1" applyBorder="1" applyAlignment="1">
      <alignment horizontal="center"/>
    </xf>
    <xf numFmtId="39" fontId="3" fillId="0" borderId="0" xfId="8" applyNumberFormat="1" applyFont="1" applyBorder="1"/>
    <xf numFmtId="0" fontId="3" fillId="0" borderId="0" xfId="44" applyFont="1" applyFill="1" applyAlignment="1" applyProtection="1">
      <alignment horizontal="centerContinuous"/>
    </xf>
    <xf numFmtId="0" fontId="3" fillId="0" borderId="0" xfId="44" applyFont="1" applyFill="1" applyAlignment="1">
      <alignment horizontal="centerContinuous"/>
    </xf>
    <xf numFmtId="0" fontId="3" fillId="0" borderId="0" xfId="44" applyFont="1" applyFill="1"/>
    <xf numFmtId="0" fontId="3" fillId="0" borderId="0" xfId="45" applyFont="1" applyFill="1"/>
    <xf numFmtId="0" fontId="3" fillId="0" borderId="0" xfId="45" applyFont="1" applyFill="1" applyAlignment="1">
      <alignment horizontal="left"/>
    </xf>
    <xf numFmtId="37" fontId="3" fillId="0" borderId="0" xfId="45" applyNumberFormat="1" applyFont="1" applyFill="1"/>
    <xf numFmtId="37" fontId="3" fillId="0" borderId="0" xfId="45" applyNumberFormat="1" applyFont="1" applyFill="1" applyAlignment="1">
      <alignment horizontal="center"/>
    </xf>
    <xf numFmtId="0" fontId="3" fillId="0" borderId="0" xfId="45" applyFont="1" applyFill="1" applyBorder="1"/>
    <xf numFmtId="37" fontId="3" fillId="0" borderId="0" xfId="45" applyNumberFormat="1" applyFont="1" applyFill="1" applyBorder="1"/>
    <xf numFmtId="37" fontId="3" fillId="0" borderId="0" xfId="44" applyNumberFormat="1" applyFont="1" applyFill="1" applyAlignment="1" applyProtection="1">
      <alignment horizontal="centerContinuous"/>
    </xf>
    <xf numFmtId="0" fontId="3" fillId="0" borderId="0" xfId="45" quotePrefix="1" applyFont="1" applyFill="1" applyBorder="1" applyAlignment="1">
      <alignment horizontal="left"/>
    </xf>
    <xf numFmtId="0" fontId="3" fillId="0" borderId="0" xfId="44" applyFont="1" applyFill="1" applyProtection="1"/>
    <xf numFmtId="0" fontId="3" fillId="0" borderId="0" xfId="44" applyFont="1" applyFill="1" applyAlignment="1" applyProtection="1">
      <alignment horizontal="left"/>
    </xf>
    <xf numFmtId="0" fontId="3" fillId="0" borderId="7" xfId="44" applyFont="1" applyFill="1" applyBorder="1" applyAlignment="1" applyProtection="1">
      <alignment horizontal="fill"/>
    </xf>
    <xf numFmtId="0" fontId="3" fillId="0" borderId="0" xfId="44" applyFont="1" applyFill="1" applyAlignment="1" applyProtection="1">
      <alignment horizontal="center"/>
    </xf>
    <xf numFmtId="0" fontId="3" fillId="0" borderId="0" xfId="44" applyFont="1" applyFill="1" applyAlignment="1">
      <alignment horizontal="center"/>
    </xf>
    <xf numFmtId="37" fontId="3" fillId="0" borderId="0" xfId="44" applyNumberFormat="1" applyFont="1" applyFill="1" applyAlignment="1" applyProtection="1">
      <alignment horizontal="center"/>
    </xf>
    <xf numFmtId="165" fontId="3" fillId="0" borderId="0" xfId="44" applyNumberFormat="1" applyFont="1" applyFill="1" applyAlignment="1" applyProtection="1">
      <alignment horizontal="centerContinuous"/>
    </xf>
    <xf numFmtId="0" fontId="3" fillId="0" borderId="0" xfId="44" applyFont="1" applyFill="1" applyAlignment="1" applyProtection="1"/>
    <xf numFmtId="165" fontId="3" fillId="0" borderId="0" xfId="44" applyNumberFormat="1" applyFont="1" applyFill="1" applyAlignment="1" applyProtection="1">
      <alignment horizontal="center"/>
    </xf>
    <xf numFmtId="0" fontId="3" fillId="0" borderId="7" xfId="44" applyFont="1" applyFill="1" applyBorder="1" applyAlignment="1" applyProtection="1">
      <alignment horizontal="center"/>
    </xf>
    <xf numFmtId="0" fontId="3" fillId="0" borderId="0" xfId="44" applyFont="1" applyFill="1" applyBorder="1" applyAlignment="1" applyProtection="1">
      <alignment horizontal="fill"/>
    </xf>
    <xf numFmtId="0" fontId="3" fillId="0" borderId="0" xfId="44" applyFont="1" applyFill="1" applyBorder="1" applyAlignment="1" applyProtection="1">
      <alignment horizontal="center"/>
    </xf>
    <xf numFmtId="0" fontId="54" fillId="0" borderId="0" xfId="44" applyFont="1" applyFill="1"/>
    <xf numFmtId="189" fontId="3" fillId="0" borderId="0" xfId="44" applyNumberFormat="1" applyFont="1" applyFill="1"/>
    <xf numFmtId="189" fontId="3" fillId="0" borderId="0" xfId="44" applyNumberFormat="1" applyFont="1" applyFill="1" applyAlignment="1" applyProtection="1">
      <alignment horizontal="center"/>
    </xf>
    <xf numFmtId="189" fontId="3" fillId="0" borderId="0" xfId="44" quotePrefix="1" applyNumberFormat="1" applyFont="1" applyFill="1" applyAlignment="1" applyProtection="1">
      <alignment horizontal="centerContinuous"/>
    </xf>
    <xf numFmtId="37" fontId="3" fillId="0" borderId="0" xfId="44" applyNumberFormat="1" applyFont="1" applyFill="1"/>
    <xf numFmtId="37" fontId="3" fillId="0" borderId="0" xfId="44" applyNumberFormat="1" applyFont="1" applyFill="1" applyAlignment="1" applyProtection="1">
      <alignment horizontal="right"/>
    </xf>
    <xf numFmtId="37" fontId="53" fillId="0" borderId="0" xfId="44" applyNumberFormat="1" applyFont="1" applyFill="1"/>
    <xf numFmtId="37" fontId="53" fillId="0" borderId="0" xfId="44" applyNumberFormat="1" applyFont="1" applyFill="1" applyProtection="1"/>
    <xf numFmtId="37" fontId="53" fillId="0" borderId="0" xfId="44" applyNumberFormat="1" applyFont="1" applyFill="1" applyAlignment="1"/>
    <xf numFmtId="37" fontId="3" fillId="0" borderId="0" xfId="44" applyNumberFormat="1" applyFont="1" applyFill="1" applyAlignment="1"/>
    <xf numFmtId="37" fontId="53" fillId="0" borderId="0" xfId="44" applyNumberFormat="1" applyFont="1" applyFill="1" applyProtection="1">
      <protection locked="0"/>
    </xf>
    <xf numFmtId="37" fontId="3" fillId="0" borderId="0" xfId="44" applyNumberFormat="1" applyFont="1" applyFill="1" applyProtection="1"/>
    <xf numFmtId="37" fontId="3" fillId="0" borderId="0" xfId="44" applyNumberFormat="1" applyFont="1" applyFill="1" applyAlignment="1" applyProtection="1"/>
    <xf numFmtId="37" fontId="75" fillId="0" borderId="0" xfId="44" applyNumberFormat="1" applyFont="1" applyFill="1"/>
    <xf numFmtId="37" fontId="75" fillId="0" borderId="0" xfId="44" applyNumberFormat="1" applyFont="1" applyFill="1" applyAlignment="1" applyProtection="1">
      <alignment horizontal="right"/>
    </xf>
    <xf numFmtId="0" fontId="87" fillId="0" borderId="0" xfId="44" applyFont="1" applyFill="1"/>
    <xf numFmtId="0" fontId="3" fillId="0" borderId="0" xfId="45" applyFont="1" applyFill="1" applyAlignment="1" applyProtection="1">
      <alignment horizontal="left"/>
    </xf>
    <xf numFmtId="0" fontId="3" fillId="0" borderId="0" xfId="45" applyFont="1" applyFill="1" applyAlignment="1">
      <alignment horizontal="centerContinuous"/>
    </xf>
    <xf numFmtId="37" fontId="3" fillId="0" borderId="0" xfId="45" applyNumberFormat="1" applyFont="1" applyFill="1" applyAlignment="1" applyProtection="1">
      <alignment horizontal="centerContinuous"/>
    </xf>
    <xf numFmtId="37" fontId="3" fillId="0" borderId="0" xfId="45" applyNumberFormat="1" applyFont="1" applyFill="1" applyAlignment="1" applyProtection="1">
      <alignment horizontal="left"/>
    </xf>
    <xf numFmtId="0" fontId="3" fillId="0" borderId="0" xfId="45" applyFont="1" applyFill="1" applyProtection="1"/>
    <xf numFmtId="0" fontId="3" fillId="0" borderId="7" xfId="45" applyFont="1" applyFill="1" applyBorder="1" applyAlignment="1" applyProtection="1">
      <alignment horizontal="fill"/>
    </xf>
    <xf numFmtId="0" fontId="3" fillId="0" borderId="0" xfId="45" applyFont="1" applyFill="1" applyAlignment="1" applyProtection="1">
      <alignment horizontal="center"/>
    </xf>
    <xf numFmtId="0" fontId="3" fillId="0" borderId="10" xfId="45" applyFont="1" applyFill="1" applyBorder="1" applyAlignment="1">
      <alignment horizontal="centerContinuous"/>
    </xf>
    <xf numFmtId="0" fontId="3" fillId="0" borderId="0" xfId="45" applyFont="1" applyFill="1" applyBorder="1" applyAlignment="1" applyProtection="1">
      <alignment horizontal="center"/>
    </xf>
    <xf numFmtId="197" fontId="3" fillId="0" borderId="0" xfId="11" applyNumberFormat="1" applyFont="1" applyFill="1" applyBorder="1" applyAlignment="1" applyProtection="1">
      <alignment horizontal="center"/>
      <protection locked="0"/>
    </xf>
    <xf numFmtId="0" fontId="3" fillId="0" borderId="0" xfId="45" applyFont="1" applyFill="1" applyAlignment="1">
      <alignment horizontal="center"/>
    </xf>
    <xf numFmtId="0" fontId="51" fillId="0" borderId="0" xfId="45" applyFont="1" applyFill="1" applyAlignment="1" applyProtection="1">
      <alignment horizontal="left"/>
      <protection locked="0"/>
    </xf>
    <xf numFmtId="37" fontId="3" fillId="0" borderId="0" xfId="45" applyNumberFormat="1" applyFont="1" applyFill="1" applyAlignment="1" applyProtection="1">
      <protection locked="0"/>
    </xf>
    <xf numFmtId="37" fontId="53" fillId="0" borderId="0" xfId="45" applyNumberFormat="1" applyFont="1" applyFill="1" applyAlignment="1" applyProtection="1">
      <protection locked="0"/>
    </xf>
    <xf numFmtId="37" fontId="3" fillId="0" borderId="2" xfId="45" applyNumberFormat="1" applyFont="1" applyFill="1" applyBorder="1" applyAlignment="1" applyProtection="1">
      <protection locked="0"/>
    </xf>
    <xf numFmtId="37" fontId="3" fillId="0" borderId="0" xfId="45" applyNumberFormat="1" applyFont="1" applyFill="1" applyBorder="1" applyAlignment="1" applyProtection="1">
      <protection locked="0"/>
    </xf>
    <xf numFmtId="37" fontId="53" fillId="0" borderId="0" xfId="45" applyNumberFormat="1" applyFont="1" applyFill="1" applyBorder="1" applyAlignment="1" applyProtection="1">
      <protection locked="0"/>
    </xf>
    <xf numFmtId="37" fontId="3" fillId="0" borderId="0" xfId="45" applyNumberFormat="1" applyFont="1" applyFill="1" applyAlignment="1"/>
    <xf numFmtId="37" fontId="53" fillId="0" borderId="0" xfId="45" applyNumberFormat="1" applyFont="1" applyFill="1" applyAlignment="1"/>
    <xf numFmtId="37" fontId="3" fillId="0" borderId="0" xfId="45" applyNumberFormat="1" applyFont="1" applyFill="1" applyBorder="1" applyAlignment="1" applyProtection="1">
      <alignment horizontal="center"/>
    </xf>
    <xf numFmtId="37" fontId="3" fillId="0" borderId="0" xfId="45" applyNumberFormat="1" applyFont="1" applyFill="1" applyBorder="1" applyProtection="1"/>
    <xf numFmtId="37" fontId="3" fillId="0" borderId="0" xfId="45" applyNumberFormat="1" applyFont="1" applyFill="1" applyProtection="1"/>
    <xf numFmtId="37" fontId="53" fillId="0" borderId="0" xfId="45" applyNumberFormat="1" applyFont="1" applyFill="1" applyAlignment="1" applyProtection="1">
      <alignment horizontal="center"/>
      <protection locked="0"/>
    </xf>
    <xf numFmtId="37" fontId="3" fillId="0" borderId="9" xfId="45" applyNumberFormat="1" applyFont="1" applyFill="1" applyBorder="1" applyAlignment="1"/>
    <xf numFmtId="178" fontId="3" fillId="0" borderId="0" xfId="44" applyNumberFormat="1" applyFont="1" applyFill="1" applyProtection="1"/>
    <xf numFmtId="0" fontId="3" fillId="0" borderId="7" xfId="44" quotePrefix="1" applyFont="1" applyFill="1" applyBorder="1" applyAlignment="1" applyProtection="1">
      <alignment horizontal="center"/>
    </xf>
    <xf numFmtId="0" fontId="3" fillId="0" borderId="0" xfId="45" applyFont="1" applyAlignment="1" applyProtection="1">
      <alignment horizontal="centerContinuous"/>
    </xf>
    <xf numFmtId="0" fontId="3" fillId="0" borderId="0" xfId="45" applyFont="1" applyAlignment="1">
      <alignment horizontal="centerContinuous"/>
    </xf>
    <xf numFmtId="37" fontId="3" fillId="0" borderId="0" xfId="45" applyNumberFormat="1" applyFont="1" applyAlignment="1" applyProtection="1">
      <alignment horizontal="centerContinuous"/>
    </xf>
    <xf numFmtId="0" fontId="3" fillId="0" borderId="0" xfId="45" applyFont="1"/>
    <xf numFmtId="0" fontId="3" fillId="0" borderId="0" xfId="45" applyFont="1" applyProtection="1"/>
    <xf numFmtId="0" fontId="3" fillId="0" borderId="0" xfId="45" applyFont="1" applyAlignment="1" applyProtection="1">
      <alignment horizontal="left"/>
    </xf>
    <xf numFmtId="0" fontId="3" fillId="0" borderId="7" xfId="45" applyFont="1" applyBorder="1" applyAlignment="1" applyProtection="1">
      <alignment horizontal="fill"/>
    </xf>
    <xf numFmtId="0" fontId="3" fillId="0" borderId="0" xfId="45" applyFont="1" applyAlignment="1" applyProtection="1">
      <alignment horizontal="center"/>
    </xf>
    <xf numFmtId="0" fontId="3" fillId="0" borderId="2" xfId="45" applyFont="1" applyBorder="1" applyAlignment="1">
      <alignment horizontal="centerContinuous"/>
    </xf>
    <xf numFmtId="0" fontId="3" fillId="0" borderId="0" xfId="45" applyFont="1" applyAlignment="1">
      <alignment horizontal="center"/>
    </xf>
    <xf numFmtId="0" fontId="51" fillId="0" borderId="0" xfId="45" applyFont="1" applyAlignment="1" applyProtection="1">
      <alignment horizontal="left"/>
      <protection locked="0"/>
    </xf>
    <xf numFmtId="0" fontId="3" fillId="0" borderId="0" xfId="45" applyFont="1" applyBorder="1"/>
    <xf numFmtId="0" fontId="3" fillId="0" borderId="0" xfId="45" applyFont="1" applyAlignment="1" applyProtection="1">
      <alignment horizontal="left"/>
      <protection locked="0"/>
    </xf>
    <xf numFmtId="37" fontId="53" fillId="0" borderId="0" xfId="45" applyNumberFormat="1" applyFont="1" applyAlignment="1" applyProtection="1">
      <protection locked="0"/>
    </xf>
    <xf numFmtId="37" fontId="3" fillId="0" borderId="0" xfId="45" applyNumberFormat="1" applyFont="1" applyAlignment="1" applyProtection="1">
      <protection locked="0"/>
    </xf>
    <xf numFmtId="165" fontId="3" fillId="0" borderId="0" xfId="45" applyNumberFormat="1" applyFont="1" applyBorder="1" applyAlignment="1" applyProtection="1"/>
    <xf numFmtId="37" fontId="3" fillId="0" borderId="0" xfId="45" applyNumberFormat="1" applyFont="1" applyBorder="1" applyProtection="1"/>
    <xf numFmtId="37" fontId="3" fillId="0" borderId="0" xfId="45" applyNumberFormat="1" applyFont="1" applyProtection="1"/>
    <xf numFmtId="37" fontId="53" fillId="0" borderId="0" xfId="45" applyNumberFormat="1" applyFont="1" applyAlignment="1" applyProtection="1">
      <alignment horizontal="center"/>
      <protection locked="0"/>
    </xf>
    <xf numFmtId="37" fontId="3" fillId="0" borderId="0" xfId="45" applyNumberFormat="1" applyFont="1" applyBorder="1" applyAlignment="1" applyProtection="1">
      <protection locked="0"/>
    </xf>
    <xf numFmtId="0" fontId="3" fillId="0" borderId="0" xfId="45" applyFont="1" applyAlignment="1">
      <alignment horizontal="left"/>
    </xf>
    <xf numFmtId="0" fontId="3" fillId="0" borderId="0" xfId="45" applyFont="1" applyAlignment="1" applyProtection="1">
      <alignment horizontal="center"/>
      <protection locked="0"/>
    </xf>
    <xf numFmtId="37" fontId="53" fillId="0" borderId="0" xfId="45" applyNumberFormat="1" applyFont="1" applyAlignment="1"/>
    <xf numFmtId="37" fontId="3" fillId="0" borderId="0" xfId="45" applyNumberFormat="1" applyFont="1" applyAlignment="1"/>
    <xf numFmtId="37" fontId="3" fillId="0" borderId="0" xfId="45" applyNumberFormat="1" applyFont="1" applyBorder="1" applyAlignment="1"/>
    <xf numFmtId="0" fontId="3" fillId="0" borderId="0" xfId="45" applyFont="1" applyBorder="1" applyAlignment="1"/>
    <xf numFmtId="37" fontId="85" fillId="0" borderId="0" xfId="45" applyNumberFormat="1" applyFont="1" applyAlignment="1" applyProtection="1">
      <protection locked="0"/>
    </xf>
    <xf numFmtId="37" fontId="51" fillId="0" borderId="0" xfId="45" applyNumberFormat="1" applyFont="1" applyAlignment="1" applyProtection="1">
      <protection locked="0"/>
    </xf>
    <xf numFmtId="37" fontId="51" fillId="0" borderId="0" xfId="45" applyNumberFormat="1" applyFont="1" applyBorder="1" applyProtection="1"/>
    <xf numFmtId="37" fontId="51" fillId="0" borderId="0" xfId="45" applyNumberFormat="1" applyFont="1" applyProtection="1"/>
    <xf numFmtId="0" fontId="53" fillId="0" borderId="0" xfId="45" applyFont="1" applyAlignment="1" applyProtection="1">
      <alignment horizontal="left"/>
      <protection locked="0"/>
    </xf>
    <xf numFmtId="165" fontId="3" fillId="0" borderId="0" xfId="45" applyNumberFormat="1" applyFont="1" applyBorder="1" applyAlignment="1" applyProtection="1">
      <alignment horizontal="center"/>
    </xf>
    <xf numFmtId="0" fontId="3" fillId="0" borderId="0" xfId="45" applyFont="1" applyAlignment="1">
      <alignment horizontal="left" indent="3"/>
    </xf>
    <xf numFmtId="37" fontId="75" fillId="0" borderId="0" xfId="45" applyNumberFormat="1" applyFont="1" applyBorder="1" applyAlignment="1"/>
    <xf numFmtId="10" fontId="3" fillId="0" borderId="0" xfId="45" applyNumberFormat="1" applyFont="1" applyBorder="1" applyAlignment="1" applyProtection="1">
      <alignment horizontal="center"/>
    </xf>
    <xf numFmtId="37" fontId="53" fillId="0" borderId="0" xfId="45" applyNumberFormat="1" applyFont="1" applyProtection="1">
      <protection locked="0"/>
    </xf>
    <xf numFmtId="0" fontId="3" fillId="4" borderId="0" xfId="45" applyFont="1" applyFill="1"/>
    <xf numFmtId="165" fontId="3" fillId="0" borderId="0" xfId="45" applyNumberFormat="1" applyFont="1" applyBorder="1" applyAlignment="1" applyProtection="1">
      <alignment horizontal="right"/>
    </xf>
    <xf numFmtId="0" fontId="3" fillId="0" borderId="0" xfId="45" applyFont="1" applyBorder="1" applyAlignment="1">
      <alignment horizontal="right"/>
    </xf>
    <xf numFmtId="0" fontId="3" fillId="0" borderId="0" xfId="45" applyFont="1" applyBorder="1" applyAlignment="1" applyProtection="1">
      <alignment horizontal="center"/>
    </xf>
    <xf numFmtId="37" fontId="3" fillId="0" borderId="0" xfId="45" applyNumberFormat="1" applyFont="1"/>
    <xf numFmtId="37" fontId="53" fillId="0" borderId="0" xfId="45" applyNumberFormat="1" applyFont="1" applyFill="1" applyBorder="1" applyAlignment="1" applyProtection="1">
      <alignment horizontal="center"/>
      <protection locked="0"/>
    </xf>
    <xf numFmtId="0" fontId="3" fillId="0" borderId="0" xfId="71" applyFont="1" applyFill="1"/>
    <xf numFmtId="0" fontId="3" fillId="0" borderId="0" xfId="45" applyFont="1" applyFill="1" applyAlignment="1" applyProtection="1">
      <alignment horizontal="left"/>
      <protection locked="0"/>
    </xf>
    <xf numFmtId="0" fontId="3" fillId="0" borderId="0" xfId="45" applyFont="1" applyFill="1" applyAlignment="1" applyProtection="1">
      <alignment horizontal="center"/>
      <protection locked="0"/>
    </xf>
    <xf numFmtId="0" fontId="51" fillId="0" borderId="0" xfId="45" applyFont="1" applyFill="1" applyAlignment="1">
      <alignment horizontal="left"/>
    </xf>
    <xf numFmtId="0" fontId="3" fillId="0" borderId="0" xfId="45" quotePrefix="1" applyFont="1" applyFill="1" applyAlignment="1" applyProtection="1">
      <alignment horizontal="left"/>
      <protection locked="0"/>
    </xf>
    <xf numFmtId="0" fontId="3" fillId="0" borderId="7" xfId="45" applyFont="1" applyBorder="1" applyAlignment="1" applyProtection="1">
      <alignment horizontal="center"/>
    </xf>
    <xf numFmtId="0" fontId="3" fillId="0" borderId="7" xfId="45" applyFont="1" applyFill="1" applyBorder="1" applyAlignment="1" applyProtection="1">
      <alignment horizontal="center"/>
    </xf>
    <xf numFmtId="197" fontId="3" fillId="0" borderId="7" xfId="11" applyNumberFormat="1" applyFont="1" applyBorder="1" applyAlignment="1" applyProtection="1">
      <alignment horizontal="center"/>
      <protection locked="0"/>
    </xf>
    <xf numFmtId="0" fontId="73" fillId="0" borderId="7" xfId="46" applyFont="1" applyBorder="1" applyAlignment="1" applyProtection="1">
      <alignment horizontal="centerContinuous"/>
    </xf>
    <xf numFmtId="37" fontId="73" fillId="0" borderId="0" xfId="46" applyNumberFormat="1" applyFont="1" applyAlignment="1" applyProtection="1">
      <alignment horizontal="right"/>
      <protection locked="0"/>
    </xf>
    <xf numFmtId="0" fontId="7" fillId="0" borderId="0" xfId="46" quotePrefix="1" applyFont="1"/>
    <xf numFmtId="0" fontId="3" fillId="0" borderId="0" xfId="47" applyFont="1" applyAlignment="1" applyProtection="1">
      <alignment horizontal="centerContinuous"/>
    </xf>
    <xf numFmtId="0" fontId="3" fillId="0" borderId="0" xfId="47" applyFont="1" applyAlignment="1">
      <alignment horizontal="centerContinuous"/>
    </xf>
    <xf numFmtId="0" fontId="3" fillId="0" borderId="0" xfId="47" applyFont="1"/>
    <xf numFmtId="37" fontId="3" fillId="0" borderId="0" xfId="47" applyNumberFormat="1" applyFont="1" applyAlignment="1" applyProtection="1">
      <alignment horizontal="centerContinuous"/>
    </xf>
    <xf numFmtId="0" fontId="3" fillId="0" borderId="0" xfId="47" applyFont="1" applyProtection="1"/>
    <xf numFmtId="0" fontId="3" fillId="0" borderId="7" xfId="47" applyFont="1" applyBorder="1" applyAlignment="1" applyProtection="1">
      <alignment horizontal="fill"/>
    </xf>
    <xf numFmtId="37" fontId="3" fillId="0" borderId="0" xfId="47" applyNumberFormat="1" applyFont="1" applyProtection="1"/>
    <xf numFmtId="178" fontId="3" fillId="0" borderId="0" xfId="47" applyNumberFormat="1" applyFont="1" applyProtection="1"/>
    <xf numFmtId="0" fontId="3" fillId="0" borderId="0" xfId="50" applyFont="1" applyAlignment="1" applyProtection="1">
      <alignment horizontal="centerContinuous"/>
    </xf>
    <xf numFmtId="0" fontId="3" fillId="0" borderId="0" xfId="50" applyFont="1" applyAlignment="1">
      <alignment horizontal="centerContinuous"/>
    </xf>
    <xf numFmtId="0" fontId="3" fillId="0" borderId="0" xfId="50" applyFont="1"/>
    <xf numFmtId="0" fontId="3" fillId="0" borderId="0" xfId="50" applyFont="1" applyProtection="1"/>
    <xf numFmtId="0" fontId="3" fillId="0" borderId="0" xfId="50" applyFont="1" applyAlignment="1" applyProtection="1">
      <alignment horizontal="left"/>
    </xf>
    <xf numFmtId="0" fontId="3" fillId="0" borderId="7" xfId="50" applyFont="1" applyBorder="1" applyAlignment="1" applyProtection="1">
      <alignment horizontal="fill"/>
    </xf>
    <xf numFmtId="0" fontId="3" fillId="0" borderId="0" xfId="50" applyFont="1" applyAlignment="1" applyProtection="1">
      <alignment horizontal="center"/>
    </xf>
    <xf numFmtId="0" fontId="3" fillId="0" borderId="7" xfId="50" applyFont="1" applyBorder="1" applyAlignment="1" applyProtection="1">
      <alignment horizontal="center"/>
    </xf>
    <xf numFmtId="37" fontId="3" fillId="0" borderId="0" xfId="50" applyNumberFormat="1" applyFont="1" applyProtection="1"/>
    <xf numFmtId="180" fontId="3" fillId="0" borderId="0" xfId="50" applyNumberFormat="1" applyFont="1" applyProtection="1"/>
    <xf numFmtId="0" fontId="3" fillId="0" borderId="0" xfId="50" applyFont="1" applyAlignment="1">
      <alignment horizontal="center"/>
    </xf>
    <xf numFmtId="166" fontId="3" fillId="0" borderId="0" xfId="50" applyNumberFormat="1" applyFont="1" applyProtection="1"/>
    <xf numFmtId="166" fontId="51" fillId="0" borderId="0" xfId="50" applyNumberFormat="1" applyFont="1" applyProtection="1"/>
    <xf numFmtId="180" fontId="51" fillId="0" borderId="0" xfId="50" applyNumberFormat="1" applyFont="1" applyProtection="1"/>
    <xf numFmtId="37" fontId="3" fillId="0" borderId="0" xfId="50" applyNumberFormat="1" applyFont="1" applyAlignment="1" applyProtection="1">
      <alignment horizontal="right"/>
    </xf>
    <xf numFmtId="166" fontId="3" fillId="0" borderId="0" xfId="50" applyNumberFormat="1" applyFont="1" applyAlignment="1" applyProtection="1">
      <alignment horizontal="left"/>
    </xf>
    <xf numFmtId="0" fontId="3" fillId="0" borderId="0" xfId="50" applyFont="1" applyAlignment="1" applyProtection="1">
      <alignment horizontal="right"/>
    </xf>
    <xf numFmtId="180" fontId="75" fillId="0" borderId="0" xfId="50" applyNumberFormat="1" applyFont="1" applyProtection="1"/>
    <xf numFmtId="174" fontId="75" fillId="0" borderId="0" xfId="50" applyNumberFormat="1" applyFont="1" applyProtection="1"/>
    <xf numFmtId="0" fontId="3" fillId="0" borderId="0" xfId="50" applyFont="1" applyBorder="1" applyProtection="1"/>
    <xf numFmtId="0" fontId="3" fillId="0" borderId="0" xfId="50" applyFont="1" applyBorder="1"/>
    <xf numFmtId="0" fontId="3" fillId="0" borderId="0" xfId="50" applyFont="1" applyBorder="1" applyAlignment="1" applyProtection="1">
      <alignment horizontal="left"/>
    </xf>
    <xf numFmtId="0" fontId="3" fillId="0" borderId="0" xfId="50" applyFont="1" applyFill="1" applyAlignment="1" applyProtection="1">
      <alignment horizontal="centerContinuous"/>
    </xf>
    <xf numFmtId="0" fontId="3" fillId="0" borderId="0" xfId="50" applyFont="1" applyFill="1" applyAlignment="1">
      <alignment horizontal="centerContinuous"/>
    </xf>
    <xf numFmtId="0" fontId="3" fillId="0" borderId="0" xfId="50" applyFont="1" applyFill="1"/>
    <xf numFmtId="0" fontId="3" fillId="0" borderId="0" xfId="50" applyFont="1" applyFill="1" applyAlignment="1" applyProtection="1">
      <alignment horizontal="left"/>
    </xf>
    <xf numFmtId="0" fontId="3" fillId="0" borderId="7" xfId="50" applyFont="1" applyFill="1" applyBorder="1" applyAlignment="1" applyProtection="1">
      <alignment horizontal="fill"/>
    </xf>
    <xf numFmtId="0" fontId="3" fillId="0" borderId="0" xfId="50" applyFont="1" applyFill="1" applyAlignment="1" applyProtection="1">
      <alignment horizontal="center"/>
    </xf>
    <xf numFmtId="0" fontId="3" fillId="0" borderId="7" xfId="50" applyFont="1" applyFill="1" applyBorder="1" applyAlignment="1" applyProtection="1">
      <alignment horizontal="center"/>
    </xf>
    <xf numFmtId="37" fontId="3" fillId="0" borderId="0" xfId="50" applyNumberFormat="1" applyFont="1" applyFill="1" applyProtection="1"/>
    <xf numFmtId="180" fontId="3" fillId="0" borderId="0" xfId="50" applyNumberFormat="1" applyFont="1" applyFill="1" applyProtection="1"/>
    <xf numFmtId="0" fontId="3" fillId="0" borderId="0" xfId="50" applyFont="1" applyFill="1" applyAlignment="1">
      <alignment horizontal="center"/>
    </xf>
    <xf numFmtId="166" fontId="3" fillId="0" borderId="0" xfId="50" applyNumberFormat="1" applyFont="1" applyFill="1" applyProtection="1"/>
    <xf numFmtId="166" fontId="51" fillId="0" borderId="0" xfId="50" applyNumberFormat="1" applyFont="1" applyFill="1" applyProtection="1"/>
    <xf numFmtId="180" fontId="51" fillId="0" borderId="0" xfId="50" applyNumberFormat="1" applyFont="1" applyFill="1" applyProtection="1"/>
    <xf numFmtId="37" fontId="3" fillId="0" borderId="0" xfId="50" applyNumberFormat="1" applyFont="1" applyFill="1" applyAlignment="1" applyProtection="1">
      <alignment horizontal="right"/>
    </xf>
    <xf numFmtId="166" fontId="3" fillId="0" borderId="0" xfId="50" applyNumberFormat="1" applyFont="1" applyFill="1" applyAlignment="1" applyProtection="1">
      <alignment horizontal="left"/>
    </xf>
    <xf numFmtId="0" fontId="3" fillId="0" borderId="0" xfId="50" applyFont="1" applyFill="1" applyAlignment="1" applyProtection="1">
      <alignment horizontal="right"/>
    </xf>
    <xf numFmtId="180" fontId="75" fillId="0" borderId="0" xfId="50" applyNumberFormat="1" applyFont="1" applyFill="1" applyProtection="1"/>
    <xf numFmtId="174" fontId="75" fillId="0" borderId="0" xfId="50" applyNumberFormat="1" applyFont="1" applyFill="1" applyProtection="1"/>
    <xf numFmtId="0" fontId="3" fillId="0" borderId="0" xfId="50" applyFont="1" applyFill="1" applyBorder="1"/>
    <xf numFmtId="167" fontId="56" fillId="0" borderId="0" xfId="50" applyNumberFormat="1" applyFont="1" applyFill="1" applyBorder="1" applyAlignment="1" applyProtection="1">
      <alignment horizontal="left"/>
    </xf>
    <xf numFmtId="0" fontId="3" fillId="0" borderId="0" xfId="50" applyFont="1" applyBorder="1" applyAlignment="1" applyProtection="1">
      <alignment horizontal="center"/>
    </xf>
    <xf numFmtId="0" fontId="51" fillId="0" borderId="0" xfId="50" applyFont="1" applyBorder="1" applyAlignment="1" applyProtection="1">
      <alignment horizontal="center"/>
    </xf>
    <xf numFmtId="0" fontId="3" fillId="0" borderId="0" xfId="50" applyFont="1" applyBorder="1" applyAlignment="1" applyProtection="1">
      <alignment horizontal="right"/>
    </xf>
    <xf numFmtId="180" fontId="3" fillId="0" borderId="0" xfId="62" applyNumberFormat="1" applyFont="1" applyFill="1" applyBorder="1" applyAlignment="1">
      <alignment horizontal="right"/>
    </xf>
    <xf numFmtId="37" fontId="3" fillId="0" borderId="0" xfId="50" applyNumberFormat="1" applyFont="1" applyBorder="1" applyProtection="1"/>
    <xf numFmtId="10" fontId="3" fillId="0" borderId="0" xfId="62" applyNumberFormat="1" applyFont="1" applyFill="1" applyBorder="1" applyAlignment="1">
      <alignment horizontal="right"/>
    </xf>
    <xf numFmtId="37" fontId="3" fillId="0" borderId="0" xfId="0" applyNumberFormat="1" applyFont="1" applyFill="1" applyAlignment="1" applyProtection="1">
      <alignment horizontal="right"/>
    </xf>
    <xf numFmtId="38" fontId="3" fillId="0" borderId="0" xfId="8" applyNumberFormat="1" applyFont="1" applyFill="1" applyBorder="1"/>
    <xf numFmtId="37" fontId="3" fillId="0" borderId="0" xfId="50" applyNumberFormat="1" applyFont="1" applyFill="1" applyBorder="1" applyProtection="1"/>
    <xf numFmtId="0" fontId="3" fillId="0" borderId="0" xfId="0" applyFont="1" applyAlignment="1" applyProtection="1">
      <alignment horizontal="center"/>
    </xf>
    <xf numFmtId="200" fontId="3" fillId="0" borderId="0" xfId="0" quotePrefix="1" applyNumberFormat="1" applyFont="1" applyAlignment="1" applyProtection="1">
      <alignment horizontal="left"/>
    </xf>
    <xf numFmtId="180" fontId="3" fillId="0" borderId="0" xfId="0" applyNumberFormat="1" applyFont="1"/>
    <xf numFmtId="200" fontId="3" fillId="0" borderId="0" xfId="0" quotePrefix="1" applyNumberFormat="1" applyFont="1" applyAlignment="1">
      <alignment horizontal="left"/>
    </xf>
    <xf numFmtId="166" fontId="75" fillId="0" borderId="0" xfId="50" applyNumberFormat="1" applyFont="1" applyBorder="1" applyProtection="1"/>
    <xf numFmtId="0" fontId="3" fillId="0" borderId="0" xfId="0" applyFont="1" applyAlignment="1">
      <alignment horizontal="left"/>
    </xf>
    <xf numFmtId="37" fontId="3" fillId="0" borderId="0" xfId="50" applyNumberFormat="1" applyFont="1" applyBorder="1" applyAlignment="1" applyProtection="1">
      <alignment horizontal="right"/>
    </xf>
    <xf numFmtId="37" fontId="3" fillId="0" borderId="0" xfId="0" applyNumberFormat="1" applyFont="1" applyAlignment="1" applyProtection="1">
      <alignment horizontal="right"/>
    </xf>
    <xf numFmtId="38" fontId="3" fillId="0" borderId="0" xfId="8" applyNumberFormat="1" applyFont="1" applyBorder="1"/>
    <xf numFmtId="10" fontId="3" fillId="0" borderId="0" xfId="0" applyNumberFormat="1" applyFont="1"/>
    <xf numFmtId="0" fontId="3" fillId="0" borderId="0" xfId="0" applyFont="1" applyBorder="1" applyAlignment="1" applyProtection="1">
      <alignment horizontal="left"/>
    </xf>
    <xf numFmtId="37" fontId="3" fillId="0" borderId="0" xfId="0" applyNumberFormat="1" applyFont="1" applyBorder="1" applyProtection="1"/>
    <xf numFmtId="0" fontId="3" fillId="0" borderId="0" xfId="0" applyFont="1" applyBorder="1" applyAlignment="1">
      <alignment horizontal="left"/>
    </xf>
    <xf numFmtId="167" fontId="3" fillId="0" borderId="0" xfId="50" applyNumberFormat="1" applyFont="1" applyBorder="1" applyProtection="1"/>
    <xf numFmtId="37" fontId="3" fillId="0" borderId="0" xfId="0" applyNumberFormat="1" applyFont="1" applyBorder="1" applyAlignment="1" applyProtection="1">
      <alignment horizontal="center"/>
    </xf>
    <xf numFmtId="0" fontId="3" fillId="0" borderId="0" xfId="50" applyFont="1" applyBorder="1" applyAlignment="1">
      <alignment horizontal="left"/>
    </xf>
    <xf numFmtId="0" fontId="51" fillId="0" borderId="0" xfId="50" applyFont="1" applyBorder="1"/>
    <xf numFmtId="0" fontId="3" fillId="0" borderId="0" xfId="50" applyFont="1" applyBorder="1" applyAlignment="1">
      <alignment horizontal="center"/>
    </xf>
    <xf numFmtId="166" fontId="3" fillId="0" borderId="0" xfId="50" applyNumberFormat="1" applyFont="1" applyBorder="1" applyProtection="1"/>
    <xf numFmtId="0" fontId="53" fillId="0" borderId="0" xfId="50" applyFont="1" applyBorder="1" applyAlignment="1" applyProtection="1">
      <alignment horizontal="left"/>
      <protection locked="0"/>
    </xf>
    <xf numFmtId="0" fontId="56" fillId="0" borderId="0" xfId="50" applyFont="1" applyFill="1" applyBorder="1" applyAlignment="1" applyProtection="1">
      <alignment horizontal="center"/>
    </xf>
    <xf numFmtId="37" fontId="56" fillId="0" borderId="0" xfId="50" applyNumberFormat="1" applyFont="1" applyBorder="1" applyProtection="1">
      <protection locked="0"/>
    </xf>
    <xf numFmtId="185" fontId="3" fillId="0" borderId="0" xfId="50" applyNumberFormat="1" applyFont="1" applyBorder="1" applyProtection="1"/>
    <xf numFmtId="10" fontId="3" fillId="0" borderId="0" xfId="50" applyNumberFormat="1" applyFont="1" applyBorder="1" applyProtection="1"/>
    <xf numFmtId="0" fontId="3" fillId="0" borderId="0" xfId="50" applyFont="1" applyBorder="1" applyAlignment="1" applyProtection="1">
      <alignment horizontal="fill"/>
    </xf>
    <xf numFmtId="37" fontId="3" fillId="0" borderId="0" xfId="50" applyNumberFormat="1" applyFont="1" applyBorder="1" applyAlignment="1" applyProtection="1">
      <alignment horizontal="center"/>
    </xf>
    <xf numFmtId="37" fontId="85" fillId="0" borderId="0" xfId="50" applyNumberFormat="1" applyFont="1" applyBorder="1" applyProtection="1">
      <protection locked="0"/>
    </xf>
    <xf numFmtId="0" fontId="51" fillId="0" borderId="0" xfId="50" applyFont="1" applyBorder="1" applyAlignment="1" applyProtection="1">
      <alignment horizontal="left"/>
    </xf>
    <xf numFmtId="181" fontId="54" fillId="0" borderId="0" xfId="11" applyFont="1" applyFill="1" applyAlignment="1" applyProtection="1">
      <alignment horizontal="left"/>
    </xf>
    <xf numFmtId="37" fontId="71" fillId="0" borderId="0" xfId="11" applyNumberFormat="1" applyFont="1" applyFill="1" applyProtection="1"/>
    <xf numFmtId="181" fontId="3" fillId="0" borderId="0" xfId="11" applyFont="1" applyFill="1" applyAlignment="1" applyProtection="1">
      <alignment horizontal="left" indent="1"/>
    </xf>
    <xf numFmtId="37" fontId="3" fillId="0" borderId="0" xfId="20" applyNumberFormat="1" applyFont="1" applyFill="1" applyProtection="1"/>
    <xf numFmtId="181" fontId="3" fillId="0" borderId="0" xfId="11" applyFont="1" applyFill="1" applyAlignment="1" applyProtection="1">
      <alignment horizontal="left" indent="2"/>
    </xf>
    <xf numFmtId="37" fontId="3" fillId="0" borderId="0" xfId="11" applyNumberFormat="1" applyFont="1" applyFill="1" applyAlignment="1" applyProtection="1">
      <alignment horizontal="left" indent="1"/>
    </xf>
    <xf numFmtId="37" fontId="3" fillId="0" borderId="2" xfId="11" applyNumberFormat="1" applyFont="1" applyFill="1" applyBorder="1" applyProtection="1"/>
    <xf numFmtId="37" fontId="3" fillId="0" borderId="7" xfId="11" applyNumberFormat="1" applyFont="1" applyFill="1" applyBorder="1" applyProtection="1"/>
    <xf numFmtId="37" fontId="3" fillId="0" borderId="9" xfId="11" applyNumberFormat="1" applyFont="1" applyFill="1" applyBorder="1" applyProtection="1"/>
    <xf numFmtId="188" fontId="3" fillId="0" borderId="0" xfId="11" applyNumberFormat="1" applyFont="1" applyFill="1" applyProtection="1"/>
    <xf numFmtId="44" fontId="3" fillId="0" borderId="0" xfId="11" applyNumberFormat="1" applyFont="1" applyFill="1" applyProtection="1"/>
    <xf numFmtId="181" fontId="3" fillId="0" borderId="0" xfId="11" quotePrefix="1" applyNumberFormat="1" applyFont="1" applyFill="1" applyAlignment="1" applyProtection="1">
      <alignment horizontal="centerContinuous"/>
      <protection locked="0"/>
    </xf>
    <xf numFmtId="188" fontId="3" fillId="0" borderId="0" xfId="51" applyNumberFormat="1" applyFont="1" applyFill="1"/>
    <xf numFmtId="188" fontId="51" fillId="0" borderId="7" xfId="11" applyNumberFormat="1" applyFont="1" applyFill="1" applyBorder="1" applyAlignment="1">
      <alignment horizontal="centerContinuous"/>
    </xf>
    <xf numFmtId="188" fontId="3" fillId="0" borderId="7" xfId="11" applyNumberFormat="1" applyFont="1" applyFill="1" applyBorder="1" applyAlignment="1">
      <alignment horizontal="centerContinuous"/>
    </xf>
    <xf numFmtId="181" fontId="3" fillId="0" borderId="7" xfId="11" applyFont="1" applyFill="1" applyBorder="1"/>
    <xf numFmtId="188" fontId="3" fillId="0" borderId="0" xfId="11" applyNumberFormat="1" applyFont="1" applyFill="1" applyAlignment="1" applyProtection="1">
      <alignment horizontal="center"/>
    </xf>
    <xf numFmtId="181" fontId="3" fillId="0" borderId="0" xfId="11" applyFont="1" applyFill="1" applyAlignment="1" applyProtection="1">
      <alignment horizontal="fill"/>
    </xf>
    <xf numFmtId="181" fontId="3" fillId="0" borderId="7" xfId="11" applyFont="1" applyFill="1" applyBorder="1" applyAlignment="1">
      <alignment horizontal="center"/>
    </xf>
    <xf numFmtId="181" fontId="53" fillId="0" borderId="0" xfId="11" applyFont="1" applyFill="1" applyBorder="1" applyAlignment="1" applyProtection="1">
      <alignment horizontal="center"/>
    </xf>
    <xf numFmtId="188" fontId="3" fillId="0" borderId="7" xfId="11" applyNumberFormat="1" applyFont="1" applyFill="1" applyBorder="1" applyAlignment="1" applyProtection="1">
      <alignment horizontal="center"/>
    </xf>
    <xf numFmtId="181" fontId="64" fillId="0" borderId="7" xfId="11" applyFont="1" applyFill="1" applyBorder="1" applyAlignment="1" applyProtection="1">
      <alignment horizontal="center"/>
    </xf>
    <xf numFmtId="188" fontId="3" fillId="0" borderId="0" xfId="11" applyNumberFormat="1" applyFont="1" applyFill="1" applyAlignment="1" applyProtection="1">
      <alignment horizontal="right"/>
    </xf>
    <xf numFmtId="188" fontId="3" fillId="0" borderId="0" xfId="11" applyNumberFormat="1" applyFont="1" applyFill="1" applyProtection="1">
      <protection locked="0"/>
    </xf>
    <xf numFmtId="37" fontId="64" fillId="0" borderId="0" xfId="11" applyNumberFormat="1" applyFont="1" applyFill="1" applyBorder="1" applyProtection="1"/>
    <xf numFmtId="0" fontId="7" fillId="0" borderId="7" xfId="54" applyFont="1" applyFill="1" applyBorder="1" applyAlignment="1" applyProtection="1">
      <alignment horizontal="centerContinuous"/>
    </xf>
    <xf numFmtId="0" fontId="31" fillId="0" borderId="0" xfId="55" applyFont="1" applyFill="1" applyBorder="1" applyAlignment="1" applyProtection="1">
      <alignment horizontal="centerContinuous"/>
      <protection locked="0"/>
    </xf>
    <xf numFmtId="0" fontId="8" fillId="0" borderId="41" xfId="53" applyFont="1" applyFill="1" applyBorder="1" applyAlignment="1">
      <alignment horizontal="centerContinuous"/>
    </xf>
    <xf numFmtId="0" fontId="8" fillId="0" borderId="41" xfId="54" applyFont="1" applyFill="1" applyBorder="1"/>
    <xf numFmtId="0" fontId="7" fillId="0" borderId="0" xfId="23" applyFont="1" applyAlignment="1">
      <alignment horizontal="center"/>
    </xf>
    <xf numFmtId="0" fontId="3" fillId="0" borderId="0" xfId="71" applyFill="1"/>
    <xf numFmtId="0" fontId="3" fillId="0" borderId="0" xfId="6" applyFont="1" applyFill="1"/>
    <xf numFmtId="37" fontId="3" fillId="0" borderId="0" xfId="6" applyNumberFormat="1" applyFont="1" applyFill="1"/>
    <xf numFmtId="0" fontId="3" fillId="0" borderId="0" xfId="6" applyFont="1" applyFill="1" applyAlignment="1">
      <alignment horizontal="center"/>
    </xf>
    <xf numFmtId="0" fontId="71" fillId="0" borderId="0" xfId="6" applyFont="1" applyFill="1" applyAlignment="1">
      <alignment horizontal="center"/>
    </xf>
    <xf numFmtId="37" fontId="25" fillId="0" borderId="0" xfId="6" applyNumberFormat="1" applyFont="1" applyFill="1"/>
    <xf numFmtId="0" fontId="26" fillId="0" borderId="0" xfId="6" applyFont="1" applyFill="1"/>
    <xf numFmtId="0" fontId="25" fillId="0" borderId="0" xfId="6" applyFont="1" applyFill="1" applyAlignment="1">
      <alignment horizontal="center"/>
    </xf>
    <xf numFmtId="0" fontId="54" fillId="0" borderId="0" xfId="6" applyFont="1" applyFill="1" applyAlignment="1">
      <alignment horizontal="center"/>
    </xf>
    <xf numFmtId="0" fontId="26" fillId="0" borderId="0" xfId="6" applyFont="1" applyFill="1" applyAlignment="1">
      <alignment horizontal="center"/>
    </xf>
    <xf numFmtId="0" fontId="3" fillId="0" borderId="2" xfId="6" applyFont="1" applyFill="1" applyBorder="1" applyAlignment="1">
      <alignment horizontal="centerContinuous"/>
    </xf>
    <xf numFmtId="0" fontId="3" fillId="0" borderId="3" xfId="6" applyFont="1" applyFill="1" applyBorder="1" applyAlignment="1">
      <alignment horizontal="centerContinuous"/>
    </xf>
    <xf numFmtId="0" fontId="26" fillId="0" borderId="5" xfId="71" applyFont="1" applyFill="1" applyBorder="1" applyAlignment="1">
      <alignment horizontal="centerContinuous"/>
    </xf>
    <xf numFmtId="0" fontId="26" fillId="0" borderId="2" xfId="6" applyFont="1" applyFill="1" applyBorder="1" applyAlignment="1">
      <alignment horizontal="centerContinuous"/>
    </xf>
    <xf numFmtId="0" fontId="26" fillId="0" borderId="3" xfId="6" applyFont="1" applyFill="1" applyBorder="1" applyAlignment="1">
      <alignment horizontal="centerContinuous"/>
    </xf>
    <xf numFmtId="0" fontId="26" fillId="0" borderId="5" xfId="6" applyFont="1" applyFill="1" applyBorder="1" applyAlignment="1">
      <alignment horizontal="centerContinuous"/>
    </xf>
    <xf numFmtId="0" fontId="71" fillId="0" borderId="7" xfId="4" applyFont="1" applyFill="1" applyBorder="1" applyAlignment="1" applyProtection="1">
      <alignment horizontal="center"/>
    </xf>
    <xf numFmtId="10" fontId="71" fillId="0" borderId="0" xfId="1" applyNumberFormat="1" applyFont="1" applyFill="1" applyAlignment="1">
      <alignment horizontal="right"/>
    </xf>
    <xf numFmtId="0" fontId="3" fillId="0" borderId="0" xfId="0" applyFont="1" applyAlignment="1">
      <alignment horizontal="center"/>
    </xf>
    <xf numFmtId="10" fontId="71" fillId="0" borderId="0" xfId="62" applyNumberFormat="1" applyFont="1" applyFill="1"/>
    <xf numFmtId="37" fontId="73" fillId="0" borderId="0" xfId="0" applyNumberFormat="1" applyFont="1" applyFill="1" applyProtection="1"/>
    <xf numFmtId="3" fontId="73" fillId="0" borderId="0" xfId="0" applyNumberFormat="1" applyFont="1" applyFill="1" applyProtection="1"/>
    <xf numFmtId="0" fontId="73" fillId="0" borderId="0" xfId="57" applyFont="1" applyFill="1"/>
    <xf numFmtId="0" fontId="73" fillId="0" borderId="0" xfId="57" applyFont="1" applyFill="1" applyAlignment="1" applyProtection="1">
      <alignment horizontal="left"/>
    </xf>
    <xf numFmtId="39" fontId="73" fillId="0" borderId="0" xfId="57" applyNumberFormat="1" applyFont="1" applyFill="1" applyProtection="1"/>
    <xf numFmtId="39" fontId="73" fillId="0" borderId="0" xfId="57" applyNumberFormat="1" applyFont="1" applyFill="1" applyAlignment="1" applyProtection="1">
      <alignment horizontal="left"/>
    </xf>
    <xf numFmtId="0" fontId="73" fillId="0" borderId="0" xfId="0" applyFont="1" applyFill="1"/>
    <xf numFmtId="37" fontId="73" fillId="0" borderId="0" xfId="57" applyNumberFormat="1" applyFont="1" applyFill="1" applyProtection="1"/>
    <xf numFmtId="0" fontId="73" fillId="0" borderId="0" xfId="0" applyFont="1" applyFill="1" applyAlignment="1" applyProtection="1">
      <alignment horizontal="left"/>
    </xf>
    <xf numFmtId="39" fontId="73" fillId="0" borderId="0" xfId="0" applyNumberFormat="1" applyFont="1" applyFill="1" applyAlignment="1" applyProtection="1">
      <alignment horizontal="left"/>
    </xf>
    <xf numFmtId="39" fontId="73" fillId="0" borderId="0" xfId="0" applyNumberFormat="1" applyFont="1" applyFill="1" applyProtection="1"/>
    <xf numFmtId="39" fontId="73" fillId="0" borderId="0" xfId="0" applyNumberFormat="1" applyFont="1" applyFill="1"/>
    <xf numFmtId="37" fontId="73" fillId="0" borderId="0" xfId="57" applyNumberFormat="1" applyFont="1" applyFill="1"/>
    <xf numFmtId="176" fontId="73" fillId="0" borderId="0" xfId="57" applyNumberFormat="1" applyFont="1" applyFill="1" applyProtection="1"/>
    <xf numFmtId="9" fontId="3" fillId="0" borderId="0" xfId="4" applyNumberFormat="1" applyFont="1" applyFill="1" applyAlignment="1"/>
    <xf numFmtId="2" fontId="71" fillId="0" borderId="0" xfId="4" applyNumberFormat="1" applyFont="1" applyFill="1" applyAlignment="1">
      <alignment horizontal="center"/>
    </xf>
    <xf numFmtId="0" fontId="3" fillId="0" borderId="0" xfId="6" applyFont="1" applyFill="1" applyAlignment="1" applyProtection="1"/>
    <xf numFmtId="0" fontId="3" fillId="0" borderId="0" xfId="22" applyFont="1" applyAlignment="1">
      <alignment horizontal="centerContinuous"/>
    </xf>
    <xf numFmtId="0" fontId="3" fillId="0" borderId="0" xfId="6" applyFont="1" applyAlignment="1" applyProtection="1">
      <alignment horizontal="centerContinuous"/>
    </xf>
    <xf numFmtId="0" fontId="3" fillId="0" borderId="0" xfId="22" applyFont="1" applyProtection="1"/>
    <xf numFmtId="0" fontId="3" fillId="0" borderId="0" xfId="22" quotePrefix="1" applyFont="1" applyAlignment="1" applyProtection="1">
      <alignment horizontal="left"/>
    </xf>
    <xf numFmtId="0" fontId="3" fillId="0" borderId="0" xfId="22" applyFont="1" applyAlignment="1" applyProtection="1">
      <alignment horizontal="left"/>
    </xf>
    <xf numFmtId="0" fontId="3" fillId="0" borderId="7" xfId="22" applyFont="1" applyBorder="1" applyAlignment="1" applyProtection="1">
      <alignment horizontal="fill"/>
    </xf>
    <xf numFmtId="0" fontId="3" fillId="0" borderId="0" xfId="22" applyFont="1" applyBorder="1" applyAlignment="1" applyProtection="1">
      <alignment horizontal="fill"/>
    </xf>
    <xf numFmtId="0" fontId="3" fillId="0" borderId="0" xfId="22" applyFont="1" applyAlignment="1" applyProtection="1">
      <alignment horizontal="center"/>
    </xf>
    <xf numFmtId="0" fontId="3" fillId="0" borderId="0" xfId="25" applyFont="1" applyAlignment="1" applyProtection="1">
      <alignment horizontal="right"/>
    </xf>
    <xf numFmtId="196" fontId="3" fillId="0" borderId="0" xfId="22" applyNumberFormat="1" applyFont="1" applyProtection="1"/>
    <xf numFmtId="0" fontId="3" fillId="0" borderId="0" xfId="24" applyFont="1" applyAlignment="1" applyProtection="1">
      <alignment horizontal="right"/>
    </xf>
    <xf numFmtId="0" fontId="3" fillId="0" borderId="0" xfId="24" applyFont="1"/>
    <xf numFmtId="166" fontId="51" fillId="0" borderId="0" xfId="24" applyNumberFormat="1" applyFont="1" applyProtection="1"/>
    <xf numFmtId="171" fontId="75" fillId="0" borderId="0" xfId="24" applyNumberFormat="1" applyFont="1" applyProtection="1"/>
    <xf numFmtId="196" fontId="178" fillId="0" borderId="0" xfId="22" applyNumberFormat="1" applyFont="1" applyProtection="1"/>
    <xf numFmtId="0" fontId="3" fillId="0" borderId="0" xfId="25" applyFont="1" applyAlignment="1" applyProtection="1">
      <alignment horizontal="fill"/>
    </xf>
    <xf numFmtId="0" fontId="53" fillId="0" borderId="0" xfId="25" applyFont="1"/>
    <xf numFmtId="42" fontId="3" fillId="0" borderId="0" xfId="22" applyNumberFormat="1" applyFont="1"/>
    <xf numFmtId="194" fontId="3" fillId="0" borderId="0" xfId="22" applyNumberFormat="1" applyFont="1"/>
    <xf numFmtId="37" fontId="75" fillId="0" borderId="0" xfId="22" applyNumberFormat="1" applyFont="1"/>
    <xf numFmtId="0" fontId="3" fillId="0" borderId="0" xfId="6" applyFont="1" applyProtection="1"/>
    <xf numFmtId="0" fontId="3" fillId="0" borderId="0" xfId="6" applyFont="1"/>
    <xf numFmtId="0" fontId="3" fillId="0" borderId="0" xfId="6" applyFont="1" applyAlignment="1" applyProtection="1"/>
    <xf numFmtId="0" fontId="3" fillId="0" borderId="0" xfId="6" applyFont="1" applyAlignment="1" applyProtection="1">
      <alignment horizontal="left"/>
    </xf>
    <xf numFmtId="0" fontId="53" fillId="0" borderId="0" xfId="6" applyFont="1" applyProtection="1"/>
    <xf numFmtId="0" fontId="3" fillId="0" borderId="0" xfId="25" applyFont="1" applyBorder="1" applyAlignment="1" applyProtection="1">
      <alignment horizontal="left"/>
    </xf>
    <xf numFmtId="0" fontId="3" fillId="0" borderId="0" xfId="22" applyFont="1" applyBorder="1"/>
    <xf numFmtId="37" fontId="3" fillId="0" borderId="0" xfId="6" applyNumberFormat="1" applyFont="1" applyProtection="1"/>
    <xf numFmtId="0" fontId="3" fillId="0" borderId="0" xfId="6" applyFont="1" applyAlignment="1">
      <alignment horizontal="center"/>
    </xf>
    <xf numFmtId="37" fontId="3" fillId="0" borderId="0" xfId="6" applyNumberFormat="1" applyFont="1" applyAlignment="1" applyProtection="1">
      <alignment horizontal="center"/>
    </xf>
    <xf numFmtId="0" fontId="3" fillId="0" borderId="0" xfId="25" applyFont="1" applyBorder="1"/>
    <xf numFmtId="42" fontId="3" fillId="0" borderId="0" xfId="0" applyNumberFormat="1" applyFont="1" applyBorder="1"/>
    <xf numFmtId="0" fontId="3" fillId="0" borderId="0" xfId="22" applyFont="1" applyAlignment="1"/>
    <xf numFmtId="0" fontId="3" fillId="0" borderId="0" xfId="6" applyFont="1" applyFill="1" applyAlignment="1" applyProtection="1">
      <alignment horizontal="center"/>
    </xf>
    <xf numFmtId="37" fontId="3" fillId="0" borderId="0" xfId="6" applyNumberFormat="1" applyFont="1" applyFill="1" applyProtection="1"/>
    <xf numFmtId="166" fontId="3" fillId="0" borderId="0" xfId="6" applyNumberFormat="1" applyFont="1" applyFill="1" applyProtection="1"/>
    <xf numFmtId="0" fontId="3" fillId="0" borderId="7" xfId="6" applyFont="1" applyFill="1" applyBorder="1" applyAlignment="1" applyProtection="1">
      <alignment horizontal="center"/>
    </xf>
    <xf numFmtId="0" fontId="3" fillId="0" borderId="7" xfId="6" applyFont="1" applyFill="1" applyBorder="1"/>
    <xf numFmtId="37" fontId="3" fillId="0" borderId="7" xfId="6" applyNumberFormat="1" applyFont="1" applyFill="1" applyBorder="1" applyProtection="1"/>
    <xf numFmtId="0" fontId="3" fillId="0" borderId="7" xfId="6" applyFont="1" applyFill="1" applyBorder="1" applyAlignment="1">
      <alignment horizontal="center"/>
    </xf>
    <xf numFmtId="0" fontId="3" fillId="0" borderId="10" xfId="6" applyFont="1" applyFill="1" applyBorder="1" applyAlignment="1" applyProtection="1">
      <alignment horizontal="center"/>
    </xf>
    <xf numFmtId="0" fontId="3" fillId="0" borderId="0" xfId="6" applyFont="1" applyFill="1" applyAlignment="1" applyProtection="1">
      <alignment horizontal="left"/>
    </xf>
    <xf numFmtId="37" fontId="53" fillId="0" borderId="0" xfId="6" applyNumberFormat="1" applyFont="1" applyFill="1" applyBorder="1" applyProtection="1"/>
    <xf numFmtId="37" fontId="53" fillId="0" borderId="0" xfId="6" applyNumberFormat="1" applyFont="1" applyFill="1" applyBorder="1" applyAlignment="1" applyProtection="1">
      <alignment horizontal="center"/>
    </xf>
    <xf numFmtId="37" fontId="3" fillId="0" borderId="0" xfId="6" applyNumberFormat="1" applyFont="1" applyFill="1" applyBorder="1" applyProtection="1"/>
    <xf numFmtId="0" fontId="3" fillId="0" borderId="0" xfId="6" applyFont="1" applyFill="1" applyProtection="1"/>
    <xf numFmtId="0" fontId="3" fillId="0" borderId="0" xfId="6" applyFont="1" applyFill="1" applyAlignment="1">
      <alignment horizontal="left"/>
    </xf>
    <xf numFmtId="37" fontId="3" fillId="0" borderId="0" xfId="6" applyNumberFormat="1" applyFont="1" applyFill="1" applyAlignment="1" applyProtection="1">
      <alignment horizontal="fill"/>
    </xf>
    <xf numFmtId="0" fontId="7" fillId="0" borderId="0" xfId="21" applyFont="1" applyFill="1" applyAlignment="1">
      <alignment horizontal="center"/>
    </xf>
    <xf numFmtId="0" fontId="56" fillId="0" borderId="10" xfId="57" applyFont="1" applyFill="1" applyBorder="1" applyAlignment="1" applyProtection="1"/>
    <xf numFmtId="0" fontId="3" fillId="0" borderId="0" xfId="57" applyFont="1" applyFill="1"/>
    <xf numFmtId="3" fontId="75" fillId="0" borderId="0" xfId="0" applyNumberFormat="1" applyFont="1" applyFill="1"/>
    <xf numFmtId="37" fontId="71" fillId="0" borderId="0" xfId="0" applyNumberFormat="1" applyFont="1" applyFill="1"/>
    <xf numFmtId="10" fontId="8" fillId="0" borderId="0" xfId="59" applyNumberFormat="1" applyFont="1" applyFill="1" applyAlignment="1">
      <alignment horizontal="center"/>
    </xf>
    <xf numFmtId="37" fontId="8" fillId="0" borderId="0" xfId="59" applyNumberFormat="1" applyFont="1" applyFill="1" applyAlignment="1" applyProtection="1">
      <alignment horizontal="left" indent="7"/>
    </xf>
    <xf numFmtId="0" fontId="8" fillId="0" borderId="0" xfId="59" applyFont="1" applyFill="1" applyAlignment="1" applyProtection="1">
      <alignment horizontal="left" indent="7"/>
    </xf>
    <xf numFmtId="37" fontId="84" fillId="0" borderId="0" xfId="61" applyNumberFormat="1" applyFont="1" applyFill="1"/>
    <xf numFmtId="37" fontId="75" fillId="0" borderId="0" xfId="61" applyNumberFormat="1" applyFont="1" applyFill="1"/>
    <xf numFmtId="37" fontId="51" fillId="0" borderId="0" xfId="61" applyNumberFormat="1" applyFont="1" applyFill="1"/>
    <xf numFmtId="0" fontId="3" fillId="0" borderId="0" xfId="16" applyFont="1" applyAlignment="1" applyProtection="1">
      <alignment horizontal="centerContinuous"/>
    </xf>
    <xf numFmtId="0" fontId="3" fillId="0" borderId="0" xfId="16" applyFont="1" applyAlignment="1">
      <alignment horizontal="centerContinuous"/>
    </xf>
    <xf numFmtId="0" fontId="3" fillId="0" borderId="0" xfId="16" applyFont="1"/>
    <xf numFmtId="0" fontId="3" fillId="0" borderId="0" xfId="16" applyFont="1" applyProtection="1"/>
    <xf numFmtId="0" fontId="3" fillId="0" borderId="0" xfId="16" applyFont="1" applyAlignment="1" applyProtection="1">
      <alignment horizontal="left"/>
    </xf>
    <xf numFmtId="0" fontId="3" fillId="0" borderId="7" xfId="16" applyFont="1" applyBorder="1" applyAlignment="1" applyProtection="1">
      <alignment horizontal="fill"/>
    </xf>
    <xf numFmtId="0" fontId="3" fillId="0" borderId="0" xfId="16" applyFont="1" applyBorder="1" applyAlignment="1" applyProtection="1">
      <alignment horizontal="fill"/>
    </xf>
    <xf numFmtId="0" fontId="3" fillId="0" borderId="0" xfId="16" applyFont="1" applyAlignment="1" applyProtection="1">
      <alignment horizontal="center"/>
    </xf>
    <xf numFmtId="0" fontId="3" fillId="0" borderId="0" xfId="16" applyFont="1" applyBorder="1"/>
    <xf numFmtId="0" fontId="56" fillId="0" borderId="0" xfId="16" applyFont="1" applyFill="1" applyAlignment="1" applyProtection="1">
      <alignment horizontal="center"/>
    </xf>
    <xf numFmtId="0" fontId="56" fillId="0" borderId="0" xfId="16" applyFont="1" applyFill="1" applyAlignment="1" applyProtection="1">
      <alignment horizontal="right"/>
    </xf>
    <xf numFmtId="0" fontId="53" fillId="0" borderId="0" xfId="16" applyFont="1" applyAlignment="1" applyProtection="1">
      <alignment horizontal="center"/>
      <protection locked="0"/>
    </xf>
    <xf numFmtId="165" fontId="56" fillId="0" borderId="0" xfId="16" applyNumberFormat="1" applyFont="1" applyFill="1" applyAlignment="1" applyProtection="1">
      <alignment horizontal="right"/>
    </xf>
    <xf numFmtId="0" fontId="56" fillId="0" borderId="0" xfId="16" applyFont="1" applyFill="1" applyAlignment="1">
      <alignment horizontal="right"/>
    </xf>
    <xf numFmtId="165" fontId="56" fillId="0" borderId="0" xfId="16" applyNumberFormat="1" applyFont="1" applyFill="1" applyAlignment="1" applyProtection="1">
      <alignment horizontal="left"/>
    </xf>
    <xf numFmtId="0" fontId="56" fillId="0" borderId="0" xfId="16" applyFont="1" applyFill="1" applyAlignment="1">
      <alignment horizontal="center"/>
    </xf>
    <xf numFmtId="0" fontId="53" fillId="0" borderId="0" xfId="16" applyFont="1" applyProtection="1">
      <protection locked="0"/>
    </xf>
    <xf numFmtId="0" fontId="56" fillId="0" borderId="0" xfId="16" applyFont="1" applyFill="1" applyAlignment="1" applyProtection="1">
      <alignment horizontal="center"/>
      <protection locked="0"/>
    </xf>
    <xf numFmtId="165" fontId="53" fillId="0" borderId="0" xfId="16" applyNumberFormat="1" applyFont="1" applyFill="1" applyAlignment="1" applyProtection="1">
      <alignment horizontal="right"/>
    </xf>
    <xf numFmtId="0" fontId="3" fillId="0" borderId="0" xfId="16" applyFont="1" applyAlignment="1">
      <alignment horizontal="center"/>
    </xf>
    <xf numFmtId="0" fontId="3" fillId="0" borderId="7" xfId="16" applyFont="1" applyBorder="1" applyAlignment="1" applyProtection="1">
      <alignment horizontal="center"/>
    </xf>
    <xf numFmtId="0" fontId="25" fillId="0" borderId="0" xfId="16" applyFont="1"/>
    <xf numFmtId="37" fontId="53" fillId="0" borderId="0" xfId="16" applyNumberFormat="1" applyFont="1" applyProtection="1"/>
    <xf numFmtId="37" fontId="3" fillId="0" borderId="0" xfId="16" applyNumberFormat="1" applyFont="1" applyAlignment="1" applyProtection="1">
      <alignment horizontal="left"/>
    </xf>
    <xf numFmtId="166" fontId="3" fillId="0" borderId="0" xfId="16" applyNumberFormat="1" applyFont="1" applyProtection="1"/>
    <xf numFmtId="5" fontId="3" fillId="0" borderId="0" xfId="16" applyNumberFormat="1" applyFont="1" applyProtection="1"/>
    <xf numFmtId="5" fontId="53" fillId="0" borderId="0" xfId="16" applyNumberFormat="1" applyFont="1" applyProtection="1"/>
    <xf numFmtId="165" fontId="3" fillId="0" borderId="0" xfId="16" applyNumberFormat="1" applyFont="1" applyProtection="1"/>
    <xf numFmtId="37" fontId="3" fillId="0" borderId="0" xfId="16" applyNumberFormat="1" applyFont="1" applyProtection="1"/>
    <xf numFmtId="37" fontId="3" fillId="0" borderId="0" xfId="16" applyNumberFormat="1" applyFont="1"/>
    <xf numFmtId="165" fontId="3" fillId="0" borderId="0" xfId="16" applyNumberFormat="1" applyFont="1" applyAlignment="1" applyProtection="1">
      <alignment horizontal="center"/>
    </xf>
    <xf numFmtId="0" fontId="3" fillId="0" borderId="0" xfId="16" applyFont="1" applyAlignment="1" applyProtection="1">
      <alignment horizontal="left" indent="2"/>
    </xf>
    <xf numFmtId="0" fontId="3" fillId="0" borderId="0" xfId="16" applyFont="1" applyAlignment="1">
      <alignment horizontal="left" indent="2"/>
    </xf>
    <xf numFmtId="0" fontId="3" fillId="0" borderId="0" xfId="19" applyFont="1" applyFill="1" applyAlignment="1" applyProtection="1">
      <alignment horizontal="centerContinuous"/>
    </xf>
    <xf numFmtId="0" fontId="3" fillId="0" borderId="0" xfId="19" applyFont="1" applyFill="1" applyAlignment="1">
      <alignment horizontal="centerContinuous"/>
    </xf>
    <xf numFmtId="0" fontId="3" fillId="0" borderId="0" xfId="19" applyFont="1" applyFill="1"/>
    <xf numFmtId="0" fontId="3" fillId="0" borderId="0" xfId="19" applyFont="1" applyFill="1" applyBorder="1"/>
    <xf numFmtId="0" fontId="3" fillId="0" borderId="0" xfId="19" applyFont="1" applyFill="1" applyProtection="1"/>
    <xf numFmtId="0" fontId="3" fillId="0" borderId="0" xfId="19" applyFont="1" applyFill="1" applyAlignment="1" applyProtection="1">
      <alignment horizontal="left"/>
    </xf>
    <xf numFmtId="37" fontId="3" fillId="0" borderId="0" xfId="19" applyNumberFormat="1" applyFont="1" applyFill="1" applyBorder="1" applyProtection="1"/>
    <xf numFmtId="0" fontId="3" fillId="0" borderId="7" xfId="19" applyFont="1" applyFill="1" applyBorder="1"/>
    <xf numFmtId="0" fontId="3" fillId="0" borderId="0" xfId="19" applyFont="1" applyFill="1" applyBorder="1" applyAlignment="1">
      <alignment horizontal="centerContinuous"/>
    </xf>
    <xf numFmtId="0" fontId="3" fillId="12" borderId="29" xfId="19" applyFont="1" applyFill="1" applyBorder="1" applyAlignment="1">
      <alignment horizontal="center"/>
    </xf>
    <xf numFmtId="0" fontId="3" fillId="0" borderId="0" xfId="19" applyFont="1" applyFill="1" applyAlignment="1">
      <alignment horizontal="center"/>
    </xf>
    <xf numFmtId="0" fontId="3" fillId="0" borderId="0" xfId="19" applyFont="1" applyFill="1" applyBorder="1" applyAlignment="1" applyProtection="1">
      <alignment horizontal="centerContinuous"/>
    </xf>
    <xf numFmtId="0" fontId="3" fillId="0" borderId="7" xfId="19" applyFont="1" applyFill="1" applyBorder="1" applyAlignment="1">
      <alignment horizontal="centerContinuous"/>
    </xf>
    <xf numFmtId="0" fontId="3" fillId="0" borderId="7" xfId="19" applyFont="1" applyFill="1" applyBorder="1" applyAlignment="1" applyProtection="1">
      <alignment horizontal="centerContinuous"/>
    </xf>
    <xf numFmtId="0" fontId="3" fillId="0" borderId="0" xfId="19" applyFont="1" applyFill="1" applyAlignment="1" applyProtection="1">
      <alignment horizontal="center"/>
    </xf>
    <xf numFmtId="0" fontId="3" fillId="0" borderId="0" xfId="19" applyFont="1" applyFill="1" applyBorder="1" applyAlignment="1">
      <alignment horizontal="center"/>
    </xf>
    <xf numFmtId="0" fontId="3" fillId="12" borderId="30" xfId="19" applyFont="1" applyFill="1" applyBorder="1" applyAlignment="1">
      <alignment horizontal="center"/>
    </xf>
    <xf numFmtId="39" fontId="3" fillId="0" borderId="0" xfId="19" applyNumberFormat="1" applyFont="1" applyFill="1" applyBorder="1" applyProtection="1">
      <protection locked="0"/>
    </xf>
    <xf numFmtId="0" fontId="3" fillId="0" borderId="0" xfId="19" applyFont="1" applyFill="1" applyAlignment="1"/>
    <xf numFmtId="0" fontId="3" fillId="12" borderId="30" xfId="19" applyFont="1" applyFill="1" applyBorder="1" applyAlignment="1" applyProtection="1">
      <alignment horizontal="center"/>
    </xf>
    <xf numFmtId="0" fontId="3" fillId="0" borderId="0" xfId="19" applyFont="1" applyFill="1" applyBorder="1" applyProtection="1">
      <protection locked="0"/>
    </xf>
    <xf numFmtId="37" fontId="3" fillId="0" borderId="0" xfId="19" applyNumberFormat="1" applyFont="1" applyFill="1" applyBorder="1" applyProtection="1">
      <protection locked="0"/>
    </xf>
    <xf numFmtId="0" fontId="3" fillId="0" borderId="7" xfId="19" applyFont="1" applyFill="1" applyBorder="1" applyAlignment="1" applyProtection="1">
      <alignment horizontal="center"/>
    </xf>
    <xf numFmtId="0" fontId="3" fillId="0" borderId="7" xfId="19" applyFont="1" applyFill="1" applyBorder="1" applyAlignment="1">
      <alignment horizontal="center"/>
    </xf>
    <xf numFmtId="0" fontId="3" fillId="12" borderId="31" xfId="19" applyFont="1" applyFill="1" applyBorder="1" applyAlignment="1" applyProtection="1">
      <alignment horizontal="center"/>
    </xf>
    <xf numFmtId="0" fontId="3" fillId="12" borderId="30" xfId="19" applyFont="1" applyFill="1" applyBorder="1"/>
    <xf numFmtId="37" fontId="3" fillId="0" borderId="0" xfId="19" quotePrefix="1" applyNumberFormat="1" applyFont="1" applyFill="1" applyProtection="1"/>
    <xf numFmtId="37" fontId="3" fillId="0" borderId="0" xfId="19" applyNumberFormat="1" applyFont="1" applyFill="1" applyProtection="1"/>
    <xf numFmtId="37" fontId="3" fillId="0" borderId="0" xfId="19" applyNumberFormat="1" applyFont="1" applyFill="1"/>
    <xf numFmtId="37" fontId="3" fillId="12" borderId="30" xfId="19" applyNumberFormat="1" applyFont="1" applyFill="1" applyBorder="1"/>
    <xf numFmtId="37" fontId="3" fillId="0" borderId="2" xfId="19" applyNumberFormat="1" applyFont="1" applyFill="1" applyBorder="1" applyProtection="1"/>
    <xf numFmtId="37" fontId="3" fillId="12" borderId="4" xfId="19" applyNumberFormat="1" applyFont="1" applyFill="1" applyBorder="1" applyProtection="1"/>
    <xf numFmtId="37" fontId="3" fillId="0" borderId="0" xfId="19" applyNumberFormat="1" applyFont="1" applyFill="1" applyAlignment="1" applyProtection="1">
      <alignment horizontal="right"/>
    </xf>
    <xf numFmtId="37" fontId="3" fillId="0" borderId="7" xfId="19" quotePrefix="1" applyNumberFormat="1" applyFont="1" applyFill="1" applyBorder="1" applyProtection="1"/>
    <xf numFmtId="39" fontId="3" fillId="0" borderId="0" xfId="19" applyNumberFormat="1" applyFont="1" applyFill="1" applyBorder="1" applyProtection="1"/>
    <xf numFmtId="37" fontId="3" fillId="0" borderId="10" xfId="19" applyNumberFormat="1" applyFont="1" applyFill="1" applyBorder="1" applyProtection="1"/>
    <xf numFmtId="37" fontId="3" fillId="12" borderId="29" xfId="19" applyNumberFormat="1" applyFont="1" applyFill="1" applyBorder="1" applyProtection="1"/>
    <xf numFmtId="37" fontId="3" fillId="0" borderId="7" xfId="19" applyNumberFormat="1" applyFont="1" applyFill="1" applyBorder="1" applyProtection="1"/>
    <xf numFmtId="37" fontId="3" fillId="12" borderId="31" xfId="19" applyNumberFormat="1" applyFont="1" applyFill="1" applyBorder="1"/>
    <xf numFmtId="37" fontId="3" fillId="12" borderId="30" xfId="19" applyNumberFormat="1" applyFont="1" applyFill="1" applyBorder="1" applyProtection="1"/>
    <xf numFmtId="37" fontId="64" fillId="0" borderId="0" xfId="19" quotePrefix="1" applyNumberFormat="1" applyFont="1" applyFill="1" applyProtection="1"/>
    <xf numFmtId="37" fontId="3" fillId="12" borderId="31" xfId="19" applyNumberFormat="1" applyFont="1" applyFill="1" applyBorder="1" applyProtection="1"/>
    <xf numFmtId="37" fontId="3" fillId="0" borderId="9" xfId="19" quotePrefix="1" applyNumberFormat="1" applyFont="1" applyFill="1" applyBorder="1" applyProtection="1"/>
    <xf numFmtId="37" fontId="3" fillId="0" borderId="9" xfId="19" applyNumberFormat="1" applyFont="1" applyFill="1" applyBorder="1" applyProtection="1"/>
    <xf numFmtId="37" fontId="3" fillId="0" borderId="0" xfId="19" quotePrefix="1" applyNumberFormat="1" applyFont="1" applyFill="1" applyBorder="1" applyProtection="1"/>
    <xf numFmtId="37" fontId="3" fillId="0" borderId="0" xfId="19" applyNumberFormat="1" applyFont="1" applyFill="1" applyBorder="1"/>
    <xf numFmtId="0" fontId="3" fillId="0" borderId="0" xfId="19" applyFont="1" applyFill="1" applyBorder="1" applyAlignment="1" applyProtection="1">
      <alignment horizontal="left"/>
    </xf>
    <xf numFmtId="0" fontId="3" fillId="12" borderId="21" xfId="5" applyFont="1" applyFill="1" applyBorder="1"/>
    <xf numFmtId="0" fontId="3" fillId="12" borderId="10" xfId="19" applyFont="1" applyFill="1" applyBorder="1"/>
    <xf numFmtId="199" fontId="3" fillId="12" borderId="10" xfId="5" applyNumberFormat="1" applyFont="1" applyFill="1" applyBorder="1" applyProtection="1"/>
    <xf numFmtId="199" fontId="3" fillId="12" borderId="25" xfId="5" applyNumberFormat="1" applyFont="1" applyFill="1" applyBorder="1" applyProtection="1"/>
    <xf numFmtId="0" fontId="3" fillId="12" borderId="6" xfId="5" applyFont="1" applyFill="1" applyBorder="1"/>
    <xf numFmtId="0" fontId="3" fillId="12" borderId="0" xfId="19" applyFont="1" applyFill="1" applyBorder="1"/>
    <xf numFmtId="37" fontId="3" fillId="12" borderId="0" xfId="5" quotePrefix="1" applyNumberFormat="1" applyFont="1" applyFill="1" applyBorder="1" applyProtection="1"/>
    <xf numFmtId="37" fontId="3" fillId="12" borderId="0" xfId="5" applyNumberFormat="1" applyFont="1" applyFill="1" applyBorder="1" applyProtection="1"/>
    <xf numFmtId="37" fontId="3" fillId="12" borderId="0" xfId="19" applyNumberFormat="1" applyFont="1" applyFill="1" applyBorder="1"/>
    <xf numFmtId="37" fontId="3" fillId="12" borderId="23" xfId="5" applyNumberFormat="1" applyFont="1" applyFill="1" applyBorder="1" applyProtection="1"/>
    <xf numFmtId="167" fontId="3" fillId="0" borderId="0" xfId="19" applyNumberFormat="1" applyFont="1" applyFill="1" applyBorder="1" applyAlignment="1" applyProtection="1">
      <alignment horizontal="left"/>
    </xf>
    <xf numFmtId="0" fontId="3" fillId="0" borderId="0" xfId="19" applyFont="1" applyFill="1" applyBorder="1" applyProtection="1"/>
    <xf numFmtId="37" fontId="3" fillId="12" borderId="23" xfId="5" quotePrefix="1" applyNumberFormat="1" applyFont="1" applyFill="1" applyBorder="1" applyProtection="1"/>
    <xf numFmtId="37" fontId="3" fillId="12" borderId="0" xfId="19" applyNumberFormat="1" applyFont="1" applyFill="1" applyBorder="1" applyAlignment="1" applyProtection="1">
      <alignment horizontal="left"/>
    </xf>
    <xf numFmtId="0" fontId="3" fillId="0" borderId="0" xfId="19" applyFont="1" applyFill="1" applyBorder="1" applyAlignment="1" applyProtection="1">
      <alignment horizontal="centerContinuous"/>
      <protection locked="0"/>
    </xf>
    <xf numFmtId="10" fontId="3" fillId="12" borderId="0" xfId="5" applyNumberFormat="1" applyFont="1" applyFill="1" applyBorder="1"/>
    <xf numFmtId="10" fontId="3" fillId="12" borderId="23" xfId="5" applyNumberFormat="1" applyFont="1" applyFill="1" applyBorder="1"/>
    <xf numFmtId="0" fontId="3" fillId="12" borderId="22" xfId="5" applyFont="1" applyFill="1" applyBorder="1"/>
    <xf numFmtId="0" fontId="3" fillId="12" borderId="7" xfId="19" applyFont="1" applyFill="1" applyBorder="1"/>
    <xf numFmtId="0" fontId="3" fillId="12" borderId="7" xfId="5" applyFont="1" applyFill="1" applyBorder="1"/>
    <xf numFmtId="0" fontId="3" fillId="12" borderId="24" xfId="5" applyFont="1" applyFill="1" applyBorder="1"/>
    <xf numFmtId="0" fontId="3" fillId="0" borderId="0" xfId="5" applyFont="1" applyFill="1"/>
    <xf numFmtId="0" fontId="3" fillId="0" borderId="0" xfId="5" applyFont="1" applyFill="1" applyBorder="1"/>
    <xf numFmtId="0" fontId="3" fillId="0" borderId="0" xfId="19" applyFont="1" applyFill="1" applyBorder="1" applyAlignment="1" applyProtection="1">
      <alignment horizontal="left"/>
      <protection locked="0"/>
    </xf>
    <xf numFmtId="0" fontId="3" fillId="0" borderId="0" xfId="19" applyFont="1" applyFill="1" applyBorder="1" applyAlignment="1" applyProtection="1">
      <alignment horizontal="center"/>
    </xf>
    <xf numFmtId="0" fontId="51" fillId="0" borderId="0" xfId="19" applyFont="1" applyFill="1" applyBorder="1" applyAlignment="1">
      <alignment horizontal="centerContinuous"/>
    </xf>
    <xf numFmtId="0" fontId="51" fillId="0" borderId="0" xfId="19" applyFont="1" applyFill="1" applyBorder="1" applyAlignment="1" applyProtection="1">
      <alignment horizontal="center"/>
    </xf>
    <xf numFmtId="0" fontId="3" fillId="0" borderId="0" xfId="19" applyFont="1" applyFill="1" applyBorder="1" applyAlignment="1" applyProtection="1">
      <alignment horizontal="fill"/>
    </xf>
    <xf numFmtId="0" fontId="3" fillId="0" borderId="0" xfId="19" applyFont="1" applyFill="1" applyBorder="1" applyAlignment="1" applyProtection="1">
      <alignment horizontal="right"/>
    </xf>
    <xf numFmtId="164" fontId="3" fillId="0" borderId="0" xfId="19" applyNumberFormat="1" applyFont="1" applyFill="1" applyBorder="1" applyProtection="1"/>
    <xf numFmtId="165" fontId="3" fillId="0" borderId="0" xfId="19" applyNumberFormat="1" applyFont="1" applyFill="1" applyBorder="1" applyProtection="1"/>
    <xf numFmtId="37" fontId="3" fillId="0" borderId="0" xfId="19" applyNumberFormat="1" applyFont="1" applyFill="1" applyBorder="1" applyAlignment="1" applyProtection="1">
      <alignment horizontal="right"/>
    </xf>
    <xf numFmtId="37" fontId="3" fillId="0" borderId="0" xfId="19" applyNumberFormat="1" applyFont="1" applyFill="1" applyBorder="1" applyAlignment="1" applyProtection="1">
      <alignment horizontal="fill"/>
    </xf>
    <xf numFmtId="37" fontId="3" fillId="0" borderId="0" xfId="19" applyNumberFormat="1" applyFont="1" applyFill="1" applyBorder="1" applyAlignment="1" applyProtection="1">
      <alignment horizontal="center"/>
    </xf>
    <xf numFmtId="37" fontId="3" fillId="0" borderId="0" xfId="19" applyNumberFormat="1" applyFont="1" applyFill="1" applyBorder="1" applyAlignment="1" applyProtection="1">
      <alignment horizontal="centerContinuous"/>
    </xf>
    <xf numFmtId="0" fontId="51" fillId="0" borderId="0" xfId="19" applyFont="1" applyFill="1" applyBorder="1"/>
    <xf numFmtId="37" fontId="3" fillId="0" borderId="0" xfId="19" applyNumberFormat="1" applyFont="1" applyFill="1" applyBorder="1" applyAlignment="1" applyProtection="1">
      <alignment horizontal="left"/>
    </xf>
    <xf numFmtId="0" fontId="3" fillId="0" borderId="0" xfId="19" applyFont="1" applyFill="1" applyBorder="1" applyAlignment="1" applyProtection="1">
      <alignment horizontal="center"/>
      <protection locked="0"/>
    </xf>
    <xf numFmtId="0" fontId="3" fillId="0" borderId="0" xfId="19" applyFont="1" applyFill="1" applyBorder="1" applyAlignment="1">
      <alignment horizontal="left"/>
    </xf>
    <xf numFmtId="169" fontId="3" fillId="0" borderId="0" xfId="19" applyNumberFormat="1" applyFont="1" applyFill="1" applyBorder="1" applyProtection="1"/>
    <xf numFmtId="0" fontId="7" fillId="0" borderId="0" xfId="57" applyFont="1" applyFill="1" applyAlignment="1" applyProtection="1">
      <alignment horizontal="centerContinuous"/>
    </xf>
    <xf numFmtId="0" fontId="3" fillId="0" borderId="0" xfId="8" applyFont="1" applyFill="1" applyAlignment="1" applyProtection="1">
      <alignment horizontal="center"/>
    </xf>
    <xf numFmtId="0" fontId="73" fillId="0" borderId="0" xfId="57" applyFont="1" applyFill="1" applyAlignment="1" applyProtection="1">
      <alignment horizontal="center"/>
    </xf>
    <xf numFmtId="0" fontId="73" fillId="0" borderId="0" xfId="57" applyFont="1" applyFill="1" applyAlignment="1">
      <alignment horizontal="center"/>
    </xf>
    <xf numFmtId="0" fontId="8" fillId="0" borderId="0" xfId="58" quotePrefix="1" applyFont="1" applyFill="1" applyAlignment="1" applyProtection="1">
      <alignment horizontal="left"/>
    </xf>
    <xf numFmtId="10" fontId="73" fillId="0" borderId="0" xfId="0" applyNumberFormat="1" applyFont="1" applyFill="1" applyAlignment="1">
      <alignment horizontal="center"/>
    </xf>
    <xf numFmtId="37" fontId="7" fillId="0" borderId="0" xfId="0" applyNumberFormat="1" applyFont="1" applyFill="1"/>
    <xf numFmtId="10" fontId="65" fillId="0" borderId="0" xfId="0" applyNumberFormat="1" applyFont="1" applyFill="1" applyAlignment="1">
      <alignment horizontal="center"/>
    </xf>
    <xf numFmtId="10" fontId="7" fillId="0" borderId="0" xfId="0" applyNumberFormat="1" applyFont="1" applyFill="1" applyAlignment="1">
      <alignment horizontal="center"/>
    </xf>
    <xf numFmtId="0" fontId="7" fillId="0" borderId="0" xfId="0" applyFont="1" applyFill="1" applyAlignment="1">
      <alignment horizontal="left"/>
    </xf>
    <xf numFmtId="10" fontId="0" fillId="0" borderId="0" xfId="8" applyNumberFormat="1" applyFont="1" applyAlignment="1" applyProtection="1">
      <alignment horizontal="center"/>
    </xf>
    <xf numFmtId="37" fontId="53" fillId="0" borderId="0" xfId="8" applyNumberFormat="1" applyFont="1" applyProtection="1">
      <protection locked="0"/>
    </xf>
    <xf numFmtId="180" fontId="53" fillId="0" borderId="0" xfId="69" applyNumberFormat="1" applyFont="1" applyFill="1" applyProtection="1">
      <protection locked="0"/>
    </xf>
    <xf numFmtId="43" fontId="53" fillId="0" borderId="0" xfId="1" applyFont="1" applyFill="1" applyProtection="1">
      <protection locked="0"/>
    </xf>
    <xf numFmtId="180" fontId="53" fillId="0" borderId="0" xfId="8" applyNumberFormat="1" applyFont="1" applyProtection="1">
      <protection locked="0"/>
    </xf>
    <xf numFmtId="43" fontId="53" fillId="0" borderId="0" xfId="1" applyFont="1" applyProtection="1">
      <protection locked="0"/>
    </xf>
    <xf numFmtId="43" fontId="3" fillId="0" borderId="0" xfId="1" applyFont="1" applyProtection="1"/>
    <xf numFmtId="37" fontId="53" fillId="0" borderId="0" xfId="8" applyNumberFormat="1" applyFont="1" applyBorder="1" applyProtection="1"/>
    <xf numFmtId="166" fontId="53" fillId="0" borderId="0" xfId="69" applyNumberFormat="1" applyFont="1" applyFill="1" applyBorder="1" applyProtection="1">
      <protection locked="0"/>
    </xf>
    <xf numFmtId="43" fontId="53" fillId="0" borderId="0" xfId="1" applyFont="1" applyFill="1" applyBorder="1" applyProtection="1">
      <protection locked="0"/>
    </xf>
    <xf numFmtId="37" fontId="3" fillId="0" borderId="0" xfId="8" applyNumberFormat="1" applyFont="1" applyBorder="1" applyProtection="1"/>
    <xf numFmtId="166" fontId="53" fillId="0" borderId="0" xfId="69" applyNumberFormat="1" applyFont="1" applyFill="1" applyProtection="1">
      <protection locked="0"/>
    </xf>
    <xf numFmtId="0" fontId="51" fillId="0" borderId="0" xfId="8" applyFont="1" applyAlignment="1" applyProtection="1">
      <alignment horizontal="left" indent="1"/>
      <protection locked="0"/>
    </xf>
    <xf numFmtId="0" fontId="3" fillId="0" borderId="0" xfId="8" applyFont="1" applyAlignment="1">
      <alignment horizontal="left"/>
    </xf>
    <xf numFmtId="0" fontId="3" fillId="0" borderId="0" xfId="8" quotePrefix="1" applyFont="1" applyAlignment="1" applyProtection="1">
      <alignment horizontal="left"/>
    </xf>
    <xf numFmtId="37" fontId="53" fillId="0" borderId="7" xfId="8" applyNumberFormat="1" applyFont="1" applyBorder="1" applyProtection="1"/>
    <xf numFmtId="43" fontId="53" fillId="0" borderId="7" xfId="1" applyFont="1" applyBorder="1" applyProtection="1"/>
    <xf numFmtId="183" fontId="3" fillId="0" borderId="7" xfId="1" applyNumberFormat="1" applyFont="1" applyBorder="1" applyProtection="1"/>
    <xf numFmtId="0" fontId="3" fillId="0" borderId="10" xfId="8" applyFont="1" applyBorder="1" applyAlignment="1" applyProtection="1">
      <alignment horizontal="fill"/>
    </xf>
    <xf numFmtId="0" fontId="3" fillId="0" borderId="10" xfId="8" applyFont="1" applyBorder="1" applyAlignment="1">
      <alignment horizontal="center"/>
    </xf>
    <xf numFmtId="43" fontId="3" fillId="0" borderId="0" xfId="1" applyNumberFormat="1" applyFont="1" applyFill="1" applyProtection="1"/>
    <xf numFmtId="0" fontId="71" fillId="0" borderId="0" xfId="8" applyFont="1" applyAlignment="1" applyProtection="1">
      <alignment horizontal="left"/>
    </xf>
    <xf numFmtId="0" fontId="71" fillId="0" borderId="0" xfId="8" applyFont="1" applyAlignment="1">
      <alignment horizontal="center"/>
    </xf>
    <xf numFmtId="0" fontId="71" fillId="0" borderId="0" xfId="8" applyFont="1"/>
    <xf numFmtId="37" fontId="71" fillId="0" borderId="0" xfId="8" applyNumberFormat="1" applyFont="1"/>
    <xf numFmtId="183" fontId="71" fillId="0" borderId="0" xfId="1" applyNumberFormat="1" applyFont="1"/>
    <xf numFmtId="183" fontId="3" fillId="0" borderId="0" xfId="1" applyNumberFormat="1" applyFont="1"/>
    <xf numFmtId="10" fontId="71" fillId="0" borderId="0" xfId="8" applyNumberFormat="1" applyFont="1"/>
    <xf numFmtId="37" fontId="64" fillId="0" borderId="0" xfId="8" applyNumberFormat="1" applyFont="1"/>
    <xf numFmtId="10" fontId="71" fillId="0" borderId="0" xfId="8" applyNumberFormat="1" applyFont="1" applyAlignment="1">
      <alignment horizontal="center"/>
    </xf>
    <xf numFmtId="0" fontId="3" fillId="0" borderId="10" xfId="8" applyFont="1" applyFill="1" applyBorder="1" applyAlignment="1">
      <alignment horizontal="center"/>
    </xf>
    <xf numFmtId="0" fontId="3" fillId="0" borderId="10" xfId="8" applyFont="1" applyFill="1" applyBorder="1" applyAlignment="1" applyProtection="1">
      <alignment horizontal="center"/>
    </xf>
    <xf numFmtId="0" fontId="3" fillId="0" borderId="0" xfId="7" applyFont="1" applyFill="1" applyBorder="1"/>
    <xf numFmtId="37" fontId="53" fillId="0" borderId="7" xfId="8" applyNumberFormat="1" applyFont="1" applyBorder="1" applyProtection="1">
      <protection locked="0"/>
    </xf>
    <xf numFmtId="37" fontId="71" fillId="0" borderId="0" xfId="8" applyNumberFormat="1" applyFont="1" applyProtection="1"/>
    <xf numFmtId="180" fontId="3" fillId="0" borderId="10" xfId="8" applyNumberFormat="1" applyFont="1" applyBorder="1" applyProtection="1"/>
    <xf numFmtId="0" fontId="71" fillId="0" borderId="0" xfId="8" applyFont="1" applyBorder="1"/>
    <xf numFmtId="1" fontId="179" fillId="0" borderId="0" xfId="0" applyNumberFormat="1" applyFont="1"/>
    <xf numFmtId="43" fontId="0" fillId="0" borderId="0" xfId="0" applyNumberFormat="1"/>
    <xf numFmtId="43" fontId="3" fillId="0" borderId="0" xfId="45" applyNumberFormat="1" applyFont="1"/>
    <xf numFmtId="37" fontId="53" fillId="0" borderId="0" xfId="9172" applyNumberFormat="1" applyFont="1" applyFill="1" applyBorder="1" applyProtection="1">
      <protection locked="0"/>
    </xf>
    <xf numFmtId="37" fontId="3" fillId="0" borderId="7" xfId="0" applyNumberFormat="1" applyFont="1" applyFill="1" applyBorder="1" applyProtection="1">
      <protection locked="0"/>
    </xf>
    <xf numFmtId="37" fontId="53" fillId="0" borderId="7" xfId="0" applyNumberFormat="1" applyFont="1" applyFill="1" applyBorder="1" applyProtection="1">
      <protection locked="0"/>
    </xf>
    <xf numFmtId="0" fontId="88" fillId="0" borderId="0" xfId="9172" applyFill="1" applyBorder="1"/>
    <xf numFmtId="37" fontId="53" fillId="0" borderId="7" xfId="9172" applyNumberFormat="1" applyFont="1" applyFill="1" applyBorder="1" applyProtection="1">
      <protection locked="0"/>
    </xf>
    <xf numFmtId="37" fontId="3" fillId="0" borderId="75" xfId="9172" applyNumberFormat="1" applyFont="1" applyFill="1" applyBorder="1" applyProtection="1">
      <protection locked="0"/>
    </xf>
    <xf numFmtId="37" fontId="2" fillId="0" borderId="0" xfId="0" applyNumberFormat="1" applyFont="1" applyFill="1" applyBorder="1" applyProtection="1">
      <protection locked="0"/>
    </xf>
    <xf numFmtId="37" fontId="2" fillId="0" borderId="8" xfId="0" applyNumberFormat="1" applyFont="1" applyFill="1" applyBorder="1" applyProtection="1">
      <protection locked="0"/>
    </xf>
    <xf numFmtId="37" fontId="2" fillId="0" borderId="0" xfId="9172" applyNumberFormat="1" applyFont="1" applyFill="1" applyBorder="1" applyProtection="1">
      <protection locked="0"/>
    </xf>
    <xf numFmtId="37" fontId="2" fillId="0" borderId="7" xfId="0" applyNumberFormat="1" applyFont="1" applyFill="1" applyBorder="1" applyProtection="1">
      <protection locked="0"/>
    </xf>
    <xf numFmtId="37" fontId="2" fillId="0" borderId="8" xfId="9172" applyNumberFormat="1" applyFont="1" applyFill="1" applyBorder="1" applyProtection="1">
      <protection locked="0"/>
    </xf>
    <xf numFmtId="37" fontId="3" fillId="0" borderId="41" xfId="9172" applyNumberFormat="1" applyFont="1" applyFill="1" applyBorder="1" applyProtection="1">
      <protection locked="0"/>
    </xf>
    <xf numFmtId="37" fontId="3" fillId="0" borderId="8" xfId="9172" applyNumberFormat="1" applyFont="1" applyFill="1" applyBorder="1" applyProtection="1">
      <protection locked="0"/>
    </xf>
    <xf numFmtId="37" fontId="53" fillId="0" borderId="8" xfId="9172" applyNumberFormat="1" applyFont="1" applyFill="1" applyBorder="1" applyProtection="1">
      <protection locked="0"/>
    </xf>
    <xf numFmtId="37" fontId="64" fillId="0" borderId="0" xfId="0" applyNumberFormat="1" applyFont="1" applyFill="1" applyBorder="1" applyProtection="1">
      <protection locked="0"/>
    </xf>
    <xf numFmtId="37" fontId="64" fillId="0" borderId="7" xfId="0" applyNumberFormat="1" applyFont="1" applyFill="1" applyBorder="1" applyProtection="1">
      <protection locked="0"/>
    </xf>
    <xf numFmtId="37" fontId="3" fillId="0" borderId="0" xfId="9172" applyNumberFormat="1" applyFont="1" applyFill="1" applyBorder="1" applyProtection="1">
      <protection locked="0"/>
    </xf>
    <xf numFmtId="0" fontId="7" fillId="0" borderId="0" xfId="20" applyFont="1" applyFill="1"/>
    <xf numFmtId="37" fontId="8" fillId="0" borderId="0" xfId="20" applyNumberFormat="1" applyFont="1" applyFill="1"/>
    <xf numFmtId="180" fontId="53" fillId="0" borderId="36" xfId="60" applyNumberFormat="1" applyFont="1" applyFill="1" applyBorder="1" applyProtection="1"/>
    <xf numFmtId="37" fontId="71" fillId="0" borderId="0" xfId="56" applyNumberFormat="1" applyFont="1" applyFill="1" applyProtection="1">
      <protection locked="0"/>
    </xf>
    <xf numFmtId="0" fontId="34" fillId="0" borderId="41" xfId="58" applyFont="1" applyFill="1" applyBorder="1"/>
    <xf numFmtId="37" fontId="73" fillId="0" borderId="0" xfId="58" applyNumberFormat="1" applyFont="1" applyFill="1" applyAlignment="1" applyProtection="1">
      <alignment horizontal="right"/>
    </xf>
    <xf numFmtId="0" fontId="7" fillId="0" borderId="0" xfId="58" applyFont="1" applyFill="1" applyAlignment="1" applyProtection="1">
      <alignment horizontal="center"/>
    </xf>
    <xf numFmtId="37" fontId="3" fillId="0" borderId="41" xfId="8" applyNumberFormat="1" applyFont="1" applyFill="1" applyBorder="1" applyProtection="1"/>
    <xf numFmtId="39" fontId="7" fillId="0" borderId="0" xfId="6" applyNumberFormat="1" applyFont="1" applyBorder="1" applyAlignment="1">
      <alignment horizontal="center"/>
    </xf>
    <xf numFmtId="38" fontId="7" fillId="0" borderId="0" xfId="8" applyNumberFormat="1" applyFont="1" applyFill="1"/>
    <xf numFmtId="0" fontId="7" fillId="0" borderId="0" xfId="50" applyFont="1" applyFill="1"/>
    <xf numFmtId="0" fontId="7" fillId="0" borderId="0" xfId="50" applyFont="1" applyFill="1" applyBorder="1"/>
    <xf numFmtId="0" fontId="7" fillId="0" borderId="0" xfId="50" applyFont="1" applyBorder="1"/>
    <xf numFmtId="0" fontId="7" fillId="0" borderId="0" xfId="50" applyFont="1" applyFill="1" applyAlignment="1" applyProtection="1">
      <alignment horizontal="left"/>
    </xf>
    <xf numFmtId="0" fontId="7" fillId="0" borderId="0" xfId="0" applyFont="1" applyFill="1"/>
    <xf numFmtId="167" fontId="34" fillId="0" borderId="0" xfId="50" applyNumberFormat="1" applyFont="1" applyFill="1" applyBorder="1" applyAlignment="1" applyProtection="1">
      <alignment horizontal="left"/>
    </xf>
    <xf numFmtId="38" fontId="181" fillId="0" borderId="0" xfId="8" applyNumberFormat="1" applyFont="1" applyFill="1" applyAlignment="1">
      <alignment horizontal="center"/>
    </xf>
    <xf numFmtId="0" fontId="7" fillId="0" borderId="0" xfId="0" applyFont="1" applyFill="1" applyAlignment="1" applyProtection="1">
      <alignment horizontal="center"/>
    </xf>
    <xf numFmtId="38" fontId="7" fillId="0" borderId="0" xfId="8" applyNumberFormat="1" applyFont="1" applyFill="1" applyBorder="1" applyAlignment="1">
      <alignment horizontal="centerContinuous"/>
    </xf>
    <xf numFmtId="0" fontId="7" fillId="0" borderId="0" xfId="50" applyFont="1" applyFill="1" applyBorder="1" applyAlignment="1" applyProtection="1">
      <alignment horizontal="center"/>
    </xf>
    <xf numFmtId="0" fontId="7" fillId="0" borderId="0" xfId="50" applyFont="1" applyBorder="1" applyAlignment="1" applyProtection="1">
      <alignment horizontal="center"/>
    </xf>
    <xf numFmtId="0" fontId="30" fillId="0" borderId="0" xfId="0" applyFont="1" applyFill="1" applyAlignment="1" applyProtection="1">
      <alignment horizontal="center"/>
    </xf>
    <xf numFmtId="197" fontId="30" fillId="0" borderId="0" xfId="11" applyNumberFormat="1" applyFont="1" applyFill="1" applyBorder="1" applyAlignment="1" applyProtection="1">
      <alignment horizontal="center"/>
      <protection locked="0"/>
    </xf>
    <xf numFmtId="0" fontId="30" fillId="0" borderId="0" xfId="50" applyFont="1" applyFill="1" applyBorder="1" applyAlignment="1">
      <alignment horizontal="center"/>
    </xf>
    <xf numFmtId="0" fontId="30" fillId="0" borderId="0" xfId="50" applyFont="1" applyBorder="1" applyAlignment="1" applyProtection="1">
      <alignment horizontal="center"/>
    </xf>
    <xf numFmtId="0" fontId="7" fillId="0" borderId="0" xfId="0" applyFont="1" applyFill="1" applyAlignment="1" applyProtection="1">
      <alignment horizontal="fill"/>
    </xf>
    <xf numFmtId="0" fontId="7" fillId="0" borderId="0" xfId="0" applyFont="1" applyFill="1" applyAlignment="1" applyProtection="1">
      <alignment horizontal="right"/>
    </xf>
    <xf numFmtId="38" fontId="30" fillId="0" borderId="0" xfId="8" applyNumberFormat="1" applyFont="1" applyFill="1" applyBorder="1" applyAlignment="1">
      <alignment horizontal="center"/>
    </xf>
    <xf numFmtId="38" fontId="182" fillId="0" borderId="0" xfId="8" applyNumberFormat="1" applyFont="1" applyFill="1" applyBorder="1" applyAlignment="1">
      <alignment horizontal="center"/>
    </xf>
    <xf numFmtId="0" fontId="7" fillId="0" borderId="0" xfId="50" applyFont="1" applyFill="1" applyBorder="1" applyAlignment="1" applyProtection="1">
      <alignment horizontal="right"/>
    </xf>
    <xf numFmtId="0" fontId="7" fillId="0" borderId="0" xfId="50" applyFont="1" applyBorder="1" applyAlignment="1" applyProtection="1">
      <alignment horizontal="right"/>
    </xf>
    <xf numFmtId="204" fontId="73" fillId="0" borderId="0" xfId="0" applyNumberFormat="1" applyFont="1" applyFill="1" applyBorder="1"/>
    <xf numFmtId="204" fontId="7" fillId="0" borderId="0" xfId="0" applyNumberFormat="1" applyFont="1" applyFill="1" applyBorder="1"/>
    <xf numFmtId="204" fontId="89" fillId="0" borderId="0" xfId="0" applyNumberFormat="1" applyFont="1" applyFill="1" applyBorder="1"/>
    <xf numFmtId="204" fontId="30" fillId="0" borderId="0" xfId="0" applyNumberFormat="1" applyFont="1" applyFill="1" applyBorder="1"/>
    <xf numFmtId="180" fontId="7" fillId="0" borderId="0" xfId="62" applyNumberFormat="1" applyFont="1" applyFill="1" applyBorder="1" applyAlignment="1">
      <alignment horizontal="right"/>
    </xf>
    <xf numFmtId="180" fontId="7" fillId="0" borderId="0" xfId="0" applyNumberFormat="1" applyFont="1" applyFill="1" applyAlignment="1" applyProtection="1">
      <alignment horizontal="right"/>
    </xf>
    <xf numFmtId="180" fontId="7" fillId="0" borderId="0" xfId="8" applyNumberFormat="1" applyFont="1" applyFill="1" applyBorder="1"/>
    <xf numFmtId="180" fontId="7" fillId="0" borderId="0" xfId="8" applyNumberFormat="1" applyFont="1" applyFill="1"/>
    <xf numFmtId="180" fontId="7" fillId="0" borderId="0" xfId="50" applyNumberFormat="1" applyFont="1" applyFill="1" applyBorder="1"/>
    <xf numFmtId="37" fontId="7" fillId="0" borderId="0" xfId="50" applyNumberFormat="1" applyFont="1" applyBorder="1" applyProtection="1"/>
    <xf numFmtId="180" fontId="7" fillId="0" borderId="0" xfId="0" applyNumberFormat="1" applyFont="1" applyFill="1" applyBorder="1"/>
    <xf numFmtId="10" fontId="7" fillId="0" borderId="0" xfId="62" applyNumberFormat="1" applyFont="1" applyFill="1" applyBorder="1" applyAlignment="1">
      <alignment horizontal="right"/>
    </xf>
    <xf numFmtId="37" fontId="7" fillId="0" borderId="0" xfId="0" applyNumberFormat="1" applyFont="1" applyFill="1" applyAlignment="1" applyProtection="1">
      <alignment horizontal="right"/>
    </xf>
    <xf numFmtId="38" fontId="7" fillId="0" borderId="0" xfId="8" applyNumberFormat="1" applyFont="1" applyFill="1" applyBorder="1"/>
    <xf numFmtId="37" fontId="7" fillId="0" borderId="0" xfId="50" applyNumberFormat="1" applyFont="1" applyFill="1" applyBorder="1" applyProtection="1"/>
    <xf numFmtId="180" fontId="30" fillId="0" borderId="0" xfId="0" applyNumberFormat="1" applyFont="1" applyFill="1" applyBorder="1"/>
    <xf numFmtId="0" fontId="7" fillId="0" borderId="0" xfId="25" applyFont="1" applyFill="1"/>
    <xf numFmtId="3" fontId="71" fillId="0" borderId="0" xfId="0" applyNumberFormat="1" applyFont="1" applyFill="1"/>
    <xf numFmtId="37" fontId="71" fillId="0" borderId="0" xfId="1" applyNumberFormat="1" applyFont="1" applyFill="1"/>
    <xf numFmtId="0" fontId="3" fillId="0" borderId="0" xfId="66" applyFont="1" applyFill="1" applyAlignment="1">
      <alignment horizontal="left"/>
    </xf>
    <xf numFmtId="0" fontId="3" fillId="0" borderId="0" xfId="66" applyFont="1" applyFill="1" applyAlignment="1">
      <alignment horizontal="center"/>
    </xf>
    <xf numFmtId="39" fontId="3" fillId="0" borderId="0" xfId="66" applyNumberFormat="1" applyFont="1" applyFill="1" applyAlignment="1">
      <alignment horizontal="right"/>
    </xf>
    <xf numFmtId="180" fontId="3" fillId="0" borderId="0" xfId="66" applyNumberFormat="1" applyFont="1" applyFill="1" applyAlignment="1" applyProtection="1">
      <alignment horizontal="right"/>
      <protection locked="0"/>
    </xf>
    <xf numFmtId="39" fontId="3" fillId="0" borderId="0" xfId="66" applyNumberFormat="1" applyFill="1"/>
    <xf numFmtId="0" fontId="3" fillId="0" borderId="0" xfId="66" applyFill="1"/>
    <xf numFmtId="180" fontId="3" fillId="0" borderId="0" xfId="66" applyNumberFormat="1" applyFont="1" applyFill="1" applyAlignment="1">
      <alignment horizontal="right"/>
    </xf>
    <xf numFmtId="0" fontId="3" fillId="0" borderId="0" xfId="66" applyFont="1" applyFill="1" applyProtection="1">
      <protection locked="0"/>
    </xf>
    <xf numFmtId="0" fontId="8" fillId="0" borderId="10" xfId="57" applyFont="1" applyFill="1" applyBorder="1" applyAlignment="1">
      <alignment horizontal="center"/>
    </xf>
    <xf numFmtId="0" fontId="73" fillId="0" borderId="0" xfId="21" applyFont="1" applyFill="1"/>
    <xf numFmtId="42" fontId="73" fillId="0" borderId="0" xfId="22" applyNumberFormat="1" applyFont="1"/>
    <xf numFmtId="0" fontId="30" fillId="0" borderId="0" xfId="0" applyFont="1" applyAlignment="1">
      <alignment horizontal="center"/>
    </xf>
    <xf numFmtId="0" fontId="7" fillId="0" borderId="0" xfId="29" applyFont="1" applyAlignment="1">
      <alignment horizontal="left"/>
    </xf>
    <xf numFmtId="9" fontId="31" fillId="0" borderId="0" xfId="62" applyFont="1" applyFill="1" applyAlignment="1" applyProtection="1">
      <alignment horizontal="right"/>
      <protection locked="0"/>
    </xf>
    <xf numFmtId="9" fontId="31" fillId="0" borderId="0" xfId="62" applyFont="1" applyFill="1" applyAlignment="1">
      <alignment horizontal="right"/>
    </xf>
    <xf numFmtId="183" fontId="8" fillId="0" borderId="0" xfId="1" applyNumberFormat="1" applyFont="1" applyAlignment="1" applyProtection="1">
      <alignment horizontal="right"/>
      <protection locked="0"/>
    </xf>
    <xf numFmtId="183" fontId="0" fillId="0" borderId="0" xfId="1" applyNumberFormat="1" applyFont="1"/>
    <xf numFmtId="183" fontId="8" fillId="0" borderId="0" xfId="1" applyNumberFormat="1" applyFont="1" applyAlignment="1">
      <alignment horizontal="right"/>
    </xf>
    <xf numFmtId="0" fontId="7" fillId="0" borderId="0" xfId="27" applyFont="1"/>
    <xf numFmtId="9" fontId="7" fillId="0" borderId="0" xfId="0" applyNumberFormat="1" applyFont="1"/>
    <xf numFmtId="183" fontId="7" fillId="0" borderId="0" xfId="1" applyNumberFormat="1" applyFont="1" applyAlignment="1" applyProtection="1">
      <alignment horizontal="right"/>
      <protection locked="0"/>
    </xf>
    <xf numFmtId="9" fontId="7" fillId="0" borderId="0" xfId="62" applyFont="1" applyFill="1" applyAlignment="1">
      <alignment horizontal="left"/>
    </xf>
    <xf numFmtId="0" fontId="7" fillId="0" borderId="0" xfId="29" applyFont="1" applyAlignment="1" applyProtection="1">
      <alignment horizontal="right"/>
    </xf>
    <xf numFmtId="9" fontId="7" fillId="0" borderId="9" xfId="62" applyFont="1" applyFill="1" applyBorder="1" applyAlignment="1" applyProtection="1">
      <alignment horizontal="right"/>
    </xf>
    <xf numFmtId="37" fontId="7" fillId="0" borderId="9" xfId="29" applyNumberFormat="1" applyFont="1" applyBorder="1" applyAlignment="1" applyProtection="1">
      <alignment horizontal="right"/>
    </xf>
    <xf numFmtId="183" fontId="7" fillId="0" borderId="9" xfId="1" applyNumberFormat="1" applyFont="1" applyFill="1" applyBorder="1" applyAlignment="1" applyProtection="1">
      <alignment horizontal="right"/>
    </xf>
    <xf numFmtId="183" fontId="7" fillId="0" borderId="9" xfId="1" applyNumberFormat="1" applyFont="1" applyBorder="1" applyAlignment="1" applyProtection="1">
      <alignment horizontal="right"/>
    </xf>
    <xf numFmtId="183" fontId="3" fillId="0" borderId="9" xfId="1" applyNumberFormat="1" applyFont="1" applyBorder="1"/>
    <xf numFmtId="183" fontId="7" fillId="0" borderId="0" xfId="1" applyNumberFormat="1" applyFont="1" applyAlignment="1" applyProtection="1">
      <alignment horizontal="right"/>
    </xf>
    <xf numFmtId="0" fontId="7" fillId="0" borderId="0" xfId="31" applyFont="1" applyBorder="1"/>
    <xf numFmtId="183" fontId="7" fillId="0" borderId="0" xfId="1" applyNumberFormat="1" applyFont="1" applyBorder="1"/>
    <xf numFmtId="183" fontId="7" fillId="0" borderId="0" xfId="1" applyNumberFormat="1" applyFont="1"/>
    <xf numFmtId="9" fontId="31" fillId="0" borderId="7" xfId="62" applyFont="1" applyFill="1" applyBorder="1" applyAlignment="1" applyProtection="1">
      <alignment horizontal="right"/>
      <protection locked="0"/>
    </xf>
    <xf numFmtId="37" fontId="7" fillId="0" borderId="7" xfId="29" applyNumberFormat="1" applyFont="1" applyBorder="1" applyAlignment="1" applyProtection="1">
      <alignment horizontal="right"/>
      <protection locked="0"/>
    </xf>
    <xf numFmtId="183" fontId="7" fillId="0" borderId="7" xfId="1" applyNumberFormat="1" applyFont="1" applyBorder="1" applyAlignment="1" applyProtection="1">
      <alignment horizontal="right"/>
      <protection locked="0"/>
    </xf>
    <xf numFmtId="183" fontId="3" fillId="0" borderId="7" xfId="1" applyNumberFormat="1" applyFont="1" applyBorder="1"/>
    <xf numFmtId="183" fontId="7" fillId="0" borderId="9" xfId="1" applyNumberFormat="1" applyFont="1" applyBorder="1" applyAlignment="1" applyProtection="1">
      <alignment horizontal="right"/>
      <protection locked="0"/>
    </xf>
    <xf numFmtId="183" fontId="7" fillId="0" borderId="9" xfId="0" applyNumberFormat="1" applyFont="1" applyBorder="1"/>
    <xf numFmtId="37" fontId="73" fillId="0" borderId="0" xfId="59" applyNumberFormat="1" applyFont="1" applyFill="1"/>
    <xf numFmtId="37" fontId="73" fillId="0" borderId="7" xfId="59" applyNumberFormat="1" applyFont="1" applyFill="1" applyBorder="1"/>
    <xf numFmtId="0" fontId="7" fillId="0" borderId="0" xfId="34" applyFont="1" applyAlignment="1" applyProtection="1">
      <alignment horizontal="right"/>
    </xf>
    <xf numFmtId="0" fontId="7" fillId="0" borderId="0" xfId="29" applyFont="1" applyFill="1" applyAlignment="1" applyProtection="1">
      <alignment horizontal="center"/>
    </xf>
    <xf numFmtId="183" fontId="73" fillId="0" borderId="0" xfId="1" applyNumberFormat="1" applyFont="1" applyAlignment="1" applyProtection="1">
      <alignment horizontal="right"/>
      <protection locked="0"/>
    </xf>
    <xf numFmtId="183" fontId="73" fillId="0" borderId="0" xfId="1" applyNumberFormat="1" applyFont="1" applyFill="1" applyAlignment="1" applyProtection="1">
      <alignment horizontal="right"/>
      <protection locked="0"/>
    </xf>
    <xf numFmtId="183" fontId="73" fillId="0" borderId="0" xfId="1" applyNumberFormat="1" applyFont="1" applyAlignment="1">
      <alignment horizontal="right"/>
    </xf>
    <xf numFmtId="183" fontId="73" fillId="0" borderId="7" xfId="1" applyNumberFormat="1" applyFont="1" applyBorder="1" applyAlignment="1" applyProtection="1">
      <alignment horizontal="right"/>
      <protection locked="0"/>
    </xf>
    <xf numFmtId="0" fontId="7" fillId="0" borderId="0" xfId="27" applyFont="1" applyAlignment="1" applyProtection="1">
      <alignment horizontal="left"/>
    </xf>
    <xf numFmtId="37" fontId="71" fillId="0" borderId="7" xfId="8" applyNumberFormat="1" applyFont="1" applyFill="1" applyBorder="1"/>
    <xf numFmtId="1" fontId="71" fillId="0" borderId="0" xfId="0" applyNumberFormat="1" applyFont="1" applyFill="1" applyAlignment="1" applyProtection="1">
      <alignment horizontal="center"/>
    </xf>
    <xf numFmtId="49" fontId="71" fillId="0" borderId="0" xfId="0" quotePrefix="1" applyNumberFormat="1" applyFont="1" applyFill="1"/>
    <xf numFmtId="0" fontId="71" fillId="0" borderId="0" xfId="8" quotePrefix="1" applyFont="1" applyFill="1"/>
    <xf numFmtId="0" fontId="71" fillId="0" borderId="0" xfId="8" quotePrefix="1" applyFont="1" applyFill="1" applyBorder="1"/>
    <xf numFmtId="1" fontId="71" fillId="0" borderId="0" xfId="0" applyNumberFormat="1" applyFont="1" applyFill="1" applyAlignment="1">
      <alignment horizontal="left"/>
    </xf>
    <xf numFmtId="164" fontId="71" fillId="0" borderId="0" xfId="2" applyNumberFormat="1" applyFont="1" applyFill="1" applyProtection="1"/>
    <xf numFmtId="1" fontId="71" fillId="0" borderId="0" xfId="0" applyNumberFormat="1" applyFont="1" applyFill="1" applyAlignment="1" applyProtection="1">
      <alignment horizontal="left"/>
    </xf>
    <xf numFmtId="186" fontId="73" fillId="0" borderId="0" xfId="14" applyNumberFormat="1" applyFont="1" applyFill="1" applyAlignment="1">
      <alignment horizontal="center"/>
    </xf>
    <xf numFmtId="0" fontId="73" fillId="0" borderId="0" xfId="14" applyFont="1" applyFill="1"/>
    <xf numFmtId="37" fontId="73" fillId="0" borderId="0" xfId="13" applyNumberFormat="1" applyFont="1" applyFill="1" applyProtection="1">
      <protection locked="0"/>
    </xf>
    <xf numFmtId="0" fontId="3" fillId="0" borderId="0" xfId="9172" applyFont="1" applyFill="1" applyAlignment="1">
      <alignment horizontal="center"/>
    </xf>
    <xf numFmtId="180" fontId="8" fillId="0" borderId="0" xfId="62" applyNumberFormat="1" applyFont="1" applyFill="1"/>
    <xf numFmtId="180" fontId="8" fillId="0" borderId="7" xfId="62" applyNumberFormat="1" applyFont="1" applyFill="1" applyBorder="1"/>
    <xf numFmtId="180" fontId="8" fillId="0" borderId="0" xfId="62" applyNumberFormat="1" applyFont="1" applyFill="1" applyBorder="1" applyProtection="1"/>
    <xf numFmtId="0" fontId="7" fillId="0" borderId="0" xfId="58" quotePrefix="1" applyFont="1" applyFill="1"/>
    <xf numFmtId="0" fontId="67" fillId="0" borderId="0" xfId="50" applyFont="1" applyFill="1"/>
    <xf numFmtId="0" fontId="3" fillId="0" borderId="41" xfId="15" applyFont="1" applyFill="1" applyBorder="1" applyAlignment="1">
      <alignment horizontal="center"/>
    </xf>
    <xf numFmtId="0" fontId="7" fillId="0" borderId="0" xfId="22" applyFont="1" applyAlignment="1" applyProtection="1">
      <alignment horizontal="left"/>
    </xf>
    <xf numFmtId="0" fontId="7" fillId="0" borderId="0" xfId="58" quotePrefix="1" applyFont="1" applyFill="1" applyBorder="1" applyAlignment="1" applyProtection="1">
      <alignment horizontal="left"/>
    </xf>
    <xf numFmtId="183" fontId="73" fillId="0" borderId="0" xfId="22" applyNumberFormat="1" applyFont="1"/>
    <xf numFmtId="183" fontId="8" fillId="0" borderId="0" xfId="22" applyNumberFormat="1" applyFont="1"/>
    <xf numFmtId="183" fontId="73" fillId="0" borderId="7" xfId="22" applyNumberFormat="1" applyFont="1" applyBorder="1"/>
    <xf numFmtId="183" fontId="8" fillId="0" borderId="7" xfId="22" applyNumberFormat="1" applyFont="1" applyBorder="1"/>
    <xf numFmtId="183" fontId="73" fillId="0" borderId="0" xfId="22" applyNumberFormat="1" applyFont="1" applyFill="1"/>
    <xf numFmtId="0" fontId="8" fillId="0" borderId="0" xfId="22" applyFont="1" applyFill="1"/>
    <xf numFmtId="226" fontId="8" fillId="0" borderId="0" xfId="1" applyNumberFormat="1" applyFont="1" applyFill="1"/>
    <xf numFmtId="183" fontId="8" fillId="0" borderId="0" xfId="1" applyNumberFormat="1" applyFont="1"/>
    <xf numFmtId="39" fontId="7" fillId="0" borderId="0" xfId="6" applyNumberFormat="1" applyFont="1" applyFill="1" applyBorder="1" applyAlignment="1">
      <alignment horizontal="center"/>
    </xf>
    <xf numFmtId="196" fontId="73" fillId="0" borderId="0" xfId="22" applyNumberFormat="1" applyFont="1" applyProtection="1"/>
    <xf numFmtId="197" fontId="71" fillId="0" borderId="0" xfId="0" applyNumberFormat="1" applyFont="1" applyFill="1" applyAlignment="1">
      <alignment horizontal="center"/>
    </xf>
    <xf numFmtId="197" fontId="0" fillId="0" borderId="0" xfId="0" applyNumberFormat="1" applyFill="1" applyAlignment="1">
      <alignment horizontal="center"/>
    </xf>
    <xf numFmtId="197" fontId="26" fillId="0" borderId="0" xfId="0" applyNumberFormat="1" applyFont="1" applyFill="1"/>
    <xf numFmtId="197" fontId="26" fillId="0" borderId="7" xfId="0" applyNumberFormat="1" applyFont="1" applyFill="1" applyBorder="1" applyAlignment="1">
      <alignment horizontal="center"/>
    </xf>
    <xf numFmtId="0" fontId="26" fillId="0" borderId="0" xfId="0" applyFont="1" applyFill="1" applyAlignment="1">
      <alignment horizontal="left"/>
    </xf>
    <xf numFmtId="0" fontId="7" fillId="0" borderId="0" xfId="23" quotePrefix="1" applyFont="1" applyAlignment="1" applyProtection="1">
      <alignment horizontal="left"/>
    </xf>
    <xf numFmtId="37" fontId="75" fillId="0" borderId="0" xfId="56" applyNumberFormat="1" applyFont="1" applyFill="1" applyBorder="1" applyAlignment="1" applyProtection="1">
      <alignment horizontal="right"/>
    </xf>
    <xf numFmtId="0" fontId="7" fillId="0" borderId="0" xfId="46" applyFont="1" applyFill="1"/>
    <xf numFmtId="0" fontId="8" fillId="0" borderId="0" xfId="46" applyFont="1" applyFill="1"/>
    <xf numFmtId="0" fontId="7" fillId="0" borderId="0" xfId="8" quotePrefix="1" applyFont="1" applyFill="1" applyAlignment="1" applyProtection="1">
      <alignment horizontal="left"/>
    </xf>
    <xf numFmtId="0" fontId="7" fillId="0" borderId="0" xfId="8" applyFont="1" applyFill="1" applyAlignment="1">
      <alignment horizontal="center"/>
    </xf>
    <xf numFmtId="0" fontId="30" fillId="0" borderId="0" xfId="8" quotePrefix="1" applyFont="1" applyFill="1" applyAlignment="1">
      <alignment horizontal="center"/>
    </xf>
    <xf numFmtId="37" fontId="31" fillId="0" borderId="0" xfId="8" applyNumberFormat="1" applyFont="1" applyFill="1"/>
    <xf numFmtId="10" fontId="8" fillId="0" borderId="0" xfId="62" applyNumberFormat="1" applyFont="1" applyFill="1"/>
    <xf numFmtId="37" fontId="7" fillId="0" borderId="0" xfId="20" applyNumberFormat="1" applyFont="1" applyFill="1" applyProtection="1"/>
    <xf numFmtId="10" fontId="7" fillId="0" borderId="0" xfId="62" applyNumberFormat="1" applyFont="1" applyFill="1"/>
    <xf numFmtId="37" fontId="7" fillId="0" borderId="8" xfId="8" applyNumberFormat="1" applyFont="1" applyFill="1" applyBorder="1"/>
    <xf numFmtId="37" fontId="7" fillId="0" borderId="0" xfId="8" applyNumberFormat="1" applyFont="1" applyFill="1" applyAlignment="1" applyProtection="1">
      <alignment horizontal="left"/>
    </xf>
    <xf numFmtId="0" fontId="1" fillId="0" borderId="0" xfId="43936" applyFont="1"/>
    <xf numFmtId="0" fontId="1" fillId="0" borderId="0" xfId="43936" applyFont="1" applyFill="1"/>
    <xf numFmtId="9" fontId="0" fillId="0" borderId="0" xfId="43937" applyFont="1" applyFill="1"/>
    <xf numFmtId="186" fontId="3" fillId="0" borderId="0" xfId="48" applyNumberFormat="1" applyFont="1" applyFill="1" applyBorder="1"/>
    <xf numFmtId="0" fontId="3" fillId="0" borderId="7" xfId="48" quotePrefix="1" applyFont="1" applyBorder="1" applyAlignment="1" applyProtection="1">
      <alignment horizontal="center"/>
    </xf>
    <xf numFmtId="0" fontId="3" fillId="0" borderId="7" xfId="48" applyFont="1" applyBorder="1" applyAlignment="1" applyProtection="1">
      <alignment horizontal="center"/>
    </xf>
    <xf numFmtId="0" fontId="51" fillId="0" borderId="0" xfId="43936" applyFont="1" applyAlignment="1" applyProtection="1">
      <alignment horizontal="left"/>
    </xf>
    <xf numFmtId="0" fontId="2" fillId="0" borderId="0" xfId="43936" applyFont="1"/>
    <xf numFmtId="0" fontId="2" fillId="0" borderId="0" xfId="43936" applyFont="1" applyAlignment="1" applyProtection="1">
      <alignment horizontal="left" indent="1"/>
    </xf>
    <xf numFmtId="0" fontId="1" fillId="0" borderId="0" xfId="43936" applyFont="1" applyFill="1" applyAlignment="1">
      <alignment horizontal="center"/>
    </xf>
    <xf numFmtId="215" fontId="0" fillId="0" borderId="41" xfId="43938" applyNumberFormat="1" applyFont="1" applyFill="1" applyBorder="1" applyAlignment="1" applyProtection="1">
      <alignment horizontal="center"/>
    </xf>
    <xf numFmtId="10" fontId="3" fillId="0" borderId="0" xfId="43937" applyNumberFormat="1" applyFont="1"/>
    <xf numFmtId="0" fontId="2" fillId="0" borderId="0" xfId="43936" applyFont="1" applyAlignment="1" applyProtection="1">
      <alignment horizontal="left"/>
    </xf>
    <xf numFmtId="37" fontId="2" fillId="0" borderId="0" xfId="43936" applyNumberFormat="1" applyFont="1" applyProtection="1"/>
    <xf numFmtId="0" fontId="183" fillId="0" borderId="0" xfId="43936" applyFont="1" applyAlignment="1">
      <alignment horizontal="left" vertical="center" indent="3"/>
    </xf>
    <xf numFmtId="0" fontId="2" fillId="0" borderId="0" xfId="43936" applyFont="1" applyAlignment="1">
      <alignment horizontal="left" vertical="center" indent="3"/>
    </xf>
    <xf numFmtId="0" fontId="2" fillId="0" borderId="0" xfId="43936" applyFont="1" applyBorder="1"/>
    <xf numFmtId="0" fontId="51" fillId="0" borderId="0" xfId="43936" applyFont="1"/>
    <xf numFmtId="0" fontId="3" fillId="0" borderId="0" xfId="43936" applyFont="1"/>
    <xf numFmtId="37" fontId="2" fillId="0" borderId="0" xfId="43936" applyNumberFormat="1" applyFont="1" applyFill="1" applyProtection="1"/>
    <xf numFmtId="203" fontId="3" fillId="0" borderId="0" xfId="10231" applyNumberFormat="1" applyFont="1" applyFill="1" applyBorder="1" applyAlignment="1">
      <alignment vertical="center"/>
    </xf>
    <xf numFmtId="215" fontId="0" fillId="0" borderId="0" xfId="43938" applyNumberFormat="1" applyFont="1" applyFill="1" applyBorder="1" applyAlignment="1" applyProtection="1">
      <alignment horizontal="center"/>
    </xf>
    <xf numFmtId="16" fontId="3" fillId="0" borderId="0" xfId="44" applyNumberFormat="1" applyFont="1" applyFill="1"/>
    <xf numFmtId="0" fontId="73" fillId="0" borderId="0" xfId="57" quotePrefix="1" applyFont="1" applyFill="1" applyAlignment="1" applyProtection="1">
      <alignment horizontal="center"/>
    </xf>
    <xf numFmtId="0" fontId="73" fillId="0" borderId="0" xfId="58" quotePrefix="1" applyFont="1" applyFill="1" applyAlignment="1" applyProtection="1">
      <alignment horizontal="center"/>
    </xf>
    <xf numFmtId="0" fontId="73" fillId="0" borderId="0" xfId="58" quotePrefix="1" applyFont="1" applyFill="1" applyAlignment="1" applyProtection="1">
      <alignment horizontal="left"/>
    </xf>
    <xf numFmtId="0" fontId="73" fillId="0" borderId="0" xfId="58" applyFont="1" applyFill="1" applyAlignment="1" applyProtection="1">
      <alignment horizontal="left"/>
    </xf>
    <xf numFmtId="0" fontId="73" fillId="0" borderId="0" xfId="58" applyFont="1" applyFill="1" applyAlignment="1" applyProtection="1">
      <alignment horizontal="center"/>
    </xf>
    <xf numFmtId="0" fontId="73" fillId="0" borderId="0" xfId="58" applyFont="1" applyFill="1"/>
    <xf numFmtId="0" fontId="7" fillId="0" borderId="0" xfId="58" applyFont="1" applyFill="1" applyAlignment="1" applyProtection="1">
      <alignment horizontal="left"/>
    </xf>
    <xf numFmtId="37" fontId="73" fillId="0" borderId="0" xfId="58" applyNumberFormat="1" applyFont="1" applyFill="1"/>
    <xf numFmtId="37" fontId="73" fillId="0" borderId="0" xfId="0" applyNumberFormat="1" applyFont="1" applyFill="1"/>
    <xf numFmtId="37" fontId="72" fillId="0" borderId="0" xfId="61" applyNumberFormat="1" applyFont="1" applyFill="1" applyProtection="1">
      <protection locked="0"/>
    </xf>
    <xf numFmtId="0" fontId="3" fillId="0" borderId="0" xfId="29" applyFont="1" applyAlignment="1" applyProtection="1">
      <alignment horizontal="centerContinuous"/>
    </xf>
    <xf numFmtId="0" fontId="3" fillId="0" borderId="0" xfId="29" applyFont="1" applyAlignment="1">
      <alignment horizontal="centerContinuous"/>
    </xf>
    <xf numFmtId="0" fontId="3" fillId="0" borderId="0" xfId="29" applyFont="1"/>
    <xf numFmtId="0" fontId="71" fillId="0" borderId="0" xfId="6" applyFont="1" applyAlignment="1" applyProtection="1">
      <alignment horizontal="centerContinuous"/>
    </xf>
    <xf numFmtId="165" fontId="3" fillId="0" borderId="0" xfId="29" applyNumberFormat="1" applyFont="1" applyAlignment="1" applyProtection="1">
      <alignment horizontal="centerContinuous"/>
    </xf>
    <xf numFmtId="0" fontId="3" fillId="0" borderId="0" xfId="29" applyFont="1" applyProtection="1"/>
    <xf numFmtId="0" fontId="3" fillId="0" borderId="0" xfId="29" applyFont="1" applyAlignment="1" applyProtection="1">
      <alignment horizontal="left"/>
    </xf>
    <xf numFmtId="0" fontId="3" fillId="0" borderId="7" xfId="29" applyFont="1" applyBorder="1" applyAlignment="1" applyProtection="1">
      <alignment horizontal="fill"/>
    </xf>
    <xf numFmtId="0" fontId="3" fillId="0" borderId="0" xfId="29" applyFont="1" applyAlignment="1" applyProtection="1">
      <alignment horizontal="center"/>
    </xf>
    <xf numFmtId="0" fontId="3" fillId="0" borderId="0" xfId="29" applyFont="1" applyAlignment="1">
      <alignment horizontal="center"/>
    </xf>
    <xf numFmtId="0" fontId="3" fillId="0" borderId="0" xfId="29" applyFont="1" applyAlignment="1" applyProtection="1">
      <alignment horizontal="fill"/>
    </xf>
    <xf numFmtId="0" fontId="3" fillId="0" borderId="0" xfId="29" applyFont="1" applyAlignment="1" applyProtection="1"/>
    <xf numFmtId="0" fontId="53" fillId="0" borderId="0" xfId="29" applyFont="1" applyAlignment="1" applyProtection="1">
      <alignment horizontal="left"/>
    </xf>
    <xf numFmtId="0" fontId="3" fillId="0" borderId="0" xfId="29" applyFont="1" applyAlignment="1"/>
    <xf numFmtId="0" fontId="3" fillId="0" borderId="0" xfId="29" applyFont="1" applyAlignment="1">
      <alignment horizontal="left"/>
    </xf>
    <xf numFmtId="0" fontId="3" fillId="0" borderId="0" xfId="34" applyFont="1" applyProtection="1"/>
    <xf numFmtId="0" fontId="3" fillId="0" borderId="0" xfId="34" applyFont="1"/>
    <xf numFmtId="0" fontId="3" fillId="0" borderId="0" xfId="34" applyFont="1" applyAlignment="1" applyProtection="1">
      <alignment horizontal="left"/>
    </xf>
    <xf numFmtId="167" fontId="3" fillId="0" borderId="0" xfId="34" applyNumberFormat="1" applyFont="1" applyProtection="1"/>
    <xf numFmtId="0" fontId="3" fillId="0" borderId="0" xfId="34" applyFont="1" applyAlignment="1" applyProtection="1">
      <alignment horizontal="center"/>
    </xf>
    <xf numFmtId="0" fontId="51" fillId="0" borderId="0" xfId="29" applyFont="1" applyAlignment="1" applyProtection="1">
      <alignment horizontal="center"/>
    </xf>
    <xf numFmtId="0" fontId="51" fillId="0" borderId="0" xfId="29" applyFont="1" applyAlignment="1">
      <alignment horizontal="left"/>
    </xf>
    <xf numFmtId="0" fontId="51" fillId="0" borderId="0" xfId="34" applyFont="1" applyAlignment="1" applyProtection="1">
      <alignment horizontal="center"/>
    </xf>
    <xf numFmtId="0" fontId="3" fillId="0" borderId="0" xfId="34" applyFont="1" applyFill="1" applyAlignment="1" applyProtection="1">
      <alignment horizontal="center"/>
    </xf>
    <xf numFmtId="0" fontId="3" fillId="0" borderId="0" xfId="34" applyFont="1" applyFill="1" applyAlignment="1">
      <alignment horizontal="left"/>
    </xf>
    <xf numFmtId="0" fontId="3" fillId="0" borderId="0" xfId="34" applyFont="1" applyFill="1" applyAlignment="1" applyProtection="1">
      <alignment horizontal="left"/>
    </xf>
    <xf numFmtId="0" fontId="3" fillId="0" borderId="0" xfId="34" applyFont="1" applyFill="1"/>
    <xf numFmtId="0" fontId="3" fillId="0" borderId="0" xfId="34" applyFont="1" applyAlignment="1">
      <alignment horizontal="left"/>
    </xf>
    <xf numFmtId="37" fontId="3" fillId="0" borderId="0" xfId="34" applyNumberFormat="1" applyFont="1" applyProtection="1"/>
    <xf numFmtId="0" fontId="3" fillId="0" borderId="0" xfId="34" applyFont="1" applyAlignment="1" applyProtection="1">
      <alignment horizontal="fill"/>
    </xf>
    <xf numFmtId="37" fontId="75" fillId="0" borderId="0" xfId="34" applyNumberFormat="1" applyFont="1" applyProtection="1"/>
    <xf numFmtId="0" fontId="3" fillId="0" borderId="0" xfId="34" quotePrefix="1" applyFont="1"/>
    <xf numFmtId="0" fontId="51" fillId="0" borderId="0" xfId="29" applyFont="1" applyAlignment="1" applyProtection="1">
      <alignment horizontal="left"/>
    </xf>
    <xf numFmtId="37" fontId="53" fillId="0" borderId="0" xfId="29" applyNumberFormat="1" applyFont="1" applyAlignment="1" applyProtection="1">
      <alignment horizontal="right"/>
      <protection locked="0"/>
    </xf>
    <xf numFmtId="0" fontId="3" fillId="0" borderId="0" xfId="29" applyFont="1" applyAlignment="1">
      <alignment horizontal="right"/>
    </xf>
    <xf numFmtId="10" fontId="51" fillId="0" borderId="0" xfId="29" applyNumberFormat="1" applyFont="1" applyAlignment="1" applyProtection="1">
      <alignment horizontal="right"/>
    </xf>
    <xf numFmtId="0" fontId="3" fillId="0" borderId="0" xfId="29" applyFont="1" applyAlignment="1" applyProtection="1">
      <alignment horizontal="right"/>
    </xf>
    <xf numFmtId="37" fontId="75" fillId="0" borderId="0" xfId="29" applyNumberFormat="1" applyFont="1" applyAlignment="1" applyProtection="1">
      <alignment horizontal="right"/>
    </xf>
    <xf numFmtId="37" fontId="3" fillId="0" borderId="8" xfId="34" applyNumberFormat="1" applyFont="1" applyFill="1" applyBorder="1" applyProtection="1">
      <protection locked="0"/>
    </xf>
    <xf numFmtId="37" fontId="71" fillId="0" borderId="0" xfId="34" applyNumberFormat="1" applyFont="1" applyFill="1" applyProtection="1">
      <protection locked="0"/>
    </xf>
    <xf numFmtId="0" fontId="51" fillId="0" borderId="0" xfId="34" quotePrefix="1" applyFont="1" applyAlignment="1" applyProtection="1">
      <alignment horizontal="left"/>
    </xf>
    <xf numFmtId="37" fontId="73" fillId="0" borderId="0" xfId="38" applyNumberFormat="1" applyFont="1" applyFill="1"/>
    <xf numFmtId="180" fontId="73" fillId="0" borderId="7" xfId="62" applyNumberFormat="1" applyFont="1" applyFill="1" applyBorder="1"/>
    <xf numFmtId="180" fontId="73" fillId="0" borderId="0" xfId="62" applyNumberFormat="1" applyFont="1" applyFill="1"/>
    <xf numFmtId="37" fontId="8" fillId="0" borderId="0" xfId="38" applyNumberFormat="1" applyFont="1" applyFill="1" applyBorder="1"/>
    <xf numFmtId="37" fontId="8" fillId="0" borderId="7" xfId="38" applyNumberFormat="1" applyFont="1" applyFill="1" applyBorder="1"/>
    <xf numFmtId="37" fontId="30" fillId="0" borderId="0" xfId="0" applyNumberFormat="1" applyFont="1" applyFill="1"/>
    <xf numFmtId="37" fontId="7" fillId="0" borderId="0" xfId="0" applyNumberFormat="1" applyFont="1" applyFill="1" applyBorder="1"/>
    <xf numFmtId="0" fontId="8" fillId="0" borderId="0" xfId="0" applyFont="1" applyFill="1" applyAlignment="1" applyProtection="1">
      <alignment horizontal="center"/>
    </xf>
    <xf numFmtId="10" fontId="73" fillId="0" borderId="0" xfId="0" applyNumberFormat="1" applyFont="1" applyFill="1"/>
    <xf numFmtId="0" fontId="8" fillId="0" borderId="0" xfId="0" quotePrefix="1" applyFont="1" applyFill="1"/>
    <xf numFmtId="37" fontId="7" fillId="0" borderId="0" xfId="34" applyNumberFormat="1" applyFont="1" applyProtection="1"/>
    <xf numFmtId="39" fontId="7" fillId="0" borderId="0" xfId="34" applyNumberFormat="1" applyFont="1" applyProtection="1"/>
    <xf numFmtId="0" fontId="7" fillId="0" borderId="0" xfId="34" applyFont="1" applyAlignment="1">
      <alignment horizontal="left"/>
    </xf>
    <xf numFmtId="201" fontId="7" fillId="0" borderId="0" xfId="34" applyNumberFormat="1" applyFont="1" applyProtection="1"/>
    <xf numFmtId="174" fontId="7" fillId="0" borderId="0" xfId="34" applyNumberFormat="1" applyFont="1" applyProtection="1"/>
    <xf numFmtId="0" fontId="7" fillId="0" borderId="0" xfId="34" quotePrefix="1" applyFont="1" applyAlignment="1" applyProtection="1">
      <alignment horizontal="center"/>
    </xf>
    <xf numFmtId="167" fontId="7" fillId="0" borderId="0" xfId="34" applyNumberFormat="1" applyFont="1" applyProtection="1"/>
    <xf numFmtId="0" fontId="7" fillId="0" borderId="0" xfId="34" applyFont="1" applyProtection="1"/>
    <xf numFmtId="0" fontId="7" fillId="0" borderId="0" xfId="34" applyFont="1" applyAlignment="1" applyProtection="1">
      <alignment horizontal="fill"/>
    </xf>
    <xf numFmtId="173" fontId="7" fillId="0" borderId="0" xfId="34" applyNumberFormat="1" applyFont="1" applyProtection="1"/>
    <xf numFmtId="37" fontId="7" fillId="0" borderId="0" xfId="34" applyNumberFormat="1" applyFont="1" applyFill="1" applyProtection="1">
      <protection locked="0"/>
    </xf>
    <xf numFmtId="0" fontId="7" fillId="0" borderId="0" xfId="34" applyFont="1" applyFill="1"/>
    <xf numFmtId="0" fontId="7" fillId="0" borderId="0" xfId="34" applyFont="1" applyFill="1" applyAlignment="1" applyProtection="1">
      <alignment horizontal="center"/>
    </xf>
    <xf numFmtId="0" fontId="7" fillId="0" borderId="0" xfId="34" applyFont="1" applyFill="1" applyAlignment="1" applyProtection="1">
      <alignment horizontal="left"/>
    </xf>
    <xf numFmtId="0" fontId="7" fillId="0" borderId="0" xfId="34" applyFont="1" applyFill="1" applyAlignment="1">
      <alignment horizontal="left"/>
    </xf>
    <xf numFmtId="0" fontId="7" fillId="0" borderId="0" xfId="34" applyFont="1" applyAlignment="1" applyProtection="1"/>
    <xf numFmtId="42" fontId="7" fillId="0" borderId="0" xfId="22" applyNumberFormat="1" applyFont="1" applyProtection="1"/>
    <xf numFmtId="0" fontId="7" fillId="0" borderId="0" xfId="34" applyFont="1" applyAlignment="1">
      <alignment horizontal="center"/>
    </xf>
    <xf numFmtId="0" fontId="7" fillId="0" borderId="7" xfId="34" applyFont="1" applyBorder="1" applyAlignment="1" applyProtection="1">
      <alignment horizontal="fill"/>
    </xf>
    <xf numFmtId="0" fontId="7" fillId="0" borderId="0" xfId="34" applyFont="1" applyAlignment="1">
      <alignment horizontal="centerContinuous"/>
    </xf>
    <xf numFmtId="0" fontId="7" fillId="0" borderId="0" xfId="34" applyFont="1" applyAlignment="1" applyProtection="1">
      <alignment horizontal="centerContinuous"/>
    </xf>
    <xf numFmtId="37" fontId="7" fillId="0" borderId="0" xfId="34" applyNumberFormat="1" applyFont="1" applyAlignment="1" applyProtection="1">
      <alignment horizontal="centerContinuous"/>
    </xf>
    <xf numFmtId="37" fontId="38" fillId="0" borderId="0" xfId="37" applyNumberFormat="1" applyFont="1" applyFill="1"/>
    <xf numFmtId="10" fontId="8" fillId="0" borderId="0" xfId="37" applyNumberFormat="1" applyFont="1" applyFill="1"/>
    <xf numFmtId="180" fontId="8" fillId="0" borderId="0" xfId="37" applyNumberFormat="1" applyFont="1" applyFill="1"/>
    <xf numFmtId="0" fontId="51" fillId="0" borderId="0" xfId="29" applyFont="1" applyAlignment="1">
      <alignment horizontal="center"/>
    </xf>
    <xf numFmtId="0" fontId="26" fillId="0" borderId="7" xfId="0" applyFont="1" applyFill="1" applyBorder="1" applyAlignment="1">
      <alignment horizontal="center"/>
    </xf>
    <xf numFmtId="3" fontId="26" fillId="0" borderId="7" xfId="0" applyNumberFormat="1" applyFont="1" applyFill="1" applyBorder="1" applyAlignment="1">
      <alignment horizontal="center"/>
    </xf>
    <xf numFmtId="0" fontId="3" fillId="0" borderId="0" xfId="8" applyFont="1" applyFill="1" applyAlignment="1" applyProtection="1">
      <alignment horizontal="center"/>
    </xf>
    <xf numFmtId="183" fontId="7" fillId="0" borderId="0" xfId="1" applyNumberFormat="1" applyFont="1" applyFill="1"/>
    <xf numFmtId="43" fontId="7" fillId="0" borderId="0" xfId="38" applyNumberFormat="1" applyFont="1" applyFill="1"/>
    <xf numFmtId="183" fontId="7" fillId="0" borderId="0" xfId="38" applyNumberFormat="1" applyFont="1" applyFill="1"/>
    <xf numFmtId="0" fontId="31" fillId="0" borderId="0" xfId="0" applyFont="1" applyFill="1" applyAlignment="1">
      <alignment horizontal="center"/>
    </xf>
    <xf numFmtId="2" fontId="8" fillId="0" borderId="0" xfId="57" applyNumberFormat="1" applyFont="1" applyFill="1" applyAlignment="1" applyProtection="1">
      <alignment horizontal="center"/>
    </xf>
    <xf numFmtId="0" fontId="8" fillId="0" borderId="0" xfId="57" quotePrefix="1" applyFont="1" applyFill="1" applyAlignment="1" applyProtection="1">
      <alignment horizontal="left"/>
    </xf>
    <xf numFmtId="37" fontId="8" fillId="0" borderId="7" xfId="57" applyNumberFormat="1" applyFont="1" applyFill="1" applyBorder="1" applyAlignment="1" applyProtection="1">
      <alignment horizontal="center"/>
    </xf>
    <xf numFmtId="169" fontId="8" fillId="0" borderId="0" xfId="57" applyNumberFormat="1" applyFont="1" applyFill="1" applyProtection="1"/>
    <xf numFmtId="0" fontId="3" fillId="0" borderId="7" xfId="0" applyFont="1" applyFill="1" applyBorder="1" applyAlignment="1">
      <alignment horizontal="center"/>
    </xf>
    <xf numFmtId="0" fontId="3" fillId="0" borderId="0" xfId="15" applyFont="1" applyFill="1" applyProtection="1"/>
    <xf numFmtId="0" fontId="3" fillId="0" borderId="0" xfId="15" applyFont="1" applyFill="1" applyAlignment="1" applyProtection="1">
      <alignment horizontal="left"/>
    </xf>
    <xf numFmtId="37" fontId="56" fillId="0" borderId="7" xfId="15" applyNumberFormat="1" applyFont="1" applyFill="1" applyBorder="1" applyAlignment="1" applyProtection="1">
      <alignment horizontal="center"/>
      <protection locked="0"/>
    </xf>
    <xf numFmtId="186" fontId="3" fillId="0" borderId="0" xfId="15" applyNumberFormat="1" applyFont="1" applyFill="1"/>
    <xf numFmtId="37" fontId="3" fillId="0" borderId="0" xfId="15" applyNumberFormat="1" applyFont="1" applyFill="1" applyAlignment="1">
      <alignment horizontal="right"/>
    </xf>
    <xf numFmtId="37" fontId="3" fillId="0" borderId="0" xfId="15" applyNumberFormat="1" applyFont="1" applyFill="1" applyBorder="1" applyAlignment="1">
      <alignment horizontal="center"/>
    </xf>
    <xf numFmtId="186" fontId="3" fillId="0" borderId="0" xfId="15" applyNumberFormat="1" applyFont="1" applyFill="1" applyBorder="1"/>
    <xf numFmtId="37" fontId="3" fillId="0" borderId="0" xfId="9172" applyNumberFormat="1" applyFont="1" applyFill="1"/>
    <xf numFmtId="37" fontId="3" fillId="0" borderId="7" xfId="9172" applyNumberFormat="1" applyFont="1" applyFill="1" applyBorder="1"/>
    <xf numFmtId="0" fontId="3" fillId="0" borderId="0" xfId="9172" applyFont="1" applyFill="1"/>
    <xf numFmtId="37" fontId="3" fillId="0" borderId="0" xfId="9172" applyNumberFormat="1" applyFont="1" applyFill="1" applyBorder="1"/>
    <xf numFmtId="0" fontId="3" fillId="0" borderId="0" xfId="15" quotePrefix="1" applyFont="1" applyFill="1"/>
    <xf numFmtId="3" fontId="3" fillId="0" borderId="0" xfId="15" applyNumberFormat="1" applyFont="1" applyFill="1" applyAlignment="1">
      <alignment horizontal="center"/>
    </xf>
    <xf numFmtId="0" fontId="51" fillId="0" borderId="0" xfId="15" applyFont="1" applyFill="1"/>
    <xf numFmtId="37" fontId="3" fillId="0" borderId="0" xfId="15" applyNumberFormat="1" applyFont="1" applyFill="1" applyBorder="1" applyAlignment="1">
      <alignment horizontal="centerContinuous"/>
    </xf>
    <xf numFmtId="0" fontId="3" fillId="0" borderId="0" xfId="9172" applyFont="1" applyFill="1" applyAlignment="1" applyProtection="1">
      <alignment horizontal="center"/>
    </xf>
    <xf numFmtId="37" fontId="3" fillId="0" borderId="0" xfId="15" applyNumberFormat="1" applyFont="1" applyFill="1" applyBorder="1" applyAlignment="1">
      <alignment horizontal="right"/>
    </xf>
    <xf numFmtId="0" fontId="3" fillId="0" borderId="0" xfId="15" applyFont="1" applyFill="1" applyBorder="1" applyAlignment="1" applyProtection="1">
      <alignment horizontal="center"/>
    </xf>
    <xf numFmtId="0" fontId="3" fillId="0" borderId="0" xfId="9172" applyFont="1" applyFill="1" applyAlignment="1" applyProtection="1">
      <alignment horizontal="left"/>
    </xf>
    <xf numFmtId="39" fontId="3" fillId="0" borderId="0" xfId="15" applyNumberFormat="1" applyFont="1" applyFill="1" applyBorder="1"/>
    <xf numFmtId="0" fontId="3" fillId="0" borderId="0" xfId="15" quotePrefix="1" applyFont="1" applyFill="1" applyAlignment="1" applyProtection="1">
      <alignment horizontal="left"/>
    </xf>
    <xf numFmtId="0" fontId="51" fillId="0" borderId="0" xfId="15" applyFont="1" applyFill="1" applyBorder="1"/>
    <xf numFmtId="0" fontId="51" fillId="0" borderId="0" xfId="15" applyFont="1" applyFill="1" applyBorder="1" applyAlignment="1">
      <alignment horizontal="center"/>
    </xf>
    <xf numFmtId="37" fontId="71" fillId="0" borderId="0" xfId="61" applyNumberFormat="1" applyFont="1" applyFill="1" applyProtection="1"/>
    <xf numFmtId="0" fontId="30" fillId="0" borderId="0" xfId="58" applyFont="1" applyFill="1" applyAlignment="1" applyProtection="1">
      <alignment horizontal="left"/>
    </xf>
    <xf numFmtId="2" fontId="8" fillId="0" borderId="0" xfId="58" applyNumberFormat="1" applyFont="1" applyFill="1" applyProtection="1"/>
    <xf numFmtId="0" fontId="73" fillId="0" borderId="0" xfId="58" applyFont="1" applyFill="1" applyAlignment="1">
      <alignment horizontal="center"/>
    </xf>
    <xf numFmtId="37" fontId="8" fillId="0" borderId="0" xfId="58" applyNumberFormat="1" applyFont="1" applyFill="1" applyBorder="1" applyProtection="1"/>
    <xf numFmtId="37" fontId="8" fillId="0" borderId="7" xfId="58" applyNumberFormat="1" applyFont="1" applyFill="1" applyBorder="1" applyProtection="1"/>
    <xf numFmtId="0" fontId="30" fillId="0" borderId="0" xfId="58" applyFont="1" applyFill="1"/>
    <xf numFmtId="2" fontId="8" fillId="0" borderId="0" xfId="58" applyNumberFormat="1" applyFont="1" applyFill="1"/>
    <xf numFmtId="0" fontId="7" fillId="0" borderId="0" xfId="58" applyFont="1" applyFill="1"/>
    <xf numFmtId="37" fontId="31" fillId="0" borderId="0" xfId="0" applyNumberFormat="1" applyFont="1" applyFill="1" applyAlignment="1" applyProtection="1"/>
    <xf numFmtId="37" fontId="73" fillId="0" borderId="0" xfId="58" applyNumberFormat="1" applyFont="1" applyFill="1" applyProtection="1"/>
    <xf numFmtId="37" fontId="73" fillId="0" borderId="0" xfId="0" applyNumberFormat="1" applyFont="1" applyFill="1" applyAlignment="1" applyProtection="1"/>
    <xf numFmtId="2" fontId="3" fillId="0" borderId="0" xfId="57" applyNumberFormat="1" applyFont="1" applyFill="1" applyAlignment="1" applyProtection="1">
      <alignment horizontal="centerContinuous"/>
    </xf>
    <xf numFmtId="2" fontId="3" fillId="0" borderId="0" xfId="57" applyNumberFormat="1" applyFont="1" applyFill="1" applyAlignment="1">
      <alignment horizontal="centerContinuous"/>
    </xf>
    <xf numFmtId="37" fontId="3" fillId="0" borderId="0" xfId="57" applyNumberFormat="1" applyFont="1" applyFill="1" applyAlignment="1">
      <alignment horizontal="centerContinuous"/>
    </xf>
    <xf numFmtId="1" fontId="3" fillId="0" borderId="0" xfId="57" applyNumberFormat="1" applyFont="1" applyFill="1" applyAlignment="1">
      <alignment horizontal="centerContinuous"/>
    </xf>
    <xf numFmtId="2" fontId="3" fillId="0" borderId="0" xfId="57" applyNumberFormat="1" applyFont="1" applyFill="1"/>
    <xf numFmtId="0" fontId="3" fillId="0" borderId="0" xfId="57" quotePrefix="1" applyFont="1" applyFill="1" applyAlignment="1" applyProtection="1">
      <alignment horizontal="centerContinuous"/>
    </xf>
    <xf numFmtId="2" fontId="3" fillId="0" borderId="0" xfId="57" applyNumberFormat="1" applyFont="1" applyFill="1" applyAlignment="1" applyProtection="1">
      <alignment horizontal="left"/>
    </xf>
    <xf numFmtId="37" fontId="3" fillId="0" borderId="0" xfId="57" applyNumberFormat="1" applyFont="1" applyFill="1"/>
    <xf numFmtId="1" fontId="3" fillId="0" borderId="0" xfId="57" applyNumberFormat="1" applyFont="1" applyFill="1"/>
    <xf numFmtId="2" fontId="3" fillId="0" borderId="0" xfId="57" applyNumberFormat="1" applyFont="1" applyFill="1" applyProtection="1"/>
    <xf numFmtId="2" fontId="3" fillId="0" borderId="7" xfId="57" applyNumberFormat="1" applyFont="1" applyFill="1" applyBorder="1"/>
    <xf numFmtId="2" fontId="3" fillId="0" borderId="0" xfId="57" applyNumberFormat="1" applyFont="1" applyFill="1" applyAlignment="1" applyProtection="1">
      <alignment horizontal="center"/>
    </xf>
    <xf numFmtId="37" fontId="3" fillId="0" borderId="7" xfId="57" applyNumberFormat="1" applyFont="1" applyFill="1" applyBorder="1" applyAlignment="1" applyProtection="1">
      <alignment horizontal="centerContinuous"/>
    </xf>
    <xf numFmtId="1" fontId="3" fillId="0" borderId="7" xfId="57" applyNumberFormat="1" applyFont="1" applyFill="1" applyBorder="1" applyAlignment="1" applyProtection="1">
      <alignment horizontal="centerContinuous"/>
    </xf>
    <xf numFmtId="2" fontId="3" fillId="0" borderId="7" xfId="57" applyNumberFormat="1" applyFont="1" applyFill="1" applyBorder="1" applyAlignment="1" applyProtection="1">
      <alignment horizontal="centerContinuous"/>
    </xf>
    <xf numFmtId="2" fontId="3" fillId="0" borderId="0" xfId="57" applyNumberFormat="1" applyFont="1" applyFill="1" applyAlignment="1">
      <alignment horizontal="center"/>
    </xf>
    <xf numFmtId="1" fontId="3" fillId="0" borderId="0" xfId="57" applyNumberFormat="1" applyFont="1" applyFill="1" applyAlignment="1" applyProtection="1">
      <alignment horizontal="center"/>
    </xf>
    <xf numFmtId="37" fontId="3" fillId="0" borderId="0" xfId="57" applyNumberFormat="1" applyFont="1" applyFill="1" applyAlignment="1" applyProtection="1">
      <alignment horizontal="center"/>
    </xf>
    <xf numFmtId="1" fontId="3" fillId="0" borderId="0" xfId="57" applyNumberFormat="1" applyFont="1" applyFill="1" applyAlignment="1">
      <alignment horizontal="center"/>
    </xf>
    <xf numFmtId="1" fontId="3" fillId="0" borderId="0" xfId="57" quotePrefix="1" applyNumberFormat="1" applyFont="1" applyFill="1"/>
    <xf numFmtId="3" fontId="3" fillId="0" borderId="0" xfId="57" applyNumberFormat="1" applyFont="1" applyFill="1"/>
    <xf numFmtId="2" fontId="3" fillId="0" borderId="0" xfId="57" applyNumberFormat="1" applyFont="1" applyFill="1" applyBorder="1"/>
    <xf numFmtId="37" fontId="3" fillId="0" borderId="0" xfId="57" applyNumberFormat="1" applyFont="1" applyFill="1" applyBorder="1"/>
    <xf numFmtId="3" fontId="3" fillId="0" borderId="0" xfId="57" applyNumberFormat="1" applyFont="1" applyFill="1" applyBorder="1"/>
    <xf numFmtId="0" fontId="3" fillId="0" borderId="0" xfId="57" applyFont="1" applyFill="1" applyAlignment="1" applyProtection="1">
      <alignment horizontal="centerContinuous"/>
    </xf>
    <xf numFmtId="0" fontId="3" fillId="0" borderId="0" xfId="57" applyFont="1" applyFill="1" applyAlignment="1">
      <alignment horizontal="centerContinuous"/>
    </xf>
    <xf numFmtId="0" fontId="3" fillId="0" borderId="0" xfId="57" applyFont="1" applyFill="1" applyAlignment="1" applyProtection="1">
      <alignment horizontal="left"/>
    </xf>
    <xf numFmtId="0" fontId="3" fillId="0" borderId="0" xfId="57" applyFont="1" applyFill="1" applyProtection="1"/>
    <xf numFmtId="0" fontId="3" fillId="0" borderId="7" xfId="57" applyFont="1" applyFill="1" applyBorder="1"/>
    <xf numFmtId="0" fontId="3" fillId="0" borderId="0" xfId="57" applyFont="1" applyFill="1" applyAlignment="1" applyProtection="1">
      <alignment horizontal="center"/>
    </xf>
    <xf numFmtId="0" fontId="3" fillId="0" borderId="7" xfId="57" applyFont="1" applyFill="1" applyBorder="1" applyAlignment="1" applyProtection="1">
      <alignment horizontal="centerContinuous"/>
    </xf>
    <xf numFmtId="0" fontId="3" fillId="0" borderId="7" xfId="57" applyFont="1" applyFill="1" applyBorder="1" applyAlignment="1">
      <alignment horizontal="centerContinuous"/>
    </xf>
    <xf numFmtId="0" fontId="9" fillId="0" borderId="0" xfId="57" applyFont="1" applyFill="1"/>
    <xf numFmtId="0" fontId="71" fillId="0" borderId="0" xfId="0" applyFont="1" applyFill="1"/>
    <xf numFmtId="0" fontId="71" fillId="0" borderId="0" xfId="0" applyFont="1" applyFill="1" applyAlignment="1" applyProtection="1">
      <alignment horizontal="left"/>
    </xf>
    <xf numFmtId="3" fontId="72" fillId="0" borderId="0" xfId="0" applyNumberFormat="1" applyFont="1" applyFill="1"/>
    <xf numFmtId="37" fontId="72" fillId="0" borderId="0" xfId="0" applyNumberFormat="1" applyFont="1" applyFill="1"/>
    <xf numFmtId="0" fontId="5" fillId="0" borderId="7" xfId="57" applyFill="1" applyBorder="1"/>
    <xf numFmtId="0" fontId="8" fillId="0" borderId="0" xfId="57" quotePrefix="1" applyFont="1" applyFill="1" applyAlignment="1" applyProtection="1">
      <alignment horizontal="center"/>
    </xf>
    <xf numFmtId="3" fontId="73" fillId="0" borderId="0" xfId="0" applyNumberFormat="1" applyFont="1" applyFill="1" applyAlignment="1">
      <alignment horizontal="right"/>
    </xf>
    <xf numFmtId="0" fontId="26" fillId="0" borderId="0" xfId="66" applyFont="1" applyFill="1"/>
    <xf numFmtId="0" fontId="3" fillId="0" borderId="0" xfId="66" applyFill="1" applyAlignment="1">
      <alignment horizontal="center"/>
    </xf>
    <xf numFmtId="37" fontId="3" fillId="0" borderId="0" xfId="66" applyNumberFormat="1" applyFill="1"/>
    <xf numFmtId="4" fontId="3" fillId="0" borderId="0" xfId="66" applyNumberFormat="1" applyFill="1"/>
    <xf numFmtId="49" fontId="26" fillId="0" borderId="0" xfId="66" applyNumberFormat="1" applyFont="1" applyFill="1"/>
    <xf numFmtId="49" fontId="82" fillId="0" borderId="0" xfId="66" applyNumberFormat="1" applyFont="1" applyFill="1"/>
    <xf numFmtId="0" fontId="26" fillId="0" borderId="0" xfId="66" applyFont="1" applyFill="1" applyAlignment="1">
      <alignment horizontal="center"/>
    </xf>
    <xf numFmtId="4" fontId="26" fillId="0" borderId="0" xfId="66" applyNumberFormat="1" applyFont="1" applyFill="1" applyAlignment="1">
      <alignment horizontal="center"/>
    </xf>
    <xf numFmtId="37" fontId="26" fillId="0" borderId="0" xfId="66" applyNumberFormat="1" applyFont="1" applyFill="1" applyAlignment="1">
      <alignment horizontal="center"/>
    </xf>
    <xf numFmtId="0" fontId="54" fillId="0" borderId="0" xfId="66" applyFont="1" applyFill="1" applyAlignment="1">
      <alignment horizontal="center"/>
    </xf>
    <xf numFmtId="37" fontId="54" fillId="0" borderId="0" xfId="66" applyNumberFormat="1" applyFont="1" applyFill="1" applyAlignment="1">
      <alignment horizontal="center"/>
    </xf>
    <xf numFmtId="10" fontId="54" fillId="0" borderId="0" xfId="66" applyNumberFormat="1" applyFont="1" applyFill="1" applyAlignment="1" applyProtection="1">
      <alignment horizontal="center"/>
      <protection locked="0"/>
    </xf>
    <xf numFmtId="3" fontId="54" fillId="0" borderId="0" xfId="66" applyNumberFormat="1" applyFont="1" applyFill="1" applyAlignment="1">
      <alignment horizontal="center"/>
    </xf>
    <xf numFmtId="185" fontId="3" fillId="0" borderId="0" xfId="66" applyNumberFormat="1" applyFont="1" applyFill="1" applyAlignment="1">
      <alignment horizontal="right"/>
    </xf>
    <xf numFmtId="183" fontId="3" fillId="0" borderId="7" xfId="1" quotePrefix="1" applyNumberFormat="1" applyFill="1" applyBorder="1" applyAlignment="1">
      <alignment horizontal="center"/>
    </xf>
    <xf numFmtId="183" fontId="3" fillId="0" borderId="0" xfId="1" quotePrefix="1" applyNumberFormat="1" applyFont="1" applyFill="1" applyAlignment="1">
      <alignment horizontal="center"/>
    </xf>
    <xf numFmtId="0" fontId="8" fillId="0" borderId="0" xfId="0" applyFont="1" applyFill="1" applyAlignment="1" applyProtection="1">
      <alignment horizontal="centerContinuous"/>
    </xf>
    <xf numFmtId="0" fontId="8" fillId="0" borderId="0" xfId="0" quotePrefix="1" applyFont="1" applyFill="1" applyAlignment="1">
      <alignment horizontal="center"/>
    </xf>
    <xf numFmtId="0" fontId="8" fillId="0" borderId="7" xfId="0" applyFont="1" applyFill="1" applyBorder="1" applyAlignment="1">
      <alignment horizontal="center"/>
    </xf>
    <xf numFmtId="0" fontId="8" fillId="0" borderId="5" xfId="0" applyFont="1" applyFill="1" applyBorder="1" applyAlignment="1">
      <alignment horizontal="centerContinuous"/>
    </xf>
    <xf numFmtId="0" fontId="8" fillId="0" borderId="2" xfId="0" applyFont="1" applyFill="1" applyBorder="1" applyAlignment="1">
      <alignment horizontal="centerContinuous"/>
    </xf>
    <xf numFmtId="3" fontId="8" fillId="0" borderId="3" xfId="0" applyNumberFormat="1" applyFont="1" applyFill="1" applyBorder="1" applyAlignment="1">
      <alignment horizontal="centerContinuous"/>
    </xf>
    <xf numFmtId="3" fontId="8" fillId="0" borderId="0" xfId="0" applyNumberFormat="1" applyFont="1" applyFill="1"/>
    <xf numFmtId="0" fontId="8" fillId="0" borderId="0" xfId="0" applyFont="1" applyFill="1" applyAlignment="1" applyProtection="1">
      <alignment horizontal="left"/>
    </xf>
    <xf numFmtId="10" fontId="7" fillId="0" borderId="0" xfId="0" applyNumberFormat="1" applyFont="1" applyFill="1"/>
    <xf numFmtId="37" fontId="30" fillId="0" borderId="0" xfId="0" applyNumberFormat="1" applyFont="1" applyFill="1" applyBorder="1"/>
    <xf numFmtId="3" fontId="7" fillId="0" borderId="0" xfId="0" applyNumberFormat="1" applyFont="1" applyFill="1"/>
    <xf numFmtId="3" fontId="7" fillId="0" borderId="2" xfId="0" applyNumberFormat="1" applyFont="1" applyFill="1" applyBorder="1" applyAlignment="1">
      <alignment horizontal="centerContinuous"/>
    </xf>
    <xf numFmtId="10" fontId="8" fillId="0" borderId="2" xfId="0" applyNumberFormat="1" applyFont="1" applyFill="1" applyBorder="1" applyAlignment="1">
      <alignment horizontal="centerContinuous"/>
    </xf>
    <xf numFmtId="1" fontId="8" fillId="0" borderId="0" xfId="0" applyNumberFormat="1" applyFont="1" applyFill="1"/>
    <xf numFmtId="0" fontId="8" fillId="0" borderId="0" xfId="0" applyFont="1" applyFill="1" applyAlignment="1">
      <alignment horizontal="centerContinuous"/>
    </xf>
    <xf numFmtId="0" fontId="8" fillId="0" borderId="3" xfId="0" applyFont="1" applyFill="1" applyBorder="1" applyAlignment="1">
      <alignment horizontal="centerContinuous"/>
    </xf>
    <xf numFmtId="10" fontId="8" fillId="0" borderId="0" xfId="0" applyNumberFormat="1" applyFont="1" applyFill="1" applyBorder="1"/>
    <xf numFmtId="37" fontId="8" fillId="0" borderId="0" xfId="0" applyNumberFormat="1" applyFont="1" applyFill="1" applyBorder="1"/>
    <xf numFmtId="0" fontId="8" fillId="0" borderId="0" xfId="0" applyFont="1" applyFill="1" applyBorder="1"/>
    <xf numFmtId="37" fontId="7" fillId="0" borderId="2" xfId="0" applyNumberFormat="1" applyFont="1" applyFill="1" applyBorder="1" applyAlignment="1">
      <alignment horizontal="centerContinuous"/>
    </xf>
    <xf numFmtId="37" fontId="8" fillId="0" borderId="3" xfId="0" applyNumberFormat="1" applyFont="1" applyFill="1" applyBorder="1" applyAlignment="1">
      <alignment horizontal="centerContinuous"/>
    </xf>
    <xf numFmtId="10" fontId="7" fillId="0" borderId="0" xfId="0" applyNumberFormat="1" applyFont="1" applyFill="1" applyBorder="1"/>
    <xf numFmtId="0" fontId="8" fillId="0" borderId="0" xfId="0" applyFont="1" applyFill="1" applyAlignment="1" applyProtection="1"/>
    <xf numFmtId="0" fontId="7" fillId="0" borderId="0" xfId="0" quotePrefix="1" applyFont="1" applyFill="1"/>
    <xf numFmtId="0" fontId="8" fillId="0" borderId="0" xfId="0" quotePrefix="1" applyFont="1" applyFill="1" applyAlignment="1">
      <alignment horizontal="left"/>
    </xf>
    <xf numFmtId="0" fontId="8" fillId="0" borderId="7" xfId="0" applyFont="1" applyFill="1" applyBorder="1" applyAlignment="1">
      <alignment horizontal="centerContinuous"/>
    </xf>
    <xf numFmtId="0" fontId="8" fillId="0" borderId="0" xfId="0" applyFont="1" applyFill="1" applyBorder="1" applyAlignment="1">
      <alignment horizontal="centerContinuous"/>
    </xf>
    <xf numFmtId="0" fontId="8" fillId="0" borderId="0" xfId="0" applyFont="1" applyFill="1" applyBorder="1" applyAlignment="1">
      <alignment horizontal="center"/>
    </xf>
    <xf numFmtId="0" fontId="8" fillId="0" borderId="7" xfId="0" applyFont="1" applyFill="1" applyBorder="1"/>
    <xf numFmtId="37" fontId="8" fillId="0" borderId="7" xfId="0" applyNumberFormat="1" applyFont="1" applyFill="1" applyBorder="1"/>
    <xf numFmtId="0" fontId="9" fillId="0" borderId="0" xfId="57" applyFont="1" applyFill="1" applyAlignment="1">
      <alignment horizontal="centerContinuous"/>
    </xf>
    <xf numFmtId="10" fontId="3" fillId="0" borderId="0" xfId="57" applyNumberFormat="1" applyFont="1" applyFill="1" applyAlignment="1" applyProtection="1">
      <alignment horizontal="centerContinuous"/>
    </xf>
    <xf numFmtId="37" fontId="3" fillId="0" borderId="0" xfId="57" applyNumberFormat="1" applyFont="1" applyFill="1" applyAlignment="1" applyProtection="1">
      <alignment horizontal="centerContinuous"/>
    </xf>
    <xf numFmtId="10" fontId="3" fillId="0" borderId="0" xfId="57" applyNumberFormat="1" applyFont="1" applyFill="1" applyAlignment="1">
      <alignment horizontal="centerContinuous"/>
    </xf>
    <xf numFmtId="10" fontId="3" fillId="0" borderId="0" xfId="57" applyNumberFormat="1" applyFont="1" applyFill="1" applyProtection="1"/>
    <xf numFmtId="37" fontId="3" fillId="0" borderId="0" xfId="57" applyNumberFormat="1" applyFont="1" applyFill="1" applyProtection="1"/>
    <xf numFmtId="10" fontId="3" fillId="0" borderId="0" xfId="57" applyNumberFormat="1" applyFont="1" applyFill="1"/>
    <xf numFmtId="37" fontId="3" fillId="0" borderId="0" xfId="57" applyNumberFormat="1" applyFont="1" applyFill="1" applyAlignment="1" applyProtection="1">
      <alignment horizontal="left"/>
    </xf>
    <xf numFmtId="10" fontId="3" fillId="0" borderId="0" xfId="57" applyNumberFormat="1" applyFont="1" applyFill="1" applyAlignment="1" applyProtection="1">
      <alignment horizontal="center"/>
    </xf>
    <xf numFmtId="10" fontId="3" fillId="0" borderId="0" xfId="57" applyNumberFormat="1" applyFont="1" applyFill="1" applyBorder="1" applyAlignment="1" applyProtection="1">
      <alignment horizontal="center"/>
    </xf>
    <xf numFmtId="37" fontId="3" fillId="0" borderId="0" xfId="57" applyNumberFormat="1" applyFont="1" applyFill="1" applyBorder="1" applyAlignment="1" applyProtection="1">
      <alignment horizontal="center"/>
    </xf>
    <xf numFmtId="0" fontId="3" fillId="0" borderId="7" xfId="57" applyFont="1" applyFill="1" applyBorder="1" applyAlignment="1" applyProtection="1">
      <alignment horizontal="center"/>
    </xf>
    <xf numFmtId="10" fontId="3" fillId="0" borderId="7" xfId="57" applyNumberFormat="1" applyFont="1" applyFill="1" applyBorder="1" applyAlignment="1" applyProtection="1">
      <alignment horizontal="center"/>
    </xf>
    <xf numFmtId="37" fontId="3" fillId="0" borderId="7" xfId="57" applyNumberFormat="1" applyFont="1" applyFill="1" applyBorder="1" applyAlignment="1" applyProtection="1">
      <alignment horizontal="center"/>
    </xf>
    <xf numFmtId="10" fontId="9" fillId="0" borderId="0" xfId="57" applyNumberFormat="1" applyFont="1" applyFill="1"/>
    <xf numFmtId="0" fontId="3" fillId="0" borderId="0" xfId="57" applyFont="1" applyFill="1" applyAlignment="1"/>
    <xf numFmtId="37" fontId="3" fillId="0" borderId="0" xfId="57" applyNumberFormat="1" applyFont="1" applyFill="1" applyAlignment="1" applyProtection="1">
      <alignment horizontal="right"/>
    </xf>
    <xf numFmtId="10" fontId="71" fillId="0" borderId="0" xfId="57" applyNumberFormat="1" applyFont="1" applyFill="1" applyProtection="1"/>
    <xf numFmtId="37" fontId="53" fillId="0" borderId="0" xfId="57" applyNumberFormat="1" applyFont="1" applyFill="1" applyProtection="1"/>
    <xf numFmtId="0" fontId="3" fillId="0" borderId="0" xfId="8" applyFont="1" applyFill="1" applyAlignment="1" applyProtection="1">
      <alignment horizontal="center"/>
    </xf>
    <xf numFmtId="180" fontId="71" fillId="0" borderId="34" xfId="60" applyNumberFormat="1" applyFont="1" applyFill="1" applyBorder="1" applyProtection="1"/>
    <xf numFmtId="0" fontId="73" fillId="79" borderId="0" xfId="57" applyFont="1" applyFill="1"/>
    <xf numFmtId="0" fontId="3" fillId="79" borderId="0" xfId="57" applyFont="1" applyFill="1"/>
    <xf numFmtId="37" fontId="3" fillId="79" borderId="0" xfId="57" applyNumberFormat="1" applyFont="1" applyFill="1" applyProtection="1"/>
    <xf numFmtId="10" fontId="3" fillId="79" borderId="0" xfId="57" applyNumberFormat="1" applyFont="1" applyFill="1" applyProtection="1"/>
    <xf numFmtId="37" fontId="3" fillId="80" borderId="4" xfId="58" applyNumberFormat="1" applyFont="1" applyFill="1" applyBorder="1" applyAlignment="1">
      <alignment horizontal="center"/>
    </xf>
    <xf numFmtId="0" fontId="5" fillId="79" borderId="0" xfId="57" applyFill="1"/>
    <xf numFmtId="0" fontId="9" fillId="79" borderId="0" xfId="57" applyFont="1" applyFill="1"/>
    <xf numFmtId="2" fontId="8" fillId="79" borderId="0" xfId="57" applyNumberFormat="1" applyFont="1" applyFill="1"/>
    <xf numFmtId="0" fontId="8" fillId="79" borderId="0" xfId="58" applyFont="1" applyFill="1"/>
    <xf numFmtId="183" fontId="73" fillId="0" borderId="0" xfId="22" applyNumberFormat="1" applyFont="1" applyBorder="1"/>
    <xf numFmtId="183" fontId="8" fillId="0" borderId="0" xfId="22" applyNumberFormat="1" applyFont="1" applyBorder="1"/>
    <xf numFmtId="0" fontId="7" fillId="0" borderId="0" xfId="33" applyFont="1" applyAlignment="1" applyProtection="1">
      <alignment horizontal="left"/>
    </xf>
    <xf numFmtId="0" fontId="73" fillId="0" borderId="0" xfId="33" applyFont="1" applyFill="1" applyAlignment="1" applyProtection="1">
      <alignment horizontal="center"/>
    </xf>
    <xf numFmtId="0" fontId="7" fillId="0" borderId="7" xfId="8" applyFont="1" applyFill="1" applyBorder="1" applyAlignment="1" applyProtection="1">
      <alignment horizontal="center"/>
    </xf>
    <xf numFmtId="10" fontId="8" fillId="0" borderId="0" xfId="62" applyNumberFormat="1" applyFont="1" applyFill="1" applyBorder="1" applyProtection="1"/>
    <xf numFmtId="37" fontId="73" fillId="0" borderId="0" xfId="38" applyNumberFormat="1" applyFont="1" applyFill="1" applyProtection="1">
      <protection locked="0"/>
    </xf>
    <xf numFmtId="43" fontId="7" fillId="0" borderId="0" xfId="38" quotePrefix="1" applyNumberFormat="1" applyFont="1" applyFill="1" applyAlignment="1">
      <alignment horizontal="center"/>
    </xf>
    <xf numFmtId="43" fontId="8" fillId="0" borderId="0" xfId="38" quotePrefix="1" applyNumberFormat="1" applyFont="1" applyFill="1" applyAlignment="1">
      <alignment horizontal="center"/>
    </xf>
    <xf numFmtId="41" fontId="7" fillId="0" borderId="0" xfId="38" quotePrefix="1" applyNumberFormat="1" applyFont="1" applyFill="1" applyAlignment="1">
      <alignment horizontal="center"/>
    </xf>
    <xf numFmtId="41" fontId="8" fillId="0" borderId="0" xfId="38" quotePrefix="1" applyNumberFormat="1" applyFont="1" applyFill="1" applyAlignment="1">
      <alignment horizontal="center"/>
    </xf>
    <xf numFmtId="43" fontId="30" fillId="0" borderId="0" xfId="38" quotePrefix="1" applyNumberFormat="1" applyFont="1" applyFill="1" applyAlignment="1">
      <alignment horizontal="center"/>
    </xf>
    <xf numFmtId="43" fontId="30" fillId="0" borderId="0" xfId="38" applyNumberFormat="1" applyFont="1" applyFill="1" applyAlignment="1">
      <alignment horizontal="center"/>
    </xf>
    <xf numFmtId="41" fontId="30" fillId="0" borderId="0" xfId="38" applyNumberFormat="1" applyFont="1" applyFill="1" applyAlignment="1">
      <alignment horizontal="center"/>
    </xf>
    <xf numFmtId="37" fontId="3" fillId="0" borderId="0" xfId="45" applyNumberFormat="1" applyFont="1" applyFill="1" applyBorder="1" applyAlignment="1"/>
    <xf numFmtId="37" fontId="3" fillId="0" borderId="0" xfId="45" applyNumberFormat="1" applyFont="1" applyFill="1" applyBorder="1" applyAlignment="1">
      <alignment horizontal="center"/>
    </xf>
    <xf numFmtId="37" fontId="53" fillId="0" borderId="2" xfId="45" applyNumberFormat="1" applyFont="1" applyFill="1" applyBorder="1" applyAlignment="1" applyProtection="1">
      <protection locked="0"/>
    </xf>
    <xf numFmtId="37" fontId="73" fillId="0" borderId="0" xfId="46" applyNumberFormat="1" applyFont="1" applyFill="1" applyProtection="1"/>
    <xf numFmtId="0" fontId="73" fillId="0" borderId="0" xfId="46" applyFont="1" applyFill="1"/>
    <xf numFmtId="14" fontId="73" fillId="0" borderId="0" xfId="46" applyNumberFormat="1" applyFont="1" applyFill="1" applyAlignment="1" applyProtection="1">
      <alignment horizontal="right"/>
      <protection locked="0"/>
    </xf>
    <xf numFmtId="37" fontId="73" fillId="0" borderId="0" xfId="46" applyNumberFormat="1" applyFont="1" applyFill="1" applyAlignment="1" applyProtection="1">
      <alignment horizontal="center"/>
    </xf>
    <xf numFmtId="37" fontId="73" fillId="0" borderId="0" xfId="46" applyNumberFormat="1" applyFont="1" applyFill="1" applyAlignment="1" applyProtection="1">
      <alignment horizontal="right"/>
      <protection locked="0"/>
    </xf>
    <xf numFmtId="37" fontId="53" fillId="0" borderId="0" xfId="40" applyNumberFormat="1" applyFont="1" applyFill="1" applyProtection="1"/>
    <xf numFmtId="37" fontId="53" fillId="0" borderId="7" xfId="40" applyNumberFormat="1" applyFont="1" applyFill="1" applyBorder="1" applyProtection="1"/>
    <xf numFmtId="37" fontId="31" fillId="0" borderId="0" xfId="48" applyNumberFormat="1" applyFont="1" applyFill="1" applyProtection="1">
      <protection locked="0"/>
    </xf>
    <xf numFmtId="37" fontId="71" fillId="0" borderId="0" xfId="49" applyNumberFormat="1" applyFont="1" applyFill="1" applyAlignment="1" applyProtection="1"/>
    <xf numFmtId="215" fontId="0" fillId="0" borderId="0" xfId="43938" applyNumberFormat="1" applyFont="1" applyFill="1" applyAlignment="1" applyProtection="1">
      <alignment horizontal="center"/>
    </xf>
    <xf numFmtId="215" fontId="0" fillId="0" borderId="0" xfId="43938" applyNumberFormat="1" applyFont="1" applyFill="1" applyAlignment="1">
      <alignment horizontal="center"/>
    </xf>
    <xf numFmtId="215" fontId="0" fillId="0" borderId="76" xfId="43938" applyNumberFormat="1" applyFont="1" applyFill="1" applyBorder="1" applyAlignment="1" applyProtection="1">
      <alignment horizontal="center"/>
    </xf>
    <xf numFmtId="0" fontId="71" fillId="0" borderId="0" xfId="0" applyFont="1" applyFill="1" applyBorder="1"/>
    <xf numFmtId="0" fontId="3" fillId="0" borderId="0" xfId="29" applyFont="1" applyFill="1" applyAlignment="1">
      <alignment horizontal="center"/>
    </xf>
    <xf numFmtId="166" fontId="71" fillId="0" borderId="0" xfId="56" applyNumberFormat="1" applyFont="1" applyFill="1" applyProtection="1">
      <protection locked="0"/>
    </xf>
    <xf numFmtId="0" fontId="7" fillId="0" borderId="0" xfId="52" applyFont="1" applyProtection="1"/>
    <xf numFmtId="0" fontId="7" fillId="0" borderId="0" xfId="52" applyFont="1" applyAlignment="1" applyProtection="1">
      <alignment horizontal="fill"/>
    </xf>
    <xf numFmtId="41" fontId="61" fillId="0" borderId="0" xfId="11" applyNumberFormat="1" applyFont="1" applyFill="1" applyProtection="1">
      <protection locked="0"/>
    </xf>
    <xf numFmtId="41" fontId="61" fillId="0" borderId="7" xfId="11" applyNumberFormat="1" applyFont="1" applyFill="1" applyBorder="1" applyProtection="1">
      <protection locked="0"/>
    </xf>
    <xf numFmtId="41" fontId="3" fillId="0" borderId="2" xfId="11" applyNumberFormat="1" applyFont="1" applyFill="1" applyBorder="1" applyProtection="1"/>
    <xf numFmtId="41" fontId="61" fillId="0" borderId="0" xfId="11" applyNumberFormat="1" applyFont="1" applyFill="1" applyAlignment="1" applyProtection="1">
      <alignment horizontal="center"/>
      <protection locked="0"/>
    </xf>
    <xf numFmtId="41" fontId="3" fillId="0" borderId="2" xfId="11" applyNumberFormat="1" applyFont="1" applyFill="1" applyBorder="1" applyAlignment="1" applyProtection="1">
      <alignment horizontal="center"/>
    </xf>
    <xf numFmtId="41" fontId="3" fillId="0" borderId="0" xfId="11" applyNumberFormat="1" applyFont="1" applyFill="1" applyAlignment="1" applyProtection="1">
      <alignment horizontal="center"/>
    </xf>
    <xf numFmtId="41" fontId="3" fillId="0" borderId="9" xfId="11" applyNumberFormat="1" applyFont="1" applyFill="1" applyBorder="1" applyProtection="1"/>
    <xf numFmtId="41" fontId="61" fillId="0" borderId="0" xfId="11" applyNumberFormat="1" applyFont="1" applyFill="1" applyProtection="1"/>
    <xf numFmtId="0" fontId="30" fillId="0" borderId="77" xfId="34" applyFont="1" applyBorder="1" applyAlignment="1">
      <alignment horizontal="center"/>
    </xf>
    <xf numFmtId="0" fontId="30" fillId="0" borderId="41" xfId="34" applyFont="1" applyBorder="1" applyAlignment="1">
      <alignment horizontal="center"/>
    </xf>
    <xf numFmtId="0" fontId="30" fillId="0" borderId="78" xfId="34" applyFont="1" applyBorder="1" applyAlignment="1">
      <alignment horizontal="center"/>
    </xf>
    <xf numFmtId="0" fontId="7" fillId="0" borderId="6" xfId="34" applyFont="1" applyBorder="1"/>
    <xf numFmtId="0" fontId="7" fillId="0" borderId="0" xfId="34" applyFont="1" applyBorder="1"/>
    <xf numFmtId="0" fontId="7" fillId="0" borderId="23" xfId="34" applyFont="1" applyBorder="1"/>
    <xf numFmtId="37" fontId="7" fillId="0" borderId="6" xfId="34" applyNumberFormat="1" applyFont="1" applyBorder="1"/>
    <xf numFmtId="37" fontId="7" fillId="0" borderId="0" xfId="34" applyNumberFormat="1" applyFont="1" applyBorder="1"/>
    <xf numFmtId="37" fontId="7" fillId="0" borderId="23" xfId="34" applyNumberFormat="1" applyFont="1" applyBorder="1"/>
    <xf numFmtId="37" fontId="184" fillId="0" borderId="6" xfId="34" applyNumberFormat="1" applyFont="1" applyBorder="1"/>
    <xf numFmtId="37" fontId="184" fillId="0" borderId="0" xfId="34" applyNumberFormat="1" applyFont="1" applyBorder="1"/>
    <xf numFmtId="37" fontId="30" fillId="0" borderId="23" xfId="34" applyNumberFormat="1" applyFont="1" applyBorder="1"/>
    <xf numFmtId="37" fontId="33" fillId="0" borderId="6" xfId="34" applyNumberFormat="1" applyFont="1" applyBorder="1"/>
    <xf numFmtId="37" fontId="33" fillId="0" borderId="0" xfId="34" applyNumberFormat="1" applyFont="1" applyBorder="1"/>
    <xf numFmtId="37" fontId="33" fillId="0" borderId="23" xfId="34" applyNumberFormat="1" applyFont="1" applyBorder="1"/>
    <xf numFmtId="0" fontId="7" fillId="0" borderId="22" xfId="34" applyFont="1" applyBorder="1"/>
    <xf numFmtId="0" fontId="7" fillId="0" borderId="7" xfId="34" applyFont="1" applyBorder="1"/>
    <xf numFmtId="0" fontId="7" fillId="0" borderId="24" xfId="34" applyFont="1" applyBorder="1"/>
    <xf numFmtId="37" fontId="3" fillId="0" borderId="79" xfId="8" applyNumberFormat="1" applyFont="1" applyFill="1" applyBorder="1"/>
    <xf numFmtId="0" fontId="3" fillId="0" borderId="0" xfId="6" applyFont="1" applyFill="1" applyAlignment="1" applyProtection="1">
      <alignment horizontal="centerContinuous"/>
    </xf>
    <xf numFmtId="42" fontId="71" fillId="0" borderId="0" xfId="31" applyNumberFormat="1" applyFont="1"/>
    <xf numFmtId="37" fontId="51" fillId="0" borderId="0" xfId="31" applyNumberFormat="1" applyFont="1"/>
    <xf numFmtId="166" fontId="51" fillId="0" borderId="0" xfId="31" applyNumberFormat="1" applyFont="1" applyProtection="1"/>
    <xf numFmtId="0" fontId="3" fillId="0" borderId="0" xfId="23" applyFont="1" applyAlignment="1" applyProtection="1"/>
    <xf numFmtId="43" fontId="8" fillId="0" borderId="0" xfId="1" applyFont="1"/>
    <xf numFmtId="185" fontId="75" fillId="0" borderId="0" xfId="56" applyNumberFormat="1" applyFont="1" applyFill="1" applyProtection="1"/>
    <xf numFmtId="170" fontId="73" fillId="0" borderId="0" xfId="52" applyNumberFormat="1" applyFont="1" applyFill="1"/>
    <xf numFmtId="0" fontId="73" fillId="0" borderId="0" xfId="52" applyFont="1" applyFill="1" applyAlignment="1" applyProtection="1">
      <alignment horizontal="left"/>
    </xf>
    <xf numFmtId="43" fontId="3" fillId="0" borderId="0" xfId="4" applyNumberFormat="1" applyFont="1" applyFill="1"/>
    <xf numFmtId="181" fontId="3" fillId="0" borderId="0" xfId="11" quotePrefix="1" applyFont="1" applyFill="1"/>
    <xf numFmtId="0" fontId="3" fillId="0" borderId="0" xfId="8" applyFont="1" applyFill="1" applyAlignment="1" applyProtection="1">
      <alignment horizontal="center"/>
    </xf>
    <xf numFmtId="42" fontId="73" fillId="0" borderId="0" xfId="31" applyNumberFormat="1" applyFont="1"/>
    <xf numFmtId="37" fontId="71" fillId="0" borderId="0" xfId="11" applyNumberFormat="1" applyFont="1" applyFill="1" applyBorder="1" applyProtection="1"/>
    <xf numFmtId="0" fontId="8" fillId="0" borderId="0" xfId="18" applyFont="1" applyBorder="1"/>
    <xf numFmtId="0" fontId="8" fillId="0" borderId="0" xfId="18" quotePrefix="1" applyFont="1" applyFill="1" applyBorder="1" applyAlignment="1" applyProtection="1">
      <alignment horizontal="center"/>
    </xf>
    <xf numFmtId="37" fontId="30" fillId="0" borderId="0" xfId="18" applyNumberFormat="1" applyFont="1" applyFill="1" applyBorder="1" applyProtection="1"/>
    <xf numFmtId="37" fontId="8" fillId="0" borderId="0" xfId="18" applyNumberFormat="1" applyFont="1" applyBorder="1"/>
    <xf numFmtId="37" fontId="8" fillId="0" borderId="0" xfId="18" applyNumberFormat="1" applyFont="1" applyFill="1" applyBorder="1" applyAlignment="1" applyProtection="1">
      <alignment horizontal="right"/>
    </xf>
    <xf numFmtId="37" fontId="33" fillId="0" borderId="0" xfId="18" applyNumberFormat="1" applyFont="1" applyFill="1" applyBorder="1" applyProtection="1"/>
    <xf numFmtId="166" fontId="3" fillId="0" borderId="0" xfId="12" applyNumberFormat="1" applyFont="1"/>
    <xf numFmtId="0" fontId="7" fillId="0" borderId="0" xfId="29" applyFont="1" applyAlignment="1" applyProtection="1"/>
    <xf numFmtId="0" fontId="7" fillId="0" borderId="0" xfId="32" applyFont="1"/>
    <xf numFmtId="0" fontId="7" fillId="0" borderId="0" xfId="52" applyFont="1" applyFill="1" applyProtection="1"/>
    <xf numFmtId="170" fontId="7" fillId="0" borderId="0" xfId="54" applyNumberFormat="1" applyFont="1" applyFill="1" applyProtection="1">
      <protection locked="0"/>
    </xf>
    <xf numFmtId="0" fontId="3" fillId="0" borderId="0" xfId="8" applyFont="1" applyFill="1" applyAlignment="1" applyProtection="1">
      <alignment horizontal="center"/>
    </xf>
    <xf numFmtId="183" fontId="71" fillId="0" borderId="7" xfId="1" applyNumberFormat="1" applyFont="1" applyFill="1" applyBorder="1"/>
    <xf numFmtId="183" fontId="71" fillId="0" borderId="0" xfId="1" applyNumberFormat="1" applyFont="1" applyFill="1" applyBorder="1"/>
    <xf numFmtId="10" fontId="71" fillId="0" borderId="0" xfId="4" applyNumberFormat="1" applyFont="1" applyFill="1" applyBorder="1"/>
    <xf numFmtId="10" fontId="71" fillId="0" borderId="0" xfId="1" applyNumberFormat="1" applyFont="1" applyFill="1"/>
    <xf numFmtId="172" fontId="71" fillId="0" borderId="0" xfId="1" applyNumberFormat="1" applyFont="1" applyFill="1"/>
    <xf numFmtId="172" fontId="71" fillId="0" borderId="7" xfId="1" applyNumberFormat="1" applyFont="1" applyFill="1" applyBorder="1"/>
    <xf numFmtId="41" fontId="71" fillId="0" borderId="0" xfId="1" applyNumberFormat="1" applyFont="1" applyFill="1"/>
    <xf numFmtId="43" fontId="71" fillId="0" borderId="0" xfId="1" applyFont="1" applyFill="1"/>
    <xf numFmtId="183" fontId="71" fillId="0" borderId="0" xfId="1" applyNumberFormat="1" applyFont="1" applyFill="1" applyAlignment="1">
      <alignment horizontal="right"/>
    </xf>
    <xf numFmtId="183" fontId="71" fillId="0" borderId="0" xfId="1" applyNumberFormat="1" applyFont="1" applyFill="1" applyAlignment="1">
      <alignment horizontal="left"/>
    </xf>
    <xf numFmtId="0" fontId="71" fillId="0" borderId="0" xfId="4" applyFont="1" applyFill="1"/>
    <xf numFmtId="41" fontId="71" fillId="0" borderId="0" xfId="4" applyNumberFormat="1" applyFont="1" applyFill="1" applyAlignment="1"/>
    <xf numFmtId="0" fontId="71" fillId="0" borderId="0" xfId="4" quotePrefix="1" applyFont="1" applyFill="1" applyAlignment="1">
      <alignment horizontal="center"/>
    </xf>
    <xf numFmtId="3" fontId="71" fillId="0" borderId="0" xfId="4" quotePrefix="1" applyNumberFormat="1" applyFont="1" applyFill="1" applyAlignment="1">
      <alignment horizontal="center"/>
    </xf>
    <xf numFmtId="4" fontId="3" fillId="0" borderId="0" xfId="4" applyNumberFormat="1" applyFont="1" applyFill="1"/>
    <xf numFmtId="4" fontId="64" fillId="0" borderId="0" xfId="4" applyNumberFormat="1" applyFont="1" applyFill="1"/>
    <xf numFmtId="191" fontId="53" fillId="0" borderId="0" xfId="4" applyNumberFormat="1" applyFont="1" applyFill="1"/>
    <xf numFmtId="39" fontId="71" fillId="0" borderId="0" xfId="4" applyNumberFormat="1" applyFont="1" applyFill="1"/>
    <xf numFmtId="40" fontId="71" fillId="0" borderId="0" xfId="4" applyNumberFormat="1" applyFont="1" applyFill="1"/>
    <xf numFmtId="170" fontId="73" fillId="0" borderId="0" xfId="54" applyNumberFormat="1" applyFont="1" applyFill="1" applyProtection="1">
      <protection locked="0"/>
    </xf>
    <xf numFmtId="170" fontId="89" fillId="0" borderId="0" xfId="54" applyNumberFormat="1" applyFont="1" applyFill="1" applyProtection="1">
      <protection locked="0"/>
    </xf>
    <xf numFmtId="37" fontId="53" fillId="0" borderId="0" xfId="6" applyNumberFormat="1" applyFont="1" applyFill="1"/>
    <xf numFmtId="37" fontId="71" fillId="0" borderId="0" xfId="6" applyNumberFormat="1" applyFont="1" applyFill="1"/>
    <xf numFmtId="170" fontId="73" fillId="0" borderId="0" xfId="52" applyNumberFormat="1" applyFont="1" applyFill="1" applyProtection="1">
      <protection locked="0"/>
    </xf>
    <xf numFmtId="0" fontId="89" fillId="0" borderId="0" xfId="52" applyFont="1" applyFill="1"/>
    <xf numFmtId="170" fontId="89" fillId="0" borderId="0" xfId="52" applyNumberFormat="1" applyFont="1" applyFill="1" applyProtection="1">
      <protection locked="0"/>
    </xf>
    <xf numFmtId="0" fontId="73" fillId="0" borderId="0" xfId="52" applyFont="1" applyFill="1"/>
    <xf numFmtId="0" fontId="73" fillId="0" borderId="0" xfId="52" applyFont="1" applyFill="1" applyBorder="1"/>
    <xf numFmtId="0" fontId="89" fillId="0" borderId="0" xfId="52" applyFont="1" applyFill="1" applyBorder="1"/>
    <xf numFmtId="0" fontId="3" fillId="0" borderId="0" xfId="66" applyFont="1" applyFill="1"/>
    <xf numFmtId="49" fontId="3" fillId="0" borderId="0" xfId="66" applyNumberFormat="1" applyFont="1" applyFill="1"/>
    <xf numFmtId="49" fontId="71" fillId="0" borderId="0" xfId="66" applyNumberFormat="1" applyFont="1" applyFill="1"/>
    <xf numFmtId="37" fontId="89" fillId="0" borderId="0" xfId="18" applyNumberFormat="1" applyFont="1" applyFill="1" applyProtection="1"/>
    <xf numFmtId="0" fontId="8" fillId="0" borderId="0" xfId="10" applyFont="1" applyAlignment="1">
      <alignment horizontal="left" indent="1"/>
    </xf>
    <xf numFmtId="0" fontId="25" fillId="0" borderId="11" xfId="2" applyNumberFormat="1" applyFont="1" applyFill="1" applyBorder="1" applyAlignment="1">
      <alignment horizontal="center"/>
    </xf>
    <xf numFmtId="0" fontId="25" fillId="0" borderId="11" xfId="2" applyFont="1" applyFill="1" applyBorder="1" applyAlignment="1">
      <alignment horizontal="center"/>
    </xf>
    <xf numFmtId="0" fontId="7" fillId="0" borderId="0" xfId="8" applyFont="1" applyFill="1" applyAlignment="1" applyProtection="1">
      <alignment horizontal="center"/>
    </xf>
    <xf numFmtId="37" fontId="53" fillId="0" borderId="7" xfId="42" applyNumberFormat="1" applyFont="1" applyFill="1" applyBorder="1"/>
    <xf numFmtId="37" fontId="71" fillId="0" borderId="0" xfId="45" applyNumberFormat="1" applyFont="1" applyFill="1" applyBorder="1" applyAlignment="1" applyProtection="1">
      <protection locked="0"/>
    </xf>
    <xf numFmtId="37" fontId="71" fillId="0" borderId="0" xfId="44" applyNumberFormat="1" applyFont="1" applyFill="1"/>
    <xf numFmtId="37" fontId="71" fillId="0" borderId="7" xfId="11" applyNumberFormat="1" applyFont="1" applyFill="1" applyBorder="1" applyProtection="1"/>
    <xf numFmtId="181" fontId="71" fillId="0" borderId="7" xfId="11" applyFont="1" applyFill="1" applyBorder="1" applyAlignment="1" applyProtection="1">
      <alignment horizontal="center"/>
    </xf>
    <xf numFmtId="0" fontId="3" fillId="0" borderId="10" xfId="49" applyFont="1" applyFill="1" applyBorder="1"/>
    <xf numFmtId="0" fontId="3" fillId="0" borderId="10" xfId="49" applyFont="1" applyFill="1" applyBorder="1" applyAlignment="1" applyProtection="1">
      <alignment horizontal="centerContinuous"/>
    </xf>
    <xf numFmtId="192" fontId="51" fillId="0" borderId="10" xfId="49" applyNumberFormat="1" applyFont="1" applyFill="1" applyBorder="1" applyAlignment="1" applyProtection="1">
      <alignment horizontal="centerContinuous"/>
    </xf>
    <xf numFmtId="0" fontId="51" fillId="0" borderId="10" xfId="49" applyFont="1" applyFill="1" applyBorder="1" applyAlignment="1">
      <alignment horizontal="centerContinuous"/>
    </xf>
    <xf numFmtId="0" fontId="64" fillId="0" borderId="0" xfId="49" applyFont="1" applyFill="1" applyBorder="1" applyAlignment="1" applyProtection="1">
      <alignment horizontal="center"/>
    </xf>
    <xf numFmtId="192" fontId="56" fillId="0" borderId="0" xfId="49" applyNumberFormat="1" applyFont="1" applyFill="1" applyAlignment="1" applyProtection="1">
      <alignment horizontal="center"/>
      <protection locked="0"/>
    </xf>
    <xf numFmtId="0" fontId="3" fillId="0" borderId="80" xfId="49" applyFont="1" applyFill="1" applyBorder="1" applyAlignment="1" applyProtection="1">
      <alignment horizontal="center"/>
    </xf>
    <xf numFmtId="0" fontId="3" fillId="0" borderId="80" xfId="49" applyFont="1" applyFill="1" applyBorder="1" applyAlignment="1" applyProtection="1">
      <alignment horizontal="left"/>
    </xf>
    <xf numFmtId="0" fontId="64" fillId="0" borderId="80" xfId="49" applyFont="1" applyFill="1" applyBorder="1" applyAlignment="1" applyProtection="1">
      <alignment horizontal="center"/>
    </xf>
    <xf numFmtId="192" fontId="56" fillId="0" borderId="80" xfId="49" applyNumberFormat="1" applyFont="1" applyFill="1" applyBorder="1" applyAlignment="1" applyProtection="1">
      <alignment horizontal="center"/>
      <protection locked="0"/>
    </xf>
    <xf numFmtId="0" fontId="3" fillId="0" borderId="0" xfId="0" applyFont="1" applyFill="1" applyBorder="1" applyAlignment="1" applyProtection="1">
      <alignment horizontal="center"/>
    </xf>
    <xf numFmtId="202" fontId="3" fillId="0" borderId="0" xfId="0" applyNumberFormat="1" applyFont="1" applyFill="1" applyBorder="1" applyProtection="1"/>
    <xf numFmtId="202" fontId="51" fillId="0" borderId="0" xfId="0" applyNumberFormat="1" applyFont="1" applyFill="1" applyBorder="1" applyProtection="1"/>
    <xf numFmtId="174" fontId="3" fillId="0" borderId="0" xfId="50" applyNumberFormat="1" applyFont="1" applyFill="1" applyBorder="1" applyProtection="1"/>
    <xf numFmtId="0" fontId="180" fillId="0" borderId="0" xfId="37" applyFont="1" applyFill="1" applyBorder="1"/>
    <xf numFmtId="0" fontId="67" fillId="0" borderId="0" xfId="8" applyFont="1" applyFill="1" applyBorder="1"/>
    <xf numFmtId="0" fontId="3" fillId="0" borderId="0" xfId="8" applyFont="1" applyFill="1" applyBorder="1" applyAlignment="1">
      <alignment horizontal="left" indent="1"/>
    </xf>
    <xf numFmtId="37" fontId="53" fillId="0" borderId="0" xfId="8" applyNumberFormat="1" applyFont="1" applyFill="1" applyBorder="1"/>
    <xf numFmtId="37" fontId="64" fillId="0" borderId="0" xfId="8" applyNumberFormat="1" applyFont="1" applyFill="1" applyBorder="1"/>
    <xf numFmtId="0" fontId="7" fillId="0" borderId="0" xfId="57" applyFont="1" applyFill="1" applyAlignment="1" applyProtection="1">
      <alignment horizontal="left"/>
    </xf>
    <xf numFmtId="0" fontId="26" fillId="0" borderId="7" xfId="0" applyFont="1" applyFill="1" applyBorder="1" applyAlignment="1">
      <alignment horizontal="center"/>
    </xf>
    <xf numFmtId="3" fontId="26" fillId="0" borderId="7" xfId="0" applyNumberFormat="1" applyFont="1" applyFill="1" applyBorder="1" applyAlignment="1">
      <alignment horizontal="center"/>
    </xf>
    <xf numFmtId="0" fontId="8" fillId="0" borderId="7" xfId="58" applyFont="1" applyFill="1" applyBorder="1" applyAlignment="1">
      <alignment horizontal="center"/>
    </xf>
    <xf numFmtId="0" fontId="8" fillId="0" borderId="7" xfId="58" applyFont="1" applyBorder="1" applyAlignment="1">
      <alignment horizontal="center"/>
    </xf>
    <xf numFmtId="0" fontId="3" fillId="0" borderId="0" xfId="16" applyFont="1" applyAlignment="1" applyProtection="1">
      <alignment horizontal="center"/>
    </xf>
    <xf numFmtId="0" fontId="3" fillId="0" borderId="0" xfId="16" applyFont="1" applyBorder="1" applyAlignment="1" applyProtection="1">
      <alignment horizontal="center"/>
    </xf>
    <xf numFmtId="0" fontId="3" fillId="0" borderId="7" xfId="16" applyFont="1" applyBorder="1" applyAlignment="1">
      <alignment horizontal="center"/>
    </xf>
    <xf numFmtId="0" fontId="37" fillId="0" borderId="0" xfId="16" applyFont="1" applyAlignment="1" applyProtection="1">
      <alignment horizontal="center"/>
    </xf>
    <xf numFmtId="37" fontId="3" fillId="0" borderId="2" xfId="40" applyNumberFormat="1" applyFont="1" applyBorder="1" applyAlignment="1" applyProtection="1">
      <alignment horizontal="center"/>
    </xf>
    <xf numFmtId="37" fontId="3" fillId="0" borderId="7" xfId="40" applyNumberFormat="1" applyFont="1" applyBorder="1" applyAlignment="1" applyProtection="1">
      <alignment horizontal="center"/>
    </xf>
    <xf numFmtId="37" fontId="3" fillId="0" borderId="7" xfId="41" applyNumberFormat="1" applyFont="1" applyBorder="1" applyAlignment="1" applyProtection="1">
      <alignment horizontal="center"/>
    </xf>
    <xf numFmtId="37" fontId="3" fillId="0" borderId="2" xfId="42" applyNumberFormat="1" applyFont="1" applyBorder="1" applyAlignment="1" applyProtection="1">
      <alignment horizontal="center"/>
    </xf>
    <xf numFmtId="0" fontId="3" fillId="0" borderId="0" xfId="43" applyFont="1" applyAlignment="1" applyProtection="1">
      <alignment horizontal="left"/>
    </xf>
    <xf numFmtId="165" fontId="8" fillId="0" borderId="2" xfId="46" applyNumberFormat="1" applyFont="1" applyBorder="1" applyAlignment="1" applyProtection="1">
      <alignment horizontal="center"/>
    </xf>
    <xf numFmtId="0" fontId="3" fillId="0" borderId="0" xfId="8" applyFont="1" applyFill="1" applyAlignment="1" applyProtection="1">
      <alignment horizontal="center"/>
    </xf>
    <xf numFmtId="37" fontId="71" fillId="6" borderId="0" xfId="2" applyNumberFormat="1" applyFont="1" applyFill="1"/>
  </cellXfs>
  <cellStyles count="43939">
    <cellStyle name="_ColumnHeaderUL" xfId="73"/>
    <cellStyle name="_EditableNumber" xfId="74"/>
    <cellStyle name="_EditableRowText" xfId="75"/>
    <cellStyle name="_GrandTotal" xfId="76"/>
    <cellStyle name="_Number" xfId="77"/>
    <cellStyle name="_RowText" xfId="78"/>
    <cellStyle name="_Subtitle" xfId="79"/>
    <cellStyle name="_Title" xfId="80"/>
    <cellStyle name="0 Decimals" xfId="81"/>
    <cellStyle name="1 Decimal" xfId="82"/>
    <cellStyle name="2 Decimals" xfId="83"/>
    <cellStyle name="20% - Accent1 10" xfId="84"/>
    <cellStyle name="20% - Accent1 11" xfId="85"/>
    <cellStyle name="20% - Accent1 12" xfId="86"/>
    <cellStyle name="20% - Accent1 13" xfId="87"/>
    <cellStyle name="20% - Accent1 2" xfId="88"/>
    <cellStyle name="20% - Accent1 2 2" xfId="89"/>
    <cellStyle name="20% - Accent1 2 2 2" xfId="90"/>
    <cellStyle name="20% - Accent1 2 3" xfId="91"/>
    <cellStyle name="20% - Accent1 2 4" xfId="92"/>
    <cellStyle name="20% - Accent1 2 5" xfId="93"/>
    <cellStyle name="20% - Accent1 3" xfId="94"/>
    <cellStyle name="20% - Accent1 3 2" xfId="95"/>
    <cellStyle name="20% - Accent1 3 2 2" xfId="96"/>
    <cellStyle name="20% - Accent1 3 2 3" xfId="97"/>
    <cellStyle name="20% - Accent1 3 2 4" xfId="98"/>
    <cellStyle name="20% - Accent1 3 2 5" xfId="99"/>
    <cellStyle name="20% - Accent1 3 3" xfId="100"/>
    <cellStyle name="20% - Accent1 3 4" xfId="101"/>
    <cellStyle name="20% - Accent1 3 5" xfId="102"/>
    <cellStyle name="20% - Accent1 3 6" xfId="103"/>
    <cellStyle name="20% - Accent1 3 6 2" xfId="104"/>
    <cellStyle name="20% - Accent1 3 7" xfId="105"/>
    <cellStyle name="20% - Accent1 4" xfId="106"/>
    <cellStyle name="20% - Accent1 4 2" xfId="107"/>
    <cellStyle name="20% - Accent1 4 2 2" xfId="108"/>
    <cellStyle name="20% - Accent1 4 3" xfId="109"/>
    <cellStyle name="20% - Accent1 4 4" xfId="110"/>
    <cellStyle name="20% - Accent1 4 5" xfId="111"/>
    <cellStyle name="20% - Accent1 4 5 2" xfId="112"/>
    <cellStyle name="20% - Accent1 4 6" xfId="113"/>
    <cellStyle name="20% - Accent1 5" xfId="114"/>
    <cellStyle name="20% - Accent1 5 2" xfId="115"/>
    <cellStyle name="20% - Accent1 5 3" xfId="116"/>
    <cellStyle name="20% - Accent1 6" xfId="117"/>
    <cellStyle name="20% - Accent1 6 2" xfId="118"/>
    <cellStyle name="20% - Accent1 7" xfId="119"/>
    <cellStyle name="20% - Accent1 7 2" xfId="120"/>
    <cellStyle name="20% - Accent1 8" xfId="121"/>
    <cellStyle name="20% - Accent1 8 2" xfId="122"/>
    <cellStyle name="20% - Accent1 9" xfId="123"/>
    <cellStyle name="20% - Accent1 9 2" xfId="124"/>
    <cellStyle name="20% - Accent2 10" xfId="125"/>
    <cellStyle name="20% - Accent2 11" xfId="126"/>
    <cellStyle name="20% - Accent2 12" xfId="127"/>
    <cellStyle name="20% - Accent2 13" xfId="128"/>
    <cellStyle name="20% - Accent2 2" xfId="129"/>
    <cellStyle name="20% - Accent2 2 2" xfId="130"/>
    <cellStyle name="20% - Accent2 2 2 2" xfId="131"/>
    <cellStyle name="20% - Accent2 2 3" xfId="132"/>
    <cellStyle name="20% - Accent2 2 4" xfId="133"/>
    <cellStyle name="20% - Accent2 2 5" xfId="134"/>
    <cellStyle name="20% - Accent2 3" xfId="135"/>
    <cellStyle name="20% - Accent2 3 2" xfId="136"/>
    <cellStyle name="20% - Accent2 3 2 2" xfId="137"/>
    <cellStyle name="20% - Accent2 3 2 3" xfId="138"/>
    <cellStyle name="20% - Accent2 3 2 4" xfId="139"/>
    <cellStyle name="20% - Accent2 3 2 5" xfId="140"/>
    <cellStyle name="20% - Accent2 3 3" xfId="141"/>
    <cellStyle name="20% - Accent2 3 4" xfId="142"/>
    <cellStyle name="20% - Accent2 3 5" xfId="143"/>
    <cellStyle name="20% - Accent2 3 6" xfId="144"/>
    <cellStyle name="20% - Accent2 3 6 2" xfId="145"/>
    <cellStyle name="20% - Accent2 3 7" xfId="146"/>
    <cellStyle name="20% - Accent2 4" xfId="147"/>
    <cellStyle name="20% - Accent2 4 2" xfId="148"/>
    <cellStyle name="20% - Accent2 4 2 2" xfId="149"/>
    <cellStyle name="20% - Accent2 4 3" xfId="150"/>
    <cellStyle name="20% - Accent2 4 4" xfId="151"/>
    <cellStyle name="20% - Accent2 4 5" xfId="152"/>
    <cellStyle name="20% - Accent2 4 5 2" xfId="153"/>
    <cellStyle name="20% - Accent2 4 6" xfId="154"/>
    <cellStyle name="20% - Accent2 5" xfId="155"/>
    <cellStyle name="20% - Accent2 5 2" xfId="156"/>
    <cellStyle name="20% - Accent2 5 3" xfId="157"/>
    <cellStyle name="20% - Accent2 6" xfId="158"/>
    <cellStyle name="20% - Accent2 6 2" xfId="159"/>
    <cellStyle name="20% - Accent2 7" xfId="160"/>
    <cellStyle name="20% - Accent2 7 2" xfId="161"/>
    <cellStyle name="20% - Accent2 8" xfId="162"/>
    <cellStyle name="20% - Accent2 8 2" xfId="163"/>
    <cellStyle name="20% - Accent2 9" xfId="164"/>
    <cellStyle name="20% - Accent2 9 2" xfId="165"/>
    <cellStyle name="20% - Accent3 10" xfId="166"/>
    <cellStyle name="20% - Accent3 11" xfId="167"/>
    <cellStyle name="20% - Accent3 12" xfId="168"/>
    <cellStyle name="20% - Accent3 13" xfId="169"/>
    <cellStyle name="20% - Accent3 2" xfId="170"/>
    <cellStyle name="20% - Accent3 2 2" xfId="171"/>
    <cellStyle name="20% - Accent3 2 2 2" xfId="172"/>
    <cellStyle name="20% - Accent3 2 3" xfId="173"/>
    <cellStyle name="20% - Accent3 2 4" xfId="174"/>
    <cellStyle name="20% - Accent3 2 5" xfId="175"/>
    <cellStyle name="20% - Accent3 3" xfId="176"/>
    <cellStyle name="20% - Accent3 3 2" xfId="177"/>
    <cellStyle name="20% - Accent3 3 2 2" xfId="178"/>
    <cellStyle name="20% - Accent3 3 2 3" xfId="179"/>
    <cellStyle name="20% - Accent3 3 2 4" xfId="180"/>
    <cellStyle name="20% - Accent3 3 2 5" xfId="181"/>
    <cellStyle name="20% - Accent3 3 3" xfId="182"/>
    <cellStyle name="20% - Accent3 3 4" xfId="183"/>
    <cellStyle name="20% - Accent3 3 5" xfId="184"/>
    <cellStyle name="20% - Accent3 3 6" xfId="185"/>
    <cellStyle name="20% - Accent3 3 6 2" xfId="186"/>
    <cellStyle name="20% - Accent3 3 7" xfId="187"/>
    <cellStyle name="20% - Accent3 4" xfId="188"/>
    <cellStyle name="20% - Accent3 4 2" xfId="189"/>
    <cellStyle name="20% - Accent3 4 2 2" xfId="190"/>
    <cellStyle name="20% - Accent3 4 3" xfId="191"/>
    <cellStyle name="20% - Accent3 4 4" xfId="192"/>
    <cellStyle name="20% - Accent3 4 5" xfId="193"/>
    <cellStyle name="20% - Accent3 4 5 2" xfId="194"/>
    <cellStyle name="20% - Accent3 4 6" xfId="195"/>
    <cellStyle name="20% - Accent3 5" xfId="196"/>
    <cellStyle name="20% - Accent3 5 2" xfId="197"/>
    <cellStyle name="20% - Accent3 5 3" xfId="198"/>
    <cellStyle name="20% - Accent3 6" xfId="199"/>
    <cellStyle name="20% - Accent3 6 2" xfId="200"/>
    <cellStyle name="20% - Accent3 7" xfId="201"/>
    <cellStyle name="20% - Accent3 7 2" xfId="202"/>
    <cellStyle name="20% - Accent3 8" xfId="203"/>
    <cellStyle name="20% - Accent3 8 2" xfId="204"/>
    <cellStyle name="20% - Accent3 9" xfId="205"/>
    <cellStyle name="20% - Accent3 9 2" xfId="206"/>
    <cellStyle name="20% - Accent4 10" xfId="207"/>
    <cellStyle name="20% - Accent4 11" xfId="208"/>
    <cellStyle name="20% - Accent4 12" xfId="209"/>
    <cellStyle name="20% - Accent4 13" xfId="210"/>
    <cellStyle name="20% - Accent4 2" xfId="211"/>
    <cellStyle name="20% - Accent4 2 2" xfId="212"/>
    <cellStyle name="20% - Accent4 2 2 2" xfId="213"/>
    <cellStyle name="20% - Accent4 2 3" xfId="214"/>
    <cellStyle name="20% - Accent4 2 4" xfId="215"/>
    <cellStyle name="20% - Accent4 2 5" xfId="216"/>
    <cellStyle name="20% - Accent4 3" xfId="217"/>
    <cellStyle name="20% - Accent4 3 2" xfId="218"/>
    <cellStyle name="20% - Accent4 3 2 2" xfId="219"/>
    <cellStyle name="20% - Accent4 3 2 3" xfId="220"/>
    <cellStyle name="20% - Accent4 3 2 4" xfId="221"/>
    <cellStyle name="20% - Accent4 3 2 5" xfId="222"/>
    <cellStyle name="20% - Accent4 3 3" xfId="223"/>
    <cellStyle name="20% - Accent4 3 4" xfId="224"/>
    <cellStyle name="20% - Accent4 3 5" xfId="225"/>
    <cellStyle name="20% - Accent4 3 6" xfId="226"/>
    <cellStyle name="20% - Accent4 3 6 2" xfId="227"/>
    <cellStyle name="20% - Accent4 3 7" xfId="228"/>
    <cellStyle name="20% - Accent4 4" xfId="229"/>
    <cellStyle name="20% - Accent4 4 2" xfId="230"/>
    <cellStyle name="20% - Accent4 4 2 2" xfId="231"/>
    <cellStyle name="20% - Accent4 4 3" xfId="232"/>
    <cellStyle name="20% - Accent4 4 4" xfId="233"/>
    <cellStyle name="20% - Accent4 4 5" xfId="234"/>
    <cellStyle name="20% - Accent4 4 5 2" xfId="235"/>
    <cellStyle name="20% - Accent4 4 6" xfId="236"/>
    <cellStyle name="20% - Accent4 5" xfId="237"/>
    <cellStyle name="20% - Accent4 5 2" xfId="238"/>
    <cellStyle name="20% - Accent4 5 3" xfId="239"/>
    <cellStyle name="20% - Accent4 6" xfId="240"/>
    <cellStyle name="20% - Accent4 6 2" xfId="241"/>
    <cellStyle name="20% - Accent4 7" xfId="242"/>
    <cellStyle name="20% - Accent4 7 2" xfId="243"/>
    <cellStyle name="20% - Accent4 8" xfId="244"/>
    <cellStyle name="20% - Accent4 8 2" xfId="245"/>
    <cellStyle name="20% - Accent4 9" xfId="246"/>
    <cellStyle name="20% - Accent4 9 2" xfId="247"/>
    <cellStyle name="20% - Accent5 10" xfId="248"/>
    <cellStyle name="20% - Accent5 11" xfId="249"/>
    <cellStyle name="20% - Accent5 12" xfId="250"/>
    <cellStyle name="20% - Accent5 13" xfId="251"/>
    <cellStyle name="20% - Accent5 2" xfId="252"/>
    <cellStyle name="20% - Accent5 2 2" xfId="253"/>
    <cellStyle name="20% - Accent5 2 2 2" xfId="254"/>
    <cellStyle name="20% - Accent5 2 3" xfId="255"/>
    <cellStyle name="20% - Accent5 2 4" xfId="256"/>
    <cellStyle name="20% - Accent5 2 5" xfId="257"/>
    <cellStyle name="20% - Accent5 3" xfId="258"/>
    <cellStyle name="20% - Accent5 3 2" xfId="259"/>
    <cellStyle name="20% - Accent5 3 2 2" xfId="260"/>
    <cellStyle name="20% - Accent5 3 2 3" xfId="261"/>
    <cellStyle name="20% - Accent5 3 2 4" xfId="262"/>
    <cellStyle name="20% - Accent5 3 2 5" xfId="263"/>
    <cellStyle name="20% - Accent5 3 3" xfId="264"/>
    <cellStyle name="20% - Accent5 3 4" xfId="265"/>
    <cellStyle name="20% - Accent5 3 5" xfId="266"/>
    <cellStyle name="20% - Accent5 3 6" xfId="267"/>
    <cellStyle name="20% - Accent5 3 6 2" xfId="268"/>
    <cellStyle name="20% - Accent5 3 7" xfId="269"/>
    <cellStyle name="20% - Accent5 4" xfId="270"/>
    <cellStyle name="20% - Accent5 4 2" xfId="271"/>
    <cellStyle name="20% - Accent5 4 2 2" xfId="272"/>
    <cellStyle name="20% - Accent5 4 3" xfId="273"/>
    <cellStyle name="20% - Accent5 4 4" xfId="274"/>
    <cellStyle name="20% - Accent5 4 5" xfId="275"/>
    <cellStyle name="20% - Accent5 4 5 2" xfId="276"/>
    <cellStyle name="20% - Accent5 4 6" xfId="277"/>
    <cellStyle name="20% - Accent5 5" xfId="278"/>
    <cellStyle name="20% - Accent5 5 2" xfId="279"/>
    <cellStyle name="20% - Accent5 5 3" xfId="280"/>
    <cellStyle name="20% - Accent5 6" xfId="281"/>
    <cellStyle name="20% - Accent5 6 2" xfId="282"/>
    <cellStyle name="20% - Accent5 7" xfId="283"/>
    <cellStyle name="20% - Accent5 7 2" xfId="284"/>
    <cellStyle name="20% - Accent5 8" xfId="285"/>
    <cellStyle name="20% - Accent5 8 2" xfId="286"/>
    <cellStyle name="20% - Accent5 9" xfId="287"/>
    <cellStyle name="20% - Accent5 9 2" xfId="288"/>
    <cellStyle name="20% - Accent6 10" xfId="289"/>
    <cellStyle name="20% - Accent6 11" xfId="290"/>
    <cellStyle name="20% - Accent6 12" xfId="291"/>
    <cellStyle name="20% - Accent6 13" xfId="292"/>
    <cellStyle name="20% - Accent6 2" xfId="293"/>
    <cellStyle name="20% - Accent6 2 2" xfId="294"/>
    <cellStyle name="20% - Accent6 2 2 2" xfId="295"/>
    <cellStyle name="20% - Accent6 2 3" xfId="296"/>
    <cellStyle name="20% - Accent6 2 4" xfId="297"/>
    <cellStyle name="20% - Accent6 2 5" xfId="298"/>
    <cellStyle name="20% - Accent6 3" xfId="299"/>
    <cellStyle name="20% - Accent6 3 2" xfId="300"/>
    <cellStyle name="20% - Accent6 3 2 2" xfId="301"/>
    <cellStyle name="20% - Accent6 3 2 3" xfId="302"/>
    <cellStyle name="20% - Accent6 3 2 4" xfId="303"/>
    <cellStyle name="20% - Accent6 3 2 5" xfId="304"/>
    <cellStyle name="20% - Accent6 3 3" xfId="305"/>
    <cellStyle name="20% - Accent6 3 4" xfId="306"/>
    <cellStyle name="20% - Accent6 3 5" xfId="307"/>
    <cellStyle name="20% - Accent6 3 6" xfId="308"/>
    <cellStyle name="20% - Accent6 3 6 2" xfId="309"/>
    <cellStyle name="20% - Accent6 3 7" xfId="310"/>
    <cellStyle name="20% - Accent6 4" xfId="311"/>
    <cellStyle name="20% - Accent6 4 2" xfId="312"/>
    <cellStyle name="20% - Accent6 4 2 2" xfId="313"/>
    <cellStyle name="20% - Accent6 4 3" xfId="314"/>
    <cellStyle name="20% - Accent6 4 4" xfId="315"/>
    <cellStyle name="20% - Accent6 4 5" xfId="316"/>
    <cellStyle name="20% - Accent6 4 5 2" xfId="317"/>
    <cellStyle name="20% - Accent6 4 6" xfId="318"/>
    <cellStyle name="20% - Accent6 5" xfId="319"/>
    <cellStyle name="20% - Accent6 5 2" xfId="320"/>
    <cellStyle name="20% - Accent6 5 3" xfId="321"/>
    <cellStyle name="20% - Accent6 6" xfId="322"/>
    <cellStyle name="20% - Accent6 6 2" xfId="323"/>
    <cellStyle name="20% - Accent6 7" xfId="324"/>
    <cellStyle name="20% - Accent6 7 2" xfId="325"/>
    <cellStyle name="20% - Accent6 8" xfId="326"/>
    <cellStyle name="20% - Accent6 8 2" xfId="327"/>
    <cellStyle name="20% - Accent6 9" xfId="328"/>
    <cellStyle name="20% - Accent6 9 2" xfId="329"/>
    <cellStyle name="40% - Accent1 10" xfId="330"/>
    <cellStyle name="40% - Accent1 11" xfId="331"/>
    <cellStyle name="40% - Accent1 12" xfId="332"/>
    <cellStyle name="40% - Accent1 13" xfId="333"/>
    <cellStyle name="40% - Accent1 2" xfId="334"/>
    <cellStyle name="40% - Accent1 2 2" xfId="335"/>
    <cellStyle name="40% - Accent1 2 2 2" xfId="336"/>
    <cellStyle name="40% - Accent1 2 3" xfId="337"/>
    <cellStyle name="40% - Accent1 2 4" xfId="338"/>
    <cellStyle name="40% - Accent1 2 5" xfId="339"/>
    <cellStyle name="40% - Accent1 3" xfId="340"/>
    <cellStyle name="40% - Accent1 3 2" xfId="341"/>
    <cellStyle name="40% - Accent1 3 2 2" xfId="342"/>
    <cellStyle name="40% - Accent1 3 2 3" xfId="343"/>
    <cellStyle name="40% - Accent1 3 2 4" xfId="344"/>
    <cellStyle name="40% - Accent1 3 2 5" xfId="345"/>
    <cellStyle name="40% - Accent1 3 3" xfId="346"/>
    <cellStyle name="40% - Accent1 3 4" xfId="347"/>
    <cellStyle name="40% - Accent1 3 5" xfId="348"/>
    <cellStyle name="40% - Accent1 3 6" xfId="349"/>
    <cellStyle name="40% - Accent1 3 6 2" xfId="350"/>
    <cellStyle name="40% - Accent1 3 7" xfId="351"/>
    <cellStyle name="40% - Accent1 4" xfId="352"/>
    <cellStyle name="40% - Accent1 4 2" xfId="353"/>
    <cellStyle name="40% - Accent1 4 2 2" xfId="354"/>
    <cellStyle name="40% - Accent1 4 3" xfId="355"/>
    <cellStyle name="40% - Accent1 4 4" xfId="356"/>
    <cellStyle name="40% - Accent1 4 5" xfId="357"/>
    <cellStyle name="40% - Accent1 4 5 2" xfId="358"/>
    <cellStyle name="40% - Accent1 4 6" xfId="359"/>
    <cellStyle name="40% - Accent1 5" xfId="360"/>
    <cellStyle name="40% - Accent1 5 2" xfId="361"/>
    <cellStyle name="40% - Accent1 5 3" xfId="362"/>
    <cellStyle name="40% - Accent1 6" xfId="363"/>
    <cellStyle name="40% - Accent1 6 2" xfId="364"/>
    <cellStyle name="40% - Accent1 7" xfId="365"/>
    <cellStyle name="40% - Accent1 7 2" xfId="366"/>
    <cellStyle name="40% - Accent1 8" xfId="367"/>
    <cellStyle name="40% - Accent1 8 2" xfId="368"/>
    <cellStyle name="40% - Accent1 9" xfId="369"/>
    <cellStyle name="40% - Accent1 9 2" xfId="370"/>
    <cellStyle name="40% - Accent2 10" xfId="371"/>
    <cellStyle name="40% - Accent2 11" xfId="372"/>
    <cellStyle name="40% - Accent2 12" xfId="373"/>
    <cellStyle name="40% - Accent2 13" xfId="374"/>
    <cellStyle name="40% - Accent2 2" xfId="375"/>
    <cellStyle name="40% - Accent2 2 2" xfId="376"/>
    <cellStyle name="40% - Accent2 2 2 2" xfId="377"/>
    <cellStyle name="40% - Accent2 2 3" xfId="378"/>
    <cellStyle name="40% - Accent2 2 4" xfId="379"/>
    <cellStyle name="40% - Accent2 2 5" xfId="380"/>
    <cellStyle name="40% - Accent2 3" xfId="381"/>
    <cellStyle name="40% - Accent2 3 2" xfId="382"/>
    <cellStyle name="40% - Accent2 3 2 2" xfId="383"/>
    <cellStyle name="40% - Accent2 3 2 3" xfId="384"/>
    <cellStyle name="40% - Accent2 3 2 4" xfId="385"/>
    <cellStyle name="40% - Accent2 3 2 5" xfId="386"/>
    <cellStyle name="40% - Accent2 3 3" xfId="387"/>
    <cellStyle name="40% - Accent2 3 4" xfId="388"/>
    <cellStyle name="40% - Accent2 3 5" xfId="389"/>
    <cellStyle name="40% - Accent2 3 6" xfId="390"/>
    <cellStyle name="40% - Accent2 3 6 2" xfId="391"/>
    <cellStyle name="40% - Accent2 3 7" xfId="392"/>
    <cellStyle name="40% - Accent2 4" xfId="393"/>
    <cellStyle name="40% - Accent2 4 2" xfId="394"/>
    <cellStyle name="40% - Accent2 4 2 2" xfId="395"/>
    <cellStyle name="40% - Accent2 4 3" xfId="396"/>
    <cellStyle name="40% - Accent2 4 4" xfId="397"/>
    <cellStyle name="40% - Accent2 4 5" xfId="398"/>
    <cellStyle name="40% - Accent2 4 5 2" xfId="399"/>
    <cellStyle name="40% - Accent2 4 6" xfId="400"/>
    <cellStyle name="40% - Accent2 5" xfId="401"/>
    <cellStyle name="40% - Accent2 5 2" xfId="402"/>
    <cellStyle name="40% - Accent2 5 3" xfId="403"/>
    <cellStyle name="40% - Accent2 6" xfId="404"/>
    <cellStyle name="40% - Accent2 6 2" xfId="405"/>
    <cellStyle name="40% - Accent2 7" xfId="406"/>
    <cellStyle name="40% - Accent2 7 2" xfId="407"/>
    <cellStyle name="40% - Accent2 8" xfId="408"/>
    <cellStyle name="40% - Accent2 8 2" xfId="409"/>
    <cellStyle name="40% - Accent2 9" xfId="410"/>
    <cellStyle name="40% - Accent2 9 2" xfId="411"/>
    <cellStyle name="40% - Accent3 10" xfId="412"/>
    <cellStyle name="40% - Accent3 11" xfId="413"/>
    <cellStyle name="40% - Accent3 12" xfId="414"/>
    <cellStyle name="40% - Accent3 13" xfId="415"/>
    <cellStyle name="40% - Accent3 2" xfId="416"/>
    <cellStyle name="40% - Accent3 2 2" xfId="417"/>
    <cellStyle name="40% - Accent3 2 2 2" xfId="418"/>
    <cellStyle name="40% - Accent3 2 3" xfId="419"/>
    <cellStyle name="40% - Accent3 2 4" xfId="420"/>
    <cellStyle name="40% - Accent3 2 5" xfId="421"/>
    <cellStyle name="40% - Accent3 3" xfId="422"/>
    <cellStyle name="40% - Accent3 3 2" xfId="423"/>
    <cellStyle name="40% - Accent3 3 2 2" xfId="424"/>
    <cellStyle name="40% - Accent3 3 2 3" xfId="425"/>
    <cellStyle name="40% - Accent3 3 2 4" xfId="426"/>
    <cellStyle name="40% - Accent3 3 2 5" xfId="427"/>
    <cellStyle name="40% - Accent3 3 3" xfId="428"/>
    <cellStyle name="40% - Accent3 3 4" xfId="429"/>
    <cellStyle name="40% - Accent3 3 5" xfId="430"/>
    <cellStyle name="40% - Accent3 3 6" xfId="431"/>
    <cellStyle name="40% - Accent3 3 6 2" xfId="432"/>
    <cellStyle name="40% - Accent3 3 7" xfId="433"/>
    <cellStyle name="40% - Accent3 4" xfId="434"/>
    <cellStyle name="40% - Accent3 4 2" xfId="435"/>
    <cellStyle name="40% - Accent3 4 2 2" xfId="436"/>
    <cellStyle name="40% - Accent3 4 3" xfId="437"/>
    <cellStyle name="40% - Accent3 4 4" xfId="438"/>
    <cellStyle name="40% - Accent3 4 5" xfId="439"/>
    <cellStyle name="40% - Accent3 4 5 2" xfId="440"/>
    <cellStyle name="40% - Accent3 4 6" xfId="441"/>
    <cellStyle name="40% - Accent3 5" xfId="442"/>
    <cellStyle name="40% - Accent3 5 2" xfId="443"/>
    <cellStyle name="40% - Accent3 5 3" xfId="444"/>
    <cellStyle name="40% - Accent3 6" xfId="445"/>
    <cellStyle name="40% - Accent3 6 2" xfId="446"/>
    <cellStyle name="40% - Accent3 7" xfId="447"/>
    <cellStyle name="40% - Accent3 7 2" xfId="448"/>
    <cellStyle name="40% - Accent3 8" xfId="449"/>
    <cellStyle name="40% - Accent3 8 2" xfId="450"/>
    <cellStyle name="40% - Accent3 9" xfId="451"/>
    <cellStyle name="40% - Accent3 9 2" xfId="452"/>
    <cellStyle name="40% - Accent4 10" xfId="453"/>
    <cellStyle name="40% - Accent4 11" xfId="454"/>
    <cellStyle name="40% - Accent4 12" xfId="455"/>
    <cellStyle name="40% - Accent4 13" xfId="456"/>
    <cellStyle name="40% - Accent4 2" xfId="457"/>
    <cellStyle name="40% - Accent4 2 2" xfId="458"/>
    <cellStyle name="40% - Accent4 2 2 2" xfId="459"/>
    <cellStyle name="40% - Accent4 2 3" xfId="460"/>
    <cellStyle name="40% - Accent4 2 4" xfId="461"/>
    <cellStyle name="40% - Accent4 2 5" xfId="462"/>
    <cellStyle name="40% - Accent4 3" xfId="463"/>
    <cellStyle name="40% - Accent4 3 2" xfId="464"/>
    <cellStyle name="40% - Accent4 3 2 2" xfId="465"/>
    <cellStyle name="40% - Accent4 3 2 3" xfId="466"/>
    <cellStyle name="40% - Accent4 3 2 4" xfId="467"/>
    <cellStyle name="40% - Accent4 3 2 5" xfId="468"/>
    <cellStyle name="40% - Accent4 3 3" xfId="469"/>
    <cellStyle name="40% - Accent4 3 4" xfId="470"/>
    <cellStyle name="40% - Accent4 3 5" xfId="471"/>
    <cellStyle name="40% - Accent4 3 6" xfId="472"/>
    <cellStyle name="40% - Accent4 3 6 2" xfId="473"/>
    <cellStyle name="40% - Accent4 3 7" xfId="474"/>
    <cellStyle name="40% - Accent4 4" xfId="475"/>
    <cellStyle name="40% - Accent4 4 2" xfId="476"/>
    <cellStyle name="40% - Accent4 4 2 2" xfId="477"/>
    <cellStyle name="40% - Accent4 4 3" xfId="478"/>
    <cellStyle name="40% - Accent4 4 4" xfId="479"/>
    <cellStyle name="40% - Accent4 4 5" xfId="480"/>
    <cellStyle name="40% - Accent4 4 5 2" xfId="481"/>
    <cellStyle name="40% - Accent4 4 6" xfId="482"/>
    <cellStyle name="40% - Accent4 5" xfId="483"/>
    <cellStyle name="40% - Accent4 5 2" xfId="484"/>
    <cellStyle name="40% - Accent4 5 3" xfId="485"/>
    <cellStyle name="40% - Accent4 6" xfId="486"/>
    <cellStyle name="40% - Accent4 6 2" xfId="487"/>
    <cellStyle name="40% - Accent4 7" xfId="488"/>
    <cellStyle name="40% - Accent4 7 2" xfId="489"/>
    <cellStyle name="40% - Accent4 8" xfId="490"/>
    <cellStyle name="40% - Accent4 8 2" xfId="491"/>
    <cellStyle name="40% - Accent4 9" xfId="492"/>
    <cellStyle name="40% - Accent4 9 2" xfId="493"/>
    <cellStyle name="40% - Accent5 10" xfId="494"/>
    <cellStyle name="40% - Accent5 11" xfId="495"/>
    <cellStyle name="40% - Accent5 12" xfId="496"/>
    <cellStyle name="40% - Accent5 13" xfId="497"/>
    <cellStyle name="40% - Accent5 2" xfId="498"/>
    <cellStyle name="40% - Accent5 2 2" xfId="499"/>
    <cellStyle name="40% - Accent5 2 2 2" xfId="500"/>
    <cellStyle name="40% - Accent5 2 3" xfId="501"/>
    <cellStyle name="40% - Accent5 2 4" xfId="502"/>
    <cellStyle name="40% - Accent5 2 5" xfId="503"/>
    <cellStyle name="40% - Accent5 3" xfId="504"/>
    <cellStyle name="40% - Accent5 3 2" xfId="505"/>
    <cellStyle name="40% - Accent5 3 2 2" xfId="506"/>
    <cellStyle name="40% - Accent5 3 2 3" xfId="507"/>
    <cellStyle name="40% - Accent5 3 2 4" xfId="508"/>
    <cellStyle name="40% - Accent5 3 2 5" xfId="509"/>
    <cellStyle name="40% - Accent5 3 3" xfId="510"/>
    <cellStyle name="40% - Accent5 3 4" xfId="511"/>
    <cellStyle name="40% - Accent5 3 5" xfId="512"/>
    <cellStyle name="40% - Accent5 3 6" xfId="513"/>
    <cellStyle name="40% - Accent5 3 6 2" xfId="514"/>
    <cellStyle name="40% - Accent5 3 7" xfId="515"/>
    <cellStyle name="40% - Accent5 4" xfId="516"/>
    <cellStyle name="40% - Accent5 4 2" xfId="517"/>
    <cellStyle name="40% - Accent5 4 2 2" xfId="518"/>
    <cellStyle name="40% - Accent5 4 3" xfId="519"/>
    <cellStyle name="40% - Accent5 4 4" xfId="520"/>
    <cellStyle name="40% - Accent5 4 5" xfId="521"/>
    <cellStyle name="40% - Accent5 4 5 2" xfId="522"/>
    <cellStyle name="40% - Accent5 4 6" xfId="523"/>
    <cellStyle name="40% - Accent5 5" xfId="524"/>
    <cellStyle name="40% - Accent5 5 2" xfId="525"/>
    <cellStyle name="40% - Accent5 5 3" xfId="526"/>
    <cellStyle name="40% - Accent5 6" xfId="527"/>
    <cellStyle name="40% - Accent5 6 2" xfId="528"/>
    <cellStyle name="40% - Accent5 7" xfId="529"/>
    <cellStyle name="40% - Accent5 7 2" xfId="530"/>
    <cellStyle name="40% - Accent5 8" xfId="531"/>
    <cellStyle name="40% - Accent5 8 2" xfId="532"/>
    <cellStyle name="40% - Accent5 9" xfId="533"/>
    <cellStyle name="40% - Accent5 9 2" xfId="534"/>
    <cellStyle name="40% - Accent6 10" xfId="535"/>
    <cellStyle name="40% - Accent6 11" xfId="536"/>
    <cellStyle name="40% - Accent6 12" xfId="537"/>
    <cellStyle name="40% - Accent6 13" xfId="538"/>
    <cellStyle name="40% - Accent6 2" xfId="539"/>
    <cellStyle name="40% - Accent6 2 2" xfId="540"/>
    <cellStyle name="40% - Accent6 2 2 2" xfId="541"/>
    <cellStyle name="40% - Accent6 2 3" xfId="542"/>
    <cellStyle name="40% - Accent6 2 4" xfId="543"/>
    <cellStyle name="40% - Accent6 2 5" xfId="544"/>
    <cellStyle name="40% - Accent6 3" xfId="545"/>
    <cellStyle name="40% - Accent6 3 2" xfId="546"/>
    <cellStyle name="40% - Accent6 3 2 2" xfId="547"/>
    <cellStyle name="40% - Accent6 3 2 3" xfId="548"/>
    <cellStyle name="40% - Accent6 3 2 4" xfId="549"/>
    <cellStyle name="40% - Accent6 3 2 5" xfId="550"/>
    <cellStyle name="40% - Accent6 3 3" xfId="551"/>
    <cellStyle name="40% - Accent6 3 4" xfId="552"/>
    <cellStyle name="40% - Accent6 3 5" xfId="553"/>
    <cellStyle name="40% - Accent6 3 6" xfId="554"/>
    <cellStyle name="40% - Accent6 3 6 2" xfId="555"/>
    <cellStyle name="40% - Accent6 3 7" xfId="556"/>
    <cellStyle name="40% - Accent6 4" xfId="557"/>
    <cellStyle name="40% - Accent6 4 2" xfId="558"/>
    <cellStyle name="40% - Accent6 4 2 2" xfId="559"/>
    <cellStyle name="40% - Accent6 4 3" xfId="560"/>
    <cellStyle name="40% - Accent6 4 4" xfId="561"/>
    <cellStyle name="40% - Accent6 4 5" xfId="562"/>
    <cellStyle name="40% - Accent6 4 5 2" xfId="563"/>
    <cellStyle name="40% - Accent6 4 6" xfId="564"/>
    <cellStyle name="40% - Accent6 5" xfId="565"/>
    <cellStyle name="40% - Accent6 5 2" xfId="566"/>
    <cellStyle name="40% - Accent6 5 3" xfId="567"/>
    <cellStyle name="40% - Accent6 6" xfId="568"/>
    <cellStyle name="40% - Accent6 6 2" xfId="569"/>
    <cellStyle name="40% - Accent6 7" xfId="570"/>
    <cellStyle name="40% - Accent6 7 2" xfId="571"/>
    <cellStyle name="40% - Accent6 8" xfId="572"/>
    <cellStyle name="40% - Accent6 8 2" xfId="573"/>
    <cellStyle name="40% - Accent6 9" xfId="574"/>
    <cellStyle name="40% - Accent6 9 2" xfId="575"/>
    <cellStyle name="60% - Accent1 2" xfId="576"/>
    <cellStyle name="60% - Accent1 2 2" xfId="577"/>
    <cellStyle name="60% - Accent1 3" xfId="578"/>
    <cellStyle name="60% - Accent2 2" xfId="579"/>
    <cellStyle name="60% - Accent2 2 2" xfId="580"/>
    <cellStyle name="60% - Accent2 3" xfId="581"/>
    <cellStyle name="60% - Accent3 2" xfId="582"/>
    <cellStyle name="60% - Accent3 2 2" xfId="583"/>
    <cellStyle name="60% - Accent3 3" xfId="584"/>
    <cellStyle name="60% - Accent4 2" xfId="585"/>
    <cellStyle name="60% - Accent4 2 2" xfId="586"/>
    <cellStyle name="60% - Accent4 3" xfId="587"/>
    <cellStyle name="60% - Accent5 2" xfId="588"/>
    <cellStyle name="60% - Accent5 2 2" xfId="589"/>
    <cellStyle name="60% - Accent5 3" xfId="590"/>
    <cellStyle name="60% - Accent6 2" xfId="591"/>
    <cellStyle name="60% - Accent6 2 2" xfId="592"/>
    <cellStyle name="60% - Accent6 3" xfId="593"/>
    <cellStyle name="a125body" xfId="594"/>
    <cellStyle name="a125body 2" xfId="595"/>
    <cellStyle name="a125body 3" xfId="596"/>
    <cellStyle name="a125body 4" xfId="597"/>
    <cellStyle name="a125body 5" xfId="598"/>
    <cellStyle name="a125body 6" xfId="599"/>
    <cellStyle name="a125body 7" xfId="600"/>
    <cellStyle name="a125body 8" xfId="601"/>
    <cellStyle name="a125body 9" xfId="602"/>
    <cellStyle name="Accent1 2" xfId="603"/>
    <cellStyle name="Accent1 2 2" xfId="604"/>
    <cellStyle name="Accent1 3" xfId="605"/>
    <cellStyle name="Accent2 2" xfId="606"/>
    <cellStyle name="Accent2 2 2" xfId="607"/>
    <cellStyle name="Accent2 3" xfId="608"/>
    <cellStyle name="Accent3 2" xfId="609"/>
    <cellStyle name="Accent3 2 2" xfId="610"/>
    <cellStyle name="Accent3 3" xfId="611"/>
    <cellStyle name="Accent4 2" xfId="612"/>
    <cellStyle name="Accent4 2 2" xfId="613"/>
    <cellStyle name="Accent4 3" xfId="614"/>
    <cellStyle name="Accent5 2" xfId="615"/>
    <cellStyle name="Accent5 2 2" xfId="616"/>
    <cellStyle name="Accent5 3" xfId="617"/>
    <cellStyle name="Accent6 2" xfId="618"/>
    <cellStyle name="Accent6 2 2" xfId="619"/>
    <cellStyle name="Accent6 3" xfId="620"/>
    <cellStyle name="Activity" xfId="621"/>
    <cellStyle name="Activity 2" xfId="622"/>
    <cellStyle name="Activity 3" xfId="623"/>
    <cellStyle name="Activity 4" xfId="624"/>
    <cellStyle name="Activity 5" xfId="625"/>
    <cellStyle name="Activity 6" xfId="626"/>
    <cellStyle name="Activity 7" xfId="627"/>
    <cellStyle name="Activity 8" xfId="628"/>
    <cellStyle name="Activity 9" xfId="629"/>
    <cellStyle name="Actual Date" xfId="630"/>
    <cellStyle name="Actual Date 2" xfId="631"/>
    <cellStyle name="adjusted" xfId="632"/>
    <cellStyle name="Assumption" xfId="633"/>
    <cellStyle name="Bad 2" xfId="634"/>
    <cellStyle name="Bad 2 2" xfId="635"/>
    <cellStyle name="Bad 3" xfId="636"/>
    <cellStyle name="BegBal" xfId="637"/>
    <cellStyle name="BIM" xfId="638"/>
    <cellStyle name="Calculation 2" xfId="639"/>
    <cellStyle name="Calculation 2 2" xfId="640"/>
    <cellStyle name="Calculation 3" xfId="641"/>
    <cellStyle name="Calculation in Model" xfId="642"/>
    <cellStyle name="Calculation in Model 2" xfId="643"/>
    <cellStyle name="Calculation in Model 3" xfId="644"/>
    <cellStyle name="Calculation in Model 4" xfId="645"/>
    <cellStyle name="Calculation in Model 5" xfId="646"/>
    <cellStyle name="Calculation in Model 6" xfId="647"/>
    <cellStyle name="Calculation in Model 7" xfId="648"/>
    <cellStyle name="Calculation in Model 8" xfId="649"/>
    <cellStyle name="Calculation in Model 9" xfId="650"/>
    <cellStyle name="Check Cell 2" xfId="651"/>
    <cellStyle name="Check Cell 2 2" xfId="652"/>
    <cellStyle name="Check Cell 3" xfId="653"/>
    <cellStyle name="ColLevel_" xfId="654"/>
    <cellStyle name="column1" xfId="655"/>
    <cellStyle name="column1 2" xfId="656"/>
    <cellStyle name="column1 3" xfId="657"/>
    <cellStyle name="column1 4" xfId="658"/>
    <cellStyle name="column1 5" xfId="659"/>
    <cellStyle name="Comma" xfId="1" builtinId="3"/>
    <cellStyle name="Comma  - Style1" xfId="660"/>
    <cellStyle name="Comma  - Style1 2" xfId="661"/>
    <cellStyle name="Comma  - Style2" xfId="662"/>
    <cellStyle name="Comma  - Style2 2" xfId="663"/>
    <cellStyle name="Comma  - Style3" xfId="664"/>
    <cellStyle name="Comma  - Style3 2" xfId="665"/>
    <cellStyle name="Comma  - Style4" xfId="666"/>
    <cellStyle name="Comma  - Style4 2" xfId="667"/>
    <cellStyle name="Comma  - Style5" xfId="668"/>
    <cellStyle name="Comma  - Style5 2" xfId="669"/>
    <cellStyle name="Comma  - Style6" xfId="670"/>
    <cellStyle name="Comma  - Style6 2" xfId="671"/>
    <cellStyle name="Comma  - Style7" xfId="672"/>
    <cellStyle name="Comma  - Style7 2" xfId="673"/>
    <cellStyle name="Comma  - Style8" xfId="674"/>
    <cellStyle name="Comma  - Style8 2" xfId="675"/>
    <cellStyle name="Comma [0] 2" xfId="676"/>
    <cellStyle name="Comma [2]" xfId="677"/>
    <cellStyle name="Comma [2] 2" xfId="678"/>
    <cellStyle name="Comma [2] 3" xfId="679"/>
    <cellStyle name="Comma [2] 4" xfId="680"/>
    <cellStyle name="Comma [2] 5" xfId="681"/>
    <cellStyle name="Comma 0 [0]" xfId="682"/>
    <cellStyle name="Comma 10" xfId="683"/>
    <cellStyle name="Comma 10 2" xfId="684"/>
    <cellStyle name="Comma 10 2 2" xfId="685"/>
    <cellStyle name="Comma 10 3" xfId="686"/>
    <cellStyle name="Comma 11" xfId="687"/>
    <cellStyle name="Comma 11 2" xfId="688"/>
    <cellStyle name="Comma 11 3" xfId="689"/>
    <cellStyle name="Comma 11 4" xfId="690"/>
    <cellStyle name="Comma 12" xfId="691"/>
    <cellStyle name="Comma 12 2" xfId="692"/>
    <cellStyle name="Comma 13" xfId="693"/>
    <cellStyle name="Comma 13 2" xfId="694"/>
    <cellStyle name="Comma 14" xfId="695"/>
    <cellStyle name="Comma 14 2" xfId="696"/>
    <cellStyle name="Comma 15" xfId="697"/>
    <cellStyle name="Comma 15 2" xfId="698"/>
    <cellStyle name="Comma 16" xfId="699"/>
    <cellStyle name="Comma 16 2" xfId="700"/>
    <cellStyle name="Comma 17" xfId="701"/>
    <cellStyle name="Comma 17 2" xfId="702"/>
    <cellStyle name="Comma 18" xfId="703"/>
    <cellStyle name="Comma 18 2" xfId="704"/>
    <cellStyle name="Comma 19" xfId="705"/>
    <cellStyle name="Comma 19 2" xfId="706"/>
    <cellStyle name="Comma 2" xfId="67"/>
    <cellStyle name="Comma 2 2" xfId="707"/>
    <cellStyle name="Comma 2 2 2" xfId="708"/>
    <cellStyle name="Comma 2 3" xfId="709"/>
    <cellStyle name="Comma 2 3 2" xfId="710"/>
    <cellStyle name="Comma 2 3 2 2" xfId="711"/>
    <cellStyle name="Comma 2 3 2 3" xfId="712"/>
    <cellStyle name="Comma 2 3 3" xfId="713"/>
    <cellStyle name="Comma 2 3 4" xfId="714"/>
    <cellStyle name="Comma 2 3 5" xfId="715"/>
    <cellStyle name="Comma 2 4" xfId="716"/>
    <cellStyle name="Comma 2 4 2" xfId="717"/>
    <cellStyle name="Comma 2 4 2 2" xfId="718"/>
    <cellStyle name="Comma 2 4 2 3" xfId="719"/>
    <cellStyle name="Comma 2 4 3" xfId="720"/>
    <cellStyle name="Comma 2 4 4" xfId="721"/>
    <cellStyle name="Comma 2 4 5" xfId="722"/>
    <cellStyle name="Comma 2 5" xfId="723"/>
    <cellStyle name="Comma 2 5 2" xfId="724"/>
    <cellStyle name="Comma 2 5 2 2" xfId="725"/>
    <cellStyle name="Comma 2 5 3" xfId="726"/>
    <cellStyle name="Comma 2 5 4" xfId="727"/>
    <cellStyle name="Comma 2 6" xfId="728"/>
    <cellStyle name="Comma 20" xfId="729"/>
    <cellStyle name="Comma 20 2" xfId="730"/>
    <cellStyle name="Comma 21" xfId="731"/>
    <cellStyle name="Comma 21 2" xfId="732"/>
    <cellStyle name="Comma 22" xfId="733"/>
    <cellStyle name="Comma 22 2" xfId="734"/>
    <cellStyle name="Comma 23" xfId="735"/>
    <cellStyle name="Comma 23 2" xfId="736"/>
    <cellStyle name="Comma 24" xfId="737"/>
    <cellStyle name="Comma 24 2" xfId="738"/>
    <cellStyle name="Comma 25" xfId="739"/>
    <cellStyle name="Comma 25 2" xfId="740"/>
    <cellStyle name="Comma 26" xfId="741"/>
    <cellStyle name="Comma 26 2" xfId="742"/>
    <cellStyle name="Comma 26 3" xfId="743"/>
    <cellStyle name="Comma 27" xfId="744"/>
    <cellStyle name="Comma 27 2" xfId="745"/>
    <cellStyle name="Comma 28" xfId="746"/>
    <cellStyle name="Comma 28 2" xfId="747"/>
    <cellStyle name="Comma 29" xfId="748"/>
    <cellStyle name="Comma 3" xfId="749"/>
    <cellStyle name="Comma 3 10" xfId="750"/>
    <cellStyle name="Comma 3 2" xfId="751"/>
    <cellStyle name="Comma 3 2 10" xfId="752"/>
    <cellStyle name="Comma 3 2 10 2" xfId="753"/>
    <cellStyle name="Comma 3 2 10 2 2" xfId="754"/>
    <cellStyle name="Comma 3 2 10 3" xfId="755"/>
    <cellStyle name="Comma 3 2 10 3 2" xfId="756"/>
    <cellStyle name="Comma 3 2 10 4" xfId="757"/>
    <cellStyle name="Comma 3 2 10 4 2" xfId="758"/>
    <cellStyle name="Comma 3 2 10 5" xfId="759"/>
    <cellStyle name="Comma 3 2 10 6" xfId="760"/>
    <cellStyle name="Comma 3 2 11" xfId="761"/>
    <cellStyle name="Comma 3 2 11 2" xfId="762"/>
    <cellStyle name="Comma 3 2 11 2 2" xfId="763"/>
    <cellStyle name="Comma 3 2 11 3" xfId="764"/>
    <cellStyle name="Comma 3 2 11 3 2" xfId="765"/>
    <cellStyle name="Comma 3 2 11 4" xfId="766"/>
    <cellStyle name="Comma 3 2 11 5" xfId="767"/>
    <cellStyle name="Comma 3 2 12" xfId="768"/>
    <cellStyle name="Comma 3 2 12 2" xfId="769"/>
    <cellStyle name="Comma 3 2 13" xfId="770"/>
    <cellStyle name="Comma 3 2 13 2" xfId="771"/>
    <cellStyle name="Comma 3 2 14" xfId="772"/>
    <cellStyle name="Comma 3 2 14 2" xfId="773"/>
    <cellStyle name="Comma 3 2 15" xfId="774"/>
    <cellStyle name="Comma 3 2 16" xfId="775"/>
    <cellStyle name="Comma 3 2 17" xfId="776"/>
    <cellStyle name="Comma 3 2 18" xfId="777"/>
    <cellStyle name="Comma 3 2 2" xfId="778"/>
    <cellStyle name="Comma 3 2 2 10" xfId="779"/>
    <cellStyle name="Comma 3 2 2 10 2" xfId="780"/>
    <cellStyle name="Comma 3 2 2 11" xfId="781"/>
    <cellStyle name="Comma 3 2 2 11 2" xfId="782"/>
    <cellStyle name="Comma 3 2 2 12" xfId="783"/>
    <cellStyle name="Comma 3 2 2 13" xfId="784"/>
    <cellStyle name="Comma 3 2 2 2" xfId="785"/>
    <cellStyle name="Comma 3 2 2 2 10" xfId="786"/>
    <cellStyle name="Comma 3 2 2 2 11" xfId="787"/>
    <cellStyle name="Comma 3 2 2 2 2" xfId="788"/>
    <cellStyle name="Comma 3 2 2 2 2 2" xfId="789"/>
    <cellStyle name="Comma 3 2 2 2 2 2 2" xfId="790"/>
    <cellStyle name="Comma 3 2 2 2 2 3" xfId="791"/>
    <cellStyle name="Comma 3 2 2 2 2 3 2" xfId="792"/>
    <cellStyle name="Comma 3 2 2 2 2 4" xfId="793"/>
    <cellStyle name="Comma 3 2 2 2 2 4 2" xfId="794"/>
    <cellStyle name="Comma 3 2 2 2 2 5" xfId="795"/>
    <cellStyle name="Comma 3 2 2 2 2 6" xfId="796"/>
    <cellStyle name="Comma 3 2 2 2 3" xfId="797"/>
    <cellStyle name="Comma 3 2 2 2 3 2" xfId="798"/>
    <cellStyle name="Comma 3 2 2 2 3 2 2" xfId="799"/>
    <cellStyle name="Comma 3 2 2 2 3 3" xfId="800"/>
    <cellStyle name="Comma 3 2 2 2 3 3 2" xfId="801"/>
    <cellStyle name="Comma 3 2 2 2 3 4" xfId="802"/>
    <cellStyle name="Comma 3 2 2 2 3 4 2" xfId="803"/>
    <cellStyle name="Comma 3 2 2 2 3 5" xfId="804"/>
    <cellStyle name="Comma 3 2 2 2 3 6" xfId="805"/>
    <cellStyle name="Comma 3 2 2 2 4" xfId="806"/>
    <cellStyle name="Comma 3 2 2 2 4 2" xfId="807"/>
    <cellStyle name="Comma 3 2 2 2 4 2 2" xfId="808"/>
    <cellStyle name="Comma 3 2 2 2 4 3" xfId="809"/>
    <cellStyle name="Comma 3 2 2 2 4 3 2" xfId="810"/>
    <cellStyle name="Comma 3 2 2 2 4 4" xfId="811"/>
    <cellStyle name="Comma 3 2 2 2 4 4 2" xfId="812"/>
    <cellStyle name="Comma 3 2 2 2 4 5" xfId="813"/>
    <cellStyle name="Comma 3 2 2 2 4 6" xfId="814"/>
    <cellStyle name="Comma 3 2 2 2 5" xfId="815"/>
    <cellStyle name="Comma 3 2 2 2 5 2" xfId="816"/>
    <cellStyle name="Comma 3 2 2 2 5 2 2" xfId="817"/>
    <cellStyle name="Comma 3 2 2 2 5 3" xfId="818"/>
    <cellStyle name="Comma 3 2 2 2 5 3 2" xfId="819"/>
    <cellStyle name="Comma 3 2 2 2 5 4" xfId="820"/>
    <cellStyle name="Comma 3 2 2 2 5 4 2" xfId="821"/>
    <cellStyle name="Comma 3 2 2 2 5 5" xfId="822"/>
    <cellStyle name="Comma 3 2 2 2 5 6" xfId="823"/>
    <cellStyle name="Comma 3 2 2 2 6" xfId="824"/>
    <cellStyle name="Comma 3 2 2 2 6 2" xfId="825"/>
    <cellStyle name="Comma 3 2 2 2 6 2 2" xfId="826"/>
    <cellStyle name="Comma 3 2 2 2 6 3" xfId="827"/>
    <cellStyle name="Comma 3 2 2 2 6 3 2" xfId="828"/>
    <cellStyle name="Comma 3 2 2 2 6 4" xfId="829"/>
    <cellStyle name="Comma 3 2 2 2 6 5" xfId="830"/>
    <cellStyle name="Comma 3 2 2 2 7" xfId="831"/>
    <cellStyle name="Comma 3 2 2 2 7 2" xfId="832"/>
    <cellStyle name="Comma 3 2 2 2 8" xfId="833"/>
    <cellStyle name="Comma 3 2 2 2 8 2" xfId="834"/>
    <cellStyle name="Comma 3 2 2 2 9" xfId="835"/>
    <cellStyle name="Comma 3 2 2 2 9 2" xfId="836"/>
    <cellStyle name="Comma 3 2 2 3" xfId="837"/>
    <cellStyle name="Comma 3 2 2 3 10" xfId="838"/>
    <cellStyle name="Comma 3 2 2 3 2" xfId="839"/>
    <cellStyle name="Comma 3 2 2 3 2 2" xfId="840"/>
    <cellStyle name="Comma 3 2 2 3 2 2 2" xfId="841"/>
    <cellStyle name="Comma 3 2 2 3 2 3" xfId="842"/>
    <cellStyle name="Comma 3 2 2 3 2 3 2" xfId="843"/>
    <cellStyle name="Comma 3 2 2 3 2 4" xfId="844"/>
    <cellStyle name="Comma 3 2 2 3 2 4 2" xfId="845"/>
    <cellStyle name="Comma 3 2 2 3 2 5" xfId="846"/>
    <cellStyle name="Comma 3 2 2 3 2 6" xfId="847"/>
    <cellStyle name="Comma 3 2 2 3 3" xfId="848"/>
    <cellStyle name="Comma 3 2 2 3 3 2" xfId="849"/>
    <cellStyle name="Comma 3 2 2 3 3 2 2" xfId="850"/>
    <cellStyle name="Comma 3 2 2 3 3 3" xfId="851"/>
    <cellStyle name="Comma 3 2 2 3 3 3 2" xfId="852"/>
    <cellStyle name="Comma 3 2 2 3 3 4" xfId="853"/>
    <cellStyle name="Comma 3 2 2 3 3 4 2" xfId="854"/>
    <cellStyle name="Comma 3 2 2 3 3 5" xfId="855"/>
    <cellStyle name="Comma 3 2 2 3 3 6" xfId="856"/>
    <cellStyle name="Comma 3 2 2 3 4" xfId="857"/>
    <cellStyle name="Comma 3 2 2 3 4 2" xfId="858"/>
    <cellStyle name="Comma 3 2 2 3 4 2 2" xfId="859"/>
    <cellStyle name="Comma 3 2 2 3 4 3" xfId="860"/>
    <cellStyle name="Comma 3 2 2 3 4 3 2" xfId="861"/>
    <cellStyle name="Comma 3 2 2 3 4 4" xfId="862"/>
    <cellStyle name="Comma 3 2 2 3 4 4 2" xfId="863"/>
    <cellStyle name="Comma 3 2 2 3 4 5" xfId="864"/>
    <cellStyle name="Comma 3 2 2 3 4 6" xfId="865"/>
    <cellStyle name="Comma 3 2 2 3 5" xfId="866"/>
    <cellStyle name="Comma 3 2 2 3 5 2" xfId="867"/>
    <cellStyle name="Comma 3 2 2 3 5 2 2" xfId="868"/>
    <cellStyle name="Comma 3 2 2 3 5 3" xfId="869"/>
    <cellStyle name="Comma 3 2 2 3 5 3 2" xfId="870"/>
    <cellStyle name="Comma 3 2 2 3 5 4" xfId="871"/>
    <cellStyle name="Comma 3 2 2 3 5 5" xfId="872"/>
    <cellStyle name="Comma 3 2 2 3 6" xfId="873"/>
    <cellStyle name="Comma 3 2 2 3 6 2" xfId="874"/>
    <cellStyle name="Comma 3 2 2 3 7" xfId="875"/>
    <cellStyle name="Comma 3 2 2 3 7 2" xfId="876"/>
    <cellStyle name="Comma 3 2 2 3 8" xfId="877"/>
    <cellStyle name="Comma 3 2 2 3 8 2" xfId="878"/>
    <cellStyle name="Comma 3 2 2 3 9" xfId="879"/>
    <cellStyle name="Comma 3 2 2 4" xfId="880"/>
    <cellStyle name="Comma 3 2 2 4 10" xfId="881"/>
    <cellStyle name="Comma 3 2 2 4 2" xfId="882"/>
    <cellStyle name="Comma 3 2 2 4 2 2" xfId="883"/>
    <cellStyle name="Comma 3 2 2 4 2 2 2" xfId="884"/>
    <cellStyle name="Comma 3 2 2 4 2 3" xfId="885"/>
    <cellStyle name="Comma 3 2 2 4 2 3 2" xfId="886"/>
    <cellStyle name="Comma 3 2 2 4 2 4" xfId="887"/>
    <cellStyle name="Comma 3 2 2 4 2 4 2" xfId="888"/>
    <cellStyle name="Comma 3 2 2 4 2 5" xfId="889"/>
    <cellStyle name="Comma 3 2 2 4 2 6" xfId="890"/>
    <cellStyle name="Comma 3 2 2 4 3" xfId="891"/>
    <cellStyle name="Comma 3 2 2 4 3 2" xfId="892"/>
    <cellStyle name="Comma 3 2 2 4 3 2 2" xfId="893"/>
    <cellStyle name="Comma 3 2 2 4 3 3" xfId="894"/>
    <cellStyle name="Comma 3 2 2 4 3 3 2" xfId="895"/>
    <cellStyle name="Comma 3 2 2 4 3 4" xfId="896"/>
    <cellStyle name="Comma 3 2 2 4 3 4 2" xfId="897"/>
    <cellStyle name="Comma 3 2 2 4 3 5" xfId="898"/>
    <cellStyle name="Comma 3 2 2 4 3 6" xfId="899"/>
    <cellStyle name="Comma 3 2 2 4 4" xfId="900"/>
    <cellStyle name="Comma 3 2 2 4 4 2" xfId="901"/>
    <cellStyle name="Comma 3 2 2 4 4 2 2" xfId="902"/>
    <cellStyle name="Comma 3 2 2 4 4 3" xfId="903"/>
    <cellStyle name="Comma 3 2 2 4 4 3 2" xfId="904"/>
    <cellStyle name="Comma 3 2 2 4 4 4" xfId="905"/>
    <cellStyle name="Comma 3 2 2 4 4 4 2" xfId="906"/>
    <cellStyle name="Comma 3 2 2 4 4 5" xfId="907"/>
    <cellStyle name="Comma 3 2 2 4 4 6" xfId="908"/>
    <cellStyle name="Comma 3 2 2 4 5" xfId="909"/>
    <cellStyle name="Comma 3 2 2 4 5 2" xfId="910"/>
    <cellStyle name="Comma 3 2 2 4 5 2 2" xfId="911"/>
    <cellStyle name="Comma 3 2 2 4 5 3" xfId="912"/>
    <cellStyle name="Comma 3 2 2 4 5 3 2" xfId="913"/>
    <cellStyle name="Comma 3 2 2 4 5 4" xfId="914"/>
    <cellStyle name="Comma 3 2 2 4 5 5" xfId="915"/>
    <cellStyle name="Comma 3 2 2 4 6" xfId="916"/>
    <cellStyle name="Comma 3 2 2 4 6 2" xfId="917"/>
    <cellStyle name="Comma 3 2 2 4 7" xfId="918"/>
    <cellStyle name="Comma 3 2 2 4 7 2" xfId="919"/>
    <cellStyle name="Comma 3 2 2 4 8" xfId="920"/>
    <cellStyle name="Comma 3 2 2 4 8 2" xfId="921"/>
    <cellStyle name="Comma 3 2 2 4 9" xfId="922"/>
    <cellStyle name="Comma 3 2 2 5" xfId="923"/>
    <cellStyle name="Comma 3 2 2 5 2" xfId="924"/>
    <cellStyle name="Comma 3 2 2 5 2 2" xfId="925"/>
    <cellStyle name="Comma 3 2 2 5 3" xfId="926"/>
    <cellStyle name="Comma 3 2 2 5 3 2" xfId="927"/>
    <cellStyle name="Comma 3 2 2 5 4" xfId="928"/>
    <cellStyle name="Comma 3 2 2 5 4 2" xfId="929"/>
    <cellStyle name="Comma 3 2 2 5 5" xfId="930"/>
    <cellStyle name="Comma 3 2 2 5 6" xfId="931"/>
    <cellStyle name="Comma 3 2 2 6" xfId="932"/>
    <cellStyle name="Comma 3 2 2 6 2" xfId="933"/>
    <cellStyle name="Comma 3 2 2 6 2 2" xfId="934"/>
    <cellStyle name="Comma 3 2 2 6 3" xfId="935"/>
    <cellStyle name="Comma 3 2 2 6 3 2" xfId="936"/>
    <cellStyle name="Comma 3 2 2 6 4" xfId="937"/>
    <cellStyle name="Comma 3 2 2 6 4 2" xfId="938"/>
    <cellStyle name="Comma 3 2 2 6 5" xfId="939"/>
    <cellStyle name="Comma 3 2 2 6 6" xfId="940"/>
    <cellStyle name="Comma 3 2 2 7" xfId="941"/>
    <cellStyle name="Comma 3 2 2 7 2" xfId="942"/>
    <cellStyle name="Comma 3 2 2 7 2 2" xfId="943"/>
    <cellStyle name="Comma 3 2 2 7 3" xfId="944"/>
    <cellStyle name="Comma 3 2 2 7 3 2" xfId="945"/>
    <cellStyle name="Comma 3 2 2 7 4" xfId="946"/>
    <cellStyle name="Comma 3 2 2 7 4 2" xfId="947"/>
    <cellStyle name="Comma 3 2 2 7 5" xfId="948"/>
    <cellStyle name="Comma 3 2 2 7 6" xfId="949"/>
    <cellStyle name="Comma 3 2 2 8" xfId="950"/>
    <cellStyle name="Comma 3 2 2 8 2" xfId="951"/>
    <cellStyle name="Comma 3 2 2 8 2 2" xfId="952"/>
    <cellStyle name="Comma 3 2 2 8 3" xfId="953"/>
    <cellStyle name="Comma 3 2 2 8 3 2" xfId="954"/>
    <cellStyle name="Comma 3 2 2 8 4" xfId="955"/>
    <cellStyle name="Comma 3 2 2 8 5" xfId="956"/>
    <cellStyle name="Comma 3 2 2 9" xfId="957"/>
    <cellStyle name="Comma 3 2 2 9 2" xfId="958"/>
    <cellStyle name="Comma 3 2 3" xfId="959"/>
    <cellStyle name="Comma 3 2 3 10" xfId="960"/>
    <cellStyle name="Comma 3 2 3 10 2" xfId="961"/>
    <cellStyle name="Comma 3 2 3 11" xfId="962"/>
    <cellStyle name="Comma 3 2 3 11 2" xfId="963"/>
    <cellStyle name="Comma 3 2 3 12" xfId="964"/>
    <cellStyle name="Comma 3 2 3 13" xfId="965"/>
    <cellStyle name="Comma 3 2 3 2" xfId="966"/>
    <cellStyle name="Comma 3 2 3 2 10" xfId="967"/>
    <cellStyle name="Comma 3 2 3 2 11" xfId="968"/>
    <cellStyle name="Comma 3 2 3 2 2" xfId="969"/>
    <cellStyle name="Comma 3 2 3 2 2 2" xfId="970"/>
    <cellStyle name="Comma 3 2 3 2 2 2 2" xfId="971"/>
    <cellStyle name="Comma 3 2 3 2 2 3" xfId="972"/>
    <cellStyle name="Comma 3 2 3 2 2 3 2" xfId="973"/>
    <cellStyle name="Comma 3 2 3 2 2 4" xfId="974"/>
    <cellStyle name="Comma 3 2 3 2 2 4 2" xfId="975"/>
    <cellStyle name="Comma 3 2 3 2 2 5" xfId="976"/>
    <cellStyle name="Comma 3 2 3 2 2 6" xfId="977"/>
    <cellStyle name="Comma 3 2 3 2 3" xfId="978"/>
    <cellStyle name="Comma 3 2 3 2 3 2" xfId="979"/>
    <cellStyle name="Comma 3 2 3 2 3 2 2" xfId="980"/>
    <cellStyle name="Comma 3 2 3 2 3 3" xfId="981"/>
    <cellStyle name="Comma 3 2 3 2 3 3 2" xfId="982"/>
    <cellStyle name="Comma 3 2 3 2 3 4" xfId="983"/>
    <cellStyle name="Comma 3 2 3 2 3 4 2" xfId="984"/>
    <cellStyle name="Comma 3 2 3 2 3 5" xfId="985"/>
    <cellStyle name="Comma 3 2 3 2 3 6" xfId="986"/>
    <cellStyle name="Comma 3 2 3 2 4" xfId="987"/>
    <cellStyle name="Comma 3 2 3 2 4 2" xfId="988"/>
    <cellStyle name="Comma 3 2 3 2 4 2 2" xfId="989"/>
    <cellStyle name="Comma 3 2 3 2 4 3" xfId="990"/>
    <cellStyle name="Comma 3 2 3 2 4 3 2" xfId="991"/>
    <cellStyle name="Comma 3 2 3 2 4 4" xfId="992"/>
    <cellStyle name="Comma 3 2 3 2 4 4 2" xfId="993"/>
    <cellStyle name="Comma 3 2 3 2 4 5" xfId="994"/>
    <cellStyle name="Comma 3 2 3 2 4 6" xfId="995"/>
    <cellStyle name="Comma 3 2 3 2 5" xfId="996"/>
    <cellStyle name="Comma 3 2 3 2 5 2" xfId="997"/>
    <cellStyle name="Comma 3 2 3 2 5 2 2" xfId="998"/>
    <cellStyle name="Comma 3 2 3 2 5 3" xfId="999"/>
    <cellStyle name="Comma 3 2 3 2 5 3 2" xfId="1000"/>
    <cellStyle name="Comma 3 2 3 2 5 4" xfId="1001"/>
    <cellStyle name="Comma 3 2 3 2 5 4 2" xfId="1002"/>
    <cellStyle name="Comma 3 2 3 2 5 5" xfId="1003"/>
    <cellStyle name="Comma 3 2 3 2 5 6" xfId="1004"/>
    <cellStyle name="Comma 3 2 3 2 6" xfId="1005"/>
    <cellStyle name="Comma 3 2 3 2 6 2" xfId="1006"/>
    <cellStyle name="Comma 3 2 3 2 6 2 2" xfId="1007"/>
    <cellStyle name="Comma 3 2 3 2 6 3" xfId="1008"/>
    <cellStyle name="Comma 3 2 3 2 6 3 2" xfId="1009"/>
    <cellStyle name="Comma 3 2 3 2 6 4" xfId="1010"/>
    <cellStyle name="Comma 3 2 3 2 6 5" xfId="1011"/>
    <cellStyle name="Comma 3 2 3 2 7" xfId="1012"/>
    <cellStyle name="Comma 3 2 3 2 7 2" xfId="1013"/>
    <cellStyle name="Comma 3 2 3 2 8" xfId="1014"/>
    <cellStyle name="Comma 3 2 3 2 8 2" xfId="1015"/>
    <cellStyle name="Comma 3 2 3 2 9" xfId="1016"/>
    <cellStyle name="Comma 3 2 3 2 9 2" xfId="1017"/>
    <cellStyle name="Comma 3 2 3 3" xfId="1018"/>
    <cellStyle name="Comma 3 2 3 3 10" xfId="1019"/>
    <cellStyle name="Comma 3 2 3 3 2" xfId="1020"/>
    <cellStyle name="Comma 3 2 3 3 2 2" xfId="1021"/>
    <cellStyle name="Comma 3 2 3 3 2 2 2" xfId="1022"/>
    <cellStyle name="Comma 3 2 3 3 2 3" xfId="1023"/>
    <cellStyle name="Comma 3 2 3 3 2 3 2" xfId="1024"/>
    <cellStyle name="Comma 3 2 3 3 2 4" xfId="1025"/>
    <cellStyle name="Comma 3 2 3 3 2 4 2" xfId="1026"/>
    <cellStyle name="Comma 3 2 3 3 2 5" xfId="1027"/>
    <cellStyle name="Comma 3 2 3 3 2 6" xfId="1028"/>
    <cellStyle name="Comma 3 2 3 3 3" xfId="1029"/>
    <cellStyle name="Comma 3 2 3 3 3 2" xfId="1030"/>
    <cellStyle name="Comma 3 2 3 3 3 2 2" xfId="1031"/>
    <cellStyle name="Comma 3 2 3 3 3 3" xfId="1032"/>
    <cellStyle name="Comma 3 2 3 3 3 3 2" xfId="1033"/>
    <cellStyle name="Comma 3 2 3 3 3 4" xfId="1034"/>
    <cellStyle name="Comma 3 2 3 3 3 4 2" xfId="1035"/>
    <cellStyle name="Comma 3 2 3 3 3 5" xfId="1036"/>
    <cellStyle name="Comma 3 2 3 3 3 6" xfId="1037"/>
    <cellStyle name="Comma 3 2 3 3 4" xfId="1038"/>
    <cellStyle name="Comma 3 2 3 3 4 2" xfId="1039"/>
    <cellStyle name="Comma 3 2 3 3 4 2 2" xfId="1040"/>
    <cellStyle name="Comma 3 2 3 3 4 3" xfId="1041"/>
    <cellStyle name="Comma 3 2 3 3 4 3 2" xfId="1042"/>
    <cellStyle name="Comma 3 2 3 3 4 4" xfId="1043"/>
    <cellStyle name="Comma 3 2 3 3 4 4 2" xfId="1044"/>
    <cellStyle name="Comma 3 2 3 3 4 5" xfId="1045"/>
    <cellStyle name="Comma 3 2 3 3 4 6" xfId="1046"/>
    <cellStyle name="Comma 3 2 3 3 5" xfId="1047"/>
    <cellStyle name="Comma 3 2 3 3 5 2" xfId="1048"/>
    <cellStyle name="Comma 3 2 3 3 5 2 2" xfId="1049"/>
    <cellStyle name="Comma 3 2 3 3 5 3" xfId="1050"/>
    <cellStyle name="Comma 3 2 3 3 5 3 2" xfId="1051"/>
    <cellStyle name="Comma 3 2 3 3 5 4" xfId="1052"/>
    <cellStyle name="Comma 3 2 3 3 5 5" xfId="1053"/>
    <cellStyle name="Comma 3 2 3 3 6" xfId="1054"/>
    <cellStyle name="Comma 3 2 3 3 6 2" xfId="1055"/>
    <cellStyle name="Comma 3 2 3 3 7" xfId="1056"/>
    <cellStyle name="Comma 3 2 3 3 7 2" xfId="1057"/>
    <cellStyle name="Comma 3 2 3 3 8" xfId="1058"/>
    <cellStyle name="Comma 3 2 3 3 8 2" xfId="1059"/>
    <cellStyle name="Comma 3 2 3 3 9" xfId="1060"/>
    <cellStyle name="Comma 3 2 3 4" xfId="1061"/>
    <cellStyle name="Comma 3 2 3 4 10" xfId="1062"/>
    <cellStyle name="Comma 3 2 3 4 2" xfId="1063"/>
    <cellStyle name="Comma 3 2 3 4 2 2" xfId="1064"/>
    <cellStyle name="Comma 3 2 3 4 2 2 2" xfId="1065"/>
    <cellStyle name="Comma 3 2 3 4 2 3" xfId="1066"/>
    <cellStyle name="Comma 3 2 3 4 2 3 2" xfId="1067"/>
    <cellStyle name="Comma 3 2 3 4 2 4" xfId="1068"/>
    <cellStyle name="Comma 3 2 3 4 2 4 2" xfId="1069"/>
    <cellStyle name="Comma 3 2 3 4 2 5" xfId="1070"/>
    <cellStyle name="Comma 3 2 3 4 2 6" xfId="1071"/>
    <cellStyle name="Comma 3 2 3 4 3" xfId="1072"/>
    <cellStyle name="Comma 3 2 3 4 3 2" xfId="1073"/>
    <cellStyle name="Comma 3 2 3 4 3 2 2" xfId="1074"/>
    <cellStyle name="Comma 3 2 3 4 3 3" xfId="1075"/>
    <cellStyle name="Comma 3 2 3 4 3 3 2" xfId="1076"/>
    <cellStyle name="Comma 3 2 3 4 3 4" xfId="1077"/>
    <cellStyle name="Comma 3 2 3 4 3 4 2" xfId="1078"/>
    <cellStyle name="Comma 3 2 3 4 3 5" xfId="1079"/>
    <cellStyle name="Comma 3 2 3 4 3 6" xfId="1080"/>
    <cellStyle name="Comma 3 2 3 4 4" xfId="1081"/>
    <cellStyle name="Comma 3 2 3 4 4 2" xfId="1082"/>
    <cellStyle name="Comma 3 2 3 4 4 2 2" xfId="1083"/>
    <cellStyle name="Comma 3 2 3 4 4 3" xfId="1084"/>
    <cellStyle name="Comma 3 2 3 4 4 3 2" xfId="1085"/>
    <cellStyle name="Comma 3 2 3 4 4 4" xfId="1086"/>
    <cellStyle name="Comma 3 2 3 4 4 4 2" xfId="1087"/>
    <cellStyle name="Comma 3 2 3 4 4 5" xfId="1088"/>
    <cellStyle name="Comma 3 2 3 4 4 6" xfId="1089"/>
    <cellStyle name="Comma 3 2 3 4 5" xfId="1090"/>
    <cellStyle name="Comma 3 2 3 4 5 2" xfId="1091"/>
    <cellStyle name="Comma 3 2 3 4 5 2 2" xfId="1092"/>
    <cellStyle name="Comma 3 2 3 4 5 3" xfId="1093"/>
    <cellStyle name="Comma 3 2 3 4 5 3 2" xfId="1094"/>
    <cellStyle name="Comma 3 2 3 4 5 4" xfId="1095"/>
    <cellStyle name="Comma 3 2 3 4 5 5" xfId="1096"/>
    <cellStyle name="Comma 3 2 3 4 6" xfId="1097"/>
    <cellStyle name="Comma 3 2 3 4 6 2" xfId="1098"/>
    <cellStyle name="Comma 3 2 3 4 7" xfId="1099"/>
    <cellStyle name="Comma 3 2 3 4 7 2" xfId="1100"/>
    <cellStyle name="Comma 3 2 3 4 8" xfId="1101"/>
    <cellStyle name="Comma 3 2 3 4 8 2" xfId="1102"/>
    <cellStyle name="Comma 3 2 3 4 9" xfId="1103"/>
    <cellStyle name="Comma 3 2 3 5" xfId="1104"/>
    <cellStyle name="Comma 3 2 3 5 2" xfId="1105"/>
    <cellStyle name="Comma 3 2 3 5 2 2" xfId="1106"/>
    <cellStyle name="Comma 3 2 3 5 3" xfId="1107"/>
    <cellStyle name="Comma 3 2 3 5 3 2" xfId="1108"/>
    <cellStyle name="Comma 3 2 3 5 4" xfId="1109"/>
    <cellStyle name="Comma 3 2 3 5 4 2" xfId="1110"/>
    <cellStyle name="Comma 3 2 3 5 5" xfId="1111"/>
    <cellStyle name="Comma 3 2 3 5 6" xfId="1112"/>
    <cellStyle name="Comma 3 2 3 6" xfId="1113"/>
    <cellStyle name="Comma 3 2 3 6 2" xfId="1114"/>
    <cellStyle name="Comma 3 2 3 6 2 2" xfId="1115"/>
    <cellStyle name="Comma 3 2 3 6 3" xfId="1116"/>
    <cellStyle name="Comma 3 2 3 6 3 2" xfId="1117"/>
    <cellStyle name="Comma 3 2 3 6 4" xfId="1118"/>
    <cellStyle name="Comma 3 2 3 6 4 2" xfId="1119"/>
    <cellStyle name="Comma 3 2 3 6 5" xfId="1120"/>
    <cellStyle name="Comma 3 2 3 6 6" xfId="1121"/>
    <cellStyle name="Comma 3 2 3 7" xfId="1122"/>
    <cellStyle name="Comma 3 2 3 7 2" xfId="1123"/>
    <cellStyle name="Comma 3 2 3 7 2 2" xfId="1124"/>
    <cellStyle name="Comma 3 2 3 7 3" xfId="1125"/>
    <cellStyle name="Comma 3 2 3 7 3 2" xfId="1126"/>
    <cellStyle name="Comma 3 2 3 7 4" xfId="1127"/>
    <cellStyle name="Comma 3 2 3 7 4 2" xfId="1128"/>
    <cellStyle name="Comma 3 2 3 7 5" xfId="1129"/>
    <cellStyle name="Comma 3 2 3 7 6" xfId="1130"/>
    <cellStyle name="Comma 3 2 3 8" xfId="1131"/>
    <cellStyle name="Comma 3 2 3 8 2" xfId="1132"/>
    <cellStyle name="Comma 3 2 3 8 2 2" xfId="1133"/>
    <cellStyle name="Comma 3 2 3 8 3" xfId="1134"/>
    <cellStyle name="Comma 3 2 3 8 3 2" xfId="1135"/>
    <cellStyle name="Comma 3 2 3 8 4" xfId="1136"/>
    <cellStyle name="Comma 3 2 3 8 5" xfId="1137"/>
    <cellStyle name="Comma 3 2 3 9" xfId="1138"/>
    <cellStyle name="Comma 3 2 3 9 2" xfId="1139"/>
    <cellStyle name="Comma 3 2 4" xfId="1140"/>
    <cellStyle name="Comma 3 2 4 10" xfId="1141"/>
    <cellStyle name="Comma 3 2 4 10 2" xfId="1142"/>
    <cellStyle name="Comma 3 2 4 11" xfId="1143"/>
    <cellStyle name="Comma 3 2 4 12" xfId="1144"/>
    <cellStyle name="Comma 3 2 4 2" xfId="1145"/>
    <cellStyle name="Comma 3 2 4 2 10" xfId="1146"/>
    <cellStyle name="Comma 3 2 4 2 2" xfId="1147"/>
    <cellStyle name="Comma 3 2 4 2 2 2" xfId="1148"/>
    <cellStyle name="Comma 3 2 4 2 2 2 2" xfId="1149"/>
    <cellStyle name="Comma 3 2 4 2 2 3" xfId="1150"/>
    <cellStyle name="Comma 3 2 4 2 2 3 2" xfId="1151"/>
    <cellStyle name="Comma 3 2 4 2 2 4" xfId="1152"/>
    <cellStyle name="Comma 3 2 4 2 2 4 2" xfId="1153"/>
    <cellStyle name="Comma 3 2 4 2 2 5" xfId="1154"/>
    <cellStyle name="Comma 3 2 4 2 2 6" xfId="1155"/>
    <cellStyle name="Comma 3 2 4 2 3" xfId="1156"/>
    <cellStyle name="Comma 3 2 4 2 3 2" xfId="1157"/>
    <cellStyle name="Comma 3 2 4 2 3 2 2" xfId="1158"/>
    <cellStyle name="Comma 3 2 4 2 3 3" xfId="1159"/>
    <cellStyle name="Comma 3 2 4 2 3 3 2" xfId="1160"/>
    <cellStyle name="Comma 3 2 4 2 3 4" xfId="1161"/>
    <cellStyle name="Comma 3 2 4 2 3 4 2" xfId="1162"/>
    <cellStyle name="Comma 3 2 4 2 3 5" xfId="1163"/>
    <cellStyle name="Comma 3 2 4 2 3 6" xfId="1164"/>
    <cellStyle name="Comma 3 2 4 2 4" xfId="1165"/>
    <cellStyle name="Comma 3 2 4 2 4 2" xfId="1166"/>
    <cellStyle name="Comma 3 2 4 2 4 2 2" xfId="1167"/>
    <cellStyle name="Comma 3 2 4 2 4 3" xfId="1168"/>
    <cellStyle name="Comma 3 2 4 2 4 3 2" xfId="1169"/>
    <cellStyle name="Comma 3 2 4 2 4 4" xfId="1170"/>
    <cellStyle name="Comma 3 2 4 2 4 4 2" xfId="1171"/>
    <cellStyle name="Comma 3 2 4 2 4 5" xfId="1172"/>
    <cellStyle name="Comma 3 2 4 2 4 6" xfId="1173"/>
    <cellStyle name="Comma 3 2 4 2 5" xfId="1174"/>
    <cellStyle name="Comma 3 2 4 2 5 2" xfId="1175"/>
    <cellStyle name="Comma 3 2 4 2 5 2 2" xfId="1176"/>
    <cellStyle name="Comma 3 2 4 2 5 3" xfId="1177"/>
    <cellStyle name="Comma 3 2 4 2 5 3 2" xfId="1178"/>
    <cellStyle name="Comma 3 2 4 2 5 4" xfId="1179"/>
    <cellStyle name="Comma 3 2 4 2 5 5" xfId="1180"/>
    <cellStyle name="Comma 3 2 4 2 6" xfId="1181"/>
    <cellStyle name="Comma 3 2 4 2 6 2" xfId="1182"/>
    <cellStyle name="Comma 3 2 4 2 7" xfId="1183"/>
    <cellStyle name="Comma 3 2 4 2 7 2" xfId="1184"/>
    <cellStyle name="Comma 3 2 4 2 8" xfId="1185"/>
    <cellStyle name="Comma 3 2 4 2 8 2" xfId="1186"/>
    <cellStyle name="Comma 3 2 4 2 9" xfId="1187"/>
    <cellStyle name="Comma 3 2 4 3" xfId="1188"/>
    <cellStyle name="Comma 3 2 4 3 10" xfId="1189"/>
    <cellStyle name="Comma 3 2 4 3 2" xfId="1190"/>
    <cellStyle name="Comma 3 2 4 3 2 2" xfId="1191"/>
    <cellStyle name="Comma 3 2 4 3 2 2 2" xfId="1192"/>
    <cellStyle name="Comma 3 2 4 3 2 3" xfId="1193"/>
    <cellStyle name="Comma 3 2 4 3 2 3 2" xfId="1194"/>
    <cellStyle name="Comma 3 2 4 3 2 4" xfId="1195"/>
    <cellStyle name="Comma 3 2 4 3 2 4 2" xfId="1196"/>
    <cellStyle name="Comma 3 2 4 3 2 5" xfId="1197"/>
    <cellStyle name="Comma 3 2 4 3 2 6" xfId="1198"/>
    <cellStyle name="Comma 3 2 4 3 3" xfId="1199"/>
    <cellStyle name="Comma 3 2 4 3 3 2" xfId="1200"/>
    <cellStyle name="Comma 3 2 4 3 3 2 2" xfId="1201"/>
    <cellStyle name="Comma 3 2 4 3 3 3" xfId="1202"/>
    <cellStyle name="Comma 3 2 4 3 3 3 2" xfId="1203"/>
    <cellStyle name="Comma 3 2 4 3 3 4" xfId="1204"/>
    <cellStyle name="Comma 3 2 4 3 3 4 2" xfId="1205"/>
    <cellStyle name="Comma 3 2 4 3 3 5" xfId="1206"/>
    <cellStyle name="Comma 3 2 4 3 3 6" xfId="1207"/>
    <cellStyle name="Comma 3 2 4 3 4" xfId="1208"/>
    <cellStyle name="Comma 3 2 4 3 4 2" xfId="1209"/>
    <cellStyle name="Comma 3 2 4 3 4 2 2" xfId="1210"/>
    <cellStyle name="Comma 3 2 4 3 4 3" xfId="1211"/>
    <cellStyle name="Comma 3 2 4 3 4 3 2" xfId="1212"/>
    <cellStyle name="Comma 3 2 4 3 4 4" xfId="1213"/>
    <cellStyle name="Comma 3 2 4 3 4 4 2" xfId="1214"/>
    <cellStyle name="Comma 3 2 4 3 4 5" xfId="1215"/>
    <cellStyle name="Comma 3 2 4 3 4 6" xfId="1216"/>
    <cellStyle name="Comma 3 2 4 3 5" xfId="1217"/>
    <cellStyle name="Comma 3 2 4 3 5 2" xfId="1218"/>
    <cellStyle name="Comma 3 2 4 3 5 2 2" xfId="1219"/>
    <cellStyle name="Comma 3 2 4 3 5 3" xfId="1220"/>
    <cellStyle name="Comma 3 2 4 3 5 3 2" xfId="1221"/>
    <cellStyle name="Comma 3 2 4 3 5 4" xfId="1222"/>
    <cellStyle name="Comma 3 2 4 3 5 5" xfId="1223"/>
    <cellStyle name="Comma 3 2 4 3 6" xfId="1224"/>
    <cellStyle name="Comma 3 2 4 3 6 2" xfId="1225"/>
    <cellStyle name="Comma 3 2 4 3 7" xfId="1226"/>
    <cellStyle name="Comma 3 2 4 3 7 2" xfId="1227"/>
    <cellStyle name="Comma 3 2 4 3 8" xfId="1228"/>
    <cellStyle name="Comma 3 2 4 3 8 2" xfId="1229"/>
    <cellStyle name="Comma 3 2 4 3 9" xfId="1230"/>
    <cellStyle name="Comma 3 2 4 4" xfId="1231"/>
    <cellStyle name="Comma 3 2 4 4 2" xfId="1232"/>
    <cellStyle name="Comma 3 2 4 4 2 2" xfId="1233"/>
    <cellStyle name="Comma 3 2 4 4 3" xfId="1234"/>
    <cellStyle name="Comma 3 2 4 4 3 2" xfId="1235"/>
    <cellStyle name="Comma 3 2 4 4 4" xfId="1236"/>
    <cellStyle name="Comma 3 2 4 4 4 2" xfId="1237"/>
    <cellStyle name="Comma 3 2 4 4 5" xfId="1238"/>
    <cellStyle name="Comma 3 2 4 4 6" xfId="1239"/>
    <cellStyle name="Comma 3 2 4 5" xfId="1240"/>
    <cellStyle name="Comma 3 2 4 5 2" xfId="1241"/>
    <cellStyle name="Comma 3 2 4 5 2 2" xfId="1242"/>
    <cellStyle name="Comma 3 2 4 5 3" xfId="1243"/>
    <cellStyle name="Comma 3 2 4 5 3 2" xfId="1244"/>
    <cellStyle name="Comma 3 2 4 5 4" xfId="1245"/>
    <cellStyle name="Comma 3 2 4 5 4 2" xfId="1246"/>
    <cellStyle name="Comma 3 2 4 5 5" xfId="1247"/>
    <cellStyle name="Comma 3 2 4 5 6" xfId="1248"/>
    <cellStyle name="Comma 3 2 4 6" xfId="1249"/>
    <cellStyle name="Comma 3 2 4 6 2" xfId="1250"/>
    <cellStyle name="Comma 3 2 4 6 2 2" xfId="1251"/>
    <cellStyle name="Comma 3 2 4 6 3" xfId="1252"/>
    <cellStyle name="Comma 3 2 4 6 3 2" xfId="1253"/>
    <cellStyle name="Comma 3 2 4 6 4" xfId="1254"/>
    <cellStyle name="Comma 3 2 4 6 4 2" xfId="1255"/>
    <cellStyle name="Comma 3 2 4 6 5" xfId="1256"/>
    <cellStyle name="Comma 3 2 4 6 6" xfId="1257"/>
    <cellStyle name="Comma 3 2 4 7" xfId="1258"/>
    <cellStyle name="Comma 3 2 4 7 2" xfId="1259"/>
    <cellStyle name="Comma 3 2 4 7 2 2" xfId="1260"/>
    <cellStyle name="Comma 3 2 4 7 3" xfId="1261"/>
    <cellStyle name="Comma 3 2 4 7 3 2" xfId="1262"/>
    <cellStyle name="Comma 3 2 4 7 4" xfId="1263"/>
    <cellStyle name="Comma 3 2 4 7 5" xfId="1264"/>
    <cellStyle name="Comma 3 2 4 8" xfId="1265"/>
    <cellStyle name="Comma 3 2 4 8 2" xfId="1266"/>
    <cellStyle name="Comma 3 2 4 9" xfId="1267"/>
    <cellStyle name="Comma 3 2 4 9 2" xfId="1268"/>
    <cellStyle name="Comma 3 2 5" xfId="1269"/>
    <cellStyle name="Comma 3 2 5 10" xfId="1270"/>
    <cellStyle name="Comma 3 2 5 11" xfId="1271"/>
    <cellStyle name="Comma 3 2 5 2" xfId="1272"/>
    <cellStyle name="Comma 3 2 5 2 2" xfId="1273"/>
    <cellStyle name="Comma 3 2 5 2 2 2" xfId="1274"/>
    <cellStyle name="Comma 3 2 5 2 3" xfId="1275"/>
    <cellStyle name="Comma 3 2 5 2 3 2" xfId="1276"/>
    <cellStyle name="Comma 3 2 5 2 4" xfId="1277"/>
    <cellStyle name="Comma 3 2 5 2 4 2" xfId="1278"/>
    <cellStyle name="Comma 3 2 5 2 5" xfId="1279"/>
    <cellStyle name="Comma 3 2 5 2 6" xfId="1280"/>
    <cellStyle name="Comma 3 2 5 3" xfId="1281"/>
    <cellStyle name="Comma 3 2 5 3 2" xfId="1282"/>
    <cellStyle name="Comma 3 2 5 3 2 2" xfId="1283"/>
    <cellStyle name="Comma 3 2 5 3 3" xfId="1284"/>
    <cellStyle name="Comma 3 2 5 3 3 2" xfId="1285"/>
    <cellStyle name="Comma 3 2 5 3 4" xfId="1286"/>
    <cellStyle name="Comma 3 2 5 3 4 2" xfId="1287"/>
    <cellStyle name="Comma 3 2 5 3 5" xfId="1288"/>
    <cellStyle name="Comma 3 2 5 3 6" xfId="1289"/>
    <cellStyle name="Comma 3 2 5 4" xfId="1290"/>
    <cellStyle name="Comma 3 2 5 4 2" xfId="1291"/>
    <cellStyle name="Comma 3 2 5 4 2 2" xfId="1292"/>
    <cellStyle name="Comma 3 2 5 4 3" xfId="1293"/>
    <cellStyle name="Comma 3 2 5 4 3 2" xfId="1294"/>
    <cellStyle name="Comma 3 2 5 4 4" xfId="1295"/>
    <cellStyle name="Comma 3 2 5 4 4 2" xfId="1296"/>
    <cellStyle name="Comma 3 2 5 4 5" xfId="1297"/>
    <cellStyle name="Comma 3 2 5 4 6" xfId="1298"/>
    <cellStyle name="Comma 3 2 5 5" xfId="1299"/>
    <cellStyle name="Comma 3 2 5 5 2" xfId="1300"/>
    <cellStyle name="Comma 3 2 5 5 2 2" xfId="1301"/>
    <cellStyle name="Comma 3 2 5 5 3" xfId="1302"/>
    <cellStyle name="Comma 3 2 5 5 3 2" xfId="1303"/>
    <cellStyle name="Comma 3 2 5 5 4" xfId="1304"/>
    <cellStyle name="Comma 3 2 5 5 4 2" xfId="1305"/>
    <cellStyle name="Comma 3 2 5 5 5" xfId="1306"/>
    <cellStyle name="Comma 3 2 5 5 6" xfId="1307"/>
    <cellStyle name="Comma 3 2 5 6" xfId="1308"/>
    <cellStyle name="Comma 3 2 5 6 2" xfId="1309"/>
    <cellStyle name="Comma 3 2 5 6 2 2" xfId="1310"/>
    <cellStyle name="Comma 3 2 5 6 3" xfId="1311"/>
    <cellStyle name="Comma 3 2 5 6 3 2" xfId="1312"/>
    <cellStyle name="Comma 3 2 5 6 4" xfId="1313"/>
    <cellStyle name="Comma 3 2 5 6 5" xfId="1314"/>
    <cellStyle name="Comma 3 2 5 7" xfId="1315"/>
    <cellStyle name="Comma 3 2 5 7 2" xfId="1316"/>
    <cellStyle name="Comma 3 2 5 8" xfId="1317"/>
    <cellStyle name="Comma 3 2 5 8 2" xfId="1318"/>
    <cellStyle name="Comma 3 2 5 9" xfId="1319"/>
    <cellStyle name="Comma 3 2 5 9 2" xfId="1320"/>
    <cellStyle name="Comma 3 2 6" xfId="1321"/>
    <cellStyle name="Comma 3 2 6 10" xfId="1322"/>
    <cellStyle name="Comma 3 2 6 2" xfId="1323"/>
    <cellStyle name="Comma 3 2 6 2 2" xfId="1324"/>
    <cellStyle name="Comma 3 2 6 2 2 2" xfId="1325"/>
    <cellStyle name="Comma 3 2 6 2 3" xfId="1326"/>
    <cellStyle name="Comma 3 2 6 2 3 2" xfId="1327"/>
    <cellStyle name="Comma 3 2 6 2 4" xfId="1328"/>
    <cellStyle name="Comma 3 2 6 2 4 2" xfId="1329"/>
    <cellStyle name="Comma 3 2 6 2 5" xfId="1330"/>
    <cellStyle name="Comma 3 2 6 2 6" xfId="1331"/>
    <cellStyle name="Comma 3 2 6 3" xfId="1332"/>
    <cellStyle name="Comma 3 2 6 3 2" xfId="1333"/>
    <cellStyle name="Comma 3 2 6 3 2 2" xfId="1334"/>
    <cellStyle name="Comma 3 2 6 3 3" xfId="1335"/>
    <cellStyle name="Comma 3 2 6 3 3 2" xfId="1336"/>
    <cellStyle name="Comma 3 2 6 3 4" xfId="1337"/>
    <cellStyle name="Comma 3 2 6 3 4 2" xfId="1338"/>
    <cellStyle name="Comma 3 2 6 3 5" xfId="1339"/>
    <cellStyle name="Comma 3 2 6 3 6" xfId="1340"/>
    <cellStyle name="Comma 3 2 6 4" xfId="1341"/>
    <cellStyle name="Comma 3 2 6 4 2" xfId="1342"/>
    <cellStyle name="Comma 3 2 6 4 2 2" xfId="1343"/>
    <cellStyle name="Comma 3 2 6 4 3" xfId="1344"/>
    <cellStyle name="Comma 3 2 6 4 3 2" xfId="1345"/>
    <cellStyle name="Comma 3 2 6 4 4" xfId="1346"/>
    <cellStyle name="Comma 3 2 6 4 4 2" xfId="1347"/>
    <cellStyle name="Comma 3 2 6 4 5" xfId="1348"/>
    <cellStyle name="Comma 3 2 6 4 6" xfId="1349"/>
    <cellStyle name="Comma 3 2 6 5" xfId="1350"/>
    <cellStyle name="Comma 3 2 6 5 2" xfId="1351"/>
    <cellStyle name="Comma 3 2 6 5 2 2" xfId="1352"/>
    <cellStyle name="Comma 3 2 6 5 3" xfId="1353"/>
    <cellStyle name="Comma 3 2 6 5 3 2" xfId="1354"/>
    <cellStyle name="Comma 3 2 6 5 4" xfId="1355"/>
    <cellStyle name="Comma 3 2 6 5 5" xfId="1356"/>
    <cellStyle name="Comma 3 2 6 6" xfId="1357"/>
    <cellStyle name="Comma 3 2 6 6 2" xfId="1358"/>
    <cellStyle name="Comma 3 2 6 7" xfId="1359"/>
    <cellStyle name="Comma 3 2 6 7 2" xfId="1360"/>
    <cellStyle name="Comma 3 2 6 8" xfId="1361"/>
    <cellStyle name="Comma 3 2 6 8 2" xfId="1362"/>
    <cellStyle name="Comma 3 2 6 9" xfId="1363"/>
    <cellStyle name="Comma 3 2 7" xfId="1364"/>
    <cellStyle name="Comma 3 2 7 10" xfId="1365"/>
    <cellStyle name="Comma 3 2 7 2" xfId="1366"/>
    <cellStyle name="Comma 3 2 7 2 2" xfId="1367"/>
    <cellStyle name="Comma 3 2 7 2 2 2" xfId="1368"/>
    <cellStyle name="Comma 3 2 7 2 3" xfId="1369"/>
    <cellStyle name="Comma 3 2 7 2 3 2" xfId="1370"/>
    <cellStyle name="Comma 3 2 7 2 4" xfId="1371"/>
    <cellStyle name="Comma 3 2 7 2 4 2" xfId="1372"/>
    <cellStyle name="Comma 3 2 7 2 5" xfId="1373"/>
    <cellStyle name="Comma 3 2 7 2 6" xfId="1374"/>
    <cellStyle name="Comma 3 2 7 3" xfId="1375"/>
    <cellStyle name="Comma 3 2 7 3 2" xfId="1376"/>
    <cellStyle name="Comma 3 2 7 3 2 2" xfId="1377"/>
    <cellStyle name="Comma 3 2 7 3 3" xfId="1378"/>
    <cellStyle name="Comma 3 2 7 3 3 2" xfId="1379"/>
    <cellStyle name="Comma 3 2 7 3 4" xfId="1380"/>
    <cellStyle name="Comma 3 2 7 3 4 2" xfId="1381"/>
    <cellStyle name="Comma 3 2 7 3 5" xfId="1382"/>
    <cellStyle name="Comma 3 2 7 3 6" xfId="1383"/>
    <cellStyle name="Comma 3 2 7 4" xfId="1384"/>
    <cellStyle name="Comma 3 2 7 4 2" xfId="1385"/>
    <cellStyle name="Comma 3 2 7 4 2 2" xfId="1386"/>
    <cellStyle name="Comma 3 2 7 4 3" xfId="1387"/>
    <cellStyle name="Comma 3 2 7 4 3 2" xfId="1388"/>
    <cellStyle name="Comma 3 2 7 4 4" xfId="1389"/>
    <cellStyle name="Comma 3 2 7 4 4 2" xfId="1390"/>
    <cellStyle name="Comma 3 2 7 4 5" xfId="1391"/>
    <cellStyle name="Comma 3 2 7 4 6" xfId="1392"/>
    <cellStyle name="Comma 3 2 7 5" xfId="1393"/>
    <cellStyle name="Comma 3 2 7 5 2" xfId="1394"/>
    <cellStyle name="Comma 3 2 7 5 2 2" xfId="1395"/>
    <cellStyle name="Comma 3 2 7 5 3" xfId="1396"/>
    <cellStyle name="Comma 3 2 7 5 3 2" xfId="1397"/>
    <cellStyle name="Comma 3 2 7 5 4" xfId="1398"/>
    <cellStyle name="Comma 3 2 7 5 5" xfId="1399"/>
    <cellStyle name="Comma 3 2 7 6" xfId="1400"/>
    <cellStyle name="Comma 3 2 7 6 2" xfId="1401"/>
    <cellStyle name="Comma 3 2 7 7" xfId="1402"/>
    <cellStyle name="Comma 3 2 7 7 2" xfId="1403"/>
    <cellStyle name="Comma 3 2 7 8" xfId="1404"/>
    <cellStyle name="Comma 3 2 7 8 2" xfId="1405"/>
    <cellStyle name="Comma 3 2 7 9" xfId="1406"/>
    <cellStyle name="Comma 3 2 8" xfId="1407"/>
    <cellStyle name="Comma 3 2 8 2" xfId="1408"/>
    <cellStyle name="Comma 3 2 8 2 2" xfId="1409"/>
    <cellStyle name="Comma 3 2 8 3" xfId="1410"/>
    <cellStyle name="Comma 3 2 8 3 2" xfId="1411"/>
    <cellStyle name="Comma 3 2 8 4" xfId="1412"/>
    <cellStyle name="Comma 3 2 8 4 2" xfId="1413"/>
    <cellStyle name="Comma 3 2 8 5" xfId="1414"/>
    <cellStyle name="Comma 3 2 8 6" xfId="1415"/>
    <cellStyle name="Comma 3 2 9" xfId="1416"/>
    <cellStyle name="Comma 3 2 9 2" xfId="1417"/>
    <cellStyle name="Comma 3 2 9 2 2" xfId="1418"/>
    <cellStyle name="Comma 3 2 9 3" xfId="1419"/>
    <cellStyle name="Comma 3 2 9 3 2" xfId="1420"/>
    <cellStyle name="Comma 3 2 9 4" xfId="1421"/>
    <cellStyle name="Comma 3 2 9 4 2" xfId="1422"/>
    <cellStyle name="Comma 3 2 9 5" xfId="1423"/>
    <cellStyle name="Comma 3 2 9 6" xfId="1424"/>
    <cellStyle name="Comma 3 3" xfId="1425"/>
    <cellStyle name="Comma 3 3 10" xfId="1426"/>
    <cellStyle name="Comma 3 3 10 2" xfId="1427"/>
    <cellStyle name="Comma 3 3 10 2 2" xfId="1428"/>
    <cellStyle name="Comma 3 3 10 3" xfId="1429"/>
    <cellStyle name="Comma 3 3 10 3 2" xfId="1430"/>
    <cellStyle name="Comma 3 3 10 4" xfId="1431"/>
    <cellStyle name="Comma 3 3 11" xfId="1432"/>
    <cellStyle name="Comma 3 3 11 2" xfId="1433"/>
    <cellStyle name="Comma 3 3 11 3" xfId="1434"/>
    <cellStyle name="Comma 3 3 12" xfId="1435"/>
    <cellStyle name="Comma 3 3 12 2" xfId="1436"/>
    <cellStyle name="Comma 3 3 13" xfId="1437"/>
    <cellStyle name="Comma 3 3 13 2" xfId="1438"/>
    <cellStyle name="Comma 3 3 14" xfId="1439"/>
    <cellStyle name="Comma 3 3 15" xfId="1440"/>
    <cellStyle name="Comma 3 3 2" xfId="1441"/>
    <cellStyle name="Comma 3 3 2 10" xfId="1442"/>
    <cellStyle name="Comma 3 3 2 10 2" xfId="1443"/>
    <cellStyle name="Comma 3 3 2 11" xfId="1444"/>
    <cellStyle name="Comma 3 3 2 11 2" xfId="1445"/>
    <cellStyle name="Comma 3 3 2 12" xfId="1446"/>
    <cellStyle name="Comma 3 3 2 2" xfId="1447"/>
    <cellStyle name="Comma 3 3 2 2 10" xfId="1448"/>
    <cellStyle name="Comma 3 3 2 2 2" xfId="1449"/>
    <cellStyle name="Comma 3 3 2 2 2 2" xfId="1450"/>
    <cellStyle name="Comma 3 3 2 2 2 2 2" xfId="1451"/>
    <cellStyle name="Comma 3 3 2 2 2 2 2 2" xfId="1452"/>
    <cellStyle name="Comma 3 3 2 2 2 2 2 3" xfId="1453"/>
    <cellStyle name="Comma 3 3 2 2 2 2 3" xfId="1454"/>
    <cellStyle name="Comma 3 3 2 2 2 2 3 2" xfId="1455"/>
    <cellStyle name="Comma 3 3 2 2 2 2 4" xfId="1456"/>
    <cellStyle name="Comma 3 3 2 2 2 2 4 2" xfId="1457"/>
    <cellStyle name="Comma 3 3 2 2 2 2 5" xfId="1458"/>
    <cellStyle name="Comma 3 3 2 2 2 3" xfId="1459"/>
    <cellStyle name="Comma 3 3 2 2 2 3 2" xfId="1460"/>
    <cellStyle name="Comma 3 3 2 2 2 3 2 2" xfId="1461"/>
    <cellStyle name="Comma 3 3 2 2 2 3 3" xfId="1462"/>
    <cellStyle name="Comma 3 3 2 2 2 3 3 2" xfId="1463"/>
    <cellStyle name="Comma 3 3 2 2 2 3 4" xfId="1464"/>
    <cellStyle name="Comma 3 3 2 2 2 4" xfId="1465"/>
    <cellStyle name="Comma 3 3 2 2 2 4 2" xfId="1466"/>
    <cellStyle name="Comma 3 3 2 2 2 4 3" xfId="1467"/>
    <cellStyle name="Comma 3 3 2 2 2 5" xfId="1468"/>
    <cellStyle name="Comma 3 3 2 2 2 5 2" xfId="1469"/>
    <cellStyle name="Comma 3 3 2 2 2 6" xfId="1470"/>
    <cellStyle name="Comma 3 3 2 2 2 6 2" xfId="1471"/>
    <cellStyle name="Comma 3 3 2 2 2 7" xfId="1472"/>
    <cellStyle name="Comma 3 3 2 2 3" xfId="1473"/>
    <cellStyle name="Comma 3 3 2 2 3 2" xfId="1474"/>
    <cellStyle name="Comma 3 3 2 2 3 2 2" xfId="1475"/>
    <cellStyle name="Comma 3 3 2 2 3 2 2 2" xfId="1476"/>
    <cellStyle name="Comma 3 3 2 2 3 2 2 3" xfId="1477"/>
    <cellStyle name="Comma 3 3 2 2 3 2 3" xfId="1478"/>
    <cellStyle name="Comma 3 3 2 2 3 2 3 2" xfId="1479"/>
    <cellStyle name="Comma 3 3 2 2 3 2 4" xfId="1480"/>
    <cellStyle name="Comma 3 3 2 2 3 2 4 2" xfId="1481"/>
    <cellStyle name="Comma 3 3 2 2 3 2 5" xfId="1482"/>
    <cellStyle name="Comma 3 3 2 2 3 3" xfId="1483"/>
    <cellStyle name="Comma 3 3 2 2 3 3 2" xfId="1484"/>
    <cellStyle name="Comma 3 3 2 2 3 3 2 2" xfId="1485"/>
    <cellStyle name="Comma 3 3 2 2 3 3 3" xfId="1486"/>
    <cellStyle name="Comma 3 3 2 2 3 3 3 2" xfId="1487"/>
    <cellStyle name="Comma 3 3 2 2 3 3 4" xfId="1488"/>
    <cellStyle name="Comma 3 3 2 2 3 4" xfId="1489"/>
    <cellStyle name="Comma 3 3 2 2 3 4 2" xfId="1490"/>
    <cellStyle name="Comma 3 3 2 2 3 4 3" xfId="1491"/>
    <cellStyle name="Comma 3 3 2 2 3 5" xfId="1492"/>
    <cellStyle name="Comma 3 3 2 2 3 5 2" xfId="1493"/>
    <cellStyle name="Comma 3 3 2 2 3 6" xfId="1494"/>
    <cellStyle name="Comma 3 3 2 2 3 6 2" xfId="1495"/>
    <cellStyle name="Comma 3 3 2 2 3 7" xfId="1496"/>
    <cellStyle name="Comma 3 3 2 2 4" xfId="1497"/>
    <cellStyle name="Comma 3 3 2 2 4 2" xfId="1498"/>
    <cellStyle name="Comma 3 3 2 2 4 2 2" xfId="1499"/>
    <cellStyle name="Comma 3 3 2 2 4 2 2 2" xfId="1500"/>
    <cellStyle name="Comma 3 3 2 2 4 2 3" xfId="1501"/>
    <cellStyle name="Comma 3 3 2 2 4 2 3 2" xfId="1502"/>
    <cellStyle name="Comma 3 3 2 2 4 2 4" xfId="1503"/>
    <cellStyle name="Comma 3 3 2 2 4 3" xfId="1504"/>
    <cellStyle name="Comma 3 3 2 2 4 3 2" xfId="1505"/>
    <cellStyle name="Comma 3 3 2 2 4 3 3" xfId="1506"/>
    <cellStyle name="Comma 3 3 2 2 4 4" xfId="1507"/>
    <cellStyle name="Comma 3 3 2 2 4 4 2" xfId="1508"/>
    <cellStyle name="Comma 3 3 2 2 4 5" xfId="1509"/>
    <cellStyle name="Comma 3 3 2 2 4 5 2" xfId="1510"/>
    <cellStyle name="Comma 3 3 2 2 4 6" xfId="1511"/>
    <cellStyle name="Comma 3 3 2 2 5" xfId="1512"/>
    <cellStyle name="Comma 3 3 2 2 5 2" xfId="1513"/>
    <cellStyle name="Comma 3 3 2 2 5 2 2" xfId="1514"/>
    <cellStyle name="Comma 3 3 2 2 5 3" xfId="1515"/>
    <cellStyle name="Comma 3 3 2 2 5 3 2" xfId="1516"/>
    <cellStyle name="Comma 3 3 2 2 5 4" xfId="1517"/>
    <cellStyle name="Comma 3 3 2 2 6" xfId="1518"/>
    <cellStyle name="Comma 3 3 2 2 6 2" xfId="1519"/>
    <cellStyle name="Comma 3 3 2 2 6 2 2" xfId="1520"/>
    <cellStyle name="Comma 3 3 2 2 6 3" xfId="1521"/>
    <cellStyle name="Comma 3 3 2 2 6 3 2" xfId="1522"/>
    <cellStyle name="Comma 3 3 2 2 6 4" xfId="1523"/>
    <cellStyle name="Comma 3 3 2 2 7" xfId="1524"/>
    <cellStyle name="Comma 3 3 2 2 7 2" xfId="1525"/>
    <cellStyle name="Comma 3 3 2 2 7 3" xfId="1526"/>
    <cellStyle name="Comma 3 3 2 2 8" xfId="1527"/>
    <cellStyle name="Comma 3 3 2 2 8 2" xfId="1528"/>
    <cellStyle name="Comma 3 3 2 2 9" xfId="1529"/>
    <cellStyle name="Comma 3 3 2 2 9 2" xfId="1530"/>
    <cellStyle name="Comma 3 3 2 3" xfId="1531"/>
    <cellStyle name="Comma 3 3 2 3 2" xfId="1532"/>
    <cellStyle name="Comma 3 3 2 3 2 2" xfId="1533"/>
    <cellStyle name="Comma 3 3 2 3 2 2 2" xfId="1534"/>
    <cellStyle name="Comma 3 3 2 3 2 2 2 2" xfId="1535"/>
    <cellStyle name="Comma 3 3 2 3 2 2 2 3" xfId="1536"/>
    <cellStyle name="Comma 3 3 2 3 2 2 3" xfId="1537"/>
    <cellStyle name="Comma 3 3 2 3 2 2 3 2" xfId="1538"/>
    <cellStyle name="Comma 3 3 2 3 2 2 4" xfId="1539"/>
    <cellStyle name="Comma 3 3 2 3 2 2 4 2" xfId="1540"/>
    <cellStyle name="Comma 3 3 2 3 2 2 5" xfId="1541"/>
    <cellStyle name="Comma 3 3 2 3 2 3" xfId="1542"/>
    <cellStyle name="Comma 3 3 2 3 2 3 2" xfId="1543"/>
    <cellStyle name="Comma 3 3 2 3 2 3 2 2" xfId="1544"/>
    <cellStyle name="Comma 3 3 2 3 2 3 3" xfId="1545"/>
    <cellStyle name="Comma 3 3 2 3 2 3 3 2" xfId="1546"/>
    <cellStyle name="Comma 3 3 2 3 2 3 4" xfId="1547"/>
    <cellStyle name="Comma 3 3 2 3 2 4" xfId="1548"/>
    <cellStyle name="Comma 3 3 2 3 2 4 2" xfId="1549"/>
    <cellStyle name="Comma 3 3 2 3 2 4 3" xfId="1550"/>
    <cellStyle name="Comma 3 3 2 3 2 5" xfId="1551"/>
    <cellStyle name="Comma 3 3 2 3 2 5 2" xfId="1552"/>
    <cellStyle name="Comma 3 3 2 3 2 6" xfId="1553"/>
    <cellStyle name="Comma 3 3 2 3 2 6 2" xfId="1554"/>
    <cellStyle name="Comma 3 3 2 3 2 7" xfId="1555"/>
    <cellStyle name="Comma 3 3 2 3 3" xfId="1556"/>
    <cellStyle name="Comma 3 3 2 3 3 2" xfId="1557"/>
    <cellStyle name="Comma 3 3 2 3 3 2 2" xfId="1558"/>
    <cellStyle name="Comma 3 3 2 3 3 2 3" xfId="1559"/>
    <cellStyle name="Comma 3 3 2 3 3 3" xfId="1560"/>
    <cellStyle name="Comma 3 3 2 3 3 3 2" xfId="1561"/>
    <cellStyle name="Comma 3 3 2 3 3 4" xfId="1562"/>
    <cellStyle name="Comma 3 3 2 3 3 4 2" xfId="1563"/>
    <cellStyle name="Comma 3 3 2 3 3 5" xfId="1564"/>
    <cellStyle name="Comma 3 3 2 3 4" xfId="1565"/>
    <cellStyle name="Comma 3 3 2 3 4 2" xfId="1566"/>
    <cellStyle name="Comma 3 3 2 3 4 2 2" xfId="1567"/>
    <cellStyle name="Comma 3 3 2 3 4 3" xfId="1568"/>
    <cellStyle name="Comma 3 3 2 3 4 3 2" xfId="1569"/>
    <cellStyle name="Comma 3 3 2 3 4 4" xfId="1570"/>
    <cellStyle name="Comma 3 3 2 3 5" xfId="1571"/>
    <cellStyle name="Comma 3 3 2 3 5 2" xfId="1572"/>
    <cellStyle name="Comma 3 3 2 3 5 3" xfId="1573"/>
    <cellStyle name="Comma 3 3 2 3 6" xfId="1574"/>
    <cellStyle name="Comma 3 3 2 3 6 2" xfId="1575"/>
    <cellStyle name="Comma 3 3 2 3 7" xfId="1576"/>
    <cellStyle name="Comma 3 3 2 3 7 2" xfId="1577"/>
    <cellStyle name="Comma 3 3 2 3 8" xfId="1578"/>
    <cellStyle name="Comma 3 3 2 4" xfId="1579"/>
    <cellStyle name="Comma 3 3 2 4 2" xfId="1580"/>
    <cellStyle name="Comma 3 3 2 4 2 2" xfId="1581"/>
    <cellStyle name="Comma 3 3 2 4 2 2 2" xfId="1582"/>
    <cellStyle name="Comma 3 3 2 4 2 2 3" xfId="1583"/>
    <cellStyle name="Comma 3 3 2 4 2 3" xfId="1584"/>
    <cellStyle name="Comma 3 3 2 4 2 3 2" xfId="1585"/>
    <cellStyle name="Comma 3 3 2 4 2 4" xfId="1586"/>
    <cellStyle name="Comma 3 3 2 4 2 4 2" xfId="1587"/>
    <cellStyle name="Comma 3 3 2 4 2 5" xfId="1588"/>
    <cellStyle name="Comma 3 3 2 4 3" xfId="1589"/>
    <cellStyle name="Comma 3 3 2 4 3 2" xfId="1590"/>
    <cellStyle name="Comma 3 3 2 4 3 2 2" xfId="1591"/>
    <cellStyle name="Comma 3 3 2 4 3 3" xfId="1592"/>
    <cellStyle name="Comma 3 3 2 4 3 3 2" xfId="1593"/>
    <cellStyle name="Comma 3 3 2 4 3 4" xfId="1594"/>
    <cellStyle name="Comma 3 3 2 4 4" xfId="1595"/>
    <cellStyle name="Comma 3 3 2 4 4 2" xfId="1596"/>
    <cellStyle name="Comma 3 3 2 4 4 3" xfId="1597"/>
    <cellStyle name="Comma 3 3 2 4 5" xfId="1598"/>
    <cellStyle name="Comma 3 3 2 4 5 2" xfId="1599"/>
    <cellStyle name="Comma 3 3 2 4 6" xfId="1600"/>
    <cellStyle name="Comma 3 3 2 4 6 2" xfId="1601"/>
    <cellStyle name="Comma 3 3 2 4 7" xfId="1602"/>
    <cellStyle name="Comma 3 3 2 5" xfId="1603"/>
    <cellStyle name="Comma 3 3 2 5 2" xfId="1604"/>
    <cellStyle name="Comma 3 3 2 5 2 2" xfId="1605"/>
    <cellStyle name="Comma 3 3 2 5 2 2 2" xfId="1606"/>
    <cellStyle name="Comma 3 3 2 5 2 2 3" xfId="1607"/>
    <cellStyle name="Comma 3 3 2 5 2 3" xfId="1608"/>
    <cellStyle name="Comma 3 3 2 5 2 3 2" xfId="1609"/>
    <cellStyle name="Comma 3 3 2 5 2 4" xfId="1610"/>
    <cellStyle name="Comma 3 3 2 5 2 4 2" xfId="1611"/>
    <cellStyle name="Comma 3 3 2 5 2 5" xfId="1612"/>
    <cellStyle name="Comma 3 3 2 5 3" xfId="1613"/>
    <cellStyle name="Comma 3 3 2 5 3 2" xfId="1614"/>
    <cellStyle name="Comma 3 3 2 5 3 2 2" xfId="1615"/>
    <cellStyle name="Comma 3 3 2 5 3 3" xfId="1616"/>
    <cellStyle name="Comma 3 3 2 5 3 3 2" xfId="1617"/>
    <cellStyle name="Comma 3 3 2 5 3 4" xfId="1618"/>
    <cellStyle name="Comma 3 3 2 5 4" xfId="1619"/>
    <cellStyle name="Comma 3 3 2 5 4 2" xfId="1620"/>
    <cellStyle name="Comma 3 3 2 5 4 3" xfId="1621"/>
    <cellStyle name="Comma 3 3 2 5 5" xfId="1622"/>
    <cellStyle name="Comma 3 3 2 5 5 2" xfId="1623"/>
    <cellStyle name="Comma 3 3 2 5 6" xfId="1624"/>
    <cellStyle name="Comma 3 3 2 5 6 2" xfId="1625"/>
    <cellStyle name="Comma 3 3 2 5 7" xfId="1626"/>
    <cellStyle name="Comma 3 3 2 6" xfId="1627"/>
    <cellStyle name="Comma 3 3 2 6 2" xfId="1628"/>
    <cellStyle name="Comma 3 3 2 6 2 2" xfId="1629"/>
    <cellStyle name="Comma 3 3 2 6 2 2 2" xfId="1630"/>
    <cellStyle name="Comma 3 3 2 6 2 3" xfId="1631"/>
    <cellStyle name="Comma 3 3 2 6 2 3 2" xfId="1632"/>
    <cellStyle name="Comma 3 3 2 6 2 4" xfId="1633"/>
    <cellStyle name="Comma 3 3 2 6 3" xfId="1634"/>
    <cellStyle name="Comma 3 3 2 6 3 2" xfId="1635"/>
    <cellStyle name="Comma 3 3 2 6 3 3" xfId="1636"/>
    <cellStyle name="Comma 3 3 2 6 4" xfId="1637"/>
    <cellStyle name="Comma 3 3 2 6 4 2" xfId="1638"/>
    <cellStyle name="Comma 3 3 2 6 5" xfId="1639"/>
    <cellStyle name="Comma 3 3 2 6 5 2" xfId="1640"/>
    <cellStyle name="Comma 3 3 2 6 6" xfId="1641"/>
    <cellStyle name="Comma 3 3 2 7" xfId="1642"/>
    <cellStyle name="Comma 3 3 2 7 2" xfId="1643"/>
    <cellStyle name="Comma 3 3 2 7 2 2" xfId="1644"/>
    <cellStyle name="Comma 3 3 2 7 3" xfId="1645"/>
    <cellStyle name="Comma 3 3 2 7 3 2" xfId="1646"/>
    <cellStyle name="Comma 3 3 2 7 4" xfId="1647"/>
    <cellStyle name="Comma 3 3 2 8" xfId="1648"/>
    <cellStyle name="Comma 3 3 2 8 2" xfId="1649"/>
    <cellStyle name="Comma 3 3 2 8 2 2" xfId="1650"/>
    <cellStyle name="Comma 3 3 2 8 3" xfId="1651"/>
    <cellStyle name="Comma 3 3 2 8 3 2" xfId="1652"/>
    <cellStyle name="Comma 3 3 2 8 4" xfId="1653"/>
    <cellStyle name="Comma 3 3 2 9" xfId="1654"/>
    <cellStyle name="Comma 3 3 2 9 2" xfId="1655"/>
    <cellStyle name="Comma 3 3 2 9 3" xfId="1656"/>
    <cellStyle name="Comma 3 3 3" xfId="1657"/>
    <cellStyle name="Comma 3 3 3 10" xfId="1658"/>
    <cellStyle name="Comma 3 3 3 10 2" xfId="1659"/>
    <cellStyle name="Comma 3 3 3 11" xfId="1660"/>
    <cellStyle name="Comma 3 3 3 2" xfId="1661"/>
    <cellStyle name="Comma 3 3 3 2 2" xfId="1662"/>
    <cellStyle name="Comma 3 3 3 2 2 2" xfId="1663"/>
    <cellStyle name="Comma 3 3 3 2 2 2 2" xfId="1664"/>
    <cellStyle name="Comma 3 3 3 2 2 2 2 2" xfId="1665"/>
    <cellStyle name="Comma 3 3 3 2 2 2 2 3" xfId="1666"/>
    <cellStyle name="Comma 3 3 3 2 2 2 3" xfId="1667"/>
    <cellStyle name="Comma 3 3 3 2 2 2 3 2" xfId="1668"/>
    <cellStyle name="Comma 3 3 3 2 2 2 4" xfId="1669"/>
    <cellStyle name="Comma 3 3 3 2 2 2 4 2" xfId="1670"/>
    <cellStyle name="Comma 3 3 3 2 2 2 5" xfId="1671"/>
    <cellStyle name="Comma 3 3 3 2 2 3" xfId="1672"/>
    <cellStyle name="Comma 3 3 3 2 2 3 2" xfId="1673"/>
    <cellStyle name="Comma 3 3 3 2 2 3 2 2" xfId="1674"/>
    <cellStyle name="Comma 3 3 3 2 2 3 3" xfId="1675"/>
    <cellStyle name="Comma 3 3 3 2 2 3 3 2" xfId="1676"/>
    <cellStyle name="Comma 3 3 3 2 2 3 4" xfId="1677"/>
    <cellStyle name="Comma 3 3 3 2 2 4" xfId="1678"/>
    <cellStyle name="Comma 3 3 3 2 2 4 2" xfId="1679"/>
    <cellStyle name="Comma 3 3 3 2 2 4 3" xfId="1680"/>
    <cellStyle name="Comma 3 3 3 2 2 5" xfId="1681"/>
    <cellStyle name="Comma 3 3 3 2 2 5 2" xfId="1682"/>
    <cellStyle name="Comma 3 3 3 2 2 6" xfId="1683"/>
    <cellStyle name="Comma 3 3 3 2 2 6 2" xfId="1684"/>
    <cellStyle name="Comma 3 3 3 2 2 7" xfId="1685"/>
    <cellStyle name="Comma 3 3 3 2 3" xfId="1686"/>
    <cellStyle name="Comma 3 3 3 2 3 2" xfId="1687"/>
    <cellStyle name="Comma 3 3 3 2 3 2 2" xfId="1688"/>
    <cellStyle name="Comma 3 3 3 2 3 2 3" xfId="1689"/>
    <cellStyle name="Comma 3 3 3 2 3 3" xfId="1690"/>
    <cellStyle name="Comma 3 3 3 2 3 3 2" xfId="1691"/>
    <cellStyle name="Comma 3 3 3 2 3 4" xfId="1692"/>
    <cellStyle name="Comma 3 3 3 2 3 4 2" xfId="1693"/>
    <cellStyle name="Comma 3 3 3 2 3 5" xfId="1694"/>
    <cellStyle name="Comma 3 3 3 2 4" xfId="1695"/>
    <cellStyle name="Comma 3 3 3 2 4 2" xfId="1696"/>
    <cellStyle name="Comma 3 3 3 2 4 2 2" xfId="1697"/>
    <cellStyle name="Comma 3 3 3 2 4 3" xfId="1698"/>
    <cellStyle name="Comma 3 3 3 2 4 3 2" xfId="1699"/>
    <cellStyle name="Comma 3 3 3 2 4 4" xfId="1700"/>
    <cellStyle name="Comma 3 3 3 2 5" xfId="1701"/>
    <cellStyle name="Comma 3 3 3 2 5 2" xfId="1702"/>
    <cellStyle name="Comma 3 3 3 2 5 3" xfId="1703"/>
    <cellStyle name="Comma 3 3 3 2 6" xfId="1704"/>
    <cellStyle name="Comma 3 3 3 2 6 2" xfId="1705"/>
    <cellStyle name="Comma 3 3 3 2 7" xfId="1706"/>
    <cellStyle name="Comma 3 3 3 2 7 2" xfId="1707"/>
    <cellStyle name="Comma 3 3 3 2 8" xfId="1708"/>
    <cellStyle name="Comma 3 3 3 3" xfId="1709"/>
    <cellStyle name="Comma 3 3 3 3 2" xfId="1710"/>
    <cellStyle name="Comma 3 3 3 3 2 2" xfId="1711"/>
    <cellStyle name="Comma 3 3 3 3 2 2 2" xfId="1712"/>
    <cellStyle name="Comma 3 3 3 3 2 2 3" xfId="1713"/>
    <cellStyle name="Comma 3 3 3 3 2 3" xfId="1714"/>
    <cellStyle name="Comma 3 3 3 3 2 3 2" xfId="1715"/>
    <cellStyle name="Comma 3 3 3 3 2 4" xfId="1716"/>
    <cellStyle name="Comma 3 3 3 3 2 4 2" xfId="1717"/>
    <cellStyle name="Comma 3 3 3 3 2 5" xfId="1718"/>
    <cellStyle name="Comma 3 3 3 3 3" xfId="1719"/>
    <cellStyle name="Comma 3 3 3 3 3 2" xfId="1720"/>
    <cellStyle name="Comma 3 3 3 3 3 2 2" xfId="1721"/>
    <cellStyle name="Comma 3 3 3 3 3 3" xfId="1722"/>
    <cellStyle name="Comma 3 3 3 3 3 3 2" xfId="1723"/>
    <cellStyle name="Comma 3 3 3 3 3 4" xfId="1724"/>
    <cellStyle name="Comma 3 3 3 3 4" xfId="1725"/>
    <cellStyle name="Comma 3 3 3 3 4 2" xfId="1726"/>
    <cellStyle name="Comma 3 3 3 3 4 3" xfId="1727"/>
    <cellStyle name="Comma 3 3 3 3 5" xfId="1728"/>
    <cellStyle name="Comma 3 3 3 3 5 2" xfId="1729"/>
    <cellStyle name="Comma 3 3 3 3 6" xfId="1730"/>
    <cellStyle name="Comma 3 3 3 3 6 2" xfId="1731"/>
    <cellStyle name="Comma 3 3 3 3 7" xfId="1732"/>
    <cellStyle name="Comma 3 3 3 4" xfId="1733"/>
    <cellStyle name="Comma 3 3 3 4 2" xfId="1734"/>
    <cellStyle name="Comma 3 3 3 4 2 2" xfId="1735"/>
    <cellStyle name="Comma 3 3 3 4 2 2 2" xfId="1736"/>
    <cellStyle name="Comma 3 3 3 4 2 2 3" xfId="1737"/>
    <cellStyle name="Comma 3 3 3 4 2 3" xfId="1738"/>
    <cellStyle name="Comma 3 3 3 4 2 3 2" xfId="1739"/>
    <cellStyle name="Comma 3 3 3 4 2 4" xfId="1740"/>
    <cellStyle name="Comma 3 3 3 4 2 4 2" xfId="1741"/>
    <cellStyle name="Comma 3 3 3 4 2 5" xfId="1742"/>
    <cellStyle name="Comma 3 3 3 4 3" xfId="1743"/>
    <cellStyle name="Comma 3 3 3 4 3 2" xfId="1744"/>
    <cellStyle name="Comma 3 3 3 4 3 2 2" xfId="1745"/>
    <cellStyle name="Comma 3 3 3 4 3 3" xfId="1746"/>
    <cellStyle name="Comma 3 3 3 4 3 3 2" xfId="1747"/>
    <cellStyle name="Comma 3 3 3 4 3 4" xfId="1748"/>
    <cellStyle name="Comma 3 3 3 4 4" xfId="1749"/>
    <cellStyle name="Comma 3 3 3 4 4 2" xfId="1750"/>
    <cellStyle name="Comma 3 3 3 4 4 3" xfId="1751"/>
    <cellStyle name="Comma 3 3 3 4 5" xfId="1752"/>
    <cellStyle name="Comma 3 3 3 4 5 2" xfId="1753"/>
    <cellStyle name="Comma 3 3 3 4 6" xfId="1754"/>
    <cellStyle name="Comma 3 3 3 4 6 2" xfId="1755"/>
    <cellStyle name="Comma 3 3 3 4 7" xfId="1756"/>
    <cellStyle name="Comma 3 3 3 5" xfId="1757"/>
    <cellStyle name="Comma 3 3 3 5 2" xfId="1758"/>
    <cellStyle name="Comma 3 3 3 5 2 2" xfId="1759"/>
    <cellStyle name="Comma 3 3 3 5 2 2 2" xfId="1760"/>
    <cellStyle name="Comma 3 3 3 5 2 3" xfId="1761"/>
    <cellStyle name="Comma 3 3 3 5 2 3 2" xfId="1762"/>
    <cellStyle name="Comma 3 3 3 5 2 4" xfId="1763"/>
    <cellStyle name="Comma 3 3 3 5 3" xfId="1764"/>
    <cellStyle name="Comma 3 3 3 5 3 2" xfId="1765"/>
    <cellStyle name="Comma 3 3 3 5 3 3" xfId="1766"/>
    <cellStyle name="Comma 3 3 3 5 4" xfId="1767"/>
    <cellStyle name="Comma 3 3 3 5 4 2" xfId="1768"/>
    <cellStyle name="Comma 3 3 3 5 5" xfId="1769"/>
    <cellStyle name="Comma 3 3 3 5 5 2" xfId="1770"/>
    <cellStyle name="Comma 3 3 3 5 6" xfId="1771"/>
    <cellStyle name="Comma 3 3 3 6" xfId="1772"/>
    <cellStyle name="Comma 3 3 3 6 2" xfId="1773"/>
    <cellStyle name="Comma 3 3 3 6 2 2" xfId="1774"/>
    <cellStyle name="Comma 3 3 3 6 3" xfId="1775"/>
    <cellStyle name="Comma 3 3 3 6 3 2" xfId="1776"/>
    <cellStyle name="Comma 3 3 3 6 4" xfId="1777"/>
    <cellStyle name="Comma 3 3 3 7" xfId="1778"/>
    <cellStyle name="Comma 3 3 3 7 2" xfId="1779"/>
    <cellStyle name="Comma 3 3 3 7 2 2" xfId="1780"/>
    <cellStyle name="Comma 3 3 3 7 3" xfId="1781"/>
    <cellStyle name="Comma 3 3 3 7 3 2" xfId="1782"/>
    <cellStyle name="Comma 3 3 3 7 4" xfId="1783"/>
    <cellStyle name="Comma 3 3 3 8" xfId="1784"/>
    <cellStyle name="Comma 3 3 3 8 2" xfId="1785"/>
    <cellStyle name="Comma 3 3 3 8 3" xfId="1786"/>
    <cellStyle name="Comma 3 3 3 9" xfId="1787"/>
    <cellStyle name="Comma 3 3 3 9 2" xfId="1788"/>
    <cellStyle name="Comma 3 3 4" xfId="1789"/>
    <cellStyle name="Comma 3 3 4 10" xfId="1790"/>
    <cellStyle name="Comma 3 3 4 2" xfId="1791"/>
    <cellStyle name="Comma 3 3 4 2 2" xfId="1792"/>
    <cellStyle name="Comma 3 3 4 2 2 2" xfId="1793"/>
    <cellStyle name="Comma 3 3 4 2 2 2 2" xfId="1794"/>
    <cellStyle name="Comma 3 3 4 2 2 2 3" xfId="1795"/>
    <cellStyle name="Comma 3 3 4 2 2 3" xfId="1796"/>
    <cellStyle name="Comma 3 3 4 2 2 3 2" xfId="1797"/>
    <cellStyle name="Comma 3 3 4 2 2 4" xfId="1798"/>
    <cellStyle name="Comma 3 3 4 2 2 4 2" xfId="1799"/>
    <cellStyle name="Comma 3 3 4 2 2 5" xfId="1800"/>
    <cellStyle name="Comma 3 3 4 2 3" xfId="1801"/>
    <cellStyle name="Comma 3 3 4 2 3 2" xfId="1802"/>
    <cellStyle name="Comma 3 3 4 2 3 2 2" xfId="1803"/>
    <cellStyle name="Comma 3 3 4 2 3 3" xfId="1804"/>
    <cellStyle name="Comma 3 3 4 2 3 3 2" xfId="1805"/>
    <cellStyle name="Comma 3 3 4 2 3 4" xfId="1806"/>
    <cellStyle name="Comma 3 3 4 2 4" xfId="1807"/>
    <cellStyle name="Comma 3 3 4 2 4 2" xfId="1808"/>
    <cellStyle name="Comma 3 3 4 2 4 3" xfId="1809"/>
    <cellStyle name="Comma 3 3 4 2 5" xfId="1810"/>
    <cellStyle name="Comma 3 3 4 2 5 2" xfId="1811"/>
    <cellStyle name="Comma 3 3 4 2 6" xfId="1812"/>
    <cellStyle name="Comma 3 3 4 2 6 2" xfId="1813"/>
    <cellStyle name="Comma 3 3 4 2 7" xfId="1814"/>
    <cellStyle name="Comma 3 3 4 3" xfId="1815"/>
    <cellStyle name="Comma 3 3 4 3 2" xfId="1816"/>
    <cellStyle name="Comma 3 3 4 3 2 2" xfId="1817"/>
    <cellStyle name="Comma 3 3 4 3 2 2 2" xfId="1818"/>
    <cellStyle name="Comma 3 3 4 3 2 2 3" xfId="1819"/>
    <cellStyle name="Comma 3 3 4 3 2 3" xfId="1820"/>
    <cellStyle name="Comma 3 3 4 3 2 3 2" xfId="1821"/>
    <cellStyle name="Comma 3 3 4 3 2 4" xfId="1822"/>
    <cellStyle name="Comma 3 3 4 3 2 4 2" xfId="1823"/>
    <cellStyle name="Comma 3 3 4 3 2 5" xfId="1824"/>
    <cellStyle name="Comma 3 3 4 3 3" xfId="1825"/>
    <cellStyle name="Comma 3 3 4 3 3 2" xfId="1826"/>
    <cellStyle name="Comma 3 3 4 3 3 2 2" xfId="1827"/>
    <cellStyle name="Comma 3 3 4 3 3 3" xfId="1828"/>
    <cellStyle name="Comma 3 3 4 3 3 3 2" xfId="1829"/>
    <cellStyle name="Comma 3 3 4 3 3 4" xfId="1830"/>
    <cellStyle name="Comma 3 3 4 3 4" xfId="1831"/>
    <cellStyle name="Comma 3 3 4 3 4 2" xfId="1832"/>
    <cellStyle name="Comma 3 3 4 3 4 3" xfId="1833"/>
    <cellStyle name="Comma 3 3 4 3 5" xfId="1834"/>
    <cellStyle name="Comma 3 3 4 3 5 2" xfId="1835"/>
    <cellStyle name="Comma 3 3 4 3 6" xfId="1836"/>
    <cellStyle name="Comma 3 3 4 3 6 2" xfId="1837"/>
    <cellStyle name="Comma 3 3 4 3 7" xfId="1838"/>
    <cellStyle name="Comma 3 3 4 4" xfId="1839"/>
    <cellStyle name="Comma 3 3 4 4 2" xfId="1840"/>
    <cellStyle name="Comma 3 3 4 4 2 2" xfId="1841"/>
    <cellStyle name="Comma 3 3 4 4 2 2 2" xfId="1842"/>
    <cellStyle name="Comma 3 3 4 4 2 3" xfId="1843"/>
    <cellStyle name="Comma 3 3 4 4 2 3 2" xfId="1844"/>
    <cellStyle name="Comma 3 3 4 4 2 4" xfId="1845"/>
    <cellStyle name="Comma 3 3 4 4 3" xfId="1846"/>
    <cellStyle name="Comma 3 3 4 4 3 2" xfId="1847"/>
    <cellStyle name="Comma 3 3 4 4 3 3" xfId="1848"/>
    <cellStyle name="Comma 3 3 4 4 4" xfId="1849"/>
    <cellStyle name="Comma 3 3 4 4 4 2" xfId="1850"/>
    <cellStyle name="Comma 3 3 4 4 5" xfId="1851"/>
    <cellStyle name="Comma 3 3 4 4 5 2" xfId="1852"/>
    <cellStyle name="Comma 3 3 4 4 6" xfId="1853"/>
    <cellStyle name="Comma 3 3 4 5" xfId="1854"/>
    <cellStyle name="Comma 3 3 4 5 2" xfId="1855"/>
    <cellStyle name="Comma 3 3 4 5 2 2" xfId="1856"/>
    <cellStyle name="Comma 3 3 4 5 3" xfId="1857"/>
    <cellStyle name="Comma 3 3 4 5 3 2" xfId="1858"/>
    <cellStyle name="Comma 3 3 4 5 4" xfId="1859"/>
    <cellStyle name="Comma 3 3 4 6" xfId="1860"/>
    <cellStyle name="Comma 3 3 4 6 2" xfId="1861"/>
    <cellStyle name="Comma 3 3 4 6 2 2" xfId="1862"/>
    <cellStyle name="Comma 3 3 4 6 3" xfId="1863"/>
    <cellStyle name="Comma 3 3 4 6 3 2" xfId="1864"/>
    <cellStyle name="Comma 3 3 4 6 4" xfId="1865"/>
    <cellStyle name="Comma 3 3 4 7" xfId="1866"/>
    <cellStyle name="Comma 3 3 4 7 2" xfId="1867"/>
    <cellStyle name="Comma 3 3 4 7 3" xfId="1868"/>
    <cellStyle name="Comma 3 3 4 8" xfId="1869"/>
    <cellStyle name="Comma 3 3 4 8 2" xfId="1870"/>
    <cellStyle name="Comma 3 3 4 9" xfId="1871"/>
    <cellStyle name="Comma 3 3 4 9 2" xfId="1872"/>
    <cellStyle name="Comma 3 3 5" xfId="1873"/>
    <cellStyle name="Comma 3 3 5 2" xfId="1874"/>
    <cellStyle name="Comma 3 3 5 2 2" xfId="1875"/>
    <cellStyle name="Comma 3 3 5 2 2 2" xfId="1876"/>
    <cellStyle name="Comma 3 3 5 2 2 2 2" xfId="1877"/>
    <cellStyle name="Comma 3 3 5 2 2 2 3" xfId="1878"/>
    <cellStyle name="Comma 3 3 5 2 2 3" xfId="1879"/>
    <cellStyle name="Comma 3 3 5 2 2 3 2" xfId="1880"/>
    <cellStyle name="Comma 3 3 5 2 2 4" xfId="1881"/>
    <cellStyle name="Comma 3 3 5 2 2 4 2" xfId="1882"/>
    <cellStyle name="Comma 3 3 5 2 2 5" xfId="1883"/>
    <cellStyle name="Comma 3 3 5 2 3" xfId="1884"/>
    <cellStyle name="Comma 3 3 5 2 3 2" xfId="1885"/>
    <cellStyle name="Comma 3 3 5 2 3 2 2" xfId="1886"/>
    <cellStyle name="Comma 3 3 5 2 3 3" xfId="1887"/>
    <cellStyle name="Comma 3 3 5 2 3 3 2" xfId="1888"/>
    <cellStyle name="Comma 3 3 5 2 3 4" xfId="1889"/>
    <cellStyle name="Comma 3 3 5 2 4" xfId="1890"/>
    <cellStyle name="Comma 3 3 5 2 4 2" xfId="1891"/>
    <cellStyle name="Comma 3 3 5 2 4 3" xfId="1892"/>
    <cellStyle name="Comma 3 3 5 2 5" xfId="1893"/>
    <cellStyle name="Comma 3 3 5 2 5 2" xfId="1894"/>
    <cellStyle name="Comma 3 3 5 2 6" xfId="1895"/>
    <cellStyle name="Comma 3 3 5 2 6 2" xfId="1896"/>
    <cellStyle name="Comma 3 3 5 2 7" xfId="1897"/>
    <cellStyle name="Comma 3 3 5 3" xfId="1898"/>
    <cellStyle name="Comma 3 3 5 3 2" xfId="1899"/>
    <cellStyle name="Comma 3 3 5 3 2 2" xfId="1900"/>
    <cellStyle name="Comma 3 3 5 3 2 3" xfId="1901"/>
    <cellStyle name="Comma 3 3 5 3 3" xfId="1902"/>
    <cellStyle name="Comma 3 3 5 3 3 2" xfId="1903"/>
    <cellStyle name="Comma 3 3 5 3 4" xfId="1904"/>
    <cellStyle name="Comma 3 3 5 3 4 2" xfId="1905"/>
    <cellStyle name="Comma 3 3 5 3 5" xfId="1906"/>
    <cellStyle name="Comma 3 3 5 4" xfId="1907"/>
    <cellStyle name="Comma 3 3 5 4 2" xfId="1908"/>
    <cellStyle name="Comma 3 3 5 4 2 2" xfId="1909"/>
    <cellStyle name="Comma 3 3 5 4 3" xfId="1910"/>
    <cellStyle name="Comma 3 3 5 4 3 2" xfId="1911"/>
    <cellStyle name="Comma 3 3 5 4 4" xfId="1912"/>
    <cellStyle name="Comma 3 3 5 5" xfId="1913"/>
    <cellStyle name="Comma 3 3 5 5 2" xfId="1914"/>
    <cellStyle name="Comma 3 3 5 5 3" xfId="1915"/>
    <cellStyle name="Comma 3 3 5 6" xfId="1916"/>
    <cellStyle name="Comma 3 3 5 6 2" xfId="1917"/>
    <cellStyle name="Comma 3 3 5 7" xfId="1918"/>
    <cellStyle name="Comma 3 3 5 7 2" xfId="1919"/>
    <cellStyle name="Comma 3 3 5 8" xfId="1920"/>
    <cellStyle name="Comma 3 3 6" xfId="1921"/>
    <cellStyle name="Comma 3 3 6 2" xfId="1922"/>
    <cellStyle name="Comma 3 3 6 2 2" xfId="1923"/>
    <cellStyle name="Comma 3 3 6 2 2 2" xfId="1924"/>
    <cellStyle name="Comma 3 3 6 2 2 3" xfId="1925"/>
    <cellStyle name="Comma 3 3 6 2 3" xfId="1926"/>
    <cellStyle name="Comma 3 3 6 2 3 2" xfId="1927"/>
    <cellStyle name="Comma 3 3 6 2 4" xfId="1928"/>
    <cellStyle name="Comma 3 3 6 2 4 2" xfId="1929"/>
    <cellStyle name="Comma 3 3 6 2 5" xfId="1930"/>
    <cellStyle name="Comma 3 3 6 3" xfId="1931"/>
    <cellStyle name="Comma 3 3 6 3 2" xfId="1932"/>
    <cellStyle name="Comma 3 3 6 3 2 2" xfId="1933"/>
    <cellStyle name="Comma 3 3 6 3 3" xfId="1934"/>
    <cellStyle name="Comma 3 3 6 3 3 2" xfId="1935"/>
    <cellStyle name="Comma 3 3 6 3 4" xfId="1936"/>
    <cellStyle name="Comma 3 3 6 4" xfId="1937"/>
    <cellStyle name="Comma 3 3 6 4 2" xfId="1938"/>
    <cellStyle name="Comma 3 3 6 4 3" xfId="1939"/>
    <cellStyle name="Comma 3 3 6 5" xfId="1940"/>
    <cellStyle name="Comma 3 3 6 5 2" xfId="1941"/>
    <cellStyle name="Comma 3 3 6 6" xfId="1942"/>
    <cellStyle name="Comma 3 3 6 6 2" xfId="1943"/>
    <cellStyle name="Comma 3 3 6 7" xfId="1944"/>
    <cellStyle name="Comma 3 3 7" xfId="1945"/>
    <cellStyle name="Comma 3 3 7 2" xfId="1946"/>
    <cellStyle name="Comma 3 3 7 2 2" xfId="1947"/>
    <cellStyle name="Comma 3 3 7 2 2 2" xfId="1948"/>
    <cellStyle name="Comma 3 3 7 2 2 3" xfId="1949"/>
    <cellStyle name="Comma 3 3 7 2 3" xfId="1950"/>
    <cellStyle name="Comma 3 3 7 2 3 2" xfId="1951"/>
    <cellStyle name="Comma 3 3 7 2 4" xfId="1952"/>
    <cellStyle name="Comma 3 3 7 2 4 2" xfId="1953"/>
    <cellStyle name="Comma 3 3 7 2 5" xfId="1954"/>
    <cellStyle name="Comma 3 3 7 3" xfId="1955"/>
    <cellStyle name="Comma 3 3 7 3 2" xfId="1956"/>
    <cellStyle name="Comma 3 3 7 3 2 2" xfId="1957"/>
    <cellStyle name="Comma 3 3 7 3 3" xfId="1958"/>
    <cellStyle name="Comma 3 3 7 3 3 2" xfId="1959"/>
    <cellStyle name="Comma 3 3 7 3 4" xfId="1960"/>
    <cellStyle name="Comma 3 3 7 4" xfId="1961"/>
    <cellStyle name="Comma 3 3 7 4 2" xfId="1962"/>
    <cellStyle name="Comma 3 3 7 4 3" xfId="1963"/>
    <cellStyle name="Comma 3 3 7 5" xfId="1964"/>
    <cellStyle name="Comma 3 3 7 5 2" xfId="1965"/>
    <cellStyle name="Comma 3 3 7 6" xfId="1966"/>
    <cellStyle name="Comma 3 3 7 6 2" xfId="1967"/>
    <cellStyle name="Comma 3 3 7 7" xfId="1968"/>
    <cellStyle name="Comma 3 3 8" xfId="1969"/>
    <cellStyle name="Comma 3 3 8 2" xfId="1970"/>
    <cellStyle name="Comma 3 3 8 2 2" xfId="1971"/>
    <cellStyle name="Comma 3 3 8 2 2 2" xfId="1972"/>
    <cellStyle name="Comma 3 3 8 2 3" xfId="1973"/>
    <cellStyle name="Comma 3 3 8 2 3 2" xfId="1974"/>
    <cellStyle name="Comma 3 3 8 2 4" xfId="1975"/>
    <cellStyle name="Comma 3 3 8 3" xfId="1976"/>
    <cellStyle name="Comma 3 3 8 3 2" xfId="1977"/>
    <cellStyle name="Comma 3 3 8 3 3" xfId="1978"/>
    <cellStyle name="Comma 3 3 8 4" xfId="1979"/>
    <cellStyle name="Comma 3 3 8 4 2" xfId="1980"/>
    <cellStyle name="Comma 3 3 8 5" xfId="1981"/>
    <cellStyle name="Comma 3 3 8 5 2" xfId="1982"/>
    <cellStyle name="Comma 3 3 8 6" xfId="1983"/>
    <cellStyle name="Comma 3 3 9" xfId="1984"/>
    <cellStyle name="Comma 3 3 9 2" xfId="1985"/>
    <cellStyle name="Comma 3 3 9 2 2" xfId="1986"/>
    <cellStyle name="Comma 3 3 9 3" xfId="1987"/>
    <cellStyle name="Comma 3 3 9 3 2" xfId="1988"/>
    <cellStyle name="Comma 3 3 9 4" xfId="1989"/>
    <cellStyle name="Comma 3 4" xfId="1990"/>
    <cellStyle name="Comma 3 4 10" xfId="1991"/>
    <cellStyle name="Comma 3 4 10 2" xfId="1992"/>
    <cellStyle name="Comma 3 4 11" xfId="1993"/>
    <cellStyle name="Comma 3 4 12" xfId="1994"/>
    <cellStyle name="Comma 3 4 2" xfId="1995"/>
    <cellStyle name="Comma 3 4 2 2" xfId="1996"/>
    <cellStyle name="Comma 3 4 2 2 2" xfId="1997"/>
    <cellStyle name="Comma 3 4 2 2 2 2" xfId="1998"/>
    <cellStyle name="Comma 3 4 2 2 2 2 2" xfId="1999"/>
    <cellStyle name="Comma 3 4 2 2 2 2 3" xfId="2000"/>
    <cellStyle name="Comma 3 4 2 2 2 3" xfId="2001"/>
    <cellStyle name="Comma 3 4 2 2 2 3 2" xfId="2002"/>
    <cellStyle name="Comma 3 4 2 2 2 4" xfId="2003"/>
    <cellStyle name="Comma 3 4 2 2 2 4 2" xfId="2004"/>
    <cellStyle name="Comma 3 4 2 2 2 5" xfId="2005"/>
    <cellStyle name="Comma 3 4 2 2 3" xfId="2006"/>
    <cellStyle name="Comma 3 4 2 2 3 2" xfId="2007"/>
    <cellStyle name="Comma 3 4 2 2 3 2 2" xfId="2008"/>
    <cellStyle name="Comma 3 4 2 2 3 3" xfId="2009"/>
    <cellStyle name="Comma 3 4 2 2 3 3 2" xfId="2010"/>
    <cellStyle name="Comma 3 4 2 2 3 4" xfId="2011"/>
    <cellStyle name="Comma 3 4 2 2 4" xfId="2012"/>
    <cellStyle name="Comma 3 4 2 2 4 2" xfId="2013"/>
    <cellStyle name="Comma 3 4 2 2 4 3" xfId="2014"/>
    <cellStyle name="Comma 3 4 2 2 5" xfId="2015"/>
    <cellStyle name="Comma 3 4 2 2 5 2" xfId="2016"/>
    <cellStyle name="Comma 3 4 2 2 6" xfId="2017"/>
    <cellStyle name="Comma 3 4 2 2 6 2" xfId="2018"/>
    <cellStyle name="Comma 3 4 2 2 7" xfId="2019"/>
    <cellStyle name="Comma 3 4 2 3" xfId="2020"/>
    <cellStyle name="Comma 3 4 2 3 2" xfId="2021"/>
    <cellStyle name="Comma 3 4 2 3 2 2" xfId="2022"/>
    <cellStyle name="Comma 3 4 2 3 2 3" xfId="2023"/>
    <cellStyle name="Comma 3 4 2 3 3" xfId="2024"/>
    <cellStyle name="Comma 3 4 2 3 3 2" xfId="2025"/>
    <cellStyle name="Comma 3 4 2 3 4" xfId="2026"/>
    <cellStyle name="Comma 3 4 2 3 4 2" xfId="2027"/>
    <cellStyle name="Comma 3 4 2 3 5" xfId="2028"/>
    <cellStyle name="Comma 3 4 2 4" xfId="2029"/>
    <cellStyle name="Comma 3 4 2 4 2" xfId="2030"/>
    <cellStyle name="Comma 3 4 2 4 2 2" xfId="2031"/>
    <cellStyle name="Comma 3 4 2 4 3" xfId="2032"/>
    <cellStyle name="Comma 3 4 2 4 3 2" xfId="2033"/>
    <cellStyle name="Comma 3 4 2 4 4" xfId="2034"/>
    <cellStyle name="Comma 3 4 2 5" xfId="2035"/>
    <cellStyle name="Comma 3 4 2 5 2" xfId="2036"/>
    <cellStyle name="Comma 3 4 2 5 3" xfId="2037"/>
    <cellStyle name="Comma 3 4 2 6" xfId="2038"/>
    <cellStyle name="Comma 3 4 2 6 2" xfId="2039"/>
    <cellStyle name="Comma 3 4 2 7" xfId="2040"/>
    <cellStyle name="Comma 3 4 2 7 2" xfId="2041"/>
    <cellStyle name="Comma 3 4 2 8" xfId="2042"/>
    <cellStyle name="Comma 3 4 3" xfId="2043"/>
    <cellStyle name="Comma 3 4 3 2" xfId="2044"/>
    <cellStyle name="Comma 3 4 3 2 2" xfId="2045"/>
    <cellStyle name="Comma 3 4 3 2 2 2" xfId="2046"/>
    <cellStyle name="Comma 3 4 3 2 2 3" xfId="2047"/>
    <cellStyle name="Comma 3 4 3 2 3" xfId="2048"/>
    <cellStyle name="Comma 3 4 3 2 3 2" xfId="2049"/>
    <cellStyle name="Comma 3 4 3 2 4" xfId="2050"/>
    <cellStyle name="Comma 3 4 3 2 4 2" xfId="2051"/>
    <cellStyle name="Comma 3 4 3 2 5" xfId="2052"/>
    <cellStyle name="Comma 3 4 3 3" xfId="2053"/>
    <cellStyle name="Comma 3 4 3 3 2" xfId="2054"/>
    <cellStyle name="Comma 3 4 3 3 2 2" xfId="2055"/>
    <cellStyle name="Comma 3 4 3 3 3" xfId="2056"/>
    <cellStyle name="Comma 3 4 3 3 3 2" xfId="2057"/>
    <cellStyle name="Comma 3 4 3 3 4" xfId="2058"/>
    <cellStyle name="Comma 3 4 3 4" xfId="2059"/>
    <cellStyle name="Comma 3 4 3 4 2" xfId="2060"/>
    <cellStyle name="Comma 3 4 3 4 3" xfId="2061"/>
    <cellStyle name="Comma 3 4 3 5" xfId="2062"/>
    <cellStyle name="Comma 3 4 3 5 2" xfId="2063"/>
    <cellStyle name="Comma 3 4 3 6" xfId="2064"/>
    <cellStyle name="Comma 3 4 3 6 2" xfId="2065"/>
    <cellStyle name="Comma 3 4 3 7" xfId="2066"/>
    <cellStyle name="Comma 3 4 4" xfId="2067"/>
    <cellStyle name="Comma 3 4 4 2" xfId="2068"/>
    <cellStyle name="Comma 3 4 4 2 2" xfId="2069"/>
    <cellStyle name="Comma 3 4 4 2 2 2" xfId="2070"/>
    <cellStyle name="Comma 3 4 4 2 2 3" xfId="2071"/>
    <cellStyle name="Comma 3 4 4 2 3" xfId="2072"/>
    <cellStyle name="Comma 3 4 4 2 3 2" xfId="2073"/>
    <cellStyle name="Comma 3 4 4 2 4" xfId="2074"/>
    <cellStyle name="Comma 3 4 4 2 4 2" xfId="2075"/>
    <cellStyle name="Comma 3 4 4 2 5" xfId="2076"/>
    <cellStyle name="Comma 3 4 4 3" xfId="2077"/>
    <cellStyle name="Comma 3 4 4 3 2" xfId="2078"/>
    <cellStyle name="Comma 3 4 4 3 2 2" xfId="2079"/>
    <cellStyle name="Comma 3 4 4 3 3" xfId="2080"/>
    <cellStyle name="Comma 3 4 4 3 3 2" xfId="2081"/>
    <cellStyle name="Comma 3 4 4 3 4" xfId="2082"/>
    <cellStyle name="Comma 3 4 4 4" xfId="2083"/>
    <cellStyle name="Comma 3 4 4 4 2" xfId="2084"/>
    <cellStyle name="Comma 3 4 4 4 3" xfId="2085"/>
    <cellStyle name="Comma 3 4 4 5" xfId="2086"/>
    <cellStyle name="Comma 3 4 4 5 2" xfId="2087"/>
    <cellStyle name="Comma 3 4 4 6" xfId="2088"/>
    <cellStyle name="Comma 3 4 4 6 2" xfId="2089"/>
    <cellStyle name="Comma 3 4 4 7" xfId="2090"/>
    <cellStyle name="Comma 3 4 5" xfId="2091"/>
    <cellStyle name="Comma 3 4 5 2" xfId="2092"/>
    <cellStyle name="Comma 3 4 5 2 2" xfId="2093"/>
    <cellStyle name="Comma 3 4 5 2 2 2" xfId="2094"/>
    <cellStyle name="Comma 3 4 5 2 3" xfId="2095"/>
    <cellStyle name="Comma 3 4 5 2 3 2" xfId="2096"/>
    <cellStyle name="Comma 3 4 5 2 4" xfId="2097"/>
    <cellStyle name="Comma 3 4 5 3" xfId="2098"/>
    <cellStyle name="Comma 3 4 5 3 2" xfId="2099"/>
    <cellStyle name="Comma 3 4 5 3 3" xfId="2100"/>
    <cellStyle name="Comma 3 4 5 4" xfId="2101"/>
    <cellStyle name="Comma 3 4 5 4 2" xfId="2102"/>
    <cellStyle name="Comma 3 4 5 5" xfId="2103"/>
    <cellStyle name="Comma 3 4 5 5 2" xfId="2104"/>
    <cellStyle name="Comma 3 4 5 6" xfId="2105"/>
    <cellStyle name="Comma 3 4 6" xfId="2106"/>
    <cellStyle name="Comma 3 4 6 2" xfId="2107"/>
    <cellStyle name="Comma 3 4 6 2 2" xfId="2108"/>
    <cellStyle name="Comma 3 4 6 3" xfId="2109"/>
    <cellStyle name="Comma 3 4 6 3 2" xfId="2110"/>
    <cellStyle name="Comma 3 4 6 4" xfId="2111"/>
    <cellStyle name="Comma 3 4 7" xfId="2112"/>
    <cellStyle name="Comma 3 4 7 2" xfId="2113"/>
    <cellStyle name="Comma 3 4 7 2 2" xfId="2114"/>
    <cellStyle name="Comma 3 4 7 3" xfId="2115"/>
    <cellStyle name="Comma 3 4 7 3 2" xfId="2116"/>
    <cellStyle name="Comma 3 4 7 4" xfId="2117"/>
    <cellStyle name="Comma 3 4 8" xfId="2118"/>
    <cellStyle name="Comma 3 4 8 2" xfId="2119"/>
    <cellStyle name="Comma 3 4 8 3" xfId="2120"/>
    <cellStyle name="Comma 3 4 9" xfId="2121"/>
    <cellStyle name="Comma 3 4 9 2" xfId="2122"/>
    <cellStyle name="Comma 3 5" xfId="2123"/>
    <cellStyle name="Comma 3 5 10" xfId="2124"/>
    <cellStyle name="Comma 3 5 2" xfId="2125"/>
    <cellStyle name="Comma 3 5 2 2" xfId="2126"/>
    <cellStyle name="Comma 3 5 2 2 2" xfId="2127"/>
    <cellStyle name="Comma 3 5 2 2 2 2" xfId="2128"/>
    <cellStyle name="Comma 3 5 2 2 2 3" xfId="2129"/>
    <cellStyle name="Comma 3 5 2 2 3" xfId="2130"/>
    <cellStyle name="Comma 3 5 2 2 3 2" xfId="2131"/>
    <cellStyle name="Comma 3 5 2 2 4" xfId="2132"/>
    <cellStyle name="Comma 3 5 2 2 4 2" xfId="2133"/>
    <cellStyle name="Comma 3 5 2 2 5" xfId="2134"/>
    <cellStyle name="Comma 3 5 2 3" xfId="2135"/>
    <cellStyle name="Comma 3 5 2 3 2" xfId="2136"/>
    <cellStyle name="Comma 3 5 2 3 2 2" xfId="2137"/>
    <cellStyle name="Comma 3 5 2 3 3" xfId="2138"/>
    <cellStyle name="Comma 3 5 2 3 3 2" xfId="2139"/>
    <cellStyle name="Comma 3 5 2 3 4" xfId="2140"/>
    <cellStyle name="Comma 3 5 2 4" xfId="2141"/>
    <cellStyle name="Comma 3 5 2 4 2" xfId="2142"/>
    <cellStyle name="Comma 3 5 2 4 3" xfId="2143"/>
    <cellStyle name="Comma 3 5 2 5" xfId="2144"/>
    <cellStyle name="Comma 3 5 2 5 2" xfId="2145"/>
    <cellStyle name="Comma 3 5 2 6" xfId="2146"/>
    <cellStyle name="Comma 3 5 2 6 2" xfId="2147"/>
    <cellStyle name="Comma 3 5 2 7" xfId="2148"/>
    <cellStyle name="Comma 3 5 3" xfId="2149"/>
    <cellStyle name="Comma 3 5 3 2" xfId="2150"/>
    <cellStyle name="Comma 3 5 3 2 2" xfId="2151"/>
    <cellStyle name="Comma 3 5 3 2 2 2" xfId="2152"/>
    <cellStyle name="Comma 3 5 3 2 2 3" xfId="2153"/>
    <cellStyle name="Comma 3 5 3 2 3" xfId="2154"/>
    <cellStyle name="Comma 3 5 3 2 3 2" xfId="2155"/>
    <cellStyle name="Comma 3 5 3 2 4" xfId="2156"/>
    <cellStyle name="Comma 3 5 3 2 4 2" xfId="2157"/>
    <cellStyle name="Comma 3 5 3 2 5" xfId="2158"/>
    <cellStyle name="Comma 3 5 3 3" xfId="2159"/>
    <cellStyle name="Comma 3 5 3 3 2" xfId="2160"/>
    <cellStyle name="Comma 3 5 3 3 2 2" xfId="2161"/>
    <cellStyle name="Comma 3 5 3 3 3" xfId="2162"/>
    <cellStyle name="Comma 3 5 3 3 3 2" xfId="2163"/>
    <cellStyle name="Comma 3 5 3 3 4" xfId="2164"/>
    <cellStyle name="Comma 3 5 3 4" xfId="2165"/>
    <cellStyle name="Comma 3 5 3 4 2" xfId="2166"/>
    <cellStyle name="Comma 3 5 3 4 3" xfId="2167"/>
    <cellStyle name="Comma 3 5 3 5" xfId="2168"/>
    <cellStyle name="Comma 3 5 3 5 2" xfId="2169"/>
    <cellStyle name="Comma 3 5 3 6" xfId="2170"/>
    <cellStyle name="Comma 3 5 3 6 2" xfId="2171"/>
    <cellStyle name="Comma 3 5 3 7" xfId="2172"/>
    <cellStyle name="Comma 3 5 4" xfId="2173"/>
    <cellStyle name="Comma 3 5 4 2" xfId="2174"/>
    <cellStyle name="Comma 3 5 4 2 2" xfId="2175"/>
    <cellStyle name="Comma 3 5 4 2 2 2" xfId="2176"/>
    <cellStyle name="Comma 3 5 4 2 3" xfId="2177"/>
    <cellStyle name="Comma 3 5 4 2 3 2" xfId="2178"/>
    <cellStyle name="Comma 3 5 4 2 4" xfId="2179"/>
    <cellStyle name="Comma 3 5 4 3" xfId="2180"/>
    <cellStyle name="Comma 3 5 4 3 2" xfId="2181"/>
    <cellStyle name="Comma 3 5 4 3 3" xfId="2182"/>
    <cellStyle name="Comma 3 5 4 4" xfId="2183"/>
    <cellStyle name="Comma 3 5 4 4 2" xfId="2184"/>
    <cellStyle name="Comma 3 5 4 5" xfId="2185"/>
    <cellStyle name="Comma 3 5 4 5 2" xfId="2186"/>
    <cellStyle name="Comma 3 5 4 6" xfId="2187"/>
    <cellStyle name="Comma 3 5 5" xfId="2188"/>
    <cellStyle name="Comma 3 5 5 2" xfId="2189"/>
    <cellStyle name="Comma 3 5 5 2 2" xfId="2190"/>
    <cellStyle name="Comma 3 5 5 3" xfId="2191"/>
    <cellStyle name="Comma 3 5 5 3 2" xfId="2192"/>
    <cellStyle name="Comma 3 5 5 4" xfId="2193"/>
    <cellStyle name="Comma 3 5 6" xfId="2194"/>
    <cellStyle name="Comma 3 5 6 2" xfId="2195"/>
    <cellStyle name="Comma 3 5 6 2 2" xfId="2196"/>
    <cellStyle name="Comma 3 5 6 3" xfId="2197"/>
    <cellStyle name="Comma 3 5 6 3 2" xfId="2198"/>
    <cellStyle name="Comma 3 5 6 4" xfId="2199"/>
    <cellStyle name="Comma 3 5 7" xfId="2200"/>
    <cellStyle name="Comma 3 5 7 2" xfId="2201"/>
    <cellStyle name="Comma 3 5 7 3" xfId="2202"/>
    <cellStyle name="Comma 3 5 8" xfId="2203"/>
    <cellStyle name="Comma 3 5 8 2" xfId="2204"/>
    <cellStyle name="Comma 3 5 9" xfId="2205"/>
    <cellStyle name="Comma 3 5 9 2" xfId="2206"/>
    <cellStyle name="Comma 3 6" xfId="2207"/>
    <cellStyle name="Comma 3 6 2" xfId="2208"/>
    <cellStyle name="Comma 3 6 2 2" xfId="2209"/>
    <cellStyle name="Comma 3 6 2 2 2" xfId="2210"/>
    <cellStyle name="Comma 3 6 2 3" xfId="2211"/>
    <cellStyle name="Comma 3 6 2 3 2" xfId="2212"/>
    <cellStyle name="Comma 3 6 2 4" xfId="2213"/>
    <cellStyle name="Comma 3 6 3" xfId="2214"/>
    <cellStyle name="Comma 3 6 3 2" xfId="2215"/>
    <cellStyle name="Comma 3 6 3 3" xfId="2216"/>
    <cellStyle name="Comma 3 6 4" xfId="2217"/>
    <cellStyle name="Comma 3 6 4 2" xfId="2218"/>
    <cellStyle name="Comma 3 6 5" xfId="2219"/>
    <cellStyle name="Comma 3 6 5 2" xfId="2220"/>
    <cellStyle name="Comma 3 6 6" xfId="2221"/>
    <cellStyle name="Comma 3 7" xfId="2222"/>
    <cellStyle name="Comma 3 7 2" xfId="2223"/>
    <cellStyle name="Comma 3 7 2 2" xfId="2224"/>
    <cellStyle name="Comma 3 7 3" xfId="2225"/>
    <cellStyle name="Comma 3 7 3 2" xfId="2226"/>
    <cellStyle name="Comma 3 7 4" xfId="2227"/>
    <cellStyle name="Comma 3 8" xfId="2228"/>
    <cellStyle name="Comma 3 8 2" xfId="2229"/>
    <cellStyle name="Comma 3 9" xfId="2230"/>
    <cellStyle name="Comma 30" xfId="2231"/>
    <cellStyle name="Comma 31" xfId="2232"/>
    <cellStyle name="Comma 32" xfId="2233"/>
    <cellStyle name="Comma 33" xfId="2234"/>
    <cellStyle name="Comma 34" xfId="2235"/>
    <cellStyle name="Comma 35" xfId="2236"/>
    <cellStyle name="Comma 36" xfId="2237"/>
    <cellStyle name="Comma 37" xfId="2238"/>
    <cellStyle name="Comma 38" xfId="2239"/>
    <cellStyle name="Comma 39" xfId="2240"/>
    <cellStyle name="Comma 4" xfId="2241"/>
    <cellStyle name="Comma 4 10" xfId="2242"/>
    <cellStyle name="Comma 4 10 2" xfId="2243"/>
    <cellStyle name="Comma 4 10 2 2" xfId="2244"/>
    <cellStyle name="Comma 4 10 3" xfId="2245"/>
    <cellStyle name="Comma 4 10 3 2" xfId="2246"/>
    <cellStyle name="Comma 4 10 4" xfId="2247"/>
    <cellStyle name="Comma 4 11" xfId="2248"/>
    <cellStyle name="Comma 4 11 2" xfId="2249"/>
    <cellStyle name="Comma 4 11 3" xfId="2250"/>
    <cellStyle name="Comma 4 12" xfId="2251"/>
    <cellStyle name="Comma 4 12 2" xfId="2252"/>
    <cellStyle name="Comma 4 13" xfId="2253"/>
    <cellStyle name="Comma 4 13 2" xfId="2254"/>
    <cellStyle name="Comma 4 14" xfId="2255"/>
    <cellStyle name="Comma 4 15" xfId="2256"/>
    <cellStyle name="Comma 4 2" xfId="2257"/>
    <cellStyle name="Comma 4 2 10" xfId="2258"/>
    <cellStyle name="Comma 4 2 10 2" xfId="2259"/>
    <cellStyle name="Comma 4 2 11" xfId="2260"/>
    <cellStyle name="Comma 4 2 11 2" xfId="2261"/>
    <cellStyle name="Comma 4 2 12" xfId="2262"/>
    <cellStyle name="Comma 4 2 13" xfId="2263"/>
    <cellStyle name="Comma 4 2 2" xfId="2264"/>
    <cellStyle name="Comma 4 2 2 10" xfId="2265"/>
    <cellStyle name="Comma 4 2 2 11" xfId="2266"/>
    <cellStyle name="Comma 4 2 2 2" xfId="2267"/>
    <cellStyle name="Comma 4 2 2 2 2" xfId="2268"/>
    <cellStyle name="Comma 4 2 2 2 2 2" xfId="2269"/>
    <cellStyle name="Comma 4 2 2 2 2 2 2" xfId="2270"/>
    <cellStyle name="Comma 4 2 2 2 2 2 3" xfId="2271"/>
    <cellStyle name="Comma 4 2 2 2 2 3" xfId="2272"/>
    <cellStyle name="Comma 4 2 2 2 2 3 2" xfId="2273"/>
    <cellStyle name="Comma 4 2 2 2 2 4" xfId="2274"/>
    <cellStyle name="Comma 4 2 2 2 2 4 2" xfId="2275"/>
    <cellStyle name="Comma 4 2 2 2 2 5" xfId="2276"/>
    <cellStyle name="Comma 4 2 2 2 3" xfId="2277"/>
    <cellStyle name="Comma 4 2 2 2 3 2" xfId="2278"/>
    <cellStyle name="Comma 4 2 2 2 3 2 2" xfId="2279"/>
    <cellStyle name="Comma 4 2 2 2 3 3" xfId="2280"/>
    <cellStyle name="Comma 4 2 2 2 3 3 2" xfId="2281"/>
    <cellStyle name="Comma 4 2 2 2 3 4" xfId="2282"/>
    <cellStyle name="Comma 4 2 2 2 4" xfId="2283"/>
    <cellStyle name="Comma 4 2 2 2 4 2" xfId="2284"/>
    <cellStyle name="Comma 4 2 2 2 4 3" xfId="2285"/>
    <cellStyle name="Comma 4 2 2 2 5" xfId="2286"/>
    <cellStyle name="Comma 4 2 2 2 5 2" xfId="2287"/>
    <cellStyle name="Comma 4 2 2 2 6" xfId="2288"/>
    <cellStyle name="Comma 4 2 2 2 6 2" xfId="2289"/>
    <cellStyle name="Comma 4 2 2 2 7" xfId="2290"/>
    <cellStyle name="Comma 4 2 2 3" xfId="2291"/>
    <cellStyle name="Comma 4 2 2 3 2" xfId="2292"/>
    <cellStyle name="Comma 4 2 2 3 2 2" xfId="2293"/>
    <cellStyle name="Comma 4 2 2 3 2 2 2" xfId="2294"/>
    <cellStyle name="Comma 4 2 2 3 2 2 3" xfId="2295"/>
    <cellStyle name="Comma 4 2 2 3 2 3" xfId="2296"/>
    <cellStyle name="Comma 4 2 2 3 2 3 2" xfId="2297"/>
    <cellStyle name="Comma 4 2 2 3 2 4" xfId="2298"/>
    <cellStyle name="Comma 4 2 2 3 2 4 2" xfId="2299"/>
    <cellStyle name="Comma 4 2 2 3 2 5" xfId="2300"/>
    <cellStyle name="Comma 4 2 2 3 3" xfId="2301"/>
    <cellStyle name="Comma 4 2 2 3 3 2" xfId="2302"/>
    <cellStyle name="Comma 4 2 2 3 3 2 2" xfId="2303"/>
    <cellStyle name="Comma 4 2 2 3 3 3" xfId="2304"/>
    <cellStyle name="Comma 4 2 2 3 3 3 2" xfId="2305"/>
    <cellStyle name="Comma 4 2 2 3 3 4" xfId="2306"/>
    <cellStyle name="Comma 4 2 2 3 4" xfId="2307"/>
    <cellStyle name="Comma 4 2 2 3 4 2" xfId="2308"/>
    <cellStyle name="Comma 4 2 2 3 4 3" xfId="2309"/>
    <cellStyle name="Comma 4 2 2 3 5" xfId="2310"/>
    <cellStyle name="Comma 4 2 2 3 5 2" xfId="2311"/>
    <cellStyle name="Comma 4 2 2 3 6" xfId="2312"/>
    <cellStyle name="Comma 4 2 2 3 6 2" xfId="2313"/>
    <cellStyle name="Comma 4 2 2 3 7" xfId="2314"/>
    <cellStyle name="Comma 4 2 2 4" xfId="2315"/>
    <cellStyle name="Comma 4 2 2 4 2" xfId="2316"/>
    <cellStyle name="Comma 4 2 2 4 2 2" xfId="2317"/>
    <cellStyle name="Comma 4 2 2 4 2 2 2" xfId="2318"/>
    <cellStyle name="Comma 4 2 2 4 2 3" xfId="2319"/>
    <cellStyle name="Comma 4 2 2 4 2 3 2" xfId="2320"/>
    <cellStyle name="Comma 4 2 2 4 2 4" xfId="2321"/>
    <cellStyle name="Comma 4 2 2 4 3" xfId="2322"/>
    <cellStyle name="Comma 4 2 2 4 3 2" xfId="2323"/>
    <cellStyle name="Comma 4 2 2 4 3 3" xfId="2324"/>
    <cellStyle name="Comma 4 2 2 4 4" xfId="2325"/>
    <cellStyle name="Comma 4 2 2 4 4 2" xfId="2326"/>
    <cellStyle name="Comma 4 2 2 4 5" xfId="2327"/>
    <cellStyle name="Comma 4 2 2 4 5 2" xfId="2328"/>
    <cellStyle name="Comma 4 2 2 4 6" xfId="2329"/>
    <cellStyle name="Comma 4 2 2 5" xfId="2330"/>
    <cellStyle name="Comma 4 2 2 5 2" xfId="2331"/>
    <cellStyle name="Comma 4 2 2 5 2 2" xfId="2332"/>
    <cellStyle name="Comma 4 2 2 5 3" xfId="2333"/>
    <cellStyle name="Comma 4 2 2 5 3 2" xfId="2334"/>
    <cellStyle name="Comma 4 2 2 5 4" xfId="2335"/>
    <cellStyle name="Comma 4 2 2 6" xfId="2336"/>
    <cellStyle name="Comma 4 2 2 6 2" xfId="2337"/>
    <cellStyle name="Comma 4 2 2 6 2 2" xfId="2338"/>
    <cellStyle name="Comma 4 2 2 6 3" xfId="2339"/>
    <cellStyle name="Comma 4 2 2 6 3 2" xfId="2340"/>
    <cellStyle name="Comma 4 2 2 6 4" xfId="2341"/>
    <cellStyle name="Comma 4 2 2 7" xfId="2342"/>
    <cellStyle name="Comma 4 2 2 7 2" xfId="2343"/>
    <cellStyle name="Comma 4 2 2 7 3" xfId="2344"/>
    <cellStyle name="Comma 4 2 2 8" xfId="2345"/>
    <cellStyle name="Comma 4 2 2 8 2" xfId="2346"/>
    <cellStyle name="Comma 4 2 2 9" xfId="2347"/>
    <cellStyle name="Comma 4 2 2 9 2" xfId="2348"/>
    <cellStyle name="Comma 4 2 3" xfId="2349"/>
    <cellStyle name="Comma 4 2 3 2" xfId="2350"/>
    <cellStyle name="Comma 4 2 3 2 2" xfId="2351"/>
    <cellStyle name="Comma 4 2 3 2 2 2" xfId="2352"/>
    <cellStyle name="Comma 4 2 3 2 2 2 2" xfId="2353"/>
    <cellStyle name="Comma 4 2 3 2 2 2 3" xfId="2354"/>
    <cellStyle name="Comma 4 2 3 2 2 3" xfId="2355"/>
    <cellStyle name="Comma 4 2 3 2 2 3 2" xfId="2356"/>
    <cellStyle name="Comma 4 2 3 2 2 4" xfId="2357"/>
    <cellStyle name="Comma 4 2 3 2 2 4 2" xfId="2358"/>
    <cellStyle name="Comma 4 2 3 2 2 5" xfId="2359"/>
    <cellStyle name="Comma 4 2 3 2 3" xfId="2360"/>
    <cellStyle name="Comma 4 2 3 2 3 2" xfId="2361"/>
    <cellStyle name="Comma 4 2 3 2 3 2 2" xfId="2362"/>
    <cellStyle name="Comma 4 2 3 2 3 3" xfId="2363"/>
    <cellStyle name="Comma 4 2 3 2 3 3 2" xfId="2364"/>
    <cellStyle name="Comma 4 2 3 2 3 4" xfId="2365"/>
    <cellStyle name="Comma 4 2 3 2 4" xfId="2366"/>
    <cellStyle name="Comma 4 2 3 2 4 2" xfId="2367"/>
    <cellStyle name="Comma 4 2 3 2 4 3" xfId="2368"/>
    <cellStyle name="Comma 4 2 3 2 5" xfId="2369"/>
    <cellStyle name="Comma 4 2 3 2 5 2" xfId="2370"/>
    <cellStyle name="Comma 4 2 3 2 6" xfId="2371"/>
    <cellStyle name="Comma 4 2 3 2 6 2" xfId="2372"/>
    <cellStyle name="Comma 4 2 3 2 7" xfId="2373"/>
    <cellStyle name="Comma 4 2 3 3" xfId="2374"/>
    <cellStyle name="Comma 4 2 3 3 2" xfId="2375"/>
    <cellStyle name="Comma 4 2 3 3 2 2" xfId="2376"/>
    <cellStyle name="Comma 4 2 3 3 2 3" xfId="2377"/>
    <cellStyle name="Comma 4 2 3 3 3" xfId="2378"/>
    <cellStyle name="Comma 4 2 3 3 3 2" xfId="2379"/>
    <cellStyle name="Comma 4 2 3 3 4" xfId="2380"/>
    <cellStyle name="Comma 4 2 3 3 4 2" xfId="2381"/>
    <cellStyle name="Comma 4 2 3 3 5" xfId="2382"/>
    <cellStyle name="Comma 4 2 3 4" xfId="2383"/>
    <cellStyle name="Comma 4 2 3 4 2" xfId="2384"/>
    <cellStyle name="Comma 4 2 3 4 2 2" xfId="2385"/>
    <cellStyle name="Comma 4 2 3 4 3" xfId="2386"/>
    <cellStyle name="Comma 4 2 3 4 3 2" xfId="2387"/>
    <cellStyle name="Comma 4 2 3 4 4" xfId="2388"/>
    <cellStyle name="Comma 4 2 3 5" xfId="2389"/>
    <cellStyle name="Comma 4 2 3 5 2" xfId="2390"/>
    <cellStyle name="Comma 4 2 3 5 3" xfId="2391"/>
    <cellStyle name="Comma 4 2 3 6" xfId="2392"/>
    <cellStyle name="Comma 4 2 3 6 2" xfId="2393"/>
    <cellStyle name="Comma 4 2 3 7" xfId="2394"/>
    <cellStyle name="Comma 4 2 3 7 2" xfId="2395"/>
    <cellStyle name="Comma 4 2 3 8" xfId="2396"/>
    <cellStyle name="Comma 4 2 4" xfId="2397"/>
    <cellStyle name="Comma 4 2 4 2" xfId="2398"/>
    <cellStyle name="Comma 4 2 4 2 2" xfId="2399"/>
    <cellStyle name="Comma 4 2 4 2 2 2" xfId="2400"/>
    <cellStyle name="Comma 4 2 4 2 2 3" xfId="2401"/>
    <cellStyle name="Comma 4 2 4 2 3" xfId="2402"/>
    <cellStyle name="Comma 4 2 4 2 3 2" xfId="2403"/>
    <cellStyle name="Comma 4 2 4 2 4" xfId="2404"/>
    <cellStyle name="Comma 4 2 4 2 4 2" xfId="2405"/>
    <cellStyle name="Comma 4 2 4 2 5" xfId="2406"/>
    <cellStyle name="Comma 4 2 4 3" xfId="2407"/>
    <cellStyle name="Comma 4 2 4 3 2" xfId="2408"/>
    <cellStyle name="Comma 4 2 4 3 2 2" xfId="2409"/>
    <cellStyle name="Comma 4 2 4 3 3" xfId="2410"/>
    <cellStyle name="Comma 4 2 4 3 3 2" xfId="2411"/>
    <cellStyle name="Comma 4 2 4 3 4" xfId="2412"/>
    <cellStyle name="Comma 4 2 4 4" xfId="2413"/>
    <cellStyle name="Comma 4 2 4 4 2" xfId="2414"/>
    <cellStyle name="Comma 4 2 4 4 3" xfId="2415"/>
    <cellStyle name="Comma 4 2 4 5" xfId="2416"/>
    <cellStyle name="Comma 4 2 4 5 2" xfId="2417"/>
    <cellStyle name="Comma 4 2 4 6" xfId="2418"/>
    <cellStyle name="Comma 4 2 4 6 2" xfId="2419"/>
    <cellStyle name="Comma 4 2 4 7" xfId="2420"/>
    <cellStyle name="Comma 4 2 5" xfId="2421"/>
    <cellStyle name="Comma 4 2 5 2" xfId="2422"/>
    <cellStyle name="Comma 4 2 5 2 2" xfId="2423"/>
    <cellStyle name="Comma 4 2 5 2 2 2" xfId="2424"/>
    <cellStyle name="Comma 4 2 5 2 2 3" xfId="2425"/>
    <cellStyle name="Comma 4 2 5 2 3" xfId="2426"/>
    <cellStyle name="Comma 4 2 5 2 3 2" xfId="2427"/>
    <cellStyle name="Comma 4 2 5 2 4" xfId="2428"/>
    <cellStyle name="Comma 4 2 5 2 4 2" xfId="2429"/>
    <cellStyle name="Comma 4 2 5 2 5" xfId="2430"/>
    <cellStyle name="Comma 4 2 5 3" xfId="2431"/>
    <cellStyle name="Comma 4 2 5 3 2" xfId="2432"/>
    <cellStyle name="Comma 4 2 5 3 2 2" xfId="2433"/>
    <cellStyle name="Comma 4 2 5 3 3" xfId="2434"/>
    <cellStyle name="Comma 4 2 5 3 3 2" xfId="2435"/>
    <cellStyle name="Comma 4 2 5 3 4" xfId="2436"/>
    <cellStyle name="Comma 4 2 5 4" xfId="2437"/>
    <cellStyle name="Comma 4 2 5 4 2" xfId="2438"/>
    <cellStyle name="Comma 4 2 5 4 3" xfId="2439"/>
    <cellStyle name="Comma 4 2 5 5" xfId="2440"/>
    <cellStyle name="Comma 4 2 5 5 2" xfId="2441"/>
    <cellStyle name="Comma 4 2 5 6" xfId="2442"/>
    <cellStyle name="Comma 4 2 5 6 2" xfId="2443"/>
    <cellStyle name="Comma 4 2 5 7" xfId="2444"/>
    <cellStyle name="Comma 4 2 6" xfId="2445"/>
    <cellStyle name="Comma 4 2 6 2" xfId="2446"/>
    <cellStyle name="Comma 4 2 6 2 2" xfId="2447"/>
    <cellStyle name="Comma 4 2 6 2 2 2" xfId="2448"/>
    <cellStyle name="Comma 4 2 6 2 3" xfId="2449"/>
    <cellStyle name="Comma 4 2 6 2 3 2" xfId="2450"/>
    <cellStyle name="Comma 4 2 6 2 4" xfId="2451"/>
    <cellStyle name="Comma 4 2 6 3" xfId="2452"/>
    <cellStyle name="Comma 4 2 6 3 2" xfId="2453"/>
    <cellStyle name="Comma 4 2 6 3 3" xfId="2454"/>
    <cellStyle name="Comma 4 2 6 4" xfId="2455"/>
    <cellStyle name="Comma 4 2 6 4 2" xfId="2456"/>
    <cellStyle name="Comma 4 2 6 5" xfId="2457"/>
    <cellStyle name="Comma 4 2 6 5 2" xfId="2458"/>
    <cellStyle name="Comma 4 2 6 6" xfId="2459"/>
    <cellStyle name="Comma 4 2 7" xfId="2460"/>
    <cellStyle name="Comma 4 2 7 2" xfId="2461"/>
    <cellStyle name="Comma 4 2 7 2 2" xfId="2462"/>
    <cellStyle name="Comma 4 2 7 3" xfId="2463"/>
    <cellStyle name="Comma 4 2 7 3 2" xfId="2464"/>
    <cellStyle name="Comma 4 2 7 4" xfId="2465"/>
    <cellStyle name="Comma 4 2 8" xfId="2466"/>
    <cellStyle name="Comma 4 2 8 2" xfId="2467"/>
    <cellStyle name="Comma 4 2 8 2 2" xfId="2468"/>
    <cellStyle name="Comma 4 2 8 3" xfId="2469"/>
    <cellStyle name="Comma 4 2 8 3 2" xfId="2470"/>
    <cellStyle name="Comma 4 2 8 4" xfId="2471"/>
    <cellStyle name="Comma 4 2 9" xfId="2472"/>
    <cellStyle name="Comma 4 2 9 2" xfId="2473"/>
    <cellStyle name="Comma 4 2 9 3" xfId="2474"/>
    <cellStyle name="Comma 4 3" xfId="2475"/>
    <cellStyle name="Comma 4 3 10" xfId="2476"/>
    <cellStyle name="Comma 4 3 10 2" xfId="2477"/>
    <cellStyle name="Comma 4 3 11" xfId="2478"/>
    <cellStyle name="Comma 4 3 12" xfId="2479"/>
    <cellStyle name="Comma 4 3 2" xfId="2480"/>
    <cellStyle name="Comma 4 3 2 2" xfId="2481"/>
    <cellStyle name="Comma 4 3 2 2 2" xfId="2482"/>
    <cellStyle name="Comma 4 3 2 2 2 2" xfId="2483"/>
    <cellStyle name="Comma 4 3 2 2 2 2 2" xfId="2484"/>
    <cellStyle name="Comma 4 3 2 2 2 2 3" xfId="2485"/>
    <cellStyle name="Comma 4 3 2 2 2 3" xfId="2486"/>
    <cellStyle name="Comma 4 3 2 2 2 3 2" xfId="2487"/>
    <cellStyle name="Comma 4 3 2 2 2 4" xfId="2488"/>
    <cellStyle name="Comma 4 3 2 2 2 4 2" xfId="2489"/>
    <cellStyle name="Comma 4 3 2 2 2 5" xfId="2490"/>
    <cellStyle name="Comma 4 3 2 2 3" xfId="2491"/>
    <cellStyle name="Comma 4 3 2 2 3 2" xfId="2492"/>
    <cellStyle name="Comma 4 3 2 2 3 2 2" xfId="2493"/>
    <cellStyle name="Comma 4 3 2 2 3 3" xfId="2494"/>
    <cellStyle name="Comma 4 3 2 2 3 3 2" xfId="2495"/>
    <cellStyle name="Comma 4 3 2 2 3 4" xfId="2496"/>
    <cellStyle name="Comma 4 3 2 2 4" xfId="2497"/>
    <cellStyle name="Comma 4 3 2 2 4 2" xfId="2498"/>
    <cellStyle name="Comma 4 3 2 2 4 3" xfId="2499"/>
    <cellStyle name="Comma 4 3 2 2 5" xfId="2500"/>
    <cellStyle name="Comma 4 3 2 2 5 2" xfId="2501"/>
    <cellStyle name="Comma 4 3 2 2 6" xfId="2502"/>
    <cellStyle name="Comma 4 3 2 2 6 2" xfId="2503"/>
    <cellStyle name="Comma 4 3 2 2 7" xfId="2504"/>
    <cellStyle name="Comma 4 3 2 3" xfId="2505"/>
    <cellStyle name="Comma 4 3 2 3 2" xfId="2506"/>
    <cellStyle name="Comma 4 3 2 3 2 2" xfId="2507"/>
    <cellStyle name="Comma 4 3 2 3 2 3" xfId="2508"/>
    <cellStyle name="Comma 4 3 2 3 3" xfId="2509"/>
    <cellStyle name="Comma 4 3 2 3 3 2" xfId="2510"/>
    <cellStyle name="Comma 4 3 2 3 4" xfId="2511"/>
    <cellStyle name="Comma 4 3 2 3 4 2" xfId="2512"/>
    <cellStyle name="Comma 4 3 2 3 5" xfId="2513"/>
    <cellStyle name="Comma 4 3 2 4" xfId="2514"/>
    <cellStyle name="Comma 4 3 2 4 2" xfId="2515"/>
    <cellStyle name="Comma 4 3 2 4 2 2" xfId="2516"/>
    <cellStyle name="Comma 4 3 2 4 3" xfId="2517"/>
    <cellStyle name="Comma 4 3 2 4 3 2" xfId="2518"/>
    <cellStyle name="Comma 4 3 2 4 4" xfId="2519"/>
    <cellStyle name="Comma 4 3 2 5" xfId="2520"/>
    <cellStyle name="Comma 4 3 2 5 2" xfId="2521"/>
    <cellStyle name="Comma 4 3 2 5 3" xfId="2522"/>
    <cellStyle name="Comma 4 3 2 6" xfId="2523"/>
    <cellStyle name="Comma 4 3 2 6 2" xfId="2524"/>
    <cellStyle name="Comma 4 3 2 7" xfId="2525"/>
    <cellStyle name="Comma 4 3 2 7 2" xfId="2526"/>
    <cellStyle name="Comma 4 3 2 8" xfId="2527"/>
    <cellStyle name="Comma 4 3 3" xfId="2528"/>
    <cellStyle name="Comma 4 3 3 2" xfId="2529"/>
    <cellStyle name="Comma 4 3 3 2 2" xfId="2530"/>
    <cellStyle name="Comma 4 3 3 2 2 2" xfId="2531"/>
    <cellStyle name="Comma 4 3 3 2 2 3" xfId="2532"/>
    <cellStyle name="Comma 4 3 3 2 3" xfId="2533"/>
    <cellStyle name="Comma 4 3 3 2 3 2" xfId="2534"/>
    <cellStyle name="Comma 4 3 3 2 4" xfId="2535"/>
    <cellStyle name="Comma 4 3 3 2 4 2" xfId="2536"/>
    <cellStyle name="Comma 4 3 3 2 5" xfId="2537"/>
    <cellStyle name="Comma 4 3 3 3" xfId="2538"/>
    <cellStyle name="Comma 4 3 3 3 2" xfId="2539"/>
    <cellStyle name="Comma 4 3 3 3 2 2" xfId="2540"/>
    <cellStyle name="Comma 4 3 3 3 3" xfId="2541"/>
    <cellStyle name="Comma 4 3 3 3 3 2" xfId="2542"/>
    <cellStyle name="Comma 4 3 3 3 4" xfId="2543"/>
    <cellStyle name="Comma 4 3 3 4" xfId="2544"/>
    <cellStyle name="Comma 4 3 3 4 2" xfId="2545"/>
    <cellStyle name="Comma 4 3 3 4 3" xfId="2546"/>
    <cellStyle name="Comma 4 3 3 5" xfId="2547"/>
    <cellStyle name="Comma 4 3 3 5 2" xfId="2548"/>
    <cellStyle name="Comma 4 3 3 6" xfId="2549"/>
    <cellStyle name="Comma 4 3 3 6 2" xfId="2550"/>
    <cellStyle name="Comma 4 3 3 7" xfId="2551"/>
    <cellStyle name="Comma 4 3 4" xfId="2552"/>
    <cellStyle name="Comma 4 3 4 2" xfId="2553"/>
    <cellStyle name="Comma 4 3 4 2 2" xfId="2554"/>
    <cellStyle name="Comma 4 3 4 2 2 2" xfId="2555"/>
    <cellStyle name="Comma 4 3 4 2 2 3" xfId="2556"/>
    <cellStyle name="Comma 4 3 4 2 3" xfId="2557"/>
    <cellStyle name="Comma 4 3 4 2 3 2" xfId="2558"/>
    <cellStyle name="Comma 4 3 4 2 4" xfId="2559"/>
    <cellStyle name="Comma 4 3 4 2 4 2" xfId="2560"/>
    <cellStyle name="Comma 4 3 4 2 5" xfId="2561"/>
    <cellStyle name="Comma 4 3 4 3" xfId="2562"/>
    <cellStyle name="Comma 4 3 4 3 2" xfId="2563"/>
    <cellStyle name="Comma 4 3 4 3 2 2" xfId="2564"/>
    <cellStyle name="Comma 4 3 4 3 3" xfId="2565"/>
    <cellStyle name="Comma 4 3 4 3 3 2" xfId="2566"/>
    <cellStyle name="Comma 4 3 4 3 4" xfId="2567"/>
    <cellStyle name="Comma 4 3 4 4" xfId="2568"/>
    <cellStyle name="Comma 4 3 4 4 2" xfId="2569"/>
    <cellStyle name="Comma 4 3 4 4 3" xfId="2570"/>
    <cellStyle name="Comma 4 3 4 5" xfId="2571"/>
    <cellStyle name="Comma 4 3 4 5 2" xfId="2572"/>
    <cellStyle name="Comma 4 3 4 6" xfId="2573"/>
    <cellStyle name="Comma 4 3 4 6 2" xfId="2574"/>
    <cellStyle name="Comma 4 3 4 7" xfId="2575"/>
    <cellStyle name="Comma 4 3 5" xfId="2576"/>
    <cellStyle name="Comma 4 3 5 2" xfId="2577"/>
    <cellStyle name="Comma 4 3 5 2 2" xfId="2578"/>
    <cellStyle name="Comma 4 3 5 2 2 2" xfId="2579"/>
    <cellStyle name="Comma 4 3 5 2 3" xfId="2580"/>
    <cellStyle name="Comma 4 3 5 2 3 2" xfId="2581"/>
    <cellStyle name="Comma 4 3 5 2 4" xfId="2582"/>
    <cellStyle name="Comma 4 3 5 3" xfId="2583"/>
    <cellStyle name="Comma 4 3 5 3 2" xfId="2584"/>
    <cellStyle name="Comma 4 3 5 3 3" xfId="2585"/>
    <cellStyle name="Comma 4 3 5 4" xfId="2586"/>
    <cellStyle name="Comma 4 3 5 4 2" xfId="2587"/>
    <cellStyle name="Comma 4 3 5 5" xfId="2588"/>
    <cellStyle name="Comma 4 3 5 5 2" xfId="2589"/>
    <cellStyle name="Comma 4 3 5 6" xfId="2590"/>
    <cellStyle name="Comma 4 3 6" xfId="2591"/>
    <cellStyle name="Comma 4 3 6 2" xfId="2592"/>
    <cellStyle name="Comma 4 3 6 2 2" xfId="2593"/>
    <cellStyle name="Comma 4 3 6 3" xfId="2594"/>
    <cellStyle name="Comma 4 3 6 3 2" xfId="2595"/>
    <cellStyle name="Comma 4 3 6 4" xfId="2596"/>
    <cellStyle name="Comma 4 3 7" xfId="2597"/>
    <cellStyle name="Comma 4 3 7 2" xfId="2598"/>
    <cellStyle name="Comma 4 3 7 2 2" xfId="2599"/>
    <cellStyle name="Comma 4 3 7 3" xfId="2600"/>
    <cellStyle name="Comma 4 3 7 3 2" xfId="2601"/>
    <cellStyle name="Comma 4 3 7 4" xfId="2602"/>
    <cellStyle name="Comma 4 3 8" xfId="2603"/>
    <cellStyle name="Comma 4 3 8 2" xfId="2604"/>
    <cellStyle name="Comma 4 3 8 3" xfId="2605"/>
    <cellStyle name="Comma 4 3 9" xfId="2606"/>
    <cellStyle name="Comma 4 3 9 2" xfId="2607"/>
    <cellStyle name="Comma 4 4" xfId="2608"/>
    <cellStyle name="Comma 4 4 10" xfId="2609"/>
    <cellStyle name="Comma 4 4 11" xfId="2610"/>
    <cellStyle name="Comma 4 4 2" xfId="2611"/>
    <cellStyle name="Comma 4 4 2 2" xfId="2612"/>
    <cellStyle name="Comma 4 4 2 2 2" xfId="2613"/>
    <cellStyle name="Comma 4 4 2 2 2 2" xfId="2614"/>
    <cellStyle name="Comma 4 4 2 2 2 3" xfId="2615"/>
    <cellStyle name="Comma 4 4 2 2 3" xfId="2616"/>
    <cellStyle name="Comma 4 4 2 2 3 2" xfId="2617"/>
    <cellStyle name="Comma 4 4 2 2 4" xfId="2618"/>
    <cellStyle name="Comma 4 4 2 2 4 2" xfId="2619"/>
    <cellStyle name="Comma 4 4 2 2 5" xfId="2620"/>
    <cellStyle name="Comma 4 4 2 3" xfId="2621"/>
    <cellStyle name="Comma 4 4 2 3 2" xfId="2622"/>
    <cellStyle name="Comma 4 4 2 3 2 2" xfId="2623"/>
    <cellStyle name="Comma 4 4 2 3 3" xfId="2624"/>
    <cellStyle name="Comma 4 4 2 3 3 2" xfId="2625"/>
    <cellStyle name="Comma 4 4 2 3 4" xfId="2626"/>
    <cellStyle name="Comma 4 4 2 4" xfId="2627"/>
    <cellStyle name="Comma 4 4 2 4 2" xfId="2628"/>
    <cellStyle name="Comma 4 4 2 4 3" xfId="2629"/>
    <cellStyle name="Comma 4 4 2 5" xfId="2630"/>
    <cellStyle name="Comma 4 4 2 5 2" xfId="2631"/>
    <cellStyle name="Comma 4 4 2 6" xfId="2632"/>
    <cellStyle name="Comma 4 4 2 6 2" xfId="2633"/>
    <cellStyle name="Comma 4 4 2 7" xfId="2634"/>
    <cellStyle name="Comma 4 4 3" xfId="2635"/>
    <cellStyle name="Comma 4 4 3 2" xfId="2636"/>
    <cellStyle name="Comma 4 4 3 2 2" xfId="2637"/>
    <cellStyle name="Comma 4 4 3 2 2 2" xfId="2638"/>
    <cellStyle name="Comma 4 4 3 2 2 3" xfId="2639"/>
    <cellStyle name="Comma 4 4 3 2 3" xfId="2640"/>
    <cellStyle name="Comma 4 4 3 2 3 2" xfId="2641"/>
    <cellStyle name="Comma 4 4 3 2 4" xfId="2642"/>
    <cellStyle name="Comma 4 4 3 2 4 2" xfId="2643"/>
    <cellStyle name="Comma 4 4 3 2 5" xfId="2644"/>
    <cellStyle name="Comma 4 4 3 3" xfId="2645"/>
    <cellStyle name="Comma 4 4 3 3 2" xfId="2646"/>
    <cellStyle name="Comma 4 4 3 3 2 2" xfId="2647"/>
    <cellStyle name="Comma 4 4 3 3 3" xfId="2648"/>
    <cellStyle name="Comma 4 4 3 3 3 2" xfId="2649"/>
    <cellStyle name="Comma 4 4 3 3 4" xfId="2650"/>
    <cellStyle name="Comma 4 4 3 4" xfId="2651"/>
    <cellStyle name="Comma 4 4 3 4 2" xfId="2652"/>
    <cellStyle name="Comma 4 4 3 4 3" xfId="2653"/>
    <cellStyle name="Comma 4 4 3 5" xfId="2654"/>
    <cellStyle name="Comma 4 4 3 5 2" xfId="2655"/>
    <cellStyle name="Comma 4 4 3 6" xfId="2656"/>
    <cellStyle name="Comma 4 4 3 6 2" xfId="2657"/>
    <cellStyle name="Comma 4 4 3 7" xfId="2658"/>
    <cellStyle name="Comma 4 4 4" xfId="2659"/>
    <cellStyle name="Comma 4 4 4 2" xfId="2660"/>
    <cellStyle name="Comma 4 4 4 2 2" xfId="2661"/>
    <cellStyle name="Comma 4 4 4 2 2 2" xfId="2662"/>
    <cellStyle name="Comma 4 4 4 2 3" xfId="2663"/>
    <cellStyle name="Comma 4 4 4 2 3 2" xfId="2664"/>
    <cellStyle name="Comma 4 4 4 2 4" xfId="2665"/>
    <cellStyle name="Comma 4 4 4 3" xfId="2666"/>
    <cellStyle name="Comma 4 4 4 3 2" xfId="2667"/>
    <cellStyle name="Comma 4 4 4 3 3" xfId="2668"/>
    <cellStyle name="Comma 4 4 4 4" xfId="2669"/>
    <cellStyle name="Comma 4 4 4 4 2" xfId="2670"/>
    <cellStyle name="Comma 4 4 4 5" xfId="2671"/>
    <cellStyle name="Comma 4 4 4 5 2" xfId="2672"/>
    <cellStyle name="Comma 4 4 4 6" xfId="2673"/>
    <cellStyle name="Comma 4 4 5" xfId="2674"/>
    <cellStyle name="Comma 4 4 5 2" xfId="2675"/>
    <cellStyle name="Comma 4 4 5 2 2" xfId="2676"/>
    <cellStyle name="Comma 4 4 5 3" xfId="2677"/>
    <cellStyle name="Comma 4 4 5 3 2" xfId="2678"/>
    <cellStyle name="Comma 4 4 5 4" xfId="2679"/>
    <cellStyle name="Comma 4 4 6" xfId="2680"/>
    <cellStyle name="Comma 4 4 6 2" xfId="2681"/>
    <cellStyle name="Comma 4 4 6 2 2" xfId="2682"/>
    <cellStyle name="Comma 4 4 6 3" xfId="2683"/>
    <cellStyle name="Comma 4 4 6 3 2" xfId="2684"/>
    <cellStyle name="Comma 4 4 6 4" xfId="2685"/>
    <cellStyle name="Comma 4 4 7" xfId="2686"/>
    <cellStyle name="Comma 4 4 7 2" xfId="2687"/>
    <cellStyle name="Comma 4 4 7 3" xfId="2688"/>
    <cellStyle name="Comma 4 4 8" xfId="2689"/>
    <cellStyle name="Comma 4 4 8 2" xfId="2690"/>
    <cellStyle name="Comma 4 4 9" xfId="2691"/>
    <cellStyle name="Comma 4 4 9 2" xfId="2692"/>
    <cellStyle name="Comma 4 5" xfId="2693"/>
    <cellStyle name="Comma 4 5 2" xfId="2694"/>
    <cellStyle name="Comma 4 5 2 2" xfId="2695"/>
    <cellStyle name="Comma 4 5 2 2 2" xfId="2696"/>
    <cellStyle name="Comma 4 5 2 2 2 2" xfId="2697"/>
    <cellStyle name="Comma 4 5 2 2 2 3" xfId="2698"/>
    <cellStyle name="Comma 4 5 2 2 3" xfId="2699"/>
    <cellStyle name="Comma 4 5 2 2 3 2" xfId="2700"/>
    <cellStyle name="Comma 4 5 2 2 4" xfId="2701"/>
    <cellStyle name="Comma 4 5 2 2 4 2" xfId="2702"/>
    <cellStyle name="Comma 4 5 2 2 5" xfId="2703"/>
    <cellStyle name="Comma 4 5 2 3" xfId="2704"/>
    <cellStyle name="Comma 4 5 2 3 2" xfId="2705"/>
    <cellStyle name="Comma 4 5 2 3 2 2" xfId="2706"/>
    <cellStyle name="Comma 4 5 2 3 3" xfId="2707"/>
    <cellStyle name="Comma 4 5 2 3 3 2" xfId="2708"/>
    <cellStyle name="Comma 4 5 2 3 4" xfId="2709"/>
    <cellStyle name="Comma 4 5 2 4" xfId="2710"/>
    <cellStyle name="Comma 4 5 2 4 2" xfId="2711"/>
    <cellStyle name="Comma 4 5 2 4 3" xfId="2712"/>
    <cellStyle name="Comma 4 5 2 5" xfId="2713"/>
    <cellStyle name="Comma 4 5 2 5 2" xfId="2714"/>
    <cellStyle name="Comma 4 5 2 6" xfId="2715"/>
    <cellStyle name="Comma 4 5 2 6 2" xfId="2716"/>
    <cellStyle name="Comma 4 5 2 7" xfId="2717"/>
    <cellStyle name="Comma 4 5 3" xfId="2718"/>
    <cellStyle name="Comma 4 5 3 2" xfId="2719"/>
    <cellStyle name="Comma 4 5 3 2 2" xfId="2720"/>
    <cellStyle name="Comma 4 5 3 2 3" xfId="2721"/>
    <cellStyle name="Comma 4 5 3 3" xfId="2722"/>
    <cellStyle name="Comma 4 5 3 3 2" xfId="2723"/>
    <cellStyle name="Comma 4 5 3 4" xfId="2724"/>
    <cellStyle name="Comma 4 5 3 4 2" xfId="2725"/>
    <cellStyle name="Comma 4 5 3 5" xfId="2726"/>
    <cellStyle name="Comma 4 5 4" xfId="2727"/>
    <cellStyle name="Comma 4 5 4 2" xfId="2728"/>
    <cellStyle name="Comma 4 5 4 2 2" xfId="2729"/>
    <cellStyle name="Comma 4 5 4 3" xfId="2730"/>
    <cellStyle name="Comma 4 5 4 3 2" xfId="2731"/>
    <cellStyle name="Comma 4 5 4 4" xfId="2732"/>
    <cellStyle name="Comma 4 5 5" xfId="2733"/>
    <cellStyle name="Comma 4 5 5 2" xfId="2734"/>
    <cellStyle name="Comma 4 5 5 3" xfId="2735"/>
    <cellStyle name="Comma 4 5 6" xfId="2736"/>
    <cellStyle name="Comma 4 5 6 2" xfId="2737"/>
    <cellStyle name="Comma 4 5 7" xfId="2738"/>
    <cellStyle name="Comma 4 5 7 2" xfId="2739"/>
    <cellStyle name="Comma 4 5 8" xfId="2740"/>
    <cellStyle name="Comma 4 6" xfId="2741"/>
    <cellStyle name="Comma 4 6 2" xfId="2742"/>
    <cellStyle name="Comma 4 6 2 2" xfId="2743"/>
    <cellStyle name="Comma 4 6 2 2 2" xfId="2744"/>
    <cellStyle name="Comma 4 6 2 2 3" xfId="2745"/>
    <cellStyle name="Comma 4 6 2 3" xfId="2746"/>
    <cellStyle name="Comma 4 6 2 3 2" xfId="2747"/>
    <cellStyle name="Comma 4 6 2 4" xfId="2748"/>
    <cellStyle name="Comma 4 6 2 4 2" xfId="2749"/>
    <cellStyle name="Comma 4 6 2 5" xfId="2750"/>
    <cellStyle name="Comma 4 6 3" xfId="2751"/>
    <cellStyle name="Comma 4 6 3 2" xfId="2752"/>
    <cellStyle name="Comma 4 6 3 2 2" xfId="2753"/>
    <cellStyle name="Comma 4 6 3 3" xfId="2754"/>
    <cellStyle name="Comma 4 6 3 3 2" xfId="2755"/>
    <cellStyle name="Comma 4 6 3 4" xfId="2756"/>
    <cellStyle name="Comma 4 6 4" xfId="2757"/>
    <cellStyle name="Comma 4 6 4 2" xfId="2758"/>
    <cellStyle name="Comma 4 6 4 3" xfId="2759"/>
    <cellStyle name="Comma 4 6 5" xfId="2760"/>
    <cellStyle name="Comma 4 6 5 2" xfId="2761"/>
    <cellStyle name="Comma 4 6 6" xfId="2762"/>
    <cellStyle name="Comma 4 6 6 2" xfId="2763"/>
    <cellStyle name="Comma 4 6 7" xfId="2764"/>
    <cellStyle name="Comma 4 7" xfId="2765"/>
    <cellStyle name="Comma 4 7 2" xfId="2766"/>
    <cellStyle name="Comma 4 7 2 2" xfId="2767"/>
    <cellStyle name="Comma 4 7 2 2 2" xfId="2768"/>
    <cellStyle name="Comma 4 7 2 2 3" xfId="2769"/>
    <cellStyle name="Comma 4 7 2 3" xfId="2770"/>
    <cellStyle name="Comma 4 7 2 3 2" xfId="2771"/>
    <cellStyle name="Comma 4 7 2 4" xfId="2772"/>
    <cellStyle name="Comma 4 7 2 4 2" xfId="2773"/>
    <cellStyle name="Comma 4 7 2 5" xfId="2774"/>
    <cellStyle name="Comma 4 7 3" xfId="2775"/>
    <cellStyle name="Comma 4 7 3 2" xfId="2776"/>
    <cellStyle name="Comma 4 7 3 2 2" xfId="2777"/>
    <cellStyle name="Comma 4 7 3 3" xfId="2778"/>
    <cellStyle name="Comma 4 7 3 3 2" xfId="2779"/>
    <cellStyle name="Comma 4 7 3 4" xfId="2780"/>
    <cellStyle name="Comma 4 7 4" xfId="2781"/>
    <cellStyle name="Comma 4 7 4 2" xfId="2782"/>
    <cellStyle name="Comma 4 7 4 3" xfId="2783"/>
    <cellStyle name="Comma 4 7 5" xfId="2784"/>
    <cellStyle name="Comma 4 7 5 2" xfId="2785"/>
    <cellStyle name="Comma 4 7 6" xfId="2786"/>
    <cellStyle name="Comma 4 7 6 2" xfId="2787"/>
    <cellStyle name="Comma 4 7 7" xfId="2788"/>
    <cellStyle name="Comma 4 8" xfId="2789"/>
    <cellStyle name="Comma 4 8 2" xfId="2790"/>
    <cellStyle name="Comma 4 8 2 2" xfId="2791"/>
    <cellStyle name="Comma 4 8 2 2 2" xfId="2792"/>
    <cellStyle name="Comma 4 8 2 3" xfId="2793"/>
    <cellStyle name="Comma 4 8 2 3 2" xfId="2794"/>
    <cellStyle name="Comma 4 8 2 4" xfId="2795"/>
    <cellStyle name="Comma 4 8 3" xfId="2796"/>
    <cellStyle name="Comma 4 8 3 2" xfId="2797"/>
    <cellStyle name="Comma 4 8 3 3" xfId="2798"/>
    <cellStyle name="Comma 4 8 4" xfId="2799"/>
    <cellStyle name="Comma 4 8 4 2" xfId="2800"/>
    <cellStyle name="Comma 4 8 5" xfId="2801"/>
    <cellStyle name="Comma 4 8 5 2" xfId="2802"/>
    <cellStyle name="Comma 4 8 6" xfId="2803"/>
    <cellStyle name="Comma 4 9" xfId="2804"/>
    <cellStyle name="Comma 4 9 2" xfId="2805"/>
    <cellStyle name="Comma 4 9 2 2" xfId="2806"/>
    <cellStyle name="Comma 4 9 3" xfId="2807"/>
    <cellStyle name="Comma 4 9 3 2" xfId="2808"/>
    <cellStyle name="Comma 4 9 4" xfId="2809"/>
    <cellStyle name="Comma 40" xfId="2810"/>
    <cellStyle name="Comma 41" xfId="2811"/>
    <cellStyle name="Comma 42" xfId="2812"/>
    <cellStyle name="Comma 43" xfId="2813"/>
    <cellStyle name="Comma 44" xfId="2814"/>
    <cellStyle name="Comma 45" xfId="2815"/>
    <cellStyle name="Comma 46" xfId="2816"/>
    <cellStyle name="Comma 47" xfId="2817"/>
    <cellStyle name="Comma 48" xfId="2818"/>
    <cellStyle name="Comma 49" xfId="2819"/>
    <cellStyle name="Comma 5" xfId="2820"/>
    <cellStyle name="Comma 5 2" xfId="2821"/>
    <cellStyle name="Comma 5 2 2" xfId="2822"/>
    <cellStyle name="Comma 5 2 2 2" xfId="2823"/>
    <cellStyle name="Comma 5 2 2 2 2" xfId="2824"/>
    <cellStyle name="Comma 5 2 2 3" xfId="2825"/>
    <cellStyle name="Comma 5 2 2 4" xfId="2826"/>
    <cellStyle name="Comma 5 2 3" xfId="2827"/>
    <cellStyle name="Comma 5 2 3 2" xfId="2828"/>
    <cellStyle name="Comma 5 2 4" xfId="2829"/>
    <cellStyle name="Comma 5 2 5" xfId="2830"/>
    <cellStyle name="Comma 5 3" xfId="2831"/>
    <cellStyle name="Comma 5 3 2" xfId="2832"/>
    <cellStyle name="Comma 5 3 2 2" xfId="2833"/>
    <cellStyle name="Comma 5 3 3" xfId="2834"/>
    <cellStyle name="Comma 5 3 4" xfId="2835"/>
    <cellStyle name="Comma 5 4" xfId="2836"/>
    <cellStyle name="Comma 5 4 2" xfId="2837"/>
    <cellStyle name="Comma 5 4 2 2" xfId="2838"/>
    <cellStyle name="Comma 5 4 3" xfId="2839"/>
    <cellStyle name="Comma 5 4 4" xfId="2840"/>
    <cellStyle name="Comma 5 5" xfId="2841"/>
    <cellStyle name="Comma 5 5 2" xfId="2842"/>
    <cellStyle name="Comma 5 5 2 2" xfId="2843"/>
    <cellStyle name="Comma 5 5 3" xfId="2844"/>
    <cellStyle name="Comma 5 5 4" xfId="2845"/>
    <cellStyle name="Comma 5 6" xfId="2846"/>
    <cellStyle name="Comma 5 6 2" xfId="2847"/>
    <cellStyle name="Comma 5 7" xfId="2848"/>
    <cellStyle name="Comma 5 8" xfId="2849"/>
    <cellStyle name="Comma 5 9" xfId="2850"/>
    <cellStyle name="Comma 50" xfId="2851"/>
    <cellStyle name="Comma 51" xfId="2852"/>
    <cellStyle name="Comma 52" xfId="2853"/>
    <cellStyle name="Comma 53" xfId="2854"/>
    <cellStyle name="Comma 54" xfId="2855"/>
    <cellStyle name="Comma 55" xfId="2856"/>
    <cellStyle name="Comma 56" xfId="2857"/>
    <cellStyle name="Comma 57" xfId="2858"/>
    <cellStyle name="Comma 58" xfId="2859"/>
    <cellStyle name="Comma 59" xfId="2860"/>
    <cellStyle name="Comma 6" xfId="2861"/>
    <cellStyle name="Comma 6 2" xfId="2862"/>
    <cellStyle name="Comma 6 2 2" xfId="2863"/>
    <cellStyle name="Comma 6 2 3" xfId="2864"/>
    <cellStyle name="Comma 6 3" xfId="2865"/>
    <cellStyle name="Comma 6 3 2" xfId="2866"/>
    <cellStyle name="Comma 6 3 3" xfId="2867"/>
    <cellStyle name="Comma 6 4" xfId="2868"/>
    <cellStyle name="Comma 60" xfId="2869"/>
    <cellStyle name="Comma 61" xfId="2870"/>
    <cellStyle name="Comma 62" xfId="2871"/>
    <cellStyle name="Comma 63" xfId="2872"/>
    <cellStyle name="Comma 64" xfId="2873"/>
    <cellStyle name="Comma 65" xfId="2874"/>
    <cellStyle name="Comma 66" xfId="2875"/>
    <cellStyle name="Comma 67" xfId="2876"/>
    <cellStyle name="Comma 68" xfId="2877"/>
    <cellStyle name="Comma 69" xfId="2878"/>
    <cellStyle name="Comma 7" xfId="2879"/>
    <cellStyle name="Comma 7 10" xfId="2880"/>
    <cellStyle name="Comma 7 10 2" xfId="2881"/>
    <cellStyle name="Comma 7 10 2 2" xfId="2882"/>
    <cellStyle name="Comma 7 10 3" xfId="2883"/>
    <cellStyle name="Comma 7 10 3 2" xfId="2884"/>
    <cellStyle name="Comma 7 10 4" xfId="2885"/>
    <cellStyle name="Comma 7 10 4 2" xfId="2886"/>
    <cellStyle name="Comma 7 10 5" xfId="2887"/>
    <cellStyle name="Comma 7 10 6" xfId="2888"/>
    <cellStyle name="Comma 7 11" xfId="2889"/>
    <cellStyle name="Comma 7 11 2" xfId="2890"/>
    <cellStyle name="Comma 7 11 2 2" xfId="2891"/>
    <cellStyle name="Comma 7 11 3" xfId="2892"/>
    <cellStyle name="Comma 7 11 3 2" xfId="2893"/>
    <cellStyle name="Comma 7 11 4" xfId="2894"/>
    <cellStyle name="Comma 7 11 5" xfId="2895"/>
    <cellStyle name="Comma 7 12" xfId="2896"/>
    <cellStyle name="Comma 7 12 2" xfId="2897"/>
    <cellStyle name="Comma 7 13" xfId="2898"/>
    <cellStyle name="Comma 7 13 2" xfId="2899"/>
    <cellStyle name="Comma 7 14" xfId="2900"/>
    <cellStyle name="Comma 7 14 2" xfId="2901"/>
    <cellStyle name="Comma 7 15" xfId="2902"/>
    <cellStyle name="Comma 7 16" xfId="2903"/>
    <cellStyle name="Comma 7 17" xfId="2904"/>
    <cellStyle name="Comma 7 2" xfId="2905"/>
    <cellStyle name="Comma 7 2 10" xfId="2906"/>
    <cellStyle name="Comma 7 2 10 2" xfId="2907"/>
    <cellStyle name="Comma 7 2 11" xfId="2908"/>
    <cellStyle name="Comma 7 2 11 2" xfId="2909"/>
    <cellStyle name="Comma 7 2 12" xfId="2910"/>
    <cellStyle name="Comma 7 2 13" xfId="2911"/>
    <cellStyle name="Comma 7 2 14" xfId="2912"/>
    <cellStyle name="Comma 7 2 2" xfId="2913"/>
    <cellStyle name="Comma 7 2 2 10" xfId="2914"/>
    <cellStyle name="Comma 7 2 2 11" xfId="2915"/>
    <cellStyle name="Comma 7 2 2 12" xfId="2916"/>
    <cellStyle name="Comma 7 2 2 2" xfId="2917"/>
    <cellStyle name="Comma 7 2 2 2 2" xfId="2918"/>
    <cellStyle name="Comma 7 2 2 2 2 2" xfId="2919"/>
    <cellStyle name="Comma 7 2 2 2 3" xfId="2920"/>
    <cellStyle name="Comma 7 2 2 2 3 2" xfId="2921"/>
    <cellStyle name="Comma 7 2 2 2 4" xfId="2922"/>
    <cellStyle name="Comma 7 2 2 2 4 2" xfId="2923"/>
    <cellStyle name="Comma 7 2 2 2 5" xfId="2924"/>
    <cellStyle name="Comma 7 2 2 2 6" xfId="2925"/>
    <cellStyle name="Comma 7 2 2 3" xfId="2926"/>
    <cellStyle name="Comma 7 2 2 3 2" xfId="2927"/>
    <cellStyle name="Comma 7 2 2 3 2 2" xfId="2928"/>
    <cellStyle name="Comma 7 2 2 3 3" xfId="2929"/>
    <cellStyle name="Comma 7 2 2 3 3 2" xfId="2930"/>
    <cellStyle name="Comma 7 2 2 3 4" xfId="2931"/>
    <cellStyle name="Comma 7 2 2 3 4 2" xfId="2932"/>
    <cellStyle name="Comma 7 2 2 3 5" xfId="2933"/>
    <cellStyle name="Comma 7 2 2 3 6" xfId="2934"/>
    <cellStyle name="Comma 7 2 2 4" xfId="2935"/>
    <cellStyle name="Comma 7 2 2 4 2" xfId="2936"/>
    <cellStyle name="Comma 7 2 2 4 2 2" xfId="2937"/>
    <cellStyle name="Comma 7 2 2 4 3" xfId="2938"/>
    <cellStyle name="Comma 7 2 2 4 3 2" xfId="2939"/>
    <cellStyle name="Comma 7 2 2 4 4" xfId="2940"/>
    <cellStyle name="Comma 7 2 2 4 4 2" xfId="2941"/>
    <cellStyle name="Comma 7 2 2 4 5" xfId="2942"/>
    <cellStyle name="Comma 7 2 2 4 6" xfId="2943"/>
    <cellStyle name="Comma 7 2 2 5" xfId="2944"/>
    <cellStyle name="Comma 7 2 2 5 2" xfId="2945"/>
    <cellStyle name="Comma 7 2 2 5 2 2" xfId="2946"/>
    <cellStyle name="Comma 7 2 2 5 3" xfId="2947"/>
    <cellStyle name="Comma 7 2 2 5 3 2" xfId="2948"/>
    <cellStyle name="Comma 7 2 2 5 4" xfId="2949"/>
    <cellStyle name="Comma 7 2 2 5 4 2" xfId="2950"/>
    <cellStyle name="Comma 7 2 2 5 5" xfId="2951"/>
    <cellStyle name="Comma 7 2 2 5 6" xfId="2952"/>
    <cellStyle name="Comma 7 2 2 6" xfId="2953"/>
    <cellStyle name="Comma 7 2 2 6 2" xfId="2954"/>
    <cellStyle name="Comma 7 2 2 6 2 2" xfId="2955"/>
    <cellStyle name="Comma 7 2 2 6 3" xfId="2956"/>
    <cellStyle name="Comma 7 2 2 6 3 2" xfId="2957"/>
    <cellStyle name="Comma 7 2 2 6 4" xfId="2958"/>
    <cellStyle name="Comma 7 2 2 6 5" xfId="2959"/>
    <cellStyle name="Comma 7 2 2 7" xfId="2960"/>
    <cellStyle name="Comma 7 2 2 7 2" xfId="2961"/>
    <cellStyle name="Comma 7 2 2 8" xfId="2962"/>
    <cellStyle name="Comma 7 2 2 8 2" xfId="2963"/>
    <cellStyle name="Comma 7 2 2 9" xfId="2964"/>
    <cellStyle name="Comma 7 2 2 9 2" xfId="2965"/>
    <cellStyle name="Comma 7 2 3" xfId="2966"/>
    <cellStyle name="Comma 7 2 3 10" xfId="2967"/>
    <cellStyle name="Comma 7 2 3 2" xfId="2968"/>
    <cellStyle name="Comma 7 2 3 2 2" xfId="2969"/>
    <cellStyle name="Comma 7 2 3 2 2 2" xfId="2970"/>
    <cellStyle name="Comma 7 2 3 2 3" xfId="2971"/>
    <cellStyle name="Comma 7 2 3 2 3 2" xfId="2972"/>
    <cellStyle name="Comma 7 2 3 2 4" xfId="2973"/>
    <cellStyle name="Comma 7 2 3 2 4 2" xfId="2974"/>
    <cellStyle name="Comma 7 2 3 2 5" xfId="2975"/>
    <cellStyle name="Comma 7 2 3 2 6" xfId="2976"/>
    <cellStyle name="Comma 7 2 3 3" xfId="2977"/>
    <cellStyle name="Comma 7 2 3 3 2" xfId="2978"/>
    <cellStyle name="Comma 7 2 3 3 2 2" xfId="2979"/>
    <cellStyle name="Comma 7 2 3 3 3" xfId="2980"/>
    <cellStyle name="Comma 7 2 3 3 3 2" xfId="2981"/>
    <cellStyle name="Comma 7 2 3 3 4" xfId="2982"/>
    <cellStyle name="Comma 7 2 3 3 4 2" xfId="2983"/>
    <cellStyle name="Comma 7 2 3 3 5" xfId="2984"/>
    <cellStyle name="Comma 7 2 3 3 6" xfId="2985"/>
    <cellStyle name="Comma 7 2 3 4" xfId="2986"/>
    <cellStyle name="Comma 7 2 3 4 2" xfId="2987"/>
    <cellStyle name="Comma 7 2 3 4 2 2" xfId="2988"/>
    <cellStyle name="Comma 7 2 3 4 3" xfId="2989"/>
    <cellStyle name="Comma 7 2 3 4 3 2" xfId="2990"/>
    <cellStyle name="Comma 7 2 3 4 4" xfId="2991"/>
    <cellStyle name="Comma 7 2 3 4 4 2" xfId="2992"/>
    <cellStyle name="Comma 7 2 3 4 5" xfId="2993"/>
    <cellStyle name="Comma 7 2 3 4 6" xfId="2994"/>
    <cellStyle name="Comma 7 2 3 5" xfId="2995"/>
    <cellStyle name="Comma 7 2 3 5 2" xfId="2996"/>
    <cellStyle name="Comma 7 2 3 5 2 2" xfId="2997"/>
    <cellStyle name="Comma 7 2 3 5 3" xfId="2998"/>
    <cellStyle name="Comma 7 2 3 5 3 2" xfId="2999"/>
    <cellStyle name="Comma 7 2 3 5 4" xfId="3000"/>
    <cellStyle name="Comma 7 2 3 5 5" xfId="3001"/>
    <cellStyle name="Comma 7 2 3 6" xfId="3002"/>
    <cellStyle name="Comma 7 2 3 6 2" xfId="3003"/>
    <cellStyle name="Comma 7 2 3 7" xfId="3004"/>
    <cellStyle name="Comma 7 2 3 7 2" xfId="3005"/>
    <cellStyle name="Comma 7 2 3 8" xfId="3006"/>
    <cellStyle name="Comma 7 2 3 8 2" xfId="3007"/>
    <cellStyle name="Comma 7 2 3 9" xfId="3008"/>
    <cellStyle name="Comma 7 2 4" xfId="3009"/>
    <cellStyle name="Comma 7 2 4 10" xfId="3010"/>
    <cellStyle name="Comma 7 2 4 2" xfId="3011"/>
    <cellStyle name="Comma 7 2 4 2 2" xfId="3012"/>
    <cellStyle name="Comma 7 2 4 2 2 2" xfId="3013"/>
    <cellStyle name="Comma 7 2 4 2 3" xfId="3014"/>
    <cellStyle name="Comma 7 2 4 2 3 2" xfId="3015"/>
    <cellStyle name="Comma 7 2 4 2 4" xfId="3016"/>
    <cellStyle name="Comma 7 2 4 2 4 2" xfId="3017"/>
    <cellStyle name="Comma 7 2 4 2 5" xfId="3018"/>
    <cellStyle name="Comma 7 2 4 2 6" xfId="3019"/>
    <cellStyle name="Comma 7 2 4 3" xfId="3020"/>
    <cellStyle name="Comma 7 2 4 3 2" xfId="3021"/>
    <cellStyle name="Comma 7 2 4 3 2 2" xfId="3022"/>
    <cellStyle name="Comma 7 2 4 3 3" xfId="3023"/>
    <cellStyle name="Comma 7 2 4 3 3 2" xfId="3024"/>
    <cellStyle name="Comma 7 2 4 3 4" xfId="3025"/>
    <cellStyle name="Comma 7 2 4 3 4 2" xfId="3026"/>
    <cellStyle name="Comma 7 2 4 3 5" xfId="3027"/>
    <cellStyle name="Comma 7 2 4 3 6" xfId="3028"/>
    <cellStyle name="Comma 7 2 4 4" xfId="3029"/>
    <cellStyle name="Comma 7 2 4 4 2" xfId="3030"/>
    <cellStyle name="Comma 7 2 4 4 2 2" xfId="3031"/>
    <cellStyle name="Comma 7 2 4 4 3" xfId="3032"/>
    <cellStyle name="Comma 7 2 4 4 3 2" xfId="3033"/>
    <cellStyle name="Comma 7 2 4 4 4" xfId="3034"/>
    <cellStyle name="Comma 7 2 4 4 4 2" xfId="3035"/>
    <cellStyle name="Comma 7 2 4 4 5" xfId="3036"/>
    <cellStyle name="Comma 7 2 4 4 6" xfId="3037"/>
    <cellStyle name="Comma 7 2 4 5" xfId="3038"/>
    <cellStyle name="Comma 7 2 4 5 2" xfId="3039"/>
    <cellStyle name="Comma 7 2 4 5 2 2" xfId="3040"/>
    <cellStyle name="Comma 7 2 4 5 3" xfId="3041"/>
    <cellStyle name="Comma 7 2 4 5 3 2" xfId="3042"/>
    <cellStyle name="Comma 7 2 4 5 4" xfId="3043"/>
    <cellStyle name="Comma 7 2 4 5 5" xfId="3044"/>
    <cellStyle name="Comma 7 2 4 6" xfId="3045"/>
    <cellStyle name="Comma 7 2 4 6 2" xfId="3046"/>
    <cellStyle name="Comma 7 2 4 7" xfId="3047"/>
    <cellStyle name="Comma 7 2 4 7 2" xfId="3048"/>
    <cellStyle name="Comma 7 2 4 8" xfId="3049"/>
    <cellStyle name="Comma 7 2 4 8 2" xfId="3050"/>
    <cellStyle name="Comma 7 2 4 9" xfId="3051"/>
    <cellStyle name="Comma 7 2 5" xfId="3052"/>
    <cellStyle name="Comma 7 2 5 2" xfId="3053"/>
    <cellStyle name="Comma 7 2 5 2 2" xfId="3054"/>
    <cellStyle name="Comma 7 2 5 3" xfId="3055"/>
    <cellStyle name="Comma 7 2 5 3 2" xfId="3056"/>
    <cellStyle name="Comma 7 2 5 4" xfId="3057"/>
    <cellStyle name="Comma 7 2 5 4 2" xfId="3058"/>
    <cellStyle name="Comma 7 2 5 5" xfId="3059"/>
    <cellStyle name="Comma 7 2 5 6" xfId="3060"/>
    <cellStyle name="Comma 7 2 6" xfId="3061"/>
    <cellStyle name="Comma 7 2 6 2" xfId="3062"/>
    <cellStyle name="Comma 7 2 6 2 2" xfId="3063"/>
    <cellStyle name="Comma 7 2 6 3" xfId="3064"/>
    <cellStyle name="Comma 7 2 6 3 2" xfId="3065"/>
    <cellStyle name="Comma 7 2 6 4" xfId="3066"/>
    <cellStyle name="Comma 7 2 6 4 2" xfId="3067"/>
    <cellStyle name="Comma 7 2 6 5" xfId="3068"/>
    <cellStyle name="Comma 7 2 6 6" xfId="3069"/>
    <cellStyle name="Comma 7 2 7" xfId="3070"/>
    <cellStyle name="Comma 7 2 7 2" xfId="3071"/>
    <cellStyle name="Comma 7 2 7 2 2" xfId="3072"/>
    <cellStyle name="Comma 7 2 7 3" xfId="3073"/>
    <cellStyle name="Comma 7 2 7 3 2" xfId="3074"/>
    <cellStyle name="Comma 7 2 7 4" xfId="3075"/>
    <cellStyle name="Comma 7 2 7 4 2" xfId="3076"/>
    <cellStyle name="Comma 7 2 7 5" xfId="3077"/>
    <cellStyle name="Comma 7 2 7 6" xfId="3078"/>
    <cellStyle name="Comma 7 2 8" xfId="3079"/>
    <cellStyle name="Comma 7 2 8 2" xfId="3080"/>
    <cellStyle name="Comma 7 2 8 2 2" xfId="3081"/>
    <cellStyle name="Comma 7 2 8 3" xfId="3082"/>
    <cellStyle name="Comma 7 2 8 3 2" xfId="3083"/>
    <cellStyle name="Comma 7 2 8 4" xfId="3084"/>
    <cellStyle name="Comma 7 2 8 5" xfId="3085"/>
    <cellStyle name="Comma 7 2 9" xfId="3086"/>
    <cellStyle name="Comma 7 2 9 2" xfId="3087"/>
    <cellStyle name="Comma 7 3" xfId="3088"/>
    <cellStyle name="Comma 7 3 10" xfId="3089"/>
    <cellStyle name="Comma 7 3 10 2" xfId="3090"/>
    <cellStyle name="Comma 7 3 11" xfId="3091"/>
    <cellStyle name="Comma 7 3 11 2" xfId="3092"/>
    <cellStyle name="Comma 7 3 12" xfId="3093"/>
    <cellStyle name="Comma 7 3 13" xfId="3094"/>
    <cellStyle name="Comma 7 3 14" xfId="3095"/>
    <cellStyle name="Comma 7 3 2" xfId="3096"/>
    <cellStyle name="Comma 7 3 2 10" xfId="3097"/>
    <cellStyle name="Comma 7 3 2 11" xfId="3098"/>
    <cellStyle name="Comma 7 3 2 12" xfId="3099"/>
    <cellStyle name="Comma 7 3 2 2" xfId="3100"/>
    <cellStyle name="Comma 7 3 2 2 2" xfId="3101"/>
    <cellStyle name="Comma 7 3 2 2 2 2" xfId="3102"/>
    <cellStyle name="Comma 7 3 2 2 3" xfId="3103"/>
    <cellStyle name="Comma 7 3 2 2 3 2" xfId="3104"/>
    <cellStyle name="Comma 7 3 2 2 4" xfId="3105"/>
    <cellStyle name="Comma 7 3 2 2 4 2" xfId="3106"/>
    <cellStyle name="Comma 7 3 2 2 5" xfId="3107"/>
    <cellStyle name="Comma 7 3 2 2 6" xfId="3108"/>
    <cellStyle name="Comma 7 3 2 3" xfId="3109"/>
    <cellStyle name="Comma 7 3 2 3 2" xfId="3110"/>
    <cellStyle name="Comma 7 3 2 3 2 2" xfId="3111"/>
    <cellStyle name="Comma 7 3 2 3 3" xfId="3112"/>
    <cellStyle name="Comma 7 3 2 3 3 2" xfId="3113"/>
    <cellStyle name="Comma 7 3 2 3 4" xfId="3114"/>
    <cellStyle name="Comma 7 3 2 3 4 2" xfId="3115"/>
    <cellStyle name="Comma 7 3 2 3 5" xfId="3116"/>
    <cellStyle name="Comma 7 3 2 3 6" xfId="3117"/>
    <cellStyle name="Comma 7 3 2 4" xfId="3118"/>
    <cellStyle name="Comma 7 3 2 4 2" xfId="3119"/>
    <cellStyle name="Comma 7 3 2 4 2 2" xfId="3120"/>
    <cellStyle name="Comma 7 3 2 4 3" xfId="3121"/>
    <cellStyle name="Comma 7 3 2 4 3 2" xfId="3122"/>
    <cellStyle name="Comma 7 3 2 4 4" xfId="3123"/>
    <cellStyle name="Comma 7 3 2 4 4 2" xfId="3124"/>
    <cellStyle name="Comma 7 3 2 4 5" xfId="3125"/>
    <cellStyle name="Comma 7 3 2 4 6" xfId="3126"/>
    <cellStyle name="Comma 7 3 2 5" xfId="3127"/>
    <cellStyle name="Comma 7 3 2 5 2" xfId="3128"/>
    <cellStyle name="Comma 7 3 2 5 2 2" xfId="3129"/>
    <cellStyle name="Comma 7 3 2 5 3" xfId="3130"/>
    <cellStyle name="Comma 7 3 2 5 3 2" xfId="3131"/>
    <cellStyle name="Comma 7 3 2 5 4" xfId="3132"/>
    <cellStyle name="Comma 7 3 2 5 4 2" xfId="3133"/>
    <cellStyle name="Comma 7 3 2 5 5" xfId="3134"/>
    <cellStyle name="Comma 7 3 2 5 6" xfId="3135"/>
    <cellStyle name="Comma 7 3 2 6" xfId="3136"/>
    <cellStyle name="Comma 7 3 2 6 2" xfId="3137"/>
    <cellStyle name="Comma 7 3 2 6 2 2" xfId="3138"/>
    <cellStyle name="Comma 7 3 2 6 3" xfId="3139"/>
    <cellStyle name="Comma 7 3 2 6 3 2" xfId="3140"/>
    <cellStyle name="Comma 7 3 2 6 4" xfId="3141"/>
    <cellStyle name="Comma 7 3 2 6 5" xfId="3142"/>
    <cellStyle name="Comma 7 3 2 7" xfId="3143"/>
    <cellStyle name="Comma 7 3 2 7 2" xfId="3144"/>
    <cellStyle name="Comma 7 3 2 8" xfId="3145"/>
    <cellStyle name="Comma 7 3 2 8 2" xfId="3146"/>
    <cellStyle name="Comma 7 3 2 9" xfId="3147"/>
    <cellStyle name="Comma 7 3 2 9 2" xfId="3148"/>
    <cellStyle name="Comma 7 3 3" xfId="3149"/>
    <cellStyle name="Comma 7 3 3 10" xfId="3150"/>
    <cellStyle name="Comma 7 3 3 2" xfId="3151"/>
    <cellStyle name="Comma 7 3 3 2 2" xfId="3152"/>
    <cellStyle name="Comma 7 3 3 2 2 2" xfId="3153"/>
    <cellStyle name="Comma 7 3 3 2 3" xfId="3154"/>
    <cellStyle name="Comma 7 3 3 2 3 2" xfId="3155"/>
    <cellStyle name="Comma 7 3 3 2 4" xfId="3156"/>
    <cellStyle name="Comma 7 3 3 2 4 2" xfId="3157"/>
    <cellStyle name="Comma 7 3 3 2 5" xfId="3158"/>
    <cellStyle name="Comma 7 3 3 2 6" xfId="3159"/>
    <cellStyle name="Comma 7 3 3 3" xfId="3160"/>
    <cellStyle name="Comma 7 3 3 3 2" xfId="3161"/>
    <cellStyle name="Comma 7 3 3 3 2 2" xfId="3162"/>
    <cellStyle name="Comma 7 3 3 3 3" xfId="3163"/>
    <cellStyle name="Comma 7 3 3 3 3 2" xfId="3164"/>
    <cellStyle name="Comma 7 3 3 3 4" xfId="3165"/>
    <cellStyle name="Comma 7 3 3 3 4 2" xfId="3166"/>
    <cellStyle name="Comma 7 3 3 3 5" xfId="3167"/>
    <cellStyle name="Comma 7 3 3 3 6" xfId="3168"/>
    <cellStyle name="Comma 7 3 3 4" xfId="3169"/>
    <cellStyle name="Comma 7 3 3 4 2" xfId="3170"/>
    <cellStyle name="Comma 7 3 3 4 2 2" xfId="3171"/>
    <cellStyle name="Comma 7 3 3 4 3" xfId="3172"/>
    <cellStyle name="Comma 7 3 3 4 3 2" xfId="3173"/>
    <cellStyle name="Comma 7 3 3 4 4" xfId="3174"/>
    <cellStyle name="Comma 7 3 3 4 4 2" xfId="3175"/>
    <cellStyle name="Comma 7 3 3 4 5" xfId="3176"/>
    <cellStyle name="Comma 7 3 3 4 6" xfId="3177"/>
    <cellStyle name="Comma 7 3 3 5" xfId="3178"/>
    <cellStyle name="Comma 7 3 3 5 2" xfId="3179"/>
    <cellStyle name="Comma 7 3 3 5 2 2" xfId="3180"/>
    <cellStyle name="Comma 7 3 3 5 3" xfId="3181"/>
    <cellStyle name="Comma 7 3 3 5 3 2" xfId="3182"/>
    <cellStyle name="Comma 7 3 3 5 4" xfId="3183"/>
    <cellStyle name="Comma 7 3 3 5 5" xfId="3184"/>
    <cellStyle name="Comma 7 3 3 6" xfId="3185"/>
    <cellStyle name="Comma 7 3 3 6 2" xfId="3186"/>
    <cellStyle name="Comma 7 3 3 7" xfId="3187"/>
    <cellStyle name="Comma 7 3 3 7 2" xfId="3188"/>
    <cellStyle name="Comma 7 3 3 8" xfId="3189"/>
    <cellStyle name="Comma 7 3 3 8 2" xfId="3190"/>
    <cellStyle name="Comma 7 3 3 9" xfId="3191"/>
    <cellStyle name="Comma 7 3 4" xfId="3192"/>
    <cellStyle name="Comma 7 3 4 10" xfId="3193"/>
    <cellStyle name="Comma 7 3 4 2" xfId="3194"/>
    <cellStyle name="Comma 7 3 4 2 2" xfId="3195"/>
    <cellStyle name="Comma 7 3 4 2 2 2" xfId="3196"/>
    <cellStyle name="Comma 7 3 4 2 3" xfId="3197"/>
    <cellStyle name="Comma 7 3 4 2 3 2" xfId="3198"/>
    <cellStyle name="Comma 7 3 4 2 4" xfId="3199"/>
    <cellStyle name="Comma 7 3 4 2 4 2" xfId="3200"/>
    <cellStyle name="Comma 7 3 4 2 5" xfId="3201"/>
    <cellStyle name="Comma 7 3 4 2 6" xfId="3202"/>
    <cellStyle name="Comma 7 3 4 3" xfId="3203"/>
    <cellStyle name="Comma 7 3 4 3 2" xfId="3204"/>
    <cellStyle name="Comma 7 3 4 3 2 2" xfId="3205"/>
    <cellStyle name="Comma 7 3 4 3 3" xfId="3206"/>
    <cellStyle name="Comma 7 3 4 3 3 2" xfId="3207"/>
    <cellStyle name="Comma 7 3 4 3 4" xfId="3208"/>
    <cellStyle name="Comma 7 3 4 3 4 2" xfId="3209"/>
    <cellStyle name="Comma 7 3 4 3 5" xfId="3210"/>
    <cellStyle name="Comma 7 3 4 3 6" xfId="3211"/>
    <cellStyle name="Comma 7 3 4 4" xfId="3212"/>
    <cellStyle name="Comma 7 3 4 4 2" xfId="3213"/>
    <cellStyle name="Comma 7 3 4 4 2 2" xfId="3214"/>
    <cellStyle name="Comma 7 3 4 4 3" xfId="3215"/>
    <cellStyle name="Comma 7 3 4 4 3 2" xfId="3216"/>
    <cellStyle name="Comma 7 3 4 4 4" xfId="3217"/>
    <cellStyle name="Comma 7 3 4 4 4 2" xfId="3218"/>
    <cellStyle name="Comma 7 3 4 4 5" xfId="3219"/>
    <cellStyle name="Comma 7 3 4 4 6" xfId="3220"/>
    <cellStyle name="Comma 7 3 4 5" xfId="3221"/>
    <cellStyle name="Comma 7 3 4 5 2" xfId="3222"/>
    <cellStyle name="Comma 7 3 4 5 2 2" xfId="3223"/>
    <cellStyle name="Comma 7 3 4 5 3" xfId="3224"/>
    <cellStyle name="Comma 7 3 4 5 3 2" xfId="3225"/>
    <cellStyle name="Comma 7 3 4 5 4" xfId="3226"/>
    <cellStyle name="Comma 7 3 4 5 5" xfId="3227"/>
    <cellStyle name="Comma 7 3 4 6" xfId="3228"/>
    <cellStyle name="Comma 7 3 4 6 2" xfId="3229"/>
    <cellStyle name="Comma 7 3 4 7" xfId="3230"/>
    <cellStyle name="Comma 7 3 4 7 2" xfId="3231"/>
    <cellStyle name="Comma 7 3 4 8" xfId="3232"/>
    <cellStyle name="Comma 7 3 4 8 2" xfId="3233"/>
    <cellStyle name="Comma 7 3 4 9" xfId="3234"/>
    <cellStyle name="Comma 7 3 5" xfId="3235"/>
    <cellStyle name="Comma 7 3 5 2" xfId="3236"/>
    <cellStyle name="Comma 7 3 5 2 2" xfId="3237"/>
    <cellStyle name="Comma 7 3 5 3" xfId="3238"/>
    <cellStyle name="Comma 7 3 5 3 2" xfId="3239"/>
    <cellStyle name="Comma 7 3 5 4" xfId="3240"/>
    <cellStyle name="Comma 7 3 5 4 2" xfId="3241"/>
    <cellStyle name="Comma 7 3 5 5" xfId="3242"/>
    <cellStyle name="Comma 7 3 5 6" xfId="3243"/>
    <cellStyle name="Comma 7 3 6" xfId="3244"/>
    <cellStyle name="Comma 7 3 6 2" xfId="3245"/>
    <cellStyle name="Comma 7 3 6 2 2" xfId="3246"/>
    <cellStyle name="Comma 7 3 6 3" xfId="3247"/>
    <cellStyle name="Comma 7 3 6 3 2" xfId="3248"/>
    <cellStyle name="Comma 7 3 6 4" xfId="3249"/>
    <cellStyle name="Comma 7 3 6 4 2" xfId="3250"/>
    <cellStyle name="Comma 7 3 6 5" xfId="3251"/>
    <cellStyle name="Comma 7 3 6 6" xfId="3252"/>
    <cellStyle name="Comma 7 3 7" xfId="3253"/>
    <cellStyle name="Comma 7 3 7 2" xfId="3254"/>
    <cellStyle name="Comma 7 3 7 2 2" xfId="3255"/>
    <cellStyle name="Comma 7 3 7 3" xfId="3256"/>
    <cellStyle name="Comma 7 3 7 3 2" xfId="3257"/>
    <cellStyle name="Comma 7 3 7 4" xfId="3258"/>
    <cellStyle name="Comma 7 3 7 4 2" xfId="3259"/>
    <cellStyle name="Comma 7 3 7 5" xfId="3260"/>
    <cellStyle name="Comma 7 3 7 6" xfId="3261"/>
    <cellStyle name="Comma 7 3 8" xfId="3262"/>
    <cellStyle name="Comma 7 3 8 2" xfId="3263"/>
    <cellStyle name="Comma 7 3 8 2 2" xfId="3264"/>
    <cellStyle name="Comma 7 3 8 3" xfId="3265"/>
    <cellStyle name="Comma 7 3 8 3 2" xfId="3266"/>
    <cellStyle name="Comma 7 3 8 4" xfId="3267"/>
    <cellStyle name="Comma 7 3 8 5" xfId="3268"/>
    <cellStyle name="Comma 7 3 9" xfId="3269"/>
    <cellStyle name="Comma 7 3 9 2" xfId="3270"/>
    <cellStyle name="Comma 7 4" xfId="3271"/>
    <cellStyle name="Comma 7 4 10" xfId="3272"/>
    <cellStyle name="Comma 7 4 10 2" xfId="3273"/>
    <cellStyle name="Comma 7 4 11" xfId="3274"/>
    <cellStyle name="Comma 7 4 12" xfId="3275"/>
    <cellStyle name="Comma 7 4 13" xfId="3276"/>
    <cellStyle name="Comma 7 4 2" xfId="3277"/>
    <cellStyle name="Comma 7 4 2 10" xfId="3278"/>
    <cellStyle name="Comma 7 4 2 2" xfId="3279"/>
    <cellStyle name="Comma 7 4 2 2 2" xfId="3280"/>
    <cellStyle name="Comma 7 4 2 2 2 2" xfId="3281"/>
    <cellStyle name="Comma 7 4 2 2 3" xfId="3282"/>
    <cellStyle name="Comma 7 4 2 2 3 2" xfId="3283"/>
    <cellStyle name="Comma 7 4 2 2 4" xfId="3284"/>
    <cellStyle name="Comma 7 4 2 2 4 2" xfId="3285"/>
    <cellStyle name="Comma 7 4 2 2 5" xfId="3286"/>
    <cellStyle name="Comma 7 4 2 2 6" xfId="3287"/>
    <cellStyle name="Comma 7 4 2 3" xfId="3288"/>
    <cellStyle name="Comma 7 4 2 3 2" xfId="3289"/>
    <cellStyle name="Comma 7 4 2 3 2 2" xfId="3290"/>
    <cellStyle name="Comma 7 4 2 3 3" xfId="3291"/>
    <cellStyle name="Comma 7 4 2 3 3 2" xfId="3292"/>
    <cellStyle name="Comma 7 4 2 3 4" xfId="3293"/>
    <cellStyle name="Comma 7 4 2 3 4 2" xfId="3294"/>
    <cellStyle name="Comma 7 4 2 3 5" xfId="3295"/>
    <cellStyle name="Comma 7 4 2 3 6" xfId="3296"/>
    <cellStyle name="Comma 7 4 2 4" xfId="3297"/>
    <cellStyle name="Comma 7 4 2 4 2" xfId="3298"/>
    <cellStyle name="Comma 7 4 2 4 2 2" xfId="3299"/>
    <cellStyle name="Comma 7 4 2 4 3" xfId="3300"/>
    <cellStyle name="Comma 7 4 2 4 3 2" xfId="3301"/>
    <cellStyle name="Comma 7 4 2 4 4" xfId="3302"/>
    <cellStyle name="Comma 7 4 2 4 4 2" xfId="3303"/>
    <cellStyle name="Comma 7 4 2 4 5" xfId="3304"/>
    <cellStyle name="Comma 7 4 2 4 6" xfId="3305"/>
    <cellStyle name="Comma 7 4 2 5" xfId="3306"/>
    <cellStyle name="Comma 7 4 2 5 2" xfId="3307"/>
    <cellStyle name="Comma 7 4 2 5 2 2" xfId="3308"/>
    <cellStyle name="Comma 7 4 2 5 3" xfId="3309"/>
    <cellStyle name="Comma 7 4 2 5 3 2" xfId="3310"/>
    <cellStyle name="Comma 7 4 2 5 4" xfId="3311"/>
    <cellStyle name="Comma 7 4 2 5 5" xfId="3312"/>
    <cellStyle name="Comma 7 4 2 6" xfId="3313"/>
    <cellStyle name="Comma 7 4 2 6 2" xfId="3314"/>
    <cellStyle name="Comma 7 4 2 7" xfId="3315"/>
    <cellStyle name="Comma 7 4 2 7 2" xfId="3316"/>
    <cellStyle name="Comma 7 4 2 8" xfId="3317"/>
    <cellStyle name="Comma 7 4 2 8 2" xfId="3318"/>
    <cellStyle name="Comma 7 4 2 9" xfId="3319"/>
    <cellStyle name="Comma 7 4 3" xfId="3320"/>
    <cellStyle name="Comma 7 4 3 10" xfId="3321"/>
    <cellStyle name="Comma 7 4 3 2" xfId="3322"/>
    <cellStyle name="Comma 7 4 3 2 2" xfId="3323"/>
    <cellStyle name="Comma 7 4 3 2 2 2" xfId="3324"/>
    <cellStyle name="Comma 7 4 3 2 3" xfId="3325"/>
    <cellStyle name="Comma 7 4 3 2 3 2" xfId="3326"/>
    <cellStyle name="Comma 7 4 3 2 4" xfId="3327"/>
    <cellStyle name="Comma 7 4 3 2 4 2" xfId="3328"/>
    <cellStyle name="Comma 7 4 3 2 5" xfId="3329"/>
    <cellStyle name="Comma 7 4 3 2 6" xfId="3330"/>
    <cellStyle name="Comma 7 4 3 3" xfId="3331"/>
    <cellStyle name="Comma 7 4 3 3 2" xfId="3332"/>
    <cellStyle name="Comma 7 4 3 3 2 2" xfId="3333"/>
    <cellStyle name="Comma 7 4 3 3 3" xfId="3334"/>
    <cellStyle name="Comma 7 4 3 3 3 2" xfId="3335"/>
    <cellStyle name="Comma 7 4 3 3 4" xfId="3336"/>
    <cellStyle name="Comma 7 4 3 3 4 2" xfId="3337"/>
    <cellStyle name="Comma 7 4 3 3 5" xfId="3338"/>
    <cellStyle name="Comma 7 4 3 3 6" xfId="3339"/>
    <cellStyle name="Comma 7 4 3 4" xfId="3340"/>
    <cellStyle name="Comma 7 4 3 4 2" xfId="3341"/>
    <cellStyle name="Comma 7 4 3 4 2 2" xfId="3342"/>
    <cellStyle name="Comma 7 4 3 4 3" xfId="3343"/>
    <cellStyle name="Comma 7 4 3 4 3 2" xfId="3344"/>
    <cellStyle name="Comma 7 4 3 4 4" xfId="3345"/>
    <cellStyle name="Comma 7 4 3 4 4 2" xfId="3346"/>
    <cellStyle name="Comma 7 4 3 4 5" xfId="3347"/>
    <cellStyle name="Comma 7 4 3 4 6" xfId="3348"/>
    <cellStyle name="Comma 7 4 3 5" xfId="3349"/>
    <cellStyle name="Comma 7 4 3 5 2" xfId="3350"/>
    <cellStyle name="Comma 7 4 3 5 2 2" xfId="3351"/>
    <cellStyle name="Comma 7 4 3 5 3" xfId="3352"/>
    <cellStyle name="Comma 7 4 3 5 3 2" xfId="3353"/>
    <cellStyle name="Comma 7 4 3 5 4" xfId="3354"/>
    <cellStyle name="Comma 7 4 3 5 5" xfId="3355"/>
    <cellStyle name="Comma 7 4 3 6" xfId="3356"/>
    <cellStyle name="Comma 7 4 3 6 2" xfId="3357"/>
    <cellStyle name="Comma 7 4 3 7" xfId="3358"/>
    <cellStyle name="Comma 7 4 3 7 2" xfId="3359"/>
    <cellStyle name="Comma 7 4 3 8" xfId="3360"/>
    <cellStyle name="Comma 7 4 3 8 2" xfId="3361"/>
    <cellStyle name="Comma 7 4 3 9" xfId="3362"/>
    <cellStyle name="Comma 7 4 4" xfId="3363"/>
    <cellStyle name="Comma 7 4 4 2" xfId="3364"/>
    <cellStyle name="Comma 7 4 4 2 2" xfId="3365"/>
    <cellStyle name="Comma 7 4 4 3" xfId="3366"/>
    <cellStyle name="Comma 7 4 4 3 2" xfId="3367"/>
    <cellStyle name="Comma 7 4 4 4" xfId="3368"/>
    <cellStyle name="Comma 7 4 4 4 2" xfId="3369"/>
    <cellStyle name="Comma 7 4 4 5" xfId="3370"/>
    <cellStyle name="Comma 7 4 4 6" xfId="3371"/>
    <cellStyle name="Comma 7 4 5" xfId="3372"/>
    <cellStyle name="Comma 7 4 5 2" xfId="3373"/>
    <cellStyle name="Comma 7 4 5 2 2" xfId="3374"/>
    <cellStyle name="Comma 7 4 5 3" xfId="3375"/>
    <cellStyle name="Comma 7 4 5 3 2" xfId="3376"/>
    <cellStyle name="Comma 7 4 5 4" xfId="3377"/>
    <cellStyle name="Comma 7 4 5 4 2" xfId="3378"/>
    <cellStyle name="Comma 7 4 5 5" xfId="3379"/>
    <cellStyle name="Comma 7 4 5 6" xfId="3380"/>
    <cellStyle name="Comma 7 4 6" xfId="3381"/>
    <cellStyle name="Comma 7 4 6 2" xfId="3382"/>
    <cellStyle name="Comma 7 4 6 2 2" xfId="3383"/>
    <cellStyle name="Comma 7 4 6 3" xfId="3384"/>
    <cellStyle name="Comma 7 4 6 3 2" xfId="3385"/>
    <cellStyle name="Comma 7 4 6 4" xfId="3386"/>
    <cellStyle name="Comma 7 4 6 4 2" xfId="3387"/>
    <cellStyle name="Comma 7 4 6 5" xfId="3388"/>
    <cellStyle name="Comma 7 4 6 6" xfId="3389"/>
    <cellStyle name="Comma 7 4 7" xfId="3390"/>
    <cellStyle name="Comma 7 4 7 2" xfId="3391"/>
    <cellStyle name="Comma 7 4 7 2 2" xfId="3392"/>
    <cellStyle name="Comma 7 4 7 3" xfId="3393"/>
    <cellStyle name="Comma 7 4 7 3 2" xfId="3394"/>
    <cellStyle name="Comma 7 4 7 4" xfId="3395"/>
    <cellStyle name="Comma 7 4 7 5" xfId="3396"/>
    <cellStyle name="Comma 7 4 8" xfId="3397"/>
    <cellStyle name="Comma 7 4 8 2" xfId="3398"/>
    <cellStyle name="Comma 7 4 9" xfId="3399"/>
    <cellStyle name="Comma 7 4 9 2" xfId="3400"/>
    <cellStyle name="Comma 7 5" xfId="3401"/>
    <cellStyle name="Comma 7 5 10" xfId="3402"/>
    <cellStyle name="Comma 7 5 11" xfId="3403"/>
    <cellStyle name="Comma 7 5 2" xfId="3404"/>
    <cellStyle name="Comma 7 5 2 2" xfId="3405"/>
    <cellStyle name="Comma 7 5 2 2 2" xfId="3406"/>
    <cellStyle name="Comma 7 5 2 3" xfId="3407"/>
    <cellStyle name="Comma 7 5 2 3 2" xfId="3408"/>
    <cellStyle name="Comma 7 5 2 4" xfId="3409"/>
    <cellStyle name="Comma 7 5 2 4 2" xfId="3410"/>
    <cellStyle name="Comma 7 5 2 5" xfId="3411"/>
    <cellStyle name="Comma 7 5 2 6" xfId="3412"/>
    <cellStyle name="Comma 7 5 3" xfId="3413"/>
    <cellStyle name="Comma 7 5 3 2" xfId="3414"/>
    <cellStyle name="Comma 7 5 3 2 2" xfId="3415"/>
    <cellStyle name="Comma 7 5 3 3" xfId="3416"/>
    <cellStyle name="Comma 7 5 3 3 2" xfId="3417"/>
    <cellStyle name="Comma 7 5 3 4" xfId="3418"/>
    <cellStyle name="Comma 7 5 3 4 2" xfId="3419"/>
    <cellStyle name="Comma 7 5 3 5" xfId="3420"/>
    <cellStyle name="Comma 7 5 3 6" xfId="3421"/>
    <cellStyle name="Comma 7 5 4" xfId="3422"/>
    <cellStyle name="Comma 7 5 4 2" xfId="3423"/>
    <cellStyle name="Comma 7 5 4 2 2" xfId="3424"/>
    <cellStyle name="Comma 7 5 4 3" xfId="3425"/>
    <cellStyle name="Comma 7 5 4 3 2" xfId="3426"/>
    <cellStyle name="Comma 7 5 4 4" xfId="3427"/>
    <cellStyle name="Comma 7 5 4 4 2" xfId="3428"/>
    <cellStyle name="Comma 7 5 4 5" xfId="3429"/>
    <cellStyle name="Comma 7 5 4 6" xfId="3430"/>
    <cellStyle name="Comma 7 5 5" xfId="3431"/>
    <cellStyle name="Comma 7 5 5 2" xfId="3432"/>
    <cellStyle name="Comma 7 5 5 2 2" xfId="3433"/>
    <cellStyle name="Comma 7 5 5 3" xfId="3434"/>
    <cellStyle name="Comma 7 5 5 3 2" xfId="3435"/>
    <cellStyle name="Comma 7 5 5 4" xfId="3436"/>
    <cellStyle name="Comma 7 5 5 4 2" xfId="3437"/>
    <cellStyle name="Comma 7 5 5 5" xfId="3438"/>
    <cellStyle name="Comma 7 5 5 6" xfId="3439"/>
    <cellStyle name="Comma 7 5 6" xfId="3440"/>
    <cellStyle name="Comma 7 5 6 2" xfId="3441"/>
    <cellStyle name="Comma 7 5 6 2 2" xfId="3442"/>
    <cellStyle name="Comma 7 5 6 3" xfId="3443"/>
    <cellStyle name="Comma 7 5 6 3 2" xfId="3444"/>
    <cellStyle name="Comma 7 5 6 4" xfId="3445"/>
    <cellStyle name="Comma 7 5 6 5" xfId="3446"/>
    <cellStyle name="Comma 7 5 7" xfId="3447"/>
    <cellStyle name="Comma 7 5 7 2" xfId="3448"/>
    <cellStyle name="Comma 7 5 8" xfId="3449"/>
    <cellStyle name="Comma 7 5 8 2" xfId="3450"/>
    <cellStyle name="Comma 7 5 9" xfId="3451"/>
    <cellStyle name="Comma 7 5 9 2" xfId="3452"/>
    <cellStyle name="Comma 7 6" xfId="3453"/>
    <cellStyle name="Comma 7 6 10" xfId="3454"/>
    <cellStyle name="Comma 7 6 2" xfId="3455"/>
    <cellStyle name="Comma 7 6 2 2" xfId="3456"/>
    <cellStyle name="Comma 7 6 2 2 2" xfId="3457"/>
    <cellStyle name="Comma 7 6 2 3" xfId="3458"/>
    <cellStyle name="Comma 7 6 2 3 2" xfId="3459"/>
    <cellStyle name="Comma 7 6 2 4" xfId="3460"/>
    <cellStyle name="Comma 7 6 2 4 2" xfId="3461"/>
    <cellStyle name="Comma 7 6 2 5" xfId="3462"/>
    <cellStyle name="Comma 7 6 2 6" xfId="3463"/>
    <cellStyle name="Comma 7 6 3" xfId="3464"/>
    <cellStyle name="Comma 7 6 3 2" xfId="3465"/>
    <cellStyle name="Comma 7 6 3 2 2" xfId="3466"/>
    <cellStyle name="Comma 7 6 3 3" xfId="3467"/>
    <cellStyle name="Comma 7 6 3 3 2" xfId="3468"/>
    <cellStyle name="Comma 7 6 3 4" xfId="3469"/>
    <cellStyle name="Comma 7 6 3 4 2" xfId="3470"/>
    <cellStyle name="Comma 7 6 3 5" xfId="3471"/>
    <cellStyle name="Comma 7 6 3 6" xfId="3472"/>
    <cellStyle name="Comma 7 6 4" xfId="3473"/>
    <cellStyle name="Comma 7 6 4 2" xfId="3474"/>
    <cellStyle name="Comma 7 6 4 2 2" xfId="3475"/>
    <cellStyle name="Comma 7 6 4 3" xfId="3476"/>
    <cellStyle name="Comma 7 6 4 3 2" xfId="3477"/>
    <cellStyle name="Comma 7 6 4 4" xfId="3478"/>
    <cellStyle name="Comma 7 6 4 4 2" xfId="3479"/>
    <cellStyle name="Comma 7 6 4 5" xfId="3480"/>
    <cellStyle name="Comma 7 6 4 6" xfId="3481"/>
    <cellStyle name="Comma 7 6 5" xfId="3482"/>
    <cellStyle name="Comma 7 6 5 2" xfId="3483"/>
    <cellStyle name="Comma 7 6 5 2 2" xfId="3484"/>
    <cellStyle name="Comma 7 6 5 3" xfId="3485"/>
    <cellStyle name="Comma 7 6 5 3 2" xfId="3486"/>
    <cellStyle name="Comma 7 6 5 4" xfId="3487"/>
    <cellStyle name="Comma 7 6 5 5" xfId="3488"/>
    <cellStyle name="Comma 7 6 6" xfId="3489"/>
    <cellStyle name="Comma 7 6 6 2" xfId="3490"/>
    <cellStyle name="Comma 7 6 7" xfId="3491"/>
    <cellStyle name="Comma 7 6 7 2" xfId="3492"/>
    <cellStyle name="Comma 7 6 8" xfId="3493"/>
    <cellStyle name="Comma 7 6 8 2" xfId="3494"/>
    <cellStyle name="Comma 7 6 9" xfId="3495"/>
    <cellStyle name="Comma 7 7" xfId="3496"/>
    <cellStyle name="Comma 7 7 10" xfId="3497"/>
    <cellStyle name="Comma 7 7 2" xfId="3498"/>
    <cellStyle name="Comma 7 7 2 2" xfId="3499"/>
    <cellStyle name="Comma 7 7 2 2 2" xfId="3500"/>
    <cellStyle name="Comma 7 7 2 3" xfId="3501"/>
    <cellStyle name="Comma 7 7 2 3 2" xfId="3502"/>
    <cellStyle name="Comma 7 7 2 4" xfId="3503"/>
    <cellStyle name="Comma 7 7 2 4 2" xfId="3504"/>
    <cellStyle name="Comma 7 7 2 5" xfId="3505"/>
    <cellStyle name="Comma 7 7 2 6" xfId="3506"/>
    <cellStyle name="Comma 7 7 3" xfId="3507"/>
    <cellStyle name="Comma 7 7 3 2" xfId="3508"/>
    <cellStyle name="Comma 7 7 3 2 2" xfId="3509"/>
    <cellStyle name="Comma 7 7 3 3" xfId="3510"/>
    <cellStyle name="Comma 7 7 3 3 2" xfId="3511"/>
    <cellStyle name="Comma 7 7 3 4" xfId="3512"/>
    <cellStyle name="Comma 7 7 3 4 2" xfId="3513"/>
    <cellStyle name="Comma 7 7 3 5" xfId="3514"/>
    <cellStyle name="Comma 7 7 3 6" xfId="3515"/>
    <cellStyle name="Comma 7 7 4" xfId="3516"/>
    <cellStyle name="Comma 7 7 4 2" xfId="3517"/>
    <cellStyle name="Comma 7 7 4 2 2" xfId="3518"/>
    <cellStyle name="Comma 7 7 4 3" xfId="3519"/>
    <cellStyle name="Comma 7 7 4 3 2" xfId="3520"/>
    <cellStyle name="Comma 7 7 4 4" xfId="3521"/>
    <cellStyle name="Comma 7 7 4 4 2" xfId="3522"/>
    <cellStyle name="Comma 7 7 4 5" xfId="3523"/>
    <cellStyle name="Comma 7 7 4 6" xfId="3524"/>
    <cellStyle name="Comma 7 7 5" xfId="3525"/>
    <cellStyle name="Comma 7 7 5 2" xfId="3526"/>
    <cellStyle name="Comma 7 7 5 2 2" xfId="3527"/>
    <cellStyle name="Comma 7 7 5 3" xfId="3528"/>
    <cellStyle name="Comma 7 7 5 3 2" xfId="3529"/>
    <cellStyle name="Comma 7 7 5 4" xfId="3530"/>
    <cellStyle name="Comma 7 7 5 5" xfId="3531"/>
    <cellStyle name="Comma 7 7 6" xfId="3532"/>
    <cellStyle name="Comma 7 7 6 2" xfId="3533"/>
    <cellStyle name="Comma 7 7 7" xfId="3534"/>
    <cellStyle name="Comma 7 7 7 2" xfId="3535"/>
    <cellStyle name="Comma 7 7 8" xfId="3536"/>
    <cellStyle name="Comma 7 7 8 2" xfId="3537"/>
    <cellStyle name="Comma 7 7 9" xfId="3538"/>
    <cellStyle name="Comma 7 8" xfId="3539"/>
    <cellStyle name="Comma 7 8 2" xfId="3540"/>
    <cellStyle name="Comma 7 8 2 2" xfId="3541"/>
    <cellStyle name="Comma 7 8 3" xfId="3542"/>
    <cellStyle name="Comma 7 8 3 2" xfId="3543"/>
    <cellStyle name="Comma 7 8 4" xfId="3544"/>
    <cellStyle name="Comma 7 8 4 2" xfId="3545"/>
    <cellStyle name="Comma 7 8 5" xfId="3546"/>
    <cellStyle name="Comma 7 8 6" xfId="3547"/>
    <cellStyle name="Comma 7 9" xfId="3548"/>
    <cellStyle name="Comma 7 9 2" xfId="3549"/>
    <cellStyle name="Comma 7 9 2 2" xfId="3550"/>
    <cellStyle name="Comma 7 9 3" xfId="3551"/>
    <cellStyle name="Comma 7 9 3 2" xfId="3552"/>
    <cellStyle name="Comma 7 9 4" xfId="3553"/>
    <cellStyle name="Comma 7 9 4 2" xfId="3554"/>
    <cellStyle name="Comma 7 9 5" xfId="3555"/>
    <cellStyle name="Comma 7 9 6" xfId="3556"/>
    <cellStyle name="Comma 70" xfId="3557"/>
    <cellStyle name="Comma 71" xfId="3558"/>
    <cellStyle name="Comma 72" xfId="3559"/>
    <cellStyle name="Comma 73" xfId="3560"/>
    <cellStyle name="Comma 74" xfId="3561"/>
    <cellStyle name="Comma 75" xfId="3562"/>
    <cellStyle name="Comma 76" xfId="3563"/>
    <cellStyle name="Comma 8" xfId="3564"/>
    <cellStyle name="Comma 8 10" xfId="3565"/>
    <cellStyle name="Comma 8 10 2" xfId="3566"/>
    <cellStyle name="Comma 8 10 2 2" xfId="3567"/>
    <cellStyle name="Comma 8 10 3" xfId="3568"/>
    <cellStyle name="Comma 8 10 3 2" xfId="3569"/>
    <cellStyle name="Comma 8 10 4" xfId="3570"/>
    <cellStyle name="Comma 8 10 4 2" xfId="3571"/>
    <cellStyle name="Comma 8 10 5" xfId="3572"/>
    <cellStyle name="Comma 8 10 6" xfId="3573"/>
    <cellStyle name="Comma 8 11" xfId="3574"/>
    <cellStyle name="Comma 8 11 2" xfId="3575"/>
    <cellStyle name="Comma 8 11 2 2" xfId="3576"/>
    <cellStyle name="Comma 8 11 3" xfId="3577"/>
    <cellStyle name="Comma 8 11 3 2" xfId="3578"/>
    <cellStyle name="Comma 8 11 4" xfId="3579"/>
    <cellStyle name="Comma 8 11 5" xfId="3580"/>
    <cellStyle name="Comma 8 12" xfId="3581"/>
    <cellStyle name="Comma 8 12 2" xfId="3582"/>
    <cellStyle name="Comma 8 13" xfId="3583"/>
    <cellStyle name="Comma 8 13 2" xfId="3584"/>
    <cellStyle name="Comma 8 14" xfId="3585"/>
    <cellStyle name="Comma 8 14 2" xfId="3586"/>
    <cellStyle name="Comma 8 15" xfId="3587"/>
    <cellStyle name="Comma 8 16" xfId="3588"/>
    <cellStyle name="Comma 8 17" xfId="3589"/>
    <cellStyle name="Comma 8 18" xfId="3590"/>
    <cellStyle name="Comma 8 2" xfId="3591"/>
    <cellStyle name="Comma 8 2 10" xfId="3592"/>
    <cellStyle name="Comma 8 2 10 2" xfId="3593"/>
    <cellStyle name="Comma 8 2 11" xfId="3594"/>
    <cellStyle name="Comma 8 2 11 2" xfId="3595"/>
    <cellStyle name="Comma 8 2 12" xfId="3596"/>
    <cellStyle name="Comma 8 2 13" xfId="3597"/>
    <cellStyle name="Comma 8 2 14" xfId="3598"/>
    <cellStyle name="Comma 8 2 2" xfId="3599"/>
    <cellStyle name="Comma 8 2 2 10" xfId="3600"/>
    <cellStyle name="Comma 8 2 2 11" xfId="3601"/>
    <cellStyle name="Comma 8 2 2 2" xfId="3602"/>
    <cellStyle name="Comma 8 2 2 2 2" xfId="3603"/>
    <cellStyle name="Comma 8 2 2 2 2 2" xfId="3604"/>
    <cellStyle name="Comma 8 2 2 2 3" xfId="3605"/>
    <cellStyle name="Comma 8 2 2 2 3 2" xfId="3606"/>
    <cellStyle name="Comma 8 2 2 2 4" xfId="3607"/>
    <cellStyle name="Comma 8 2 2 2 4 2" xfId="3608"/>
    <cellStyle name="Comma 8 2 2 2 5" xfId="3609"/>
    <cellStyle name="Comma 8 2 2 2 6" xfId="3610"/>
    <cellStyle name="Comma 8 2 2 3" xfId="3611"/>
    <cellStyle name="Comma 8 2 2 3 2" xfId="3612"/>
    <cellStyle name="Comma 8 2 2 3 2 2" xfId="3613"/>
    <cellStyle name="Comma 8 2 2 3 3" xfId="3614"/>
    <cellStyle name="Comma 8 2 2 3 3 2" xfId="3615"/>
    <cellStyle name="Comma 8 2 2 3 4" xfId="3616"/>
    <cellStyle name="Comma 8 2 2 3 4 2" xfId="3617"/>
    <cellStyle name="Comma 8 2 2 3 5" xfId="3618"/>
    <cellStyle name="Comma 8 2 2 3 6" xfId="3619"/>
    <cellStyle name="Comma 8 2 2 4" xfId="3620"/>
    <cellStyle name="Comma 8 2 2 4 2" xfId="3621"/>
    <cellStyle name="Comma 8 2 2 4 2 2" xfId="3622"/>
    <cellStyle name="Comma 8 2 2 4 3" xfId="3623"/>
    <cellStyle name="Comma 8 2 2 4 3 2" xfId="3624"/>
    <cellStyle name="Comma 8 2 2 4 4" xfId="3625"/>
    <cellStyle name="Comma 8 2 2 4 4 2" xfId="3626"/>
    <cellStyle name="Comma 8 2 2 4 5" xfId="3627"/>
    <cellStyle name="Comma 8 2 2 4 6" xfId="3628"/>
    <cellStyle name="Comma 8 2 2 5" xfId="3629"/>
    <cellStyle name="Comma 8 2 2 5 2" xfId="3630"/>
    <cellStyle name="Comma 8 2 2 5 2 2" xfId="3631"/>
    <cellStyle name="Comma 8 2 2 5 3" xfId="3632"/>
    <cellStyle name="Comma 8 2 2 5 3 2" xfId="3633"/>
    <cellStyle name="Comma 8 2 2 5 4" xfId="3634"/>
    <cellStyle name="Comma 8 2 2 5 4 2" xfId="3635"/>
    <cellStyle name="Comma 8 2 2 5 5" xfId="3636"/>
    <cellStyle name="Comma 8 2 2 5 6" xfId="3637"/>
    <cellStyle name="Comma 8 2 2 6" xfId="3638"/>
    <cellStyle name="Comma 8 2 2 6 2" xfId="3639"/>
    <cellStyle name="Comma 8 2 2 6 2 2" xfId="3640"/>
    <cellStyle name="Comma 8 2 2 6 3" xfId="3641"/>
    <cellStyle name="Comma 8 2 2 6 3 2" xfId="3642"/>
    <cellStyle name="Comma 8 2 2 6 4" xfId="3643"/>
    <cellStyle name="Comma 8 2 2 6 5" xfId="3644"/>
    <cellStyle name="Comma 8 2 2 7" xfId="3645"/>
    <cellStyle name="Comma 8 2 2 7 2" xfId="3646"/>
    <cellStyle name="Comma 8 2 2 8" xfId="3647"/>
    <cellStyle name="Comma 8 2 2 8 2" xfId="3648"/>
    <cellStyle name="Comma 8 2 2 9" xfId="3649"/>
    <cellStyle name="Comma 8 2 2 9 2" xfId="3650"/>
    <cellStyle name="Comma 8 2 3" xfId="3651"/>
    <cellStyle name="Comma 8 2 3 10" xfId="3652"/>
    <cellStyle name="Comma 8 2 3 2" xfId="3653"/>
    <cellStyle name="Comma 8 2 3 2 2" xfId="3654"/>
    <cellStyle name="Comma 8 2 3 2 2 2" xfId="3655"/>
    <cellStyle name="Comma 8 2 3 2 3" xfId="3656"/>
    <cellStyle name="Comma 8 2 3 2 3 2" xfId="3657"/>
    <cellStyle name="Comma 8 2 3 2 4" xfId="3658"/>
    <cellStyle name="Comma 8 2 3 2 4 2" xfId="3659"/>
    <cellStyle name="Comma 8 2 3 2 5" xfId="3660"/>
    <cellStyle name="Comma 8 2 3 2 6" xfId="3661"/>
    <cellStyle name="Comma 8 2 3 3" xfId="3662"/>
    <cellStyle name="Comma 8 2 3 3 2" xfId="3663"/>
    <cellStyle name="Comma 8 2 3 3 2 2" xfId="3664"/>
    <cellStyle name="Comma 8 2 3 3 3" xfId="3665"/>
    <cellStyle name="Comma 8 2 3 3 3 2" xfId="3666"/>
    <cellStyle name="Comma 8 2 3 3 4" xfId="3667"/>
    <cellStyle name="Comma 8 2 3 3 4 2" xfId="3668"/>
    <cellStyle name="Comma 8 2 3 3 5" xfId="3669"/>
    <cellStyle name="Comma 8 2 3 3 6" xfId="3670"/>
    <cellStyle name="Comma 8 2 3 4" xfId="3671"/>
    <cellStyle name="Comma 8 2 3 4 2" xfId="3672"/>
    <cellStyle name="Comma 8 2 3 4 2 2" xfId="3673"/>
    <cellStyle name="Comma 8 2 3 4 3" xfId="3674"/>
    <cellStyle name="Comma 8 2 3 4 3 2" xfId="3675"/>
    <cellStyle name="Comma 8 2 3 4 4" xfId="3676"/>
    <cellStyle name="Comma 8 2 3 4 4 2" xfId="3677"/>
    <cellStyle name="Comma 8 2 3 4 5" xfId="3678"/>
    <cellStyle name="Comma 8 2 3 4 6" xfId="3679"/>
    <cellStyle name="Comma 8 2 3 5" xfId="3680"/>
    <cellStyle name="Comma 8 2 3 5 2" xfId="3681"/>
    <cellStyle name="Comma 8 2 3 5 2 2" xfId="3682"/>
    <cellStyle name="Comma 8 2 3 5 3" xfId="3683"/>
    <cellStyle name="Comma 8 2 3 5 3 2" xfId="3684"/>
    <cellStyle name="Comma 8 2 3 5 4" xfId="3685"/>
    <cellStyle name="Comma 8 2 3 5 5" xfId="3686"/>
    <cellStyle name="Comma 8 2 3 6" xfId="3687"/>
    <cellStyle name="Comma 8 2 3 6 2" xfId="3688"/>
    <cellStyle name="Comma 8 2 3 7" xfId="3689"/>
    <cellStyle name="Comma 8 2 3 7 2" xfId="3690"/>
    <cellStyle name="Comma 8 2 3 8" xfId="3691"/>
    <cellStyle name="Comma 8 2 3 8 2" xfId="3692"/>
    <cellStyle name="Comma 8 2 3 9" xfId="3693"/>
    <cellStyle name="Comma 8 2 4" xfId="3694"/>
    <cellStyle name="Comma 8 2 4 10" xfId="3695"/>
    <cellStyle name="Comma 8 2 4 2" xfId="3696"/>
    <cellStyle name="Comma 8 2 4 2 2" xfId="3697"/>
    <cellStyle name="Comma 8 2 4 2 2 2" xfId="3698"/>
    <cellStyle name="Comma 8 2 4 2 3" xfId="3699"/>
    <cellStyle name="Comma 8 2 4 2 3 2" xfId="3700"/>
    <cellStyle name="Comma 8 2 4 2 4" xfId="3701"/>
    <cellStyle name="Comma 8 2 4 2 4 2" xfId="3702"/>
    <cellStyle name="Comma 8 2 4 2 5" xfId="3703"/>
    <cellStyle name="Comma 8 2 4 2 6" xfId="3704"/>
    <cellStyle name="Comma 8 2 4 3" xfId="3705"/>
    <cellStyle name="Comma 8 2 4 3 2" xfId="3706"/>
    <cellStyle name="Comma 8 2 4 3 2 2" xfId="3707"/>
    <cellStyle name="Comma 8 2 4 3 3" xfId="3708"/>
    <cellStyle name="Comma 8 2 4 3 3 2" xfId="3709"/>
    <cellStyle name="Comma 8 2 4 3 4" xfId="3710"/>
    <cellStyle name="Comma 8 2 4 3 4 2" xfId="3711"/>
    <cellStyle name="Comma 8 2 4 3 5" xfId="3712"/>
    <cellStyle name="Comma 8 2 4 3 6" xfId="3713"/>
    <cellStyle name="Comma 8 2 4 4" xfId="3714"/>
    <cellStyle name="Comma 8 2 4 4 2" xfId="3715"/>
    <cellStyle name="Comma 8 2 4 4 2 2" xfId="3716"/>
    <cellStyle name="Comma 8 2 4 4 3" xfId="3717"/>
    <cellStyle name="Comma 8 2 4 4 3 2" xfId="3718"/>
    <cellStyle name="Comma 8 2 4 4 4" xfId="3719"/>
    <cellStyle name="Comma 8 2 4 4 4 2" xfId="3720"/>
    <cellStyle name="Comma 8 2 4 4 5" xfId="3721"/>
    <cellStyle name="Comma 8 2 4 4 6" xfId="3722"/>
    <cellStyle name="Comma 8 2 4 5" xfId="3723"/>
    <cellStyle name="Comma 8 2 4 5 2" xfId="3724"/>
    <cellStyle name="Comma 8 2 4 5 2 2" xfId="3725"/>
    <cellStyle name="Comma 8 2 4 5 3" xfId="3726"/>
    <cellStyle name="Comma 8 2 4 5 3 2" xfId="3727"/>
    <cellStyle name="Comma 8 2 4 5 4" xfId="3728"/>
    <cellStyle name="Comma 8 2 4 5 5" xfId="3729"/>
    <cellStyle name="Comma 8 2 4 6" xfId="3730"/>
    <cellStyle name="Comma 8 2 4 6 2" xfId="3731"/>
    <cellStyle name="Comma 8 2 4 7" xfId="3732"/>
    <cellStyle name="Comma 8 2 4 7 2" xfId="3733"/>
    <cellStyle name="Comma 8 2 4 8" xfId="3734"/>
    <cellStyle name="Comma 8 2 4 8 2" xfId="3735"/>
    <cellStyle name="Comma 8 2 4 9" xfId="3736"/>
    <cellStyle name="Comma 8 2 5" xfId="3737"/>
    <cellStyle name="Comma 8 2 5 2" xfId="3738"/>
    <cellStyle name="Comma 8 2 5 2 2" xfId="3739"/>
    <cellStyle name="Comma 8 2 5 3" xfId="3740"/>
    <cellStyle name="Comma 8 2 5 3 2" xfId="3741"/>
    <cellStyle name="Comma 8 2 5 4" xfId="3742"/>
    <cellStyle name="Comma 8 2 5 4 2" xfId="3743"/>
    <cellStyle name="Comma 8 2 5 5" xfId="3744"/>
    <cellStyle name="Comma 8 2 5 6" xfId="3745"/>
    <cellStyle name="Comma 8 2 6" xfId="3746"/>
    <cellStyle name="Comma 8 2 6 2" xfId="3747"/>
    <cellStyle name="Comma 8 2 6 2 2" xfId="3748"/>
    <cellStyle name="Comma 8 2 6 3" xfId="3749"/>
    <cellStyle name="Comma 8 2 6 3 2" xfId="3750"/>
    <cellStyle name="Comma 8 2 6 4" xfId="3751"/>
    <cellStyle name="Comma 8 2 6 4 2" xfId="3752"/>
    <cellStyle name="Comma 8 2 6 5" xfId="3753"/>
    <cellStyle name="Comma 8 2 6 6" xfId="3754"/>
    <cellStyle name="Comma 8 2 7" xfId="3755"/>
    <cellStyle name="Comma 8 2 7 2" xfId="3756"/>
    <cellStyle name="Comma 8 2 7 2 2" xfId="3757"/>
    <cellStyle name="Comma 8 2 7 3" xfId="3758"/>
    <cellStyle name="Comma 8 2 7 3 2" xfId="3759"/>
    <cellStyle name="Comma 8 2 7 4" xfId="3760"/>
    <cellStyle name="Comma 8 2 7 4 2" xfId="3761"/>
    <cellStyle name="Comma 8 2 7 5" xfId="3762"/>
    <cellStyle name="Comma 8 2 7 6" xfId="3763"/>
    <cellStyle name="Comma 8 2 8" xfId="3764"/>
    <cellStyle name="Comma 8 2 8 2" xfId="3765"/>
    <cellStyle name="Comma 8 2 8 2 2" xfId="3766"/>
    <cellStyle name="Comma 8 2 8 3" xfId="3767"/>
    <cellStyle name="Comma 8 2 8 3 2" xfId="3768"/>
    <cellStyle name="Comma 8 2 8 4" xfId="3769"/>
    <cellStyle name="Comma 8 2 8 5" xfId="3770"/>
    <cellStyle name="Comma 8 2 9" xfId="3771"/>
    <cellStyle name="Comma 8 2 9 2" xfId="3772"/>
    <cellStyle name="Comma 8 3" xfId="3773"/>
    <cellStyle name="Comma 8 3 10" xfId="3774"/>
    <cellStyle name="Comma 8 3 10 2" xfId="3775"/>
    <cellStyle name="Comma 8 3 11" xfId="3776"/>
    <cellStyle name="Comma 8 3 11 2" xfId="3777"/>
    <cellStyle name="Comma 8 3 12" xfId="3778"/>
    <cellStyle name="Comma 8 3 13" xfId="3779"/>
    <cellStyle name="Comma 8 3 14" xfId="3780"/>
    <cellStyle name="Comma 8 3 2" xfId="3781"/>
    <cellStyle name="Comma 8 3 2 10" xfId="3782"/>
    <cellStyle name="Comma 8 3 2 11" xfId="3783"/>
    <cellStyle name="Comma 8 3 2 2" xfId="3784"/>
    <cellStyle name="Comma 8 3 2 2 2" xfId="3785"/>
    <cellStyle name="Comma 8 3 2 2 2 2" xfId="3786"/>
    <cellStyle name="Comma 8 3 2 2 3" xfId="3787"/>
    <cellStyle name="Comma 8 3 2 2 3 2" xfId="3788"/>
    <cellStyle name="Comma 8 3 2 2 4" xfId="3789"/>
    <cellStyle name="Comma 8 3 2 2 4 2" xfId="3790"/>
    <cellStyle name="Comma 8 3 2 2 5" xfId="3791"/>
    <cellStyle name="Comma 8 3 2 2 6" xfId="3792"/>
    <cellStyle name="Comma 8 3 2 3" xfId="3793"/>
    <cellStyle name="Comma 8 3 2 3 2" xfId="3794"/>
    <cellStyle name="Comma 8 3 2 3 2 2" xfId="3795"/>
    <cellStyle name="Comma 8 3 2 3 3" xfId="3796"/>
    <cellStyle name="Comma 8 3 2 3 3 2" xfId="3797"/>
    <cellStyle name="Comma 8 3 2 3 4" xfId="3798"/>
    <cellStyle name="Comma 8 3 2 3 4 2" xfId="3799"/>
    <cellStyle name="Comma 8 3 2 3 5" xfId="3800"/>
    <cellStyle name="Comma 8 3 2 3 6" xfId="3801"/>
    <cellStyle name="Comma 8 3 2 4" xfId="3802"/>
    <cellStyle name="Comma 8 3 2 4 2" xfId="3803"/>
    <cellStyle name="Comma 8 3 2 4 2 2" xfId="3804"/>
    <cellStyle name="Comma 8 3 2 4 3" xfId="3805"/>
    <cellStyle name="Comma 8 3 2 4 3 2" xfId="3806"/>
    <cellStyle name="Comma 8 3 2 4 4" xfId="3807"/>
    <cellStyle name="Comma 8 3 2 4 4 2" xfId="3808"/>
    <cellStyle name="Comma 8 3 2 4 5" xfId="3809"/>
    <cellStyle name="Comma 8 3 2 4 6" xfId="3810"/>
    <cellStyle name="Comma 8 3 2 5" xfId="3811"/>
    <cellStyle name="Comma 8 3 2 5 2" xfId="3812"/>
    <cellStyle name="Comma 8 3 2 5 2 2" xfId="3813"/>
    <cellStyle name="Comma 8 3 2 5 3" xfId="3814"/>
    <cellStyle name="Comma 8 3 2 5 3 2" xfId="3815"/>
    <cellStyle name="Comma 8 3 2 5 4" xfId="3816"/>
    <cellStyle name="Comma 8 3 2 5 4 2" xfId="3817"/>
    <cellStyle name="Comma 8 3 2 5 5" xfId="3818"/>
    <cellStyle name="Comma 8 3 2 5 6" xfId="3819"/>
    <cellStyle name="Comma 8 3 2 6" xfId="3820"/>
    <cellStyle name="Comma 8 3 2 6 2" xfId="3821"/>
    <cellStyle name="Comma 8 3 2 6 2 2" xfId="3822"/>
    <cellStyle name="Comma 8 3 2 6 3" xfId="3823"/>
    <cellStyle name="Comma 8 3 2 6 3 2" xfId="3824"/>
    <cellStyle name="Comma 8 3 2 6 4" xfId="3825"/>
    <cellStyle name="Comma 8 3 2 6 5" xfId="3826"/>
    <cellStyle name="Comma 8 3 2 7" xfId="3827"/>
    <cellStyle name="Comma 8 3 2 7 2" xfId="3828"/>
    <cellStyle name="Comma 8 3 2 8" xfId="3829"/>
    <cellStyle name="Comma 8 3 2 8 2" xfId="3830"/>
    <cellStyle name="Comma 8 3 2 9" xfId="3831"/>
    <cellStyle name="Comma 8 3 2 9 2" xfId="3832"/>
    <cellStyle name="Comma 8 3 3" xfId="3833"/>
    <cellStyle name="Comma 8 3 3 10" xfId="3834"/>
    <cellStyle name="Comma 8 3 3 2" xfId="3835"/>
    <cellStyle name="Comma 8 3 3 2 2" xfId="3836"/>
    <cellStyle name="Comma 8 3 3 2 2 2" xfId="3837"/>
    <cellStyle name="Comma 8 3 3 2 3" xfId="3838"/>
    <cellStyle name="Comma 8 3 3 2 3 2" xfId="3839"/>
    <cellStyle name="Comma 8 3 3 2 4" xfId="3840"/>
    <cellStyle name="Comma 8 3 3 2 4 2" xfId="3841"/>
    <cellStyle name="Comma 8 3 3 2 5" xfId="3842"/>
    <cellStyle name="Comma 8 3 3 2 6" xfId="3843"/>
    <cellStyle name="Comma 8 3 3 3" xfId="3844"/>
    <cellStyle name="Comma 8 3 3 3 2" xfId="3845"/>
    <cellStyle name="Comma 8 3 3 3 2 2" xfId="3846"/>
    <cellStyle name="Comma 8 3 3 3 3" xfId="3847"/>
    <cellStyle name="Comma 8 3 3 3 3 2" xfId="3848"/>
    <cellStyle name="Comma 8 3 3 3 4" xfId="3849"/>
    <cellStyle name="Comma 8 3 3 3 4 2" xfId="3850"/>
    <cellStyle name="Comma 8 3 3 3 5" xfId="3851"/>
    <cellStyle name="Comma 8 3 3 3 6" xfId="3852"/>
    <cellStyle name="Comma 8 3 3 4" xfId="3853"/>
    <cellStyle name="Comma 8 3 3 4 2" xfId="3854"/>
    <cellStyle name="Comma 8 3 3 4 2 2" xfId="3855"/>
    <cellStyle name="Comma 8 3 3 4 3" xfId="3856"/>
    <cellStyle name="Comma 8 3 3 4 3 2" xfId="3857"/>
    <cellStyle name="Comma 8 3 3 4 4" xfId="3858"/>
    <cellStyle name="Comma 8 3 3 4 4 2" xfId="3859"/>
    <cellStyle name="Comma 8 3 3 4 5" xfId="3860"/>
    <cellStyle name="Comma 8 3 3 4 6" xfId="3861"/>
    <cellStyle name="Comma 8 3 3 5" xfId="3862"/>
    <cellStyle name="Comma 8 3 3 5 2" xfId="3863"/>
    <cellStyle name="Comma 8 3 3 5 2 2" xfId="3864"/>
    <cellStyle name="Comma 8 3 3 5 3" xfId="3865"/>
    <cellStyle name="Comma 8 3 3 5 3 2" xfId="3866"/>
    <cellStyle name="Comma 8 3 3 5 4" xfId="3867"/>
    <cellStyle name="Comma 8 3 3 5 5" xfId="3868"/>
    <cellStyle name="Comma 8 3 3 6" xfId="3869"/>
    <cellStyle name="Comma 8 3 3 6 2" xfId="3870"/>
    <cellStyle name="Comma 8 3 3 7" xfId="3871"/>
    <cellStyle name="Comma 8 3 3 7 2" xfId="3872"/>
    <cellStyle name="Comma 8 3 3 8" xfId="3873"/>
    <cellStyle name="Comma 8 3 3 8 2" xfId="3874"/>
    <cellStyle name="Comma 8 3 3 9" xfId="3875"/>
    <cellStyle name="Comma 8 3 4" xfId="3876"/>
    <cellStyle name="Comma 8 3 4 10" xfId="3877"/>
    <cellStyle name="Comma 8 3 4 2" xfId="3878"/>
    <cellStyle name="Comma 8 3 4 2 2" xfId="3879"/>
    <cellStyle name="Comma 8 3 4 2 2 2" xfId="3880"/>
    <cellStyle name="Comma 8 3 4 2 3" xfId="3881"/>
    <cellStyle name="Comma 8 3 4 2 3 2" xfId="3882"/>
    <cellStyle name="Comma 8 3 4 2 4" xfId="3883"/>
    <cellStyle name="Comma 8 3 4 2 4 2" xfId="3884"/>
    <cellStyle name="Comma 8 3 4 2 5" xfId="3885"/>
    <cellStyle name="Comma 8 3 4 2 6" xfId="3886"/>
    <cellStyle name="Comma 8 3 4 3" xfId="3887"/>
    <cellStyle name="Comma 8 3 4 3 2" xfId="3888"/>
    <cellStyle name="Comma 8 3 4 3 2 2" xfId="3889"/>
    <cellStyle name="Comma 8 3 4 3 3" xfId="3890"/>
    <cellStyle name="Comma 8 3 4 3 3 2" xfId="3891"/>
    <cellStyle name="Comma 8 3 4 3 4" xfId="3892"/>
    <cellStyle name="Comma 8 3 4 3 4 2" xfId="3893"/>
    <cellStyle name="Comma 8 3 4 3 5" xfId="3894"/>
    <cellStyle name="Comma 8 3 4 3 6" xfId="3895"/>
    <cellStyle name="Comma 8 3 4 4" xfId="3896"/>
    <cellStyle name="Comma 8 3 4 4 2" xfId="3897"/>
    <cellStyle name="Comma 8 3 4 4 2 2" xfId="3898"/>
    <cellStyle name="Comma 8 3 4 4 3" xfId="3899"/>
    <cellStyle name="Comma 8 3 4 4 3 2" xfId="3900"/>
    <cellStyle name="Comma 8 3 4 4 4" xfId="3901"/>
    <cellStyle name="Comma 8 3 4 4 4 2" xfId="3902"/>
    <cellStyle name="Comma 8 3 4 4 5" xfId="3903"/>
    <cellStyle name="Comma 8 3 4 4 6" xfId="3904"/>
    <cellStyle name="Comma 8 3 4 5" xfId="3905"/>
    <cellStyle name="Comma 8 3 4 5 2" xfId="3906"/>
    <cellStyle name="Comma 8 3 4 5 2 2" xfId="3907"/>
    <cellStyle name="Comma 8 3 4 5 3" xfId="3908"/>
    <cellStyle name="Comma 8 3 4 5 3 2" xfId="3909"/>
    <cellStyle name="Comma 8 3 4 5 4" xfId="3910"/>
    <cellStyle name="Comma 8 3 4 5 5" xfId="3911"/>
    <cellStyle name="Comma 8 3 4 6" xfId="3912"/>
    <cellStyle name="Comma 8 3 4 6 2" xfId="3913"/>
    <cellStyle name="Comma 8 3 4 7" xfId="3914"/>
    <cellStyle name="Comma 8 3 4 7 2" xfId="3915"/>
    <cellStyle name="Comma 8 3 4 8" xfId="3916"/>
    <cellStyle name="Comma 8 3 4 8 2" xfId="3917"/>
    <cellStyle name="Comma 8 3 4 9" xfId="3918"/>
    <cellStyle name="Comma 8 3 5" xfId="3919"/>
    <cellStyle name="Comma 8 3 5 2" xfId="3920"/>
    <cellStyle name="Comma 8 3 5 2 2" xfId="3921"/>
    <cellStyle name="Comma 8 3 5 3" xfId="3922"/>
    <cellStyle name="Comma 8 3 5 3 2" xfId="3923"/>
    <cellStyle name="Comma 8 3 5 4" xfId="3924"/>
    <cellStyle name="Comma 8 3 5 4 2" xfId="3925"/>
    <cellStyle name="Comma 8 3 5 5" xfId="3926"/>
    <cellStyle name="Comma 8 3 5 6" xfId="3927"/>
    <cellStyle name="Comma 8 3 6" xfId="3928"/>
    <cellStyle name="Comma 8 3 6 2" xfId="3929"/>
    <cellStyle name="Comma 8 3 6 2 2" xfId="3930"/>
    <cellStyle name="Comma 8 3 6 3" xfId="3931"/>
    <cellStyle name="Comma 8 3 6 3 2" xfId="3932"/>
    <cellStyle name="Comma 8 3 6 4" xfId="3933"/>
    <cellStyle name="Comma 8 3 6 4 2" xfId="3934"/>
    <cellStyle name="Comma 8 3 6 5" xfId="3935"/>
    <cellStyle name="Comma 8 3 6 6" xfId="3936"/>
    <cellStyle name="Comma 8 3 7" xfId="3937"/>
    <cellStyle name="Comma 8 3 7 2" xfId="3938"/>
    <cellStyle name="Comma 8 3 7 2 2" xfId="3939"/>
    <cellStyle name="Comma 8 3 7 3" xfId="3940"/>
    <cellStyle name="Comma 8 3 7 3 2" xfId="3941"/>
    <cellStyle name="Comma 8 3 7 4" xfId="3942"/>
    <cellStyle name="Comma 8 3 7 4 2" xfId="3943"/>
    <cellStyle name="Comma 8 3 7 5" xfId="3944"/>
    <cellStyle name="Comma 8 3 7 6" xfId="3945"/>
    <cellStyle name="Comma 8 3 8" xfId="3946"/>
    <cellStyle name="Comma 8 3 8 2" xfId="3947"/>
    <cellStyle name="Comma 8 3 8 2 2" xfId="3948"/>
    <cellStyle name="Comma 8 3 8 3" xfId="3949"/>
    <cellStyle name="Comma 8 3 8 3 2" xfId="3950"/>
    <cellStyle name="Comma 8 3 8 4" xfId="3951"/>
    <cellStyle name="Comma 8 3 8 5" xfId="3952"/>
    <cellStyle name="Comma 8 3 9" xfId="3953"/>
    <cellStyle name="Comma 8 3 9 2" xfId="3954"/>
    <cellStyle name="Comma 8 4" xfId="3955"/>
    <cellStyle name="Comma 8 4 10" xfId="3956"/>
    <cellStyle name="Comma 8 4 10 2" xfId="3957"/>
    <cellStyle name="Comma 8 4 11" xfId="3958"/>
    <cellStyle name="Comma 8 4 12" xfId="3959"/>
    <cellStyle name="Comma 8 4 13" xfId="3960"/>
    <cellStyle name="Comma 8 4 2" xfId="3961"/>
    <cellStyle name="Comma 8 4 2 10" xfId="3962"/>
    <cellStyle name="Comma 8 4 2 2" xfId="3963"/>
    <cellStyle name="Comma 8 4 2 2 2" xfId="3964"/>
    <cellStyle name="Comma 8 4 2 2 2 2" xfId="3965"/>
    <cellStyle name="Comma 8 4 2 2 3" xfId="3966"/>
    <cellStyle name="Comma 8 4 2 2 3 2" xfId="3967"/>
    <cellStyle name="Comma 8 4 2 2 4" xfId="3968"/>
    <cellStyle name="Comma 8 4 2 2 4 2" xfId="3969"/>
    <cellStyle name="Comma 8 4 2 2 5" xfId="3970"/>
    <cellStyle name="Comma 8 4 2 2 6" xfId="3971"/>
    <cellStyle name="Comma 8 4 2 3" xfId="3972"/>
    <cellStyle name="Comma 8 4 2 3 2" xfId="3973"/>
    <cellStyle name="Comma 8 4 2 3 2 2" xfId="3974"/>
    <cellStyle name="Comma 8 4 2 3 3" xfId="3975"/>
    <cellStyle name="Comma 8 4 2 3 3 2" xfId="3976"/>
    <cellStyle name="Comma 8 4 2 3 4" xfId="3977"/>
    <cellStyle name="Comma 8 4 2 3 4 2" xfId="3978"/>
    <cellStyle name="Comma 8 4 2 3 5" xfId="3979"/>
    <cellStyle name="Comma 8 4 2 3 6" xfId="3980"/>
    <cellStyle name="Comma 8 4 2 4" xfId="3981"/>
    <cellStyle name="Comma 8 4 2 4 2" xfId="3982"/>
    <cellStyle name="Comma 8 4 2 4 2 2" xfId="3983"/>
    <cellStyle name="Comma 8 4 2 4 3" xfId="3984"/>
    <cellStyle name="Comma 8 4 2 4 3 2" xfId="3985"/>
    <cellStyle name="Comma 8 4 2 4 4" xfId="3986"/>
    <cellStyle name="Comma 8 4 2 4 4 2" xfId="3987"/>
    <cellStyle name="Comma 8 4 2 4 5" xfId="3988"/>
    <cellStyle name="Comma 8 4 2 4 6" xfId="3989"/>
    <cellStyle name="Comma 8 4 2 5" xfId="3990"/>
    <cellStyle name="Comma 8 4 2 5 2" xfId="3991"/>
    <cellStyle name="Comma 8 4 2 5 2 2" xfId="3992"/>
    <cellStyle name="Comma 8 4 2 5 3" xfId="3993"/>
    <cellStyle name="Comma 8 4 2 5 3 2" xfId="3994"/>
    <cellStyle name="Comma 8 4 2 5 4" xfId="3995"/>
    <cellStyle name="Comma 8 4 2 5 5" xfId="3996"/>
    <cellStyle name="Comma 8 4 2 6" xfId="3997"/>
    <cellStyle name="Comma 8 4 2 6 2" xfId="3998"/>
    <cellStyle name="Comma 8 4 2 7" xfId="3999"/>
    <cellStyle name="Comma 8 4 2 7 2" xfId="4000"/>
    <cellStyle name="Comma 8 4 2 8" xfId="4001"/>
    <cellStyle name="Comma 8 4 2 8 2" xfId="4002"/>
    <cellStyle name="Comma 8 4 2 9" xfId="4003"/>
    <cellStyle name="Comma 8 4 3" xfId="4004"/>
    <cellStyle name="Comma 8 4 3 10" xfId="4005"/>
    <cellStyle name="Comma 8 4 3 2" xfId="4006"/>
    <cellStyle name="Comma 8 4 3 2 2" xfId="4007"/>
    <cellStyle name="Comma 8 4 3 2 2 2" xfId="4008"/>
    <cellStyle name="Comma 8 4 3 2 3" xfId="4009"/>
    <cellStyle name="Comma 8 4 3 2 3 2" xfId="4010"/>
    <cellStyle name="Comma 8 4 3 2 4" xfId="4011"/>
    <cellStyle name="Comma 8 4 3 2 4 2" xfId="4012"/>
    <cellStyle name="Comma 8 4 3 2 5" xfId="4013"/>
    <cellStyle name="Comma 8 4 3 2 6" xfId="4014"/>
    <cellStyle name="Comma 8 4 3 3" xfId="4015"/>
    <cellStyle name="Comma 8 4 3 3 2" xfId="4016"/>
    <cellStyle name="Comma 8 4 3 3 2 2" xfId="4017"/>
    <cellStyle name="Comma 8 4 3 3 3" xfId="4018"/>
    <cellStyle name="Comma 8 4 3 3 3 2" xfId="4019"/>
    <cellStyle name="Comma 8 4 3 3 4" xfId="4020"/>
    <cellStyle name="Comma 8 4 3 3 4 2" xfId="4021"/>
    <cellStyle name="Comma 8 4 3 3 5" xfId="4022"/>
    <cellStyle name="Comma 8 4 3 3 6" xfId="4023"/>
    <cellStyle name="Comma 8 4 3 4" xfId="4024"/>
    <cellStyle name="Comma 8 4 3 4 2" xfId="4025"/>
    <cellStyle name="Comma 8 4 3 4 2 2" xfId="4026"/>
    <cellStyle name="Comma 8 4 3 4 3" xfId="4027"/>
    <cellStyle name="Comma 8 4 3 4 3 2" xfId="4028"/>
    <cellStyle name="Comma 8 4 3 4 4" xfId="4029"/>
    <cellStyle name="Comma 8 4 3 4 4 2" xfId="4030"/>
    <cellStyle name="Comma 8 4 3 4 5" xfId="4031"/>
    <cellStyle name="Comma 8 4 3 4 6" xfId="4032"/>
    <cellStyle name="Comma 8 4 3 5" xfId="4033"/>
    <cellStyle name="Comma 8 4 3 5 2" xfId="4034"/>
    <cellStyle name="Comma 8 4 3 5 2 2" xfId="4035"/>
    <cellStyle name="Comma 8 4 3 5 3" xfId="4036"/>
    <cellStyle name="Comma 8 4 3 5 3 2" xfId="4037"/>
    <cellStyle name="Comma 8 4 3 5 4" xfId="4038"/>
    <cellStyle name="Comma 8 4 3 5 5" xfId="4039"/>
    <cellStyle name="Comma 8 4 3 6" xfId="4040"/>
    <cellStyle name="Comma 8 4 3 6 2" xfId="4041"/>
    <cellStyle name="Comma 8 4 3 7" xfId="4042"/>
    <cellStyle name="Comma 8 4 3 7 2" xfId="4043"/>
    <cellStyle name="Comma 8 4 3 8" xfId="4044"/>
    <cellStyle name="Comma 8 4 3 8 2" xfId="4045"/>
    <cellStyle name="Comma 8 4 3 9" xfId="4046"/>
    <cellStyle name="Comma 8 4 4" xfId="4047"/>
    <cellStyle name="Comma 8 4 4 2" xfId="4048"/>
    <cellStyle name="Comma 8 4 4 2 2" xfId="4049"/>
    <cellStyle name="Comma 8 4 4 3" xfId="4050"/>
    <cellStyle name="Comma 8 4 4 3 2" xfId="4051"/>
    <cellStyle name="Comma 8 4 4 4" xfId="4052"/>
    <cellStyle name="Comma 8 4 4 4 2" xfId="4053"/>
    <cellStyle name="Comma 8 4 4 5" xfId="4054"/>
    <cellStyle name="Comma 8 4 4 6" xfId="4055"/>
    <cellStyle name="Comma 8 4 5" xfId="4056"/>
    <cellStyle name="Comma 8 4 5 2" xfId="4057"/>
    <cellStyle name="Comma 8 4 5 2 2" xfId="4058"/>
    <cellStyle name="Comma 8 4 5 3" xfId="4059"/>
    <cellStyle name="Comma 8 4 5 3 2" xfId="4060"/>
    <cellStyle name="Comma 8 4 5 4" xfId="4061"/>
    <cellStyle name="Comma 8 4 5 4 2" xfId="4062"/>
    <cellStyle name="Comma 8 4 5 5" xfId="4063"/>
    <cellStyle name="Comma 8 4 5 6" xfId="4064"/>
    <cellStyle name="Comma 8 4 6" xfId="4065"/>
    <cellStyle name="Comma 8 4 6 2" xfId="4066"/>
    <cellStyle name="Comma 8 4 6 2 2" xfId="4067"/>
    <cellStyle name="Comma 8 4 6 3" xfId="4068"/>
    <cellStyle name="Comma 8 4 6 3 2" xfId="4069"/>
    <cellStyle name="Comma 8 4 6 4" xfId="4070"/>
    <cellStyle name="Comma 8 4 6 4 2" xfId="4071"/>
    <cellStyle name="Comma 8 4 6 5" xfId="4072"/>
    <cellStyle name="Comma 8 4 6 6" xfId="4073"/>
    <cellStyle name="Comma 8 4 7" xfId="4074"/>
    <cellStyle name="Comma 8 4 7 2" xfId="4075"/>
    <cellStyle name="Comma 8 4 7 2 2" xfId="4076"/>
    <cellStyle name="Comma 8 4 7 3" xfId="4077"/>
    <cellStyle name="Comma 8 4 7 3 2" xfId="4078"/>
    <cellStyle name="Comma 8 4 7 4" xfId="4079"/>
    <cellStyle name="Comma 8 4 7 5" xfId="4080"/>
    <cellStyle name="Comma 8 4 8" xfId="4081"/>
    <cellStyle name="Comma 8 4 8 2" xfId="4082"/>
    <cellStyle name="Comma 8 4 9" xfId="4083"/>
    <cellStyle name="Comma 8 4 9 2" xfId="4084"/>
    <cellStyle name="Comma 8 5" xfId="4085"/>
    <cellStyle name="Comma 8 5 10" xfId="4086"/>
    <cellStyle name="Comma 8 5 11" xfId="4087"/>
    <cellStyle name="Comma 8 5 12" xfId="4088"/>
    <cellStyle name="Comma 8 5 2" xfId="4089"/>
    <cellStyle name="Comma 8 5 2 2" xfId="4090"/>
    <cellStyle name="Comma 8 5 2 2 2" xfId="4091"/>
    <cellStyle name="Comma 8 5 2 3" xfId="4092"/>
    <cellStyle name="Comma 8 5 2 3 2" xfId="4093"/>
    <cellStyle name="Comma 8 5 2 4" xfId="4094"/>
    <cellStyle name="Comma 8 5 2 4 2" xfId="4095"/>
    <cellStyle name="Comma 8 5 2 5" xfId="4096"/>
    <cellStyle name="Comma 8 5 2 6" xfId="4097"/>
    <cellStyle name="Comma 8 5 3" xfId="4098"/>
    <cellStyle name="Comma 8 5 3 2" xfId="4099"/>
    <cellStyle name="Comma 8 5 3 2 2" xfId="4100"/>
    <cellStyle name="Comma 8 5 3 3" xfId="4101"/>
    <cellStyle name="Comma 8 5 3 3 2" xfId="4102"/>
    <cellStyle name="Comma 8 5 3 4" xfId="4103"/>
    <cellStyle name="Comma 8 5 3 4 2" xfId="4104"/>
    <cellStyle name="Comma 8 5 3 5" xfId="4105"/>
    <cellStyle name="Comma 8 5 3 6" xfId="4106"/>
    <cellStyle name="Comma 8 5 4" xfId="4107"/>
    <cellStyle name="Comma 8 5 4 2" xfId="4108"/>
    <cellStyle name="Comma 8 5 4 2 2" xfId="4109"/>
    <cellStyle name="Comma 8 5 4 3" xfId="4110"/>
    <cellStyle name="Comma 8 5 4 3 2" xfId="4111"/>
    <cellStyle name="Comma 8 5 4 4" xfId="4112"/>
    <cellStyle name="Comma 8 5 4 4 2" xfId="4113"/>
    <cellStyle name="Comma 8 5 4 5" xfId="4114"/>
    <cellStyle name="Comma 8 5 4 6" xfId="4115"/>
    <cellStyle name="Comma 8 5 5" xfId="4116"/>
    <cellStyle name="Comma 8 5 5 2" xfId="4117"/>
    <cellStyle name="Comma 8 5 5 2 2" xfId="4118"/>
    <cellStyle name="Comma 8 5 5 3" xfId="4119"/>
    <cellStyle name="Comma 8 5 5 3 2" xfId="4120"/>
    <cellStyle name="Comma 8 5 5 4" xfId="4121"/>
    <cellStyle name="Comma 8 5 5 4 2" xfId="4122"/>
    <cellStyle name="Comma 8 5 5 5" xfId="4123"/>
    <cellStyle name="Comma 8 5 5 6" xfId="4124"/>
    <cellStyle name="Comma 8 5 6" xfId="4125"/>
    <cellStyle name="Comma 8 5 6 2" xfId="4126"/>
    <cellStyle name="Comma 8 5 6 2 2" xfId="4127"/>
    <cellStyle name="Comma 8 5 6 3" xfId="4128"/>
    <cellStyle name="Comma 8 5 6 3 2" xfId="4129"/>
    <cellStyle name="Comma 8 5 6 4" xfId="4130"/>
    <cellStyle name="Comma 8 5 6 5" xfId="4131"/>
    <cellStyle name="Comma 8 5 7" xfId="4132"/>
    <cellStyle name="Comma 8 5 7 2" xfId="4133"/>
    <cellStyle name="Comma 8 5 8" xfId="4134"/>
    <cellStyle name="Comma 8 5 8 2" xfId="4135"/>
    <cellStyle name="Comma 8 5 9" xfId="4136"/>
    <cellStyle name="Comma 8 5 9 2" xfId="4137"/>
    <cellStyle name="Comma 8 6" xfId="4138"/>
    <cellStyle name="Comma 8 6 10" xfId="4139"/>
    <cellStyle name="Comma 8 6 11" xfId="4140"/>
    <cellStyle name="Comma 8 6 2" xfId="4141"/>
    <cellStyle name="Comma 8 6 2 2" xfId="4142"/>
    <cellStyle name="Comma 8 6 2 2 2" xfId="4143"/>
    <cellStyle name="Comma 8 6 2 3" xfId="4144"/>
    <cellStyle name="Comma 8 6 2 3 2" xfId="4145"/>
    <cellStyle name="Comma 8 6 2 4" xfId="4146"/>
    <cellStyle name="Comma 8 6 2 4 2" xfId="4147"/>
    <cellStyle name="Comma 8 6 2 5" xfId="4148"/>
    <cellStyle name="Comma 8 6 2 6" xfId="4149"/>
    <cellStyle name="Comma 8 6 3" xfId="4150"/>
    <cellStyle name="Comma 8 6 3 2" xfId="4151"/>
    <cellStyle name="Comma 8 6 3 2 2" xfId="4152"/>
    <cellStyle name="Comma 8 6 3 3" xfId="4153"/>
    <cellStyle name="Comma 8 6 3 3 2" xfId="4154"/>
    <cellStyle name="Comma 8 6 3 4" xfId="4155"/>
    <cellStyle name="Comma 8 6 3 4 2" xfId="4156"/>
    <cellStyle name="Comma 8 6 3 5" xfId="4157"/>
    <cellStyle name="Comma 8 6 3 6" xfId="4158"/>
    <cellStyle name="Comma 8 6 4" xfId="4159"/>
    <cellStyle name="Comma 8 6 4 2" xfId="4160"/>
    <cellStyle name="Comma 8 6 4 2 2" xfId="4161"/>
    <cellStyle name="Comma 8 6 4 3" xfId="4162"/>
    <cellStyle name="Comma 8 6 4 3 2" xfId="4163"/>
    <cellStyle name="Comma 8 6 4 4" xfId="4164"/>
    <cellStyle name="Comma 8 6 4 4 2" xfId="4165"/>
    <cellStyle name="Comma 8 6 4 5" xfId="4166"/>
    <cellStyle name="Comma 8 6 4 6" xfId="4167"/>
    <cellStyle name="Comma 8 6 5" xfId="4168"/>
    <cellStyle name="Comma 8 6 5 2" xfId="4169"/>
    <cellStyle name="Comma 8 6 5 2 2" xfId="4170"/>
    <cellStyle name="Comma 8 6 5 3" xfId="4171"/>
    <cellStyle name="Comma 8 6 5 3 2" xfId="4172"/>
    <cellStyle name="Comma 8 6 5 4" xfId="4173"/>
    <cellStyle name="Comma 8 6 5 5" xfId="4174"/>
    <cellStyle name="Comma 8 6 6" xfId="4175"/>
    <cellStyle name="Comma 8 6 6 2" xfId="4176"/>
    <cellStyle name="Comma 8 6 7" xfId="4177"/>
    <cellStyle name="Comma 8 6 7 2" xfId="4178"/>
    <cellStyle name="Comma 8 6 8" xfId="4179"/>
    <cellStyle name="Comma 8 6 8 2" xfId="4180"/>
    <cellStyle name="Comma 8 6 9" xfId="4181"/>
    <cellStyle name="Comma 8 7" xfId="4182"/>
    <cellStyle name="Comma 8 7 10" xfId="4183"/>
    <cellStyle name="Comma 8 7 11" xfId="4184"/>
    <cellStyle name="Comma 8 7 2" xfId="4185"/>
    <cellStyle name="Comma 8 7 2 2" xfId="4186"/>
    <cellStyle name="Comma 8 7 2 2 2" xfId="4187"/>
    <cellStyle name="Comma 8 7 2 3" xfId="4188"/>
    <cellStyle name="Comma 8 7 2 3 2" xfId="4189"/>
    <cellStyle name="Comma 8 7 2 4" xfId="4190"/>
    <cellStyle name="Comma 8 7 2 4 2" xfId="4191"/>
    <cellStyle name="Comma 8 7 2 5" xfId="4192"/>
    <cellStyle name="Comma 8 7 2 6" xfId="4193"/>
    <cellStyle name="Comma 8 7 3" xfId="4194"/>
    <cellStyle name="Comma 8 7 3 2" xfId="4195"/>
    <cellStyle name="Comma 8 7 3 2 2" xfId="4196"/>
    <cellStyle name="Comma 8 7 3 3" xfId="4197"/>
    <cellStyle name="Comma 8 7 3 3 2" xfId="4198"/>
    <cellStyle name="Comma 8 7 3 4" xfId="4199"/>
    <cellStyle name="Comma 8 7 3 4 2" xfId="4200"/>
    <cellStyle name="Comma 8 7 3 5" xfId="4201"/>
    <cellStyle name="Comma 8 7 3 6" xfId="4202"/>
    <cellStyle name="Comma 8 7 4" xfId="4203"/>
    <cellStyle name="Comma 8 7 4 2" xfId="4204"/>
    <cellStyle name="Comma 8 7 4 2 2" xfId="4205"/>
    <cellStyle name="Comma 8 7 4 3" xfId="4206"/>
    <cellStyle name="Comma 8 7 4 3 2" xfId="4207"/>
    <cellStyle name="Comma 8 7 4 4" xfId="4208"/>
    <cellStyle name="Comma 8 7 4 4 2" xfId="4209"/>
    <cellStyle name="Comma 8 7 4 5" xfId="4210"/>
    <cellStyle name="Comma 8 7 4 6" xfId="4211"/>
    <cellStyle name="Comma 8 7 5" xfId="4212"/>
    <cellStyle name="Comma 8 7 5 2" xfId="4213"/>
    <cellStyle name="Comma 8 7 5 2 2" xfId="4214"/>
    <cellStyle name="Comma 8 7 5 3" xfId="4215"/>
    <cellStyle name="Comma 8 7 5 3 2" xfId="4216"/>
    <cellStyle name="Comma 8 7 5 4" xfId="4217"/>
    <cellStyle name="Comma 8 7 5 5" xfId="4218"/>
    <cellStyle name="Comma 8 7 6" xfId="4219"/>
    <cellStyle name="Comma 8 7 6 2" xfId="4220"/>
    <cellStyle name="Comma 8 7 7" xfId="4221"/>
    <cellStyle name="Comma 8 7 7 2" xfId="4222"/>
    <cellStyle name="Comma 8 7 8" xfId="4223"/>
    <cellStyle name="Comma 8 7 8 2" xfId="4224"/>
    <cellStyle name="Comma 8 7 9" xfId="4225"/>
    <cellStyle name="Comma 8 8" xfId="4226"/>
    <cellStyle name="Comma 8 8 2" xfId="4227"/>
    <cellStyle name="Comma 8 8 2 2" xfId="4228"/>
    <cellStyle name="Comma 8 8 3" xfId="4229"/>
    <cellStyle name="Comma 8 8 3 2" xfId="4230"/>
    <cellStyle name="Comma 8 8 4" xfId="4231"/>
    <cellStyle name="Comma 8 8 4 2" xfId="4232"/>
    <cellStyle name="Comma 8 8 5" xfId="4233"/>
    <cellStyle name="Comma 8 8 6" xfId="4234"/>
    <cellStyle name="Comma 8 9" xfId="4235"/>
    <cellStyle name="Comma 8 9 2" xfId="4236"/>
    <cellStyle name="Comma 8 9 2 2" xfId="4237"/>
    <cellStyle name="Comma 8 9 3" xfId="4238"/>
    <cellStyle name="Comma 8 9 3 2" xfId="4239"/>
    <cellStyle name="Comma 8 9 4" xfId="4240"/>
    <cellStyle name="Comma 8 9 4 2" xfId="4241"/>
    <cellStyle name="Comma 8 9 5" xfId="4242"/>
    <cellStyle name="Comma 8 9 6" xfId="4243"/>
    <cellStyle name="Comma 9" xfId="4244"/>
    <cellStyle name="Comma 9 2" xfId="4245"/>
    <cellStyle name="Comma 9 2 2" xfId="4246"/>
    <cellStyle name="Comma 9 3" xfId="4247"/>
    <cellStyle name="Comma0" xfId="4248"/>
    <cellStyle name="Comma0 2" xfId="4249"/>
    <cellStyle name="Comma0 3" xfId="4250"/>
    <cellStyle name="comma1" xfId="4251"/>
    <cellStyle name="Condition" xfId="4252"/>
    <cellStyle name="Condition 10" xfId="4253"/>
    <cellStyle name="Condition 2" xfId="4254"/>
    <cellStyle name="Condition 3" xfId="4255"/>
    <cellStyle name="Condition 4" xfId="4256"/>
    <cellStyle name="Condition 5" xfId="4257"/>
    <cellStyle name="Condition 6" xfId="4258"/>
    <cellStyle name="Condition 7" xfId="4259"/>
    <cellStyle name="Condition 8" xfId="4260"/>
    <cellStyle name="Condition 9" xfId="4261"/>
    <cellStyle name="ContentsHyperlink" xfId="4262"/>
    <cellStyle name="Currency 2" xfId="4263"/>
    <cellStyle name="Currency 2 2" xfId="4264"/>
    <cellStyle name="Currency 2 3" xfId="4265"/>
    <cellStyle name="Currency 3" xfId="4266"/>
    <cellStyle name="Currency 3 2" xfId="4267"/>
    <cellStyle name="Currency 3 2 10" xfId="4268"/>
    <cellStyle name="Currency 3 2 10 2" xfId="4269"/>
    <cellStyle name="Currency 3 2 10 2 2" xfId="4270"/>
    <cellStyle name="Currency 3 2 10 3" xfId="4271"/>
    <cellStyle name="Currency 3 2 10 3 2" xfId="4272"/>
    <cellStyle name="Currency 3 2 10 4" xfId="4273"/>
    <cellStyle name="Currency 3 2 10 4 2" xfId="4274"/>
    <cellStyle name="Currency 3 2 10 5" xfId="4275"/>
    <cellStyle name="Currency 3 2 10 6" xfId="4276"/>
    <cellStyle name="Currency 3 2 11" xfId="4277"/>
    <cellStyle name="Currency 3 2 11 2" xfId="4278"/>
    <cellStyle name="Currency 3 2 11 2 2" xfId="4279"/>
    <cellStyle name="Currency 3 2 11 3" xfId="4280"/>
    <cellStyle name="Currency 3 2 11 3 2" xfId="4281"/>
    <cellStyle name="Currency 3 2 11 4" xfId="4282"/>
    <cellStyle name="Currency 3 2 11 4 2" xfId="4283"/>
    <cellStyle name="Currency 3 2 11 5" xfId="4284"/>
    <cellStyle name="Currency 3 2 11 6" xfId="4285"/>
    <cellStyle name="Currency 3 2 12" xfId="4286"/>
    <cellStyle name="Currency 3 2 12 2" xfId="4287"/>
    <cellStyle name="Currency 3 2 12 2 2" xfId="4288"/>
    <cellStyle name="Currency 3 2 12 3" xfId="4289"/>
    <cellStyle name="Currency 3 2 12 3 2" xfId="4290"/>
    <cellStyle name="Currency 3 2 12 4" xfId="4291"/>
    <cellStyle name="Currency 3 2 12 5" xfId="4292"/>
    <cellStyle name="Currency 3 2 13" xfId="4293"/>
    <cellStyle name="Currency 3 2 13 2" xfId="4294"/>
    <cellStyle name="Currency 3 2 14" xfId="4295"/>
    <cellStyle name="Currency 3 2 14 2" xfId="4296"/>
    <cellStyle name="Currency 3 2 15" xfId="4297"/>
    <cellStyle name="Currency 3 2 15 2" xfId="4298"/>
    <cellStyle name="Currency 3 2 16" xfId="4299"/>
    <cellStyle name="Currency 3 2 17" xfId="4300"/>
    <cellStyle name="Currency 3 2 2" xfId="4301"/>
    <cellStyle name="Currency 3 2 2 10" xfId="4302"/>
    <cellStyle name="Currency 3 2 2 10 2" xfId="4303"/>
    <cellStyle name="Currency 3 2 2 10 2 2" xfId="4304"/>
    <cellStyle name="Currency 3 2 2 10 3" xfId="4305"/>
    <cellStyle name="Currency 3 2 2 10 3 2" xfId="4306"/>
    <cellStyle name="Currency 3 2 2 10 4" xfId="4307"/>
    <cellStyle name="Currency 3 2 2 10 4 2" xfId="4308"/>
    <cellStyle name="Currency 3 2 2 10 5" xfId="4309"/>
    <cellStyle name="Currency 3 2 2 10 6" xfId="4310"/>
    <cellStyle name="Currency 3 2 2 11" xfId="4311"/>
    <cellStyle name="Currency 3 2 2 11 2" xfId="4312"/>
    <cellStyle name="Currency 3 2 2 11 2 2" xfId="4313"/>
    <cellStyle name="Currency 3 2 2 11 3" xfId="4314"/>
    <cellStyle name="Currency 3 2 2 11 3 2" xfId="4315"/>
    <cellStyle name="Currency 3 2 2 11 4" xfId="4316"/>
    <cellStyle name="Currency 3 2 2 11 4 2" xfId="4317"/>
    <cellStyle name="Currency 3 2 2 11 5" xfId="4318"/>
    <cellStyle name="Currency 3 2 2 11 6" xfId="4319"/>
    <cellStyle name="Currency 3 2 2 12" xfId="4320"/>
    <cellStyle name="Currency 3 2 2 12 2" xfId="4321"/>
    <cellStyle name="Currency 3 2 2 12 2 2" xfId="4322"/>
    <cellStyle name="Currency 3 2 2 12 3" xfId="4323"/>
    <cellStyle name="Currency 3 2 2 12 3 2" xfId="4324"/>
    <cellStyle name="Currency 3 2 2 12 4" xfId="4325"/>
    <cellStyle name="Currency 3 2 2 12 5" xfId="4326"/>
    <cellStyle name="Currency 3 2 2 13" xfId="4327"/>
    <cellStyle name="Currency 3 2 2 13 2" xfId="4328"/>
    <cellStyle name="Currency 3 2 2 14" xfId="4329"/>
    <cellStyle name="Currency 3 2 2 14 2" xfId="4330"/>
    <cellStyle name="Currency 3 2 2 15" xfId="4331"/>
    <cellStyle name="Currency 3 2 2 15 2" xfId="4332"/>
    <cellStyle name="Currency 3 2 2 16" xfId="4333"/>
    <cellStyle name="Currency 3 2 2 17" xfId="4334"/>
    <cellStyle name="Currency 3 2 2 2" xfId="4335"/>
    <cellStyle name="Currency 3 2 2 2 10" xfId="4336"/>
    <cellStyle name="Currency 3 2 2 2 10 2" xfId="4337"/>
    <cellStyle name="Currency 3 2 2 2 10 2 2" xfId="4338"/>
    <cellStyle name="Currency 3 2 2 2 10 3" xfId="4339"/>
    <cellStyle name="Currency 3 2 2 2 10 3 2" xfId="4340"/>
    <cellStyle name="Currency 3 2 2 2 10 4" xfId="4341"/>
    <cellStyle name="Currency 3 2 2 2 10 4 2" xfId="4342"/>
    <cellStyle name="Currency 3 2 2 2 10 5" xfId="4343"/>
    <cellStyle name="Currency 3 2 2 2 10 6" xfId="4344"/>
    <cellStyle name="Currency 3 2 2 2 11" xfId="4345"/>
    <cellStyle name="Currency 3 2 2 2 11 2" xfId="4346"/>
    <cellStyle name="Currency 3 2 2 2 11 2 2" xfId="4347"/>
    <cellStyle name="Currency 3 2 2 2 11 3" xfId="4348"/>
    <cellStyle name="Currency 3 2 2 2 11 3 2" xfId="4349"/>
    <cellStyle name="Currency 3 2 2 2 11 4" xfId="4350"/>
    <cellStyle name="Currency 3 2 2 2 11 5" xfId="4351"/>
    <cellStyle name="Currency 3 2 2 2 12" xfId="4352"/>
    <cellStyle name="Currency 3 2 2 2 12 2" xfId="4353"/>
    <cellStyle name="Currency 3 2 2 2 13" xfId="4354"/>
    <cellStyle name="Currency 3 2 2 2 13 2" xfId="4355"/>
    <cellStyle name="Currency 3 2 2 2 14" xfId="4356"/>
    <cellStyle name="Currency 3 2 2 2 14 2" xfId="4357"/>
    <cellStyle name="Currency 3 2 2 2 15" xfId="4358"/>
    <cellStyle name="Currency 3 2 2 2 16" xfId="4359"/>
    <cellStyle name="Currency 3 2 2 2 2" xfId="4360"/>
    <cellStyle name="Currency 3 2 2 2 2 10" xfId="4361"/>
    <cellStyle name="Currency 3 2 2 2 2 10 2" xfId="4362"/>
    <cellStyle name="Currency 3 2 2 2 2 11" xfId="4363"/>
    <cellStyle name="Currency 3 2 2 2 2 11 2" xfId="4364"/>
    <cellStyle name="Currency 3 2 2 2 2 12" xfId="4365"/>
    <cellStyle name="Currency 3 2 2 2 2 13" xfId="4366"/>
    <cellStyle name="Currency 3 2 2 2 2 2" xfId="4367"/>
    <cellStyle name="Currency 3 2 2 2 2 2 10" xfId="4368"/>
    <cellStyle name="Currency 3 2 2 2 2 2 11" xfId="4369"/>
    <cellStyle name="Currency 3 2 2 2 2 2 2" xfId="4370"/>
    <cellStyle name="Currency 3 2 2 2 2 2 2 2" xfId="4371"/>
    <cellStyle name="Currency 3 2 2 2 2 2 2 2 2" xfId="4372"/>
    <cellStyle name="Currency 3 2 2 2 2 2 2 3" xfId="4373"/>
    <cellStyle name="Currency 3 2 2 2 2 2 2 3 2" xfId="4374"/>
    <cellStyle name="Currency 3 2 2 2 2 2 2 4" xfId="4375"/>
    <cellStyle name="Currency 3 2 2 2 2 2 2 4 2" xfId="4376"/>
    <cellStyle name="Currency 3 2 2 2 2 2 2 5" xfId="4377"/>
    <cellStyle name="Currency 3 2 2 2 2 2 2 6" xfId="4378"/>
    <cellStyle name="Currency 3 2 2 2 2 2 3" xfId="4379"/>
    <cellStyle name="Currency 3 2 2 2 2 2 3 2" xfId="4380"/>
    <cellStyle name="Currency 3 2 2 2 2 2 3 2 2" xfId="4381"/>
    <cellStyle name="Currency 3 2 2 2 2 2 3 3" xfId="4382"/>
    <cellStyle name="Currency 3 2 2 2 2 2 3 3 2" xfId="4383"/>
    <cellStyle name="Currency 3 2 2 2 2 2 3 4" xfId="4384"/>
    <cellStyle name="Currency 3 2 2 2 2 2 3 4 2" xfId="4385"/>
    <cellStyle name="Currency 3 2 2 2 2 2 3 5" xfId="4386"/>
    <cellStyle name="Currency 3 2 2 2 2 2 3 6" xfId="4387"/>
    <cellStyle name="Currency 3 2 2 2 2 2 4" xfId="4388"/>
    <cellStyle name="Currency 3 2 2 2 2 2 4 2" xfId="4389"/>
    <cellStyle name="Currency 3 2 2 2 2 2 4 2 2" xfId="4390"/>
    <cellStyle name="Currency 3 2 2 2 2 2 4 3" xfId="4391"/>
    <cellStyle name="Currency 3 2 2 2 2 2 4 3 2" xfId="4392"/>
    <cellStyle name="Currency 3 2 2 2 2 2 4 4" xfId="4393"/>
    <cellStyle name="Currency 3 2 2 2 2 2 4 4 2" xfId="4394"/>
    <cellStyle name="Currency 3 2 2 2 2 2 4 5" xfId="4395"/>
    <cellStyle name="Currency 3 2 2 2 2 2 4 6" xfId="4396"/>
    <cellStyle name="Currency 3 2 2 2 2 2 5" xfId="4397"/>
    <cellStyle name="Currency 3 2 2 2 2 2 5 2" xfId="4398"/>
    <cellStyle name="Currency 3 2 2 2 2 2 5 2 2" xfId="4399"/>
    <cellStyle name="Currency 3 2 2 2 2 2 5 3" xfId="4400"/>
    <cellStyle name="Currency 3 2 2 2 2 2 5 3 2" xfId="4401"/>
    <cellStyle name="Currency 3 2 2 2 2 2 5 4" xfId="4402"/>
    <cellStyle name="Currency 3 2 2 2 2 2 5 4 2" xfId="4403"/>
    <cellStyle name="Currency 3 2 2 2 2 2 5 5" xfId="4404"/>
    <cellStyle name="Currency 3 2 2 2 2 2 5 6" xfId="4405"/>
    <cellStyle name="Currency 3 2 2 2 2 2 6" xfId="4406"/>
    <cellStyle name="Currency 3 2 2 2 2 2 6 2" xfId="4407"/>
    <cellStyle name="Currency 3 2 2 2 2 2 6 2 2" xfId="4408"/>
    <cellStyle name="Currency 3 2 2 2 2 2 6 3" xfId="4409"/>
    <cellStyle name="Currency 3 2 2 2 2 2 6 3 2" xfId="4410"/>
    <cellStyle name="Currency 3 2 2 2 2 2 6 4" xfId="4411"/>
    <cellStyle name="Currency 3 2 2 2 2 2 6 5" xfId="4412"/>
    <cellStyle name="Currency 3 2 2 2 2 2 7" xfId="4413"/>
    <cellStyle name="Currency 3 2 2 2 2 2 7 2" xfId="4414"/>
    <cellStyle name="Currency 3 2 2 2 2 2 8" xfId="4415"/>
    <cellStyle name="Currency 3 2 2 2 2 2 8 2" xfId="4416"/>
    <cellStyle name="Currency 3 2 2 2 2 2 9" xfId="4417"/>
    <cellStyle name="Currency 3 2 2 2 2 2 9 2" xfId="4418"/>
    <cellStyle name="Currency 3 2 2 2 2 3" xfId="4419"/>
    <cellStyle name="Currency 3 2 2 2 2 3 10" xfId="4420"/>
    <cellStyle name="Currency 3 2 2 2 2 3 2" xfId="4421"/>
    <cellStyle name="Currency 3 2 2 2 2 3 2 2" xfId="4422"/>
    <cellStyle name="Currency 3 2 2 2 2 3 2 2 2" xfId="4423"/>
    <cellStyle name="Currency 3 2 2 2 2 3 2 3" xfId="4424"/>
    <cellStyle name="Currency 3 2 2 2 2 3 2 3 2" xfId="4425"/>
    <cellStyle name="Currency 3 2 2 2 2 3 2 4" xfId="4426"/>
    <cellStyle name="Currency 3 2 2 2 2 3 2 4 2" xfId="4427"/>
    <cellStyle name="Currency 3 2 2 2 2 3 2 5" xfId="4428"/>
    <cellStyle name="Currency 3 2 2 2 2 3 2 6" xfId="4429"/>
    <cellStyle name="Currency 3 2 2 2 2 3 3" xfId="4430"/>
    <cellStyle name="Currency 3 2 2 2 2 3 3 2" xfId="4431"/>
    <cellStyle name="Currency 3 2 2 2 2 3 3 2 2" xfId="4432"/>
    <cellStyle name="Currency 3 2 2 2 2 3 3 3" xfId="4433"/>
    <cellStyle name="Currency 3 2 2 2 2 3 3 3 2" xfId="4434"/>
    <cellStyle name="Currency 3 2 2 2 2 3 3 4" xfId="4435"/>
    <cellStyle name="Currency 3 2 2 2 2 3 3 4 2" xfId="4436"/>
    <cellStyle name="Currency 3 2 2 2 2 3 3 5" xfId="4437"/>
    <cellStyle name="Currency 3 2 2 2 2 3 3 6" xfId="4438"/>
    <cellStyle name="Currency 3 2 2 2 2 3 4" xfId="4439"/>
    <cellStyle name="Currency 3 2 2 2 2 3 4 2" xfId="4440"/>
    <cellStyle name="Currency 3 2 2 2 2 3 4 2 2" xfId="4441"/>
    <cellStyle name="Currency 3 2 2 2 2 3 4 3" xfId="4442"/>
    <cellStyle name="Currency 3 2 2 2 2 3 4 3 2" xfId="4443"/>
    <cellStyle name="Currency 3 2 2 2 2 3 4 4" xfId="4444"/>
    <cellStyle name="Currency 3 2 2 2 2 3 4 4 2" xfId="4445"/>
    <cellStyle name="Currency 3 2 2 2 2 3 4 5" xfId="4446"/>
    <cellStyle name="Currency 3 2 2 2 2 3 4 6" xfId="4447"/>
    <cellStyle name="Currency 3 2 2 2 2 3 5" xfId="4448"/>
    <cellStyle name="Currency 3 2 2 2 2 3 5 2" xfId="4449"/>
    <cellStyle name="Currency 3 2 2 2 2 3 5 2 2" xfId="4450"/>
    <cellStyle name="Currency 3 2 2 2 2 3 5 3" xfId="4451"/>
    <cellStyle name="Currency 3 2 2 2 2 3 5 3 2" xfId="4452"/>
    <cellStyle name="Currency 3 2 2 2 2 3 5 4" xfId="4453"/>
    <cellStyle name="Currency 3 2 2 2 2 3 5 5" xfId="4454"/>
    <cellStyle name="Currency 3 2 2 2 2 3 6" xfId="4455"/>
    <cellStyle name="Currency 3 2 2 2 2 3 6 2" xfId="4456"/>
    <cellStyle name="Currency 3 2 2 2 2 3 7" xfId="4457"/>
    <cellStyle name="Currency 3 2 2 2 2 3 7 2" xfId="4458"/>
    <cellStyle name="Currency 3 2 2 2 2 3 8" xfId="4459"/>
    <cellStyle name="Currency 3 2 2 2 2 3 8 2" xfId="4460"/>
    <cellStyle name="Currency 3 2 2 2 2 3 9" xfId="4461"/>
    <cellStyle name="Currency 3 2 2 2 2 4" xfId="4462"/>
    <cellStyle name="Currency 3 2 2 2 2 4 10" xfId="4463"/>
    <cellStyle name="Currency 3 2 2 2 2 4 2" xfId="4464"/>
    <cellStyle name="Currency 3 2 2 2 2 4 2 2" xfId="4465"/>
    <cellStyle name="Currency 3 2 2 2 2 4 2 2 2" xfId="4466"/>
    <cellStyle name="Currency 3 2 2 2 2 4 2 3" xfId="4467"/>
    <cellStyle name="Currency 3 2 2 2 2 4 2 3 2" xfId="4468"/>
    <cellStyle name="Currency 3 2 2 2 2 4 2 4" xfId="4469"/>
    <cellStyle name="Currency 3 2 2 2 2 4 2 4 2" xfId="4470"/>
    <cellStyle name="Currency 3 2 2 2 2 4 2 5" xfId="4471"/>
    <cellStyle name="Currency 3 2 2 2 2 4 2 6" xfId="4472"/>
    <cellStyle name="Currency 3 2 2 2 2 4 3" xfId="4473"/>
    <cellStyle name="Currency 3 2 2 2 2 4 3 2" xfId="4474"/>
    <cellStyle name="Currency 3 2 2 2 2 4 3 2 2" xfId="4475"/>
    <cellStyle name="Currency 3 2 2 2 2 4 3 3" xfId="4476"/>
    <cellStyle name="Currency 3 2 2 2 2 4 3 3 2" xfId="4477"/>
    <cellStyle name="Currency 3 2 2 2 2 4 3 4" xfId="4478"/>
    <cellStyle name="Currency 3 2 2 2 2 4 3 4 2" xfId="4479"/>
    <cellStyle name="Currency 3 2 2 2 2 4 3 5" xfId="4480"/>
    <cellStyle name="Currency 3 2 2 2 2 4 3 6" xfId="4481"/>
    <cellStyle name="Currency 3 2 2 2 2 4 4" xfId="4482"/>
    <cellStyle name="Currency 3 2 2 2 2 4 4 2" xfId="4483"/>
    <cellStyle name="Currency 3 2 2 2 2 4 4 2 2" xfId="4484"/>
    <cellStyle name="Currency 3 2 2 2 2 4 4 3" xfId="4485"/>
    <cellStyle name="Currency 3 2 2 2 2 4 4 3 2" xfId="4486"/>
    <cellStyle name="Currency 3 2 2 2 2 4 4 4" xfId="4487"/>
    <cellStyle name="Currency 3 2 2 2 2 4 4 4 2" xfId="4488"/>
    <cellStyle name="Currency 3 2 2 2 2 4 4 5" xfId="4489"/>
    <cellStyle name="Currency 3 2 2 2 2 4 4 6" xfId="4490"/>
    <cellStyle name="Currency 3 2 2 2 2 4 5" xfId="4491"/>
    <cellStyle name="Currency 3 2 2 2 2 4 5 2" xfId="4492"/>
    <cellStyle name="Currency 3 2 2 2 2 4 5 2 2" xfId="4493"/>
    <cellStyle name="Currency 3 2 2 2 2 4 5 3" xfId="4494"/>
    <cellStyle name="Currency 3 2 2 2 2 4 5 3 2" xfId="4495"/>
    <cellStyle name="Currency 3 2 2 2 2 4 5 4" xfId="4496"/>
    <cellStyle name="Currency 3 2 2 2 2 4 5 5" xfId="4497"/>
    <cellStyle name="Currency 3 2 2 2 2 4 6" xfId="4498"/>
    <cellStyle name="Currency 3 2 2 2 2 4 6 2" xfId="4499"/>
    <cellStyle name="Currency 3 2 2 2 2 4 7" xfId="4500"/>
    <cellStyle name="Currency 3 2 2 2 2 4 7 2" xfId="4501"/>
    <cellStyle name="Currency 3 2 2 2 2 4 8" xfId="4502"/>
    <cellStyle name="Currency 3 2 2 2 2 4 8 2" xfId="4503"/>
    <cellStyle name="Currency 3 2 2 2 2 4 9" xfId="4504"/>
    <cellStyle name="Currency 3 2 2 2 2 5" xfId="4505"/>
    <cellStyle name="Currency 3 2 2 2 2 5 2" xfId="4506"/>
    <cellStyle name="Currency 3 2 2 2 2 5 2 2" xfId="4507"/>
    <cellStyle name="Currency 3 2 2 2 2 5 3" xfId="4508"/>
    <cellStyle name="Currency 3 2 2 2 2 5 3 2" xfId="4509"/>
    <cellStyle name="Currency 3 2 2 2 2 5 4" xfId="4510"/>
    <cellStyle name="Currency 3 2 2 2 2 5 4 2" xfId="4511"/>
    <cellStyle name="Currency 3 2 2 2 2 5 5" xfId="4512"/>
    <cellStyle name="Currency 3 2 2 2 2 5 6" xfId="4513"/>
    <cellStyle name="Currency 3 2 2 2 2 6" xfId="4514"/>
    <cellStyle name="Currency 3 2 2 2 2 6 2" xfId="4515"/>
    <cellStyle name="Currency 3 2 2 2 2 6 2 2" xfId="4516"/>
    <cellStyle name="Currency 3 2 2 2 2 6 3" xfId="4517"/>
    <cellStyle name="Currency 3 2 2 2 2 6 3 2" xfId="4518"/>
    <cellStyle name="Currency 3 2 2 2 2 6 4" xfId="4519"/>
    <cellStyle name="Currency 3 2 2 2 2 6 4 2" xfId="4520"/>
    <cellStyle name="Currency 3 2 2 2 2 6 5" xfId="4521"/>
    <cellStyle name="Currency 3 2 2 2 2 6 6" xfId="4522"/>
    <cellStyle name="Currency 3 2 2 2 2 7" xfId="4523"/>
    <cellStyle name="Currency 3 2 2 2 2 7 2" xfId="4524"/>
    <cellStyle name="Currency 3 2 2 2 2 7 2 2" xfId="4525"/>
    <cellStyle name="Currency 3 2 2 2 2 7 3" xfId="4526"/>
    <cellStyle name="Currency 3 2 2 2 2 7 3 2" xfId="4527"/>
    <cellStyle name="Currency 3 2 2 2 2 7 4" xfId="4528"/>
    <cellStyle name="Currency 3 2 2 2 2 7 4 2" xfId="4529"/>
    <cellStyle name="Currency 3 2 2 2 2 7 5" xfId="4530"/>
    <cellStyle name="Currency 3 2 2 2 2 7 6" xfId="4531"/>
    <cellStyle name="Currency 3 2 2 2 2 8" xfId="4532"/>
    <cellStyle name="Currency 3 2 2 2 2 8 2" xfId="4533"/>
    <cellStyle name="Currency 3 2 2 2 2 8 2 2" xfId="4534"/>
    <cellStyle name="Currency 3 2 2 2 2 8 3" xfId="4535"/>
    <cellStyle name="Currency 3 2 2 2 2 8 3 2" xfId="4536"/>
    <cellStyle name="Currency 3 2 2 2 2 8 4" xfId="4537"/>
    <cellStyle name="Currency 3 2 2 2 2 8 5" xfId="4538"/>
    <cellStyle name="Currency 3 2 2 2 2 9" xfId="4539"/>
    <cellStyle name="Currency 3 2 2 2 2 9 2" xfId="4540"/>
    <cellStyle name="Currency 3 2 2 2 3" xfId="4541"/>
    <cellStyle name="Currency 3 2 2 2 3 10" xfId="4542"/>
    <cellStyle name="Currency 3 2 2 2 3 10 2" xfId="4543"/>
    <cellStyle name="Currency 3 2 2 2 3 11" xfId="4544"/>
    <cellStyle name="Currency 3 2 2 2 3 11 2" xfId="4545"/>
    <cellStyle name="Currency 3 2 2 2 3 12" xfId="4546"/>
    <cellStyle name="Currency 3 2 2 2 3 13" xfId="4547"/>
    <cellStyle name="Currency 3 2 2 2 3 2" xfId="4548"/>
    <cellStyle name="Currency 3 2 2 2 3 2 10" xfId="4549"/>
    <cellStyle name="Currency 3 2 2 2 3 2 11" xfId="4550"/>
    <cellStyle name="Currency 3 2 2 2 3 2 2" xfId="4551"/>
    <cellStyle name="Currency 3 2 2 2 3 2 2 2" xfId="4552"/>
    <cellStyle name="Currency 3 2 2 2 3 2 2 2 2" xfId="4553"/>
    <cellStyle name="Currency 3 2 2 2 3 2 2 3" xfId="4554"/>
    <cellStyle name="Currency 3 2 2 2 3 2 2 3 2" xfId="4555"/>
    <cellStyle name="Currency 3 2 2 2 3 2 2 4" xfId="4556"/>
    <cellStyle name="Currency 3 2 2 2 3 2 2 4 2" xfId="4557"/>
    <cellStyle name="Currency 3 2 2 2 3 2 2 5" xfId="4558"/>
    <cellStyle name="Currency 3 2 2 2 3 2 2 6" xfId="4559"/>
    <cellStyle name="Currency 3 2 2 2 3 2 3" xfId="4560"/>
    <cellStyle name="Currency 3 2 2 2 3 2 3 2" xfId="4561"/>
    <cellStyle name="Currency 3 2 2 2 3 2 3 2 2" xfId="4562"/>
    <cellStyle name="Currency 3 2 2 2 3 2 3 3" xfId="4563"/>
    <cellStyle name="Currency 3 2 2 2 3 2 3 3 2" xfId="4564"/>
    <cellStyle name="Currency 3 2 2 2 3 2 3 4" xfId="4565"/>
    <cellStyle name="Currency 3 2 2 2 3 2 3 4 2" xfId="4566"/>
    <cellStyle name="Currency 3 2 2 2 3 2 3 5" xfId="4567"/>
    <cellStyle name="Currency 3 2 2 2 3 2 3 6" xfId="4568"/>
    <cellStyle name="Currency 3 2 2 2 3 2 4" xfId="4569"/>
    <cellStyle name="Currency 3 2 2 2 3 2 4 2" xfId="4570"/>
    <cellStyle name="Currency 3 2 2 2 3 2 4 2 2" xfId="4571"/>
    <cellStyle name="Currency 3 2 2 2 3 2 4 3" xfId="4572"/>
    <cellStyle name="Currency 3 2 2 2 3 2 4 3 2" xfId="4573"/>
    <cellStyle name="Currency 3 2 2 2 3 2 4 4" xfId="4574"/>
    <cellStyle name="Currency 3 2 2 2 3 2 4 4 2" xfId="4575"/>
    <cellStyle name="Currency 3 2 2 2 3 2 4 5" xfId="4576"/>
    <cellStyle name="Currency 3 2 2 2 3 2 4 6" xfId="4577"/>
    <cellStyle name="Currency 3 2 2 2 3 2 5" xfId="4578"/>
    <cellStyle name="Currency 3 2 2 2 3 2 5 2" xfId="4579"/>
    <cellStyle name="Currency 3 2 2 2 3 2 5 2 2" xfId="4580"/>
    <cellStyle name="Currency 3 2 2 2 3 2 5 3" xfId="4581"/>
    <cellStyle name="Currency 3 2 2 2 3 2 5 3 2" xfId="4582"/>
    <cellStyle name="Currency 3 2 2 2 3 2 5 4" xfId="4583"/>
    <cellStyle name="Currency 3 2 2 2 3 2 5 4 2" xfId="4584"/>
    <cellStyle name="Currency 3 2 2 2 3 2 5 5" xfId="4585"/>
    <cellStyle name="Currency 3 2 2 2 3 2 5 6" xfId="4586"/>
    <cellStyle name="Currency 3 2 2 2 3 2 6" xfId="4587"/>
    <cellStyle name="Currency 3 2 2 2 3 2 6 2" xfId="4588"/>
    <cellStyle name="Currency 3 2 2 2 3 2 6 2 2" xfId="4589"/>
    <cellStyle name="Currency 3 2 2 2 3 2 6 3" xfId="4590"/>
    <cellStyle name="Currency 3 2 2 2 3 2 6 3 2" xfId="4591"/>
    <cellStyle name="Currency 3 2 2 2 3 2 6 4" xfId="4592"/>
    <cellStyle name="Currency 3 2 2 2 3 2 6 5" xfId="4593"/>
    <cellStyle name="Currency 3 2 2 2 3 2 7" xfId="4594"/>
    <cellStyle name="Currency 3 2 2 2 3 2 7 2" xfId="4595"/>
    <cellStyle name="Currency 3 2 2 2 3 2 8" xfId="4596"/>
    <cellStyle name="Currency 3 2 2 2 3 2 8 2" xfId="4597"/>
    <cellStyle name="Currency 3 2 2 2 3 2 9" xfId="4598"/>
    <cellStyle name="Currency 3 2 2 2 3 2 9 2" xfId="4599"/>
    <cellStyle name="Currency 3 2 2 2 3 3" xfId="4600"/>
    <cellStyle name="Currency 3 2 2 2 3 3 10" xfId="4601"/>
    <cellStyle name="Currency 3 2 2 2 3 3 2" xfId="4602"/>
    <cellStyle name="Currency 3 2 2 2 3 3 2 2" xfId="4603"/>
    <cellStyle name="Currency 3 2 2 2 3 3 2 2 2" xfId="4604"/>
    <cellStyle name="Currency 3 2 2 2 3 3 2 3" xfId="4605"/>
    <cellStyle name="Currency 3 2 2 2 3 3 2 3 2" xfId="4606"/>
    <cellStyle name="Currency 3 2 2 2 3 3 2 4" xfId="4607"/>
    <cellStyle name="Currency 3 2 2 2 3 3 2 4 2" xfId="4608"/>
    <cellStyle name="Currency 3 2 2 2 3 3 2 5" xfId="4609"/>
    <cellStyle name="Currency 3 2 2 2 3 3 2 6" xfId="4610"/>
    <cellStyle name="Currency 3 2 2 2 3 3 3" xfId="4611"/>
    <cellStyle name="Currency 3 2 2 2 3 3 3 2" xfId="4612"/>
    <cellStyle name="Currency 3 2 2 2 3 3 3 2 2" xfId="4613"/>
    <cellStyle name="Currency 3 2 2 2 3 3 3 3" xfId="4614"/>
    <cellStyle name="Currency 3 2 2 2 3 3 3 3 2" xfId="4615"/>
    <cellStyle name="Currency 3 2 2 2 3 3 3 4" xfId="4616"/>
    <cellStyle name="Currency 3 2 2 2 3 3 3 4 2" xfId="4617"/>
    <cellStyle name="Currency 3 2 2 2 3 3 3 5" xfId="4618"/>
    <cellStyle name="Currency 3 2 2 2 3 3 3 6" xfId="4619"/>
    <cellStyle name="Currency 3 2 2 2 3 3 4" xfId="4620"/>
    <cellStyle name="Currency 3 2 2 2 3 3 4 2" xfId="4621"/>
    <cellStyle name="Currency 3 2 2 2 3 3 4 2 2" xfId="4622"/>
    <cellStyle name="Currency 3 2 2 2 3 3 4 3" xfId="4623"/>
    <cellStyle name="Currency 3 2 2 2 3 3 4 3 2" xfId="4624"/>
    <cellStyle name="Currency 3 2 2 2 3 3 4 4" xfId="4625"/>
    <cellStyle name="Currency 3 2 2 2 3 3 4 4 2" xfId="4626"/>
    <cellStyle name="Currency 3 2 2 2 3 3 4 5" xfId="4627"/>
    <cellStyle name="Currency 3 2 2 2 3 3 4 6" xfId="4628"/>
    <cellStyle name="Currency 3 2 2 2 3 3 5" xfId="4629"/>
    <cellStyle name="Currency 3 2 2 2 3 3 5 2" xfId="4630"/>
    <cellStyle name="Currency 3 2 2 2 3 3 5 2 2" xfId="4631"/>
    <cellStyle name="Currency 3 2 2 2 3 3 5 3" xfId="4632"/>
    <cellStyle name="Currency 3 2 2 2 3 3 5 3 2" xfId="4633"/>
    <cellStyle name="Currency 3 2 2 2 3 3 5 4" xfId="4634"/>
    <cellStyle name="Currency 3 2 2 2 3 3 5 5" xfId="4635"/>
    <cellStyle name="Currency 3 2 2 2 3 3 6" xfId="4636"/>
    <cellStyle name="Currency 3 2 2 2 3 3 6 2" xfId="4637"/>
    <cellStyle name="Currency 3 2 2 2 3 3 7" xfId="4638"/>
    <cellStyle name="Currency 3 2 2 2 3 3 7 2" xfId="4639"/>
    <cellStyle name="Currency 3 2 2 2 3 3 8" xfId="4640"/>
    <cellStyle name="Currency 3 2 2 2 3 3 8 2" xfId="4641"/>
    <cellStyle name="Currency 3 2 2 2 3 3 9" xfId="4642"/>
    <cellStyle name="Currency 3 2 2 2 3 4" xfId="4643"/>
    <cellStyle name="Currency 3 2 2 2 3 4 10" xfId="4644"/>
    <cellStyle name="Currency 3 2 2 2 3 4 2" xfId="4645"/>
    <cellStyle name="Currency 3 2 2 2 3 4 2 2" xfId="4646"/>
    <cellStyle name="Currency 3 2 2 2 3 4 2 2 2" xfId="4647"/>
    <cellStyle name="Currency 3 2 2 2 3 4 2 3" xfId="4648"/>
    <cellStyle name="Currency 3 2 2 2 3 4 2 3 2" xfId="4649"/>
    <cellStyle name="Currency 3 2 2 2 3 4 2 4" xfId="4650"/>
    <cellStyle name="Currency 3 2 2 2 3 4 2 4 2" xfId="4651"/>
    <cellStyle name="Currency 3 2 2 2 3 4 2 5" xfId="4652"/>
    <cellStyle name="Currency 3 2 2 2 3 4 2 6" xfId="4653"/>
    <cellStyle name="Currency 3 2 2 2 3 4 3" xfId="4654"/>
    <cellStyle name="Currency 3 2 2 2 3 4 3 2" xfId="4655"/>
    <cellStyle name="Currency 3 2 2 2 3 4 3 2 2" xfId="4656"/>
    <cellStyle name="Currency 3 2 2 2 3 4 3 3" xfId="4657"/>
    <cellStyle name="Currency 3 2 2 2 3 4 3 3 2" xfId="4658"/>
    <cellStyle name="Currency 3 2 2 2 3 4 3 4" xfId="4659"/>
    <cellStyle name="Currency 3 2 2 2 3 4 3 4 2" xfId="4660"/>
    <cellStyle name="Currency 3 2 2 2 3 4 3 5" xfId="4661"/>
    <cellStyle name="Currency 3 2 2 2 3 4 3 6" xfId="4662"/>
    <cellStyle name="Currency 3 2 2 2 3 4 4" xfId="4663"/>
    <cellStyle name="Currency 3 2 2 2 3 4 4 2" xfId="4664"/>
    <cellStyle name="Currency 3 2 2 2 3 4 4 2 2" xfId="4665"/>
    <cellStyle name="Currency 3 2 2 2 3 4 4 3" xfId="4666"/>
    <cellStyle name="Currency 3 2 2 2 3 4 4 3 2" xfId="4667"/>
    <cellStyle name="Currency 3 2 2 2 3 4 4 4" xfId="4668"/>
    <cellStyle name="Currency 3 2 2 2 3 4 4 4 2" xfId="4669"/>
    <cellStyle name="Currency 3 2 2 2 3 4 4 5" xfId="4670"/>
    <cellStyle name="Currency 3 2 2 2 3 4 4 6" xfId="4671"/>
    <cellStyle name="Currency 3 2 2 2 3 4 5" xfId="4672"/>
    <cellStyle name="Currency 3 2 2 2 3 4 5 2" xfId="4673"/>
    <cellStyle name="Currency 3 2 2 2 3 4 5 2 2" xfId="4674"/>
    <cellStyle name="Currency 3 2 2 2 3 4 5 3" xfId="4675"/>
    <cellStyle name="Currency 3 2 2 2 3 4 5 3 2" xfId="4676"/>
    <cellStyle name="Currency 3 2 2 2 3 4 5 4" xfId="4677"/>
    <cellStyle name="Currency 3 2 2 2 3 4 5 5" xfId="4678"/>
    <cellStyle name="Currency 3 2 2 2 3 4 6" xfId="4679"/>
    <cellStyle name="Currency 3 2 2 2 3 4 6 2" xfId="4680"/>
    <cellStyle name="Currency 3 2 2 2 3 4 7" xfId="4681"/>
    <cellStyle name="Currency 3 2 2 2 3 4 7 2" xfId="4682"/>
    <cellStyle name="Currency 3 2 2 2 3 4 8" xfId="4683"/>
    <cellStyle name="Currency 3 2 2 2 3 4 8 2" xfId="4684"/>
    <cellStyle name="Currency 3 2 2 2 3 4 9" xfId="4685"/>
    <cellStyle name="Currency 3 2 2 2 3 5" xfId="4686"/>
    <cellStyle name="Currency 3 2 2 2 3 5 2" xfId="4687"/>
    <cellStyle name="Currency 3 2 2 2 3 5 2 2" xfId="4688"/>
    <cellStyle name="Currency 3 2 2 2 3 5 3" xfId="4689"/>
    <cellStyle name="Currency 3 2 2 2 3 5 3 2" xfId="4690"/>
    <cellStyle name="Currency 3 2 2 2 3 5 4" xfId="4691"/>
    <cellStyle name="Currency 3 2 2 2 3 5 4 2" xfId="4692"/>
    <cellStyle name="Currency 3 2 2 2 3 5 5" xfId="4693"/>
    <cellStyle name="Currency 3 2 2 2 3 5 6" xfId="4694"/>
    <cellStyle name="Currency 3 2 2 2 3 6" xfId="4695"/>
    <cellStyle name="Currency 3 2 2 2 3 6 2" xfId="4696"/>
    <cellStyle name="Currency 3 2 2 2 3 6 2 2" xfId="4697"/>
    <cellStyle name="Currency 3 2 2 2 3 6 3" xfId="4698"/>
    <cellStyle name="Currency 3 2 2 2 3 6 3 2" xfId="4699"/>
    <cellStyle name="Currency 3 2 2 2 3 6 4" xfId="4700"/>
    <cellStyle name="Currency 3 2 2 2 3 6 4 2" xfId="4701"/>
    <cellStyle name="Currency 3 2 2 2 3 6 5" xfId="4702"/>
    <cellStyle name="Currency 3 2 2 2 3 6 6" xfId="4703"/>
    <cellStyle name="Currency 3 2 2 2 3 7" xfId="4704"/>
    <cellStyle name="Currency 3 2 2 2 3 7 2" xfId="4705"/>
    <cellStyle name="Currency 3 2 2 2 3 7 2 2" xfId="4706"/>
    <cellStyle name="Currency 3 2 2 2 3 7 3" xfId="4707"/>
    <cellStyle name="Currency 3 2 2 2 3 7 3 2" xfId="4708"/>
    <cellStyle name="Currency 3 2 2 2 3 7 4" xfId="4709"/>
    <cellStyle name="Currency 3 2 2 2 3 7 4 2" xfId="4710"/>
    <cellStyle name="Currency 3 2 2 2 3 7 5" xfId="4711"/>
    <cellStyle name="Currency 3 2 2 2 3 7 6" xfId="4712"/>
    <cellStyle name="Currency 3 2 2 2 3 8" xfId="4713"/>
    <cellStyle name="Currency 3 2 2 2 3 8 2" xfId="4714"/>
    <cellStyle name="Currency 3 2 2 2 3 8 2 2" xfId="4715"/>
    <cellStyle name="Currency 3 2 2 2 3 8 3" xfId="4716"/>
    <cellStyle name="Currency 3 2 2 2 3 8 3 2" xfId="4717"/>
    <cellStyle name="Currency 3 2 2 2 3 8 4" xfId="4718"/>
    <cellStyle name="Currency 3 2 2 2 3 8 5" xfId="4719"/>
    <cellStyle name="Currency 3 2 2 2 3 9" xfId="4720"/>
    <cellStyle name="Currency 3 2 2 2 3 9 2" xfId="4721"/>
    <cellStyle name="Currency 3 2 2 2 4" xfId="4722"/>
    <cellStyle name="Currency 3 2 2 2 4 10" xfId="4723"/>
    <cellStyle name="Currency 3 2 2 2 4 10 2" xfId="4724"/>
    <cellStyle name="Currency 3 2 2 2 4 11" xfId="4725"/>
    <cellStyle name="Currency 3 2 2 2 4 12" xfId="4726"/>
    <cellStyle name="Currency 3 2 2 2 4 2" xfId="4727"/>
    <cellStyle name="Currency 3 2 2 2 4 2 10" xfId="4728"/>
    <cellStyle name="Currency 3 2 2 2 4 2 2" xfId="4729"/>
    <cellStyle name="Currency 3 2 2 2 4 2 2 2" xfId="4730"/>
    <cellStyle name="Currency 3 2 2 2 4 2 2 2 2" xfId="4731"/>
    <cellStyle name="Currency 3 2 2 2 4 2 2 3" xfId="4732"/>
    <cellStyle name="Currency 3 2 2 2 4 2 2 3 2" xfId="4733"/>
    <cellStyle name="Currency 3 2 2 2 4 2 2 4" xfId="4734"/>
    <cellStyle name="Currency 3 2 2 2 4 2 2 4 2" xfId="4735"/>
    <cellStyle name="Currency 3 2 2 2 4 2 2 5" xfId="4736"/>
    <cellStyle name="Currency 3 2 2 2 4 2 2 6" xfId="4737"/>
    <cellStyle name="Currency 3 2 2 2 4 2 3" xfId="4738"/>
    <cellStyle name="Currency 3 2 2 2 4 2 3 2" xfId="4739"/>
    <cellStyle name="Currency 3 2 2 2 4 2 3 2 2" xfId="4740"/>
    <cellStyle name="Currency 3 2 2 2 4 2 3 3" xfId="4741"/>
    <cellStyle name="Currency 3 2 2 2 4 2 3 3 2" xfId="4742"/>
    <cellStyle name="Currency 3 2 2 2 4 2 3 4" xfId="4743"/>
    <cellStyle name="Currency 3 2 2 2 4 2 3 4 2" xfId="4744"/>
    <cellStyle name="Currency 3 2 2 2 4 2 3 5" xfId="4745"/>
    <cellStyle name="Currency 3 2 2 2 4 2 3 6" xfId="4746"/>
    <cellStyle name="Currency 3 2 2 2 4 2 4" xfId="4747"/>
    <cellStyle name="Currency 3 2 2 2 4 2 4 2" xfId="4748"/>
    <cellStyle name="Currency 3 2 2 2 4 2 4 2 2" xfId="4749"/>
    <cellStyle name="Currency 3 2 2 2 4 2 4 3" xfId="4750"/>
    <cellStyle name="Currency 3 2 2 2 4 2 4 3 2" xfId="4751"/>
    <cellStyle name="Currency 3 2 2 2 4 2 4 4" xfId="4752"/>
    <cellStyle name="Currency 3 2 2 2 4 2 4 4 2" xfId="4753"/>
    <cellStyle name="Currency 3 2 2 2 4 2 4 5" xfId="4754"/>
    <cellStyle name="Currency 3 2 2 2 4 2 4 6" xfId="4755"/>
    <cellStyle name="Currency 3 2 2 2 4 2 5" xfId="4756"/>
    <cellStyle name="Currency 3 2 2 2 4 2 5 2" xfId="4757"/>
    <cellStyle name="Currency 3 2 2 2 4 2 5 2 2" xfId="4758"/>
    <cellStyle name="Currency 3 2 2 2 4 2 5 3" xfId="4759"/>
    <cellStyle name="Currency 3 2 2 2 4 2 5 3 2" xfId="4760"/>
    <cellStyle name="Currency 3 2 2 2 4 2 5 4" xfId="4761"/>
    <cellStyle name="Currency 3 2 2 2 4 2 5 5" xfId="4762"/>
    <cellStyle name="Currency 3 2 2 2 4 2 6" xfId="4763"/>
    <cellStyle name="Currency 3 2 2 2 4 2 6 2" xfId="4764"/>
    <cellStyle name="Currency 3 2 2 2 4 2 7" xfId="4765"/>
    <cellStyle name="Currency 3 2 2 2 4 2 7 2" xfId="4766"/>
    <cellStyle name="Currency 3 2 2 2 4 2 8" xfId="4767"/>
    <cellStyle name="Currency 3 2 2 2 4 2 8 2" xfId="4768"/>
    <cellStyle name="Currency 3 2 2 2 4 2 9" xfId="4769"/>
    <cellStyle name="Currency 3 2 2 2 4 3" xfId="4770"/>
    <cellStyle name="Currency 3 2 2 2 4 3 10" xfId="4771"/>
    <cellStyle name="Currency 3 2 2 2 4 3 2" xfId="4772"/>
    <cellStyle name="Currency 3 2 2 2 4 3 2 2" xfId="4773"/>
    <cellStyle name="Currency 3 2 2 2 4 3 2 2 2" xfId="4774"/>
    <cellStyle name="Currency 3 2 2 2 4 3 2 3" xfId="4775"/>
    <cellStyle name="Currency 3 2 2 2 4 3 2 3 2" xfId="4776"/>
    <cellStyle name="Currency 3 2 2 2 4 3 2 4" xfId="4777"/>
    <cellStyle name="Currency 3 2 2 2 4 3 2 4 2" xfId="4778"/>
    <cellStyle name="Currency 3 2 2 2 4 3 2 5" xfId="4779"/>
    <cellStyle name="Currency 3 2 2 2 4 3 2 6" xfId="4780"/>
    <cellStyle name="Currency 3 2 2 2 4 3 3" xfId="4781"/>
    <cellStyle name="Currency 3 2 2 2 4 3 3 2" xfId="4782"/>
    <cellStyle name="Currency 3 2 2 2 4 3 3 2 2" xfId="4783"/>
    <cellStyle name="Currency 3 2 2 2 4 3 3 3" xfId="4784"/>
    <cellStyle name="Currency 3 2 2 2 4 3 3 3 2" xfId="4785"/>
    <cellStyle name="Currency 3 2 2 2 4 3 3 4" xfId="4786"/>
    <cellStyle name="Currency 3 2 2 2 4 3 3 4 2" xfId="4787"/>
    <cellStyle name="Currency 3 2 2 2 4 3 3 5" xfId="4788"/>
    <cellStyle name="Currency 3 2 2 2 4 3 3 6" xfId="4789"/>
    <cellStyle name="Currency 3 2 2 2 4 3 4" xfId="4790"/>
    <cellStyle name="Currency 3 2 2 2 4 3 4 2" xfId="4791"/>
    <cellStyle name="Currency 3 2 2 2 4 3 4 2 2" xfId="4792"/>
    <cellStyle name="Currency 3 2 2 2 4 3 4 3" xfId="4793"/>
    <cellStyle name="Currency 3 2 2 2 4 3 4 3 2" xfId="4794"/>
    <cellStyle name="Currency 3 2 2 2 4 3 4 4" xfId="4795"/>
    <cellStyle name="Currency 3 2 2 2 4 3 4 4 2" xfId="4796"/>
    <cellStyle name="Currency 3 2 2 2 4 3 4 5" xfId="4797"/>
    <cellStyle name="Currency 3 2 2 2 4 3 4 6" xfId="4798"/>
    <cellStyle name="Currency 3 2 2 2 4 3 5" xfId="4799"/>
    <cellStyle name="Currency 3 2 2 2 4 3 5 2" xfId="4800"/>
    <cellStyle name="Currency 3 2 2 2 4 3 5 2 2" xfId="4801"/>
    <cellStyle name="Currency 3 2 2 2 4 3 5 3" xfId="4802"/>
    <cellStyle name="Currency 3 2 2 2 4 3 5 3 2" xfId="4803"/>
    <cellStyle name="Currency 3 2 2 2 4 3 5 4" xfId="4804"/>
    <cellStyle name="Currency 3 2 2 2 4 3 5 5" xfId="4805"/>
    <cellStyle name="Currency 3 2 2 2 4 3 6" xfId="4806"/>
    <cellStyle name="Currency 3 2 2 2 4 3 6 2" xfId="4807"/>
    <cellStyle name="Currency 3 2 2 2 4 3 7" xfId="4808"/>
    <cellStyle name="Currency 3 2 2 2 4 3 7 2" xfId="4809"/>
    <cellStyle name="Currency 3 2 2 2 4 3 8" xfId="4810"/>
    <cellStyle name="Currency 3 2 2 2 4 3 8 2" xfId="4811"/>
    <cellStyle name="Currency 3 2 2 2 4 3 9" xfId="4812"/>
    <cellStyle name="Currency 3 2 2 2 4 4" xfId="4813"/>
    <cellStyle name="Currency 3 2 2 2 4 4 2" xfId="4814"/>
    <cellStyle name="Currency 3 2 2 2 4 4 2 2" xfId="4815"/>
    <cellStyle name="Currency 3 2 2 2 4 4 3" xfId="4816"/>
    <cellStyle name="Currency 3 2 2 2 4 4 3 2" xfId="4817"/>
    <cellStyle name="Currency 3 2 2 2 4 4 4" xfId="4818"/>
    <cellStyle name="Currency 3 2 2 2 4 4 4 2" xfId="4819"/>
    <cellStyle name="Currency 3 2 2 2 4 4 5" xfId="4820"/>
    <cellStyle name="Currency 3 2 2 2 4 4 6" xfId="4821"/>
    <cellStyle name="Currency 3 2 2 2 4 5" xfId="4822"/>
    <cellStyle name="Currency 3 2 2 2 4 5 2" xfId="4823"/>
    <cellStyle name="Currency 3 2 2 2 4 5 2 2" xfId="4824"/>
    <cellStyle name="Currency 3 2 2 2 4 5 3" xfId="4825"/>
    <cellStyle name="Currency 3 2 2 2 4 5 3 2" xfId="4826"/>
    <cellStyle name="Currency 3 2 2 2 4 5 4" xfId="4827"/>
    <cellStyle name="Currency 3 2 2 2 4 5 4 2" xfId="4828"/>
    <cellStyle name="Currency 3 2 2 2 4 5 5" xfId="4829"/>
    <cellStyle name="Currency 3 2 2 2 4 5 6" xfId="4830"/>
    <cellStyle name="Currency 3 2 2 2 4 6" xfId="4831"/>
    <cellStyle name="Currency 3 2 2 2 4 6 2" xfId="4832"/>
    <cellStyle name="Currency 3 2 2 2 4 6 2 2" xfId="4833"/>
    <cellStyle name="Currency 3 2 2 2 4 6 3" xfId="4834"/>
    <cellStyle name="Currency 3 2 2 2 4 6 3 2" xfId="4835"/>
    <cellStyle name="Currency 3 2 2 2 4 6 4" xfId="4836"/>
    <cellStyle name="Currency 3 2 2 2 4 6 4 2" xfId="4837"/>
    <cellStyle name="Currency 3 2 2 2 4 6 5" xfId="4838"/>
    <cellStyle name="Currency 3 2 2 2 4 6 6" xfId="4839"/>
    <cellStyle name="Currency 3 2 2 2 4 7" xfId="4840"/>
    <cellStyle name="Currency 3 2 2 2 4 7 2" xfId="4841"/>
    <cellStyle name="Currency 3 2 2 2 4 7 2 2" xfId="4842"/>
    <cellStyle name="Currency 3 2 2 2 4 7 3" xfId="4843"/>
    <cellStyle name="Currency 3 2 2 2 4 7 3 2" xfId="4844"/>
    <cellStyle name="Currency 3 2 2 2 4 7 4" xfId="4845"/>
    <cellStyle name="Currency 3 2 2 2 4 7 5" xfId="4846"/>
    <cellStyle name="Currency 3 2 2 2 4 8" xfId="4847"/>
    <cellStyle name="Currency 3 2 2 2 4 8 2" xfId="4848"/>
    <cellStyle name="Currency 3 2 2 2 4 9" xfId="4849"/>
    <cellStyle name="Currency 3 2 2 2 4 9 2" xfId="4850"/>
    <cellStyle name="Currency 3 2 2 2 5" xfId="4851"/>
    <cellStyle name="Currency 3 2 2 2 5 10" xfId="4852"/>
    <cellStyle name="Currency 3 2 2 2 5 11" xfId="4853"/>
    <cellStyle name="Currency 3 2 2 2 5 2" xfId="4854"/>
    <cellStyle name="Currency 3 2 2 2 5 2 2" xfId="4855"/>
    <cellStyle name="Currency 3 2 2 2 5 2 2 2" xfId="4856"/>
    <cellStyle name="Currency 3 2 2 2 5 2 3" xfId="4857"/>
    <cellStyle name="Currency 3 2 2 2 5 2 3 2" xfId="4858"/>
    <cellStyle name="Currency 3 2 2 2 5 2 4" xfId="4859"/>
    <cellStyle name="Currency 3 2 2 2 5 2 4 2" xfId="4860"/>
    <cellStyle name="Currency 3 2 2 2 5 2 5" xfId="4861"/>
    <cellStyle name="Currency 3 2 2 2 5 2 6" xfId="4862"/>
    <cellStyle name="Currency 3 2 2 2 5 3" xfId="4863"/>
    <cellStyle name="Currency 3 2 2 2 5 3 2" xfId="4864"/>
    <cellStyle name="Currency 3 2 2 2 5 3 2 2" xfId="4865"/>
    <cellStyle name="Currency 3 2 2 2 5 3 3" xfId="4866"/>
    <cellStyle name="Currency 3 2 2 2 5 3 3 2" xfId="4867"/>
    <cellStyle name="Currency 3 2 2 2 5 3 4" xfId="4868"/>
    <cellStyle name="Currency 3 2 2 2 5 3 4 2" xfId="4869"/>
    <cellStyle name="Currency 3 2 2 2 5 3 5" xfId="4870"/>
    <cellStyle name="Currency 3 2 2 2 5 3 6" xfId="4871"/>
    <cellStyle name="Currency 3 2 2 2 5 4" xfId="4872"/>
    <cellStyle name="Currency 3 2 2 2 5 4 2" xfId="4873"/>
    <cellStyle name="Currency 3 2 2 2 5 4 2 2" xfId="4874"/>
    <cellStyle name="Currency 3 2 2 2 5 4 3" xfId="4875"/>
    <cellStyle name="Currency 3 2 2 2 5 4 3 2" xfId="4876"/>
    <cellStyle name="Currency 3 2 2 2 5 4 4" xfId="4877"/>
    <cellStyle name="Currency 3 2 2 2 5 4 4 2" xfId="4878"/>
    <cellStyle name="Currency 3 2 2 2 5 4 5" xfId="4879"/>
    <cellStyle name="Currency 3 2 2 2 5 4 6" xfId="4880"/>
    <cellStyle name="Currency 3 2 2 2 5 5" xfId="4881"/>
    <cellStyle name="Currency 3 2 2 2 5 5 2" xfId="4882"/>
    <cellStyle name="Currency 3 2 2 2 5 5 2 2" xfId="4883"/>
    <cellStyle name="Currency 3 2 2 2 5 5 3" xfId="4884"/>
    <cellStyle name="Currency 3 2 2 2 5 5 3 2" xfId="4885"/>
    <cellStyle name="Currency 3 2 2 2 5 5 4" xfId="4886"/>
    <cellStyle name="Currency 3 2 2 2 5 5 4 2" xfId="4887"/>
    <cellStyle name="Currency 3 2 2 2 5 5 5" xfId="4888"/>
    <cellStyle name="Currency 3 2 2 2 5 5 6" xfId="4889"/>
    <cellStyle name="Currency 3 2 2 2 5 6" xfId="4890"/>
    <cellStyle name="Currency 3 2 2 2 5 6 2" xfId="4891"/>
    <cellStyle name="Currency 3 2 2 2 5 6 2 2" xfId="4892"/>
    <cellStyle name="Currency 3 2 2 2 5 6 3" xfId="4893"/>
    <cellStyle name="Currency 3 2 2 2 5 6 3 2" xfId="4894"/>
    <cellStyle name="Currency 3 2 2 2 5 6 4" xfId="4895"/>
    <cellStyle name="Currency 3 2 2 2 5 6 5" xfId="4896"/>
    <cellStyle name="Currency 3 2 2 2 5 7" xfId="4897"/>
    <cellStyle name="Currency 3 2 2 2 5 7 2" xfId="4898"/>
    <cellStyle name="Currency 3 2 2 2 5 8" xfId="4899"/>
    <cellStyle name="Currency 3 2 2 2 5 8 2" xfId="4900"/>
    <cellStyle name="Currency 3 2 2 2 5 9" xfId="4901"/>
    <cellStyle name="Currency 3 2 2 2 5 9 2" xfId="4902"/>
    <cellStyle name="Currency 3 2 2 2 6" xfId="4903"/>
    <cellStyle name="Currency 3 2 2 2 6 10" xfId="4904"/>
    <cellStyle name="Currency 3 2 2 2 6 2" xfId="4905"/>
    <cellStyle name="Currency 3 2 2 2 6 2 2" xfId="4906"/>
    <cellStyle name="Currency 3 2 2 2 6 2 2 2" xfId="4907"/>
    <cellStyle name="Currency 3 2 2 2 6 2 3" xfId="4908"/>
    <cellStyle name="Currency 3 2 2 2 6 2 3 2" xfId="4909"/>
    <cellStyle name="Currency 3 2 2 2 6 2 4" xfId="4910"/>
    <cellStyle name="Currency 3 2 2 2 6 2 4 2" xfId="4911"/>
    <cellStyle name="Currency 3 2 2 2 6 2 5" xfId="4912"/>
    <cellStyle name="Currency 3 2 2 2 6 2 6" xfId="4913"/>
    <cellStyle name="Currency 3 2 2 2 6 3" xfId="4914"/>
    <cellStyle name="Currency 3 2 2 2 6 3 2" xfId="4915"/>
    <cellStyle name="Currency 3 2 2 2 6 3 2 2" xfId="4916"/>
    <cellStyle name="Currency 3 2 2 2 6 3 3" xfId="4917"/>
    <cellStyle name="Currency 3 2 2 2 6 3 3 2" xfId="4918"/>
    <cellStyle name="Currency 3 2 2 2 6 3 4" xfId="4919"/>
    <cellStyle name="Currency 3 2 2 2 6 3 4 2" xfId="4920"/>
    <cellStyle name="Currency 3 2 2 2 6 3 5" xfId="4921"/>
    <cellStyle name="Currency 3 2 2 2 6 3 6" xfId="4922"/>
    <cellStyle name="Currency 3 2 2 2 6 4" xfId="4923"/>
    <cellStyle name="Currency 3 2 2 2 6 4 2" xfId="4924"/>
    <cellStyle name="Currency 3 2 2 2 6 4 2 2" xfId="4925"/>
    <cellStyle name="Currency 3 2 2 2 6 4 3" xfId="4926"/>
    <cellStyle name="Currency 3 2 2 2 6 4 3 2" xfId="4927"/>
    <cellStyle name="Currency 3 2 2 2 6 4 4" xfId="4928"/>
    <cellStyle name="Currency 3 2 2 2 6 4 4 2" xfId="4929"/>
    <cellStyle name="Currency 3 2 2 2 6 4 5" xfId="4930"/>
    <cellStyle name="Currency 3 2 2 2 6 4 6" xfId="4931"/>
    <cellStyle name="Currency 3 2 2 2 6 5" xfId="4932"/>
    <cellStyle name="Currency 3 2 2 2 6 5 2" xfId="4933"/>
    <cellStyle name="Currency 3 2 2 2 6 5 2 2" xfId="4934"/>
    <cellStyle name="Currency 3 2 2 2 6 5 3" xfId="4935"/>
    <cellStyle name="Currency 3 2 2 2 6 5 3 2" xfId="4936"/>
    <cellStyle name="Currency 3 2 2 2 6 5 4" xfId="4937"/>
    <cellStyle name="Currency 3 2 2 2 6 5 5" xfId="4938"/>
    <cellStyle name="Currency 3 2 2 2 6 6" xfId="4939"/>
    <cellStyle name="Currency 3 2 2 2 6 6 2" xfId="4940"/>
    <cellStyle name="Currency 3 2 2 2 6 7" xfId="4941"/>
    <cellStyle name="Currency 3 2 2 2 6 7 2" xfId="4942"/>
    <cellStyle name="Currency 3 2 2 2 6 8" xfId="4943"/>
    <cellStyle name="Currency 3 2 2 2 6 8 2" xfId="4944"/>
    <cellStyle name="Currency 3 2 2 2 6 9" xfId="4945"/>
    <cellStyle name="Currency 3 2 2 2 7" xfId="4946"/>
    <cellStyle name="Currency 3 2 2 2 7 10" xfId="4947"/>
    <cellStyle name="Currency 3 2 2 2 7 2" xfId="4948"/>
    <cellStyle name="Currency 3 2 2 2 7 2 2" xfId="4949"/>
    <cellStyle name="Currency 3 2 2 2 7 2 2 2" xfId="4950"/>
    <cellStyle name="Currency 3 2 2 2 7 2 3" xfId="4951"/>
    <cellStyle name="Currency 3 2 2 2 7 2 3 2" xfId="4952"/>
    <cellStyle name="Currency 3 2 2 2 7 2 4" xfId="4953"/>
    <cellStyle name="Currency 3 2 2 2 7 2 4 2" xfId="4954"/>
    <cellStyle name="Currency 3 2 2 2 7 2 5" xfId="4955"/>
    <cellStyle name="Currency 3 2 2 2 7 2 6" xfId="4956"/>
    <cellStyle name="Currency 3 2 2 2 7 3" xfId="4957"/>
    <cellStyle name="Currency 3 2 2 2 7 3 2" xfId="4958"/>
    <cellStyle name="Currency 3 2 2 2 7 3 2 2" xfId="4959"/>
    <cellStyle name="Currency 3 2 2 2 7 3 3" xfId="4960"/>
    <cellStyle name="Currency 3 2 2 2 7 3 3 2" xfId="4961"/>
    <cellStyle name="Currency 3 2 2 2 7 3 4" xfId="4962"/>
    <cellStyle name="Currency 3 2 2 2 7 3 4 2" xfId="4963"/>
    <cellStyle name="Currency 3 2 2 2 7 3 5" xfId="4964"/>
    <cellStyle name="Currency 3 2 2 2 7 3 6" xfId="4965"/>
    <cellStyle name="Currency 3 2 2 2 7 4" xfId="4966"/>
    <cellStyle name="Currency 3 2 2 2 7 4 2" xfId="4967"/>
    <cellStyle name="Currency 3 2 2 2 7 4 2 2" xfId="4968"/>
    <cellStyle name="Currency 3 2 2 2 7 4 3" xfId="4969"/>
    <cellStyle name="Currency 3 2 2 2 7 4 3 2" xfId="4970"/>
    <cellStyle name="Currency 3 2 2 2 7 4 4" xfId="4971"/>
    <cellStyle name="Currency 3 2 2 2 7 4 4 2" xfId="4972"/>
    <cellStyle name="Currency 3 2 2 2 7 4 5" xfId="4973"/>
    <cellStyle name="Currency 3 2 2 2 7 4 6" xfId="4974"/>
    <cellStyle name="Currency 3 2 2 2 7 5" xfId="4975"/>
    <cellStyle name="Currency 3 2 2 2 7 5 2" xfId="4976"/>
    <cellStyle name="Currency 3 2 2 2 7 5 2 2" xfId="4977"/>
    <cellStyle name="Currency 3 2 2 2 7 5 3" xfId="4978"/>
    <cellStyle name="Currency 3 2 2 2 7 5 3 2" xfId="4979"/>
    <cellStyle name="Currency 3 2 2 2 7 5 4" xfId="4980"/>
    <cellStyle name="Currency 3 2 2 2 7 5 5" xfId="4981"/>
    <cellStyle name="Currency 3 2 2 2 7 6" xfId="4982"/>
    <cellStyle name="Currency 3 2 2 2 7 6 2" xfId="4983"/>
    <cellStyle name="Currency 3 2 2 2 7 7" xfId="4984"/>
    <cellStyle name="Currency 3 2 2 2 7 7 2" xfId="4985"/>
    <cellStyle name="Currency 3 2 2 2 7 8" xfId="4986"/>
    <cellStyle name="Currency 3 2 2 2 7 8 2" xfId="4987"/>
    <cellStyle name="Currency 3 2 2 2 7 9" xfId="4988"/>
    <cellStyle name="Currency 3 2 2 2 8" xfId="4989"/>
    <cellStyle name="Currency 3 2 2 2 8 2" xfId="4990"/>
    <cellStyle name="Currency 3 2 2 2 8 2 2" xfId="4991"/>
    <cellStyle name="Currency 3 2 2 2 8 3" xfId="4992"/>
    <cellStyle name="Currency 3 2 2 2 8 3 2" xfId="4993"/>
    <cellStyle name="Currency 3 2 2 2 8 4" xfId="4994"/>
    <cellStyle name="Currency 3 2 2 2 8 4 2" xfId="4995"/>
    <cellStyle name="Currency 3 2 2 2 8 5" xfId="4996"/>
    <cellStyle name="Currency 3 2 2 2 8 6" xfId="4997"/>
    <cellStyle name="Currency 3 2 2 2 9" xfId="4998"/>
    <cellStyle name="Currency 3 2 2 2 9 2" xfId="4999"/>
    <cellStyle name="Currency 3 2 2 2 9 2 2" xfId="5000"/>
    <cellStyle name="Currency 3 2 2 2 9 3" xfId="5001"/>
    <cellStyle name="Currency 3 2 2 2 9 3 2" xfId="5002"/>
    <cellStyle name="Currency 3 2 2 2 9 4" xfId="5003"/>
    <cellStyle name="Currency 3 2 2 2 9 4 2" xfId="5004"/>
    <cellStyle name="Currency 3 2 2 2 9 5" xfId="5005"/>
    <cellStyle name="Currency 3 2 2 2 9 6" xfId="5006"/>
    <cellStyle name="Currency 3 2 2 3" xfId="5007"/>
    <cellStyle name="Currency 3 2 2 3 10" xfId="5008"/>
    <cellStyle name="Currency 3 2 2 3 10 2" xfId="5009"/>
    <cellStyle name="Currency 3 2 2 3 11" xfId="5010"/>
    <cellStyle name="Currency 3 2 2 3 11 2" xfId="5011"/>
    <cellStyle name="Currency 3 2 2 3 12" xfId="5012"/>
    <cellStyle name="Currency 3 2 2 3 13" xfId="5013"/>
    <cellStyle name="Currency 3 2 2 3 2" xfId="5014"/>
    <cellStyle name="Currency 3 2 2 3 2 10" xfId="5015"/>
    <cellStyle name="Currency 3 2 2 3 2 11" xfId="5016"/>
    <cellStyle name="Currency 3 2 2 3 2 2" xfId="5017"/>
    <cellStyle name="Currency 3 2 2 3 2 2 2" xfId="5018"/>
    <cellStyle name="Currency 3 2 2 3 2 2 2 2" xfId="5019"/>
    <cellStyle name="Currency 3 2 2 3 2 2 3" xfId="5020"/>
    <cellStyle name="Currency 3 2 2 3 2 2 3 2" xfId="5021"/>
    <cellStyle name="Currency 3 2 2 3 2 2 4" xfId="5022"/>
    <cellStyle name="Currency 3 2 2 3 2 2 4 2" xfId="5023"/>
    <cellStyle name="Currency 3 2 2 3 2 2 5" xfId="5024"/>
    <cellStyle name="Currency 3 2 2 3 2 2 6" xfId="5025"/>
    <cellStyle name="Currency 3 2 2 3 2 3" xfId="5026"/>
    <cellStyle name="Currency 3 2 2 3 2 3 2" xfId="5027"/>
    <cellStyle name="Currency 3 2 2 3 2 3 2 2" xfId="5028"/>
    <cellStyle name="Currency 3 2 2 3 2 3 3" xfId="5029"/>
    <cellStyle name="Currency 3 2 2 3 2 3 3 2" xfId="5030"/>
    <cellStyle name="Currency 3 2 2 3 2 3 4" xfId="5031"/>
    <cellStyle name="Currency 3 2 2 3 2 3 4 2" xfId="5032"/>
    <cellStyle name="Currency 3 2 2 3 2 3 5" xfId="5033"/>
    <cellStyle name="Currency 3 2 2 3 2 3 6" xfId="5034"/>
    <cellStyle name="Currency 3 2 2 3 2 4" xfId="5035"/>
    <cellStyle name="Currency 3 2 2 3 2 4 2" xfId="5036"/>
    <cellStyle name="Currency 3 2 2 3 2 4 2 2" xfId="5037"/>
    <cellStyle name="Currency 3 2 2 3 2 4 3" xfId="5038"/>
    <cellStyle name="Currency 3 2 2 3 2 4 3 2" xfId="5039"/>
    <cellStyle name="Currency 3 2 2 3 2 4 4" xfId="5040"/>
    <cellStyle name="Currency 3 2 2 3 2 4 4 2" xfId="5041"/>
    <cellStyle name="Currency 3 2 2 3 2 4 5" xfId="5042"/>
    <cellStyle name="Currency 3 2 2 3 2 4 6" xfId="5043"/>
    <cellStyle name="Currency 3 2 2 3 2 5" xfId="5044"/>
    <cellStyle name="Currency 3 2 2 3 2 5 2" xfId="5045"/>
    <cellStyle name="Currency 3 2 2 3 2 5 2 2" xfId="5046"/>
    <cellStyle name="Currency 3 2 2 3 2 5 3" xfId="5047"/>
    <cellStyle name="Currency 3 2 2 3 2 5 3 2" xfId="5048"/>
    <cellStyle name="Currency 3 2 2 3 2 5 4" xfId="5049"/>
    <cellStyle name="Currency 3 2 2 3 2 5 4 2" xfId="5050"/>
    <cellStyle name="Currency 3 2 2 3 2 5 5" xfId="5051"/>
    <cellStyle name="Currency 3 2 2 3 2 5 6" xfId="5052"/>
    <cellStyle name="Currency 3 2 2 3 2 6" xfId="5053"/>
    <cellStyle name="Currency 3 2 2 3 2 6 2" xfId="5054"/>
    <cellStyle name="Currency 3 2 2 3 2 6 2 2" xfId="5055"/>
    <cellStyle name="Currency 3 2 2 3 2 6 3" xfId="5056"/>
    <cellStyle name="Currency 3 2 2 3 2 6 3 2" xfId="5057"/>
    <cellStyle name="Currency 3 2 2 3 2 6 4" xfId="5058"/>
    <cellStyle name="Currency 3 2 2 3 2 6 5" xfId="5059"/>
    <cellStyle name="Currency 3 2 2 3 2 7" xfId="5060"/>
    <cellStyle name="Currency 3 2 2 3 2 7 2" xfId="5061"/>
    <cellStyle name="Currency 3 2 2 3 2 8" xfId="5062"/>
    <cellStyle name="Currency 3 2 2 3 2 8 2" xfId="5063"/>
    <cellStyle name="Currency 3 2 2 3 2 9" xfId="5064"/>
    <cellStyle name="Currency 3 2 2 3 2 9 2" xfId="5065"/>
    <cellStyle name="Currency 3 2 2 3 3" xfId="5066"/>
    <cellStyle name="Currency 3 2 2 3 3 10" xfId="5067"/>
    <cellStyle name="Currency 3 2 2 3 3 2" xfId="5068"/>
    <cellStyle name="Currency 3 2 2 3 3 2 2" xfId="5069"/>
    <cellStyle name="Currency 3 2 2 3 3 2 2 2" xfId="5070"/>
    <cellStyle name="Currency 3 2 2 3 3 2 3" xfId="5071"/>
    <cellStyle name="Currency 3 2 2 3 3 2 3 2" xfId="5072"/>
    <cellStyle name="Currency 3 2 2 3 3 2 4" xfId="5073"/>
    <cellStyle name="Currency 3 2 2 3 3 2 4 2" xfId="5074"/>
    <cellStyle name="Currency 3 2 2 3 3 2 5" xfId="5075"/>
    <cellStyle name="Currency 3 2 2 3 3 2 6" xfId="5076"/>
    <cellStyle name="Currency 3 2 2 3 3 3" xfId="5077"/>
    <cellStyle name="Currency 3 2 2 3 3 3 2" xfId="5078"/>
    <cellStyle name="Currency 3 2 2 3 3 3 2 2" xfId="5079"/>
    <cellStyle name="Currency 3 2 2 3 3 3 3" xfId="5080"/>
    <cellStyle name="Currency 3 2 2 3 3 3 3 2" xfId="5081"/>
    <cellStyle name="Currency 3 2 2 3 3 3 4" xfId="5082"/>
    <cellStyle name="Currency 3 2 2 3 3 3 4 2" xfId="5083"/>
    <cellStyle name="Currency 3 2 2 3 3 3 5" xfId="5084"/>
    <cellStyle name="Currency 3 2 2 3 3 3 6" xfId="5085"/>
    <cellStyle name="Currency 3 2 2 3 3 4" xfId="5086"/>
    <cellStyle name="Currency 3 2 2 3 3 4 2" xfId="5087"/>
    <cellStyle name="Currency 3 2 2 3 3 4 2 2" xfId="5088"/>
    <cellStyle name="Currency 3 2 2 3 3 4 3" xfId="5089"/>
    <cellStyle name="Currency 3 2 2 3 3 4 3 2" xfId="5090"/>
    <cellStyle name="Currency 3 2 2 3 3 4 4" xfId="5091"/>
    <cellStyle name="Currency 3 2 2 3 3 4 4 2" xfId="5092"/>
    <cellStyle name="Currency 3 2 2 3 3 4 5" xfId="5093"/>
    <cellStyle name="Currency 3 2 2 3 3 4 6" xfId="5094"/>
    <cellStyle name="Currency 3 2 2 3 3 5" xfId="5095"/>
    <cellStyle name="Currency 3 2 2 3 3 5 2" xfId="5096"/>
    <cellStyle name="Currency 3 2 2 3 3 5 2 2" xfId="5097"/>
    <cellStyle name="Currency 3 2 2 3 3 5 3" xfId="5098"/>
    <cellStyle name="Currency 3 2 2 3 3 5 3 2" xfId="5099"/>
    <cellStyle name="Currency 3 2 2 3 3 5 4" xfId="5100"/>
    <cellStyle name="Currency 3 2 2 3 3 5 5" xfId="5101"/>
    <cellStyle name="Currency 3 2 2 3 3 6" xfId="5102"/>
    <cellStyle name="Currency 3 2 2 3 3 6 2" xfId="5103"/>
    <cellStyle name="Currency 3 2 2 3 3 7" xfId="5104"/>
    <cellStyle name="Currency 3 2 2 3 3 7 2" xfId="5105"/>
    <cellStyle name="Currency 3 2 2 3 3 8" xfId="5106"/>
    <cellStyle name="Currency 3 2 2 3 3 8 2" xfId="5107"/>
    <cellStyle name="Currency 3 2 2 3 3 9" xfId="5108"/>
    <cellStyle name="Currency 3 2 2 3 4" xfId="5109"/>
    <cellStyle name="Currency 3 2 2 3 4 10" xfId="5110"/>
    <cellStyle name="Currency 3 2 2 3 4 2" xfId="5111"/>
    <cellStyle name="Currency 3 2 2 3 4 2 2" xfId="5112"/>
    <cellStyle name="Currency 3 2 2 3 4 2 2 2" xfId="5113"/>
    <cellStyle name="Currency 3 2 2 3 4 2 3" xfId="5114"/>
    <cellStyle name="Currency 3 2 2 3 4 2 3 2" xfId="5115"/>
    <cellStyle name="Currency 3 2 2 3 4 2 4" xfId="5116"/>
    <cellStyle name="Currency 3 2 2 3 4 2 4 2" xfId="5117"/>
    <cellStyle name="Currency 3 2 2 3 4 2 5" xfId="5118"/>
    <cellStyle name="Currency 3 2 2 3 4 2 6" xfId="5119"/>
    <cellStyle name="Currency 3 2 2 3 4 3" xfId="5120"/>
    <cellStyle name="Currency 3 2 2 3 4 3 2" xfId="5121"/>
    <cellStyle name="Currency 3 2 2 3 4 3 2 2" xfId="5122"/>
    <cellStyle name="Currency 3 2 2 3 4 3 3" xfId="5123"/>
    <cellStyle name="Currency 3 2 2 3 4 3 3 2" xfId="5124"/>
    <cellStyle name="Currency 3 2 2 3 4 3 4" xfId="5125"/>
    <cellStyle name="Currency 3 2 2 3 4 3 4 2" xfId="5126"/>
    <cellStyle name="Currency 3 2 2 3 4 3 5" xfId="5127"/>
    <cellStyle name="Currency 3 2 2 3 4 3 6" xfId="5128"/>
    <cellStyle name="Currency 3 2 2 3 4 4" xfId="5129"/>
    <cellStyle name="Currency 3 2 2 3 4 4 2" xfId="5130"/>
    <cellStyle name="Currency 3 2 2 3 4 4 2 2" xfId="5131"/>
    <cellStyle name="Currency 3 2 2 3 4 4 3" xfId="5132"/>
    <cellStyle name="Currency 3 2 2 3 4 4 3 2" xfId="5133"/>
    <cellStyle name="Currency 3 2 2 3 4 4 4" xfId="5134"/>
    <cellStyle name="Currency 3 2 2 3 4 4 4 2" xfId="5135"/>
    <cellStyle name="Currency 3 2 2 3 4 4 5" xfId="5136"/>
    <cellStyle name="Currency 3 2 2 3 4 4 6" xfId="5137"/>
    <cellStyle name="Currency 3 2 2 3 4 5" xfId="5138"/>
    <cellStyle name="Currency 3 2 2 3 4 5 2" xfId="5139"/>
    <cellStyle name="Currency 3 2 2 3 4 5 2 2" xfId="5140"/>
    <cellStyle name="Currency 3 2 2 3 4 5 3" xfId="5141"/>
    <cellStyle name="Currency 3 2 2 3 4 5 3 2" xfId="5142"/>
    <cellStyle name="Currency 3 2 2 3 4 5 4" xfId="5143"/>
    <cellStyle name="Currency 3 2 2 3 4 5 5" xfId="5144"/>
    <cellStyle name="Currency 3 2 2 3 4 6" xfId="5145"/>
    <cellStyle name="Currency 3 2 2 3 4 6 2" xfId="5146"/>
    <cellStyle name="Currency 3 2 2 3 4 7" xfId="5147"/>
    <cellStyle name="Currency 3 2 2 3 4 7 2" xfId="5148"/>
    <cellStyle name="Currency 3 2 2 3 4 8" xfId="5149"/>
    <cellStyle name="Currency 3 2 2 3 4 8 2" xfId="5150"/>
    <cellStyle name="Currency 3 2 2 3 4 9" xfId="5151"/>
    <cellStyle name="Currency 3 2 2 3 5" xfId="5152"/>
    <cellStyle name="Currency 3 2 2 3 5 2" xfId="5153"/>
    <cellStyle name="Currency 3 2 2 3 5 2 2" xfId="5154"/>
    <cellStyle name="Currency 3 2 2 3 5 3" xfId="5155"/>
    <cellStyle name="Currency 3 2 2 3 5 3 2" xfId="5156"/>
    <cellStyle name="Currency 3 2 2 3 5 4" xfId="5157"/>
    <cellStyle name="Currency 3 2 2 3 5 4 2" xfId="5158"/>
    <cellStyle name="Currency 3 2 2 3 5 5" xfId="5159"/>
    <cellStyle name="Currency 3 2 2 3 5 6" xfId="5160"/>
    <cellStyle name="Currency 3 2 2 3 6" xfId="5161"/>
    <cellStyle name="Currency 3 2 2 3 6 2" xfId="5162"/>
    <cellStyle name="Currency 3 2 2 3 6 2 2" xfId="5163"/>
    <cellStyle name="Currency 3 2 2 3 6 3" xfId="5164"/>
    <cellStyle name="Currency 3 2 2 3 6 3 2" xfId="5165"/>
    <cellStyle name="Currency 3 2 2 3 6 4" xfId="5166"/>
    <cellStyle name="Currency 3 2 2 3 6 4 2" xfId="5167"/>
    <cellStyle name="Currency 3 2 2 3 6 5" xfId="5168"/>
    <cellStyle name="Currency 3 2 2 3 6 6" xfId="5169"/>
    <cellStyle name="Currency 3 2 2 3 7" xfId="5170"/>
    <cellStyle name="Currency 3 2 2 3 7 2" xfId="5171"/>
    <cellStyle name="Currency 3 2 2 3 7 2 2" xfId="5172"/>
    <cellStyle name="Currency 3 2 2 3 7 3" xfId="5173"/>
    <cellStyle name="Currency 3 2 2 3 7 3 2" xfId="5174"/>
    <cellStyle name="Currency 3 2 2 3 7 4" xfId="5175"/>
    <cellStyle name="Currency 3 2 2 3 7 4 2" xfId="5176"/>
    <cellStyle name="Currency 3 2 2 3 7 5" xfId="5177"/>
    <cellStyle name="Currency 3 2 2 3 7 6" xfId="5178"/>
    <cellStyle name="Currency 3 2 2 3 8" xfId="5179"/>
    <cellStyle name="Currency 3 2 2 3 8 2" xfId="5180"/>
    <cellStyle name="Currency 3 2 2 3 8 2 2" xfId="5181"/>
    <cellStyle name="Currency 3 2 2 3 8 3" xfId="5182"/>
    <cellStyle name="Currency 3 2 2 3 8 3 2" xfId="5183"/>
    <cellStyle name="Currency 3 2 2 3 8 4" xfId="5184"/>
    <cellStyle name="Currency 3 2 2 3 8 5" xfId="5185"/>
    <cellStyle name="Currency 3 2 2 3 9" xfId="5186"/>
    <cellStyle name="Currency 3 2 2 3 9 2" xfId="5187"/>
    <cellStyle name="Currency 3 2 2 4" xfId="5188"/>
    <cellStyle name="Currency 3 2 2 4 10" xfId="5189"/>
    <cellStyle name="Currency 3 2 2 4 10 2" xfId="5190"/>
    <cellStyle name="Currency 3 2 2 4 11" xfId="5191"/>
    <cellStyle name="Currency 3 2 2 4 11 2" xfId="5192"/>
    <cellStyle name="Currency 3 2 2 4 12" xfId="5193"/>
    <cellStyle name="Currency 3 2 2 4 13" xfId="5194"/>
    <cellStyle name="Currency 3 2 2 4 2" xfId="5195"/>
    <cellStyle name="Currency 3 2 2 4 2 10" xfId="5196"/>
    <cellStyle name="Currency 3 2 2 4 2 11" xfId="5197"/>
    <cellStyle name="Currency 3 2 2 4 2 2" xfId="5198"/>
    <cellStyle name="Currency 3 2 2 4 2 2 2" xfId="5199"/>
    <cellStyle name="Currency 3 2 2 4 2 2 2 2" xfId="5200"/>
    <cellStyle name="Currency 3 2 2 4 2 2 3" xfId="5201"/>
    <cellStyle name="Currency 3 2 2 4 2 2 3 2" xfId="5202"/>
    <cellStyle name="Currency 3 2 2 4 2 2 4" xfId="5203"/>
    <cellStyle name="Currency 3 2 2 4 2 2 4 2" xfId="5204"/>
    <cellStyle name="Currency 3 2 2 4 2 2 5" xfId="5205"/>
    <cellStyle name="Currency 3 2 2 4 2 2 6" xfId="5206"/>
    <cellStyle name="Currency 3 2 2 4 2 3" xfId="5207"/>
    <cellStyle name="Currency 3 2 2 4 2 3 2" xfId="5208"/>
    <cellStyle name="Currency 3 2 2 4 2 3 2 2" xfId="5209"/>
    <cellStyle name="Currency 3 2 2 4 2 3 3" xfId="5210"/>
    <cellStyle name="Currency 3 2 2 4 2 3 3 2" xfId="5211"/>
    <cellStyle name="Currency 3 2 2 4 2 3 4" xfId="5212"/>
    <cellStyle name="Currency 3 2 2 4 2 3 4 2" xfId="5213"/>
    <cellStyle name="Currency 3 2 2 4 2 3 5" xfId="5214"/>
    <cellStyle name="Currency 3 2 2 4 2 3 6" xfId="5215"/>
    <cellStyle name="Currency 3 2 2 4 2 4" xfId="5216"/>
    <cellStyle name="Currency 3 2 2 4 2 4 2" xfId="5217"/>
    <cellStyle name="Currency 3 2 2 4 2 4 2 2" xfId="5218"/>
    <cellStyle name="Currency 3 2 2 4 2 4 3" xfId="5219"/>
    <cellStyle name="Currency 3 2 2 4 2 4 3 2" xfId="5220"/>
    <cellStyle name="Currency 3 2 2 4 2 4 4" xfId="5221"/>
    <cellStyle name="Currency 3 2 2 4 2 4 4 2" xfId="5222"/>
    <cellStyle name="Currency 3 2 2 4 2 4 5" xfId="5223"/>
    <cellStyle name="Currency 3 2 2 4 2 4 6" xfId="5224"/>
    <cellStyle name="Currency 3 2 2 4 2 5" xfId="5225"/>
    <cellStyle name="Currency 3 2 2 4 2 5 2" xfId="5226"/>
    <cellStyle name="Currency 3 2 2 4 2 5 2 2" xfId="5227"/>
    <cellStyle name="Currency 3 2 2 4 2 5 3" xfId="5228"/>
    <cellStyle name="Currency 3 2 2 4 2 5 3 2" xfId="5229"/>
    <cellStyle name="Currency 3 2 2 4 2 5 4" xfId="5230"/>
    <cellStyle name="Currency 3 2 2 4 2 5 4 2" xfId="5231"/>
    <cellStyle name="Currency 3 2 2 4 2 5 5" xfId="5232"/>
    <cellStyle name="Currency 3 2 2 4 2 5 6" xfId="5233"/>
    <cellStyle name="Currency 3 2 2 4 2 6" xfId="5234"/>
    <cellStyle name="Currency 3 2 2 4 2 6 2" xfId="5235"/>
    <cellStyle name="Currency 3 2 2 4 2 6 2 2" xfId="5236"/>
    <cellStyle name="Currency 3 2 2 4 2 6 3" xfId="5237"/>
    <cellStyle name="Currency 3 2 2 4 2 6 3 2" xfId="5238"/>
    <cellStyle name="Currency 3 2 2 4 2 6 4" xfId="5239"/>
    <cellStyle name="Currency 3 2 2 4 2 6 5" xfId="5240"/>
    <cellStyle name="Currency 3 2 2 4 2 7" xfId="5241"/>
    <cellStyle name="Currency 3 2 2 4 2 7 2" xfId="5242"/>
    <cellStyle name="Currency 3 2 2 4 2 8" xfId="5243"/>
    <cellStyle name="Currency 3 2 2 4 2 8 2" xfId="5244"/>
    <cellStyle name="Currency 3 2 2 4 2 9" xfId="5245"/>
    <cellStyle name="Currency 3 2 2 4 2 9 2" xfId="5246"/>
    <cellStyle name="Currency 3 2 2 4 3" xfId="5247"/>
    <cellStyle name="Currency 3 2 2 4 3 10" xfId="5248"/>
    <cellStyle name="Currency 3 2 2 4 3 2" xfId="5249"/>
    <cellStyle name="Currency 3 2 2 4 3 2 2" xfId="5250"/>
    <cellStyle name="Currency 3 2 2 4 3 2 2 2" xfId="5251"/>
    <cellStyle name="Currency 3 2 2 4 3 2 3" xfId="5252"/>
    <cellStyle name="Currency 3 2 2 4 3 2 3 2" xfId="5253"/>
    <cellStyle name="Currency 3 2 2 4 3 2 4" xfId="5254"/>
    <cellStyle name="Currency 3 2 2 4 3 2 4 2" xfId="5255"/>
    <cellStyle name="Currency 3 2 2 4 3 2 5" xfId="5256"/>
    <cellStyle name="Currency 3 2 2 4 3 2 6" xfId="5257"/>
    <cellStyle name="Currency 3 2 2 4 3 3" xfId="5258"/>
    <cellStyle name="Currency 3 2 2 4 3 3 2" xfId="5259"/>
    <cellStyle name="Currency 3 2 2 4 3 3 2 2" xfId="5260"/>
    <cellStyle name="Currency 3 2 2 4 3 3 3" xfId="5261"/>
    <cellStyle name="Currency 3 2 2 4 3 3 3 2" xfId="5262"/>
    <cellStyle name="Currency 3 2 2 4 3 3 4" xfId="5263"/>
    <cellStyle name="Currency 3 2 2 4 3 3 4 2" xfId="5264"/>
    <cellStyle name="Currency 3 2 2 4 3 3 5" xfId="5265"/>
    <cellStyle name="Currency 3 2 2 4 3 3 6" xfId="5266"/>
    <cellStyle name="Currency 3 2 2 4 3 4" xfId="5267"/>
    <cellStyle name="Currency 3 2 2 4 3 4 2" xfId="5268"/>
    <cellStyle name="Currency 3 2 2 4 3 4 2 2" xfId="5269"/>
    <cellStyle name="Currency 3 2 2 4 3 4 3" xfId="5270"/>
    <cellStyle name="Currency 3 2 2 4 3 4 3 2" xfId="5271"/>
    <cellStyle name="Currency 3 2 2 4 3 4 4" xfId="5272"/>
    <cellStyle name="Currency 3 2 2 4 3 4 4 2" xfId="5273"/>
    <cellStyle name="Currency 3 2 2 4 3 4 5" xfId="5274"/>
    <cellStyle name="Currency 3 2 2 4 3 4 6" xfId="5275"/>
    <cellStyle name="Currency 3 2 2 4 3 5" xfId="5276"/>
    <cellStyle name="Currency 3 2 2 4 3 5 2" xfId="5277"/>
    <cellStyle name="Currency 3 2 2 4 3 5 2 2" xfId="5278"/>
    <cellStyle name="Currency 3 2 2 4 3 5 3" xfId="5279"/>
    <cellStyle name="Currency 3 2 2 4 3 5 3 2" xfId="5280"/>
    <cellStyle name="Currency 3 2 2 4 3 5 4" xfId="5281"/>
    <cellStyle name="Currency 3 2 2 4 3 5 5" xfId="5282"/>
    <cellStyle name="Currency 3 2 2 4 3 6" xfId="5283"/>
    <cellStyle name="Currency 3 2 2 4 3 6 2" xfId="5284"/>
    <cellStyle name="Currency 3 2 2 4 3 7" xfId="5285"/>
    <cellStyle name="Currency 3 2 2 4 3 7 2" xfId="5286"/>
    <cellStyle name="Currency 3 2 2 4 3 8" xfId="5287"/>
    <cellStyle name="Currency 3 2 2 4 3 8 2" xfId="5288"/>
    <cellStyle name="Currency 3 2 2 4 3 9" xfId="5289"/>
    <cellStyle name="Currency 3 2 2 4 4" xfId="5290"/>
    <cellStyle name="Currency 3 2 2 4 4 10" xfId="5291"/>
    <cellStyle name="Currency 3 2 2 4 4 2" xfId="5292"/>
    <cellStyle name="Currency 3 2 2 4 4 2 2" xfId="5293"/>
    <cellStyle name="Currency 3 2 2 4 4 2 2 2" xfId="5294"/>
    <cellStyle name="Currency 3 2 2 4 4 2 3" xfId="5295"/>
    <cellStyle name="Currency 3 2 2 4 4 2 3 2" xfId="5296"/>
    <cellStyle name="Currency 3 2 2 4 4 2 4" xfId="5297"/>
    <cellStyle name="Currency 3 2 2 4 4 2 4 2" xfId="5298"/>
    <cellStyle name="Currency 3 2 2 4 4 2 5" xfId="5299"/>
    <cellStyle name="Currency 3 2 2 4 4 2 6" xfId="5300"/>
    <cellStyle name="Currency 3 2 2 4 4 3" xfId="5301"/>
    <cellStyle name="Currency 3 2 2 4 4 3 2" xfId="5302"/>
    <cellStyle name="Currency 3 2 2 4 4 3 2 2" xfId="5303"/>
    <cellStyle name="Currency 3 2 2 4 4 3 3" xfId="5304"/>
    <cellStyle name="Currency 3 2 2 4 4 3 3 2" xfId="5305"/>
    <cellStyle name="Currency 3 2 2 4 4 3 4" xfId="5306"/>
    <cellStyle name="Currency 3 2 2 4 4 3 4 2" xfId="5307"/>
    <cellStyle name="Currency 3 2 2 4 4 3 5" xfId="5308"/>
    <cellStyle name="Currency 3 2 2 4 4 3 6" xfId="5309"/>
    <cellStyle name="Currency 3 2 2 4 4 4" xfId="5310"/>
    <cellStyle name="Currency 3 2 2 4 4 4 2" xfId="5311"/>
    <cellStyle name="Currency 3 2 2 4 4 4 2 2" xfId="5312"/>
    <cellStyle name="Currency 3 2 2 4 4 4 3" xfId="5313"/>
    <cellStyle name="Currency 3 2 2 4 4 4 3 2" xfId="5314"/>
    <cellStyle name="Currency 3 2 2 4 4 4 4" xfId="5315"/>
    <cellStyle name="Currency 3 2 2 4 4 4 4 2" xfId="5316"/>
    <cellStyle name="Currency 3 2 2 4 4 4 5" xfId="5317"/>
    <cellStyle name="Currency 3 2 2 4 4 4 6" xfId="5318"/>
    <cellStyle name="Currency 3 2 2 4 4 5" xfId="5319"/>
    <cellStyle name="Currency 3 2 2 4 4 5 2" xfId="5320"/>
    <cellStyle name="Currency 3 2 2 4 4 5 2 2" xfId="5321"/>
    <cellStyle name="Currency 3 2 2 4 4 5 3" xfId="5322"/>
    <cellStyle name="Currency 3 2 2 4 4 5 3 2" xfId="5323"/>
    <cellStyle name="Currency 3 2 2 4 4 5 4" xfId="5324"/>
    <cellStyle name="Currency 3 2 2 4 4 5 5" xfId="5325"/>
    <cellStyle name="Currency 3 2 2 4 4 6" xfId="5326"/>
    <cellStyle name="Currency 3 2 2 4 4 6 2" xfId="5327"/>
    <cellStyle name="Currency 3 2 2 4 4 7" xfId="5328"/>
    <cellStyle name="Currency 3 2 2 4 4 7 2" xfId="5329"/>
    <cellStyle name="Currency 3 2 2 4 4 8" xfId="5330"/>
    <cellStyle name="Currency 3 2 2 4 4 8 2" xfId="5331"/>
    <cellStyle name="Currency 3 2 2 4 4 9" xfId="5332"/>
    <cellStyle name="Currency 3 2 2 4 5" xfId="5333"/>
    <cellStyle name="Currency 3 2 2 4 5 2" xfId="5334"/>
    <cellStyle name="Currency 3 2 2 4 5 2 2" xfId="5335"/>
    <cellStyle name="Currency 3 2 2 4 5 3" xfId="5336"/>
    <cellStyle name="Currency 3 2 2 4 5 3 2" xfId="5337"/>
    <cellStyle name="Currency 3 2 2 4 5 4" xfId="5338"/>
    <cellStyle name="Currency 3 2 2 4 5 4 2" xfId="5339"/>
    <cellStyle name="Currency 3 2 2 4 5 5" xfId="5340"/>
    <cellStyle name="Currency 3 2 2 4 5 6" xfId="5341"/>
    <cellStyle name="Currency 3 2 2 4 6" xfId="5342"/>
    <cellStyle name="Currency 3 2 2 4 6 2" xfId="5343"/>
    <cellStyle name="Currency 3 2 2 4 6 2 2" xfId="5344"/>
    <cellStyle name="Currency 3 2 2 4 6 3" xfId="5345"/>
    <cellStyle name="Currency 3 2 2 4 6 3 2" xfId="5346"/>
    <cellStyle name="Currency 3 2 2 4 6 4" xfId="5347"/>
    <cellStyle name="Currency 3 2 2 4 6 4 2" xfId="5348"/>
    <cellStyle name="Currency 3 2 2 4 6 5" xfId="5349"/>
    <cellStyle name="Currency 3 2 2 4 6 6" xfId="5350"/>
    <cellStyle name="Currency 3 2 2 4 7" xfId="5351"/>
    <cellStyle name="Currency 3 2 2 4 7 2" xfId="5352"/>
    <cellStyle name="Currency 3 2 2 4 7 2 2" xfId="5353"/>
    <cellStyle name="Currency 3 2 2 4 7 3" xfId="5354"/>
    <cellStyle name="Currency 3 2 2 4 7 3 2" xfId="5355"/>
    <cellStyle name="Currency 3 2 2 4 7 4" xfId="5356"/>
    <cellStyle name="Currency 3 2 2 4 7 4 2" xfId="5357"/>
    <cellStyle name="Currency 3 2 2 4 7 5" xfId="5358"/>
    <cellStyle name="Currency 3 2 2 4 7 6" xfId="5359"/>
    <cellStyle name="Currency 3 2 2 4 8" xfId="5360"/>
    <cellStyle name="Currency 3 2 2 4 8 2" xfId="5361"/>
    <cellStyle name="Currency 3 2 2 4 8 2 2" xfId="5362"/>
    <cellStyle name="Currency 3 2 2 4 8 3" xfId="5363"/>
    <cellStyle name="Currency 3 2 2 4 8 3 2" xfId="5364"/>
    <cellStyle name="Currency 3 2 2 4 8 4" xfId="5365"/>
    <cellStyle name="Currency 3 2 2 4 8 5" xfId="5366"/>
    <cellStyle name="Currency 3 2 2 4 9" xfId="5367"/>
    <cellStyle name="Currency 3 2 2 4 9 2" xfId="5368"/>
    <cellStyle name="Currency 3 2 2 5" xfId="5369"/>
    <cellStyle name="Currency 3 2 2 5 10" xfId="5370"/>
    <cellStyle name="Currency 3 2 2 5 10 2" xfId="5371"/>
    <cellStyle name="Currency 3 2 2 5 11" xfId="5372"/>
    <cellStyle name="Currency 3 2 2 5 12" xfId="5373"/>
    <cellStyle name="Currency 3 2 2 5 2" xfId="5374"/>
    <cellStyle name="Currency 3 2 2 5 2 10" xfId="5375"/>
    <cellStyle name="Currency 3 2 2 5 2 2" xfId="5376"/>
    <cellStyle name="Currency 3 2 2 5 2 2 2" xfId="5377"/>
    <cellStyle name="Currency 3 2 2 5 2 2 2 2" xfId="5378"/>
    <cellStyle name="Currency 3 2 2 5 2 2 3" xfId="5379"/>
    <cellStyle name="Currency 3 2 2 5 2 2 3 2" xfId="5380"/>
    <cellStyle name="Currency 3 2 2 5 2 2 4" xfId="5381"/>
    <cellStyle name="Currency 3 2 2 5 2 2 4 2" xfId="5382"/>
    <cellStyle name="Currency 3 2 2 5 2 2 5" xfId="5383"/>
    <cellStyle name="Currency 3 2 2 5 2 2 6" xfId="5384"/>
    <cellStyle name="Currency 3 2 2 5 2 3" xfId="5385"/>
    <cellStyle name="Currency 3 2 2 5 2 3 2" xfId="5386"/>
    <cellStyle name="Currency 3 2 2 5 2 3 2 2" xfId="5387"/>
    <cellStyle name="Currency 3 2 2 5 2 3 3" xfId="5388"/>
    <cellStyle name="Currency 3 2 2 5 2 3 3 2" xfId="5389"/>
    <cellStyle name="Currency 3 2 2 5 2 3 4" xfId="5390"/>
    <cellStyle name="Currency 3 2 2 5 2 3 4 2" xfId="5391"/>
    <cellStyle name="Currency 3 2 2 5 2 3 5" xfId="5392"/>
    <cellStyle name="Currency 3 2 2 5 2 3 6" xfId="5393"/>
    <cellStyle name="Currency 3 2 2 5 2 4" xfId="5394"/>
    <cellStyle name="Currency 3 2 2 5 2 4 2" xfId="5395"/>
    <cellStyle name="Currency 3 2 2 5 2 4 2 2" xfId="5396"/>
    <cellStyle name="Currency 3 2 2 5 2 4 3" xfId="5397"/>
    <cellStyle name="Currency 3 2 2 5 2 4 3 2" xfId="5398"/>
    <cellStyle name="Currency 3 2 2 5 2 4 4" xfId="5399"/>
    <cellStyle name="Currency 3 2 2 5 2 4 4 2" xfId="5400"/>
    <cellStyle name="Currency 3 2 2 5 2 4 5" xfId="5401"/>
    <cellStyle name="Currency 3 2 2 5 2 4 6" xfId="5402"/>
    <cellStyle name="Currency 3 2 2 5 2 5" xfId="5403"/>
    <cellStyle name="Currency 3 2 2 5 2 5 2" xfId="5404"/>
    <cellStyle name="Currency 3 2 2 5 2 5 2 2" xfId="5405"/>
    <cellStyle name="Currency 3 2 2 5 2 5 3" xfId="5406"/>
    <cellStyle name="Currency 3 2 2 5 2 5 3 2" xfId="5407"/>
    <cellStyle name="Currency 3 2 2 5 2 5 4" xfId="5408"/>
    <cellStyle name="Currency 3 2 2 5 2 5 5" xfId="5409"/>
    <cellStyle name="Currency 3 2 2 5 2 6" xfId="5410"/>
    <cellStyle name="Currency 3 2 2 5 2 6 2" xfId="5411"/>
    <cellStyle name="Currency 3 2 2 5 2 7" xfId="5412"/>
    <cellStyle name="Currency 3 2 2 5 2 7 2" xfId="5413"/>
    <cellStyle name="Currency 3 2 2 5 2 8" xfId="5414"/>
    <cellStyle name="Currency 3 2 2 5 2 8 2" xfId="5415"/>
    <cellStyle name="Currency 3 2 2 5 2 9" xfId="5416"/>
    <cellStyle name="Currency 3 2 2 5 3" xfId="5417"/>
    <cellStyle name="Currency 3 2 2 5 3 10" xfId="5418"/>
    <cellStyle name="Currency 3 2 2 5 3 2" xfId="5419"/>
    <cellStyle name="Currency 3 2 2 5 3 2 2" xfId="5420"/>
    <cellStyle name="Currency 3 2 2 5 3 2 2 2" xfId="5421"/>
    <cellStyle name="Currency 3 2 2 5 3 2 3" xfId="5422"/>
    <cellStyle name="Currency 3 2 2 5 3 2 3 2" xfId="5423"/>
    <cellStyle name="Currency 3 2 2 5 3 2 4" xfId="5424"/>
    <cellStyle name="Currency 3 2 2 5 3 2 4 2" xfId="5425"/>
    <cellStyle name="Currency 3 2 2 5 3 2 5" xfId="5426"/>
    <cellStyle name="Currency 3 2 2 5 3 2 6" xfId="5427"/>
    <cellStyle name="Currency 3 2 2 5 3 3" xfId="5428"/>
    <cellStyle name="Currency 3 2 2 5 3 3 2" xfId="5429"/>
    <cellStyle name="Currency 3 2 2 5 3 3 2 2" xfId="5430"/>
    <cellStyle name="Currency 3 2 2 5 3 3 3" xfId="5431"/>
    <cellStyle name="Currency 3 2 2 5 3 3 3 2" xfId="5432"/>
    <cellStyle name="Currency 3 2 2 5 3 3 4" xfId="5433"/>
    <cellStyle name="Currency 3 2 2 5 3 3 4 2" xfId="5434"/>
    <cellStyle name="Currency 3 2 2 5 3 3 5" xfId="5435"/>
    <cellStyle name="Currency 3 2 2 5 3 3 6" xfId="5436"/>
    <cellStyle name="Currency 3 2 2 5 3 4" xfId="5437"/>
    <cellStyle name="Currency 3 2 2 5 3 4 2" xfId="5438"/>
    <cellStyle name="Currency 3 2 2 5 3 4 2 2" xfId="5439"/>
    <cellStyle name="Currency 3 2 2 5 3 4 3" xfId="5440"/>
    <cellStyle name="Currency 3 2 2 5 3 4 3 2" xfId="5441"/>
    <cellStyle name="Currency 3 2 2 5 3 4 4" xfId="5442"/>
    <cellStyle name="Currency 3 2 2 5 3 4 4 2" xfId="5443"/>
    <cellStyle name="Currency 3 2 2 5 3 4 5" xfId="5444"/>
    <cellStyle name="Currency 3 2 2 5 3 4 6" xfId="5445"/>
    <cellStyle name="Currency 3 2 2 5 3 5" xfId="5446"/>
    <cellStyle name="Currency 3 2 2 5 3 5 2" xfId="5447"/>
    <cellStyle name="Currency 3 2 2 5 3 5 2 2" xfId="5448"/>
    <cellStyle name="Currency 3 2 2 5 3 5 3" xfId="5449"/>
    <cellStyle name="Currency 3 2 2 5 3 5 3 2" xfId="5450"/>
    <cellStyle name="Currency 3 2 2 5 3 5 4" xfId="5451"/>
    <cellStyle name="Currency 3 2 2 5 3 5 5" xfId="5452"/>
    <cellStyle name="Currency 3 2 2 5 3 6" xfId="5453"/>
    <cellStyle name="Currency 3 2 2 5 3 6 2" xfId="5454"/>
    <cellStyle name="Currency 3 2 2 5 3 7" xfId="5455"/>
    <cellStyle name="Currency 3 2 2 5 3 7 2" xfId="5456"/>
    <cellStyle name="Currency 3 2 2 5 3 8" xfId="5457"/>
    <cellStyle name="Currency 3 2 2 5 3 8 2" xfId="5458"/>
    <cellStyle name="Currency 3 2 2 5 3 9" xfId="5459"/>
    <cellStyle name="Currency 3 2 2 5 4" xfId="5460"/>
    <cellStyle name="Currency 3 2 2 5 4 2" xfId="5461"/>
    <cellStyle name="Currency 3 2 2 5 4 2 2" xfId="5462"/>
    <cellStyle name="Currency 3 2 2 5 4 3" xfId="5463"/>
    <cellStyle name="Currency 3 2 2 5 4 3 2" xfId="5464"/>
    <cellStyle name="Currency 3 2 2 5 4 4" xfId="5465"/>
    <cellStyle name="Currency 3 2 2 5 4 4 2" xfId="5466"/>
    <cellStyle name="Currency 3 2 2 5 4 5" xfId="5467"/>
    <cellStyle name="Currency 3 2 2 5 4 6" xfId="5468"/>
    <cellStyle name="Currency 3 2 2 5 5" xfId="5469"/>
    <cellStyle name="Currency 3 2 2 5 5 2" xfId="5470"/>
    <cellStyle name="Currency 3 2 2 5 5 2 2" xfId="5471"/>
    <cellStyle name="Currency 3 2 2 5 5 3" xfId="5472"/>
    <cellStyle name="Currency 3 2 2 5 5 3 2" xfId="5473"/>
    <cellStyle name="Currency 3 2 2 5 5 4" xfId="5474"/>
    <cellStyle name="Currency 3 2 2 5 5 4 2" xfId="5475"/>
    <cellStyle name="Currency 3 2 2 5 5 5" xfId="5476"/>
    <cellStyle name="Currency 3 2 2 5 5 6" xfId="5477"/>
    <cellStyle name="Currency 3 2 2 5 6" xfId="5478"/>
    <cellStyle name="Currency 3 2 2 5 6 2" xfId="5479"/>
    <cellStyle name="Currency 3 2 2 5 6 2 2" xfId="5480"/>
    <cellStyle name="Currency 3 2 2 5 6 3" xfId="5481"/>
    <cellStyle name="Currency 3 2 2 5 6 3 2" xfId="5482"/>
    <cellStyle name="Currency 3 2 2 5 6 4" xfId="5483"/>
    <cellStyle name="Currency 3 2 2 5 6 4 2" xfId="5484"/>
    <cellStyle name="Currency 3 2 2 5 6 5" xfId="5485"/>
    <cellStyle name="Currency 3 2 2 5 6 6" xfId="5486"/>
    <cellStyle name="Currency 3 2 2 5 7" xfId="5487"/>
    <cellStyle name="Currency 3 2 2 5 7 2" xfId="5488"/>
    <cellStyle name="Currency 3 2 2 5 7 2 2" xfId="5489"/>
    <cellStyle name="Currency 3 2 2 5 7 3" xfId="5490"/>
    <cellStyle name="Currency 3 2 2 5 7 3 2" xfId="5491"/>
    <cellStyle name="Currency 3 2 2 5 7 4" xfId="5492"/>
    <cellStyle name="Currency 3 2 2 5 7 5" xfId="5493"/>
    <cellStyle name="Currency 3 2 2 5 8" xfId="5494"/>
    <cellStyle name="Currency 3 2 2 5 8 2" xfId="5495"/>
    <cellStyle name="Currency 3 2 2 5 9" xfId="5496"/>
    <cellStyle name="Currency 3 2 2 5 9 2" xfId="5497"/>
    <cellStyle name="Currency 3 2 2 6" xfId="5498"/>
    <cellStyle name="Currency 3 2 2 6 10" xfId="5499"/>
    <cellStyle name="Currency 3 2 2 6 11" xfId="5500"/>
    <cellStyle name="Currency 3 2 2 6 2" xfId="5501"/>
    <cellStyle name="Currency 3 2 2 6 2 2" xfId="5502"/>
    <cellStyle name="Currency 3 2 2 6 2 2 2" xfId="5503"/>
    <cellStyle name="Currency 3 2 2 6 2 3" xfId="5504"/>
    <cellStyle name="Currency 3 2 2 6 2 3 2" xfId="5505"/>
    <cellStyle name="Currency 3 2 2 6 2 4" xfId="5506"/>
    <cellStyle name="Currency 3 2 2 6 2 4 2" xfId="5507"/>
    <cellStyle name="Currency 3 2 2 6 2 5" xfId="5508"/>
    <cellStyle name="Currency 3 2 2 6 2 6" xfId="5509"/>
    <cellStyle name="Currency 3 2 2 6 3" xfId="5510"/>
    <cellStyle name="Currency 3 2 2 6 3 2" xfId="5511"/>
    <cellStyle name="Currency 3 2 2 6 3 2 2" xfId="5512"/>
    <cellStyle name="Currency 3 2 2 6 3 3" xfId="5513"/>
    <cellStyle name="Currency 3 2 2 6 3 3 2" xfId="5514"/>
    <cellStyle name="Currency 3 2 2 6 3 4" xfId="5515"/>
    <cellStyle name="Currency 3 2 2 6 3 4 2" xfId="5516"/>
    <cellStyle name="Currency 3 2 2 6 3 5" xfId="5517"/>
    <cellStyle name="Currency 3 2 2 6 3 6" xfId="5518"/>
    <cellStyle name="Currency 3 2 2 6 4" xfId="5519"/>
    <cellStyle name="Currency 3 2 2 6 4 2" xfId="5520"/>
    <cellStyle name="Currency 3 2 2 6 4 2 2" xfId="5521"/>
    <cellStyle name="Currency 3 2 2 6 4 3" xfId="5522"/>
    <cellStyle name="Currency 3 2 2 6 4 3 2" xfId="5523"/>
    <cellStyle name="Currency 3 2 2 6 4 4" xfId="5524"/>
    <cellStyle name="Currency 3 2 2 6 4 4 2" xfId="5525"/>
    <cellStyle name="Currency 3 2 2 6 4 5" xfId="5526"/>
    <cellStyle name="Currency 3 2 2 6 4 6" xfId="5527"/>
    <cellStyle name="Currency 3 2 2 6 5" xfId="5528"/>
    <cellStyle name="Currency 3 2 2 6 5 2" xfId="5529"/>
    <cellStyle name="Currency 3 2 2 6 5 2 2" xfId="5530"/>
    <cellStyle name="Currency 3 2 2 6 5 3" xfId="5531"/>
    <cellStyle name="Currency 3 2 2 6 5 3 2" xfId="5532"/>
    <cellStyle name="Currency 3 2 2 6 5 4" xfId="5533"/>
    <cellStyle name="Currency 3 2 2 6 5 4 2" xfId="5534"/>
    <cellStyle name="Currency 3 2 2 6 5 5" xfId="5535"/>
    <cellStyle name="Currency 3 2 2 6 5 6" xfId="5536"/>
    <cellStyle name="Currency 3 2 2 6 6" xfId="5537"/>
    <cellStyle name="Currency 3 2 2 6 6 2" xfId="5538"/>
    <cellStyle name="Currency 3 2 2 6 6 2 2" xfId="5539"/>
    <cellStyle name="Currency 3 2 2 6 6 3" xfId="5540"/>
    <cellStyle name="Currency 3 2 2 6 6 3 2" xfId="5541"/>
    <cellStyle name="Currency 3 2 2 6 6 4" xfId="5542"/>
    <cellStyle name="Currency 3 2 2 6 6 5" xfId="5543"/>
    <cellStyle name="Currency 3 2 2 6 7" xfId="5544"/>
    <cellStyle name="Currency 3 2 2 6 7 2" xfId="5545"/>
    <cellStyle name="Currency 3 2 2 6 8" xfId="5546"/>
    <cellStyle name="Currency 3 2 2 6 8 2" xfId="5547"/>
    <cellStyle name="Currency 3 2 2 6 9" xfId="5548"/>
    <cellStyle name="Currency 3 2 2 6 9 2" xfId="5549"/>
    <cellStyle name="Currency 3 2 2 7" xfId="5550"/>
    <cellStyle name="Currency 3 2 2 7 10" xfId="5551"/>
    <cellStyle name="Currency 3 2 2 7 2" xfId="5552"/>
    <cellStyle name="Currency 3 2 2 7 2 2" xfId="5553"/>
    <cellStyle name="Currency 3 2 2 7 2 2 2" xfId="5554"/>
    <cellStyle name="Currency 3 2 2 7 2 3" xfId="5555"/>
    <cellStyle name="Currency 3 2 2 7 2 3 2" xfId="5556"/>
    <cellStyle name="Currency 3 2 2 7 2 4" xfId="5557"/>
    <cellStyle name="Currency 3 2 2 7 2 4 2" xfId="5558"/>
    <cellStyle name="Currency 3 2 2 7 2 5" xfId="5559"/>
    <cellStyle name="Currency 3 2 2 7 2 6" xfId="5560"/>
    <cellStyle name="Currency 3 2 2 7 3" xfId="5561"/>
    <cellStyle name="Currency 3 2 2 7 3 2" xfId="5562"/>
    <cellStyle name="Currency 3 2 2 7 3 2 2" xfId="5563"/>
    <cellStyle name="Currency 3 2 2 7 3 3" xfId="5564"/>
    <cellStyle name="Currency 3 2 2 7 3 3 2" xfId="5565"/>
    <cellStyle name="Currency 3 2 2 7 3 4" xfId="5566"/>
    <cellStyle name="Currency 3 2 2 7 3 4 2" xfId="5567"/>
    <cellStyle name="Currency 3 2 2 7 3 5" xfId="5568"/>
    <cellStyle name="Currency 3 2 2 7 3 6" xfId="5569"/>
    <cellStyle name="Currency 3 2 2 7 4" xfId="5570"/>
    <cellStyle name="Currency 3 2 2 7 4 2" xfId="5571"/>
    <cellStyle name="Currency 3 2 2 7 4 2 2" xfId="5572"/>
    <cellStyle name="Currency 3 2 2 7 4 3" xfId="5573"/>
    <cellStyle name="Currency 3 2 2 7 4 3 2" xfId="5574"/>
    <cellStyle name="Currency 3 2 2 7 4 4" xfId="5575"/>
    <cellStyle name="Currency 3 2 2 7 4 4 2" xfId="5576"/>
    <cellStyle name="Currency 3 2 2 7 4 5" xfId="5577"/>
    <cellStyle name="Currency 3 2 2 7 4 6" xfId="5578"/>
    <cellStyle name="Currency 3 2 2 7 5" xfId="5579"/>
    <cellStyle name="Currency 3 2 2 7 5 2" xfId="5580"/>
    <cellStyle name="Currency 3 2 2 7 5 2 2" xfId="5581"/>
    <cellStyle name="Currency 3 2 2 7 5 3" xfId="5582"/>
    <cellStyle name="Currency 3 2 2 7 5 3 2" xfId="5583"/>
    <cellStyle name="Currency 3 2 2 7 5 4" xfId="5584"/>
    <cellStyle name="Currency 3 2 2 7 5 5" xfId="5585"/>
    <cellStyle name="Currency 3 2 2 7 6" xfId="5586"/>
    <cellStyle name="Currency 3 2 2 7 6 2" xfId="5587"/>
    <cellStyle name="Currency 3 2 2 7 7" xfId="5588"/>
    <cellStyle name="Currency 3 2 2 7 7 2" xfId="5589"/>
    <cellStyle name="Currency 3 2 2 7 8" xfId="5590"/>
    <cellStyle name="Currency 3 2 2 7 8 2" xfId="5591"/>
    <cellStyle name="Currency 3 2 2 7 9" xfId="5592"/>
    <cellStyle name="Currency 3 2 2 8" xfId="5593"/>
    <cellStyle name="Currency 3 2 2 8 10" xfId="5594"/>
    <cellStyle name="Currency 3 2 2 8 2" xfId="5595"/>
    <cellStyle name="Currency 3 2 2 8 2 2" xfId="5596"/>
    <cellStyle name="Currency 3 2 2 8 2 2 2" xfId="5597"/>
    <cellStyle name="Currency 3 2 2 8 2 3" xfId="5598"/>
    <cellStyle name="Currency 3 2 2 8 2 3 2" xfId="5599"/>
    <cellStyle name="Currency 3 2 2 8 2 4" xfId="5600"/>
    <cellStyle name="Currency 3 2 2 8 2 4 2" xfId="5601"/>
    <cellStyle name="Currency 3 2 2 8 2 5" xfId="5602"/>
    <cellStyle name="Currency 3 2 2 8 2 6" xfId="5603"/>
    <cellStyle name="Currency 3 2 2 8 3" xfId="5604"/>
    <cellStyle name="Currency 3 2 2 8 3 2" xfId="5605"/>
    <cellStyle name="Currency 3 2 2 8 3 2 2" xfId="5606"/>
    <cellStyle name="Currency 3 2 2 8 3 3" xfId="5607"/>
    <cellStyle name="Currency 3 2 2 8 3 3 2" xfId="5608"/>
    <cellStyle name="Currency 3 2 2 8 3 4" xfId="5609"/>
    <cellStyle name="Currency 3 2 2 8 3 4 2" xfId="5610"/>
    <cellStyle name="Currency 3 2 2 8 3 5" xfId="5611"/>
    <cellStyle name="Currency 3 2 2 8 3 6" xfId="5612"/>
    <cellStyle name="Currency 3 2 2 8 4" xfId="5613"/>
    <cellStyle name="Currency 3 2 2 8 4 2" xfId="5614"/>
    <cellStyle name="Currency 3 2 2 8 4 2 2" xfId="5615"/>
    <cellStyle name="Currency 3 2 2 8 4 3" xfId="5616"/>
    <cellStyle name="Currency 3 2 2 8 4 3 2" xfId="5617"/>
    <cellStyle name="Currency 3 2 2 8 4 4" xfId="5618"/>
    <cellStyle name="Currency 3 2 2 8 4 4 2" xfId="5619"/>
    <cellStyle name="Currency 3 2 2 8 4 5" xfId="5620"/>
    <cellStyle name="Currency 3 2 2 8 4 6" xfId="5621"/>
    <cellStyle name="Currency 3 2 2 8 5" xfId="5622"/>
    <cellStyle name="Currency 3 2 2 8 5 2" xfId="5623"/>
    <cellStyle name="Currency 3 2 2 8 5 2 2" xfId="5624"/>
    <cellStyle name="Currency 3 2 2 8 5 3" xfId="5625"/>
    <cellStyle name="Currency 3 2 2 8 5 3 2" xfId="5626"/>
    <cellStyle name="Currency 3 2 2 8 5 4" xfId="5627"/>
    <cellStyle name="Currency 3 2 2 8 5 5" xfId="5628"/>
    <cellStyle name="Currency 3 2 2 8 6" xfId="5629"/>
    <cellStyle name="Currency 3 2 2 8 6 2" xfId="5630"/>
    <cellStyle name="Currency 3 2 2 8 7" xfId="5631"/>
    <cellStyle name="Currency 3 2 2 8 7 2" xfId="5632"/>
    <cellStyle name="Currency 3 2 2 8 8" xfId="5633"/>
    <cellStyle name="Currency 3 2 2 8 8 2" xfId="5634"/>
    <cellStyle name="Currency 3 2 2 8 9" xfId="5635"/>
    <cellStyle name="Currency 3 2 2 9" xfId="5636"/>
    <cellStyle name="Currency 3 2 2 9 2" xfId="5637"/>
    <cellStyle name="Currency 3 2 2 9 2 2" xfId="5638"/>
    <cellStyle name="Currency 3 2 2 9 3" xfId="5639"/>
    <cellStyle name="Currency 3 2 2 9 3 2" xfId="5640"/>
    <cellStyle name="Currency 3 2 2 9 4" xfId="5641"/>
    <cellStyle name="Currency 3 2 2 9 4 2" xfId="5642"/>
    <cellStyle name="Currency 3 2 2 9 5" xfId="5643"/>
    <cellStyle name="Currency 3 2 2 9 6" xfId="5644"/>
    <cellStyle name="Currency 3 2 3" xfId="5645"/>
    <cellStyle name="Currency 3 2 3 10" xfId="5646"/>
    <cellStyle name="Currency 3 2 3 10 2" xfId="5647"/>
    <cellStyle name="Currency 3 2 3 11" xfId="5648"/>
    <cellStyle name="Currency 3 2 3 11 2" xfId="5649"/>
    <cellStyle name="Currency 3 2 3 12" xfId="5650"/>
    <cellStyle name="Currency 3 2 3 13" xfId="5651"/>
    <cellStyle name="Currency 3 2 3 2" xfId="5652"/>
    <cellStyle name="Currency 3 2 3 2 10" xfId="5653"/>
    <cellStyle name="Currency 3 2 3 2 11" xfId="5654"/>
    <cellStyle name="Currency 3 2 3 2 2" xfId="5655"/>
    <cellStyle name="Currency 3 2 3 2 2 2" xfId="5656"/>
    <cellStyle name="Currency 3 2 3 2 2 2 2" xfId="5657"/>
    <cellStyle name="Currency 3 2 3 2 2 3" xfId="5658"/>
    <cellStyle name="Currency 3 2 3 2 2 3 2" xfId="5659"/>
    <cellStyle name="Currency 3 2 3 2 2 4" xfId="5660"/>
    <cellStyle name="Currency 3 2 3 2 2 4 2" xfId="5661"/>
    <cellStyle name="Currency 3 2 3 2 2 5" xfId="5662"/>
    <cellStyle name="Currency 3 2 3 2 2 6" xfId="5663"/>
    <cellStyle name="Currency 3 2 3 2 3" xfId="5664"/>
    <cellStyle name="Currency 3 2 3 2 3 2" xfId="5665"/>
    <cellStyle name="Currency 3 2 3 2 3 2 2" xfId="5666"/>
    <cellStyle name="Currency 3 2 3 2 3 3" xfId="5667"/>
    <cellStyle name="Currency 3 2 3 2 3 3 2" xfId="5668"/>
    <cellStyle name="Currency 3 2 3 2 3 4" xfId="5669"/>
    <cellStyle name="Currency 3 2 3 2 3 4 2" xfId="5670"/>
    <cellStyle name="Currency 3 2 3 2 3 5" xfId="5671"/>
    <cellStyle name="Currency 3 2 3 2 3 6" xfId="5672"/>
    <cellStyle name="Currency 3 2 3 2 4" xfId="5673"/>
    <cellStyle name="Currency 3 2 3 2 4 2" xfId="5674"/>
    <cellStyle name="Currency 3 2 3 2 4 2 2" xfId="5675"/>
    <cellStyle name="Currency 3 2 3 2 4 3" xfId="5676"/>
    <cellStyle name="Currency 3 2 3 2 4 3 2" xfId="5677"/>
    <cellStyle name="Currency 3 2 3 2 4 4" xfId="5678"/>
    <cellStyle name="Currency 3 2 3 2 4 4 2" xfId="5679"/>
    <cellStyle name="Currency 3 2 3 2 4 5" xfId="5680"/>
    <cellStyle name="Currency 3 2 3 2 4 6" xfId="5681"/>
    <cellStyle name="Currency 3 2 3 2 5" xfId="5682"/>
    <cellStyle name="Currency 3 2 3 2 5 2" xfId="5683"/>
    <cellStyle name="Currency 3 2 3 2 5 2 2" xfId="5684"/>
    <cellStyle name="Currency 3 2 3 2 5 3" xfId="5685"/>
    <cellStyle name="Currency 3 2 3 2 5 3 2" xfId="5686"/>
    <cellStyle name="Currency 3 2 3 2 5 4" xfId="5687"/>
    <cellStyle name="Currency 3 2 3 2 5 4 2" xfId="5688"/>
    <cellStyle name="Currency 3 2 3 2 5 5" xfId="5689"/>
    <cellStyle name="Currency 3 2 3 2 5 6" xfId="5690"/>
    <cellStyle name="Currency 3 2 3 2 6" xfId="5691"/>
    <cellStyle name="Currency 3 2 3 2 6 2" xfId="5692"/>
    <cellStyle name="Currency 3 2 3 2 6 2 2" xfId="5693"/>
    <cellStyle name="Currency 3 2 3 2 6 3" xfId="5694"/>
    <cellStyle name="Currency 3 2 3 2 6 3 2" xfId="5695"/>
    <cellStyle name="Currency 3 2 3 2 6 4" xfId="5696"/>
    <cellStyle name="Currency 3 2 3 2 6 5" xfId="5697"/>
    <cellStyle name="Currency 3 2 3 2 7" xfId="5698"/>
    <cellStyle name="Currency 3 2 3 2 7 2" xfId="5699"/>
    <cellStyle name="Currency 3 2 3 2 8" xfId="5700"/>
    <cellStyle name="Currency 3 2 3 2 8 2" xfId="5701"/>
    <cellStyle name="Currency 3 2 3 2 9" xfId="5702"/>
    <cellStyle name="Currency 3 2 3 2 9 2" xfId="5703"/>
    <cellStyle name="Currency 3 2 3 3" xfId="5704"/>
    <cellStyle name="Currency 3 2 3 3 10" xfId="5705"/>
    <cellStyle name="Currency 3 2 3 3 2" xfId="5706"/>
    <cellStyle name="Currency 3 2 3 3 2 2" xfId="5707"/>
    <cellStyle name="Currency 3 2 3 3 2 2 2" xfId="5708"/>
    <cellStyle name="Currency 3 2 3 3 2 3" xfId="5709"/>
    <cellStyle name="Currency 3 2 3 3 2 3 2" xfId="5710"/>
    <cellStyle name="Currency 3 2 3 3 2 4" xfId="5711"/>
    <cellStyle name="Currency 3 2 3 3 2 4 2" xfId="5712"/>
    <cellStyle name="Currency 3 2 3 3 2 5" xfId="5713"/>
    <cellStyle name="Currency 3 2 3 3 2 6" xfId="5714"/>
    <cellStyle name="Currency 3 2 3 3 3" xfId="5715"/>
    <cellStyle name="Currency 3 2 3 3 3 2" xfId="5716"/>
    <cellStyle name="Currency 3 2 3 3 3 2 2" xfId="5717"/>
    <cellStyle name="Currency 3 2 3 3 3 3" xfId="5718"/>
    <cellStyle name="Currency 3 2 3 3 3 3 2" xfId="5719"/>
    <cellStyle name="Currency 3 2 3 3 3 4" xfId="5720"/>
    <cellStyle name="Currency 3 2 3 3 3 4 2" xfId="5721"/>
    <cellStyle name="Currency 3 2 3 3 3 5" xfId="5722"/>
    <cellStyle name="Currency 3 2 3 3 3 6" xfId="5723"/>
    <cellStyle name="Currency 3 2 3 3 4" xfId="5724"/>
    <cellStyle name="Currency 3 2 3 3 4 2" xfId="5725"/>
    <cellStyle name="Currency 3 2 3 3 4 2 2" xfId="5726"/>
    <cellStyle name="Currency 3 2 3 3 4 3" xfId="5727"/>
    <cellStyle name="Currency 3 2 3 3 4 3 2" xfId="5728"/>
    <cellStyle name="Currency 3 2 3 3 4 4" xfId="5729"/>
    <cellStyle name="Currency 3 2 3 3 4 4 2" xfId="5730"/>
    <cellStyle name="Currency 3 2 3 3 4 5" xfId="5731"/>
    <cellStyle name="Currency 3 2 3 3 4 6" xfId="5732"/>
    <cellStyle name="Currency 3 2 3 3 5" xfId="5733"/>
    <cellStyle name="Currency 3 2 3 3 5 2" xfId="5734"/>
    <cellStyle name="Currency 3 2 3 3 5 2 2" xfId="5735"/>
    <cellStyle name="Currency 3 2 3 3 5 3" xfId="5736"/>
    <cellStyle name="Currency 3 2 3 3 5 3 2" xfId="5737"/>
    <cellStyle name="Currency 3 2 3 3 5 4" xfId="5738"/>
    <cellStyle name="Currency 3 2 3 3 5 5" xfId="5739"/>
    <cellStyle name="Currency 3 2 3 3 6" xfId="5740"/>
    <cellStyle name="Currency 3 2 3 3 6 2" xfId="5741"/>
    <cellStyle name="Currency 3 2 3 3 7" xfId="5742"/>
    <cellStyle name="Currency 3 2 3 3 7 2" xfId="5743"/>
    <cellStyle name="Currency 3 2 3 3 8" xfId="5744"/>
    <cellStyle name="Currency 3 2 3 3 8 2" xfId="5745"/>
    <cellStyle name="Currency 3 2 3 3 9" xfId="5746"/>
    <cellStyle name="Currency 3 2 3 4" xfId="5747"/>
    <cellStyle name="Currency 3 2 3 4 10" xfId="5748"/>
    <cellStyle name="Currency 3 2 3 4 2" xfId="5749"/>
    <cellStyle name="Currency 3 2 3 4 2 2" xfId="5750"/>
    <cellStyle name="Currency 3 2 3 4 2 2 2" xfId="5751"/>
    <cellStyle name="Currency 3 2 3 4 2 3" xfId="5752"/>
    <cellStyle name="Currency 3 2 3 4 2 3 2" xfId="5753"/>
    <cellStyle name="Currency 3 2 3 4 2 4" xfId="5754"/>
    <cellStyle name="Currency 3 2 3 4 2 4 2" xfId="5755"/>
    <cellStyle name="Currency 3 2 3 4 2 5" xfId="5756"/>
    <cellStyle name="Currency 3 2 3 4 2 6" xfId="5757"/>
    <cellStyle name="Currency 3 2 3 4 3" xfId="5758"/>
    <cellStyle name="Currency 3 2 3 4 3 2" xfId="5759"/>
    <cellStyle name="Currency 3 2 3 4 3 2 2" xfId="5760"/>
    <cellStyle name="Currency 3 2 3 4 3 3" xfId="5761"/>
    <cellStyle name="Currency 3 2 3 4 3 3 2" xfId="5762"/>
    <cellStyle name="Currency 3 2 3 4 3 4" xfId="5763"/>
    <cellStyle name="Currency 3 2 3 4 3 4 2" xfId="5764"/>
    <cellStyle name="Currency 3 2 3 4 3 5" xfId="5765"/>
    <cellStyle name="Currency 3 2 3 4 3 6" xfId="5766"/>
    <cellStyle name="Currency 3 2 3 4 4" xfId="5767"/>
    <cellStyle name="Currency 3 2 3 4 4 2" xfId="5768"/>
    <cellStyle name="Currency 3 2 3 4 4 2 2" xfId="5769"/>
    <cellStyle name="Currency 3 2 3 4 4 3" xfId="5770"/>
    <cellStyle name="Currency 3 2 3 4 4 3 2" xfId="5771"/>
    <cellStyle name="Currency 3 2 3 4 4 4" xfId="5772"/>
    <cellStyle name="Currency 3 2 3 4 4 4 2" xfId="5773"/>
    <cellStyle name="Currency 3 2 3 4 4 5" xfId="5774"/>
    <cellStyle name="Currency 3 2 3 4 4 6" xfId="5775"/>
    <cellStyle name="Currency 3 2 3 4 5" xfId="5776"/>
    <cellStyle name="Currency 3 2 3 4 5 2" xfId="5777"/>
    <cellStyle name="Currency 3 2 3 4 5 2 2" xfId="5778"/>
    <cellStyle name="Currency 3 2 3 4 5 3" xfId="5779"/>
    <cellStyle name="Currency 3 2 3 4 5 3 2" xfId="5780"/>
    <cellStyle name="Currency 3 2 3 4 5 4" xfId="5781"/>
    <cellStyle name="Currency 3 2 3 4 5 5" xfId="5782"/>
    <cellStyle name="Currency 3 2 3 4 6" xfId="5783"/>
    <cellStyle name="Currency 3 2 3 4 6 2" xfId="5784"/>
    <cellStyle name="Currency 3 2 3 4 7" xfId="5785"/>
    <cellStyle name="Currency 3 2 3 4 7 2" xfId="5786"/>
    <cellStyle name="Currency 3 2 3 4 8" xfId="5787"/>
    <cellStyle name="Currency 3 2 3 4 8 2" xfId="5788"/>
    <cellStyle name="Currency 3 2 3 4 9" xfId="5789"/>
    <cellStyle name="Currency 3 2 3 5" xfId="5790"/>
    <cellStyle name="Currency 3 2 3 5 2" xfId="5791"/>
    <cellStyle name="Currency 3 2 3 5 2 2" xfId="5792"/>
    <cellStyle name="Currency 3 2 3 5 3" xfId="5793"/>
    <cellStyle name="Currency 3 2 3 5 3 2" xfId="5794"/>
    <cellStyle name="Currency 3 2 3 5 4" xfId="5795"/>
    <cellStyle name="Currency 3 2 3 5 4 2" xfId="5796"/>
    <cellStyle name="Currency 3 2 3 5 5" xfId="5797"/>
    <cellStyle name="Currency 3 2 3 5 6" xfId="5798"/>
    <cellStyle name="Currency 3 2 3 6" xfId="5799"/>
    <cellStyle name="Currency 3 2 3 6 2" xfId="5800"/>
    <cellStyle name="Currency 3 2 3 6 2 2" xfId="5801"/>
    <cellStyle name="Currency 3 2 3 6 3" xfId="5802"/>
    <cellStyle name="Currency 3 2 3 6 3 2" xfId="5803"/>
    <cellStyle name="Currency 3 2 3 6 4" xfId="5804"/>
    <cellStyle name="Currency 3 2 3 6 4 2" xfId="5805"/>
    <cellStyle name="Currency 3 2 3 6 5" xfId="5806"/>
    <cellStyle name="Currency 3 2 3 6 6" xfId="5807"/>
    <cellStyle name="Currency 3 2 3 7" xfId="5808"/>
    <cellStyle name="Currency 3 2 3 7 2" xfId="5809"/>
    <cellStyle name="Currency 3 2 3 7 2 2" xfId="5810"/>
    <cellStyle name="Currency 3 2 3 7 3" xfId="5811"/>
    <cellStyle name="Currency 3 2 3 7 3 2" xfId="5812"/>
    <cellStyle name="Currency 3 2 3 7 4" xfId="5813"/>
    <cellStyle name="Currency 3 2 3 7 4 2" xfId="5814"/>
    <cellStyle name="Currency 3 2 3 7 5" xfId="5815"/>
    <cellStyle name="Currency 3 2 3 7 6" xfId="5816"/>
    <cellStyle name="Currency 3 2 3 8" xfId="5817"/>
    <cellStyle name="Currency 3 2 3 8 2" xfId="5818"/>
    <cellStyle name="Currency 3 2 3 8 2 2" xfId="5819"/>
    <cellStyle name="Currency 3 2 3 8 3" xfId="5820"/>
    <cellStyle name="Currency 3 2 3 8 3 2" xfId="5821"/>
    <cellStyle name="Currency 3 2 3 8 4" xfId="5822"/>
    <cellStyle name="Currency 3 2 3 8 5" xfId="5823"/>
    <cellStyle name="Currency 3 2 3 9" xfId="5824"/>
    <cellStyle name="Currency 3 2 3 9 2" xfId="5825"/>
    <cellStyle name="Currency 3 2 4" xfId="5826"/>
    <cellStyle name="Currency 3 2 4 10" xfId="5827"/>
    <cellStyle name="Currency 3 2 4 10 2" xfId="5828"/>
    <cellStyle name="Currency 3 2 4 11" xfId="5829"/>
    <cellStyle name="Currency 3 2 4 11 2" xfId="5830"/>
    <cellStyle name="Currency 3 2 4 12" xfId="5831"/>
    <cellStyle name="Currency 3 2 4 13" xfId="5832"/>
    <cellStyle name="Currency 3 2 4 2" xfId="5833"/>
    <cellStyle name="Currency 3 2 4 2 10" xfId="5834"/>
    <cellStyle name="Currency 3 2 4 2 11" xfId="5835"/>
    <cellStyle name="Currency 3 2 4 2 2" xfId="5836"/>
    <cellStyle name="Currency 3 2 4 2 2 2" xfId="5837"/>
    <cellStyle name="Currency 3 2 4 2 2 2 2" xfId="5838"/>
    <cellStyle name="Currency 3 2 4 2 2 3" xfId="5839"/>
    <cellStyle name="Currency 3 2 4 2 2 3 2" xfId="5840"/>
    <cellStyle name="Currency 3 2 4 2 2 4" xfId="5841"/>
    <cellStyle name="Currency 3 2 4 2 2 4 2" xfId="5842"/>
    <cellStyle name="Currency 3 2 4 2 2 5" xfId="5843"/>
    <cellStyle name="Currency 3 2 4 2 2 6" xfId="5844"/>
    <cellStyle name="Currency 3 2 4 2 3" xfId="5845"/>
    <cellStyle name="Currency 3 2 4 2 3 2" xfId="5846"/>
    <cellStyle name="Currency 3 2 4 2 3 2 2" xfId="5847"/>
    <cellStyle name="Currency 3 2 4 2 3 3" xfId="5848"/>
    <cellStyle name="Currency 3 2 4 2 3 3 2" xfId="5849"/>
    <cellStyle name="Currency 3 2 4 2 3 4" xfId="5850"/>
    <cellStyle name="Currency 3 2 4 2 3 4 2" xfId="5851"/>
    <cellStyle name="Currency 3 2 4 2 3 5" xfId="5852"/>
    <cellStyle name="Currency 3 2 4 2 3 6" xfId="5853"/>
    <cellStyle name="Currency 3 2 4 2 4" xfId="5854"/>
    <cellStyle name="Currency 3 2 4 2 4 2" xfId="5855"/>
    <cellStyle name="Currency 3 2 4 2 4 2 2" xfId="5856"/>
    <cellStyle name="Currency 3 2 4 2 4 3" xfId="5857"/>
    <cellStyle name="Currency 3 2 4 2 4 3 2" xfId="5858"/>
    <cellStyle name="Currency 3 2 4 2 4 4" xfId="5859"/>
    <cellStyle name="Currency 3 2 4 2 4 4 2" xfId="5860"/>
    <cellStyle name="Currency 3 2 4 2 4 5" xfId="5861"/>
    <cellStyle name="Currency 3 2 4 2 4 6" xfId="5862"/>
    <cellStyle name="Currency 3 2 4 2 5" xfId="5863"/>
    <cellStyle name="Currency 3 2 4 2 5 2" xfId="5864"/>
    <cellStyle name="Currency 3 2 4 2 5 2 2" xfId="5865"/>
    <cellStyle name="Currency 3 2 4 2 5 3" xfId="5866"/>
    <cellStyle name="Currency 3 2 4 2 5 3 2" xfId="5867"/>
    <cellStyle name="Currency 3 2 4 2 5 4" xfId="5868"/>
    <cellStyle name="Currency 3 2 4 2 5 4 2" xfId="5869"/>
    <cellStyle name="Currency 3 2 4 2 5 5" xfId="5870"/>
    <cellStyle name="Currency 3 2 4 2 5 6" xfId="5871"/>
    <cellStyle name="Currency 3 2 4 2 6" xfId="5872"/>
    <cellStyle name="Currency 3 2 4 2 6 2" xfId="5873"/>
    <cellStyle name="Currency 3 2 4 2 6 2 2" xfId="5874"/>
    <cellStyle name="Currency 3 2 4 2 6 3" xfId="5875"/>
    <cellStyle name="Currency 3 2 4 2 6 3 2" xfId="5876"/>
    <cellStyle name="Currency 3 2 4 2 6 4" xfId="5877"/>
    <cellStyle name="Currency 3 2 4 2 6 5" xfId="5878"/>
    <cellStyle name="Currency 3 2 4 2 7" xfId="5879"/>
    <cellStyle name="Currency 3 2 4 2 7 2" xfId="5880"/>
    <cellStyle name="Currency 3 2 4 2 8" xfId="5881"/>
    <cellStyle name="Currency 3 2 4 2 8 2" xfId="5882"/>
    <cellStyle name="Currency 3 2 4 2 9" xfId="5883"/>
    <cellStyle name="Currency 3 2 4 2 9 2" xfId="5884"/>
    <cellStyle name="Currency 3 2 4 3" xfId="5885"/>
    <cellStyle name="Currency 3 2 4 3 10" xfId="5886"/>
    <cellStyle name="Currency 3 2 4 3 2" xfId="5887"/>
    <cellStyle name="Currency 3 2 4 3 2 2" xfId="5888"/>
    <cellStyle name="Currency 3 2 4 3 2 2 2" xfId="5889"/>
    <cellStyle name="Currency 3 2 4 3 2 3" xfId="5890"/>
    <cellStyle name="Currency 3 2 4 3 2 3 2" xfId="5891"/>
    <cellStyle name="Currency 3 2 4 3 2 4" xfId="5892"/>
    <cellStyle name="Currency 3 2 4 3 2 4 2" xfId="5893"/>
    <cellStyle name="Currency 3 2 4 3 2 5" xfId="5894"/>
    <cellStyle name="Currency 3 2 4 3 2 6" xfId="5895"/>
    <cellStyle name="Currency 3 2 4 3 3" xfId="5896"/>
    <cellStyle name="Currency 3 2 4 3 3 2" xfId="5897"/>
    <cellStyle name="Currency 3 2 4 3 3 2 2" xfId="5898"/>
    <cellStyle name="Currency 3 2 4 3 3 3" xfId="5899"/>
    <cellStyle name="Currency 3 2 4 3 3 3 2" xfId="5900"/>
    <cellStyle name="Currency 3 2 4 3 3 4" xfId="5901"/>
    <cellStyle name="Currency 3 2 4 3 3 4 2" xfId="5902"/>
    <cellStyle name="Currency 3 2 4 3 3 5" xfId="5903"/>
    <cellStyle name="Currency 3 2 4 3 3 6" xfId="5904"/>
    <cellStyle name="Currency 3 2 4 3 4" xfId="5905"/>
    <cellStyle name="Currency 3 2 4 3 4 2" xfId="5906"/>
    <cellStyle name="Currency 3 2 4 3 4 2 2" xfId="5907"/>
    <cellStyle name="Currency 3 2 4 3 4 3" xfId="5908"/>
    <cellStyle name="Currency 3 2 4 3 4 3 2" xfId="5909"/>
    <cellStyle name="Currency 3 2 4 3 4 4" xfId="5910"/>
    <cellStyle name="Currency 3 2 4 3 4 4 2" xfId="5911"/>
    <cellStyle name="Currency 3 2 4 3 4 5" xfId="5912"/>
    <cellStyle name="Currency 3 2 4 3 4 6" xfId="5913"/>
    <cellStyle name="Currency 3 2 4 3 5" xfId="5914"/>
    <cellStyle name="Currency 3 2 4 3 5 2" xfId="5915"/>
    <cellStyle name="Currency 3 2 4 3 5 2 2" xfId="5916"/>
    <cellStyle name="Currency 3 2 4 3 5 3" xfId="5917"/>
    <cellStyle name="Currency 3 2 4 3 5 3 2" xfId="5918"/>
    <cellStyle name="Currency 3 2 4 3 5 4" xfId="5919"/>
    <cellStyle name="Currency 3 2 4 3 5 5" xfId="5920"/>
    <cellStyle name="Currency 3 2 4 3 6" xfId="5921"/>
    <cellStyle name="Currency 3 2 4 3 6 2" xfId="5922"/>
    <cellStyle name="Currency 3 2 4 3 7" xfId="5923"/>
    <cellStyle name="Currency 3 2 4 3 7 2" xfId="5924"/>
    <cellStyle name="Currency 3 2 4 3 8" xfId="5925"/>
    <cellStyle name="Currency 3 2 4 3 8 2" xfId="5926"/>
    <cellStyle name="Currency 3 2 4 3 9" xfId="5927"/>
    <cellStyle name="Currency 3 2 4 4" xfId="5928"/>
    <cellStyle name="Currency 3 2 4 4 10" xfId="5929"/>
    <cellStyle name="Currency 3 2 4 4 2" xfId="5930"/>
    <cellStyle name="Currency 3 2 4 4 2 2" xfId="5931"/>
    <cellStyle name="Currency 3 2 4 4 2 2 2" xfId="5932"/>
    <cellStyle name="Currency 3 2 4 4 2 3" xfId="5933"/>
    <cellStyle name="Currency 3 2 4 4 2 3 2" xfId="5934"/>
    <cellStyle name="Currency 3 2 4 4 2 4" xfId="5935"/>
    <cellStyle name="Currency 3 2 4 4 2 4 2" xfId="5936"/>
    <cellStyle name="Currency 3 2 4 4 2 5" xfId="5937"/>
    <cellStyle name="Currency 3 2 4 4 2 6" xfId="5938"/>
    <cellStyle name="Currency 3 2 4 4 3" xfId="5939"/>
    <cellStyle name="Currency 3 2 4 4 3 2" xfId="5940"/>
    <cellStyle name="Currency 3 2 4 4 3 2 2" xfId="5941"/>
    <cellStyle name="Currency 3 2 4 4 3 3" xfId="5942"/>
    <cellStyle name="Currency 3 2 4 4 3 3 2" xfId="5943"/>
    <cellStyle name="Currency 3 2 4 4 3 4" xfId="5944"/>
    <cellStyle name="Currency 3 2 4 4 3 4 2" xfId="5945"/>
    <cellStyle name="Currency 3 2 4 4 3 5" xfId="5946"/>
    <cellStyle name="Currency 3 2 4 4 3 6" xfId="5947"/>
    <cellStyle name="Currency 3 2 4 4 4" xfId="5948"/>
    <cellStyle name="Currency 3 2 4 4 4 2" xfId="5949"/>
    <cellStyle name="Currency 3 2 4 4 4 2 2" xfId="5950"/>
    <cellStyle name="Currency 3 2 4 4 4 3" xfId="5951"/>
    <cellStyle name="Currency 3 2 4 4 4 3 2" xfId="5952"/>
    <cellStyle name="Currency 3 2 4 4 4 4" xfId="5953"/>
    <cellStyle name="Currency 3 2 4 4 4 4 2" xfId="5954"/>
    <cellStyle name="Currency 3 2 4 4 4 5" xfId="5955"/>
    <cellStyle name="Currency 3 2 4 4 4 6" xfId="5956"/>
    <cellStyle name="Currency 3 2 4 4 5" xfId="5957"/>
    <cellStyle name="Currency 3 2 4 4 5 2" xfId="5958"/>
    <cellStyle name="Currency 3 2 4 4 5 2 2" xfId="5959"/>
    <cellStyle name="Currency 3 2 4 4 5 3" xfId="5960"/>
    <cellStyle name="Currency 3 2 4 4 5 3 2" xfId="5961"/>
    <cellStyle name="Currency 3 2 4 4 5 4" xfId="5962"/>
    <cellStyle name="Currency 3 2 4 4 5 5" xfId="5963"/>
    <cellStyle name="Currency 3 2 4 4 6" xfId="5964"/>
    <cellStyle name="Currency 3 2 4 4 6 2" xfId="5965"/>
    <cellStyle name="Currency 3 2 4 4 7" xfId="5966"/>
    <cellStyle name="Currency 3 2 4 4 7 2" xfId="5967"/>
    <cellStyle name="Currency 3 2 4 4 8" xfId="5968"/>
    <cellStyle name="Currency 3 2 4 4 8 2" xfId="5969"/>
    <cellStyle name="Currency 3 2 4 4 9" xfId="5970"/>
    <cellStyle name="Currency 3 2 4 5" xfId="5971"/>
    <cellStyle name="Currency 3 2 4 5 2" xfId="5972"/>
    <cellStyle name="Currency 3 2 4 5 2 2" xfId="5973"/>
    <cellStyle name="Currency 3 2 4 5 3" xfId="5974"/>
    <cellStyle name="Currency 3 2 4 5 3 2" xfId="5975"/>
    <cellStyle name="Currency 3 2 4 5 4" xfId="5976"/>
    <cellStyle name="Currency 3 2 4 5 4 2" xfId="5977"/>
    <cellStyle name="Currency 3 2 4 5 5" xfId="5978"/>
    <cellStyle name="Currency 3 2 4 5 6" xfId="5979"/>
    <cellStyle name="Currency 3 2 4 6" xfId="5980"/>
    <cellStyle name="Currency 3 2 4 6 2" xfId="5981"/>
    <cellStyle name="Currency 3 2 4 6 2 2" xfId="5982"/>
    <cellStyle name="Currency 3 2 4 6 3" xfId="5983"/>
    <cellStyle name="Currency 3 2 4 6 3 2" xfId="5984"/>
    <cellStyle name="Currency 3 2 4 6 4" xfId="5985"/>
    <cellStyle name="Currency 3 2 4 6 4 2" xfId="5986"/>
    <cellStyle name="Currency 3 2 4 6 5" xfId="5987"/>
    <cellStyle name="Currency 3 2 4 6 6" xfId="5988"/>
    <cellStyle name="Currency 3 2 4 7" xfId="5989"/>
    <cellStyle name="Currency 3 2 4 7 2" xfId="5990"/>
    <cellStyle name="Currency 3 2 4 7 2 2" xfId="5991"/>
    <cellStyle name="Currency 3 2 4 7 3" xfId="5992"/>
    <cellStyle name="Currency 3 2 4 7 3 2" xfId="5993"/>
    <cellStyle name="Currency 3 2 4 7 4" xfId="5994"/>
    <cellStyle name="Currency 3 2 4 7 4 2" xfId="5995"/>
    <cellStyle name="Currency 3 2 4 7 5" xfId="5996"/>
    <cellStyle name="Currency 3 2 4 7 6" xfId="5997"/>
    <cellStyle name="Currency 3 2 4 8" xfId="5998"/>
    <cellStyle name="Currency 3 2 4 8 2" xfId="5999"/>
    <cellStyle name="Currency 3 2 4 8 2 2" xfId="6000"/>
    <cellStyle name="Currency 3 2 4 8 3" xfId="6001"/>
    <cellStyle name="Currency 3 2 4 8 3 2" xfId="6002"/>
    <cellStyle name="Currency 3 2 4 8 4" xfId="6003"/>
    <cellStyle name="Currency 3 2 4 8 5" xfId="6004"/>
    <cellStyle name="Currency 3 2 4 9" xfId="6005"/>
    <cellStyle name="Currency 3 2 4 9 2" xfId="6006"/>
    <cellStyle name="Currency 3 2 5" xfId="6007"/>
    <cellStyle name="Currency 3 2 5 10" xfId="6008"/>
    <cellStyle name="Currency 3 2 5 10 2" xfId="6009"/>
    <cellStyle name="Currency 3 2 5 11" xfId="6010"/>
    <cellStyle name="Currency 3 2 5 12" xfId="6011"/>
    <cellStyle name="Currency 3 2 5 2" xfId="6012"/>
    <cellStyle name="Currency 3 2 5 2 10" xfId="6013"/>
    <cellStyle name="Currency 3 2 5 2 2" xfId="6014"/>
    <cellStyle name="Currency 3 2 5 2 2 2" xfId="6015"/>
    <cellStyle name="Currency 3 2 5 2 2 2 2" xfId="6016"/>
    <cellStyle name="Currency 3 2 5 2 2 3" xfId="6017"/>
    <cellStyle name="Currency 3 2 5 2 2 3 2" xfId="6018"/>
    <cellStyle name="Currency 3 2 5 2 2 4" xfId="6019"/>
    <cellStyle name="Currency 3 2 5 2 2 4 2" xfId="6020"/>
    <cellStyle name="Currency 3 2 5 2 2 5" xfId="6021"/>
    <cellStyle name="Currency 3 2 5 2 2 6" xfId="6022"/>
    <cellStyle name="Currency 3 2 5 2 3" xfId="6023"/>
    <cellStyle name="Currency 3 2 5 2 3 2" xfId="6024"/>
    <cellStyle name="Currency 3 2 5 2 3 2 2" xfId="6025"/>
    <cellStyle name="Currency 3 2 5 2 3 3" xfId="6026"/>
    <cellStyle name="Currency 3 2 5 2 3 3 2" xfId="6027"/>
    <cellStyle name="Currency 3 2 5 2 3 4" xfId="6028"/>
    <cellStyle name="Currency 3 2 5 2 3 4 2" xfId="6029"/>
    <cellStyle name="Currency 3 2 5 2 3 5" xfId="6030"/>
    <cellStyle name="Currency 3 2 5 2 3 6" xfId="6031"/>
    <cellStyle name="Currency 3 2 5 2 4" xfId="6032"/>
    <cellStyle name="Currency 3 2 5 2 4 2" xfId="6033"/>
    <cellStyle name="Currency 3 2 5 2 4 2 2" xfId="6034"/>
    <cellStyle name="Currency 3 2 5 2 4 3" xfId="6035"/>
    <cellStyle name="Currency 3 2 5 2 4 3 2" xfId="6036"/>
    <cellStyle name="Currency 3 2 5 2 4 4" xfId="6037"/>
    <cellStyle name="Currency 3 2 5 2 4 4 2" xfId="6038"/>
    <cellStyle name="Currency 3 2 5 2 4 5" xfId="6039"/>
    <cellStyle name="Currency 3 2 5 2 4 6" xfId="6040"/>
    <cellStyle name="Currency 3 2 5 2 5" xfId="6041"/>
    <cellStyle name="Currency 3 2 5 2 5 2" xfId="6042"/>
    <cellStyle name="Currency 3 2 5 2 5 2 2" xfId="6043"/>
    <cellStyle name="Currency 3 2 5 2 5 3" xfId="6044"/>
    <cellStyle name="Currency 3 2 5 2 5 3 2" xfId="6045"/>
    <cellStyle name="Currency 3 2 5 2 5 4" xfId="6046"/>
    <cellStyle name="Currency 3 2 5 2 5 5" xfId="6047"/>
    <cellStyle name="Currency 3 2 5 2 6" xfId="6048"/>
    <cellStyle name="Currency 3 2 5 2 6 2" xfId="6049"/>
    <cellStyle name="Currency 3 2 5 2 7" xfId="6050"/>
    <cellStyle name="Currency 3 2 5 2 7 2" xfId="6051"/>
    <cellStyle name="Currency 3 2 5 2 8" xfId="6052"/>
    <cellStyle name="Currency 3 2 5 2 8 2" xfId="6053"/>
    <cellStyle name="Currency 3 2 5 2 9" xfId="6054"/>
    <cellStyle name="Currency 3 2 5 3" xfId="6055"/>
    <cellStyle name="Currency 3 2 5 3 10" xfId="6056"/>
    <cellStyle name="Currency 3 2 5 3 2" xfId="6057"/>
    <cellStyle name="Currency 3 2 5 3 2 2" xfId="6058"/>
    <cellStyle name="Currency 3 2 5 3 2 2 2" xfId="6059"/>
    <cellStyle name="Currency 3 2 5 3 2 3" xfId="6060"/>
    <cellStyle name="Currency 3 2 5 3 2 3 2" xfId="6061"/>
    <cellStyle name="Currency 3 2 5 3 2 4" xfId="6062"/>
    <cellStyle name="Currency 3 2 5 3 2 4 2" xfId="6063"/>
    <cellStyle name="Currency 3 2 5 3 2 5" xfId="6064"/>
    <cellStyle name="Currency 3 2 5 3 2 6" xfId="6065"/>
    <cellStyle name="Currency 3 2 5 3 3" xfId="6066"/>
    <cellStyle name="Currency 3 2 5 3 3 2" xfId="6067"/>
    <cellStyle name="Currency 3 2 5 3 3 2 2" xfId="6068"/>
    <cellStyle name="Currency 3 2 5 3 3 3" xfId="6069"/>
    <cellStyle name="Currency 3 2 5 3 3 3 2" xfId="6070"/>
    <cellStyle name="Currency 3 2 5 3 3 4" xfId="6071"/>
    <cellStyle name="Currency 3 2 5 3 3 4 2" xfId="6072"/>
    <cellStyle name="Currency 3 2 5 3 3 5" xfId="6073"/>
    <cellStyle name="Currency 3 2 5 3 3 6" xfId="6074"/>
    <cellStyle name="Currency 3 2 5 3 4" xfId="6075"/>
    <cellStyle name="Currency 3 2 5 3 4 2" xfId="6076"/>
    <cellStyle name="Currency 3 2 5 3 4 2 2" xfId="6077"/>
    <cellStyle name="Currency 3 2 5 3 4 3" xfId="6078"/>
    <cellStyle name="Currency 3 2 5 3 4 3 2" xfId="6079"/>
    <cellStyle name="Currency 3 2 5 3 4 4" xfId="6080"/>
    <cellStyle name="Currency 3 2 5 3 4 4 2" xfId="6081"/>
    <cellStyle name="Currency 3 2 5 3 4 5" xfId="6082"/>
    <cellStyle name="Currency 3 2 5 3 4 6" xfId="6083"/>
    <cellStyle name="Currency 3 2 5 3 5" xfId="6084"/>
    <cellStyle name="Currency 3 2 5 3 5 2" xfId="6085"/>
    <cellStyle name="Currency 3 2 5 3 5 2 2" xfId="6086"/>
    <cellStyle name="Currency 3 2 5 3 5 3" xfId="6087"/>
    <cellStyle name="Currency 3 2 5 3 5 3 2" xfId="6088"/>
    <cellStyle name="Currency 3 2 5 3 5 4" xfId="6089"/>
    <cellStyle name="Currency 3 2 5 3 5 5" xfId="6090"/>
    <cellStyle name="Currency 3 2 5 3 6" xfId="6091"/>
    <cellStyle name="Currency 3 2 5 3 6 2" xfId="6092"/>
    <cellStyle name="Currency 3 2 5 3 7" xfId="6093"/>
    <cellStyle name="Currency 3 2 5 3 7 2" xfId="6094"/>
    <cellStyle name="Currency 3 2 5 3 8" xfId="6095"/>
    <cellStyle name="Currency 3 2 5 3 8 2" xfId="6096"/>
    <cellStyle name="Currency 3 2 5 3 9" xfId="6097"/>
    <cellStyle name="Currency 3 2 5 4" xfId="6098"/>
    <cellStyle name="Currency 3 2 5 4 2" xfId="6099"/>
    <cellStyle name="Currency 3 2 5 4 2 2" xfId="6100"/>
    <cellStyle name="Currency 3 2 5 4 3" xfId="6101"/>
    <cellStyle name="Currency 3 2 5 4 3 2" xfId="6102"/>
    <cellStyle name="Currency 3 2 5 4 4" xfId="6103"/>
    <cellStyle name="Currency 3 2 5 4 4 2" xfId="6104"/>
    <cellStyle name="Currency 3 2 5 4 5" xfId="6105"/>
    <cellStyle name="Currency 3 2 5 4 6" xfId="6106"/>
    <cellStyle name="Currency 3 2 5 5" xfId="6107"/>
    <cellStyle name="Currency 3 2 5 5 2" xfId="6108"/>
    <cellStyle name="Currency 3 2 5 5 2 2" xfId="6109"/>
    <cellStyle name="Currency 3 2 5 5 3" xfId="6110"/>
    <cellStyle name="Currency 3 2 5 5 3 2" xfId="6111"/>
    <cellStyle name="Currency 3 2 5 5 4" xfId="6112"/>
    <cellStyle name="Currency 3 2 5 5 4 2" xfId="6113"/>
    <cellStyle name="Currency 3 2 5 5 5" xfId="6114"/>
    <cellStyle name="Currency 3 2 5 5 6" xfId="6115"/>
    <cellStyle name="Currency 3 2 5 6" xfId="6116"/>
    <cellStyle name="Currency 3 2 5 6 2" xfId="6117"/>
    <cellStyle name="Currency 3 2 5 6 2 2" xfId="6118"/>
    <cellStyle name="Currency 3 2 5 6 3" xfId="6119"/>
    <cellStyle name="Currency 3 2 5 6 3 2" xfId="6120"/>
    <cellStyle name="Currency 3 2 5 6 4" xfId="6121"/>
    <cellStyle name="Currency 3 2 5 6 4 2" xfId="6122"/>
    <cellStyle name="Currency 3 2 5 6 5" xfId="6123"/>
    <cellStyle name="Currency 3 2 5 6 6" xfId="6124"/>
    <cellStyle name="Currency 3 2 5 7" xfId="6125"/>
    <cellStyle name="Currency 3 2 5 7 2" xfId="6126"/>
    <cellStyle name="Currency 3 2 5 7 2 2" xfId="6127"/>
    <cellStyle name="Currency 3 2 5 7 3" xfId="6128"/>
    <cellStyle name="Currency 3 2 5 7 3 2" xfId="6129"/>
    <cellStyle name="Currency 3 2 5 7 4" xfId="6130"/>
    <cellStyle name="Currency 3 2 5 7 5" xfId="6131"/>
    <cellStyle name="Currency 3 2 5 8" xfId="6132"/>
    <cellStyle name="Currency 3 2 5 8 2" xfId="6133"/>
    <cellStyle name="Currency 3 2 5 9" xfId="6134"/>
    <cellStyle name="Currency 3 2 5 9 2" xfId="6135"/>
    <cellStyle name="Currency 3 2 6" xfId="6136"/>
    <cellStyle name="Currency 3 2 6 10" xfId="6137"/>
    <cellStyle name="Currency 3 2 6 11" xfId="6138"/>
    <cellStyle name="Currency 3 2 6 2" xfId="6139"/>
    <cellStyle name="Currency 3 2 6 2 2" xfId="6140"/>
    <cellStyle name="Currency 3 2 6 2 2 2" xfId="6141"/>
    <cellStyle name="Currency 3 2 6 2 3" xfId="6142"/>
    <cellStyle name="Currency 3 2 6 2 3 2" xfId="6143"/>
    <cellStyle name="Currency 3 2 6 2 4" xfId="6144"/>
    <cellStyle name="Currency 3 2 6 2 4 2" xfId="6145"/>
    <cellStyle name="Currency 3 2 6 2 5" xfId="6146"/>
    <cellStyle name="Currency 3 2 6 2 6" xfId="6147"/>
    <cellStyle name="Currency 3 2 6 3" xfId="6148"/>
    <cellStyle name="Currency 3 2 6 3 2" xfId="6149"/>
    <cellStyle name="Currency 3 2 6 3 2 2" xfId="6150"/>
    <cellStyle name="Currency 3 2 6 3 3" xfId="6151"/>
    <cellStyle name="Currency 3 2 6 3 3 2" xfId="6152"/>
    <cellStyle name="Currency 3 2 6 3 4" xfId="6153"/>
    <cellStyle name="Currency 3 2 6 3 4 2" xfId="6154"/>
    <cellStyle name="Currency 3 2 6 3 5" xfId="6155"/>
    <cellStyle name="Currency 3 2 6 3 6" xfId="6156"/>
    <cellStyle name="Currency 3 2 6 4" xfId="6157"/>
    <cellStyle name="Currency 3 2 6 4 2" xfId="6158"/>
    <cellStyle name="Currency 3 2 6 4 2 2" xfId="6159"/>
    <cellStyle name="Currency 3 2 6 4 3" xfId="6160"/>
    <cellStyle name="Currency 3 2 6 4 3 2" xfId="6161"/>
    <cellStyle name="Currency 3 2 6 4 4" xfId="6162"/>
    <cellStyle name="Currency 3 2 6 4 4 2" xfId="6163"/>
    <cellStyle name="Currency 3 2 6 4 5" xfId="6164"/>
    <cellStyle name="Currency 3 2 6 4 6" xfId="6165"/>
    <cellStyle name="Currency 3 2 6 5" xfId="6166"/>
    <cellStyle name="Currency 3 2 6 5 2" xfId="6167"/>
    <cellStyle name="Currency 3 2 6 5 2 2" xfId="6168"/>
    <cellStyle name="Currency 3 2 6 5 3" xfId="6169"/>
    <cellStyle name="Currency 3 2 6 5 3 2" xfId="6170"/>
    <cellStyle name="Currency 3 2 6 5 4" xfId="6171"/>
    <cellStyle name="Currency 3 2 6 5 4 2" xfId="6172"/>
    <cellStyle name="Currency 3 2 6 5 5" xfId="6173"/>
    <cellStyle name="Currency 3 2 6 5 6" xfId="6174"/>
    <cellStyle name="Currency 3 2 6 6" xfId="6175"/>
    <cellStyle name="Currency 3 2 6 6 2" xfId="6176"/>
    <cellStyle name="Currency 3 2 6 6 2 2" xfId="6177"/>
    <cellStyle name="Currency 3 2 6 6 3" xfId="6178"/>
    <cellStyle name="Currency 3 2 6 6 3 2" xfId="6179"/>
    <cellStyle name="Currency 3 2 6 6 4" xfId="6180"/>
    <cellStyle name="Currency 3 2 6 6 5" xfId="6181"/>
    <cellStyle name="Currency 3 2 6 7" xfId="6182"/>
    <cellStyle name="Currency 3 2 6 7 2" xfId="6183"/>
    <cellStyle name="Currency 3 2 6 8" xfId="6184"/>
    <cellStyle name="Currency 3 2 6 8 2" xfId="6185"/>
    <cellStyle name="Currency 3 2 6 9" xfId="6186"/>
    <cellStyle name="Currency 3 2 6 9 2" xfId="6187"/>
    <cellStyle name="Currency 3 2 7" xfId="6188"/>
    <cellStyle name="Currency 3 2 7 10" xfId="6189"/>
    <cellStyle name="Currency 3 2 7 2" xfId="6190"/>
    <cellStyle name="Currency 3 2 7 2 2" xfId="6191"/>
    <cellStyle name="Currency 3 2 7 2 2 2" xfId="6192"/>
    <cellStyle name="Currency 3 2 7 2 3" xfId="6193"/>
    <cellStyle name="Currency 3 2 7 2 3 2" xfId="6194"/>
    <cellStyle name="Currency 3 2 7 2 4" xfId="6195"/>
    <cellStyle name="Currency 3 2 7 2 4 2" xfId="6196"/>
    <cellStyle name="Currency 3 2 7 2 5" xfId="6197"/>
    <cellStyle name="Currency 3 2 7 2 6" xfId="6198"/>
    <cellStyle name="Currency 3 2 7 3" xfId="6199"/>
    <cellStyle name="Currency 3 2 7 3 2" xfId="6200"/>
    <cellStyle name="Currency 3 2 7 3 2 2" xfId="6201"/>
    <cellStyle name="Currency 3 2 7 3 3" xfId="6202"/>
    <cellStyle name="Currency 3 2 7 3 3 2" xfId="6203"/>
    <cellStyle name="Currency 3 2 7 3 4" xfId="6204"/>
    <cellStyle name="Currency 3 2 7 3 4 2" xfId="6205"/>
    <cellStyle name="Currency 3 2 7 3 5" xfId="6206"/>
    <cellStyle name="Currency 3 2 7 3 6" xfId="6207"/>
    <cellStyle name="Currency 3 2 7 4" xfId="6208"/>
    <cellStyle name="Currency 3 2 7 4 2" xfId="6209"/>
    <cellStyle name="Currency 3 2 7 4 2 2" xfId="6210"/>
    <cellStyle name="Currency 3 2 7 4 3" xfId="6211"/>
    <cellStyle name="Currency 3 2 7 4 3 2" xfId="6212"/>
    <cellStyle name="Currency 3 2 7 4 4" xfId="6213"/>
    <cellStyle name="Currency 3 2 7 4 4 2" xfId="6214"/>
    <cellStyle name="Currency 3 2 7 4 5" xfId="6215"/>
    <cellStyle name="Currency 3 2 7 4 6" xfId="6216"/>
    <cellStyle name="Currency 3 2 7 5" xfId="6217"/>
    <cellStyle name="Currency 3 2 7 5 2" xfId="6218"/>
    <cellStyle name="Currency 3 2 7 5 2 2" xfId="6219"/>
    <cellStyle name="Currency 3 2 7 5 3" xfId="6220"/>
    <cellStyle name="Currency 3 2 7 5 3 2" xfId="6221"/>
    <cellStyle name="Currency 3 2 7 5 4" xfId="6222"/>
    <cellStyle name="Currency 3 2 7 5 5" xfId="6223"/>
    <cellStyle name="Currency 3 2 7 6" xfId="6224"/>
    <cellStyle name="Currency 3 2 7 6 2" xfId="6225"/>
    <cellStyle name="Currency 3 2 7 7" xfId="6226"/>
    <cellStyle name="Currency 3 2 7 7 2" xfId="6227"/>
    <cellStyle name="Currency 3 2 7 8" xfId="6228"/>
    <cellStyle name="Currency 3 2 7 8 2" xfId="6229"/>
    <cellStyle name="Currency 3 2 7 9" xfId="6230"/>
    <cellStyle name="Currency 3 2 8" xfId="6231"/>
    <cellStyle name="Currency 3 2 8 10" xfId="6232"/>
    <cellStyle name="Currency 3 2 8 2" xfId="6233"/>
    <cellStyle name="Currency 3 2 8 2 2" xfId="6234"/>
    <cellStyle name="Currency 3 2 8 2 2 2" xfId="6235"/>
    <cellStyle name="Currency 3 2 8 2 3" xfId="6236"/>
    <cellStyle name="Currency 3 2 8 2 3 2" xfId="6237"/>
    <cellStyle name="Currency 3 2 8 2 4" xfId="6238"/>
    <cellStyle name="Currency 3 2 8 2 4 2" xfId="6239"/>
    <cellStyle name="Currency 3 2 8 2 5" xfId="6240"/>
    <cellStyle name="Currency 3 2 8 2 6" xfId="6241"/>
    <cellStyle name="Currency 3 2 8 3" xfId="6242"/>
    <cellStyle name="Currency 3 2 8 3 2" xfId="6243"/>
    <cellStyle name="Currency 3 2 8 3 2 2" xfId="6244"/>
    <cellStyle name="Currency 3 2 8 3 3" xfId="6245"/>
    <cellStyle name="Currency 3 2 8 3 3 2" xfId="6246"/>
    <cellStyle name="Currency 3 2 8 3 4" xfId="6247"/>
    <cellStyle name="Currency 3 2 8 3 4 2" xfId="6248"/>
    <cellStyle name="Currency 3 2 8 3 5" xfId="6249"/>
    <cellStyle name="Currency 3 2 8 3 6" xfId="6250"/>
    <cellStyle name="Currency 3 2 8 4" xfId="6251"/>
    <cellStyle name="Currency 3 2 8 4 2" xfId="6252"/>
    <cellStyle name="Currency 3 2 8 4 2 2" xfId="6253"/>
    <cellStyle name="Currency 3 2 8 4 3" xfId="6254"/>
    <cellStyle name="Currency 3 2 8 4 3 2" xfId="6255"/>
    <cellStyle name="Currency 3 2 8 4 4" xfId="6256"/>
    <cellStyle name="Currency 3 2 8 4 4 2" xfId="6257"/>
    <cellStyle name="Currency 3 2 8 4 5" xfId="6258"/>
    <cellStyle name="Currency 3 2 8 4 6" xfId="6259"/>
    <cellStyle name="Currency 3 2 8 5" xfId="6260"/>
    <cellStyle name="Currency 3 2 8 5 2" xfId="6261"/>
    <cellStyle name="Currency 3 2 8 5 2 2" xfId="6262"/>
    <cellStyle name="Currency 3 2 8 5 3" xfId="6263"/>
    <cellStyle name="Currency 3 2 8 5 3 2" xfId="6264"/>
    <cellStyle name="Currency 3 2 8 5 4" xfId="6265"/>
    <cellStyle name="Currency 3 2 8 5 5" xfId="6266"/>
    <cellStyle name="Currency 3 2 8 6" xfId="6267"/>
    <cellStyle name="Currency 3 2 8 6 2" xfId="6268"/>
    <cellStyle name="Currency 3 2 8 7" xfId="6269"/>
    <cellStyle name="Currency 3 2 8 7 2" xfId="6270"/>
    <cellStyle name="Currency 3 2 8 8" xfId="6271"/>
    <cellStyle name="Currency 3 2 8 8 2" xfId="6272"/>
    <cellStyle name="Currency 3 2 8 9" xfId="6273"/>
    <cellStyle name="Currency 3 2 9" xfId="6274"/>
    <cellStyle name="Currency 3 2 9 2" xfId="6275"/>
    <cellStyle name="Currency 3 2 9 2 2" xfId="6276"/>
    <cellStyle name="Currency 3 2 9 3" xfId="6277"/>
    <cellStyle name="Currency 3 2 9 3 2" xfId="6278"/>
    <cellStyle name="Currency 3 2 9 4" xfId="6279"/>
    <cellStyle name="Currency 3 2 9 4 2" xfId="6280"/>
    <cellStyle name="Currency 3 2 9 5" xfId="6281"/>
    <cellStyle name="Currency 3 2 9 6" xfId="6282"/>
    <cellStyle name="Currency 3 3" xfId="6283"/>
    <cellStyle name="Currency 3 4" xfId="6284"/>
    <cellStyle name="Currency 4" xfId="6285"/>
    <cellStyle name="Currency 4 10" xfId="6286"/>
    <cellStyle name="Currency 4 10 2" xfId="6287"/>
    <cellStyle name="Currency 4 10 2 2" xfId="6288"/>
    <cellStyle name="Currency 4 10 3" xfId="6289"/>
    <cellStyle name="Currency 4 10 3 2" xfId="6290"/>
    <cellStyle name="Currency 4 10 4" xfId="6291"/>
    <cellStyle name="Currency 4 10 4 2" xfId="6292"/>
    <cellStyle name="Currency 4 10 5" xfId="6293"/>
    <cellStyle name="Currency 4 10 6" xfId="6294"/>
    <cellStyle name="Currency 4 11" xfId="6295"/>
    <cellStyle name="Currency 4 11 2" xfId="6296"/>
    <cellStyle name="Currency 4 11 2 2" xfId="6297"/>
    <cellStyle name="Currency 4 11 3" xfId="6298"/>
    <cellStyle name="Currency 4 11 3 2" xfId="6299"/>
    <cellStyle name="Currency 4 11 4" xfId="6300"/>
    <cellStyle name="Currency 4 11 4 2" xfId="6301"/>
    <cellStyle name="Currency 4 11 5" xfId="6302"/>
    <cellStyle name="Currency 4 11 6" xfId="6303"/>
    <cellStyle name="Currency 4 12" xfId="6304"/>
    <cellStyle name="Currency 4 12 2" xfId="6305"/>
    <cellStyle name="Currency 4 12 2 2" xfId="6306"/>
    <cellStyle name="Currency 4 12 3" xfId="6307"/>
    <cellStyle name="Currency 4 12 3 2" xfId="6308"/>
    <cellStyle name="Currency 4 12 4" xfId="6309"/>
    <cellStyle name="Currency 4 12 4 2" xfId="6310"/>
    <cellStyle name="Currency 4 12 5" xfId="6311"/>
    <cellStyle name="Currency 4 12 6" xfId="6312"/>
    <cellStyle name="Currency 4 13" xfId="6313"/>
    <cellStyle name="Currency 4 13 2" xfId="6314"/>
    <cellStyle name="Currency 4 13 2 2" xfId="6315"/>
    <cellStyle name="Currency 4 13 3" xfId="6316"/>
    <cellStyle name="Currency 4 13 3 2" xfId="6317"/>
    <cellStyle name="Currency 4 13 4" xfId="6318"/>
    <cellStyle name="Currency 4 13 5" xfId="6319"/>
    <cellStyle name="Currency 4 14" xfId="6320"/>
    <cellStyle name="Currency 4 14 2" xfId="6321"/>
    <cellStyle name="Currency 4 15" xfId="6322"/>
    <cellStyle name="Currency 4 15 2" xfId="6323"/>
    <cellStyle name="Currency 4 16" xfId="6324"/>
    <cellStyle name="Currency 4 16 2" xfId="6325"/>
    <cellStyle name="Currency 4 17" xfId="6326"/>
    <cellStyle name="Currency 4 18" xfId="6327"/>
    <cellStyle name="Currency 4 19" xfId="6328"/>
    <cellStyle name="Currency 4 2" xfId="6329"/>
    <cellStyle name="Currency 4 2 10" xfId="6330"/>
    <cellStyle name="Currency 4 2 10 2" xfId="6331"/>
    <cellStyle name="Currency 4 2 10 2 2" xfId="6332"/>
    <cellStyle name="Currency 4 2 10 3" xfId="6333"/>
    <cellStyle name="Currency 4 2 10 3 2" xfId="6334"/>
    <cellStyle name="Currency 4 2 10 4" xfId="6335"/>
    <cellStyle name="Currency 4 2 10 4 2" xfId="6336"/>
    <cellStyle name="Currency 4 2 10 5" xfId="6337"/>
    <cellStyle name="Currency 4 2 10 6" xfId="6338"/>
    <cellStyle name="Currency 4 2 11" xfId="6339"/>
    <cellStyle name="Currency 4 2 11 2" xfId="6340"/>
    <cellStyle name="Currency 4 2 11 2 2" xfId="6341"/>
    <cellStyle name="Currency 4 2 11 3" xfId="6342"/>
    <cellStyle name="Currency 4 2 11 3 2" xfId="6343"/>
    <cellStyle name="Currency 4 2 11 4" xfId="6344"/>
    <cellStyle name="Currency 4 2 11 4 2" xfId="6345"/>
    <cellStyle name="Currency 4 2 11 5" xfId="6346"/>
    <cellStyle name="Currency 4 2 11 6" xfId="6347"/>
    <cellStyle name="Currency 4 2 12" xfId="6348"/>
    <cellStyle name="Currency 4 2 12 2" xfId="6349"/>
    <cellStyle name="Currency 4 2 12 2 2" xfId="6350"/>
    <cellStyle name="Currency 4 2 12 3" xfId="6351"/>
    <cellStyle name="Currency 4 2 12 3 2" xfId="6352"/>
    <cellStyle name="Currency 4 2 12 4" xfId="6353"/>
    <cellStyle name="Currency 4 2 12 5" xfId="6354"/>
    <cellStyle name="Currency 4 2 13" xfId="6355"/>
    <cellStyle name="Currency 4 2 13 2" xfId="6356"/>
    <cellStyle name="Currency 4 2 14" xfId="6357"/>
    <cellStyle name="Currency 4 2 14 2" xfId="6358"/>
    <cellStyle name="Currency 4 2 15" xfId="6359"/>
    <cellStyle name="Currency 4 2 15 2" xfId="6360"/>
    <cellStyle name="Currency 4 2 16" xfId="6361"/>
    <cellStyle name="Currency 4 2 17" xfId="6362"/>
    <cellStyle name="Currency 4 2 2" xfId="6363"/>
    <cellStyle name="Currency 4 2 2 10" xfId="6364"/>
    <cellStyle name="Currency 4 2 2 10 2" xfId="6365"/>
    <cellStyle name="Currency 4 2 2 10 2 2" xfId="6366"/>
    <cellStyle name="Currency 4 2 2 10 3" xfId="6367"/>
    <cellStyle name="Currency 4 2 2 10 3 2" xfId="6368"/>
    <cellStyle name="Currency 4 2 2 10 4" xfId="6369"/>
    <cellStyle name="Currency 4 2 2 10 4 2" xfId="6370"/>
    <cellStyle name="Currency 4 2 2 10 5" xfId="6371"/>
    <cellStyle name="Currency 4 2 2 10 6" xfId="6372"/>
    <cellStyle name="Currency 4 2 2 11" xfId="6373"/>
    <cellStyle name="Currency 4 2 2 11 2" xfId="6374"/>
    <cellStyle name="Currency 4 2 2 11 2 2" xfId="6375"/>
    <cellStyle name="Currency 4 2 2 11 3" xfId="6376"/>
    <cellStyle name="Currency 4 2 2 11 3 2" xfId="6377"/>
    <cellStyle name="Currency 4 2 2 11 4" xfId="6378"/>
    <cellStyle name="Currency 4 2 2 11 5" xfId="6379"/>
    <cellStyle name="Currency 4 2 2 12" xfId="6380"/>
    <cellStyle name="Currency 4 2 2 12 2" xfId="6381"/>
    <cellStyle name="Currency 4 2 2 13" xfId="6382"/>
    <cellStyle name="Currency 4 2 2 13 2" xfId="6383"/>
    <cellStyle name="Currency 4 2 2 14" xfId="6384"/>
    <cellStyle name="Currency 4 2 2 14 2" xfId="6385"/>
    <cellStyle name="Currency 4 2 2 15" xfId="6386"/>
    <cellStyle name="Currency 4 2 2 16" xfId="6387"/>
    <cellStyle name="Currency 4 2 2 2" xfId="6388"/>
    <cellStyle name="Currency 4 2 2 2 10" xfId="6389"/>
    <cellStyle name="Currency 4 2 2 2 10 2" xfId="6390"/>
    <cellStyle name="Currency 4 2 2 2 11" xfId="6391"/>
    <cellStyle name="Currency 4 2 2 2 11 2" xfId="6392"/>
    <cellStyle name="Currency 4 2 2 2 12" xfId="6393"/>
    <cellStyle name="Currency 4 2 2 2 13" xfId="6394"/>
    <cellStyle name="Currency 4 2 2 2 2" xfId="6395"/>
    <cellStyle name="Currency 4 2 2 2 2 10" xfId="6396"/>
    <cellStyle name="Currency 4 2 2 2 2 11" xfId="6397"/>
    <cellStyle name="Currency 4 2 2 2 2 2" xfId="6398"/>
    <cellStyle name="Currency 4 2 2 2 2 2 2" xfId="6399"/>
    <cellStyle name="Currency 4 2 2 2 2 2 2 2" xfId="6400"/>
    <cellStyle name="Currency 4 2 2 2 2 2 3" xfId="6401"/>
    <cellStyle name="Currency 4 2 2 2 2 2 3 2" xfId="6402"/>
    <cellStyle name="Currency 4 2 2 2 2 2 4" xfId="6403"/>
    <cellStyle name="Currency 4 2 2 2 2 2 4 2" xfId="6404"/>
    <cellStyle name="Currency 4 2 2 2 2 2 5" xfId="6405"/>
    <cellStyle name="Currency 4 2 2 2 2 2 6" xfId="6406"/>
    <cellStyle name="Currency 4 2 2 2 2 3" xfId="6407"/>
    <cellStyle name="Currency 4 2 2 2 2 3 2" xfId="6408"/>
    <cellStyle name="Currency 4 2 2 2 2 3 2 2" xfId="6409"/>
    <cellStyle name="Currency 4 2 2 2 2 3 3" xfId="6410"/>
    <cellStyle name="Currency 4 2 2 2 2 3 3 2" xfId="6411"/>
    <cellStyle name="Currency 4 2 2 2 2 3 4" xfId="6412"/>
    <cellStyle name="Currency 4 2 2 2 2 3 4 2" xfId="6413"/>
    <cellStyle name="Currency 4 2 2 2 2 3 5" xfId="6414"/>
    <cellStyle name="Currency 4 2 2 2 2 3 6" xfId="6415"/>
    <cellStyle name="Currency 4 2 2 2 2 4" xfId="6416"/>
    <cellStyle name="Currency 4 2 2 2 2 4 2" xfId="6417"/>
    <cellStyle name="Currency 4 2 2 2 2 4 2 2" xfId="6418"/>
    <cellStyle name="Currency 4 2 2 2 2 4 3" xfId="6419"/>
    <cellStyle name="Currency 4 2 2 2 2 4 3 2" xfId="6420"/>
    <cellStyle name="Currency 4 2 2 2 2 4 4" xfId="6421"/>
    <cellStyle name="Currency 4 2 2 2 2 4 4 2" xfId="6422"/>
    <cellStyle name="Currency 4 2 2 2 2 4 5" xfId="6423"/>
    <cellStyle name="Currency 4 2 2 2 2 4 6" xfId="6424"/>
    <cellStyle name="Currency 4 2 2 2 2 5" xfId="6425"/>
    <cellStyle name="Currency 4 2 2 2 2 5 2" xfId="6426"/>
    <cellStyle name="Currency 4 2 2 2 2 5 2 2" xfId="6427"/>
    <cellStyle name="Currency 4 2 2 2 2 5 3" xfId="6428"/>
    <cellStyle name="Currency 4 2 2 2 2 5 3 2" xfId="6429"/>
    <cellStyle name="Currency 4 2 2 2 2 5 4" xfId="6430"/>
    <cellStyle name="Currency 4 2 2 2 2 5 4 2" xfId="6431"/>
    <cellStyle name="Currency 4 2 2 2 2 5 5" xfId="6432"/>
    <cellStyle name="Currency 4 2 2 2 2 5 6" xfId="6433"/>
    <cellStyle name="Currency 4 2 2 2 2 6" xfId="6434"/>
    <cellStyle name="Currency 4 2 2 2 2 6 2" xfId="6435"/>
    <cellStyle name="Currency 4 2 2 2 2 6 2 2" xfId="6436"/>
    <cellStyle name="Currency 4 2 2 2 2 6 3" xfId="6437"/>
    <cellStyle name="Currency 4 2 2 2 2 6 3 2" xfId="6438"/>
    <cellStyle name="Currency 4 2 2 2 2 6 4" xfId="6439"/>
    <cellStyle name="Currency 4 2 2 2 2 6 5" xfId="6440"/>
    <cellStyle name="Currency 4 2 2 2 2 7" xfId="6441"/>
    <cellStyle name="Currency 4 2 2 2 2 7 2" xfId="6442"/>
    <cellStyle name="Currency 4 2 2 2 2 8" xfId="6443"/>
    <cellStyle name="Currency 4 2 2 2 2 8 2" xfId="6444"/>
    <cellStyle name="Currency 4 2 2 2 2 9" xfId="6445"/>
    <cellStyle name="Currency 4 2 2 2 2 9 2" xfId="6446"/>
    <cellStyle name="Currency 4 2 2 2 3" xfId="6447"/>
    <cellStyle name="Currency 4 2 2 2 3 10" xfId="6448"/>
    <cellStyle name="Currency 4 2 2 2 3 2" xfId="6449"/>
    <cellStyle name="Currency 4 2 2 2 3 2 2" xfId="6450"/>
    <cellStyle name="Currency 4 2 2 2 3 2 2 2" xfId="6451"/>
    <cellStyle name="Currency 4 2 2 2 3 2 3" xfId="6452"/>
    <cellStyle name="Currency 4 2 2 2 3 2 3 2" xfId="6453"/>
    <cellStyle name="Currency 4 2 2 2 3 2 4" xfId="6454"/>
    <cellStyle name="Currency 4 2 2 2 3 2 4 2" xfId="6455"/>
    <cellStyle name="Currency 4 2 2 2 3 2 5" xfId="6456"/>
    <cellStyle name="Currency 4 2 2 2 3 2 6" xfId="6457"/>
    <cellStyle name="Currency 4 2 2 2 3 3" xfId="6458"/>
    <cellStyle name="Currency 4 2 2 2 3 3 2" xfId="6459"/>
    <cellStyle name="Currency 4 2 2 2 3 3 2 2" xfId="6460"/>
    <cellStyle name="Currency 4 2 2 2 3 3 3" xfId="6461"/>
    <cellStyle name="Currency 4 2 2 2 3 3 3 2" xfId="6462"/>
    <cellStyle name="Currency 4 2 2 2 3 3 4" xfId="6463"/>
    <cellStyle name="Currency 4 2 2 2 3 3 4 2" xfId="6464"/>
    <cellStyle name="Currency 4 2 2 2 3 3 5" xfId="6465"/>
    <cellStyle name="Currency 4 2 2 2 3 3 6" xfId="6466"/>
    <cellStyle name="Currency 4 2 2 2 3 4" xfId="6467"/>
    <cellStyle name="Currency 4 2 2 2 3 4 2" xfId="6468"/>
    <cellStyle name="Currency 4 2 2 2 3 4 2 2" xfId="6469"/>
    <cellStyle name="Currency 4 2 2 2 3 4 3" xfId="6470"/>
    <cellStyle name="Currency 4 2 2 2 3 4 3 2" xfId="6471"/>
    <cellStyle name="Currency 4 2 2 2 3 4 4" xfId="6472"/>
    <cellStyle name="Currency 4 2 2 2 3 4 4 2" xfId="6473"/>
    <cellStyle name="Currency 4 2 2 2 3 4 5" xfId="6474"/>
    <cellStyle name="Currency 4 2 2 2 3 4 6" xfId="6475"/>
    <cellStyle name="Currency 4 2 2 2 3 5" xfId="6476"/>
    <cellStyle name="Currency 4 2 2 2 3 5 2" xfId="6477"/>
    <cellStyle name="Currency 4 2 2 2 3 5 2 2" xfId="6478"/>
    <cellStyle name="Currency 4 2 2 2 3 5 3" xfId="6479"/>
    <cellStyle name="Currency 4 2 2 2 3 5 3 2" xfId="6480"/>
    <cellStyle name="Currency 4 2 2 2 3 5 4" xfId="6481"/>
    <cellStyle name="Currency 4 2 2 2 3 5 5" xfId="6482"/>
    <cellStyle name="Currency 4 2 2 2 3 6" xfId="6483"/>
    <cellStyle name="Currency 4 2 2 2 3 6 2" xfId="6484"/>
    <cellStyle name="Currency 4 2 2 2 3 7" xfId="6485"/>
    <cellStyle name="Currency 4 2 2 2 3 7 2" xfId="6486"/>
    <cellStyle name="Currency 4 2 2 2 3 8" xfId="6487"/>
    <cellStyle name="Currency 4 2 2 2 3 8 2" xfId="6488"/>
    <cellStyle name="Currency 4 2 2 2 3 9" xfId="6489"/>
    <cellStyle name="Currency 4 2 2 2 4" xfId="6490"/>
    <cellStyle name="Currency 4 2 2 2 4 10" xfId="6491"/>
    <cellStyle name="Currency 4 2 2 2 4 2" xfId="6492"/>
    <cellStyle name="Currency 4 2 2 2 4 2 2" xfId="6493"/>
    <cellStyle name="Currency 4 2 2 2 4 2 2 2" xfId="6494"/>
    <cellStyle name="Currency 4 2 2 2 4 2 3" xfId="6495"/>
    <cellStyle name="Currency 4 2 2 2 4 2 3 2" xfId="6496"/>
    <cellStyle name="Currency 4 2 2 2 4 2 4" xfId="6497"/>
    <cellStyle name="Currency 4 2 2 2 4 2 4 2" xfId="6498"/>
    <cellStyle name="Currency 4 2 2 2 4 2 5" xfId="6499"/>
    <cellStyle name="Currency 4 2 2 2 4 2 6" xfId="6500"/>
    <cellStyle name="Currency 4 2 2 2 4 3" xfId="6501"/>
    <cellStyle name="Currency 4 2 2 2 4 3 2" xfId="6502"/>
    <cellStyle name="Currency 4 2 2 2 4 3 2 2" xfId="6503"/>
    <cellStyle name="Currency 4 2 2 2 4 3 3" xfId="6504"/>
    <cellStyle name="Currency 4 2 2 2 4 3 3 2" xfId="6505"/>
    <cellStyle name="Currency 4 2 2 2 4 3 4" xfId="6506"/>
    <cellStyle name="Currency 4 2 2 2 4 3 4 2" xfId="6507"/>
    <cellStyle name="Currency 4 2 2 2 4 3 5" xfId="6508"/>
    <cellStyle name="Currency 4 2 2 2 4 3 6" xfId="6509"/>
    <cellStyle name="Currency 4 2 2 2 4 4" xfId="6510"/>
    <cellStyle name="Currency 4 2 2 2 4 4 2" xfId="6511"/>
    <cellStyle name="Currency 4 2 2 2 4 4 2 2" xfId="6512"/>
    <cellStyle name="Currency 4 2 2 2 4 4 3" xfId="6513"/>
    <cellStyle name="Currency 4 2 2 2 4 4 3 2" xfId="6514"/>
    <cellStyle name="Currency 4 2 2 2 4 4 4" xfId="6515"/>
    <cellStyle name="Currency 4 2 2 2 4 4 4 2" xfId="6516"/>
    <cellStyle name="Currency 4 2 2 2 4 4 5" xfId="6517"/>
    <cellStyle name="Currency 4 2 2 2 4 4 6" xfId="6518"/>
    <cellStyle name="Currency 4 2 2 2 4 5" xfId="6519"/>
    <cellStyle name="Currency 4 2 2 2 4 5 2" xfId="6520"/>
    <cellStyle name="Currency 4 2 2 2 4 5 2 2" xfId="6521"/>
    <cellStyle name="Currency 4 2 2 2 4 5 3" xfId="6522"/>
    <cellStyle name="Currency 4 2 2 2 4 5 3 2" xfId="6523"/>
    <cellStyle name="Currency 4 2 2 2 4 5 4" xfId="6524"/>
    <cellStyle name="Currency 4 2 2 2 4 5 5" xfId="6525"/>
    <cellStyle name="Currency 4 2 2 2 4 6" xfId="6526"/>
    <cellStyle name="Currency 4 2 2 2 4 6 2" xfId="6527"/>
    <cellStyle name="Currency 4 2 2 2 4 7" xfId="6528"/>
    <cellStyle name="Currency 4 2 2 2 4 7 2" xfId="6529"/>
    <cellStyle name="Currency 4 2 2 2 4 8" xfId="6530"/>
    <cellStyle name="Currency 4 2 2 2 4 8 2" xfId="6531"/>
    <cellStyle name="Currency 4 2 2 2 4 9" xfId="6532"/>
    <cellStyle name="Currency 4 2 2 2 5" xfId="6533"/>
    <cellStyle name="Currency 4 2 2 2 5 2" xfId="6534"/>
    <cellStyle name="Currency 4 2 2 2 5 2 2" xfId="6535"/>
    <cellStyle name="Currency 4 2 2 2 5 3" xfId="6536"/>
    <cellStyle name="Currency 4 2 2 2 5 3 2" xfId="6537"/>
    <cellStyle name="Currency 4 2 2 2 5 4" xfId="6538"/>
    <cellStyle name="Currency 4 2 2 2 5 4 2" xfId="6539"/>
    <cellStyle name="Currency 4 2 2 2 5 5" xfId="6540"/>
    <cellStyle name="Currency 4 2 2 2 5 6" xfId="6541"/>
    <cellStyle name="Currency 4 2 2 2 6" xfId="6542"/>
    <cellStyle name="Currency 4 2 2 2 6 2" xfId="6543"/>
    <cellStyle name="Currency 4 2 2 2 6 2 2" xfId="6544"/>
    <cellStyle name="Currency 4 2 2 2 6 3" xfId="6545"/>
    <cellStyle name="Currency 4 2 2 2 6 3 2" xfId="6546"/>
    <cellStyle name="Currency 4 2 2 2 6 4" xfId="6547"/>
    <cellStyle name="Currency 4 2 2 2 6 4 2" xfId="6548"/>
    <cellStyle name="Currency 4 2 2 2 6 5" xfId="6549"/>
    <cellStyle name="Currency 4 2 2 2 6 6" xfId="6550"/>
    <cellStyle name="Currency 4 2 2 2 7" xfId="6551"/>
    <cellStyle name="Currency 4 2 2 2 7 2" xfId="6552"/>
    <cellStyle name="Currency 4 2 2 2 7 2 2" xfId="6553"/>
    <cellStyle name="Currency 4 2 2 2 7 3" xfId="6554"/>
    <cellStyle name="Currency 4 2 2 2 7 3 2" xfId="6555"/>
    <cellStyle name="Currency 4 2 2 2 7 4" xfId="6556"/>
    <cellStyle name="Currency 4 2 2 2 7 4 2" xfId="6557"/>
    <cellStyle name="Currency 4 2 2 2 7 5" xfId="6558"/>
    <cellStyle name="Currency 4 2 2 2 7 6" xfId="6559"/>
    <cellStyle name="Currency 4 2 2 2 8" xfId="6560"/>
    <cellStyle name="Currency 4 2 2 2 8 2" xfId="6561"/>
    <cellStyle name="Currency 4 2 2 2 8 2 2" xfId="6562"/>
    <cellStyle name="Currency 4 2 2 2 8 3" xfId="6563"/>
    <cellStyle name="Currency 4 2 2 2 8 3 2" xfId="6564"/>
    <cellStyle name="Currency 4 2 2 2 8 4" xfId="6565"/>
    <cellStyle name="Currency 4 2 2 2 8 5" xfId="6566"/>
    <cellStyle name="Currency 4 2 2 2 9" xfId="6567"/>
    <cellStyle name="Currency 4 2 2 2 9 2" xfId="6568"/>
    <cellStyle name="Currency 4 2 2 3" xfId="6569"/>
    <cellStyle name="Currency 4 2 2 3 10" xfId="6570"/>
    <cellStyle name="Currency 4 2 2 3 10 2" xfId="6571"/>
    <cellStyle name="Currency 4 2 2 3 11" xfId="6572"/>
    <cellStyle name="Currency 4 2 2 3 11 2" xfId="6573"/>
    <cellStyle name="Currency 4 2 2 3 12" xfId="6574"/>
    <cellStyle name="Currency 4 2 2 3 13" xfId="6575"/>
    <cellStyle name="Currency 4 2 2 3 2" xfId="6576"/>
    <cellStyle name="Currency 4 2 2 3 2 10" xfId="6577"/>
    <cellStyle name="Currency 4 2 2 3 2 11" xfId="6578"/>
    <cellStyle name="Currency 4 2 2 3 2 2" xfId="6579"/>
    <cellStyle name="Currency 4 2 2 3 2 2 2" xfId="6580"/>
    <cellStyle name="Currency 4 2 2 3 2 2 2 2" xfId="6581"/>
    <cellStyle name="Currency 4 2 2 3 2 2 3" xfId="6582"/>
    <cellStyle name="Currency 4 2 2 3 2 2 3 2" xfId="6583"/>
    <cellStyle name="Currency 4 2 2 3 2 2 4" xfId="6584"/>
    <cellStyle name="Currency 4 2 2 3 2 2 4 2" xfId="6585"/>
    <cellStyle name="Currency 4 2 2 3 2 2 5" xfId="6586"/>
    <cellStyle name="Currency 4 2 2 3 2 2 6" xfId="6587"/>
    <cellStyle name="Currency 4 2 2 3 2 3" xfId="6588"/>
    <cellStyle name="Currency 4 2 2 3 2 3 2" xfId="6589"/>
    <cellStyle name="Currency 4 2 2 3 2 3 2 2" xfId="6590"/>
    <cellStyle name="Currency 4 2 2 3 2 3 3" xfId="6591"/>
    <cellStyle name="Currency 4 2 2 3 2 3 3 2" xfId="6592"/>
    <cellStyle name="Currency 4 2 2 3 2 3 4" xfId="6593"/>
    <cellStyle name="Currency 4 2 2 3 2 3 4 2" xfId="6594"/>
    <cellStyle name="Currency 4 2 2 3 2 3 5" xfId="6595"/>
    <cellStyle name="Currency 4 2 2 3 2 3 6" xfId="6596"/>
    <cellStyle name="Currency 4 2 2 3 2 4" xfId="6597"/>
    <cellStyle name="Currency 4 2 2 3 2 4 2" xfId="6598"/>
    <cellStyle name="Currency 4 2 2 3 2 4 2 2" xfId="6599"/>
    <cellStyle name="Currency 4 2 2 3 2 4 3" xfId="6600"/>
    <cellStyle name="Currency 4 2 2 3 2 4 3 2" xfId="6601"/>
    <cellStyle name="Currency 4 2 2 3 2 4 4" xfId="6602"/>
    <cellStyle name="Currency 4 2 2 3 2 4 4 2" xfId="6603"/>
    <cellStyle name="Currency 4 2 2 3 2 4 5" xfId="6604"/>
    <cellStyle name="Currency 4 2 2 3 2 4 6" xfId="6605"/>
    <cellStyle name="Currency 4 2 2 3 2 5" xfId="6606"/>
    <cellStyle name="Currency 4 2 2 3 2 5 2" xfId="6607"/>
    <cellStyle name="Currency 4 2 2 3 2 5 2 2" xfId="6608"/>
    <cellStyle name="Currency 4 2 2 3 2 5 3" xfId="6609"/>
    <cellStyle name="Currency 4 2 2 3 2 5 3 2" xfId="6610"/>
    <cellStyle name="Currency 4 2 2 3 2 5 4" xfId="6611"/>
    <cellStyle name="Currency 4 2 2 3 2 5 4 2" xfId="6612"/>
    <cellStyle name="Currency 4 2 2 3 2 5 5" xfId="6613"/>
    <cellStyle name="Currency 4 2 2 3 2 5 6" xfId="6614"/>
    <cellStyle name="Currency 4 2 2 3 2 6" xfId="6615"/>
    <cellStyle name="Currency 4 2 2 3 2 6 2" xfId="6616"/>
    <cellStyle name="Currency 4 2 2 3 2 6 2 2" xfId="6617"/>
    <cellStyle name="Currency 4 2 2 3 2 6 3" xfId="6618"/>
    <cellStyle name="Currency 4 2 2 3 2 6 3 2" xfId="6619"/>
    <cellStyle name="Currency 4 2 2 3 2 6 4" xfId="6620"/>
    <cellStyle name="Currency 4 2 2 3 2 6 5" xfId="6621"/>
    <cellStyle name="Currency 4 2 2 3 2 7" xfId="6622"/>
    <cellStyle name="Currency 4 2 2 3 2 7 2" xfId="6623"/>
    <cellStyle name="Currency 4 2 2 3 2 8" xfId="6624"/>
    <cellStyle name="Currency 4 2 2 3 2 8 2" xfId="6625"/>
    <cellStyle name="Currency 4 2 2 3 2 9" xfId="6626"/>
    <cellStyle name="Currency 4 2 2 3 2 9 2" xfId="6627"/>
    <cellStyle name="Currency 4 2 2 3 3" xfId="6628"/>
    <cellStyle name="Currency 4 2 2 3 3 10" xfId="6629"/>
    <cellStyle name="Currency 4 2 2 3 3 2" xfId="6630"/>
    <cellStyle name="Currency 4 2 2 3 3 2 2" xfId="6631"/>
    <cellStyle name="Currency 4 2 2 3 3 2 2 2" xfId="6632"/>
    <cellStyle name="Currency 4 2 2 3 3 2 3" xfId="6633"/>
    <cellStyle name="Currency 4 2 2 3 3 2 3 2" xfId="6634"/>
    <cellStyle name="Currency 4 2 2 3 3 2 4" xfId="6635"/>
    <cellStyle name="Currency 4 2 2 3 3 2 4 2" xfId="6636"/>
    <cellStyle name="Currency 4 2 2 3 3 2 5" xfId="6637"/>
    <cellStyle name="Currency 4 2 2 3 3 2 6" xfId="6638"/>
    <cellStyle name="Currency 4 2 2 3 3 3" xfId="6639"/>
    <cellStyle name="Currency 4 2 2 3 3 3 2" xfId="6640"/>
    <cellStyle name="Currency 4 2 2 3 3 3 2 2" xfId="6641"/>
    <cellStyle name="Currency 4 2 2 3 3 3 3" xfId="6642"/>
    <cellStyle name="Currency 4 2 2 3 3 3 3 2" xfId="6643"/>
    <cellStyle name="Currency 4 2 2 3 3 3 4" xfId="6644"/>
    <cellStyle name="Currency 4 2 2 3 3 3 4 2" xfId="6645"/>
    <cellStyle name="Currency 4 2 2 3 3 3 5" xfId="6646"/>
    <cellStyle name="Currency 4 2 2 3 3 3 6" xfId="6647"/>
    <cellStyle name="Currency 4 2 2 3 3 4" xfId="6648"/>
    <cellStyle name="Currency 4 2 2 3 3 4 2" xfId="6649"/>
    <cellStyle name="Currency 4 2 2 3 3 4 2 2" xfId="6650"/>
    <cellStyle name="Currency 4 2 2 3 3 4 3" xfId="6651"/>
    <cellStyle name="Currency 4 2 2 3 3 4 3 2" xfId="6652"/>
    <cellStyle name="Currency 4 2 2 3 3 4 4" xfId="6653"/>
    <cellStyle name="Currency 4 2 2 3 3 4 4 2" xfId="6654"/>
    <cellStyle name="Currency 4 2 2 3 3 4 5" xfId="6655"/>
    <cellStyle name="Currency 4 2 2 3 3 4 6" xfId="6656"/>
    <cellStyle name="Currency 4 2 2 3 3 5" xfId="6657"/>
    <cellStyle name="Currency 4 2 2 3 3 5 2" xfId="6658"/>
    <cellStyle name="Currency 4 2 2 3 3 5 2 2" xfId="6659"/>
    <cellStyle name="Currency 4 2 2 3 3 5 3" xfId="6660"/>
    <cellStyle name="Currency 4 2 2 3 3 5 3 2" xfId="6661"/>
    <cellStyle name="Currency 4 2 2 3 3 5 4" xfId="6662"/>
    <cellStyle name="Currency 4 2 2 3 3 5 5" xfId="6663"/>
    <cellStyle name="Currency 4 2 2 3 3 6" xfId="6664"/>
    <cellStyle name="Currency 4 2 2 3 3 6 2" xfId="6665"/>
    <cellStyle name="Currency 4 2 2 3 3 7" xfId="6666"/>
    <cellStyle name="Currency 4 2 2 3 3 7 2" xfId="6667"/>
    <cellStyle name="Currency 4 2 2 3 3 8" xfId="6668"/>
    <cellStyle name="Currency 4 2 2 3 3 8 2" xfId="6669"/>
    <cellStyle name="Currency 4 2 2 3 3 9" xfId="6670"/>
    <cellStyle name="Currency 4 2 2 3 4" xfId="6671"/>
    <cellStyle name="Currency 4 2 2 3 4 10" xfId="6672"/>
    <cellStyle name="Currency 4 2 2 3 4 2" xfId="6673"/>
    <cellStyle name="Currency 4 2 2 3 4 2 2" xfId="6674"/>
    <cellStyle name="Currency 4 2 2 3 4 2 2 2" xfId="6675"/>
    <cellStyle name="Currency 4 2 2 3 4 2 3" xfId="6676"/>
    <cellStyle name="Currency 4 2 2 3 4 2 3 2" xfId="6677"/>
    <cellStyle name="Currency 4 2 2 3 4 2 4" xfId="6678"/>
    <cellStyle name="Currency 4 2 2 3 4 2 4 2" xfId="6679"/>
    <cellStyle name="Currency 4 2 2 3 4 2 5" xfId="6680"/>
    <cellStyle name="Currency 4 2 2 3 4 2 6" xfId="6681"/>
    <cellStyle name="Currency 4 2 2 3 4 3" xfId="6682"/>
    <cellStyle name="Currency 4 2 2 3 4 3 2" xfId="6683"/>
    <cellStyle name="Currency 4 2 2 3 4 3 2 2" xfId="6684"/>
    <cellStyle name="Currency 4 2 2 3 4 3 3" xfId="6685"/>
    <cellStyle name="Currency 4 2 2 3 4 3 3 2" xfId="6686"/>
    <cellStyle name="Currency 4 2 2 3 4 3 4" xfId="6687"/>
    <cellStyle name="Currency 4 2 2 3 4 3 4 2" xfId="6688"/>
    <cellStyle name="Currency 4 2 2 3 4 3 5" xfId="6689"/>
    <cellStyle name="Currency 4 2 2 3 4 3 6" xfId="6690"/>
    <cellStyle name="Currency 4 2 2 3 4 4" xfId="6691"/>
    <cellStyle name="Currency 4 2 2 3 4 4 2" xfId="6692"/>
    <cellStyle name="Currency 4 2 2 3 4 4 2 2" xfId="6693"/>
    <cellStyle name="Currency 4 2 2 3 4 4 3" xfId="6694"/>
    <cellStyle name="Currency 4 2 2 3 4 4 3 2" xfId="6695"/>
    <cellStyle name="Currency 4 2 2 3 4 4 4" xfId="6696"/>
    <cellStyle name="Currency 4 2 2 3 4 4 4 2" xfId="6697"/>
    <cellStyle name="Currency 4 2 2 3 4 4 5" xfId="6698"/>
    <cellStyle name="Currency 4 2 2 3 4 4 6" xfId="6699"/>
    <cellStyle name="Currency 4 2 2 3 4 5" xfId="6700"/>
    <cellStyle name="Currency 4 2 2 3 4 5 2" xfId="6701"/>
    <cellStyle name="Currency 4 2 2 3 4 5 2 2" xfId="6702"/>
    <cellStyle name="Currency 4 2 2 3 4 5 3" xfId="6703"/>
    <cellStyle name="Currency 4 2 2 3 4 5 3 2" xfId="6704"/>
    <cellStyle name="Currency 4 2 2 3 4 5 4" xfId="6705"/>
    <cellStyle name="Currency 4 2 2 3 4 5 5" xfId="6706"/>
    <cellStyle name="Currency 4 2 2 3 4 6" xfId="6707"/>
    <cellStyle name="Currency 4 2 2 3 4 6 2" xfId="6708"/>
    <cellStyle name="Currency 4 2 2 3 4 7" xfId="6709"/>
    <cellStyle name="Currency 4 2 2 3 4 7 2" xfId="6710"/>
    <cellStyle name="Currency 4 2 2 3 4 8" xfId="6711"/>
    <cellStyle name="Currency 4 2 2 3 4 8 2" xfId="6712"/>
    <cellStyle name="Currency 4 2 2 3 4 9" xfId="6713"/>
    <cellStyle name="Currency 4 2 2 3 5" xfId="6714"/>
    <cellStyle name="Currency 4 2 2 3 5 2" xfId="6715"/>
    <cellStyle name="Currency 4 2 2 3 5 2 2" xfId="6716"/>
    <cellStyle name="Currency 4 2 2 3 5 3" xfId="6717"/>
    <cellStyle name="Currency 4 2 2 3 5 3 2" xfId="6718"/>
    <cellStyle name="Currency 4 2 2 3 5 4" xfId="6719"/>
    <cellStyle name="Currency 4 2 2 3 5 4 2" xfId="6720"/>
    <cellStyle name="Currency 4 2 2 3 5 5" xfId="6721"/>
    <cellStyle name="Currency 4 2 2 3 5 6" xfId="6722"/>
    <cellStyle name="Currency 4 2 2 3 6" xfId="6723"/>
    <cellStyle name="Currency 4 2 2 3 6 2" xfId="6724"/>
    <cellStyle name="Currency 4 2 2 3 6 2 2" xfId="6725"/>
    <cellStyle name="Currency 4 2 2 3 6 3" xfId="6726"/>
    <cellStyle name="Currency 4 2 2 3 6 3 2" xfId="6727"/>
    <cellStyle name="Currency 4 2 2 3 6 4" xfId="6728"/>
    <cellStyle name="Currency 4 2 2 3 6 4 2" xfId="6729"/>
    <cellStyle name="Currency 4 2 2 3 6 5" xfId="6730"/>
    <cellStyle name="Currency 4 2 2 3 6 6" xfId="6731"/>
    <cellStyle name="Currency 4 2 2 3 7" xfId="6732"/>
    <cellStyle name="Currency 4 2 2 3 7 2" xfId="6733"/>
    <cellStyle name="Currency 4 2 2 3 7 2 2" xfId="6734"/>
    <cellStyle name="Currency 4 2 2 3 7 3" xfId="6735"/>
    <cellStyle name="Currency 4 2 2 3 7 3 2" xfId="6736"/>
    <cellStyle name="Currency 4 2 2 3 7 4" xfId="6737"/>
    <cellStyle name="Currency 4 2 2 3 7 4 2" xfId="6738"/>
    <cellStyle name="Currency 4 2 2 3 7 5" xfId="6739"/>
    <cellStyle name="Currency 4 2 2 3 7 6" xfId="6740"/>
    <cellStyle name="Currency 4 2 2 3 8" xfId="6741"/>
    <cellStyle name="Currency 4 2 2 3 8 2" xfId="6742"/>
    <cellStyle name="Currency 4 2 2 3 8 2 2" xfId="6743"/>
    <cellStyle name="Currency 4 2 2 3 8 3" xfId="6744"/>
    <cellStyle name="Currency 4 2 2 3 8 3 2" xfId="6745"/>
    <cellStyle name="Currency 4 2 2 3 8 4" xfId="6746"/>
    <cellStyle name="Currency 4 2 2 3 8 5" xfId="6747"/>
    <cellStyle name="Currency 4 2 2 3 9" xfId="6748"/>
    <cellStyle name="Currency 4 2 2 3 9 2" xfId="6749"/>
    <cellStyle name="Currency 4 2 2 4" xfId="6750"/>
    <cellStyle name="Currency 4 2 2 4 10" xfId="6751"/>
    <cellStyle name="Currency 4 2 2 4 10 2" xfId="6752"/>
    <cellStyle name="Currency 4 2 2 4 11" xfId="6753"/>
    <cellStyle name="Currency 4 2 2 4 12" xfId="6754"/>
    <cellStyle name="Currency 4 2 2 4 2" xfId="6755"/>
    <cellStyle name="Currency 4 2 2 4 2 10" xfId="6756"/>
    <cellStyle name="Currency 4 2 2 4 2 2" xfId="6757"/>
    <cellStyle name="Currency 4 2 2 4 2 2 2" xfId="6758"/>
    <cellStyle name="Currency 4 2 2 4 2 2 2 2" xfId="6759"/>
    <cellStyle name="Currency 4 2 2 4 2 2 3" xfId="6760"/>
    <cellStyle name="Currency 4 2 2 4 2 2 3 2" xfId="6761"/>
    <cellStyle name="Currency 4 2 2 4 2 2 4" xfId="6762"/>
    <cellStyle name="Currency 4 2 2 4 2 2 4 2" xfId="6763"/>
    <cellStyle name="Currency 4 2 2 4 2 2 5" xfId="6764"/>
    <cellStyle name="Currency 4 2 2 4 2 2 6" xfId="6765"/>
    <cellStyle name="Currency 4 2 2 4 2 3" xfId="6766"/>
    <cellStyle name="Currency 4 2 2 4 2 3 2" xfId="6767"/>
    <cellStyle name="Currency 4 2 2 4 2 3 2 2" xfId="6768"/>
    <cellStyle name="Currency 4 2 2 4 2 3 3" xfId="6769"/>
    <cellStyle name="Currency 4 2 2 4 2 3 3 2" xfId="6770"/>
    <cellStyle name="Currency 4 2 2 4 2 3 4" xfId="6771"/>
    <cellStyle name="Currency 4 2 2 4 2 3 4 2" xfId="6772"/>
    <cellStyle name="Currency 4 2 2 4 2 3 5" xfId="6773"/>
    <cellStyle name="Currency 4 2 2 4 2 3 6" xfId="6774"/>
    <cellStyle name="Currency 4 2 2 4 2 4" xfId="6775"/>
    <cellStyle name="Currency 4 2 2 4 2 4 2" xfId="6776"/>
    <cellStyle name="Currency 4 2 2 4 2 4 2 2" xfId="6777"/>
    <cellStyle name="Currency 4 2 2 4 2 4 3" xfId="6778"/>
    <cellStyle name="Currency 4 2 2 4 2 4 3 2" xfId="6779"/>
    <cellStyle name="Currency 4 2 2 4 2 4 4" xfId="6780"/>
    <cellStyle name="Currency 4 2 2 4 2 4 4 2" xfId="6781"/>
    <cellStyle name="Currency 4 2 2 4 2 4 5" xfId="6782"/>
    <cellStyle name="Currency 4 2 2 4 2 4 6" xfId="6783"/>
    <cellStyle name="Currency 4 2 2 4 2 5" xfId="6784"/>
    <cellStyle name="Currency 4 2 2 4 2 5 2" xfId="6785"/>
    <cellStyle name="Currency 4 2 2 4 2 5 2 2" xfId="6786"/>
    <cellStyle name="Currency 4 2 2 4 2 5 3" xfId="6787"/>
    <cellStyle name="Currency 4 2 2 4 2 5 3 2" xfId="6788"/>
    <cellStyle name="Currency 4 2 2 4 2 5 4" xfId="6789"/>
    <cellStyle name="Currency 4 2 2 4 2 5 5" xfId="6790"/>
    <cellStyle name="Currency 4 2 2 4 2 6" xfId="6791"/>
    <cellStyle name="Currency 4 2 2 4 2 6 2" xfId="6792"/>
    <cellStyle name="Currency 4 2 2 4 2 7" xfId="6793"/>
    <cellStyle name="Currency 4 2 2 4 2 7 2" xfId="6794"/>
    <cellStyle name="Currency 4 2 2 4 2 8" xfId="6795"/>
    <cellStyle name="Currency 4 2 2 4 2 8 2" xfId="6796"/>
    <cellStyle name="Currency 4 2 2 4 2 9" xfId="6797"/>
    <cellStyle name="Currency 4 2 2 4 3" xfId="6798"/>
    <cellStyle name="Currency 4 2 2 4 3 10" xfId="6799"/>
    <cellStyle name="Currency 4 2 2 4 3 2" xfId="6800"/>
    <cellStyle name="Currency 4 2 2 4 3 2 2" xfId="6801"/>
    <cellStyle name="Currency 4 2 2 4 3 2 2 2" xfId="6802"/>
    <cellStyle name="Currency 4 2 2 4 3 2 3" xfId="6803"/>
    <cellStyle name="Currency 4 2 2 4 3 2 3 2" xfId="6804"/>
    <cellStyle name="Currency 4 2 2 4 3 2 4" xfId="6805"/>
    <cellStyle name="Currency 4 2 2 4 3 2 4 2" xfId="6806"/>
    <cellStyle name="Currency 4 2 2 4 3 2 5" xfId="6807"/>
    <cellStyle name="Currency 4 2 2 4 3 2 6" xfId="6808"/>
    <cellStyle name="Currency 4 2 2 4 3 3" xfId="6809"/>
    <cellStyle name="Currency 4 2 2 4 3 3 2" xfId="6810"/>
    <cellStyle name="Currency 4 2 2 4 3 3 2 2" xfId="6811"/>
    <cellStyle name="Currency 4 2 2 4 3 3 3" xfId="6812"/>
    <cellStyle name="Currency 4 2 2 4 3 3 3 2" xfId="6813"/>
    <cellStyle name="Currency 4 2 2 4 3 3 4" xfId="6814"/>
    <cellStyle name="Currency 4 2 2 4 3 3 4 2" xfId="6815"/>
    <cellStyle name="Currency 4 2 2 4 3 3 5" xfId="6816"/>
    <cellStyle name="Currency 4 2 2 4 3 3 6" xfId="6817"/>
    <cellStyle name="Currency 4 2 2 4 3 4" xfId="6818"/>
    <cellStyle name="Currency 4 2 2 4 3 4 2" xfId="6819"/>
    <cellStyle name="Currency 4 2 2 4 3 4 2 2" xfId="6820"/>
    <cellStyle name="Currency 4 2 2 4 3 4 3" xfId="6821"/>
    <cellStyle name="Currency 4 2 2 4 3 4 3 2" xfId="6822"/>
    <cellStyle name="Currency 4 2 2 4 3 4 4" xfId="6823"/>
    <cellStyle name="Currency 4 2 2 4 3 4 4 2" xfId="6824"/>
    <cellStyle name="Currency 4 2 2 4 3 4 5" xfId="6825"/>
    <cellStyle name="Currency 4 2 2 4 3 4 6" xfId="6826"/>
    <cellStyle name="Currency 4 2 2 4 3 5" xfId="6827"/>
    <cellStyle name="Currency 4 2 2 4 3 5 2" xfId="6828"/>
    <cellStyle name="Currency 4 2 2 4 3 5 2 2" xfId="6829"/>
    <cellStyle name="Currency 4 2 2 4 3 5 3" xfId="6830"/>
    <cellStyle name="Currency 4 2 2 4 3 5 3 2" xfId="6831"/>
    <cellStyle name="Currency 4 2 2 4 3 5 4" xfId="6832"/>
    <cellStyle name="Currency 4 2 2 4 3 5 5" xfId="6833"/>
    <cellStyle name="Currency 4 2 2 4 3 6" xfId="6834"/>
    <cellStyle name="Currency 4 2 2 4 3 6 2" xfId="6835"/>
    <cellStyle name="Currency 4 2 2 4 3 7" xfId="6836"/>
    <cellStyle name="Currency 4 2 2 4 3 7 2" xfId="6837"/>
    <cellStyle name="Currency 4 2 2 4 3 8" xfId="6838"/>
    <cellStyle name="Currency 4 2 2 4 3 8 2" xfId="6839"/>
    <cellStyle name="Currency 4 2 2 4 3 9" xfId="6840"/>
    <cellStyle name="Currency 4 2 2 4 4" xfId="6841"/>
    <cellStyle name="Currency 4 2 2 4 4 2" xfId="6842"/>
    <cellStyle name="Currency 4 2 2 4 4 2 2" xfId="6843"/>
    <cellStyle name="Currency 4 2 2 4 4 3" xfId="6844"/>
    <cellStyle name="Currency 4 2 2 4 4 3 2" xfId="6845"/>
    <cellStyle name="Currency 4 2 2 4 4 4" xfId="6846"/>
    <cellStyle name="Currency 4 2 2 4 4 4 2" xfId="6847"/>
    <cellStyle name="Currency 4 2 2 4 4 5" xfId="6848"/>
    <cellStyle name="Currency 4 2 2 4 4 6" xfId="6849"/>
    <cellStyle name="Currency 4 2 2 4 5" xfId="6850"/>
    <cellStyle name="Currency 4 2 2 4 5 2" xfId="6851"/>
    <cellStyle name="Currency 4 2 2 4 5 2 2" xfId="6852"/>
    <cellStyle name="Currency 4 2 2 4 5 3" xfId="6853"/>
    <cellStyle name="Currency 4 2 2 4 5 3 2" xfId="6854"/>
    <cellStyle name="Currency 4 2 2 4 5 4" xfId="6855"/>
    <cellStyle name="Currency 4 2 2 4 5 4 2" xfId="6856"/>
    <cellStyle name="Currency 4 2 2 4 5 5" xfId="6857"/>
    <cellStyle name="Currency 4 2 2 4 5 6" xfId="6858"/>
    <cellStyle name="Currency 4 2 2 4 6" xfId="6859"/>
    <cellStyle name="Currency 4 2 2 4 6 2" xfId="6860"/>
    <cellStyle name="Currency 4 2 2 4 6 2 2" xfId="6861"/>
    <cellStyle name="Currency 4 2 2 4 6 3" xfId="6862"/>
    <cellStyle name="Currency 4 2 2 4 6 3 2" xfId="6863"/>
    <cellStyle name="Currency 4 2 2 4 6 4" xfId="6864"/>
    <cellStyle name="Currency 4 2 2 4 6 4 2" xfId="6865"/>
    <cellStyle name="Currency 4 2 2 4 6 5" xfId="6866"/>
    <cellStyle name="Currency 4 2 2 4 6 6" xfId="6867"/>
    <cellStyle name="Currency 4 2 2 4 7" xfId="6868"/>
    <cellStyle name="Currency 4 2 2 4 7 2" xfId="6869"/>
    <cellStyle name="Currency 4 2 2 4 7 2 2" xfId="6870"/>
    <cellStyle name="Currency 4 2 2 4 7 3" xfId="6871"/>
    <cellStyle name="Currency 4 2 2 4 7 3 2" xfId="6872"/>
    <cellStyle name="Currency 4 2 2 4 7 4" xfId="6873"/>
    <cellStyle name="Currency 4 2 2 4 7 5" xfId="6874"/>
    <cellStyle name="Currency 4 2 2 4 8" xfId="6875"/>
    <cellStyle name="Currency 4 2 2 4 8 2" xfId="6876"/>
    <cellStyle name="Currency 4 2 2 4 9" xfId="6877"/>
    <cellStyle name="Currency 4 2 2 4 9 2" xfId="6878"/>
    <cellStyle name="Currency 4 2 2 5" xfId="6879"/>
    <cellStyle name="Currency 4 2 2 5 10" xfId="6880"/>
    <cellStyle name="Currency 4 2 2 5 11" xfId="6881"/>
    <cellStyle name="Currency 4 2 2 5 2" xfId="6882"/>
    <cellStyle name="Currency 4 2 2 5 2 2" xfId="6883"/>
    <cellStyle name="Currency 4 2 2 5 2 2 2" xfId="6884"/>
    <cellStyle name="Currency 4 2 2 5 2 3" xfId="6885"/>
    <cellStyle name="Currency 4 2 2 5 2 3 2" xfId="6886"/>
    <cellStyle name="Currency 4 2 2 5 2 4" xfId="6887"/>
    <cellStyle name="Currency 4 2 2 5 2 4 2" xfId="6888"/>
    <cellStyle name="Currency 4 2 2 5 2 5" xfId="6889"/>
    <cellStyle name="Currency 4 2 2 5 2 6" xfId="6890"/>
    <cellStyle name="Currency 4 2 2 5 3" xfId="6891"/>
    <cellStyle name="Currency 4 2 2 5 3 2" xfId="6892"/>
    <cellStyle name="Currency 4 2 2 5 3 2 2" xfId="6893"/>
    <cellStyle name="Currency 4 2 2 5 3 3" xfId="6894"/>
    <cellStyle name="Currency 4 2 2 5 3 3 2" xfId="6895"/>
    <cellStyle name="Currency 4 2 2 5 3 4" xfId="6896"/>
    <cellStyle name="Currency 4 2 2 5 3 4 2" xfId="6897"/>
    <cellStyle name="Currency 4 2 2 5 3 5" xfId="6898"/>
    <cellStyle name="Currency 4 2 2 5 3 6" xfId="6899"/>
    <cellStyle name="Currency 4 2 2 5 4" xfId="6900"/>
    <cellStyle name="Currency 4 2 2 5 4 2" xfId="6901"/>
    <cellStyle name="Currency 4 2 2 5 4 2 2" xfId="6902"/>
    <cellStyle name="Currency 4 2 2 5 4 3" xfId="6903"/>
    <cellStyle name="Currency 4 2 2 5 4 3 2" xfId="6904"/>
    <cellStyle name="Currency 4 2 2 5 4 4" xfId="6905"/>
    <cellStyle name="Currency 4 2 2 5 4 4 2" xfId="6906"/>
    <cellStyle name="Currency 4 2 2 5 4 5" xfId="6907"/>
    <cellStyle name="Currency 4 2 2 5 4 6" xfId="6908"/>
    <cellStyle name="Currency 4 2 2 5 5" xfId="6909"/>
    <cellStyle name="Currency 4 2 2 5 5 2" xfId="6910"/>
    <cellStyle name="Currency 4 2 2 5 5 2 2" xfId="6911"/>
    <cellStyle name="Currency 4 2 2 5 5 3" xfId="6912"/>
    <cellStyle name="Currency 4 2 2 5 5 3 2" xfId="6913"/>
    <cellStyle name="Currency 4 2 2 5 5 4" xfId="6914"/>
    <cellStyle name="Currency 4 2 2 5 5 4 2" xfId="6915"/>
    <cellStyle name="Currency 4 2 2 5 5 5" xfId="6916"/>
    <cellStyle name="Currency 4 2 2 5 5 6" xfId="6917"/>
    <cellStyle name="Currency 4 2 2 5 6" xfId="6918"/>
    <cellStyle name="Currency 4 2 2 5 6 2" xfId="6919"/>
    <cellStyle name="Currency 4 2 2 5 6 2 2" xfId="6920"/>
    <cellStyle name="Currency 4 2 2 5 6 3" xfId="6921"/>
    <cellStyle name="Currency 4 2 2 5 6 3 2" xfId="6922"/>
    <cellStyle name="Currency 4 2 2 5 6 4" xfId="6923"/>
    <cellStyle name="Currency 4 2 2 5 6 5" xfId="6924"/>
    <cellStyle name="Currency 4 2 2 5 7" xfId="6925"/>
    <cellStyle name="Currency 4 2 2 5 7 2" xfId="6926"/>
    <cellStyle name="Currency 4 2 2 5 8" xfId="6927"/>
    <cellStyle name="Currency 4 2 2 5 8 2" xfId="6928"/>
    <cellStyle name="Currency 4 2 2 5 9" xfId="6929"/>
    <cellStyle name="Currency 4 2 2 5 9 2" xfId="6930"/>
    <cellStyle name="Currency 4 2 2 6" xfId="6931"/>
    <cellStyle name="Currency 4 2 2 6 10" xfId="6932"/>
    <cellStyle name="Currency 4 2 2 6 2" xfId="6933"/>
    <cellStyle name="Currency 4 2 2 6 2 2" xfId="6934"/>
    <cellStyle name="Currency 4 2 2 6 2 2 2" xfId="6935"/>
    <cellStyle name="Currency 4 2 2 6 2 3" xfId="6936"/>
    <cellStyle name="Currency 4 2 2 6 2 3 2" xfId="6937"/>
    <cellStyle name="Currency 4 2 2 6 2 4" xfId="6938"/>
    <cellStyle name="Currency 4 2 2 6 2 4 2" xfId="6939"/>
    <cellStyle name="Currency 4 2 2 6 2 5" xfId="6940"/>
    <cellStyle name="Currency 4 2 2 6 2 6" xfId="6941"/>
    <cellStyle name="Currency 4 2 2 6 3" xfId="6942"/>
    <cellStyle name="Currency 4 2 2 6 3 2" xfId="6943"/>
    <cellStyle name="Currency 4 2 2 6 3 2 2" xfId="6944"/>
    <cellStyle name="Currency 4 2 2 6 3 3" xfId="6945"/>
    <cellStyle name="Currency 4 2 2 6 3 3 2" xfId="6946"/>
    <cellStyle name="Currency 4 2 2 6 3 4" xfId="6947"/>
    <cellStyle name="Currency 4 2 2 6 3 4 2" xfId="6948"/>
    <cellStyle name="Currency 4 2 2 6 3 5" xfId="6949"/>
    <cellStyle name="Currency 4 2 2 6 3 6" xfId="6950"/>
    <cellStyle name="Currency 4 2 2 6 4" xfId="6951"/>
    <cellStyle name="Currency 4 2 2 6 4 2" xfId="6952"/>
    <cellStyle name="Currency 4 2 2 6 4 2 2" xfId="6953"/>
    <cellStyle name="Currency 4 2 2 6 4 3" xfId="6954"/>
    <cellStyle name="Currency 4 2 2 6 4 3 2" xfId="6955"/>
    <cellStyle name="Currency 4 2 2 6 4 4" xfId="6956"/>
    <cellStyle name="Currency 4 2 2 6 4 4 2" xfId="6957"/>
    <cellStyle name="Currency 4 2 2 6 4 5" xfId="6958"/>
    <cellStyle name="Currency 4 2 2 6 4 6" xfId="6959"/>
    <cellStyle name="Currency 4 2 2 6 5" xfId="6960"/>
    <cellStyle name="Currency 4 2 2 6 5 2" xfId="6961"/>
    <cellStyle name="Currency 4 2 2 6 5 2 2" xfId="6962"/>
    <cellStyle name="Currency 4 2 2 6 5 3" xfId="6963"/>
    <cellStyle name="Currency 4 2 2 6 5 3 2" xfId="6964"/>
    <cellStyle name="Currency 4 2 2 6 5 4" xfId="6965"/>
    <cellStyle name="Currency 4 2 2 6 5 5" xfId="6966"/>
    <cellStyle name="Currency 4 2 2 6 6" xfId="6967"/>
    <cellStyle name="Currency 4 2 2 6 6 2" xfId="6968"/>
    <cellStyle name="Currency 4 2 2 6 7" xfId="6969"/>
    <cellStyle name="Currency 4 2 2 6 7 2" xfId="6970"/>
    <cellStyle name="Currency 4 2 2 6 8" xfId="6971"/>
    <cellStyle name="Currency 4 2 2 6 8 2" xfId="6972"/>
    <cellStyle name="Currency 4 2 2 6 9" xfId="6973"/>
    <cellStyle name="Currency 4 2 2 7" xfId="6974"/>
    <cellStyle name="Currency 4 2 2 7 10" xfId="6975"/>
    <cellStyle name="Currency 4 2 2 7 2" xfId="6976"/>
    <cellStyle name="Currency 4 2 2 7 2 2" xfId="6977"/>
    <cellStyle name="Currency 4 2 2 7 2 2 2" xfId="6978"/>
    <cellStyle name="Currency 4 2 2 7 2 3" xfId="6979"/>
    <cellStyle name="Currency 4 2 2 7 2 3 2" xfId="6980"/>
    <cellStyle name="Currency 4 2 2 7 2 4" xfId="6981"/>
    <cellStyle name="Currency 4 2 2 7 2 4 2" xfId="6982"/>
    <cellStyle name="Currency 4 2 2 7 2 5" xfId="6983"/>
    <cellStyle name="Currency 4 2 2 7 2 6" xfId="6984"/>
    <cellStyle name="Currency 4 2 2 7 3" xfId="6985"/>
    <cellStyle name="Currency 4 2 2 7 3 2" xfId="6986"/>
    <cellStyle name="Currency 4 2 2 7 3 2 2" xfId="6987"/>
    <cellStyle name="Currency 4 2 2 7 3 3" xfId="6988"/>
    <cellStyle name="Currency 4 2 2 7 3 3 2" xfId="6989"/>
    <cellStyle name="Currency 4 2 2 7 3 4" xfId="6990"/>
    <cellStyle name="Currency 4 2 2 7 3 4 2" xfId="6991"/>
    <cellStyle name="Currency 4 2 2 7 3 5" xfId="6992"/>
    <cellStyle name="Currency 4 2 2 7 3 6" xfId="6993"/>
    <cellStyle name="Currency 4 2 2 7 4" xfId="6994"/>
    <cellStyle name="Currency 4 2 2 7 4 2" xfId="6995"/>
    <cellStyle name="Currency 4 2 2 7 4 2 2" xfId="6996"/>
    <cellStyle name="Currency 4 2 2 7 4 3" xfId="6997"/>
    <cellStyle name="Currency 4 2 2 7 4 3 2" xfId="6998"/>
    <cellStyle name="Currency 4 2 2 7 4 4" xfId="6999"/>
    <cellStyle name="Currency 4 2 2 7 4 4 2" xfId="7000"/>
    <cellStyle name="Currency 4 2 2 7 4 5" xfId="7001"/>
    <cellStyle name="Currency 4 2 2 7 4 6" xfId="7002"/>
    <cellStyle name="Currency 4 2 2 7 5" xfId="7003"/>
    <cellStyle name="Currency 4 2 2 7 5 2" xfId="7004"/>
    <cellStyle name="Currency 4 2 2 7 5 2 2" xfId="7005"/>
    <cellStyle name="Currency 4 2 2 7 5 3" xfId="7006"/>
    <cellStyle name="Currency 4 2 2 7 5 3 2" xfId="7007"/>
    <cellStyle name="Currency 4 2 2 7 5 4" xfId="7008"/>
    <cellStyle name="Currency 4 2 2 7 5 5" xfId="7009"/>
    <cellStyle name="Currency 4 2 2 7 6" xfId="7010"/>
    <cellStyle name="Currency 4 2 2 7 6 2" xfId="7011"/>
    <cellStyle name="Currency 4 2 2 7 7" xfId="7012"/>
    <cellStyle name="Currency 4 2 2 7 7 2" xfId="7013"/>
    <cellStyle name="Currency 4 2 2 7 8" xfId="7014"/>
    <cellStyle name="Currency 4 2 2 7 8 2" xfId="7015"/>
    <cellStyle name="Currency 4 2 2 7 9" xfId="7016"/>
    <cellStyle name="Currency 4 2 2 8" xfId="7017"/>
    <cellStyle name="Currency 4 2 2 8 2" xfId="7018"/>
    <cellStyle name="Currency 4 2 2 8 2 2" xfId="7019"/>
    <cellStyle name="Currency 4 2 2 8 3" xfId="7020"/>
    <cellStyle name="Currency 4 2 2 8 3 2" xfId="7021"/>
    <cellStyle name="Currency 4 2 2 8 4" xfId="7022"/>
    <cellStyle name="Currency 4 2 2 8 4 2" xfId="7023"/>
    <cellStyle name="Currency 4 2 2 8 5" xfId="7024"/>
    <cellStyle name="Currency 4 2 2 8 6" xfId="7025"/>
    <cellStyle name="Currency 4 2 2 9" xfId="7026"/>
    <cellStyle name="Currency 4 2 2 9 2" xfId="7027"/>
    <cellStyle name="Currency 4 2 2 9 2 2" xfId="7028"/>
    <cellStyle name="Currency 4 2 2 9 3" xfId="7029"/>
    <cellStyle name="Currency 4 2 2 9 3 2" xfId="7030"/>
    <cellStyle name="Currency 4 2 2 9 4" xfId="7031"/>
    <cellStyle name="Currency 4 2 2 9 4 2" xfId="7032"/>
    <cellStyle name="Currency 4 2 2 9 5" xfId="7033"/>
    <cellStyle name="Currency 4 2 2 9 6" xfId="7034"/>
    <cellStyle name="Currency 4 2 3" xfId="7035"/>
    <cellStyle name="Currency 4 2 3 10" xfId="7036"/>
    <cellStyle name="Currency 4 2 3 10 2" xfId="7037"/>
    <cellStyle name="Currency 4 2 3 11" xfId="7038"/>
    <cellStyle name="Currency 4 2 3 11 2" xfId="7039"/>
    <cellStyle name="Currency 4 2 3 12" xfId="7040"/>
    <cellStyle name="Currency 4 2 3 13" xfId="7041"/>
    <cellStyle name="Currency 4 2 3 2" xfId="7042"/>
    <cellStyle name="Currency 4 2 3 2 10" xfId="7043"/>
    <cellStyle name="Currency 4 2 3 2 11" xfId="7044"/>
    <cellStyle name="Currency 4 2 3 2 2" xfId="7045"/>
    <cellStyle name="Currency 4 2 3 2 2 2" xfId="7046"/>
    <cellStyle name="Currency 4 2 3 2 2 2 2" xfId="7047"/>
    <cellStyle name="Currency 4 2 3 2 2 3" xfId="7048"/>
    <cellStyle name="Currency 4 2 3 2 2 3 2" xfId="7049"/>
    <cellStyle name="Currency 4 2 3 2 2 4" xfId="7050"/>
    <cellStyle name="Currency 4 2 3 2 2 4 2" xfId="7051"/>
    <cellStyle name="Currency 4 2 3 2 2 5" xfId="7052"/>
    <cellStyle name="Currency 4 2 3 2 2 6" xfId="7053"/>
    <cellStyle name="Currency 4 2 3 2 3" xfId="7054"/>
    <cellStyle name="Currency 4 2 3 2 3 2" xfId="7055"/>
    <cellStyle name="Currency 4 2 3 2 3 2 2" xfId="7056"/>
    <cellStyle name="Currency 4 2 3 2 3 3" xfId="7057"/>
    <cellStyle name="Currency 4 2 3 2 3 3 2" xfId="7058"/>
    <cellStyle name="Currency 4 2 3 2 3 4" xfId="7059"/>
    <cellStyle name="Currency 4 2 3 2 3 4 2" xfId="7060"/>
    <cellStyle name="Currency 4 2 3 2 3 5" xfId="7061"/>
    <cellStyle name="Currency 4 2 3 2 3 6" xfId="7062"/>
    <cellStyle name="Currency 4 2 3 2 4" xfId="7063"/>
    <cellStyle name="Currency 4 2 3 2 4 2" xfId="7064"/>
    <cellStyle name="Currency 4 2 3 2 4 2 2" xfId="7065"/>
    <cellStyle name="Currency 4 2 3 2 4 3" xfId="7066"/>
    <cellStyle name="Currency 4 2 3 2 4 3 2" xfId="7067"/>
    <cellStyle name="Currency 4 2 3 2 4 4" xfId="7068"/>
    <cellStyle name="Currency 4 2 3 2 4 4 2" xfId="7069"/>
    <cellStyle name="Currency 4 2 3 2 4 5" xfId="7070"/>
    <cellStyle name="Currency 4 2 3 2 4 6" xfId="7071"/>
    <cellStyle name="Currency 4 2 3 2 5" xfId="7072"/>
    <cellStyle name="Currency 4 2 3 2 5 2" xfId="7073"/>
    <cellStyle name="Currency 4 2 3 2 5 2 2" xfId="7074"/>
    <cellStyle name="Currency 4 2 3 2 5 3" xfId="7075"/>
    <cellStyle name="Currency 4 2 3 2 5 3 2" xfId="7076"/>
    <cellStyle name="Currency 4 2 3 2 5 4" xfId="7077"/>
    <cellStyle name="Currency 4 2 3 2 5 4 2" xfId="7078"/>
    <cellStyle name="Currency 4 2 3 2 5 5" xfId="7079"/>
    <cellStyle name="Currency 4 2 3 2 5 6" xfId="7080"/>
    <cellStyle name="Currency 4 2 3 2 6" xfId="7081"/>
    <cellStyle name="Currency 4 2 3 2 6 2" xfId="7082"/>
    <cellStyle name="Currency 4 2 3 2 6 2 2" xfId="7083"/>
    <cellStyle name="Currency 4 2 3 2 6 3" xfId="7084"/>
    <cellStyle name="Currency 4 2 3 2 6 3 2" xfId="7085"/>
    <cellStyle name="Currency 4 2 3 2 6 4" xfId="7086"/>
    <cellStyle name="Currency 4 2 3 2 6 5" xfId="7087"/>
    <cellStyle name="Currency 4 2 3 2 7" xfId="7088"/>
    <cellStyle name="Currency 4 2 3 2 7 2" xfId="7089"/>
    <cellStyle name="Currency 4 2 3 2 8" xfId="7090"/>
    <cellStyle name="Currency 4 2 3 2 8 2" xfId="7091"/>
    <cellStyle name="Currency 4 2 3 2 9" xfId="7092"/>
    <cellStyle name="Currency 4 2 3 2 9 2" xfId="7093"/>
    <cellStyle name="Currency 4 2 3 3" xfId="7094"/>
    <cellStyle name="Currency 4 2 3 3 10" xfId="7095"/>
    <cellStyle name="Currency 4 2 3 3 2" xfId="7096"/>
    <cellStyle name="Currency 4 2 3 3 2 2" xfId="7097"/>
    <cellStyle name="Currency 4 2 3 3 2 2 2" xfId="7098"/>
    <cellStyle name="Currency 4 2 3 3 2 3" xfId="7099"/>
    <cellStyle name="Currency 4 2 3 3 2 3 2" xfId="7100"/>
    <cellStyle name="Currency 4 2 3 3 2 4" xfId="7101"/>
    <cellStyle name="Currency 4 2 3 3 2 4 2" xfId="7102"/>
    <cellStyle name="Currency 4 2 3 3 2 5" xfId="7103"/>
    <cellStyle name="Currency 4 2 3 3 2 6" xfId="7104"/>
    <cellStyle name="Currency 4 2 3 3 3" xfId="7105"/>
    <cellStyle name="Currency 4 2 3 3 3 2" xfId="7106"/>
    <cellStyle name="Currency 4 2 3 3 3 2 2" xfId="7107"/>
    <cellStyle name="Currency 4 2 3 3 3 3" xfId="7108"/>
    <cellStyle name="Currency 4 2 3 3 3 3 2" xfId="7109"/>
    <cellStyle name="Currency 4 2 3 3 3 4" xfId="7110"/>
    <cellStyle name="Currency 4 2 3 3 3 4 2" xfId="7111"/>
    <cellStyle name="Currency 4 2 3 3 3 5" xfId="7112"/>
    <cellStyle name="Currency 4 2 3 3 3 6" xfId="7113"/>
    <cellStyle name="Currency 4 2 3 3 4" xfId="7114"/>
    <cellStyle name="Currency 4 2 3 3 4 2" xfId="7115"/>
    <cellStyle name="Currency 4 2 3 3 4 2 2" xfId="7116"/>
    <cellStyle name="Currency 4 2 3 3 4 3" xfId="7117"/>
    <cellStyle name="Currency 4 2 3 3 4 3 2" xfId="7118"/>
    <cellStyle name="Currency 4 2 3 3 4 4" xfId="7119"/>
    <cellStyle name="Currency 4 2 3 3 4 4 2" xfId="7120"/>
    <cellStyle name="Currency 4 2 3 3 4 5" xfId="7121"/>
    <cellStyle name="Currency 4 2 3 3 4 6" xfId="7122"/>
    <cellStyle name="Currency 4 2 3 3 5" xfId="7123"/>
    <cellStyle name="Currency 4 2 3 3 5 2" xfId="7124"/>
    <cellStyle name="Currency 4 2 3 3 5 2 2" xfId="7125"/>
    <cellStyle name="Currency 4 2 3 3 5 3" xfId="7126"/>
    <cellStyle name="Currency 4 2 3 3 5 3 2" xfId="7127"/>
    <cellStyle name="Currency 4 2 3 3 5 4" xfId="7128"/>
    <cellStyle name="Currency 4 2 3 3 5 5" xfId="7129"/>
    <cellStyle name="Currency 4 2 3 3 6" xfId="7130"/>
    <cellStyle name="Currency 4 2 3 3 6 2" xfId="7131"/>
    <cellStyle name="Currency 4 2 3 3 7" xfId="7132"/>
    <cellStyle name="Currency 4 2 3 3 7 2" xfId="7133"/>
    <cellStyle name="Currency 4 2 3 3 8" xfId="7134"/>
    <cellStyle name="Currency 4 2 3 3 8 2" xfId="7135"/>
    <cellStyle name="Currency 4 2 3 3 9" xfId="7136"/>
    <cellStyle name="Currency 4 2 3 4" xfId="7137"/>
    <cellStyle name="Currency 4 2 3 4 10" xfId="7138"/>
    <cellStyle name="Currency 4 2 3 4 2" xfId="7139"/>
    <cellStyle name="Currency 4 2 3 4 2 2" xfId="7140"/>
    <cellStyle name="Currency 4 2 3 4 2 2 2" xfId="7141"/>
    <cellStyle name="Currency 4 2 3 4 2 3" xfId="7142"/>
    <cellStyle name="Currency 4 2 3 4 2 3 2" xfId="7143"/>
    <cellStyle name="Currency 4 2 3 4 2 4" xfId="7144"/>
    <cellStyle name="Currency 4 2 3 4 2 4 2" xfId="7145"/>
    <cellStyle name="Currency 4 2 3 4 2 5" xfId="7146"/>
    <cellStyle name="Currency 4 2 3 4 2 6" xfId="7147"/>
    <cellStyle name="Currency 4 2 3 4 3" xfId="7148"/>
    <cellStyle name="Currency 4 2 3 4 3 2" xfId="7149"/>
    <cellStyle name="Currency 4 2 3 4 3 2 2" xfId="7150"/>
    <cellStyle name="Currency 4 2 3 4 3 3" xfId="7151"/>
    <cellStyle name="Currency 4 2 3 4 3 3 2" xfId="7152"/>
    <cellStyle name="Currency 4 2 3 4 3 4" xfId="7153"/>
    <cellStyle name="Currency 4 2 3 4 3 4 2" xfId="7154"/>
    <cellStyle name="Currency 4 2 3 4 3 5" xfId="7155"/>
    <cellStyle name="Currency 4 2 3 4 3 6" xfId="7156"/>
    <cellStyle name="Currency 4 2 3 4 4" xfId="7157"/>
    <cellStyle name="Currency 4 2 3 4 4 2" xfId="7158"/>
    <cellStyle name="Currency 4 2 3 4 4 2 2" xfId="7159"/>
    <cellStyle name="Currency 4 2 3 4 4 3" xfId="7160"/>
    <cellStyle name="Currency 4 2 3 4 4 3 2" xfId="7161"/>
    <cellStyle name="Currency 4 2 3 4 4 4" xfId="7162"/>
    <cellStyle name="Currency 4 2 3 4 4 4 2" xfId="7163"/>
    <cellStyle name="Currency 4 2 3 4 4 5" xfId="7164"/>
    <cellStyle name="Currency 4 2 3 4 4 6" xfId="7165"/>
    <cellStyle name="Currency 4 2 3 4 5" xfId="7166"/>
    <cellStyle name="Currency 4 2 3 4 5 2" xfId="7167"/>
    <cellStyle name="Currency 4 2 3 4 5 2 2" xfId="7168"/>
    <cellStyle name="Currency 4 2 3 4 5 3" xfId="7169"/>
    <cellStyle name="Currency 4 2 3 4 5 3 2" xfId="7170"/>
    <cellStyle name="Currency 4 2 3 4 5 4" xfId="7171"/>
    <cellStyle name="Currency 4 2 3 4 5 5" xfId="7172"/>
    <cellStyle name="Currency 4 2 3 4 6" xfId="7173"/>
    <cellStyle name="Currency 4 2 3 4 6 2" xfId="7174"/>
    <cellStyle name="Currency 4 2 3 4 7" xfId="7175"/>
    <cellStyle name="Currency 4 2 3 4 7 2" xfId="7176"/>
    <cellStyle name="Currency 4 2 3 4 8" xfId="7177"/>
    <cellStyle name="Currency 4 2 3 4 8 2" xfId="7178"/>
    <cellStyle name="Currency 4 2 3 4 9" xfId="7179"/>
    <cellStyle name="Currency 4 2 3 5" xfId="7180"/>
    <cellStyle name="Currency 4 2 3 5 2" xfId="7181"/>
    <cellStyle name="Currency 4 2 3 5 2 2" xfId="7182"/>
    <cellStyle name="Currency 4 2 3 5 3" xfId="7183"/>
    <cellStyle name="Currency 4 2 3 5 3 2" xfId="7184"/>
    <cellStyle name="Currency 4 2 3 5 4" xfId="7185"/>
    <cellStyle name="Currency 4 2 3 5 4 2" xfId="7186"/>
    <cellStyle name="Currency 4 2 3 5 5" xfId="7187"/>
    <cellStyle name="Currency 4 2 3 5 6" xfId="7188"/>
    <cellStyle name="Currency 4 2 3 6" xfId="7189"/>
    <cellStyle name="Currency 4 2 3 6 2" xfId="7190"/>
    <cellStyle name="Currency 4 2 3 6 2 2" xfId="7191"/>
    <cellStyle name="Currency 4 2 3 6 3" xfId="7192"/>
    <cellStyle name="Currency 4 2 3 6 3 2" xfId="7193"/>
    <cellStyle name="Currency 4 2 3 6 4" xfId="7194"/>
    <cellStyle name="Currency 4 2 3 6 4 2" xfId="7195"/>
    <cellStyle name="Currency 4 2 3 6 5" xfId="7196"/>
    <cellStyle name="Currency 4 2 3 6 6" xfId="7197"/>
    <cellStyle name="Currency 4 2 3 7" xfId="7198"/>
    <cellStyle name="Currency 4 2 3 7 2" xfId="7199"/>
    <cellStyle name="Currency 4 2 3 7 2 2" xfId="7200"/>
    <cellStyle name="Currency 4 2 3 7 3" xfId="7201"/>
    <cellStyle name="Currency 4 2 3 7 3 2" xfId="7202"/>
    <cellStyle name="Currency 4 2 3 7 4" xfId="7203"/>
    <cellStyle name="Currency 4 2 3 7 4 2" xfId="7204"/>
    <cellStyle name="Currency 4 2 3 7 5" xfId="7205"/>
    <cellStyle name="Currency 4 2 3 7 6" xfId="7206"/>
    <cellStyle name="Currency 4 2 3 8" xfId="7207"/>
    <cellStyle name="Currency 4 2 3 8 2" xfId="7208"/>
    <cellStyle name="Currency 4 2 3 8 2 2" xfId="7209"/>
    <cellStyle name="Currency 4 2 3 8 3" xfId="7210"/>
    <cellStyle name="Currency 4 2 3 8 3 2" xfId="7211"/>
    <cellStyle name="Currency 4 2 3 8 4" xfId="7212"/>
    <cellStyle name="Currency 4 2 3 8 5" xfId="7213"/>
    <cellStyle name="Currency 4 2 3 9" xfId="7214"/>
    <cellStyle name="Currency 4 2 3 9 2" xfId="7215"/>
    <cellStyle name="Currency 4 2 4" xfId="7216"/>
    <cellStyle name="Currency 4 2 4 10" xfId="7217"/>
    <cellStyle name="Currency 4 2 4 10 2" xfId="7218"/>
    <cellStyle name="Currency 4 2 4 11" xfId="7219"/>
    <cellStyle name="Currency 4 2 4 11 2" xfId="7220"/>
    <cellStyle name="Currency 4 2 4 12" xfId="7221"/>
    <cellStyle name="Currency 4 2 4 13" xfId="7222"/>
    <cellStyle name="Currency 4 2 4 2" xfId="7223"/>
    <cellStyle name="Currency 4 2 4 2 10" xfId="7224"/>
    <cellStyle name="Currency 4 2 4 2 11" xfId="7225"/>
    <cellStyle name="Currency 4 2 4 2 2" xfId="7226"/>
    <cellStyle name="Currency 4 2 4 2 2 2" xfId="7227"/>
    <cellStyle name="Currency 4 2 4 2 2 2 2" xfId="7228"/>
    <cellStyle name="Currency 4 2 4 2 2 3" xfId="7229"/>
    <cellStyle name="Currency 4 2 4 2 2 3 2" xfId="7230"/>
    <cellStyle name="Currency 4 2 4 2 2 4" xfId="7231"/>
    <cellStyle name="Currency 4 2 4 2 2 4 2" xfId="7232"/>
    <cellStyle name="Currency 4 2 4 2 2 5" xfId="7233"/>
    <cellStyle name="Currency 4 2 4 2 2 6" xfId="7234"/>
    <cellStyle name="Currency 4 2 4 2 3" xfId="7235"/>
    <cellStyle name="Currency 4 2 4 2 3 2" xfId="7236"/>
    <cellStyle name="Currency 4 2 4 2 3 2 2" xfId="7237"/>
    <cellStyle name="Currency 4 2 4 2 3 3" xfId="7238"/>
    <cellStyle name="Currency 4 2 4 2 3 3 2" xfId="7239"/>
    <cellStyle name="Currency 4 2 4 2 3 4" xfId="7240"/>
    <cellStyle name="Currency 4 2 4 2 3 4 2" xfId="7241"/>
    <cellStyle name="Currency 4 2 4 2 3 5" xfId="7242"/>
    <cellStyle name="Currency 4 2 4 2 3 6" xfId="7243"/>
    <cellStyle name="Currency 4 2 4 2 4" xfId="7244"/>
    <cellStyle name="Currency 4 2 4 2 4 2" xfId="7245"/>
    <cellStyle name="Currency 4 2 4 2 4 2 2" xfId="7246"/>
    <cellStyle name="Currency 4 2 4 2 4 3" xfId="7247"/>
    <cellStyle name="Currency 4 2 4 2 4 3 2" xfId="7248"/>
    <cellStyle name="Currency 4 2 4 2 4 4" xfId="7249"/>
    <cellStyle name="Currency 4 2 4 2 4 4 2" xfId="7250"/>
    <cellStyle name="Currency 4 2 4 2 4 5" xfId="7251"/>
    <cellStyle name="Currency 4 2 4 2 4 6" xfId="7252"/>
    <cellStyle name="Currency 4 2 4 2 5" xfId="7253"/>
    <cellStyle name="Currency 4 2 4 2 5 2" xfId="7254"/>
    <cellStyle name="Currency 4 2 4 2 5 2 2" xfId="7255"/>
    <cellStyle name="Currency 4 2 4 2 5 3" xfId="7256"/>
    <cellStyle name="Currency 4 2 4 2 5 3 2" xfId="7257"/>
    <cellStyle name="Currency 4 2 4 2 5 4" xfId="7258"/>
    <cellStyle name="Currency 4 2 4 2 5 4 2" xfId="7259"/>
    <cellStyle name="Currency 4 2 4 2 5 5" xfId="7260"/>
    <cellStyle name="Currency 4 2 4 2 5 6" xfId="7261"/>
    <cellStyle name="Currency 4 2 4 2 6" xfId="7262"/>
    <cellStyle name="Currency 4 2 4 2 6 2" xfId="7263"/>
    <cellStyle name="Currency 4 2 4 2 6 2 2" xfId="7264"/>
    <cellStyle name="Currency 4 2 4 2 6 3" xfId="7265"/>
    <cellStyle name="Currency 4 2 4 2 6 3 2" xfId="7266"/>
    <cellStyle name="Currency 4 2 4 2 6 4" xfId="7267"/>
    <cellStyle name="Currency 4 2 4 2 6 5" xfId="7268"/>
    <cellStyle name="Currency 4 2 4 2 7" xfId="7269"/>
    <cellStyle name="Currency 4 2 4 2 7 2" xfId="7270"/>
    <cellStyle name="Currency 4 2 4 2 8" xfId="7271"/>
    <cellStyle name="Currency 4 2 4 2 8 2" xfId="7272"/>
    <cellStyle name="Currency 4 2 4 2 9" xfId="7273"/>
    <cellStyle name="Currency 4 2 4 2 9 2" xfId="7274"/>
    <cellStyle name="Currency 4 2 4 3" xfId="7275"/>
    <cellStyle name="Currency 4 2 4 3 10" xfId="7276"/>
    <cellStyle name="Currency 4 2 4 3 2" xfId="7277"/>
    <cellStyle name="Currency 4 2 4 3 2 2" xfId="7278"/>
    <cellStyle name="Currency 4 2 4 3 2 2 2" xfId="7279"/>
    <cellStyle name="Currency 4 2 4 3 2 3" xfId="7280"/>
    <cellStyle name="Currency 4 2 4 3 2 3 2" xfId="7281"/>
    <cellStyle name="Currency 4 2 4 3 2 4" xfId="7282"/>
    <cellStyle name="Currency 4 2 4 3 2 4 2" xfId="7283"/>
    <cellStyle name="Currency 4 2 4 3 2 5" xfId="7284"/>
    <cellStyle name="Currency 4 2 4 3 2 6" xfId="7285"/>
    <cellStyle name="Currency 4 2 4 3 3" xfId="7286"/>
    <cellStyle name="Currency 4 2 4 3 3 2" xfId="7287"/>
    <cellStyle name="Currency 4 2 4 3 3 2 2" xfId="7288"/>
    <cellStyle name="Currency 4 2 4 3 3 3" xfId="7289"/>
    <cellStyle name="Currency 4 2 4 3 3 3 2" xfId="7290"/>
    <cellStyle name="Currency 4 2 4 3 3 4" xfId="7291"/>
    <cellStyle name="Currency 4 2 4 3 3 4 2" xfId="7292"/>
    <cellStyle name="Currency 4 2 4 3 3 5" xfId="7293"/>
    <cellStyle name="Currency 4 2 4 3 3 6" xfId="7294"/>
    <cellStyle name="Currency 4 2 4 3 4" xfId="7295"/>
    <cellStyle name="Currency 4 2 4 3 4 2" xfId="7296"/>
    <cellStyle name="Currency 4 2 4 3 4 2 2" xfId="7297"/>
    <cellStyle name="Currency 4 2 4 3 4 3" xfId="7298"/>
    <cellStyle name="Currency 4 2 4 3 4 3 2" xfId="7299"/>
    <cellStyle name="Currency 4 2 4 3 4 4" xfId="7300"/>
    <cellStyle name="Currency 4 2 4 3 4 4 2" xfId="7301"/>
    <cellStyle name="Currency 4 2 4 3 4 5" xfId="7302"/>
    <cellStyle name="Currency 4 2 4 3 4 6" xfId="7303"/>
    <cellStyle name="Currency 4 2 4 3 5" xfId="7304"/>
    <cellStyle name="Currency 4 2 4 3 5 2" xfId="7305"/>
    <cellStyle name="Currency 4 2 4 3 5 2 2" xfId="7306"/>
    <cellStyle name="Currency 4 2 4 3 5 3" xfId="7307"/>
    <cellStyle name="Currency 4 2 4 3 5 3 2" xfId="7308"/>
    <cellStyle name="Currency 4 2 4 3 5 4" xfId="7309"/>
    <cellStyle name="Currency 4 2 4 3 5 5" xfId="7310"/>
    <cellStyle name="Currency 4 2 4 3 6" xfId="7311"/>
    <cellStyle name="Currency 4 2 4 3 6 2" xfId="7312"/>
    <cellStyle name="Currency 4 2 4 3 7" xfId="7313"/>
    <cellStyle name="Currency 4 2 4 3 7 2" xfId="7314"/>
    <cellStyle name="Currency 4 2 4 3 8" xfId="7315"/>
    <cellStyle name="Currency 4 2 4 3 8 2" xfId="7316"/>
    <cellStyle name="Currency 4 2 4 3 9" xfId="7317"/>
    <cellStyle name="Currency 4 2 4 4" xfId="7318"/>
    <cellStyle name="Currency 4 2 4 4 10" xfId="7319"/>
    <cellStyle name="Currency 4 2 4 4 2" xfId="7320"/>
    <cellStyle name="Currency 4 2 4 4 2 2" xfId="7321"/>
    <cellStyle name="Currency 4 2 4 4 2 2 2" xfId="7322"/>
    <cellStyle name="Currency 4 2 4 4 2 3" xfId="7323"/>
    <cellStyle name="Currency 4 2 4 4 2 3 2" xfId="7324"/>
    <cellStyle name="Currency 4 2 4 4 2 4" xfId="7325"/>
    <cellStyle name="Currency 4 2 4 4 2 4 2" xfId="7326"/>
    <cellStyle name="Currency 4 2 4 4 2 5" xfId="7327"/>
    <cellStyle name="Currency 4 2 4 4 2 6" xfId="7328"/>
    <cellStyle name="Currency 4 2 4 4 3" xfId="7329"/>
    <cellStyle name="Currency 4 2 4 4 3 2" xfId="7330"/>
    <cellStyle name="Currency 4 2 4 4 3 2 2" xfId="7331"/>
    <cellStyle name="Currency 4 2 4 4 3 3" xfId="7332"/>
    <cellStyle name="Currency 4 2 4 4 3 3 2" xfId="7333"/>
    <cellStyle name="Currency 4 2 4 4 3 4" xfId="7334"/>
    <cellStyle name="Currency 4 2 4 4 3 4 2" xfId="7335"/>
    <cellStyle name="Currency 4 2 4 4 3 5" xfId="7336"/>
    <cellStyle name="Currency 4 2 4 4 3 6" xfId="7337"/>
    <cellStyle name="Currency 4 2 4 4 4" xfId="7338"/>
    <cellStyle name="Currency 4 2 4 4 4 2" xfId="7339"/>
    <cellStyle name="Currency 4 2 4 4 4 2 2" xfId="7340"/>
    <cellStyle name="Currency 4 2 4 4 4 3" xfId="7341"/>
    <cellStyle name="Currency 4 2 4 4 4 3 2" xfId="7342"/>
    <cellStyle name="Currency 4 2 4 4 4 4" xfId="7343"/>
    <cellStyle name="Currency 4 2 4 4 4 4 2" xfId="7344"/>
    <cellStyle name="Currency 4 2 4 4 4 5" xfId="7345"/>
    <cellStyle name="Currency 4 2 4 4 4 6" xfId="7346"/>
    <cellStyle name="Currency 4 2 4 4 5" xfId="7347"/>
    <cellStyle name="Currency 4 2 4 4 5 2" xfId="7348"/>
    <cellStyle name="Currency 4 2 4 4 5 2 2" xfId="7349"/>
    <cellStyle name="Currency 4 2 4 4 5 3" xfId="7350"/>
    <cellStyle name="Currency 4 2 4 4 5 3 2" xfId="7351"/>
    <cellStyle name="Currency 4 2 4 4 5 4" xfId="7352"/>
    <cellStyle name="Currency 4 2 4 4 5 5" xfId="7353"/>
    <cellStyle name="Currency 4 2 4 4 6" xfId="7354"/>
    <cellStyle name="Currency 4 2 4 4 6 2" xfId="7355"/>
    <cellStyle name="Currency 4 2 4 4 7" xfId="7356"/>
    <cellStyle name="Currency 4 2 4 4 7 2" xfId="7357"/>
    <cellStyle name="Currency 4 2 4 4 8" xfId="7358"/>
    <cellStyle name="Currency 4 2 4 4 8 2" xfId="7359"/>
    <cellStyle name="Currency 4 2 4 4 9" xfId="7360"/>
    <cellStyle name="Currency 4 2 4 5" xfId="7361"/>
    <cellStyle name="Currency 4 2 4 5 2" xfId="7362"/>
    <cellStyle name="Currency 4 2 4 5 2 2" xfId="7363"/>
    <cellStyle name="Currency 4 2 4 5 3" xfId="7364"/>
    <cellStyle name="Currency 4 2 4 5 3 2" xfId="7365"/>
    <cellStyle name="Currency 4 2 4 5 4" xfId="7366"/>
    <cellStyle name="Currency 4 2 4 5 4 2" xfId="7367"/>
    <cellStyle name="Currency 4 2 4 5 5" xfId="7368"/>
    <cellStyle name="Currency 4 2 4 5 6" xfId="7369"/>
    <cellStyle name="Currency 4 2 4 6" xfId="7370"/>
    <cellStyle name="Currency 4 2 4 6 2" xfId="7371"/>
    <cellStyle name="Currency 4 2 4 6 2 2" xfId="7372"/>
    <cellStyle name="Currency 4 2 4 6 3" xfId="7373"/>
    <cellStyle name="Currency 4 2 4 6 3 2" xfId="7374"/>
    <cellStyle name="Currency 4 2 4 6 4" xfId="7375"/>
    <cellStyle name="Currency 4 2 4 6 4 2" xfId="7376"/>
    <cellStyle name="Currency 4 2 4 6 5" xfId="7377"/>
    <cellStyle name="Currency 4 2 4 6 6" xfId="7378"/>
    <cellStyle name="Currency 4 2 4 7" xfId="7379"/>
    <cellStyle name="Currency 4 2 4 7 2" xfId="7380"/>
    <cellStyle name="Currency 4 2 4 7 2 2" xfId="7381"/>
    <cellStyle name="Currency 4 2 4 7 3" xfId="7382"/>
    <cellStyle name="Currency 4 2 4 7 3 2" xfId="7383"/>
    <cellStyle name="Currency 4 2 4 7 4" xfId="7384"/>
    <cellStyle name="Currency 4 2 4 7 4 2" xfId="7385"/>
    <cellStyle name="Currency 4 2 4 7 5" xfId="7386"/>
    <cellStyle name="Currency 4 2 4 7 6" xfId="7387"/>
    <cellStyle name="Currency 4 2 4 8" xfId="7388"/>
    <cellStyle name="Currency 4 2 4 8 2" xfId="7389"/>
    <cellStyle name="Currency 4 2 4 8 2 2" xfId="7390"/>
    <cellStyle name="Currency 4 2 4 8 3" xfId="7391"/>
    <cellStyle name="Currency 4 2 4 8 3 2" xfId="7392"/>
    <cellStyle name="Currency 4 2 4 8 4" xfId="7393"/>
    <cellStyle name="Currency 4 2 4 8 5" xfId="7394"/>
    <cellStyle name="Currency 4 2 4 9" xfId="7395"/>
    <cellStyle name="Currency 4 2 4 9 2" xfId="7396"/>
    <cellStyle name="Currency 4 2 5" xfId="7397"/>
    <cellStyle name="Currency 4 2 5 10" xfId="7398"/>
    <cellStyle name="Currency 4 2 5 10 2" xfId="7399"/>
    <cellStyle name="Currency 4 2 5 11" xfId="7400"/>
    <cellStyle name="Currency 4 2 5 12" xfId="7401"/>
    <cellStyle name="Currency 4 2 5 2" xfId="7402"/>
    <cellStyle name="Currency 4 2 5 2 10" xfId="7403"/>
    <cellStyle name="Currency 4 2 5 2 2" xfId="7404"/>
    <cellStyle name="Currency 4 2 5 2 2 2" xfId="7405"/>
    <cellStyle name="Currency 4 2 5 2 2 2 2" xfId="7406"/>
    <cellStyle name="Currency 4 2 5 2 2 3" xfId="7407"/>
    <cellStyle name="Currency 4 2 5 2 2 3 2" xfId="7408"/>
    <cellStyle name="Currency 4 2 5 2 2 4" xfId="7409"/>
    <cellStyle name="Currency 4 2 5 2 2 4 2" xfId="7410"/>
    <cellStyle name="Currency 4 2 5 2 2 5" xfId="7411"/>
    <cellStyle name="Currency 4 2 5 2 2 6" xfId="7412"/>
    <cellStyle name="Currency 4 2 5 2 3" xfId="7413"/>
    <cellStyle name="Currency 4 2 5 2 3 2" xfId="7414"/>
    <cellStyle name="Currency 4 2 5 2 3 2 2" xfId="7415"/>
    <cellStyle name="Currency 4 2 5 2 3 3" xfId="7416"/>
    <cellStyle name="Currency 4 2 5 2 3 3 2" xfId="7417"/>
    <cellStyle name="Currency 4 2 5 2 3 4" xfId="7418"/>
    <cellStyle name="Currency 4 2 5 2 3 4 2" xfId="7419"/>
    <cellStyle name="Currency 4 2 5 2 3 5" xfId="7420"/>
    <cellStyle name="Currency 4 2 5 2 3 6" xfId="7421"/>
    <cellStyle name="Currency 4 2 5 2 4" xfId="7422"/>
    <cellStyle name="Currency 4 2 5 2 4 2" xfId="7423"/>
    <cellStyle name="Currency 4 2 5 2 4 2 2" xfId="7424"/>
    <cellStyle name="Currency 4 2 5 2 4 3" xfId="7425"/>
    <cellStyle name="Currency 4 2 5 2 4 3 2" xfId="7426"/>
    <cellStyle name="Currency 4 2 5 2 4 4" xfId="7427"/>
    <cellStyle name="Currency 4 2 5 2 4 4 2" xfId="7428"/>
    <cellStyle name="Currency 4 2 5 2 4 5" xfId="7429"/>
    <cellStyle name="Currency 4 2 5 2 4 6" xfId="7430"/>
    <cellStyle name="Currency 4 2 5 2 5" xfId="7431"/>
    <cellStyle name="Currency 4 2 5 2 5 2" xfId="7432"/>
    <cellStyle name="Currency 4 2 5 2 5 2 2" xfId="7433"/>
    <cellStyle name="Currency 4 2 5 2 5 3" xfId="7434"/>
    <cellStyle name="Currency 4 2 5 2 5 3 2" xfId="7435"/>
    <cellStyle name="Currency 4 2 5 2 5 4" xfId="7436"/>
    <cellStyle name="Currency 4 2 5 2 5 5" xfId="7437"/>
    <cellStyle name="Currency 4 2 5 2 6" xfId="7438"/>
    <cellStyle name="Currency 4 2 5 2 6 2" xfId="7439"/>
    <cellStyle name="Currency 4 2 5 2 7" xfId="7440"/>
    <cellStyle name="Currency 4 2 5 2 7 2" xfId="7441"/>
    <cellStyle name="Currency 4 2 5 2 8" xfId="7442"/>
    <cellStyle name="Currency 4 2 5 2 8 2" xfId="7443"/>
    <cellStyle name="Currency 4 2 5 2 9" xfId="7444"/>
    <cellStyle name="Currency 4 2 5 3" xfId="7445"/>
    <cellStyle name="Currency 4 2 5 3 10" xfId="7446"/>
    <cellStyle name="Currency 4 2 5 3 2" xfId="7447"/>
    <cellStyle name="Currency 4 2 5 3 2 2" xfId="7448"/>
    <cellStyle name="Currency 4 2 5 3 2 2 2" xfId="7449"/>
    <cellStyle name="Currency 4 2 5 3 2 3" xfId="7450"/>
    <cellStyle name="Currency 4 2 5 3 2 3 2" xfId="7451"/>
    <cellStyle name="Currency 4 2 5 3 2 4" xfId="7452"/>
    <cellStyle name="Currency 4 2 5 3 2 4 2" xfId="7453"/>
    <cellStyle name="Currency 4 2 5 3 2 5" xfId="7454"/>
    <cellStyle name="Currency 4 2 5 3 2 6" xfId="7455"/>
    <cellStyle name="Currency 4 2 5 3 3" xfId="7456"/>
    <cellStyle name="Currency 4 2 5 3 3 2" xfId="7457"/>
    <cellStyle name="Currency 4 2 5 3 3 2 2" xfId="7458"/>
    <cellStyle name="Currency 4 2 5 3 3 3" xfId="7459"/>
    <cellStyle name="Currency 4 2 5 3 3 3 2" xfId="7460"/>
    <cellStyle name="Currency 4 2 5 3 3 4" xfId="7461"/>
    <cellStyle name="Currency 4 2 5 3 3 4 2" xfId="7462"/>
    <cellStyle name="Currency 4 2 5 3 3 5" xfId="7463"/>
    <cellStyle name="Currency 4 2 5 3 3 6" xfId="7464"/>
    <cellStyle name="Currency 4 2 5 3 4" xfId="7465"/>
    <cellStyle name="Currency 4 2 5 3 4 2" xfId="7466"/>
    <cellStyle name="Currency 4 2 5 3 4 2 2" xfId="7467"/>
    <cellStyle name="Currency 4 2 5 3 4 3" xfId="7468"/>
    <cellStyle name="Currency 4 2 5 3 4 3 2" xfId="7469"/>
    <cellStyle name="Currency 4 2 5 3 4 4" xfId="7470"/>
    <cellStyle name="Currency 4 2 5 3 4 4 2" xfId="7471"/>
    <cellStyle name="Currency 4 2 5 3 4 5" xfId="7472"/>
    <cellStyle name="Currency 4 2 5 3 4 6" xfId="7473"/>
    <cellStyle name="Currency 4 2 5 3 5" xfId="7474"/>
    <cellStyle name="Currency 4 2 5 3 5 2" xfId="7475"/>
    <cellStyle name="Currency 4 2 5 3 5 2 2" xfId="7476"/>
    <cellStyle name="Currency 4 2 5 3 5 3" xfId="7477"/>
    <cellStyle name="Currency 4 2 5 3 5 3 2" xfId="7478"/>
    <cellStyle name="Currency 4 2 5 3 5 4" xfId="7479"/>
    <cellStyle name="Currency 4 2 5 3 5 5" xfId="7480"/>
    <cellStyle name="Currency 4 2 5 3 6" xfId="7481"/>
    <cellStyle name="Currency 4 2 5 3 6 2" xfId="7482"/>
    <cellStyle name="Currency 4 2 5 3 7" xfId="7483"/>
    <cellStyle name="Currency 4 2 5 3 7 2" xfId="7484"/>
    <cellStyle name="Currency 4 2 5 3 8" xfId="7485"/>
    <cellStyle name="Currency 4 2 5 3 8 2" xfId="7486"/>
    <cellStyle name="Currency 4 2 5 3 9" xfId="7487"/>
    <cellStyle name="Currency 4 2 5 4" xfId="7488"/>
    <cellStyle name="Currency 4 2 5 4 2" xfId="7489"/>
    <cellStyle name="Currency 4 2 5 4 2 2" xfId="7490"/>
    <cellStyle name="Currency 4 2 5 4 3" xfId="7491"/>
    <cellStyle name="Currency 4 2 5 4 3 2" xfId="7492"/>
    <cellStyle name="Currency 4 2 5 4 4" xfId="7493"/>
    <cellStyle name="Currency 4 2 5 4 4 2" xfId="7494"/>
    <cellStyle name="Currency 4 2 5 4 5" xfId="7495"/>
    <cellStyle name="Currency 4 2 5 4 6" xfId="7496"/>
    <cellStyle name="Currency 4 2 5 5" xfId="7497"/>
    <cellStyle name="Currency 4 2 5 5 2" xfId="7498"/>
    <cellStyle name="Currency 4 2 5 5 2 2" xfId="7499"/>
    <cellStyle name="Currency 4 2 5 5 3" xfId="7500"/>
    <cellStyle name="Currency 4 2 5 5 3 2" xfId="7501"/>
    <cellStyle name="Currency 4 2 5 5 4" xfId="7502"/>
    <cellStyle name="Currency 4 2 5 5 4 2" xfId="7503"/>
    <cellStyle name="Currency 4 2 5 5 5" xfId="7504"/>
    <cellStyle name="Currency 4 2 5 5 6" xfId="7505"/>
    <cellStyle name="Currency 4 2 5 6" xfId="7506"/>
    <cellStyle name="Currency 4 2 5 6 2" xfId="7507"/>
    <cellStyle name="Currency 4 2 5 6 2 2" xfId="7508"/>
    <cellStyle name="Currency 4 2 5 6 3" xfId="7509"/>
    <cellStyle name="Currency 4 2 5 6 3 2" xfId="7510"/>
    <cellStyle name="Currency 4 2 5 6 4" xfId="7511"/>
    <cellStyle name="Currency 4 2 5 6 4 2" xfId="7512"/>
    <cellStyle name="Currency 4 2 5 6 5" xfId="7513"/>
    <cellStyle name="Currency 4 2 5 6 6" xfId="7514"/>
    <cellStyle name="Currency 4 2 5 7" xfId="7515"/>
    <cellStyle name="Currency 4 2 5 7 2" xfId="7516"/>
    <cellStyle name="Currency 4 2 5 7 2 2" xfId="7517"/>
    <cellStyle name="Currency 4 2 5 7 3" xfId="7518"/>
    <cellStyle name="Currency 4 2 5 7 3 2" xfId="7519"/>
    <cellStyle name="Currency 4 2 5 7 4" xfId="7520"/>
    <cellStyle name="Currency 4 2 5 7 5" xfId="7521"/>
    <cellStyle name="Currency 4 2 5 8" xfId="7522"/>
    <cellStyle name="Currency 4 2 5 8 2" xfId="7523"/>
    <cellStyle name="Currency 4 2 5 9" xfId="7524"/>
    <cellStyle name="Currency 4 2 5 9 2" xfId="7525"/>
    <cellStyle name="Currency 4 2 6" xfId="7526"/>
    <cellStyle name="Currency 4 2 6 10" xfId="7527"/>
    <cellStyle name="Currency 4 2 6 11" xfId="7528"/>
    <cellStyle name="Currency 4 2 6 2" xfId="7529"/>
    <cellStyle name="Currency 4 2 6 2 2" xfId="7530"/>
    <cellStyle name="Currency 4 2 6 2 2 2" xfId="7531"/>
    <cellStyle name="Currency 4 2 6 2 3" xfId="7532"/>
    <cellStyle name="Currency 4 2 6 2 3 2" xfId="7533"/>
    <cellStyle name="Currency 4 2 6 2 4" xfId="7534"/>
    <cellStyle name="Currency 4 2 6 2 4 2" xfId="7535"/>
    <cellStyle name="Currency 4 2 6 2 5" xfId="7536"/>
    <cellStyle name="Currency 4 2 6 2 6" xfId="7537"/>
    <cellStyle name="Currency 4 2 6 3" xfId="7538"/>
    <cellStyle name="Currency 4 2 6 3 2" xfId="7539"/>
    <cellStyle name="Currency 4 2 6 3 2 2" xfId="7540"/>
    <cellStyle name="Currency 4 2 6 3 3" xfId="7541"/>
    <cellStyle name="Currency 4 2 6 3 3 2" xfId="7542"/>
    <cellStyle name="Currency 4 2 6 3 4" xfId="7543"/>
    <cellStyle name="Currency 4 2 6 3 4 2" xfId="7544"/>
    <cellStyle name="Currency 4 2 6 3 5" xfId="7545"/>
    <cellStyle name="Currency 4 2 6 3 6" xfId="7546"/>
    <cellStyle name="Currency 4 2 6 4" xfId="7547"/>
    <cellStyle name="Currency 4 2 6 4 2" xfId="7548"/>
    <cellStyle name="Currency 4 2 6 4 2 2" xfId="7549"/>
    <cellStyle name="Currency 4 2 6 4 3" xfId="7550"/>
    <cellStyle name="Currency 4 2 6 4 3 2" xfId="7551"/>
    <cellStyle name="Currency 4 2 6 4 4" xfId="7552"/>
    <cellStyle name="Currency 4 2 6 4 4 2" xfId="7553"/>
    <cellStyle name="Currency 4 2 6 4 5" xfId="7554"/>
    <cellStyle name="Currency 4 2 6 4 6" xfId="7555"/>
    <cellStyle name="Currency 4 2 6 5" xfId="7556"/>
    <cellStyle name="Currency 4 2 6 5 2" xfId="7557"/>
    <cellStyle name="Currency 4 2 6 5 2 2" xfId="7558"/>
    <cellStyle name="Currency 4 2 6 5 3" xfId="7559"/>
    <cellStyle name="Currency 4 2 6 5 3 2" xfId="7560"/>
    <cellStyle name="Currency 4 2 6 5 4" xfId="7561"/>
    <cellStyle name="Currency 4 2 6 5 4 2" xfId="7562"/>
    <cellStyle name="Currency 4 2 6 5 5" xfId="7563"/>
    <cellStyle name="Currency 4 2 6 5 6" xfId="7564"/>
    <cellStyle name="Currency 4 2 6 6" xfId="7565"/>
    <cellStyle name="Currency 4 2 6 6 2" xfId="7566"/>
    <cellStyle name="Currency 4 2 6 6 2 2" xfId="7567"/>
    <cellStyle name="Currency 4 2 6 6 3" xfId="7568"/>
    <cellStyle name="Currency 4 2 6 6 3 2" xfId="7569"/>
    <cellStyle name="Currency 4 2 6 6 4" xfId="7570"/>
    <cellStyle name="Currency 4 2 6 6 5" xfId="7571"/>
    <cellStyle name="Currency 4 2 6 7" xfId="7572"/>
    <cellStyle name="Currency 4 2 6 7 2" xfId="7573"/>
    <cellStyle name="Currency 4 2 6 8" xfId="7574"/>
    <cellStyle name="Currency 4 2 6 8 2" xfId="7575"/>
    <cellStyle name="Currency 4 2 6 9" xfId="7576"/>
    <cellStyle name="Currency 4 2 6 9 2" xfId="7577"/>
    <cellStyle name="Currency 4 2 7" xfId="7578"/>
    <cellStyle name="Currency 4 2 7 10" xfId="7579"/>
    <cellStyle name="Currency 4 2 7 2" xfId="7580"/>
    <cellStyle name="Currency 4 2 7 2 2" xfId="7581"/>
    <cellStyle name="Currency 4 2 7 2 2 2" xfId="7582"/>
    <cellStyle name="Currency 4 2 7 2 3" xfId="7583"/>
    <cellStyle name="Currency 4 2 7 2 3 2" xfId="7584"/>
    <cellStyle name="Currency 4 2 7 2 4" xfId="7585"/>
    <cellStyle name="Currency 4 2 7 2 4 2" xfId="7586"/>
    <cellStyle name="Currency 4 2 7 2 5" xfId="7587"/>
    <cellStyle name="Currency 4 2 7 2 6" xfId="7588"/>
    <cellStyle name="Currency 4 2 7 3" xfId="7589"/>
    <cellStyle name="Currency 4 2 7 3 2" xfId="7590"/>
    <cellStyle name="Currency 4 2 7 3 2 2" xfId="7591"/>
    <cellStyle name="Currency 4 2 7 3 3" xfId="7592"/>
    <cellStyle name="Currency 4 2 7 3 3 2" xfId="7593"/>
    <cellStyle name="Currency 4 2 7 3 4" xfId="7594"/>
    <cellStyle name="Currency 4 2 7 3 4 2" xfId="7595"/>
    <cellStyle name="Currency 4 2 7 3 5" xfId="7596"/>
    <cellStyle name="Currency 4 2 7 3 6" xfId="7597"/>
    <cellStyle name="Currency 4 2 7 4" xfId="7598"/>
    <cellStyle name="Currency 4 2 7 4 2" xfId="7599"/>
    <cellStyle name="Currency 4 2 7 4 2 2" xfId="7600"/>
    <cellStyle name="Currency 4 2 7 4 3" xfId="7601"/>
    <cellStyle name="Currency 4 2 7 4 3 2" xfId="7602"/>
    <cellStyle name="Currency 4 2 7 4 4" xfId="7603"/>
    <cellStyle name="Currency 4 2 7 4 4 2" xfId="7604"/>
    <cellStyle name="Currency 4 2 7 4 5" xfId="7605"/>
    <cellStyle name="Currency 4 2 7 4 6" xfId="7606"/>
    <cellStyle name="Currency 4 2 7 5" xfId="7607"/>
    <cellStyle name="Currency 4 2 7 5 2" xfId="7608"/>
    <cellStyle name="Currency 4 2 7 5 2 2" xfId="7609"/>
    <cellStyle name="Currency 4 2 7 5 3" xfId="7610"/>
    <cellStyle name="Currency 4 2 7 5 3 2" xfId="7611"/>
    <cellStyle name="Currency 4 2 7 5 4" xfId="7612"/>
    <cellStyle name="Currency 4 2 7 5 5" xfId="7613"/>
    <cellStyle name="Currency 4 2 7 6" xfId="7614"/>
    <cellStyle name="Currency 4 2 7 6 2" xfId="7615"/>
    <cellStyle name="Currency 4 2 7 7" xfId="7616"/>
    <cellStyle name="Currency 4 2 7 7 2" xfId="7617"/>
    <cellStyle name="Currency 4 2 7 8" xfId="7618"/>
    <cellStyle name="Currency 4 2 7 8 2" xfId="7619"/>
    <cellStyle name="Currency 4 2 7 9" xfId="7620"/>
    <cellStyle name="Currency 4 2 8" xfId="7621"/>
    <cellStyle name="Currency 4 2 8 10" xfId="7622"/>
    <cellStyle name="Currency 4 2 8 2" xfId="7623"/>
    <cellStyle name="Currency 4 2 8 2 2" xfId="7624"/>
    <cellStyle name="Currency 4 2 8 2 2 2" xfId="7625"/>
    <cellStyle name="Currency 4 2 8 2 3" xfId="7626"/>
    <cellStyle name="Currency 4 2 8 2 3 2" xfId="7627"/>
    <cellStyle name="Currency 4 2 8 2 4" xfId="7628"/>
    <cellStyle name="Currency 4 2 8 2 4 2" xfId="7629"/>
    <cellStyle name="Currency 4 2 8 2 5" xfId="7630"/>
    <cellStyle name="Currency 4 2 8 2 6" xfId="7631"/>
    <cellStyle name="Currency 4 2 8 3" xfId="7632"/>
    <cellStyle name="Currency 4 2 8 3 2" xfId="7633"/>
    <cellStyle name="Currency 4 2 8 3 2 2" xfId="7634"/>
    <cellStyle name="Currency 4 2 8 3 3" xfId="7635"/>
    <cellStyle name="Currency 4 2 8 3 3 2" xfId="7636"/>
    <cellStyle name="Currency 4 2 8 3 4" xfId="7637"/>
    <cellStyle name="Currency 4 2 8 3 4 2" xfId="7638"/>
    <cellStyle name="Currency 4 2 8 3 5" xfId="7639"/>
    <cellStyle name="Currency 4 2 8 3 6" xfId="7640"/>
    <cellStyle name="Currency 4 2 8 4" xfId="7641"/>
    <cellStyle name="Currency 4 2 8 4 2" xfId="7642"/>
    <cellStyle name="Currency 4 2 8 4 2 2" xfId="7643"/>
    <cellStyle name="Currency 4 2 8 4 3" xfId="7644"/>
    <cellStyle name="Currency 4 2 8 4 3 2" xfId="7645"/>
    <cellStyle name="Currency 4 2 8 4 4" xfId="7646"/>
    <cellStyle name="Currency 4 2 8 4 4 2" xfId="7647"/>
    <cellStyle name="Currency 4 2 8 4 5" xfId="7648"/>
    <cellStyle name="Currency 4 2 8 4 6" xfId="7649"/>
    <cellStyle name="Currency 4 2 8 5" xfId="7650"/>
    <cellStyle name="Currency 4 2 8 5 2" xfId="7651"/>
    <cellStyle name="Currency 4 2 8 5 2 2" xfId="7652"/>
    <cellStyle name="Currency 4 2 8 5 3" xfId="7653"/>
    <cellStyle name="Currency 4 2 8 5 3 2" xfId="7654"/>
    <cellStyle name="Currency 4 2 8 5 4" xfId="7655"/>
    <cellStyle name="Currency 4 2 8 5 5" xfId="7656"/>
    <cellStyle name="Currency 4 2 8 6" xfId="7657"/>
    <cellStyle name="Currency 4 2 8 6 2" xfId="7658"/>
    <cellStyle name="Currency 4 2 8 7" xfId="7659"/>
    <cellStyle name="Currency 4 2 8 7 2" xfId="7660"/>
    <cellStyle name="Currency 4 2 8 8" xfId="7661"/>
    <cellStyle name="Currency 4 2 8 8 2" xfId="7662"/>
    <cellStyle name="Currency 4 2 8 9" xfId="7663"/>
    <cellStyle name="Currency 4 2 9" xfId="7664"/>
    <cellStyle name="Currency 4 2 9 2" xfId="7665"/>
    <cellStyle name="Currency 4 2 9 2 2" xfId="7666"/>
    <cellStyle name="Currency 4 2 9 3" xfId="7667"/>
    <cellStyle name="Currency 4 2 9 3 2" xfId="7668"/>
    <cellStyle name="Currency 4 2 9 4" xfId="7669"/>
    <cellStyle name="Currency 4 2 9 4 2" xfId="7670"/>
    <cellStyle name="Currency 4 2 9 5" xfId="7671"/>
    <cellStyle name="Currency 4 2 9 6" xfId="7672"/>
    <cellStyle name="Currency 4 20" xfId="7673"/>
    <cellStyle name="Currency 4 3" xfId="7674"/>
    <cellStyle name="Currency 4 3 10" xfId="7675"/>
    <cellStyle name="Currency 4 3 10 2" xfId="7676"/>
    <cellStyle name="Currency 4 3 10 2 2" xfId="7677"/>
    <cellStyle name="Currency 4 3 10 3" xfId="7678"/>
    <cellStyle name="Currency 4 3 10 3 2" xfId="7679"/>
    <cellStyle name="Currency 4 3 10 4" xfId="7680"/>
    <cellStyle name="Currency 4 3 10 4 2" xfId="7681"/>
    <cellStyle name="Currency 4 3 10 5" xfId="7682"/>
    <cellStyle name="Currency 4 3 10 6" xfId="7683"/>
    <cellStyle name="Currency 4 3 11" xfId="7684"/>
    <cellStyle name="Currency 4 3 11 2" xfId="7685"/>
    <cellStyle name="Currency 4 3 11 2 2" xfId="7686"/>
    <cellStyle name="Currency 4 3 11 3" xfId="7687"/>
    <cellStyle name="Currency 4 3 11 3 2" xfId="7688"/>
    <cellStyle name="Currency 4 3 11 4" xfId="7689"/>
    <cellStyle name="Currency 4 3 11 5" xfId="7690"/>
    <cellStyle name="Currency 4 3 12" xfId="7691"/>
    <cellStyle name="Currency 4 3 12 2" xfId="7692"/>
    <cellStyle name="Currency 4 3 13" xfId="7693"/>
    <cellStyle name="Currency 4 3 13 2" xfId="7694"/>
    <cellStyle name="Currency 4 3 14" xfId="7695"/>
    <cellStyle name="Currency 4 3 14 2" xfId="7696"/>
    <cellStyle name="Currency 4 3 15" xfId="7697"/>
    <cellStyle name="Currency 4 3 16" xfId="7698"/>
    <cellStyle name="Currency 4 3 2" xfId="7699"/>
    <cellStyle name="Currency 4 3 2 10" xfId="7700"/>
    <cellStyle name="Currency 4 3 2 10 2" xfId="7701"/>
    <cellStyle name="Currency 4 3 2 11" xfId="7702"/>
    <cellStyle name="Currency 4 3 2 11 2" xfId="7703"/>
    <cellStyle name="Currency 4 3 2 12" xfId="7704"/>
    <cellStyle name="Currency 4 3 2 13" xfId="7705"/>
    <cellStyle name="Currency 4 3 2 2" xfId="7706"/>
    <cellStyle name="Currency 4 3 2 2 10" xfId="7707"/>
    <cellStyle name="Currency 4 3 2 2 11" xfId="7708"/>
    <cellStyle name="Currency 4 3 2 2 2" xfId="7709"/>
    <cellStyle name="Currency 4 3 2 2 2 2" xfId="7710"/>
    <cellStyle name="Currency 4 3 2 2 2 2 2" xfId="7711"/>
    <cellStyle name="Currency 4 3 2 2 2 3" xfId="7712"/>
    <cellStyle name="Currency 4 3 2 2 2 3 2" xfId="7713"/>
    <cellStyle name="Currency 4 3 2 2 2 4" xfId="7714"/>
    <cellStyle name="Currency 4 3 2 2 2 4 2" xfId="7715"/>
    <cellStyle name="Currency 4 3 2 2 2 5" xfId="7716"/>
    <cellStyle name="Currency 4 3 2 2 2 6" xfId="7717"/>
    <cellStyle name="Currency 4 3 2 2 3" xfId="7718"/>
    <cellStyle name="Currency 4 3 2 2 3 2" xfId="7719"/>
    <cellStyle name="Currency 4 3 2 2 3 2 2" xfId="7720"/>
    <cellStyle name="Currency 4 3 2 2 3 3" xfId="7721"/>
    <cellStyle name="Currency 4 3 2 2 3 3 2" xfId="7722"/>
    <cellStyle name="Currency 4 3 2 2 3 4" xfId="7723"/>
    <cellStyle name="Currency 4 3 2 2 3 4 2" xfId="7724"/>
    <cellStyle name="Currency 4 3 2 2 3 5" xfId="7725"/>
    <cellStyle name="Currency 4 3 2 2 3 6" xfId="7726"/>
    <cellStyle name="Currency 4 3 2 2 4" xfId="7727"/>
    <cellStyle name="Currency 4 3 2 2 4 2" xfId="7728"/>
    <cellStyle name="Currency 4 3 2 2 4 2 2" xfId="7729"/>
    <cellStyle name="Currency 4 3 2 2 4 3" xfId="7730"/>
    <cellStyle name="Currency 4 3 2 2 4 3 2" xfId="7731"/>
    <cellStyle name="Currency 4 3 2 2 4 4" xfId="7732"/>
    <cellStyle name="Currency 4 3 2 2 4 4 2" xfId="7733"/>
    <cellStyle name="Currency 4 3 2 2 4 5" xfId="7734"/>
    <cellStyle name="Currency 4 3 2 2 4 6" xfId="7735"/>
    <cellStyle name="Currency 4 3 2 2 5" xfId="7736"/>
    <cellStyle name="Currency 4 3 2 2 5 2" xfId="7737"/>
    <cellStyle name="Currency 4 3 2 2 5 2 2" xfId="7738"/>
    <cellStyle name="Currency 4 3 2 2 5 3" xfId="7739"/>
    <cellStyle name="Currency 4 3 2 2 5 3 2" xfId="7740"/>
    <cellStyle name="Currency 4 3 2 2 5 4" xfId="7741"/>
    <cellStyle name="Currency 4 3 2 2 5 4 2" xfId="7742"/>
    <cellStyle name="Currency 4 3 2 2 5 5" xfId="7743"/>
    <cellStyle name="Currency 4 3 2 2 5 6" xfId="7744"/>
    <cellStyle name="Currency 4 3 2 2 6" xfId="7745"/>
    <cellStyle name="Currency 4 3 2 2 6 2" xfId="7746"/>
    <cellStyle name="Currency 4 3 2 2 6 2 2" xfId="7747"/>
    <cellStyle name="Currency 4 3 2 2 6 3" xfId="7748"/>
    <cellStyle name="Currency 4 3 2 2 6 3 2" xfId="7749"/>
    <cellStyle name="Currency 4 3 2 2 6 4" xfId="7750"/>
    <cellStyle name="Currency 4 3 2 2 6 5" xfId="7751"/>
    <cellStyle name="Currency 4 3 2 2 7" xfId="7752"/>
    <cellStyle name="Currency 4 3 2 2 7 2" xfId="7753"/>
    <cellStyle name="Currency 4 3 2 2 8" xfId="7754"/>
    <cellStyle name="Currency 4 3 2 2 8 2" xfId="7755"/>
    <cellStyle name="Currency 4 3 2 2 9" xfId="7756"/>
    <cellStyle name="Currency 4 3 2 2 9 2" xfId="7757"/>
    <cellStyle name="Currency 4 3 2 3" xfId="7758"/>
    <cellStyle name="Currency 4 3 2 3 10" xfId="7759"/>
    <cellStyle name="Currency 4 3 2 3 2" xfId="7760"/>
    <cellStyle name="Currency 4 3 2 3 2 2" xfId="7761"/>
    <cellStyle name="Currency 4 3 2 3 2 2 2" xfId="7762"/>
    <cellStyle name="Currency 4 3 2 3 2 3" xfId="7763"/>
    <cellStyle name="Currency 4 3 2 3 2 3 2" xfId="7764"/>
    <cellStyle name="Currency 4 3 2 3 2 4" xfId="7765"/>
    <cellStyle name="Currency 4 3 2 3 2 4 2" xfId="7766"/>
    <cellStyle name="Currency 4 3 2 3 2 5" xfId="7767"/>
    <cellStyle name="Currency 4 3 2 3 2 6" xfId="7768"/>
    <cellStyle name="Currency 4 3 2 3 3" xfId="7769"/>
    <cellStyle name="Currency 4 3 2 3 3 2" xfId="7770"/>
    <cellStyle name="Currency 4 3 2 3 3 2 2" xfId="7771"/>
    <cellStyle name="Currency 4 3 2 3 3 3" xfId="7772"/>
    <cellStyle name="Currency 4 3 2 3 3 3 2" xfId="7773"/>
    <cellStyle name="Currency 4 3 2 3 3 4" xfId="7774"/>
    <cellStyle name="Currency 4 3 2 3 3 4 2" xfId="7775"/>
    <cellStyle name="Currency 4 3 2 3 3 5" xfId="7776"/>
    <cellStyle name="Currency 4 3 2 3 3 6" xfId="7777"/>
    <cellStyle name="Currency 4 3 2 3 4" xfId="7778"/>
    <cellStyle name="Currency 4 3 2 3 4 2" xfId="7779"/>
    <cellStyle name="Currency 4 3 2 3 4 2 2" xfId="7780"/>
    <cellStyle name="Currency 4 3 2 3 4 3" xfId="7781"/>
    <cellStyle name="Currency 4 3 2 3 4 3 2" xfId="7782"/>
    <cellStyle name="Currency 4 3 2 3 4 4" xfId="7783"/>
    <cellStyle name="Currency 4 3 2 3 4 4 2" xfId="7784"/>
    <cellStyle name="Currency 4 3 2 3 4 5" xfId="7785"/>
    <cellStyle name="Currency 4 3 2 3 4 6" xfId="7786"/>
    <cellStyle name="Currency 4 3 2 3 5" xfId="7787"/>
    <cellStyle name="Currency 4 3 2 3 5 2" xfId="7788"/>
    <cellStyle name="Currency 4 3 2 3 5 2 2" xfId="7789"/>
    <cellStyle name="Currency 4 3 2 3 5 3" xfId="7790"/>
    <cellStyle name="Currency 4 3 2 3 5 3 2" xfId="7791"/>
    <cellStyle name="Currency 4 3 2 3 5 4" xfId="7792"/>
    <cellStyle name="Currency 4 3 2 3 5 5" xfId="7793"/>
    <cellStyle name="Currency 4 3 2 3 6" xfId="7794"/>
    <cellStyle name="Currency 4 3 2 3 6 2" xfId="7795"/>
    <cellStyle name="Currency 4 3 2 3 7" xfId="7796"/>
    <cellStyle name="Currency 4 3 2 3 7 2" xfId="7797"/>
    <cellStyle name="Currency 4 3 2 3 8" xfId="7798"/>
    <cellStyle name="Currency 4 3 2 3 8 2" xfId="7799"/>
    <cellStyle name="Currency 4 3 2 3 9" xfId="7800"/>
    <cellStyle name="Currency 4 3 2 4" xfId="7801"/>
    <cellStyle name="Currency 4 3 2 4 10" xfId="7802"/>
    <cellStyle name="Currency 4 3 2 4 2" xfId="7803"/>
    <cellStyle name="Currency 4 3 2 4 2 2" xfId="7804"/>
    <cellStyle name="Currency 4 3 2 4 2 2 2" xfId="7805"/>
    <cellStyle name="Currency 4 3 2 4 2 3" xfId="7806"/>
    <cellStyle name="Currency 4 3 2 4 2 3 2" xfId="7807"/>
    <cellStyle name="Currency 4 3 2 4 2 4" xfId="7808"/>
    <cellStyle name="Currency 4 3 2 4 2 4 2" xfId="7809"/>
    <cellStyle name="Currency 4 3 2 4 2 5" xfId="7810"/>
    <cellStyle name="Currency 4 3 2 4 2 6" xfId="7811"/>
    <cellStyle name="Currency 4 3 2 4 3" xfId="7812"/>
    <cellStyle name="Currency 4 3 2 4 3 2" xfId="7813"/>
    <cellStyle name="Currency 4 3 2 4 3 2 2" xfId="7814"/>
    <cellStyle name="Currency 4 3 2 4 3 3" xfId="7815"/>
    <cellStyle name="Currency 4 3 2 4 3 3 2" xfId="7816"/>
    <cellStyle name="Currency 4 3 2 4 3 4" xfId="7817"/>
    <cellStyle name="Currency 4 3 2 4 3 4 2" xfId="7818"/>
    <cellStyle name="Currency 4 3 2 4 3 5" xfId="7819"/>
    <cellStyle name="Currency 4 3 2 4 3 6" xfId="7820"/>
    <cellStyle name="Currency 4 3 2 4 4" xfId="7821"/>
    <cellStyle name="Currency 4 3 2 4 4 2" xfId="7822"/>
    <cellStyle name="Currency 4 3 2 4 4 2 2" xfId="7823"/>
    <cellStyle name="Currency 4 3 2 4 4 3" xfId="7824"/>
    <cellStyle name="Currency 4 3 2 4 4 3 2" xfId="7825"/>
    <cellStyle name="Currency 4 3 2 4 4 4" xfId="7826"/>
    <cellStyle name="Currency 4 3 2 4 4 4 2" xfId="7827"/>
    <cellStyle name="Currency 4 3 2 4 4 5" xfId="7828"/>
    <cellStyle name="Currency 4 3 2 4 4 6" xfId="7829"/>
    <cellStyle name="Currency 4 3 2 4 5" xfId="7830"/>
    <cellStyle name="Currency 4 3 2 4 5 2" xfId="7831"/>
    <cellStyle name="Currency 4 3 2 4 5 2 2" xfId="7832"/>
    <cellStyle name="Currency 4 3 2 4 5 3" xfId="7833"/>
    <cellStyle name="Currency 4 3 2 4 5 3 2" xfId="7834"/>
    <cellStyle name="Currency 4 3 2 4 5 4" xfId="7835"/>
    <cellStyle name="Currency 4 3 2 4 5 5" xfId="7836"/>
    <cellStyle name="Currency 4 3 2 4 6" xfId="7837"/>
    <cellStyle name="Currency 4 3 2 4 6 2" xfId="7838"/>
    <cellStyle name="Currency 4 3 2 4 7" xfId="7839"/>
    <cellStyle name="Currency 4 3 2 4 7 2" xfId="7840"/>
    <cellStyle name="Currency 4 3 2 4 8" xfId="7841"/>
    <cellStyle name="Currency 4 3 2 4 8 2" xfId="7842"/>
    <cellStyle name="Currency 4 3 2 4 9" xfId="7843"/>
    <cellStyle name="Currency 4 3 2 5" xfId="7844"/>
    <cellStyle name="Currency 4 3 2 5 2" xfId="7845"/>
    <cellStyle name="Currency 4 3 2 5 2 2" xfId="7846"/>
    <cellStyle name="Currency 4 3 2 5 3" xfId="7847"/>
    <cellStyle name="Currency 4 3 2 5 3 2" xfId="7848"/>
    <cellStyle name="Currency 4 3 2 5 4" xfId="7849"/>
    <cellStyle name="Currency 4 3 2 5 4 2" xfId="7850"/>
    <cellStyle name="Currency 4 3 2 5 5" xfId="7851"/>
    <cellStyle name="Currency 4 3 2 5 6" xfId="7852"/>
    <cellStyle name="Currency 4 3 2 6" xfId="7853"/>
    <cellStyle name="Currency 4 3 2 6 2" xfId="7854"/>
    <cellStyle name="Currency 4 3 2 6 2 2" xfId="7855"/>
    <cellStyle name="Currency 4 3 2 6 3" xfId="7856"/>
    <cellStyle name="Currency 4 3 2 6 3 2" xfId="7857"/>
    <cellStyle name="Currency 4 3 2 6 4" xfId="7858"/>
    <cellStyle name="Currency 4 3 2 6 4 2" xfId="7859"/>
    <cellStyle name="Currency 4 3 2 6 5" xfId="7860"/>
    <cellStyle name="Currency 4 3 2 6 6" xfId="7861"/>
    <cellStyle name="Currency 4 3 2 7" xfId="7862"/>
    <cellStyle name="Currency 4 3 2 7 2" xfId="7863"/>
    <cellStyle name="Currency 4 3 2 7 2 2" xfId="7864"/>
    <cellStyle name="Currency 4 3 2 7 3" xfId="7865"/>
    <cellStyle name="Currency 4 3 2 7 3 2" xfId="7866"/>
    <cellStyle name="Currency 4 3 2 7 4" xfId="7867"/>
    <cellStyle name="Currency 4 3 2 7 4 2" xfId="7868"/>
    <cellStyle name="Currency 4 3 2 7 5" xfId="7869"/>
    <cellStyle name="Currency 4 3 2 7 6" xfId="7870"/>
    <cellStyle name="Currency 4 3 2 8" xfId="7871"/>
    <cellStyle name="Currency 4 3 2 8 2" xfId="7872"/>
    <cellStyle name="Currency 4 3 2 8 2 2" xfId="7873"/>
    <cellStyle name="Currency 4 3 2 8 3" xfId="7874"/>
    <cellStyle name="Currency 4 3 2 8 3 2" xfId="7875"/>
    <cellStyle name="Currency 4 3 2 8 4" xfId="7876"/>
    <cellStyle name="Currency 4 3 2 8 5" xfId="7877"/>
    <cellStyle name="Currency 4 3 2 9" xfId="7878"/>
    <cellStyle name="Currency 4 3 2 9 2" xfId="7879"/>
    <cellStyle name="Currency 4 3 3" xfId="7880"/>
    <cellStyle name="Currency 4 3 3 10" xfId="7881"/>
    <cellStyle name="Currency 4 3 3 10 2" xfId="7882"/>
    <cellStyle name="Currency 4 3 3 11" xfId="7883"/>
    <cellStyle name="Currency 4 3 3 11 2" xfId="7884"/>
    <cellStyle name="Currency 4 3 3 12" xfId="7885"/>
    <cellStyle name="Currency 4 3 3 13" xfId="7886"/>
    <cellStyle name="Currency 4 3 3 2" xfId="7887"/>
    <cellStyle name="Currency 4 3 3 2 10" xfId="7888"/>
    <cellStyle name="Currency 4 3 3 2 11" xfId="7889"/>
    <cellStyle name="Currency 4 3 3 2 2" xfId="7890"/>
    <cellStyle name="Currency 4 3 3 2 2 2" xfId="7891"/>
    <cellStyle name="Currency 4 3 3 2 2 2 2" xfId="7892"/>
    <cellStyle name="Currency 4 3 3 2 2 3" xfId="7893"/>
    <cellStyle name="Currency 4 3 3 2 2 3 2" xfId="7894"/>
    <cellStyle name="Currency 4 3 3 2 2 4" xfId="7895"/>
    <cellStyle name="Currency 4 3 3 2 2 4 2" xfId="7896"/>
    <cellStyle name="Currency 4 3 3 2 2 5" xfId="7897"/>
    <cellStyle name="Currency 4 3 3 2 2 6" xfId="7898"/>
    <cellStyle name="Currency 4 3 3 2 3" xfId="7899"/>
    <cellStyle name="Currency 4 3 3 2 3 2" xfId="7900"/>
    <cellStyle name="Currency 4 3 3 2 3 2 2" xfId="7901"/>
    <cellStyle name="Currency 4 3 3 2 3 3" xfId="7902"/>
    <cellStyle name="Currency 4 3 3 2 3 3 2" xfId="7903"/>
    <cellStyle name="Currency 4 3 3 2 3 4" xfId="7904"/>
    <cellStyle name="Currency 4 3 3 2 3 4 2" xfId="7905"/>
    <cellStyle name="Currency 4 3 3 2 3 5" xfId="7906"/>
    <cellStyle name="Currency 4 3 3 2 3 6" xfId="7907"/>
    <cellStyle name="Currency 4 3 3 2 4" xfId="7908"/>
    <cellStyle name="Currency 4 3 3 2 4 2" xfId="7909"/>
    <cellStyle name="Currency 4 3 3 2 4 2 2" xfId="7910"/>
    <cellStyle name="Currency 4 3 3 2 4 3" xfId="7911"/>
    <cellStyle name="Currency 4 3 3 2 4 3 2" xfId="7912"/>
    <cellStyle name="Currency 4 3 3 2 4 4" xfId="7913"/>
    <cellStyle name="Currency 4 3 3 2 4 4 2" xfId="7914"/>
    <cellStyle name="Currency 4 3 3 2 4 5" xfId="7915"/>
    <cellStyle name="Currency 4 3 3 2 4 6" xfId="7916"/>
    <cellStyle name="Currency 4 3 3 2 5" xfId="7917"/>
    <cellStyle name="Currency 4 3 3 2 5 2" xfId="7918"/>
    <cellStyle name="Currency 4 3 3 2 5 2 2" xfId="7919"/>
    <cellStyle name="Currency 4 3 3 2 5 3" xfId="7920"/>
    <cellStyle name="Currency 4 3 3 2 5 3 2" xfId="7921"/>
    <cellStyle name="Currency 4 3 3 2 5 4" xfId="7922"/>
    <cellStyle name="Currency 4 3 3 2 5 4 2" xfId="7923"/>
    <cellStyle name="Currency 4 3 3 2 5 5" xfId="7924"/>
    <cellStyle name="Currency 4 3 3 2 5 6" xfId="7925"/>
    <cellStyle name="Currency 4 3 3 2 6" xfId="7926"/>
    <cellStyle name="Currency 4 3 3 2 6 2" xfId="7927"/>
    <cellStyle name="Currency 4 3 3 2 6 2 2" xfId="7928"/>
    <cellStyle name="Currency 4 3 3 2 6 3" xfId="7929"/>
    <cellStyle name="Currency 4 3 3 2 6 3 2" xfId="7930"/>
    <cellStyle name="Currency 4 3 3 2 6 4" xfId="7931"/>
    <cellStyle name="Currency 4 3 3 2 6 5" xfId="7932"/>
    <cellStyle name="Currency 4 3 3 2 7" xfId="7933"/>
    <cellStyle name="Currency 4 3 3 2 7 2" xfId="7934"/>
    <cellStyle name="Currency 4 3 3 2 8" xfId="7935"/>
    <cellStyle name="Currency 4 3 3 2 8 2" xfId="7936"/>
    <cellStyle name="Currency 4 3 3 2 9" xfId="7937"/>
    <cellStyle name="Currency 4 3 3 2 9 2" xfId="7938"/>
    <cellStyle name="Currency 4 3 3 3" xfId="7939"/>
    <cellStyle name="Currency 4 3 3 3 10" xfId="7940"/>
    <cellStyle name="Currency 4 3 3 3 2" xfId="7941"/>
    <cellStyle name="Currency 4 3 3 3 2 2" xfId="7942"/>
    <cellStyle name="Currency 4 3 3 3 2 2 2" xfId="7943"/>
    <cellStyle name="Currency 4 3 3 3 2 3" xfId="7944"/>
    <cellStyle name="Currency 4 3 3 3 2 3 2" xfId="7945"/>
    <cellStyle name="Currency 4 3 3 3 2 4" xfId="7946"/>
    <cellStyle name="Currency 4 3 3 3 2 4 2" xfId="7947"/>
    <cellStyle name="Currency 4 3 3 3 2 5" xfId="7948"/>
    <cellStyle name="Currency 4 3 3 3 2 6" xfId="7949"/>
    <cellStyle name="Currency 4 3 3 3 3" xfId="7950"/>
    <cellStyle name="Currency 4 3 3 3 3 2" xfId="7951"/>
    <cellStyle name="Currency 4 3 3 3 3 2 2" xfId="7952"/>
    <cellStyle name="Currency 4 3 3 3 3 3" xfId="7953"/>
    <cellStyle name="Currency 4 3 3 3 3 3 2" xfId="7954"/>
    <cellStyle name="Currency 4 3 3 3 3 4" xfId="7955"/>
    <cellStyle name="Currency 4 3 3 3 3 4 2" xfId="7956"/>
    <cellStyle name="Currency 4 3 3 3 3 5" xfId="7957"/>
    <cellStyle name="Currency 4 3 3 3 3 6" xfId="7958"/>
    <cellStyle name="Currency 4 3 3 3 4" xfId="7959"/>
    <cellStyle name="Currency 4 3 3 3 4 2" xfId="7960"/>
    <cellStyle name="Currency 4 3 3 3 4 2 2" xfId="7961"/>
    <cellStyle name="Currency 4 3 3 3 4 3" xfId="7962"/>
    <cellStyle name="Currency 4 3 3 3 4 3 2" xfId="7963"/>
    <cellStyle name="Currency 4 3 3 3 4 4" xfId="7964"/>
    <cellStyle name="Currency 4 3 3 3 4 4 2" xfId="7965"/>
    <cellStyle name="Currency 4 3 3 3 4 5" xfId="7966"/>
    <cellStyle name="Currency 4 3 3 3 4 6" xfId="7967"/>
    <cellStyle name="Currency 4 3 3 3 5" xfId="7968"/>
    <cellStyle name="Currency 4 3 3 3 5 2" xfId="7969"/>
    <cellStyle name="Currency 4 3 3 3 5 2 2" xfId="7970"/>
    <cellStyle name="Currency 4 3 3 3 5 3" xfId="7971"/>
    <cellStyle name="Currency 4 3 3 3 5 3 2" xfId="7972"/>
    <cellStyle name="Currency 4 3 3 3 5 4" xfId="7973"/>
    <cellStyle name="Currency 4 3 3 3 5 5" xfId="7974"/>
    <cellStyle name="Currency 4 3 3 3 6" xfId="7975"/>
    <cellStyle name="Currency 4 3 3 3 6 2" xfId="7976"/>
    <cellStyle name="Currency 4 3 3 3 7" xfId="7977"/>
    <cellStyle name="Currency 4 3 3 3 7 2" xfId="7978"/>
    <cellStyle name="Currency 4 3 3 3 8" xfId="7979"/>
    <cellStyle name="Currency 4 3 3 3 8 2" xfId="7980"/>
    <cellStyle name="Currency 4 3 3 3 9" xfId="7981"/>
    <cellStyle name="Currency 4 3 3 4" xfId="7982"/>
    <cellStyle name="Currency 4 3 3 4 10" xfId="7983"/>
    <cellStyle name="Currency 4 3 3 4 2" xfId="7984"/>
    <cellStyle name="Currency 4 3 3 4 2 2" xfId="7985"/>
    <cellStyle name="Currency 4 3 3 4 2 2 2" xfId="7986"/>
    <cellStyle name="Currency 4 3 3 4 2 3" xfId="7987"/>
    <cellStyle name="Currency 4 3 3 4 2 3 2" xfId="7988"/>
    <cellStyle name="Currency 4 3 3 4 2 4" xfId="7989"/>
    <cellStyle name="Currency 4 3 3 4 2 4 2" xfId="7990"/>
    <cellStyle name="Currency 4 3 3 4 2 5" xfId="7991"/>
    <cellStyle name="Currency 4 3 3 4 2 6" xfId="7992"/>
    <cellStyle name="Currency 4 3 3 4 3" xfId="7993"/>
    <cellStyle name="Currency 4 3 3 4 3 2" xfId="7994"/>
    <cellStyle name="Currency 4 3 3 4 3 2 2" xfId="7995"/>
    <cellStyle name="Currency 4 3 3 4 3 3" xfId="7996"/>
    <cellStyle name="Currency 4 3 3 4 3 3 2" xfId="7997"/>
    <cellStyle name="Currency 4 3 3 4 3 4" xfId="7998"/>
    <cellStyle name="Currency 4 3 3 4 3 4 2" xfId="7999"/>
    <cellStyle name="Currency 4 3 3 4 3 5" xfId="8000"/>
    <cellStyle name="Currency 4 3 3 4 3 6" xfId="8001"/>
    <cellStyle name="Currency 4 3 3 4 4" xfId="8002"/>
    <cellStyle name="Currency 4 3 3 4 4 2" xfId="8003"/>
    <cellStyle name="Currency 4 3 3 4 4 2 2" xfId="8004"/>
    <cellStyle name="Currency 4 3 3 4 4 3" xfId="8005"/>
    <cellStyle name="Currency 4 3 3 4 4 3 2" xfId="8006"/>
    <cellStyle name="Currency 4 3 3 4 4 4" xfId="8007"/>
    <cellStyle name="Currency 4 3 3 4 4 4 2" xfId="8008"/>
    <cellStyle name="Currency 4 3 3 4 4 5" xfId="8009"/>
    <cellStyle name="Currency 4 3 3 4 4 6" xfId="8010"/>
    <cellStyle name="Currency 4 3 3 4 5" xfId="8011"/>
    <cellStyle name="Currency 4 3 3 4 5 2" xfId="8012"/>
    <cellStyle name="Currency 4 3 3 4 5 2 2" xfId="8013"/>
    <cellStyle name="Currency 4 3 3 4 5 3" xfId="8014"/>
    <cellStyle name="Currency 4 3 3 4 5 3 2" xfId="8015"/>
    <cellStyle name="Currency 4 3 3 4 5 4" xfId="8016"/>
    <cellStyle name="Currency 4 3 3 4 5 5" xfId="8017"/>
    <cellStyle name="Currency 4 3 3 4 6" xfId="8018"/>
    <cellStyle name="Currency 4 3 3 4 6 2" xfId="8019"/>
    <cellStyle name="Currency 4 3 3 4 7" xfId="8020"/>
    <cellStyle name="Currency 4 3 3 4 7 2" xfId="8021"/>
    <cellStyle name="Currency 4 3 3 4 8" xfId="8022"/>
    <cellStyle name="Currency 4 3 3 4 8 2" xfId="8023"/>
    <cellStyle name="Currency 4 3 3 4 9" xfId="8024"/>
    <cellStyle name="Currency 4 3 3 5" xfId="8025"/>
    <cellStyle name="Currency 4 3 3 5 2" xfId="8026"/>
    <cellStyle name="Currency 4 3 3 5 2 2" xfId="8027"/>
    <cellStyle name="Currency 4 3 3 5 3" xfId="8028"/>
    <cellStyle name="Currency 4 3 3 5 3 2" xfId="8029"/>
    <cellStyle name="Currency 4 3 3 5 4" xfId="8030"/>
    <cellStyle name="Currency 4 3 3 5 4 2" xfId="8031"/>
    <cellStyle name="Currency 4 3 3 5 5" xfId="8032"/>
    <cellStyle name="Currency 4 3 3 5 6" xfId="8033"/>
    <cellStyle name="Currency 4 3 3 6" xfId="8034"/>
    <cellStyle name="Currency 4 3 3 6 2" xfId="8035"/>
    <cellStyle name="Currency 4 3 3 6 2 2" xfId="8036"/>
    <cellStyle name="Currency 4 3 3 6 3" xfId="8037"/>
    <cellStyle name="Currency 4 3 3 6 3 2" xfId="8038"/>
    <cellStyle name="Currency 4 3 3 6 4" xfId="8039"/>
    <cellStyle name="Currency 4 3 3 6 4 2" xfId="8040"/>
    <cellStyle name="Currency 4 3 3 6 5" xfId="8041"/>
    <cellStyle name="Currency 4 3 3 6 6" xfId="8042"/>
    <cellStyle name="Currency 4 3 3 7" xfId="8043"/>
    <cellStyle name="Currency 4 3 3 7 2" xfId="8044"/>
    <cellStyle name="Currency 4 3 3 7 2 2" xfId="8045"/>
    <cellStyle name="Currency 4 3 3 7 3" xfId="8046"/>
    <cellStyle name="Currency 4 3 3 7 3 2" xfId="8047"/>
    <cellStyle name="Currency 4 3 3 7 4" xfId="8048"/>
    <cellStyle name="Currency 4 3 3 7 4 2" xfId="8049"/>
    <cellStyle name="Currency 4 3 3 7 5" xfId="8050"/>
    <cellStyle name="Currency 4 3 3 7 6" xfId="8051"/>
    <cellStyle name="Currency 4 3 3 8" xfId="8052"/>
    <cellStyle name="Currency 4 3 3 8 2" xfId="8053"/>
    <cellStyle name="Currency 4 3 3 8 2 2" xfId="8054"/>
    <cellStyle name="Currency 4 3 3 8 3" xfId="8055"/>
    <cellStyle name="Currency 4 3 3 8 3 2" xfId="8056"/>
    <cellStyle name="Currency 4 3 3 8 4" xfId="8057"/>
    <cellStyle name="Currency 4 3 3 8 5" xfId="8058"/>
    <cellStyle name="Currency 4 3 3 9" xfId="8059"/>
    <cellStyle name="Currency 4 3 3 9 2" xfId="8060"/>
    <cellStyle name="Currency 4 3 4" xfId="8061"/>
    <cellStyle name="Currency 4 3 4 10" xfId="8062"/>
    <cellStyle name="Currency 4 3 4 10 2" xfId="8063"/>
    <cellStyle name="Currency 4 3 4 11" xfId="8064"/>
    <cellStyle name="Currency 4 3 4 12" xfId="8065"/>
    <cellStyle name="Currency 4 3 4 2" xfId="8066"/>
    <cellStyle name="Currency 4 3 4 2 10" xfId="8067"/>
    <cellStyle name="Currency 4 3 4 2 2" xfId="8068"/>
    <cellStyle name="Currency 4 3 4 2 2 2" xfId="8069"/>
    <cellStyle name="Currency 4 3 4 2 2 2 2" xfId="8070"/>
    <cellStyle name="Currency 4 3 4 2 2 3" xfId="8071"/>
    <cellStyle name="Currency 4 3 4 2 2 3 2" xfId="8072"/>
    <cellStyle name="Currency 4 3 4 2 2 4" xfId="8073"/>
    <cellStyle name="Currency 4 3 4 2 2 4 2" xfId="8074"/>
    <cellStyle name="Currency 4 3 4 2 2 5" xfId="8075"/>
    <cellStyle name="Currency 4 3 4 2 2 6" xfId="8076"/>
    <cellStyle name="Currency 4 3 4 2 3" xfId="8077"/>
    <cellStyle name="Currency 4 3 4 2 3 2" xfId="8078"/>
    <cellStyle name="Currency 4 3 4 2 3 2 2" xfId="8079"/>
    <cellStyle name="Currency 4 3 4 2 3 3" xfId="8080"/>
    <cellStyle name="Currency 4 3 4 2 3 3 2" xfId="8081"/>
    <cellStyle name="Currency 4 3 4 2 3 4" xfId="8082"/>
    <cellStyle name="Currency 4 3 4 2 3 4 2" xfId="8083"/>
    <cellStyle name="Currency 4 3 4 2 3 5" xfId="8084"/>
    <cellStyle name="Currency 4 3 4 2 3 6" xfId="8085"/>
    <cellStyle name="Currency 4 3 4 2 4" xfId="8086"/>
    <cellStyle name="Currency 4 3 4 2 4 2" xfId="8087"/>
    <cellStyle name="Currency 4 3 4 2 4 2 2" xfId="8088"/>
    <cellStyle name="Currency 4 3 4 2 4 3" xfId="8089"/>
    <cellStyle name="Currency 4 3 4 2 4 3 2" xfId="8090"/>
    <cellStyle name="Currency 4 3 4 2 4 4" xfId="8091"/>
    <cellStyle name="Currency 4 3 4 2 4 4 2" xfId="8092"/>
    <cellStyle name="Currency 4 3 4 2 4 5" xfId="8093"/>
    <cellStyle name="Currency 4 3 4 2 4 6" xfId="8094"/>
    <cellStyle name="Currency 4 3 4 2 5" xfId="8095"/>
    <cellStyle name="Currency 4 3 4 2 5 2" xfId="8096"/>
    <cellStyle name="Currency 4 3 4 2 5 2 2" xfId="8097"/>
    <cellStyle name="Currency 4 3 4 2 5 3" xfId="8098"/>
    <cellStyle name="Currency 4 3 4 2 5 3 2" xfId="8099"/>
    <cellStyle name="Currency 4 3 4 2 5 4" xfId="8100"/>
    <cellStyle name="Currency 4 3 4 2 5 5" xfId="8101"/>
    <cellStyle name="Currency 4 3 4 2 6" xfId="8102"/>
    <cellStyle name="Currency 4 3 4 2 6 2" xfId="8103"/>
    <cellStyle name="Currency 4 3 4 2 7" xfId="8104"/>
    <cellStyle name="Currency 4 3 4 2 7 2" xfId="8105"/>
    <cellStyle name="Currency 4 3 4 2 8" xfId="8106"/>
    <cellStyle name="Currency 4 3 4 2 8 2" xfId="8107"/>
    <cellStyle name="Currency 4 3 4 2 9" xfId="8108"/>
    <cellStyle name="Currency 4 3 4 3" xfId="8109"/>
    <cellStyle name="Currency 4 3 4 3 10" xfId="8110"/>
    <cellStyle name="Currency 4 3 4 3 2" xfId="8111"/>
    <cellStyle name="Currency 4 3 4 3 2 2" xfId="8112"/>
    <cellStyle name="Currency 4 3 4 3 2 2 2" xfId="8113"/>
    <cellStyle name="Currency 4 3 4 3 2 3" xfId="8114"/>
    <cellStyle name="Currency 4 3 4 3 2 3 2" xfId="8115"/>
    <cellStyle name="Currency 4 3 4 3 2 4" xfId="8116"/>
    <cellStyle name="Currency 4 3 4 3 2 4 2" xfId="8117"/>
    <cellStyle name="Currency 4 3 4 3 2 5" xfId="8118"/>
    <cellStyle name="Currency 4 3 4 3 2 6" xfId="8119"/>
    <cellStyle name="Currency 4 3 4 3 3" xfId="8120"/>
    <cellStyle name="Currency 4 3 4 3 3 2" xfId="8121"/>
    <cellStyle name="Currency 4 3 4 3 3 2 2" xfId="8122"/>
    <cellStyle name="Currency 4 3 4 3 3 3" xfId="8123"/>
    <cellStyle name="Currency 4 3 4 3 3 3 2" xfId="8124"/>
    <cellStyle name="Currency 4 3 4 3 3 4" xfId="8125"/>
    <cellStyle name="Currency 4 3 4 3 3 4 2" xfId="8126"/>
    <cellStyle name="Currency 4 3 4 3 3 5" xfId="8127"/>
    <cellStyle name="Currency 4 3 4 3 3 6" xfId="8128"/>
    <cellStyle name="Currency 4 3 4 3 4" xfId="8129"/>
    <cellStyle name="Currency 4 3 4 3 4 2" xfId="8130"/>
    <cellStyle name="Currency 4 3 4 3 4 2 2" xfId="8131"/>
    <cellStyle name="Currency 4 3 4 3 4 3" xfId="8132"/>
    <cellStyle name="Currency 4 3 4 3 4 3 2" xfId="8133"/>
    <cellStyle name="Currency 4 3 4 3 4 4" xfId="8134"/>
    <cellStyle name="Currency 4 3 4 3 4 4 2" xfId="8135"/>
    <cellStyle name="Currency 4 3 4 3 4 5" xfId="8136"/>
    <cellStyle name="Currency 4 3 4 3 4 6" xfId="8137"/>
    <cellStyle name="Currency 4 3 4 3 5" xfId="8138"/>
    <cellStyle name="Currency 4 3 4 3 5 2" xfId="8139"/>
    <cellStyle name="Currency 4 3 4 3 5 2 2" xfId="8140"/>
    <cellStyle name="Currency 4 3 4 3 5 3" xfId="8141"/>
    <cellStyle name="Currency 4 3 4 3 5 3 2" xfId="8142"/>
    <cellStyle name="Currency 4 3 4 3 5 4" xfId="8143"/>
    <cellStyle name="Currency 4 3 4 3 5 5" xfId="8144"/>
    <cellStyle name="Currency 4 3 4 3 6" xfId="8145"/>
    <cellStyle name="Currency 4 3 4 3 6 2" xfId="8146"/>
    <cellStyle name="Currency 4 3 4 3 7" xfId="8147"/>
    <cellStyle name="Currency 4 3 4 3 7 2" xfId="8148"/>
    <cellStyle name="Currency 4 3 4 3 8" xfId="8149"/>
    <cellStyle name="Currency 4 3 4 3 8 2" xfId="8150"/>
    <cellStyle name="Currency 4 3 4 3 9" xfId="8151"/>
    <cellStyle name="Currency 4 3 4 4" xfId="8152"/>
    <cellStyle name="Currency 4 3 4 4 2" xfId="8153"/>
    <cellStyle name="Currency 4 3 4 4 2 2" xfId="8154"/>
    <cellStyle name="Currency 4 3 4 4 3" xfId="8155"/>
    <cellStyle name="Currency 4 3 4 4 3 2" xfId="8156"/>
    <cellStyle name="Currency 4 3 4 4 4" xfId="8157"/>
    <cellStyle name="Currency 4 3 4 4 4 2" xfId="8158"/>
    <cellStyle name="Currency 4 3 4 4 5" xfId="8159"/>
    <cellStyle name="Currency 4 3 4 4 6" xfId="8160"/>
    <cellStyle name="Currency 4 3 4 5" xfId="8161"/>
    <cellStyle name="Currency 4 3 4 5 2" xfId="8162"/>
    <cellStyle name="Currency 4 3 4 5 2 2" xfId="8163"/>
    <cellStyle name="Currency 4 3 4 5 3" xfId="8164"/>
    <cellStyle name="Currency 4 3 4 5 3 2" xfId="8165"/>
    <cellStyle name="Currency 4 3 4 5 4" xfId="8166"/>
    <cellStyle name="Currency 4 3 4 5 4 2" xfId="8167"/>
    <cellStyle name="Currency 4 3 4 5 5" xfId="8168"/>
    <cellStyle name="Currency 4 3 4 5 6" xfId="8169"/>
    <cellStyle name="Currency 4 3 4 6" xfId="8170"/>
    <cellStyle name="Currency 4 3 4 6 2" xfId="8171"/>
    <cellStyle name="Currency 4 3 4 6 2 2" xfId="8172"/>
    <cellStyle name="Currency 4 3 4 6 3" xfId="8173"/>
    <cellStyle name="Currency 4 3 4 6 3 2" xfId="8174"/>
    <cellStyle name="Currency 4 3 4 6 4" xfId="8175"/>
    <cellStyle name="Currency 4 3 4 6 4 2" xfId="8176"/>
    <cellStyle name="Currency 4 3 4 6 5" xfId="8177"/>
    <cellStyle name="Currency 4 3 4 6 6" xfId="8178"/>
    <cellStyle name="Currency 4 3 4 7" xfId="8179"/>
    <cellStyle name="Currency 4 3 4 7 2" xfId="8180"/>
    <cellStyle name="Currency 4 3 4 7 2 2" xfId="8181"/>
    <cellStyle name="Currency 4 3 4 7 3" xfId="8182"/>
    <cellStyle name="Currency 4 3 4 7 3 2" xfId="8183"/>
    <cellStyle name="Currency 4 3 4 7 4" xfId="8184"/>
    <cellStyle name="Currency 4 3 4 7 5" xfId="8185"/>
    <cellStyle name="Currency 4 3 4 8" xfId="8186"/>
    <cellStyle name="Currency 4 3 4 8 2" xfId="8187"/>
    <cellStyle name="Currency 4 3 4 9" xfId="8188"/>
    <cellStyle name="Currency 4 3 4 9 2" xfId="8189"/>
    <cellStyle name="Currency 4 3 5" xfId="8190"/>
    <cellStyle name="Currency 4 3 5 10" xfId="8191"/>
    <cellStyle name="Currency 4 3 5 11" xfId="8192"/>
    <cellStyle name="Currency 4 3 5 2" xfId="8193"/>
    <cellStyle name="Currency 4 3 5 2 2" xfId="8194"/>
    <cellStyle name="Currency 4 3 5 2 2 2" xfId="8195"/>
    <cellStyle name="Currency 4 3 5 2 3" xfId="8196"/>
    <cellStyle name="Currency 4 3 5 2 3 2" xfId="8197"/>
    <cellStyle name="Currency 4 3 5 2 4" xfId="8198"/>
    <cellStyle name="Currency 4 3 5 2 4 2" xfId="8199"/>
    <cellStyle name="Currency 4 3 5 2 5" xfId="8200"/>
    <cellStyle name="Currency 4 3 5 2 6" xfId="8201"/>
    <cellStyle name="Currency 4 3 5 3" xfId="8202"/>
    <cellStyle name="Currency 4 3 5 3 2" xfId="8203"/>
    <cellStyle name="Currency 4 3 5 3 2 2" xfId="8204"/>
    <cellStyle name="Currency 4 3 5 3 3" xfId="8205"/>
    <cellStyle name="Currency 4 3 5 3 3 2" xfId="8206"/>
    <cellStyle name="Currency 4 3 5 3 4" xfId="8207"/>
    <cellStyle name="Currency 4 3 5 3 4 2" xfId="8208"/>
    <cellStyle name="Currency 4 3 5 3 5" xfId="8209"/>
    <cellStyle name="Currency 4 3 5 3 6" xfId="8210"/>
    <cellStyle name="Currency 4 3 5 4" xfId="8211"/>
    <cellStyle name="Currency 4 3 5 4 2" xfId="8212"/>
    <cellStyle name="Currency 4 3 5 4 2 2" xfId="8213"/>
    <cellStyle name="Currency 4 3 5 4 3" xfId="8214"/>
    <cellStyle name="Currency 4 3 5 4 3 2" xfId="8215"/>
    <cellStyle name="Currency 4 3 5 4 4" xfId="8216"/>
    <cellStyle name="Currency 4 3 5 4 4 2" xfId="8217"/>
    <cellStyle name="Currency 4 3 5 4 5" xfId="8218"/>
    <cellStyle name="Currency 4 3 5 4 6" xfId="8219"/>
    <cellStyle name="Currency 4 3 5 5" xfId="8220"/>
    <cellStyle name="Currency 4 3 5 5 2" xfId="8221"/>
    <cellStyle name="Currency 4 3 5 5 2 2" xfId="8222"/>
    <cellStyle name="Currency 4 3 5 5 3" xfId="8223"/>
    <cellStyle name="Currency 4 3 5 5 3 2" xfId="8224"/>
    <cellStyle name="Currency 4 3 5 5 4" xfId="8225"/>
    <cellStyle name="Currency 4 3 5 5 4 2" xfId="8226"/>
    <cellStyle name="Currency 4 3 5 5 5" xfId="8227"/>
    <cellStyle name="Currency 4 3 5 5 6" xfId="8228"/>
    <cellStyle name="Currency 4 3 5 6" xfId="8229"/>
    <cellStyle name="Currency 4 3 5 6 2" xfId="8230"/>
    <cellStyle name="Currency 4 3 5 6 2 2" xfId="8231"/>
    <cellStyle name="Currency 4 3 5 6 3" xfId="8232"/>
    <cellStyle name="Currency 4 3 5 6 3 2" xfId="8233"/>
    <cellStyle name="Currency 4 3 5 6 4" xfId="8234"/>
    <cellStyle name="Currency 4 3 5 6 5" xfId="8235"/>
    <cellStyle name="Currency 4 3 5 7" xfId="8236"/>
    <cellStyle name="Currency 4 3 5 7 2" xfId="8237"/>
    <cellStyle name="Currency 4 3 5 8" xfId="8238"/>
    <cellStyle name="Currency 4 3 5 8 2" xfId="8239"/>
    <cellStyle name="Currency 4 3 5 9" xfId="8240"/>
    <cellStyle name="Currency 4 3 5 9 2" xfId="8241"/>
    <cellStyle name="Currency 4 3 6" xfId="8242"/>
    <cellStyle name="Currency 4 3 6 10" xfId="8243"/>
    <cellStyle name="Currency 4 3 6 2" xfId="8244"/>
    <cellStyle name="Currency 4 3 6 2 2" xfId="8245"/>
    <cellStyle name="Currency 4 3 6 2 2 2" xfId="8246"/>
    <cellStyle name="Currency 4 3 6 2 3" xfId="8247"/>
    <cellStyle name="Currency 4 3 6 2 3 2" xfId="8248"/>
    <cellStyle name="Currency 4 3 6 2 4" xfId="8249"/>
    <cellStyle name="Currency 4 3 6 2 4 2" xfId="8250"/>
    <cellStyle name="Currency 4 3 6 2 5" xfId="8251"/>
    <cellStyle name="Currency 4 3 6 2 6" xfId="8252"/>
    <cellStyle name="Currency 4 3 6 3" xfId="8253"/>
    <cellStyle name="Currency 4 3 6 3 2" xfId="8254"/>
    <cellStyle name="Currency 4 3 6 3 2 2" xfId="8255"/>
    <cellStyle name="Currency 4 3 6 3 3" xfId="8256"/>
    <cellStyle name="Currency 4 3 6 3 3 2" xfId="8257"/>
    <cellStyle name="Currency 4 3 6 3 4" xfId="8258"/>
    <cellStyle name="Currency 4 3 6 3 4 2" xfId="8259"/>
    <cellStyle name="Currency 4 3 6 3 5" xfId="8260"/>
    <cellStyle name="Currency 4 3 6 3 6" xfId="8261"/>
    <cellStyle name="Currency 4 3 6 4" xfId="8262"/>
    <cellStyle name="Currency 4 3 6 4 2" xfId="8263"/>
    <cellStyle name="Currency 4 3 6 4 2 2" xfId="8264"/>
    <cellStyle name="Currency 4 3 6 4 3" xfId="8265"/>
    <cellStyle name="Currency 4 3 6 4 3 2" xfId="8266"/>
    <cellStyle name="Currency 4 3 6 4 4" xfId="8267"/>
    <cellStyle name="Currency 4 3 6 4 4 2" xfId="8268"/>
    <cellStyle name="Currency 4 3 6 4 5" xfId="8269"/>
    <cellStyle name="Currency 4 3 6 4 6" xfId="8270"/>
    <cellStyle name="Currency 4 3 6 5" xfId="8271"/>
    <cellStyle name="Currency 4 3 6 5 2" xfId="8272"/>
    <cellStyle name="Currency 4 3 6 5 2 2" xfId="8273"/>
    <cellStyle name="Currency 4 3 6 5 3" xfId="8274"/>
    <cellStyle name="Currency 4 3 6 5 3 2" xfId="8275"/>
    <cellStyle name="Currency 4 3 6 5 4" xfId="8276"/>
    <cellStyle name="Currency 4 3 6 5 5" xfId="8277"/>
    <cellStyle name="Currency 4 3 6 6" xfId="8278"/>
    <cellStyle name="Currency 4 3 6 6 2" xfId="8279"/>
    <cellStyle name="Currency 4 3 6 7" xfId="8280"/>
    <cellStyle name="Currency 4 3 6 7 2" xfId="8281"/>
    <cellStyle name="Currency 4 3 6 8" xfId="8282"/>
    <cellStyle name="Currency 4 3 6 8 2" xfId="8283"/>
    <cellStyle name="Currency 4 3 6 9" xfId="8284"/>
    <cellStyle name="Currency 4 3 7" xfId="8285"/>
    <cellStyle name="Currency 4 3 7 10" xfId="8286"/>
    <cellStyle name="Currency 4 3 7 2" xfId="8287"/>
    <cellStyle name="Currency 4 3 7 2 2" xfId="8288"/>
    <cellStyle name="Currency 4 3 7 2 2 2" xfId="8289"/>
    <cellStyle name="Currency 4 3 7 2 3" xfId="8290"/>
    <cellStyle name="Currency 4 3 7 2 3 2" xfId="8291"/>
    <cellStyle name="Currency 4 3 7 2 4" xfId="8292"/>
    <cellStyle name="Currency 4 3 7 2 4 2" xfId="8293"/>
    <cellStyle name="Currency 4 3 7 2 5" xfId="8294"/>
    <cellStyle name="Currency 4 3 7 2 6" xfId="8295"/>
    <cellStyle name="Currency 4 3 7 3" xfId="8296"/>
    <cellStyle name="Currency 4 3 7 3 2" xfId="8297"/>
    <cellStyle name="Currency 4 3 7 3 2 2" xfId="8298"/>
    <cellStyle name="Currency 4 3 7 3 3" xfId="8299"/>
    <cellStyle name="Currency 4 3 7 3 3 2" xfId="8300"/>
    <cellStyle name="Currency 4 3 7 3 4" xfId="8301"/>
    <cellStyle name="Currency 4 3 7 3 4 2" xfId="8302"/>
    <cellStyle name="Currency 4 3 7 3 5" xfId="8303"/>
    <cellStyle name="Currency 4 3 7 3 6" xfId="8304"/>
    <cellStyle name="Currency 4 3 7 4" xfId="8305"/>
    <cellStyle name="Currency 4 3 7 4 2" xfId="8306"/>
    <cellStyle name="Currency 4 3 7 4 2 2" xfId="8307"/>
    <cellStyle name="Currency 4 3 7 4 3" xfId="8308"/>
    <cellStyle name="Currency 4 3 7 4 3 2" xfId="8309"/>
    <cellStyle name="Currency 4 3 7 4 4" xfId="8310"/>
    <cellStyle name="Currency 4 3 7 4 4 2" xfId="8311"/>
    <cellStyle name="Currency 4 3 7 4 5" xfId="8312"/>
    <cellStyle name="Currency 4 3 7 4 6" xfId="8313"/>
    <cellStyle name="Currency 4 3 7 5" xfId="8314"/>
    <cellStyle name="Currency 4 3 7 5 2" xfId="8315"/>
    <cellStyle name="Currency 4 3 7 5 2 2" xfId="8316"/>
    <cellStyle name="Currency 4 3 7 5 3" xfId="8317"/>
    <cellStyle name="Currency 4 3 7 5 3 2" xfId="8318"/>
    <cellStyle name="Currency 4 3 7 5 4" xfId="8319"/>
    <cellStyle name="Currency 4 3 7 5 5" xfId="8320"/>
    <cellStyle name="Currency 4 3 7 6" xfId="8321"/>
    <cellStyle name="Currency 4 3 7 6 2" xfId="8322"/>
    <cellStyle name="Currency 4 3 7 7" xfId="8323"/>
    <cellStyle name="Currency 4 3 7 7 2" xfId="8324"/>
    <cellStyle name="Currency 4 3 7 8" xfId="8325"/>
    <cellStyle name="Currency 4 3 7 8 2" xfId="8326"/>
    <cellStyle name="Currency 4 3 7 9" xfId="8327"/>
    <cellStyle name="Currency 4 3 8" xfId="8328"/>
    <cellStyle name="Currency 4 3 8 2" xfId="8329"/>
    <cellStyle name="Currency 4 3 8 2 2" xfId="8330"/>
    <cellStyle name="Currency 4 3 8 3" xfId="8331"/>
    <cellStyle name="Currency 4 3 8 3 2" xfId="8332"/>
    <cellStyle name="Currency 4 3 8 4" xfId="8333"/>
    <cellStyle name="Currency 4 3 8 4 2" xfId="8334"/>
    <cellStyle name="Currency 4 3 8 5" xfId="8335"/>
    <cellStyle name="Currency 4 3 8 6" xfId="8336"/>
    <cellStyle name="Currency 4 3 9" xfId="8337"/>
    <cellStyle name="Currency 4 3 9 2" xfId="8338"/>
    <cellStyle name="Currency 4 3 9 2 2" xfId="8339"/>
    <cellStyle name="Currency 4 3 9 3" xfId="8340"/>
    <cellStyle name="Currency 4 3 9 3 2" xfId="8341"/>
    <cellStyle name="Currency 4 3 9 4" xfId="8342"/>
    <cellStyle name="Currency 4 3 9 4 2" xfId="8343"/>
    <cellStyle name="Currency 4 3 9 5" xfId="8344"/>
    <cellStyle name="Currency 4 3 9 6" xfId="8345"/>
    <cellStyle name="Currency 4 4" xfId="8346"/>
    <cellStyle name="Currency 4 4 10" xfId="8347"/>
    <cellStyle name="Currency 4 4 10 2" xfId="8348"/>
    <cellStyle name="Currency 4 4 11" xfId="8349"/>
    <cellStyle name="Currency 4 4 11 2" xfId="8350"/>
    <cellStyle name="Currency 4 4 12" xfId="8351"/>
    <cellStyle name="Currency 4 4 13" xfId="8352"/>
    <cellStyle name="Currency 4 4 2" xfId="8353"/>
    <cellStyle name="Currency 4 4 2 10" xfId="8354"/>
    <cellStyle name="Currency 4 4 2 11" xfId="8355"/>
    <cellStyle name="Currency 4 4 2 2" xfId="8356"/>
    <cellStyle name="Currency 4 4 2 2 2" xfId="8357"/>
    <cellStyle name="Currency 4 4 2 2 2 2" xfId="8358"/>
    <cellStyle name="Currency 4 4 2 2 3" xfId="8359"/>
    <cellStyle name="Currency 4 4 2 2 3 2" xfId="8360"/>
    <cellStyle name="Currency 4 4 2 2 4" xfId="8361"/>
    <cellStyle name="Currency 4 4 2 2 4 2" xfId="8362"/>
    <cellStyle name="Currency 4 4 2 2 5" xfId="8363"/>
    <cellStyle name="Currency 4 4 2 2 6" xfId="8364"/>
    <cellStyle name="Currency 4 4 2 3" xfId="8365"/>
    <cellStyle name="Currency 4 4 2 3 2" xfId="8366"/>
    <cellStyle name="Currency 4 4 2 3 2 2" xfId="8367"/>
    <cellStyle name="Currency 4 4 2 3 3" xfId="8368"/>
    <cellStyle name="Currency 4 4 2 3 3 2" xfId="8369"/>
    <cellStyle name="Currency 4 4 2 3 4" xfId="8370"/>
    <cellStyle name="Currency 4 4 2 3 4 2" xfId="8371"/>
    <cellStyle name="Currency 4 4 2 3 5" xfId="8372"/>
    <cellStyle name="Currency 4 4 2 3 6" xfId="8373"/>
    <cellStyle name="Currency 4 4 2 4" xfId="8374"/>
    <cellStyle name="Currency 4 4 2 4 2" xfId="8375"/>
    <cellStyle name="Currency 4 4 2 4 2 2" xfId="8376"/>
    <cellStyle name="Currency 4 4 2 4 3" xfId="8377"/>
    <cellStyle name="Currency 4 4 2 4 3 2" xfId="8378"/>
    <cellStyle name="Currency 4 4 2 4 4" xfId="8379"/>
    <cellStyle name="Currency 4 4 2 4 4 2" xfId="8380"/>
    <cellStyle name="Currency 4 4 2 4 5" xfId="8381"/>
    <cellStyle name="Currency 4 4 2 4 6" xfId="8382"/>
    <cellStyle name="Currency 4 4 2 5" xfId="8383"/>
    <cellStyle name="Currency 4 4 2 5 2" xfId="8384"/>
    <cellStyle name="Currency 4 4 2 5 2 2" xfId="8385"/>
    <cellStyle name="Currency 4 4 2 5 3" xfId="8386"/>
    <cellStyle name="Currency 4 4 2 5 3 2" xfId="8387"/>
    <cellStyle name="Currency 4 4 2 5 4" xfId="8388"/>
    <cellStyle name="Currency 4 4 2 5 4 2" xfId="8389"/>
    <cellStyle name="Currency 4 4 2 5 5" xfId="8390"/>
    <cellStyle name="Currency 4 4 2 5 6" xfId="8391"/>
    <cellStyle name="Currency 4 4 2 6" xfId="8392"/>
    <cellStyle name="Currency 4 4 2 6 2" xfId="8393"/>
    <cellStyle name="Currency 4 4 2 6 2 2" xfId="8394"/>
    <cellStyle name="Currency 4 4 2 6 3" xfId="8395"/>
    <cellStyle name="Currency 4 4 2 6 3 2" xfId="8396"/>
    <cellStyle name="Currency 4 4 2 6 4" xfId="8397"/>
    <cellStyle name="Currency 4 4 2 6 5" xfId="8398"/>
    <cellStyle name="Currency 4 4 2 7" xfId="8399"/>
    <cellStyle name="Currency 4 4 2 7 2" xfId="8400"/>
    <cellStyle name="Currency 4 4 2 8" xfId="8401"/>
    <cellStyle name="Currency 4 4 2 8 2" xfId="8402"/>
    <cellStyle name="Currency 4 4 2 9" xfId="8403"/>
    <cellStyle name="Currency 4 4 2 9 2" xfId="8404"/>
    <cellStyle name="Currency 4 4 3" xfId="8405"/>
    <cellStyle name="Currency 4 4 3 10" xfId="8406"/>
    <cellStyle name="Currency 4 4 3 2" xfId="8407"/>
    <cellStyle name="Currency 4 4 3 2 2" xfId="8408"/>
    <cellStyle name="Currency 4 4 3 2 2 2" xfId="8409"/>
    <cellStyle name="Currency 4 4 3 2 3" xfId="8410"/>
    <cellStyle name="Currency 4 4 3 2 3 2" xfId="8411"/>
    <cellStyle name="Currency 4 4 3 2 4" xfId="8412"/>
    <cellStyle name="Currency 4 4 3 2 4 2" xfId="8413"/>
    <cellStyle name="Currency 4 4 3 2 5" xfId="8414"/>
    <cellStyle name="Currency 4 4 3 2 6" xfId="8415"/>
    <cellStyle name="Currency 4 4 3 3" xfId="8416"/>
    <cellStyle name="Currency 4 4 3 3 2" xfId="8417"/>
    <cellStyle name="Currency 4 4 3 3 2 2" xfId="8418"/>
    <cellStyle name="Currency 4 4 3 3 3" xfId="8419"/>
    <cellStyle name="Currency 4 4 3 3 3 2" xfId="8420"/>
    <cellStyle name="Currency 4 4 3 3 4" xfId="8421"/>
    <cellStyle name="Currency 4 4 3 3 4 2" xfId="8422"/>
    <cellStyle name="Currency 4 4 3 3 5" xfId="8423"/>
    <cellStyle name="Currency 4 4 3 3 6" xfId="8424"/>
    <cellStyle name="Currency 4 4 3 4" xfId="8425"/>
    <cellStyle name="Currency 4 4 3 4 2" xfId="8426"/>
    <cellStyle name="Currency 4 4 3 4 2 2" xfId="8427"/>
    <cellStyle name="Currency 4 4 3 4 3" xfId="8428"/>
    <cellStyle name="Currency 4 4 3 4 3 2" xfId="8429"/>
    <cellStyle name="Currency 4 4 3 4 4" xfId="8430"/>
    <cellStyle name="Currency 4 4 3 4 4 2" xfId="8431"/>
    <cellStyle name="Currency 4 4 3 4 5" xfId="8432"/>
    <cellStyle name="Currency 4 4 3 4 6" xfId="8433"/>
    <cellStyle name="Currency 4 4 3 5" xfId="8434"/>
    <cellStyle name="Currency 4 4 3 5 2" xfId="8435"/>
    <cellStyle name="Currency 4 4 3 5 2 2" xfId="8436"/>
    <cellStyle name="Currency 4 4 3 5 3" xfId="8437"/>
    <cellStyle name="Currency 4 4 3 5 3 2" xfId="8438"/>
    <cellStyle name="Currency 4 4 3 5 4" xfId="8439"/>
    <cellStyle name="Currency 4 4 3 5 5" xfId="8440"/>
    <cellStyle name="Currency 4 4 3 6" xfId="8441"/>
    <cellStyle name="Currency 4 4 3 6 2" xfId="8442"/>
    <cellStyle name="Currency 4 4 3 7" xfId="8443"/>
    <cellStyle name="Currency 4 4 3 7 2" xfId="8444"/>
    <cellStyle name="Currency 4 4 3 8" xfId="8445"/>
    <cellStyle name="Currency 4 4 3 8 2" xfId="8446"/>
    <cellStyle name="Currency 4 4 3 9" xfId="8447"/>
    <cellStyle name="Currency 4 4 4" xfId="8448"/>
    <cellStyle name="Currency 4 4 4 10" xfId="8449"/>
    <cellStyle name="Currency 4 4 4 2" xfId="8450"/>
    <cellStyle name="Currency 4 4 4 2 2" xfId="8451"/>
    <cellStyle name="Currency 4 4 4 2 2 2" xfId="8452"/>
    <cellStyle name="Currency 4 4 4 2 3" xfId="8453"/>
    <cellStyle name="Currency 4 4 4 2 3 2" xfId="8454"/>
    <cellStyle name="Currency 4 4 4 2 4" xfId="8455"/>
    <cellStyle name="Currency 4 4 4 2 4 2" xfId="8456"/>
    <cellStyle name="Currency 4 4 4 2 5" xfId="8457"/>
    <cellStyle name="Currency 4 4 4 2 6" xfId="8458"/>
    <cellStyle name="Currency 4 4 4 3" xfId="8459"/>
    <cellStyle name="Currency 4 4 4 3 2" xfId="8460"/>
    <cellStyle name="Currency 4 4 4 3 2 2" xfId="8461"/>
    <cellStyle name="Currency 4 4 4 3 3" xfId="8462"/>
    <cellStyle name="Currency 4 4 4 3 3 2" xfId="8463"/>
    <cellStyle name="Currency 4 4 4 3 4" xfId="8464"/>
    <cellStyle name="Currency 4 4 4 3 4 2" xfId="8465"/>
    <cellStyle name="Currency 4 4 4 3 5" xfId="8466"/>
    <cellStyle name="Currency 4 4 4 3 6" xfId="8467"/>
    <cellStyle name="Currency 4 4 4 4" xfId="8468"/>
    <cellStyle name="Currency 4 4 4 4 2" xfId="8469"/>
    <cellStyle name="Currency 4 4 4 4 2 2" xfId="8470"/>
    <cellStyle name="Currency 4 4 4 4 3" xfId="8471"/>
    <cellStyle name="Currency 4 4 4 4 3 2" xfId="8472"/>
    <cellStyle name="Currency 4 4 4 4 4" xfId="8473"/>
    <cellStyle name="Currency 4 4 4 4 4 2" xfId="8474"/>
    <cellStyle name="Currency 4 4 4 4 5" xfId="8475"/>
    <cellStyle name="Currency 4 4 4 4 6" xfId="8476"/>
    <cellStyle name="Currency 4 4 4 5" xfId="8477"/>
    <cellStyle name="Currency 4 4 4 5 2" xfId="8478"/>
    <cellStyle name="Currency 4 4 4 5 2 2" xfId="8479"/>
    <cellStyle name="Currency 4 4 4 5 3" xfId="8480"/>
    <cellStyle name="Currency 4 4 4 5 3 2" xfId="8481"/>
    <cellStyle name="Currency 4 4 4 5 4" xfId="8482"/>
    <cellStyle name="Currency 4 4 4 5 5" xfId="8483"/>
    <cellStyle name="Currency 4 4 4 6" xfId="8484"/>
    <cellStyle name="Currency 4 4 4 6 2" xfId="8485"/>
    <cellStyle name="Currency 4 4 4 7" xfId="8486"/>
    <cellStyle name="Currency 4 4 4 7 2" xfId="8487"/>
    <cellStyle name="Currency 4 4 4 8" xfId="8488"/>
    <cellStyle name="Currency 4 4 4 8 2" xfId="8489"/>
    <cellStyle name="Currency 4 4 4 9" xfId="8490"/>
    <cellStyle name="Currency 4 4 5" xfId="8491"/>
    <cellStyle name="Currency 4 4 5 2" xfId="8492"/>
    <cellStyle name="Currency 4 4 5 2 2" xfId="8493"/>
    <cellStyle name="Currency 4 4 5 3" xfId="8494"/>
    <cellStyle name="Currency 4 4 5 3 2" xfId="8495"/>
    <cellStyle name="Currency 4 4 5 4" xfId="8496"/>
    <cellStyle name="Currency 4 4 5 4 2" xfId="8497"/>
    <cellStyle name="Currency 4 4 5 5" xfId="8498"/>
    <cellStyle name="Currency 4 4 5 6" xfId="8499"/>
    <cellStyle name="Currency 4 4 6" xfId="8500"/>
    <cellStyle name="Currency 4 4 6 2" xfId="8501"/>
    <cellStyle name="Currency 4 4 6 2 2" xfId="8502"/>
    <cellStyle name="Currency 4 4 6 3" xfId="8503"/>
    <cellStyle name="Currency 4 4 6 3 2" xfId="8504"/>
    <cellStyle name="Currency 4 4 6 4" xfId="8505"/>
    <cellStyle name="Currency 4 4 6 4 2" xfId="8506"/>
    <cellStyle name="Currency 4 4 6 5" xfId="8507"/>
    <cellStyle name="Currency 4 4 6 6" xfId="8508"/>
    <cellStyle name="Currency 4 4 7" xfId="8509"/>
    <cellStyle name="Currency 4 4 7 2" xfId="8510"/>
    <cellStyle name="Currency 4 4 7 2 2" xfId="8511"/>
    <cellStyle name="Currency 4 4 7 3" xfId="8512"/>
    <cellStyle name="Currency 4 4 7 3 2" xfId="8513"/>
    <cellStyle name="Currency 4 4 7 4" xfId="8514"/>
    <cellStyle name="Currency 4 4 7 4 2" xfId="8515"/>
    <cellStyle name="Currency 4 4 7 5" xfId="8516"/>
    <cellStyle name="Currency 4 4 7 6" xfId="8517"/>
    <cellStyle name="Currency 4 4 8" xfId="8518"/>
    <cellStyle name="Currency 4 4 8 2" xfId="8519"/>
    <cellStyle name="Currency 4 4 8 2 2" xfId="8520"/>
    <cellStyle name="Currency 4 4 8 3" xfId="8521"/>
    <cellStyle name="Currency 4 4 8 3 2" xfId="8522"/>
    <cellStyle name="Currency 4 4 8 4" xfId="8523"/>
    <cellStyle name="Currency 4 4 8 5" xfId="8524"/>
    <cellStyle name="Currency 4 4 9" xfId="8525"/>
    <cellStyle name="Currency 4 4 9 2" xfId="8526"/>
    <cellStyle name="Currency 4 5" xfId="8527"/>
    <cellStyle name="Currency 4 5 10" xfId="8528"/>
    <cellStyle name="Currency 4 5 10 2" xfId="8529"/>
    <cellStyle name="Currency 4 5 11" xfId="8530"/>
    <cellStyle name="Currency 4 5 11 2" xfId="8531"/>
    <cellStyle name="Currency 4 5 12" xfId="8532"/>
    <cellStyle name="Currency 4 5 13" xfId="8533"/>
    <cellStyle name="Currency 4 5 2" xfId="8534"/>
    <cellStyle name="Currency 4 5 2 10" xfId="8535"/>
    <cellStyle name="Currency 4 5 2 11" xfId="8536"/>
    <cellStyle name="Currency 4 5 2 2" xfId="8537"/>
    <cellStyle name="Currency 4 5 2 2 2" xfId="8538"/>
    <cellStyle name="Currency 4 5 2 2 2 2" xfId="8539"/>
    <cellStyle name="Currency 4 5 2 2 3" xfId="8540"/>
    <cellStyle name="Currency 4 5 2 2 3 2" xfId="8541"/>
    <cellStyle name="Currency 4 5 2 2 4" xfId="8542"/>
    <cellStyle name="Currency 4 5 2 2 4 2" xfId="8543"/>
    <cellStyle name="Currency 4 5 2 2 5" xfId="8544"/>
    <cellStyle name="Currency 4 5 2 2 6" xfId="8545"/>
    <cellStyle name="Currency 4 5 2 3" xfId="8546"/>
    <cellStyle name="Currency 4 5 2 3 2" xfId="8547"/>
    <cellStyle name="Currency 4 5 2 3 2 2" xfId="8548"/>
    <cellStyle name="Currency 4 5 2 3 3" xfId="8549"/>
    <cellStyle name="Currency 4 5 2 3 3 2" xfId="8550"/>
    <cellStyle name="Currency 4 5 2 3 4" xfId="8551"/>
    <cellStyle name="Currency 4 5 2 3 4 2" xfId="8552"/>
    <cellStyle name="Currency 4 5 2 3 5" xfId="8553"/>
    <cellStyle name="Currency 4 5 2 3 6" xfId="8554"/>
    <cellStyle name="Currency 4 5 2 4" xfId="8555"/>
    <cellStyle name="Currency 4 5 2 4 2" xfId="8556"/>
    <cellStyle name="Currency 4 5 2 4 2 2" xfId="8557"/>
    <cellStyle name="Currency 4 5 2 4 3" xfId="8558"/>
    <cellStyle name="Currency 4 5 2 4 3 2" xfId="8559"/>
    <cellStyle name="Currency 4 5 2 4 4" xfId="8560"/>
    <cellStyle name="Currency 4 5 2 4 4 2" xfId="8561"/>
    <cellStyle name="Currency 4 5 2 4 5" xfId="8562"/>
    <cellStyle name="Currency 4 5 2 4 6" xfId="8563"/>
    <cellStyle name="Currency 4 5 2 5" xfId="8564"/>
    <cellStyle name="Currency 4 5 2 5 2" xfId="8565"/>
    <cellStyle name="Currency 4 5 2 5 2 2" xfId="8566"/>
    <cellStyle name="Currency 4 5 2 5 3" xfId="8567"/>
    <cellStyle name="Currency 4 5 2 5 3 2" xfId="8568"/>
    <cellStyle name="Currency 4 5 2 5 4" xfId="8569"/>
    <cellStyle name="Currency 4 5 2 5 4 2" xfId="8570"/>
    <cellStyle name="Currency 4 5 2 5 5" xfId="8571"/>
    <cellStyle name="Currency 4 5 2 5 6" xfId="8572"/>
    <cellStyle name="Currency 4 5 2 6" xfId="8573"/>
    <cellStyle name="Currency 4 5 2 6 2" xfId="8574"/>
    <cellStyle name="Currency 4 5 2 6 2 2" xfId="8575"/>
    <cellStyle name="Currency 4 5 2 6 3" xfId="8576"/>
    <cellStyle name="Currency 4 5 2 6 3 2" xfId="8577"/>
    <cellStyle name="Currency 4 5 2 6 4" xfId="8578"/>
    <cellStyle name="Currency 4 5 2 6 5" xfId="8579"/>
    <cellStyle name="Currency 4 5 2 7" xfId="8580"/>
    <cellStyle name="Currency 4 5 2 7 2" xfId="8581"/>
    <cellStyle name="Currency 4 5 2 8" xfId="8582"/>
    <cellStyle name="Currency 4 5 2 8 2" xfId="8583"/>
    <cellStyle name="Currency 4 5 2 9" xfId="8584"/>
    <cellStyle name="Currency 4 5 2 9 2" xfId="8585"/>
    <cellStyle name="Currency 4 5 3" xfId="8586"/>
    <cellStyle name="Currency 4 5 3 10" xfId="8587"/>
    <cellStyle name="Currency 4 5 3 2" xfId="8588"/>
    <cellStyle name="Currency 4 5 3 2 2" xfId="8589"/>
    <cellStyle name="Currency 4 5 3 2 2 2" xfId="8590"/>
    <cellStyle name="Currency 4 5 3 2 3" xfId="8591"/>
    <cellStyle name="Currency 4 5 3 2 3 2" xfId="8592"/>
    <cellStyle name="Currency 4 5 3 2 4" xfId="8593"/>
    <cellStyle name="Currency 4 5 3 2 4 2" xfId="8594"/>
    <cellStyle name="Currency 4 5 3 2 5" xfId="8595"/>
    <cellStyle name="Currency 4 5 3 2 6" xfId="8596"/>
    <cellStyle name="Currency 4 5 3 3" xfId="8597"/>
    <cellStyle name="Currency 4 5 3 3 2" xfId="8598"/>
    <cellStyle name="Currency 4 5 3 3 2 2" xfId="8599"/>
    <cellStyle name="Currency 4 5 3 3 3" xfId="8600"/>
    <cellStyle name="Currency 4 5 3 3 3 2" xfId="8601"/>
    <cellStyle name="Currency 4 5 3 3 4" xfId="8602"/>
    <cellStyle name="Currency 4 5 3 3 4 2" xfId="8603"/>
    <cellStyle name="Currency 4 5 3 3 5" xfId="8604"/>
    <cellStyle name="Currency 4 5 3 3 6" xfId="8605"/>
    <cellStyle name="Currency 4 5 3 4" xfId="8606"/>
    <cellStyle name="Currency 4 5 3 4 2" xfId="8607"/>
    <cellStyle name="Currency 4 5 3 4 2 2" xfId="8608"/>
    <cellStyle name="Currency 4 5 3 4 3" xfId="8609"/>
    <cellStyle name="Currency 4 5 3 4 3 2" xfId="8610"/>
    <cellStyle name="Currency 4 5 3 4 4" xfId="8611"/>
    <cellStyle name="Currency 4 5 3 4 4 2" xfId="8612"/>
    <cellStyle name="Currency 4 5 3 4 5" xfId="8613"/>
    <cellStyle name="Currency 4 5 3 4 6" xfId="8614"/>
    <cellStyle name="Currency 4 5 3 5" xfId="8615"/>
    <cellStyle name="Currency 4 5 3 5 2" xfId="8616"/>
    <cellStyle name="Currency 4 5 3 5 2 2" xfId="8617"/>
    <cellStyle name="Currency 4 5 3 5 3" xfId="8618"/>
    <cellStyle name="Currency 4 5 3 5 3 2" xfId="8619"/>
    <cellStyle name="Currency 4 5 3 5 4" xfId="8620"/>
    <cellStyle name="Currency 4 5 3 5 5" xfId="8621"/>
    <cellStyle name="Currency 4 5 3 6" xfId="8622"/>
    <cellStyle name="Currency 4 5 3 6 2" xfId="8623"/>
    <cellStyle name="Currency 4 5 3 7" xfId="8624"/>
    <cellStyle name="Currency 4 5 3 7 2" xfId="8625"/>
    <cellStyle name="Currency 4 5 3 8" xfId="8626"/>
    <cellStyle name="Currency 4 5 3 8 2" xfId="8627"/>
    <cellStyle name="Currency 4 5 3 9" xfId="8628"/>
    <cellStyle name="Currency 4 5 4" xfId="8629"/>
    <cellStyle name="Currency 4 5 4 10" xfId="8630"/>
    <cellStyle name="Currency 4 5 4 2" xfId="8631"/>
    <cellStyle name="Currency 4 5 4 2 2" xfId="8632"/>
    <cellStyle name="Currency 4 5 4 2 2 2" xfId="8633"/>
    <cellStyle name="Currency 4 5 4 2 3" xfId="8634"/>
    <cellStyle name="Currency 4 5 4 2 3 2" xfId="8635"/>
    <cellStyle name="Currency 4 5 4 2 4" xfId="8636"/>
    <cellStyle name="Currency 4 5 4 2 4 2" xfId="8637"/>
    <cellStyle name="Currency 4 5 4 2 5" xfId="8638"/>
    <cellStyle name="Currency 4 5 4 2 6" xfId="8639"/>
    <cellStyle name="Currency 4 5 4 3" xfId="8640"/>
    <cellStyle name="Currency 4 5 4 3 2" xfId="8641"/>
    <cellStyle name="Currency 4 5 4 3 2 2" xfId="8642"/>
    <cellStyle name="Currency 4 5 4 3 3" xfId="8643"/>
    <cellStyle name="Currency 4 5 4 3 3 2" xfId="8644"/>
    <cellStyle name="Currency 4 5 4 3 4" xfId="8645"/>
    <cellStyle name="Currency 4 5 4 3 4 2" xfId="8646"/>
    <cellStyle name="Currency 4 5 4 3 5" xfId="8647"/>
    <cellStyle name="Currency 4 5 4 3 6" xfId="8648"/>
    <cellStyle name="Currency 4 5 4 4" xfId="8649"/>
    <cellStyle name="Currency 4 5 4 4 2" xfId="8650"/>
    <cellStyle name="Currency 4 5 4 4 2 2" xfId="8651"/>
    <cellStyle name="Currency 4 5 4 4 3" xfId="8652"/>
    <cellStyle name="Currency 4 5 4 4 3 2" xfId="8653"/>
    <cellStyle name="Currency 4 5 4 4 4" xfId="8654"/>
    <cellStyle name="Currency 4 5 4 4 4 2" xfId="8655"/>
    <cellStyle name="Currency 4 5 4 4 5" xfId="8656"/>
    <cellStyle name="Currency 4 5 4 4 6" xfId="8657"/>
    <cellStyle name="Currency 4 5 4 5" xfId="8658"/>
    <cellStyle name="Currency 4 5 4 5 2" xfId="8659"/>
    <cellStyle name="Currency 4 5 4 5 2 2" xfId="8660"/>
    <cellStyle name="Currency 4 5 4 5 3" xfId="8661"/>
    <cellStyle name="Currency 4 5 4 5 3 2" xfId="8662"/>
    <cellStyle name="Currency 4 5 4 5 4" xfId="8663"/>
    <cellStyle name="Currency 4 5 4 5 5" xfId="8664"/>
    <cellStyle name="Currency 4 5 4 6" xfId="8665"/>
    <cellStyle name="Currency 4 5 4 6 2" xfId="8666"/>
    <cellStyle name="Currency 4 5 4 7" xfId="8667"/>
    <cellStyle name="Currency 4 5 4 7 2" xfId="8668"/>
    <cellStyle name="Currency 4 5 4 8" xfId="8669"/>
    <cellStyle name="Currency 4 5 4 8 2" xfId="8670"/>
    <cellStyle name="Currency 4 5 4 9" xfId="8671"/>
    <cellStyle name="Currency 4 5 5" xfId="8672"/>
    <cellStyle name="Currency 4 5 5 2" xfId="8673"/>
    <cellStyle name="Currency 4 5 5 2 2" xfId="8674"/>
    <cellStyle name="Currency 4 5 5 3" xfId="8675"/>
    <cellStyle name="Currency 4 5 5 3 2" xfId="8676"/>
    <cellStyle name="Currency 4 5 5 4" xfId="8677"/>
    <cellStyle name="Currency 4 5 5 4 2" xfId="8678"/>
    <cellStyle name="Currency 4 5 5 5" xfId="8679"/>
    <cellStyle name="Currency 4 5 5 6" xfId="8680"/>
    <cellStyle name="Currency 4 5 6" xfId="8681"/>
    <cellStyle name="Currency 4 5 6 2" xfId="8682"/>
    <cellStyle name="Currency 4 5 6 2 2" xfId="8683"/>
    <cellStyle name="Currency 4 5 6 3" xfId="8684"/>
    <cellStyle name="Currency 4 5 6 3 2" xfId="8685"/>
    <cellStyle name="Currency 4 5 6 4" xfId="8686"/>
    <cellStyle name="Currency 4 5 6 4 2" xfId="8687"/>
    <cellStyle name="Currency 4 5 6 5" xfId="8688"/>
    <cellStyle name="Currency 4 5 6 6" xfId="8689"/>
    <cellStyle name="Currency 4 5 7" xfId="8690"/>
    <cellStyle name="Currency 4 5 7 2" xfId="8691"/>
    <cellStyle name="Currency 4 5 7 2 2" xfId="8692"/>
    <cellStyle name="Currency 4 5 7 3" xfId="8693"/>
    <cellStyle name="Currency 4 5 7 3 2" xfId="8694"/>
    <cellStyle name="Currency 4 5 7 4" xfId="8695"/>
    <cellStyle name="Currency 4 5 7 4 2" xfId="8696"/>
    <cellStyle name="Currency 4 5 7 5" xfId="8697"/>
    <cellStyle name="Currency 4 5 7 6" xfId="8698"/>
    <cellStyle name="Currency 4 5 8" xfId="8699"/>
    <cellStyle name="Currency 4 5 8 2" xfId="8700"/>
    <cellStyle name="Currency 4 5 8 2 2" xfId="8701"/>
    <cellStyle name="Currency 4 5 8 3" xfId="8702"/>
    <cellStyle name="Currency 4 5 8 3 2" xfId="8703"/>
    <cellStyle name="Currency 4 5 8 4" xfId="8704"/>
    <cellStyle name="Currency 4 5 8 5" xfId="8705"/>
    <cellStyle name="Currency 4 5 9" xfId="8706"/>
    <cellStyle name="Currency 4 5 9 2" xfId="8707"/>
    <cellStyle name="Currency 4 6" xfId="8708"/>
    <cellStyle name="Currency 4 6 10" xfId="8709"/>
    <cellStyle name="Currency 4 6 10 2" xfId="8710"/>
    <cellStyle name="Currency 4 6 11" xfId="8711"/>
    <cellStyle name="Currency 4 6 12" xfId="8712"/>
    <cellStyle name="Currency 4 6 2" xfId="8713"/>
    <cellStyle name="Currency 4 6 2 10" xfId="8714"/>
    <cellStyle name="Currency 4 6 2 2" xfId="8715"/>
    <cellStyle name="Currency 4 6 2 2 2" xfId="8716"/>
    <cellStyle name="Currency 4 6 2 2 2 2" xfId="8717"/>
    <cellStyle name="Currency 4 6 2 2 3" xfId="8718"/>
    <cellStyle name="Currency 4 6 2 2 3 2" xfId="8719"/>
    <cellStyle name="Currency 4 6 2 2 4" xfId="8720"/>
    <cellStyle name="Currency 4 6 2 2 4 2" xfId="8721"/>
    <cellStyle name="Currency 4 6 2 2 5" xfId="8722"/>
    <cellStyle name="Currency 4 6 2 2 6" xfId="8723"/>
    <cellStyle name="Currency 4 6 2 3" xfId="8724"/>
    <cellStyle name="Currency 4 6 2 3 2" xfId="8725"/>
    <cellStyle name="Currency 4 6 2 3 2 2" xfId="8726"/>
    <cellStyle name="Currency 4 6 2 3 3" xfId="8727"/>
    <cellStyle name="Currency 4 6 2 3 3 2" xfId="8728"/>
    <cellStyle name="Currency 4 6 2 3 4" xfId="8729"/>
    <cellStyle name="Currency 4 6 2 3 4 2" xfId="8730"/>
    <cellStyle name="Currency 4 6 2 3 5" xfId="8731"/>
    <cellStyle name="Currency 4 6 2 3 6" xfId="8732"/>
    <cellStyle name="Currency 4 6 2 4" xfId="8733"/>
    <cellStyle name="Currency 4 6 2 4 2" xfId="8734"/>
    <cellStyle name="Currency 4 6 2 4 2 2" xfId="8735"/>
    <cellStyle name="Currency 4 6 2 4 3" xfId="8736"/>
    <cellStyle name="Currency 4 6 2 4 3 2" xfId="8737"/>
    <cellStyle name="Currency 4 6 2 4 4" xfId="8738"/>
    <cellStyle name="Currency 4 6 2 4 4 2" xfId="8739"/>
    <cellStyle name="Currency 4 6 2 4 5" xfId="8740"/>
    <cellStyle name="Currency 4 6 2 4 6" xfId="8741"/>
    <cellStyle name="Currency 4 6 2 5" xfId="8742"/>
    <cellStyle name="Currency 4 6 2 5 2" xfId="8743"/>
    <cellStyle name="Currency 4 6 2 5 2 2" xfId="8744"/>
    <cellStyle name="Currency 4 6 2 5 3" xfId="8745"/>
    <cellStyle name="Currency 4 6 2 5 3 2" xfId="8746"/>
    <cellStyle name="Currency 4 6 2 5 4" xfId="8747"/>
    <cellStyle name="Currency 4 6 2 5 5" xfId="8748"/>
    <cellStyle name="Currency 4 6 2 6" xfId="8749"/>
    <cellStyle name="Currency 4 6 2 6 2" xfId="8750"/>
    <cellStyle name="Currency 4 6 2 7" xfId="8751"/>
    <cellStyle name="Currency 4 6 2 7 2" xfId="8752"/>
    <cellStyle name="Currency 4 6 2 8" xfId="8753"/>
    <cellStyle name="Currency 4 6 2 8 2" xfId="8754"/>
    <cellStyle name="Currency 4 6 2 9" xfId="8755"/>
    <cellStyle name="Currency 4 6 3" xfId="8756"/>
    <cellStyle name="Currency 4 6 3 10" xfId="8757"/>
    <cellStyle name="Currency 4 6 3 2" xfId="8758"/>
    <cellStyle name="Currency 4 6 3 2 2" xfId="8759"/>
    <cellStyle name="Currency 4 6 3 2 2 2" xfId="8760"/>
    <cellStyle name="Currency 4 6 3 2 3" xfId="8761"/>
    <cellStyle name="Currency 4 6 3 2 3 2" xfId="8762"/>
    <cellStyle name="Currency 4 6 3 2 4" xfId="8763"/>
    <cellStyle name="Currency 4 6 3 2 4 2" xfId="8764"/>
    <cellStyle name="Currency 4 6 3 2 5" xfId="8765"/>
    <cellStyle name="Currency 4 6 3 2 6" xfId="8766"/>
    <cellStyle name="Currency 4 6 3 3" xfId="8767"/>
    <cellStyle name="Currency 4 6 3 3 2" xfId="8768"/>
    <cellStyle name="Currency 4 6 3 3 2 2" xfId="8769"/>
    <cellStyle name="Currency 4 6 3 3 3" xfId="8770"/>
    <cellStyle name="Currency 4 6 3 3 3 2" xfId="8771"/>
    <cellStyle name="Currency 4 6 3 3 4" xfId="8772"/>
    <cellStyle name="Currency 4 6 3 3 4 2" xfId="8773"/>
    <cellStyle name="Currency 4 6 3 3 5" xfId="8774"/>
    <cellStyle name="Currency 4 6 3 3 6" xfId="8775"/>
    <cellStyle name="Currency 4 6 3 4" xfId="8776"/>
    <cellStyle name="Currency 4 6 3 4 2" xfId="8777"/>
    <cellStyle name="Currency 4 6 3 4 2 2" xfId="8778"/>
    <cellStyle name="Currency 4 6 3 4 3" xfId="8779"/>
    <cellStyle name="Currency 4 6 3 4 3 2" xfId="8780"/>
    <cellStyle name="Currency 4 6 3 4 4" xfId="8781"/>
    <cellStyle name="Currency 4 6 3 4 4 2" xfId="8782"/>
    <cellStyle name="Currency 4 6 3 4 5" xfId="8783"/>
    <cellStyle name="Currency 4 6 3 4 6" xfId="8784"/>
    <cellStyle name="Currency 4 6 3 5" xfId="8785"/>
    <cellStyle name="Currency 4 6 3 5 2" xfId="8786"/>
    <cellStyle name="Currency 4 6 3 5 2 2" xfId="8787"/>
    <cellStyle name="Currency 4 6 3 5 3" xfId="8788"/>
    <cellStyle name="Currency 4 6 3 5 3 2" xfId="8789"/>
    <cellStyle name="Currency 4 6 3 5 4" xfId="8790"/>
    <cellStyle name="Currency 4 6 3 5 5" xfId="8791"/>
    <cellStyle name="Currency 4 6 3 6" xfId="8792"/>
    <cellStyle name="Currency 4 6 3 6 2" xfId="8793"/>
    <cellStyle name="Currency 4 6 3 7" xfId="8794"/>
    <cellStyle name="Currency 4 6 3 7 2" xfId="8795"/>
    <cellStyle name="Currency 4 6 3 8" xfId="8796"/>
    <cellStyle name="Currency 4 6 3 8 2" xfId="8797"/>
    <cellStyle name="Currency 4 6 3 9" xfId="8798"/>
    <cellStyle name="Currency 4 6 4" xfId="8799"/>
    <cellStyle name="Currency 4 6 4 2" xfId="8800"/>
    <cellStyle name="Currency 4 6 4 2 2" xfId="8801"/>
    <cellStyle name="Currency 4 6 4 3" xfId="8802"/>
    <cellStyle name="Currency 4 6 4 3 2" xfId="8803"/>
    <cellStyle name="Currency 4 6 4 4" xfId="8804"/>
    <cellStyle name="Currency 4 6 4 4 2" xfId="8805"/>
    <cellStyle name="Currency 4 6 4 5" xfId="8806"/>
    <cellStyle name="Currency 4 6 4 6" xfId="8807"/>
    <cellStyle name="Currency 4 6 5" xfId="8808"/>
    <cellStyle name="Currency 4 6 5 2" xfId="8809"/>
    <cellStyle name="Currency 4 6 5 2 2" xfId="8810"/>
    <cellStyle name="Currency 4 6 5 3" xfId="8811"/>
    <cellStyle name="Currency 4 6 5 3 2" xfId="8812"/>
    <cellStyle name="Currency 4 6 5 4" xfId="8813"/>
    <cellStyle name="Currency 4 6 5 4 2" xfId="8814"/>
    <cellStyle name="Currency 4 6 5 5" xfId="8815"/>
    <cellStyle name="Currency 4 6 5 6" xfId="8816"/>
    <cellStyle name="Currency 4 6 6" xfId="8817"/>
    <cellStyle name="Currency 4 6 6 2" xfId="8818"/>
    <cellStyle name="Currency 4 6 6 2 2" xfId="8819"/>
    <cellStyle name="Currency 4 6 6 3" xfId="8820"/>
    <cellStyle name="Currency 4 6 6 3 2" xfId="8821"/>
    <cellStyle name="Currency 4 6 6 4" xfId="8822"/>
    <cellStyle name="Currency 4 6 6 4 2" xfId="8823"/>
    <cellStyle name="Currency 4 6 6 5" xfId="8824"/>
    <cellStyle name="Currency 4 6 6 6" xfId="8825"/>
    <cellStyle name="Currency 4 6 7" xfId="8826"/>
    <cellStyle name="Currency 4 6 7 2" xfId="8827"/>
    <cellStyle name="Currency 4 6 7 2 2" xfId="8828"/>
    <cellStyle name="Currency 4 6 7 3" xfId="8829"/>
    <cellStyle name="Currency 4 6 7 3 2" xfId="8830"/>
    <cellStyle name="Currency 4 6 7 4" xfId="8831"/>
    <cellStyle name="Currency 4 6 7 5" xfId="8832"/>
    <cellStyle name="Currency 4 6 8" xfId="8833"/>
    <cellStyle name="Currency 4 6 8 2" xfId="8834"/>
    <cellStyle name="Currency 4 6 9" xfId="8835"/>
    <cellStyle name="Currency 4 6 9 2" xfId="8836"/>
    <cellStyle name="Currency 4 7" xfId="8837"/>
    <cellStyle name="Currency 4 7 10" xfId="8838"/>
    <cellStyle name="Currency 4 7 11" xfId="8839"/>
    <cellStyle name="Currency 4 7 2" xfId="8840"/>
    <cellStyle name="Currency 4 7 2 2" xfId="8841"/>
    <cellStyle name="Currency 4 7 2 2 2" xfId="8842"/>
    <cellStyle name="Currency 4 7 2 3" xfId="8843"/>
    <cellStyle name="Currency 4 7 2 3 2" xfId="8844"/>
    <cellStyle name="Currency 4 7 2 4" xfId="8845"/>
    <cellStyle name="Currency 4 7 2 4 2" xfId="8846"/>
    <cellStyle name="Currency 4 7 2 5" xfId="8847"/>
    <cellStyle name="Currency 4 7 2 6" xfId="8848"/>
    <cellStyle name="Currency 4 7 3" xfId="8849"/>
    <cellStyle name="Currency 4 7 3 2" xfId="8850"/>
    <cellStyle name="Currency 4 7 3 2 2" xfId="8851"/>
    <cellStyle name="Currency 4 7 3 3" xfId="8852"/>
    <cellStyle name="Currency 4 7 3 3 2" xfId="8853"/>
    <cellStyle name="Currency 4 7 3 4" xfId="8854"/>
    <cellStyle name="Currency 4 7 3 4 2" xfId="8855"/>
    <cellStyle name="Currency 4 7 3 5" xfId="8856"/>
    <cellStyle name="Currency 4 7 3 6" xfId="8857"/>
    <cellStyle name="Currency 4 7 4" xfId="8858"/>
    <cellStyle name="Currency 4 7 4 2" xfId="8859"/>
    <cellStyle name="Currency 4 7 4 2 2" xfId="8860"/>
    <cellStyle name="Currency 4 7 4 3" xfId="8861"/>
    <cellStyle name="Currency 4 7 4 3 2" xfId="8862"/>
    <cellStyle name="Currency 4 7 4 4" xfId="8863"/>
    <cellStyle name="Currency 4 7 4 4 2" xfId="8864"/>
    <cellStyle name="Currency 4 7 4 5" xfId="8865"/>
    <cellStyle name="Currency 4 7 4 6" xfId="8866"/>
    <cellStyle name="Currency 4 7 5" xfId="8867"/>
    <cellStyle name="Currency 4 7 5 2" xfId="8868"/>
    <cellStyle name="Currency 4 7 5 2 2" xfId="8869"/>
    <cellStyle name="Currency 4 7 5 3" xfId="8870"/>
    <cellStyle name="Currency 4 7 5 3 2" xfId="8871"/>
    <cellStyle name="Currency 4 7 5 4" xfId="8872"/>
    <cellStyle name="Currency 4 7 5 4 2" xfId="8873"/>
    <cellStyle name="Currency 4 7 5 5" xfId="8874"/>
    <cellStyle name="Currency 4 7 5 6" xfId="8875"/>
    <cellStyle name="Currency 4 7 6" xfId="8876"/>
    <cellStyle name="Currency 4 7 6 2" xfId="8877"/>
    <cellStyle name="Currency 4 7 6 2 2" xfId="8878"/>
    <cellStyle name="Currency 4 7 6 3" xfId="8879"/>
    <cellStyle name="Currency 4 7 6 3 2" xfId="8880"/>
    <cellStyle name="Currency 4 7 6 4" xfId="8881"/>
    <cellStyle name="Currency 4 7 6 5" xfId="8882"/>
    <cellStyle name="Currency 4 7 7" xfId="8883"/>
    <cellStyle name="Currency 4 7 7 2" xfId="8884"/>
    <cellStyle name="Currency 4 7 8" xfId="8885"/>
    <cellStyle name="Currency 4 7 8 2" xfId="8886"/>
    <cellStyle name="Currency 4 7 9" xfId="8887"/>
    <cellStyle name="Currency 4 7 9 2" xfId="8888"/>
    <cellStyle name="Currency 4 8" xfId="8889"/>
    <cellStyle name="Currency 4 8 10" xfId="8890"/>
    <cellStyle name="Currency 4 8 2" xfId="8891"/>
    <cellStyle name="Currency 4 8 2 2" xfId="8892"/>
    <cellStyle name="Currency 4 8 2 2 2" xfId="8893"/>
    <cellStyle name="Currency 4 8 2 3" xfId="8894"/>
    <cellStyle name="Currency 4 8 2 3 2" xfId="8895"/>
    <cellStyle name="Currency 4 8 2 4" xfId="8896"/>
    <cellStyle name="Currency 4 8 2 4 2" xfId="8897"/>
    <cellStyle name="Currency 4 8 2 5" xfId="8898"/>
    <cellStyle name="Currency 4 8 2 6" xfId="8899"/>
    <cellStyle name="Currency 4 8 3" xfId="8900"/>
    <cellStyle name="Currency 4 8 3 2" xfId="8901"/>
    <cellStyle name="Currency 4 8 3 2 2" xfId="8902"/>
    <cellStyle name="Currency 4 8 3 3" xfId="8903"/>
    <cellStyle name="Currency 4 8 3 3 2" xfId="8904"/>
    <cellStyle name="Currency 4 8 3 4" xfId="8905"/>
    <cellStyle name="Currency 4 8 3 4 2" xfId="8906"/>
    <cellStyle name="Currency 4 8 3 5" xfId="8907"/>
    <cellStyle name="Currency 4 8 3 6" xfId="8908"/>
    <cellStyle name="Currency 4 8 4" xfId="8909"/>
    <cellStyle name="Currency 4 8 4 2" xfId="8910"/>
    <cellStyle name="Currency 4 8 4 2 2" xfId="8911"/>
    <cellStyle name="Currency 4 8 4 3" xfId="8912"/>
    <cellStyle name="Currency 4 8 4 3 2" xfId="8913"/>
    <cellStyle name="Currency 4 8 4 4" xfId="8914"/>
    <cellStyle name="Currency 4 8 4 4 2" xfId="8915"/>
    <cellStyle name="Currency 4 8 4 5" xfId="8916"/>
    <cellStyle name="Currency 4 8 4 6" xfId="8917"/>
    <cellStyle name="Currency 4 8 5" xfId="8918"/>
    <cellStyle name="Currency 4 8 5 2" xfId="8919"/>
    <cellStyle name="Currency 4 8 5 2 2" xfId="8920"/>
    <cellStyle name="Currency 4 8 5 3" xfId="8921"/>
    <cellStyle name="Currency 4 8 5 3 2" xfId="8922"/>
    <cellStyle name="Currency 4 8 5 4" xfId="8923"/>
    <cellStyle name="Currency 4 8 5 5" xfId="8924"/>
    <cellStyle name="Currency 4 8 6" xfId="8925"/>
    <cellStyle name="Currency 4 8 6 2" xfId="8926"/>
    <cellStyle name="Currency 4 8 7" xfId="8927"/>
    <cellStyle name="Currency 4 8 7 2" xfId="8928"/>
    <cellStyle name="Currency 4 8 8" xfId="8929"/>
    <cellStyle name="Currency 4 8 8 2" xfId="8930"/>
    <cellStyle name="Currency 4 8 9" xfId="8931"/>
    <cellStyle name="Currency 4 9" xfId="8932"/>
    <cellStyle name="Currency 4 9 10" xfId="8933"/>
    <cellStyle name="Currency 4 9 2" xfId="8934"/>
    <cellStyle name="Currency 4 9 2 2" xfId="8935"/>
    <cellStyle name="Currency 4 9 2 2 2" xfId="8936"/>
    <cellStyle name="Currency 4 9 2 3" xfId="8937"/>
    <cellStyle name="Currency 4 9 2 3 2" xfId="8938"/>
    <cellStyle name="Currency 4 9 2 4" xfId="8939"/>
    <cellStyle name="Currency 4 9 2 4 2" xfId="8940"/>
    <cellStyle name="Currency 4 9 2 5" xfId="8941"/>
    <cellStyle name="Currency 4 9 2 6" xfId="8942"/>
    <cellStyle name="Currency 4 9 3" xfId="8943"/>
    <cellStyle name="Currency 4 9 3 2" xfId="8944"/>
    <cellStyle name="Currency 4 9 3 2 2" xfId="8945"/>
    <cellStyle name="Currency 4 9 3 3" xfId="8946"/>
    <cellStyle name="Currency 4 9 3 3 2" xfId="8947"/>
    <cellStyle name="Currency 4 9 3 4" xfId="8948"/>
    <cellStyle name="Currency 4 9 3 4 2" xfId="8949"/>
    <cellStyle name="Currency 4 9 3 5" xfId="8950"/>
    <cellStyle name="Currency 4 9 3 6" xfId="8951"/>
    <cellStyle name="Currency 4 9 4" xfId="8952"/>
    <cellStyle name="Currency 4 9 4 2" xfId="8953"/>
    <cellStyle name="Currency 4 9 4 2 2" xfId="8954"/>
    <cellStyle name="Currency 4 9 4 3" xfId="8955"/>
    <cellStyle name="Currency 4 9 4 3 2" xfId="8956"/>
    <cellStyle name="Currency 4 9 4 4" xfId="8957"/>
    <cellStyle name="Currency 4 9 4 4 2" xfId="8958"/>
    <cellStyle name="Currency 4 9 4 5" xfId="8959"/>
    <cellStyle name="Currency 4 9 4 6" xfId="8960"/>
    <cellStyle name="Currency 4 9 5" xfId="8961"/>
    <cellStyle name="Currency 4 9 5 2" xfId="8962"/>
    <cellStyle name="Currency 4 9 5 2 2" xfId="8963"/>
    <cellStyle name="Currency 4 9 5 3" xfId="8964"/>
    <cellStyle name="Currency 4 9 5 3 2" xfId="8965"/>
    <cellStyle name="Currency 4 9 5 4" xfId="8966"/>
    <cellStyle name="Currency 4 9 5 5" xfId="8967"/>
    <cellStyle name="Currency 4 9 6" xfId="8968"/>
    <cellStyle name="Currency 4 9 6 2" xfId="8969"/>
    <cellStyle name="Currency 4 9 7" xfId="8970"/>
    <cellStyle name="Currency 4 9 7 2" xfId="8971"/>
    <cellStyle name="Currency 4 9 8" xfId="8972"/>
    <cellStyle name="Currency 4 9 8 2" xfId="8973"/>
    <cellStyle name="Currency 4 9 9" xfId="8974"/>
    <cellStyle name="Currency 5" xfId="8975"/>
    <cellStyle name="Currency 6" xfId="43938"/>
    <cellStyle name="Currency0" xfId="8976"/>
    <cellStyle name="Currency0 2" xfId="8977"/>
    <cellStyle name="Currency0 3" xfId="8978"/>
    <cellStyle name="Currency0 4" xfId="8979"/>
    <cellStyle name="Currency0 5" xfId="8980"/>
    <cellStyle name="Currency0 6" xfId="8981"/>
    <cellStyle name="Currency0 7" xfId="8982"/>
    <cellStyle name="Currency2" xfId="8983"/>
    <cellStyle name="Date" xfId="8984"/>
    <cellStyle name="Date 2" xfId="8985"/>
    <cellStyle name="Date 3" xfId="8986"/>
    <cellStyle name="DateHeading" xfId="8987"/>
    <cellStyle name="Dezimal [0]_fee projec" xfId="8988"/>
    <cellStyle name="Dezimal_fee projec" xfId="8989"/>
    <cellStyle name="Error" xfId="8990"/>
    <cellStyle name="Errortest" xfId="8991"/>
    <cellStyle name="Euro" xfId="8992"/>
    <cellStyle name="Euro 2" xfId="8993"/>
    <cellStyle name="Explanatory Text 2" xfId="8994"/>
    <cellStyle name="Explanatory Text 2 2" xfId="8995"/>
    <cellStyle name="Explanatory Text 3" xfId="8996"/>
    <cellStyle name="f" xfId="8997"/>
    <cellStyle name="f_vlookup" xfId="8998"/>
    <cellStyle name="File Input Cell" xfId="8999"/>
    <cellStyle name="Fixed" xfId="9000"/>
    <cellStyle name="Fixed 2" xfId="9001"/>
    <cellStyle name="Fixed 3" xfId="9002"/>
    <cellStyle name="Fixed Inputs from Catawba Contracts" xfId="9003"/>
    <cellStyle name="Fixed Inputs from Catawba Contracts 2" xfId="9004"/>
    <cellStyle name="Fixed Inputs from Catawba Contracts 3" xfId="9005"/>
    <cellStyle name="Fixed Inputs from Catawba Contracts 4" xfId="9006"/>
    <cellStyle name="Fixed Inputs from Catawba Contracts 5" xfId="9007"/>
    <cellStyle name="Fixed Inputs from Catawba Contracts 6" xfId="9008"/>
    <cellStyle name="Fixed Inputs from Catawba Contracts 7" xfId="9009"/>
    <cellStyle name="Fixed Inputs from Catawba Contracts 8" xfId="9010"/>
    <cellStyle name="Fixed Inputs from Catawba Contracts 9" xfId="9011"/>
    <cellStyle name="Good 2" xfId="9012"/>
    <cellStyle name="Good 2 2" xfId="9013"/>
    <cellStyle name="Good 3" xfId="9014"/>
    <cellStyle name="Grey" xfId="9015"/>
    <cellStyle name="Grey 2" xfId="9016"/>
    <cellStyle name="Grey 3" xfId="9017"/>
    <cellStyle name="Grey 4" xfId="9018"/>
    <cellStyle name="Grey 5" xfId="9019"/>
    <cellStyle name="HEADER" xfId="9020"/>
    <cellStyle name="Header1" xfId="9021"/>
    <cellStyle name="Header2" xfId="9022"/>
    <cellStyle name="Header2 2" xfId="9023"/>
    <cellStyle name="Header2 3" xfId="9024"/>
    <cellStyle name="Header2 4" xfId="9025"/>
    <cellStyle name="Header2 5" xfId="9026"/>
    <cellStyle name="Header2 6" xfId="9027"/>
    <cellStyle name="Header2 7" xfId="9028"/>
    <cellStyle name="Header2 8" xfId="9029"/>
    <cellStyle name="Header2 9" xfId="9030"/>
    <cellStyle name="Heading" xfId="9031"/>
    <cellStyle name="Heading 1 2" xfId="9032"/>
    <cellStyle name="Heading 1 2 2" xfId="9033"/>
    <cellStyle name="Heading 1 2 3" xfId="9034"/>
    <cellStyle name="Heading 1 3" xfId="9035"/>
    <cellStyle name="Heading 1 3 2" xfId="9036"/>
    <cellStyle name="Heading 2 2" xfId="9037"/>
    <cellStyle name="Heading 2 2 2" xfId="9038"/>
    <cellStyle name="Heading 2 2 3" xfId="9039"/>
    <cellStyle name="Heading 2 3" xfId="9040"/>
    <cellStyle name="Heading 2 3 2" xfId="9041"/>
    <cellStyle name="Heading 3 2" xfId="9042"/>
    <cellStyle name="Heading 3 2 2" xfId="9043"/>
    <cellStyle name="Heading 3 3" xfId="9044"/>
    <cellStyle name="Heading 4 2" xfId="9045"/>
    <cellStyle name="Heading 4 2 2" xfId="9046"/>
    <cellStyle name="Heading 4 3" xfId="9047"/>
    <cellStyle name="Heading1" xfId="9048"/>
    <cellStyle name="Heading2" xfId="9049"/>
    <cellStyle name="HEADINGS" xfId="9050"/>
    <cellStyle name="Highlight" xfId="9051"/>
    <cellStyle name="HIGHLIGHT 2" xfId="9052"/>
    <cellStyle name="Historical Inputs" xfId="9053"/>
    <cellStyle name="Hot Inputs" xfId="9054"/>
    <cellStyle name="Hot Inputs 2" xfId="9055"/>
    <cellStyle name="Hot Inputs 3" xfId="9056"/>
    <cellStyle name="Hot Inputs 4" xfId="9057"/>
    <cellStyle name="Hot Inputs 5" xfId="9058"/>
    <cellStyle name="Hot Inputs 6" xfId="9059"/>
    <cellStyle name="Hot Inputs 7" xfId="9060"/>
    <cellStyle name="Hot Inputs 8" xfId="9061"/>
    <cellStyle name="Hot Inputs 9" xfId="9062"/>
    <cellStyle name="Imported data from another worksheet" xfId="9063"/>
    <cellStyle name="Imported data from another worksheet 2" xfId="9064"/>
    <cellStyle name="Imported data from another worksheet 3" xfId="9065"/>
    <cellStyle name="Imported data from another worksheet 4" xfId="9066"/>
    <cellStyle name="Imported data from another worksheet 5" xfId="9067"/>
    <cellStyle name="Imported data from another worksheet 6" xfId="9068"/>
    <cellStyle name="Imported data from another worksheet 7" xfId="9069"/>
    <cellStyle name="Imported data from another worksheet 8" xfId="9070"/>
    <cellStyle name="Imported data from another worksheet 9" xfId="9071"/>
    <cellStyle name="inc/dec" xfId="9072"/>
    <cellStyle name="IndirectReference" xfId="9073"/>
    <cellStyle name="Input [yellow]" xfId="9074"/>
    <cellStyle name="Input [yellow] 10" xfId="9075"/>
    <cellStyle name="Input [yellow] 2" xfId="9076"/>
    <cellStyle name="Input [yellow] 2 2" xfId="9077"/>
    <cellStyle name="Input [yellow] 3" xfId="9078"/>
    <cellStyle name="Input [yellow] 3 2" xfId="9079"/>
    <cellStyle name="Input [yellow] 4" xfId="9080"/>
    <cellStyle name="Input [yellow] 5" xfId="9081"/>
    <cellStyle name="Input [yellow] 5 2" xfId="9082"/>
    <cellStyle name="Input [yellow] 6" xfId="9083"/>
    <cellStyle name="Input [yellow] 6 2" xfId="9084"/>
    <cellStyle name="Input [yellow] 7" xfId="9085"/>
    <cellStyle name="Input [yellow] 8" xfId="9086"/>
    <cellStyle name="Input [yellow] 9" xfId="9087"/>
    <cellStyle name="Input 10" xfId="9088"/>
    <cellStyle name="Input 11" xfId="9089"/>
    <cellStyle name="Input 12" xfId="9090"/>
    <cellStyle name="Input 13" xfId="9091"/>
    <cellStyle name="Input 14" xfId="9092"/>
    <cellStyle name="Input 15" xfId="9093"/>
    <cellStyle name="Input 16" xfId="9094"/>
    <cellStyle name="Input 17" xfId="9095"/>
    <cellStyle name="Input 18" xfId="9096"/>
    <cellStyle name="Input 19" xfId="9097"/>
    <cellStyle name="Input 2" xfId="9098"/>
    <cellStyle name="Input 2 2" xfId="9099"/>
    <cellStyle name="Input 20" xfId="9100"/>
    <cellStyle name="Input 21" xfId="9101"/>
    <cellStyle name="Input 22" xfId="9102"/>
    <cellStyle name="Input 3" xfId="9103"/>
    <cellStyle name="Input 3 2" xfId="9104"/>
    <cellStyle name="Input 4" xfId="9105"/>
    <cellStyle name="Input 4 2" xfId="9106"/>
    <cellStyle name="Input 5" xfId="9107"/>
    <cellStyle name="Input 5 2" xfId="9108"/>
    <cellStyle name="Input 6" xfId="9109"/>
    <cellStyle name="Input 6 2" xfId="9110"/>
    <cellStyle name="Input 7" xfId="9111"/>
    <cellStyle name="Input 8" xfId="9112"/>
    <cellStyle name="Input 9" xfId="9113"/>
    <cellStyle name="Input Percent" xfId="9114"/>
    <cellStyle name="Input Percent 2" xfId="9115"/>
    <cellStyle name="Input Percent 3" xfId="9116"/>
    <cellStyle name="Input Percent 4" xfId="9117"/>
    <cellStyle name="Input Percent 5" xfId="9118"/>
    <cellStyle name="Input Percent 6" xfId="9119"/>
    <cellStyle name="Input Percent 7" xfId="9120"/>
    <cellStyle name="Input Percent 8" xfId="9121"/>
    <cellStyle name="Input Percent 9" xfId="9122"/>
    <cellStyle name="inputarea" xfId="9123"/>
    <cellStyle name="INPUTS" xfId="9124"/>
    <cellStyle name="INPUTS 2" xfId="9125"/>
    <cellStyle name="INPUTS 3" xfId="9126"/>
    <cellStyle name="Inputs2" xfId="9127"/>
    <cellStyle name="Lines" xfId="9128"/>
    <cellStyle name="Linked Cell 2" xfId="9129"/>
    <cellStyle name="Linked Cell 2 2" xfId="9130"/>
    <cellStyle name="Linked Cell 3" xfId="9131"/>
    <cellStyle name="Manual Input" xfId="9132"/>
    <cellStyle name="Manual Input Cell" xfId="9133"/>
    <cellStyle name="Manual Input Cell 2" xfId="9134"/>
    <cellStyle name="Manual Input Cell 3" xfId="9135"/>
    <cellStyle name="Manual Input Cell 4" xfId="9136"/>
    <cellStyle name="Manual Input Cell 5" xfId="9137"/>
    <cellStyle name="Manual Input Cell 6" xfId="9138"/>
    <cellStyle name="Manual Input Cell 7" xfId="9139"/>
    <cellStyle name="Manual Input Cell 8" xfId="9140"/>
    <cellStyle name="Manual Input Cell 9" xfId="9141"/>
    <cellStyle name="mennu bar" xfId="9142"/>
    <cellStyle name="mennu bar 2" xfId="9143"/>
    <cellStyle name="mennu bar 3" xfId="9144"/>
    <cellStyle name="mennu bar 4" xfId="9145"/>
    <cellStyle name="mennu bar 5" xfId="9146"/>
    <cellStyle name="mennu bar 6" xfId="9147"/>
    <cellStyle name="mennu bar 7" xfId="9148"/>
    <cellStyle name="mennu bar 8" xfId="9149"/>
    <cellStyle name="mennu bar 9" xfId="9150"/>
    <cellStyle name="Millares_prectav00" xfId="9151"/>
    <cellStyle name="Model Generated Cell" xfId="9152"/>
    <cellStyle name="ModGen" xfId="9153"/>
    <cellStyle name="Moneda [0]_prehcc00" xfId="9154"/>
    <cellStyle name="Moneda_prectav00" xfId="9155"/>
    <cellStyle name="Names" xfId="9156"/>
    <cellStyle name="Neutral 2" xfId="9157"/>
    <cellStyle name="Neutral 2 2" xfId="9158"/>
    <cellStyle name="Neutral 3" xfId="9159"/>
    <cellStyle name="no dec" xfId="9160"/>
    <cellStyle name="Normal" xfId="0" builtinId="0"/>
    <cellStyle name="Normal - Style1" xfId="9161"/>
    <cellStyle name="Normal 10" xfId="9162"/>
    <cellStyle name="Normal 10 10" xfId="9163"/>
    <cellStyle name="Normal 10 10 2" xfId="9164"/>
    <cellStyle name="Normal 10 10 2 2" xfId="9165"/>
    <cellStyle name="Normal 10 10 3" xfId="9166"/>
    <cellStyle name="Normal 10 10 3 2" xfId="9167"/>
    <cellStyle name="Normal 10 10 4" xfId="9168"/>
    <cellStyle name="Normal 10 10 4 2" xfId="9169"/>
    <cellStyle name="Normal 10 10 5" xfId="9170"/>
    <cellStyle name="Normal 10 10 6" xfId="9171"/>
    <cellStyle name="Normal 10 11" xfId="9172"/>
    <cellStyle name="Normal 10 11 2" xfId="9173"/>
    <cellStyle name="Normal 10 11 2 2" xfId="9174"/>
    <cellStyle name="Normal 10 11 3" xfId="9175"/>
    <cellStyle name="Normal 10 11 3 2" xfId="9176"/>
    <cellStyle name="Normal 10 11 4" xfId="9177"/>
    <cellStyle name="Normal 10 11 5" xfId="9178"/>
    <cellStyle name="Normal 10 12" xfId="9179"/>
    <cellStyle name="Normal 10 12 2" xfId="9180"/>
    <cellStyle name="Normal 10 13" xfId="9181"/>
    <cellStyle name="Normal 10 13 2" xfId="9182"/>
    <cellStyle name="Normal 10 14" xfId="9183"/>
    <cellStyle name="Normal 10 14 2" xfId="9184"/>
    <cellStyle name="Normal 10 15" xfId="9185"/>
    <cellStyle name="Normal 10 16" xfId="9186"/>
    <cellStyle name="Normal 10 17" xfId="9187"/>
    <cellStyle name="Normal 10 18" xfId="9188"/>
    <cellStyle name="Normal 10 2" xfId="9189"/>
    <cellStyle name="Normal 10 2 10" xfId="9190"/>
    <cellStyle name="Normal 10 2 10 2" xfId="9191"/>
    <cellStyle name="Normal 10 2 11" xfId="9192"/>
    <cellStyle name="Normal 10 2 11 2" xfId="9193"/>
    <cellStyle name="Normal 10 2 12" xfId="9194"/>
    <cellStyle name="Normal 10 2 13" xfId="9195"/>
    <cellStyle name="Normal 10 2 14" xfId="9196"/>
    <cellStyle name="Normal 10 2 15" xfId="9197"/>
    <cellStyle name="Normal 10 2 2" xfId="9198"/>
    <cellStyle name="Normal 10 2 2 10" xfId="9199"/>
    <cellStyle name="Normal 10 2 2 11" xfId="9200"/>
    <cellStyle name="Normal 10 2 2 12" xfId="9201"/>
    <cellStyle name="Normal 10 2 2 2" xfId="9202"/>
    <cellStyle name="Normal 10 2 2 2 2" xfId="9203"/>
    <cellStyle name="Normal 10 2 2 2 2 2" xfId="9204"/>
    <cellStyle name="Normal 10 2 2 2 2 3" xfId="9205"/>
    <cellStyle name="Normal 10 2 2 2 3" xfId="9206"/>
    <cellStyle name="Normal 10 2 2 2 3 2" xfId="9207"/>
    <cellStyle name="Normal 10 2 2 2 4" xfId="9208"/>
    <cellStyle name="Normal 10 2 2 2 4 2" xfId="9209"/>
    <cellStyle name="Normal 10 2 2 2 5" xfId="9210"/>
    <cellStyle name="Normal 10 2 2 2 6" xfId="9211"/>
    <cellStyle name="Normal 10 2 2 2 7" xfId="9212"/>
    <cellStyle name="Normal 10 2 2 3" xfId="9213"/>
    <cellStyle name="Normal 10 2 2 3 2" xfId="9214"/>
    <cellStyle name="Normal 10 2 2 3 2 2" xfId="9215"/>
    <cellStyle name="Normal 10 2 2 3 3" xfId="9216"/>
    <cellStyle name="Normal 10 2 2 3 3 2" xfId="9217"/>
    <cellStyle name="Normal 10 2 2 3 4" xfId="9218"/>
    <cellStyle name="Normal 10 2 2 3 4 2" xfId="9219"/>
    <cellStyle name="Normal 10 2 2 3 5" xfId="9220"/>
    <cellStyle name="Normal 10 2 2 3 6" xfId="9221"/>
    <cellStyle name="Normal 10 2 2 3 7" xfId="9222"/>
    <cellStyle name="Normal 10 2 2 4" xfId="9223"/>
    <cellStyle name="Normal 10 2 2 4 2" xfId="9224"/>
    <cellStyle name="Normal 10 2 2 4 2 2" xfId="9225"/>
    <cellStyle name="Normal 10 2 2 4 3" xfId="9226"/>
    <cellStyle name="Normal 10 2 2 4 3 2" xfId="9227"/>
    <cellStyle name="Normal 10 2 2 4 4" xfId="9228"/>
    <cellStyle name="Normal 10 2 2 4 4 2" xfId="9229"/>
    <cellStyle name="Normal 10 2 2 4 5" xfId="9230"/>
    <cellStyle name="Normal 10 2 2 4 6" xfId="9231"/>
    <cellStyle name="Normal 10 2 2 4 7" xfId="9232"/>
    <cellStyle name="Normal 10 2 2 5" xfId="9233"/>
    <cellStyle name="Normal 10 2 2 5 2" xfId="9234"/>
    <cellStyle name="Normal 10 2 2 5 2 2" xfId="9235"/>
    <cellStyle name="Normal 10 2 2 5 3" xfId="9236"/>
    <cellStyle name="Normal 10 2 2 5 3 2" xfId="9237"/>
    <cellStyle name="Normal 10 2 2 5 4" xfId="9238"/>
    <cellStyle name="Normal 10 2 2 5 4 2" xfId="9239"/>
    <cellStyle name="Normal 10 2 2 5 5" xfId="9240"/>
    <cellStyle name="Normal 10 2 2 5 6" xfId="9241"/>
    <cellStyle name="Normal 10 2 2 6" xfId="9242"/>
    <cellStyle name="Normal 10 2 2 6 2" xfId="9243"/>
    <cellStyle name="Normal 10 2 2 6 2 2" xfId="9244"/>
    <cellStyle name="Normal 10 2 2 6 3" xfId="9245"/>
    <cellStyle name="Normal 10 2 2 6 3 2" xfId="9246"/>
    <cellStyle name="Normal 10 2 2 6 4" xfId="9247"/>
    <cellStyle name="Normal 10 2 2 6 5" xfId="9248"/>
    <cellStyle name="Normal 10 2 2 7" xfId="9249"/>
    <cellStyle name="Normal 10 2 2 7 2" xfId="9250"/>
    <cellStyle name="Normal 10 2 2 8" xfId="9251"/>
    <cellStyle name="Normal 10 2 2 8 2" xfId="9252"/>
    <cellStyle name="Normal 10 2 2 9" xfId="9253"/>
    <cellStyle name="Normal 10 2 2 9 2" xfId="9254"/>
    <cellStyle name="Normal 10 2 3" xfId="9255"/>
    <cellStyle name="Normal 10 2 3 10" xfId="9256"/>
    <cellStyle name="Normal 10 2 3 11" xfId="9257"/>
    <cellStyle name="Normal 10 2 3 2" xfId="9258"/>
    <cellStyle name="Normal 10 2 3 2 2" xfId="9259"/>
    <cellStyle name="Normal 10 2 3 2 2 2" xfId="9260"/>
    <cellStyle name="Normal 10 2 3 2 3" xfId="9261"/>
    <cellStyle name="Normal 10 2 3 2 3 2" xfId="9262"/>
    <cellStyle name="Normal 10 2 3 2 4" xfId="9263"/>
    <cellStyle name="Normal 10 2 3 2 4 2" xfId="9264"/>
    <cellStyle name="Normal 10 2 3 2 5" xfId="9265"/>
    <cellStyle name="Normal 10 2 3 2 6" xfId="9266"/>
    <cellStyle name="Normal 10 2 3 2 7" xfId="9267"/>
    <cellStyle name="Normal 10 2 3 3" xfId="9268"/>
    <cellStyle name="Normal 10 2 3 3 2" xfId="9269"/>
    <cellStyle name="Normal 10 2 3 3 2 2" xfId="9270"/>
    <cellStyle name="Normal 10 2 3 3 3" xfId="9271"/>
    <cellStyle name="Normal 10 2 3 3 3 2" xfId="9272"/>
    <cellStyle name="Normal 10 2 3 3 4" xfId="9273"/>
    <cellStyle name="Normal 10 2 3 3 4 2" xfId="9274"/>
    <cellStyle name="Normal 10 2 3 3 5" xfId="9275"/>
    <cellStyle name="Normal 10 2 3 3 6" xfId="9276"/>
    <cellStyle name="Normal 10 2 3 4" xfId="9277"/>
    <cellStyle name="Normal 10 2 3 4 2" xfId="9278"/>
    <cellStyle name="Normal 10 2 3 4 2 2" xfId="9279"/>
    <cellStyle name="Normal 10 2 3 4 3" xfId="9280"/>
    <cellStyle name="Normal 10 2 3 4 3 2" xfId="9281"/>
    <cellStyle name="Normal 10 2 3 4 4" xfId="9282"/>
    <cellStyle name="Normal 10 2 3 4 4 2" xfId="9283"/>
    <cellStyle name="Normal 10 2 3 4 5" xfId="9284"/>
    <cellStyle name="Normal 10 2 3 4 6" xfId="9285"/>
    <cellStyle name="Normal 10 2 3 5" xfId="9286"/>
    <cellStyle name="Normal 10 2 3 5 2" xfId="9287"/>
    <cellStyle name="Normal 10 2 3 5 2 2" xfId="9288"/>
    <cellStyle name="Normal 10 2 3 5 3" xfId="9289"/>
    <cellStyle name="Normal 10 2 3 5 3 2" xfId="9290"/>
    <cellStyle name="Normal 10 2 3 5 4" xfId="9291"/>
    <cellStyle name="Normal 10 2 3 5 5" xfId="9292"/>
    <cellStyle name="Normal 10 2 3 6" xfId="9293"/>
    <cellStyle name="Normal 10 2 3 6 2" xfId="9294"/>
    <cellStyle name="Normal 10 2 3 7" xfId="9295"/>
    <cellStyle name="Normal 10 2 3 7 2" xfId="9296"/>
    <cellStyle name="Normal 10 2 3 8" xfId="9297"/>
    <cellStyle name="Normal 10 2 3 8 2" xfId="9298"/>
    <cellStyle name="Normal 10 2 3 9" xfId="9299"/>
    <cellStyle name="Normal 10 2 4" xfId="9300"/>
    <cellStyle name="Normal 10 2 4 10" xfId="9301"/>
    <cellStyle name="Normal 10 2 4 11" xfId="9302"/>
    <cellStyle name="Normal 10 2 4 2" xfId="9303"/>
    <cellStyle name="Normal 10 2 4 2 2" xfId="9304"/>
    <cellStyle name="Normal 10 2 4 2 2 2" xfId="9305"/>
    <cellStyle name="Normal 10 2 4 2 3" xfId="9306"/>
    <cellStyle name="Normal 10 2 4 2 3 2" xfId="9307"/>
    <cellStyle name="Normal 10 2 4 2 4" xfId="9308"/>
    <cellStyle name="Normal 10 2 4 2 4 2" xfId="9309"/>
    <cellStyle name="Normal 10 2 4 2 5" xfId="9310"/>
    <cellStyle name="Normal 10 2 4 2 6" xfId="9311"/>
    <cellStyle name="Normal 10 2 4 3" xfId="9312"/>
    <cellStyle name="Normal 10 2 4 3 2" xfId="9313"/>
    <cellStyle name="Normal 10 2 4 3 2 2" xfId="9314"/>
    <cellStyle name="Normal 10 2 4 3 3" xfId="9315"/>
    <cellStyle name="Normal 10 2 4 3 3 2" xfId="9316"/>
    <cellStyle name="Normal 10 2 4 3 4" xfId="9317"/>
    <cellStyle name="Normal 10 2 4 3 4 2" xfId="9318"/>
    <cellStyle name="Normal 10 2 4 3 5" xfId="9319"/>
    <cellStyle name="Normal 10 2 4 3 6" xfId="9320"/>
    <cellStyle name="Normal 10 2 4 4" xfId="9321"/>
    <cellStyle name="Normal 10 2 4 4 2" xfId="9322"/>
    <cellStyle name="Normal 10 2 4 4 2 2" xfId="9323"/>
    <cellStyle name="Normal 10 2 4 4 3" xfId="9324"/>
    <cellStyle name="Normal 10 2 4 4 3 2" xfId="9325"/>
    <cellStyle name="Normal 10 2 4 4 4" xfId="9326"/>
    <cellStyle name="Normal 10 2 4 4 4 2" xfId="9327"/>
    <cellStyle name="Normal 10 2 4 4 5" xfId="9328"/>
    <cellStyle name="Normal 10 2 4 4 6" xfId="9329"/>
    <cellStyle name="Normal 10 2 4 5" xfId="9330"/>
    <cellStyle name="Normal 10 2 4 5 2" xfId="9331"/>
    <cellStyle name="Normal 10 2 4 5 2 2" xfId="9332"/>
    <cellStyle name="Normal 10 2 4 5 3" xfId="9333"/>
    <cellStyle name="Normal 10 2 4 5 3 2" xfId="9334"/>
    <cellStyle name="Normal 10 2 4 5 4" xfId="9335"/>
    <cellStyle name="Normal 10 2 4 5 5" xfId="9336"/>
    <cellStyle name="Normal 10 2 4 6" xfId="9337"/>
    <cellStyle name="Normal 10 2 4 6 2" xfId="9338"/>
    <cellStyle name="Normal 10 2 4 7" xfId="9339"/>
    <cellStyle name="Normal 10 2 4 7 2" xfId="9340"/>
    <cellStyle name="Normal 10 2 4 8" xfId="9341"/>
    <cellStyle name="Normal 10 2 4 8 2" xfId="9342"/>
    <cellStyle name="Normal 10 2 4 9" xfId="9343"/>
    <cellStyle name="Normal 10 2 5" xfId="9344"/>
    <cellStyle name="Normal 10 2 5 2" xfId="9345"/>
    <cellStyle name="Normal 10 2 5 2 2" xfId="9346"/>
    <cellStyle name="Normal 10 2 5 3" xfId="9347"/>
    <cellStyle name="Normal 10 2 5 3 2" xfId="9348"/>
    <cellStyle name="Normal 10 2 5 4" xfId="9349"/>
    <cellStyle name="Normal 10 2 5 4 2" xfId="9350"/>
    <cellStyle name="Normal 10 2 5 5" xfId="9351"/>
    <cellStyle name="Normal 10 2 5 6" xfId="9352"/>
    <cellStyle name="Normal 10 2 5 7" xfId="9353"/>
    <cellStyle name="Normal 10 2 6" xfId="9354"/>
    <cellStyle name="Normal 10 2 6 2" xfId="9355"/>
    <cellStyle name="Normal 10 2 6 2 2" xfId="9356"/>
    <cellStyle name="Normal 10 2 6 3" xfId="9357"/>
    <cellStyle name="Normal 10 2 6 3 2" xfId="9358"/>
    <cellStyle name="Normal 10 2 6 4" xfId="9359"/>
    <cellStyle name="Normal 10 2 6 4 2" xfId="9360"/>
    <cellStyle name="Normal 10 2 6 5" xfId="9361"/>
    <cellStyle name="Normal 10 2 6 6" xfId="9362"/>
    <cellStyle name="Normal 10 2 7" xfId="9363"/>
    <cellStyle name="Normal 10 2 7 2" xfId="9364"/>
    <cellStyle name="Normal 10 2 7 2 2" xfId="9365"/>
    <cellStyle name="Normal 10 2 7 3" xfId="9366"/>
    <cellStyle name="Normal 10 2 7 3 2" xfId="9367"/>
    <cellStyle name="Normal 10 2 7 4" xfId="9368"/>
    <cellStyle name="Normal 10 2 7 4 2" xfId="9369"/>
    <cellStyle name="Normal 10 2 7 5" xfId="9370"/>
    <cellStyle name="Normal 10 2 7 6" xfId="9371"/>
    <cellStyle name="Normal 10 2 8" xfId="9372"/>
    <cellStyle name="Normal 10 2 8 2" xfId="9373"/>
    <cellStyle name="Normal 10 2 8 2 2" xfId="9374"/>
    <cellStyle name="Normal 10 2 8 3" xfId="9375"/>
    <cellStyle name="Normal 10 2 8 3 2" xfId="9376"/>
    <cellStyle name="Normal 10 2 8 4" xfId="9377"/>
    <cellStyle name="Normal 10 2 8 5" xfId="9378"/>
    <cellStyle name="Normal 10 2 9" xfId="9379"/>
    <cellStyle name="Normal 10 2 9 2" xfId="9380"/>
    <cellStyle name="Normal 10 3" xfId="9381"/>
    <cellStyle name="Normal 10 3 10" xfId="9382"/>
    <cellStyle name="Normal 10 3 10 2" xfId="9383"/>
    <cellStyle name="Normal 10 3 11" xfId="9384"/>
    <cellStyle name="Normal 10 3 11 2" xfId="9385"/>
    <cellStyle name="Normal 10 3 12" xfId="9386"/>
    <cellStyle name="Normal 10 3 13" xfId="9387"/>
    <cellStyle name="Normal 10 3 14" xfId="9388"/>
    <cellStyle name="Normal 10 3 2" xfId="9389"/>
    <cellStyle name="Normal 10 3 2 10" xfId="9390"/>
    <cellStyle name="Normal 10 3 2 11" xfId="9391"/>
    <cellStyle name="Normal 10 3 2 12" xfId="9392"/>
    <cellStyle name="Normal 10 3 2 2" xfId="9393"/>
    <cellStyle name="Normal 10 3 2 2 2" xfId="9394"/>
    <cellStyle name="Normal 10 3 2 2 2 2" xfId="9395"/>
    <cellStyle name="Normal 10 3 2 2 3" xfId="9396"/>
    <cellStyle name="Normal 10 3 2 2 3 2" xfId="9397"/>
    <cellStyle name="Normal 10 3 2 2 4" xfId="9398"/>
    <cellStyle name="Normal 10 3 2 2 4 2" xfId="9399"/>
    <cellStyle name="Normal 10 3 2 2 5" xfId="9400"/>
    <cellStyle name="Normal 10 3 2 2 6" xfId="9401"/>
    <cellStyle name="Normal 10 3 2 2 7" xfId="9402"/>
    <cellStyle name="Normal 10 3 2 3" xfId="9403"/>
    <cellStyle name="Normal 10 3 2 3 2" xfId="9404"/>
    <cellStyle name="Normal 10 3 2 3 2 2" xfId="9405"/>
    <cellStyle name="Normal 10 3 2 3 3" xfId="9406"/>
    <cellStyle name="Normal 10 3 2 3 3 2" xfId="9407"/>
    <cellStyle name="Normal 10 3 2 3 4" xfId="9408"/>
    <cellStyle name="Normal 10 3 2 3 4 2" xfId="9409"/>
    <cellStyle name="Normal 10 3 2 3 5" xfId="9410"/>
    <cellStyle name="Normal 10 3 2 3 6" xfId="9411"/>
    <cellStyle name="Normal 10 3 2 4" xfId="9412"/>
    <cellStyle name="Normal 10 3 2 4 2" xfId="9413"/>
    <cellStyle name="Normal 10 3 2 4 2 2" xfId="9414"/>
    <cellStyle name="Normal 10 3 2 4 3" xfId="9415"/>
    <cellStyle name="Normal 10 3 2 4 3 2" xfId="9416"/>
    <cellStyle name="Normal 10 3 2 4 4" xfId="9417"/>
    <cellStyle name="Normal 10 3 2 4 4 2" xfId="9418"/>
    <cellStyle name="Normal 10 3 2 4 5" xfId="9419"/>
    <cellStyle name="Normal 10 3 2 4 6" xfId="9420"/>
    <cellStyle name="Normal 10 3 2 5" xfId="9421"/>
    <cellStyle name="Normal 10 3 2 5 2" xfId="9422"/>
    <cellStyle name="Normal 10 3 2 5 2 2" xfId="9423"/>
    <cellStyle name="Normal 10 3 2 5 3" xfId="9424"/>
    <cellStyle name="Normal 10 3 2 5 3 2" xfId="9425"/>
    <cellStyle name="Normal 10 3 2 5 4" xfId="9426"/>
    <cellStyle name="Normal 10 3 2 5 4 2" xfId="9427"/>
    <cellStyle name="Normal 10 3 2 5 5" xfId="9428"/>
    <cellStyle name="Normal 10 3 2 5 6" xfId="9429"/>
    <cellStyle name="Normal 10 3 2 6" xfId="9430"/>
    <cellStyle name="Normal 10 3 2 6 2" xfId="9431"/>
    <cellStyle name="Normal 10 3 2 6 2 2" xfId="9432"/>
    <cellStyle name="Normal 10 3 2 6 3" xfId="9433"/>
    <cellStyle name="Normal 10 3 2 6 3 2" xfId="9434"/>
    <cellStyle name="Normal 10 3 2 6 4" xfId="9435"/>
    <cellStyle name="Normal 10 3 2 6 5" xfId="9436"/>
    <cellStyle name="Normal 10 3 2 7" xfId="9437"/>
    <cellStyle name="Normal 10 3 2 7 2" xfId="9438"/>
    <cellStyle name="Normal 10 3 2 8" xfId="9439"/>
    <cellStyle name="Normal 10 3 2 8 2" xfId="9440"/>
    <cellStyle name="Normal 10 3 2 9" xfId="9441"/>
    <cellStyle name="Normal 10 3 2 9 2" xfId="9442"/>
    <cellStyle name="Normal 10 3 3" xfId="9443"/>
    <cellStyle name="Normal 10 3 3 10" xfId="9444"/>
    <cellStyle name="Normal 10 3 3 11" xfId="9445"/>
    <cellStyle name="Normal 10 3 3 2" xfId="9446"/>
    <cellStyle name="Normal 10 3 3 2 2" xfId="9447"/>
    <cellStyle name="Normal 10 3 3 2 2 2" xfId="9448"/>
    <cellStyle name="Normal 10 3 3 2 3" xfId="9449"/>
    <cellStyle name="Normal 10 3 3 2 3 2" xfId="9450"/>
    <cellStyle name="Normal 10 3 3 2 4" xfId="9451"/>
    <cellStyle name="Normal 10 3 3 2 4 2" xfId="9452"/>
    <cellStyle name="Normal 10 3 3 2 5" xfId="9453"/>
    <cellStyle name="Normal 10 3 3 2 6" xfId="9454"/>
    <cellStyle name="Normal 10 3 3 3" xfId="9455"/>
    <cellStyle name="Normal 10 3 3 3 2" xfId="9456"/>
    <cellStyle name="Normal 10 3 3 3 2 2" xfId="9457"/>
    <cellStyle name="Normal 10 3 3 3 3" xfId="9458"/>
    <cellStyle name="Normal 10 3 3 3 3 2" xfId="9459"/>
    <cellStyle name="Normal 10 3 3 3 4" xfId="9460"/>
    <cellStyle name="Normal 10 3 3 3 4 2" xfId="9461"/>
    <cellStyle name="Normal 10 3 3 3 5" xfId="9462"/>
    <cellStyle name="Normal 10 3 3 3 6" xfId="9463"/>
    <cellStyle name="Normal 10 3 3 4" xfId="9464"/>
    <cellStyle name="Normal 10 3 3 4 2" xfId="9465"/>
    <cellStyle name="Normal 10 3 3 4 2 2" xfId="9466"/>
    <cellStyle name="Normal 10 3 3 4 3" xfId="9467"/>
    <cellStyle name="Normal 10 3 3 4 3 2" xfId="9468"/>
    <cellStyle name="Normal 10 3 3 4 4" xfId="9469"/>
    <cellStyle name="Normal 10 3 3 4 4 2" xfId="9470"/>
    <cellStyle name="Normal 10 3 3 4 5" xfId="9471"/>
    <cellStyle name="Normal 10 3 3 4 6" xfId="9472"/>
    <cellStyle name="Normal 10 3 3 5" xfId="9473"/>
    <cellStyle name="Normal 10 3 3 5 2" xfId="9474"/>
    <cellStyle name="Normal 10 3 3 5 2 2" xfId="9475"/>
    <cellStyle name="Normal 10 3 3 5 3" xfId="9476"/>
    <cellStyle name="Normal 10 3 3 5 3 2" xfId="9477"/>
    <cellStyle name="Normal 10 3 3 5 4" xfId="9478"/>
    <cellStyle name="Normal 10 3 3 5 5" xfId="9479"/>
    <cellStyle name="Normal 10 3 3 6" xfId="9480"/>
    <cellStyle name="Normal 10 3 3 6 2" xfId="9481"/>
    <cellStyle name="Normal 10 3 3 7" xfId="9482"/>
    <cellStyle name="Normal 10 3 3 7 2" xfId="9483"/>
    <cellStyle name="Normal 10 3 3 8" xfId="9484"/>
    <cellStyle name="Normal 10 3 3 8 2" xfId="9485"/>
    <cellStyle name="Normal 10 3 3 9" xfId="9486"/>
    <cellStyle name="Normal 10 3 4" xfId="9487"/>
    <cellStyle name="Normal 10 3 4 10" xfId="9488"/>
    <cellStyle name="Normal 10 3 4 11" xfId="9489"/>
    <cellStyle name="Normal 10 3 4 2" xfId="9490"/>
    <cellStyle name="Normal 10 3 4 2 2" xfId="9491"/>
    <cellStyle name="Normal 10 3 4 2 2 2" xfId="9492"/>
    <cellStyle name="Normal 10 3 4 2 3" xfId="9493"/>
    <cellStyle name="Normal 10 3 4 2 3 2" xfId="9494"/>
    <cellStyle name="Normal 10 3 4 2 4" xfId="9495"/>
    <cellStyle name="Normal 10 3 4 2 4 2" xfId="9496"/>
    <cellStyle name="Normal 10 3 4 2 5" xfId="9497"/>
    <cellStyle name="Normal 10 3 4 2 6" xfId="9498"/>
    <cellStyle name="Normal 10 3 4 3" xfId="9499"/>
    <cellStyle name="Normal 10 3 4 3 2" xfId="9500"/>
    <cellStyle name="Normal 10 3 4 3 2 2" xfId="9501"/>
    <cellStyle name="Normal 10 3 4 3 3" xfId="9502"/>
    <cellStyle name="Normal 10 3 4 3 3 2" xfId="9503"/>
    <cellStyle name="Normal 10 3 4 3 4" xfId="9504"/>
    <cellStyle name="Normal 10 3 4 3 4 2" xfId="9505"/>
    <cellStyle name="Normal 10 3 4 3 5" xfId="9506"/>
    <cellStyle name="Normal 10 3 4 3 6" xfId="9507"/>
    <cellStyle name="Normal 10 3 4 4" xfId="9508"/>
    <cellStyle name="Normal 10 3 4 4 2" xfId="9509"/>
    <cellStyle name="Normal 10 3 4 4 2 2" xfId="9510"/>
    <cellStyle name="Normal 10 3 4 4 3" xfId="9511"/>
    <cellStyle name="Normal 10 3 4 4 3 2" xfId="9512"/>
    <cellStyle name="Normal 10 3 4 4 4" xfId="9513"/>
    <cellStyle name="Normal 10 3 4 4 4 2" xfId="9514"/>
    <cellStyle name="Normal 10 3 4 4 5" xfId="9515"/>
    <cellStyle name="Normal 10 3 4 4 6" xfId="9516"/>
    <cellStyle name="Normal 10 3 4 5" xfId="9517"/>
    <cellStyle name="Normal 10 3 4 5 2" xfId="9518"/>
    <cellStyle name="Normal 10 3 4 5 2 2" xfId="9519"/>
    <cellStyle name="Normal 10 3 4 5 3" xfId="9520"/>
    <cellStyle name="Normal 10 3 4 5 3 2" xfId="9521"/>
    <cellStyle name="Normal 10 3 4 5 4" xfId="9522"/>
    <cellStyle name="Normal 10 3 4 5 5" xfId="9523"/>
    <cellStyle name="Normal 10 3 4 6" xfId="9524"/>
    <cellStyle name="Normal 10 3 4 6 2" xfId="9525"/>
    <cellStyle name="Normal 10 3 4 7" xfId="9526"/>
    <cellStyle name="Normal 10 3 4 7 2" xfId="9527"/>
    <cellStyle name="Normal 10 3 4 8" xfId="9528"/>
    <cellStyle name="Normal 10 3 4 8 2" xfId="9529"/>
    <cellStyle name="Normal 10 3 4 9" xfId="9530"/>
    <cellStyle name="Normal 10 3 5" xfId="9531"/>
    <cellStyle name="Normal 10 3 5 2" xfId="9532"/>
    <cellStyle name="Normal 10 3 5 2 2" xfId="9533"/>
    <cellStyle name="Normal 10 3 5 3" xfId="9534"/>
    <cellStyle name="Normal 10 3 5 3 2" xfId="9535"/>
    <cellStyle name="Normal 10 3 5 4" xfId="9536"/>
    <cellStyle name="Normal 10 3 5 4 2" xfId="9537"/>
    <cellStyle name="Normal 10 3 5 5" xfId="9538"/>
    <cellStyle name="Normal 10 3 5 6" xfId="9539"/>
    <cellStyle name="Normal 10 3 6" xfId="9540"/>
    <cellStyle name="Normal 10 3 6 2" xfId="9541"/>
    <cellStyle name="Normal 10 3 6 2 2" xfId="9542"/>
    <cellStyle name="Normal 10 3 6 3" xfId="9543"/>
    <cellStyle name="Normal 10 3 6 3 2" xfId="9544"/>
    <cellStyle name="Normal 10 3 6 4" xfId="9545"/>
    <cellStyle name="Normal 10 3 6 4 2" xfId="9546"/>
    <cellStyle name="Normal 10 3 6 5" xfId="9547"/>
    <cellStyle name="Normal 10 3 6 6" xfId="9548"/>
    <cellStyle name="Normal 10 3 7" xfId="9549"/>
    <cellStyle name="Normal 10 3 7 2" xfId="9550"/>
    <cellStyle name="Normal 10 3 7 2 2" xfId="9551"/>
    <cellStyle name="Normal 10 3 7 3" xfId="9552"/>
    <cellStyle name="Normal 10 3 7 3 2" xfId="9553"/>
    <cellStyle name="Normal 10 3 7 4" xfId="9554"/>
    <cellStyle name="Normal 10 3 7 4 2" xfId="9555"/>
    <cellStyle name="Normal 10 3 7 5" xfId="9556"/>
    <cellStyle name="Normal 10 3 7 6" xfId="9557"/>
    <cellStyle name="Normal 10 3 8" xfId="9558"/>
    <cellStyle name="Normal 10 3 8 2" xfId="9559"/>
    <cellStyle name="Normal 10 3 8 2 2" xfId="9560"/>
    <cellStyle name="Normal 10 3 8 3" xfId="9561"/>
    <cellStyle name="Normal 10 3 8 3 2" xfId="9562"/>
    <cellStyle name="Normal 10 3 8 4" xfId="9563"/>
    <cellStyle name="Normal 10 3 8 5" xfId="9564"/>
    <cellStyle name="Normal 10 3 9" xfId="9565"/>
    <cellStyle name="Normal 10 3 9 2" xfId="9566"/>
    <cellStyle name="Normal 10 4" xfId="9567"/>
    <cellStyle name="Normal 10 4 10" xfId="9568"/>
    <cellStyle name="Normal 10 4 10 2" xfId="9569"/>
    <cellStyle name="Normal 10 4 11" xfId="9570"/>
    <cellStyle name="Normal 10 4 12" xfId="9571"/>
    <cellStyle name="Normal 10 4 13" xfId="9572"/>
    <cellStyle name="Normal 10 4 2" xfId="9573"/>
    <cellStyle name="Normal 10 4 2 10" xfId="9574"/>
    <cellStyle name="Normal 10 4 2 11" xfId="9575"/>
    <cellStyle name="Normal 10 4 2 2" xfId="9576"/>
    <cellStyle name="Normal 10 4 2 2 2" xfId="9577"/>
    <cellStyle name="Normal 10 4 2 2 2 2" xfId="9578"/>
    <cellStyle name="Normal 10 4 2 2 3" xfId="9579"/>
    <cellStyle name="Normal 10 4 2 2 3 2" xfId="9580"/>
    <cellStyle name="Normal 10 4 2 2 4" xfId="9581"/>
    <cellStyle name="Normal 10 4 2 2 4 2" xfId="9582"/>
    <cellStyle name="Normal 10 4 2 2 5" xfId="9583"/>
    <cellStyle name="Normal 10 4 2 2 6" xfId="9584"/>
    <cellStyle name="Normal 10 4 2 2 7" xfId="9585"/>
    <cellStyle name="Normal 10 4 2 3" xfId="9586"/>
    <cellStyle name="Normal 10 4 2 3 2" xfId="9587"/>
    <cellStyle name="Normal 10 4 2 3 2 2" xfId="9588"/>
    <cellStyle name="Normal 10 4 2 3 3" xfId="9589"/>
    <cellStyle name="Normal 10 4 2 3 3 2" xfId="9590"/>
    <cellStyle name="Normal 10 4 2 3 4" xfId="9591"/>
    <cellStyle name="Normal 10 4 2 3 4 2" xfId="9592"/>
    <cellStyle name="Normal 10 4 2 3 5" xfId="9593"/>
    <cellStyle name="Normal 10 4 2 3 6" xfId="9594"/>
    <cellStyle name="Normal 10 4 2 4" xfId="9595"/>
    <cellStyle name="Normal 10 4 2 4 2" xfId="9596"/>
    <cellStyle name="Normal 10 4 2 4 2 2" xfId="9597"/>
    <cellStyle name="Normal 10 4 2 4 3" xfId="9598"/>
    <cellStyle name="Normal 10 4 2 4 3 2" xfId="9599"/>
    <cellStyle name="Normal 10 4 2 4 4" xfId="9600"/>
    <cellStyle name="Normal 10 4 2 4 4 2" xfId="9601"/>
    <cellStyle name="Normal 10 4 2 4 5" xfId="9602"/>
    <cellStyle name="Normal 10 4 2 4 6" xfId="9603"/>
    <cellStyle name="Normal 10 4 2 5" xfId="9604"/>
    <cellStyle name="Normal 10 4 2 5 2" xfId="9605"/>
    <cellStyle name="Normal 10 4 2 5 2 2" xfId="9606"/>
    <cellStyle name="Normal 10 4 2 5 3" xfId="9607"/>
    <cellStyle name="Normal 10 4 2 5 3 2" xfId="9608"/>
    <cellStyle name="Normal 10 4 2 5 4" xfId="9609"/>
    <cellStyle name="Normal 10 4 2 5 5" xfId="9610"/>
    <cellStyle name="Normal 10 4 2 6" xfId="9611"/>
    <cellStyle name="Normal 10 4 2 6 2" xfId="9612"/>
    <cellStyle name="Normal 10 4 2 7" xfId="9613"/>
    <cellStyle name="Normal 10 4 2 7 2" xfId="9614"/>
    <cellStyle name="Normal 10 4 2 8" xfId="9615"/>
    <cellStyle name="Normal 10 4 2 8 2" xfId="9616"/>
    <cellStyle name="Normal 10 4 2 9" xfId="9617"/>
    <cellStyle name="Normal 10 4 3" xfId="9618"/>
    <cellStyle name="Normal 10 4 3 10" xfId="9619"/>
    <cellStyle name="Normal 10 4 3 11" xfId="9620"/>
    <cellStyle name="Normal 10 4 3 2" xfId="9621"/>
    <cellStyle name="Normal 10 4 3 2 2" xfId="9622"/>
    <cellStyle name="Normal 10 4 3 2 2 2" xfId="9623"/>
    <cellStyle name="Normal 10 4 3 2 3" xfId="9624"/>
    <cellStyle name="Normal 10 4 3 2 3 2" xfId="9625"/>
    <cellStyle name="Normal 10 4 3 2 4" xfId="9626"/>
    <cellStyle name="Normal 10 4 3 2 4 2" xfId="9627"/>
    <cellStyle name="Normal 10 4 3 2 5" xfId="9628"/>
    <cellStyle name="Normal 10 4 3 2 6" xfId="9629"/>
    <cellStyle name="Normal 10 4 3 3" xfId="9630"/>
    <cellStyle name="Normal 10 4 3 3 2" xfId="9631"/>
    <cellStyle name="Normal 10 4 3 3 2 2" xfId="9632"/>
    <cellStyle name="Normal 10 4 3 3 3" xfId="9633"/>
    <cellStyle name="Normal 10 4 3 3 3 2" xfId="9634"/>
    <cellStyle name="Normal 10 4 3 3 4" xfId="9635"/>
    <cellStyle name="Normal 10 4 3 3 4 2" xfId="9636"/>
    <cellStyle name="Normal 10 4 3 3 5" xfId="9637"/>
    <cellStyle name="Normal 10 4 3 3 6" xfId="9638"/>
    <cellStyle name="Normal 10 4 3 4" xfId="9639"/>
    <cellStyle name="Normal 10 4 3 4 2" xfId="9640"/>
    <cellStyle name="Normal 10 4 3 4 2 2" xfId="9641"/>
    <cellStyle name="Normal 10 4 3 4 3" xfId="9642"/>
    <cellStyle name="Normal 10 4 3 4 3 2" xfId="9643"/>
    <cellStyle name="Normal 10 4 3 4 4" xfId="9644"/>
    <cellStyle name="Normal 10 4 3 4 4 2" xfId="9645"/>
    <cellStyle name="Normal 10 4 3 4 5" xfId="9646"/>
    <cellStyle name="Normal 10 4 3 4 6" xfId="9647"/>
    <cellStyle name="Normal 10 4 3 5" xfId="9648"/>
    <cellStyle name="Normal 10 4 3 5 2" xfId="9649"/>
    <cellStyle name="Normal 10 4 3 5 2 2" xfId="9650"/>
    <cellStyle name="Normal 10 4 3 5 3" xfId="9651"/>
    <cellStyle name="Normal 10 4 3 5 3 2" xfId="9652"/>
    <cellStyle name="Normal 10 4 3 5 4" xfId="9653"/>
    <cellStyle name="Normal 10 4 3 5 5" xfId="9654"/>
    <cellStyle name="Normal 10 4 3 6" xfId="9655"/>
    <cellStyle name="Normal 10 4 3 6 2" xfId="9656"/>
    <cellStyle name="Normal 10 4 3 7" xfId="9657"/>
    <cellStyle name="Normal 10 4 3 7 2" xfId="9658"/>
    <cellStyle name="Normal 10 4 3 8" xfId="9659"/>
    <cellStyle name="Normal 10 4 3 8 2" xfId="9660"/>
    <cellStyle name="Normal 10 4 3 9" xfId="9661"/>
    <cellStyle name="Normal 10 4 4" xfId="9662"/>
    <cellStyle name="Normal 10 4 4 2" xfId="9663"/>
    <cellStyle name="Normal 10 4 4 2 2" xfId="9664"/>
    <cellStyle name="Normal 10 4 4 3" xfId="9665"/>
    <cellStyle name="Normal 10 4 4 3 2" xfId="9666"/>
    <cellStyle name="Normal 10 4 4 4" xfId="9667"/>
    <cellStyle name="Normal 10 4 4 4 2" xfId="9668"/>
    <cellStyle name="Normal 10 4 4 5" xfId="9669"/>
    <cellStyle name="Normal 10 4 4 6" xfId="9670"/>
    <cellStyle name="Normal 10 4 4 7" xfId="9671"/>
    <cellStyle name="Normal 10 4 5" xfId="9672"/>
    <cellStyle name="Normal 10 4 5 2" xfId="9673"/>
    <cellStyle name="Normal 10 4 5 2 2" xfId="9674"/>
    <cellStyle name="Normal 10 4 5 3" xfId="9675"/>
    <cellStyle name="Normal 10 4 5 3 2" xfId="9676"/>
    <cellStyle name="Normal 10 4 5 4" xfId="9677"/>
    <cellStyle name="Normal 10 4 5 4 2" xfId="9678"/>
    <cellStyle name="Normal 10 4 5 5" xfId="9679"/>
    <cellStyle name="Normal 10 4 5 6" xfId="9680"/>
    <cellStyle name="Normal 10 4 6" xfId="9681"/>
    <cellStyle name="Normal 10 4 6 2" xfId="9682"/>
    <cellStyle name="Normal 10 4 6 2 2" xfId="9683"/>
    <cellStyle name="Normal 10 4 6 3" xfId="9684"/>
    <cellStyle name="Normal 10 4 6 3 2" xfId="9685"/>
    <cellStyle name="Normal 10 4 6 4" xfId="9686"/>
    <cellStyle name="Normal 10 4 6 4 2" xfId="9687"/>
    <cellStyle name="Normal 10 4 6 5" xfId="9688"/>
    <cellStyle name="Normal 10 4 6 6" xfId="9689"/>
    <cellStyle name="Normal 10 4 7" xfId="9690"/>
    <cellStyle name="Normal 10 4 7 2" xfId="9691"/>
    <cellStyle name="Normal 10 4 7 2 2" xfId="9692"/>
    <cellStyle name="Normal 10 4 7 3" xfId="9693"/>
    <cellStyle name="Normal 10 4 7 3 2" xfId="9694"/>
    <cellStyle name="Normal 10 4 7 4" xfId="9695"/>
    <cellStyle name="Normal 10 4 7 5" xfId="9696"/>
    <cellStyle name="Normal 10 4 8" xfId="9697"/>
    <cellStyle name="Normal 10 4 8 2" xfId="9698"/>
    <cellStyle name="Normal 10 4 9" xfId="9699"/>
    <cellStyle name="Normal 10 4 9 2" xfId="9700"/>
    <cellStyle name="Normal 10 5" xfId="9701"/>
    <cellStyle name="Normal 10 5 10" xfId="9702"/>
    <cellStyle name="Normal 10 5 11" xfId="9703"/>
    <cellStyle name="Normal 10 5 12" xfId="9704"/>
    <cellStyle name="Normal 10 5 2" xfId="9705"/>
    <cellStyle name="Normal 10 5 2 2" xfId="9706"/>
    <cellStyle name="Normal 10 5 2 2 2" xfId="9707"/>
    <cellStyle name="Normal 10 5 2 2 3" xfId="9708"/>
    <cellStyle name="Normal 10 5 2 3" xfId="9709"/>
    <cellStyle name="Normal 10 5 2 3 2" xfId="9710"/>
    <cellStyle name="Normal 10 5 2 4" xfId="9711"/>
    <cellStyle name="Normal 10 5 2 4 2" xfId="9712"/>
    <cellStyle name="Normal 10 5 2 5" xfId="9713"/>
    <cellStyle name="Normal 10 5 2 6" xfId="9714"/>
    <cellStyle name="Normal 10 5 2 7" xfId="9715"/>
    <cellStyle name="Normal 10 5 3" xfId="9716"/>
    <cellStyle name="Normal 10 5 3 2" xfId="9717"/>
    <cellStyle name="Normal 10 5 3 2 2" xfId="9718"/>
    <cellStyle name="Normal 10 5 3 3" xfId="9719"/>
    <cellStyle name="Normal 10 5 3 3 2" xfId="9720"/>
    <cellStyle name="Normal 10 5 3 4" xfId="9721"/>
    <cellStyle name="Normal 10 5 3 4 2" xfId="9722"/>
    <cellStyle name="Normal 10 5 3 5" xfId="9723"/>
    <cellStyle name="Normal 10 5 3 6" xfId="9724"/>
    <cellStyle name="Normal 10 5 3 7" xfId="9725"/>
    <cellStyle name="Normal 10 5 4" xfId="9726"/>
    <cellStyle name="Normal 10 5 4 2" xfId="9727"/>
    <cellStyle name="Normal 10 5 4 2 2" xfId="9728"/>
    <cellStyle name="Normal 10 5 4 3" xfId="9729"/>
    <cellStyle name="Normal 10 5 4 3 2" xfId="9730"/>
    <cellStyle name="Normal 10 5 4 4" xfId="9731"/>
    <cellStyle name="Normal 10 5 4 4 2" xfId="9732"/>
    <cellStyle name="Normal 10 5 4 5" xfId="9733"/>
    <cellStyle name="Normal 10 5 4 6" xfId="9734"/>
    <cellStyle name="Normal 10 5 4 7" xfId="9735"/>
    <cellStyle name="Normal 10 5 5" xfId="9736"/>
    <cellStyle name="Normal 10 5 5 2" xfId="9737"/>
    <cellStyle name="Normal 10 5 5 2 2" xfId="9738"/>
    <cellStyle name="Normal 10 5 5 3" xfId="9739"/>
    <cellStyle name="Normal 10 5 5 3 2" xfId="9740"/>
    <cellStyle name="Normal 10 5 5 4" xfId="9741"/>
    <cellStyle name="Normal 10 5 5 4 2" xfId="9742"/>
    <cellStyle name="Normal 10 5 5 5" xfId="9743"/>
    <cellStyle name="Normal 10 5 5 6" xfId="9744"/>
    <cellStyle name="Normal 10 5 6" xfId="9745"/>
    <cellStyle name="Normal 10 5 6 2" xfId="9746"/>
    <cellStyle name="Normal 10 5 6 2 2" xfId="9747"/>
    <cellStyle name="Normal 10 5 6 3" xfId="9748"/>
    <cellStyle name="Normal 10 5 6 3 2" xfId="9749"/>
    <cellStyle name="Normal 10 5 6 4" xfId="9750"/>
    <cellStyle name="Normal 10 5 6 5" xfId="9751"/>
    <cellStyle name="Normal 10 5 7" xfId="9752"/>
    <cellStyle name="Normal 10 5 7 2" xfId="9753"/>
    <cellStyle name="Normal 10 5 8" xfId="9754"/>
    <cellStyle name="Normal 10 5 8 2" xfId="9755"/>
    <cellStyle name="Normal 10 5 9" xfId="9756"/>
    <cellStyle name="Normal 10 5 9 2" xfId="9757"/>
    <cellStyle name="Normal 10 6" xfId="9758"/>
    <cellStyle name="Normal 10 6 10" xfId="9759"/>
    <cellStyle name="Normal 10 6 11" xfId="9760"/>
    <cellStyle name="Normal 10 6 2" xfId="9761"/>
    <cellStyle name="Normal 10 6 2 2" xfId="9762"/>
    <cellStyle name="Normal 10 6 2 2 2" xfId="9763"/>
    <cellStyle name="Normal 10 6 2 3" xfId="9764"/>
    <cellStyle name="Normal 10 6 2 3 2" xfId="9765"/>
    <cellStyle name="Normal 10 6 2 4" xfId="9766"/>
    <cellStyle name="Normal 10 6 2 4 2" xfId="9767"/>
    <cellStyle name="Normal 10 6 2 5" xfId="9768"/>
    <cellStyle name="Normal 10 6 2 6" xfId="9769"/>
    <cellStyle name="Normal 10 6 2 7" xfId="9770"/>
    <cellStyle name="Normal 10 6 3" xfId="9771"/>
    <cellStyle name="Normal 10 6 3 2" xfId="9772"/>
    <cellStyle name="Normal 10 6 3 2 2" xfId="9773"/>
    <cellStyle name="Normal 10 6 3 3" xfId="9774"/>
    <cellStyle name="Normal 10 6 3 3 2" xfId="9775"/>
    <cellStyle name="Normal 10 6 3 4" xfId="9776"/>
    <cellStyle name="Normal 10 6 3 4 2" xfId="9777"/>
    <cellStyle name="Normal 10 6 3 5" xfId="9778"/>
    <cellStyle name="Normal 10 6 3 6" xfId="9779"/>
    <cellStyle name="Normal 10 6 4" xfId="9780"/>
    <cellStyle name="Normal 10 6 4 2" xfId="9781"/>
    <cellStyle name="Normal 10 6 4 2 2" xfId="9782"/>
    <cellStyle name="Normal 10 6 4 3" xfId="9783"/>
    <cellStyle name="Normal 10 6 4 3 2" xfId="9784"/>
    <cellStyle name="Normal 10 6 4 4" xfId="9785"/>
    <cellStyle name="Normal 10 6 4 4 2" xfId="9786"/>
    <cellStyle name="Normal 10 6 4 5" xfId="9787"/>
    <cellStyle name="Normal 10 6 4 6" xfId="9788"/>
    <cellStyle name="Normal 10 6 5" xfId="9789"/>
    <cellStyle name="Normal 10 6 5 2" xfId="9790"/>
    <cellStyle name="Normal 10 6 5 2 2" xfId="9791"/>
    <cellStyle name="Normal 10 6 5 3" xfId="9792"/>
    <cellStyle name="Normal 10 6 5 3 2" xfId="9793"/>
    <cellStyle name="Normal 10 6 5 4" xfId="9794"/>
    <cellStyle name="Normal 10 6 5 5" xfId="9795"/>
    <cellStyle name="Normal 10 6 6" xfId="9796"/>
    <cellStyle name="Normal 10 6 6 2" xfId="9797"/>
    <cellStyle name="Normal 10 6 7" xfId="9798"/>
    <cellStyle name="Normal 10 6 7 2" xfId="9799"/>
    <cellStyle name="Normal 10 6 8" xfId="9800"/>
    <cellStyle name="Normal 10 6 8 2" xfId="9801"/>
    <cellStyle name="Normal 10 6 9" xfId="9802"/>
    <cellStyle name="Normal 10 7" xfId="9803"/>
    <cellStyle name="Normal 10 7 10" xfId="9804"/>
    <cellStyle name="Normal 10 7 11" xfId="9805"/>
    <cellStyle name="Normal 10 7 2" xfId="9806"/>
    <cellStyle name="Normal 10 7 2 2" xfId="9807"/>
    <cellStyle name="Normal 10 7 2 2 2" xfId="9808"/>
    <cellStyle name="Normal 10 7 2 3" xfId="9809"/>
    <cellStyle name="Normal 10 7 2 3 2" xfId="9810"/>
    <cellStyle name="Normal 10 7 2 4" xfId="9811"/>
    <cellStyle name="Normal 10 7 2 4 2" xfId="9812"/>
    <cellStyle name="Normal 10 7 2 5" xfId="9813"/>
    <cellStyle name="Normal 10 7 2 6" xfId="9814"/>
    <cellStyle name="Normal 10 7 3" xfId="9815"/>
    <cellStyle name="Normal 10 7 3 2" xfId="9816"/>
    <cellStyle name="Normal 10 7 3 2 2" xfId="9817"/>
    <cellStyle name="Normal 10 7 3 3" xfId="9818"/>
    <cellStyle name="Normal 10 7 3 3 2" xfId="9819"/>
    <cellStyle name="Normal 10 7 3 4" xfId="9820"/>
    <cellStyle name="Normal 10 7 3 4 2" xfId="9821"/>
    <cellStyle name="Normal 10 7 3 5" xfId="9822"/>
    <cellStyle name="Normal 10 7 3 6" xfId="9823"/>
    <cellStyle name="Normal 10 7 4" xfId="9824"/>
    <cellStyle name="Normal 10 7 4 2" xfId="9825"/>
    <cellStyle name="Normal 10 7 4 2 2" xfId="9826"/>
    <cellStyle name="Normal 10 7 4 3" xfId="9827"/>
    <cellStyle name="Normal 10 7 4 3 2" xfId="9828"/>
    <cellStyle name="Normal 10 7 4 4" xfId="9829"/>
    <cellStyle name="Normal 10 7 4 4 2" xfId="9830"/>
    <cellStyle name="Normal 10 7 4 5" xfId="9831"/>
    <cellStyle name="Normal 10 7 4 6" xfId="9832"/>
    <cellStyle name="Normal 10 7 5" xfId="9833"/>
    <cellStyle name="Normal 10 7 5 2" xfId="9834"/>
    <cellStyle name="Normal 10 7 5 2 2" xfId="9835"/>
    <cellStyle name="Normal 10 7 5 3" xfId="9836"/>
    <cellStyle name="Normal 10 7 5 3 2" xfId="9837"/>
    <cellStyle name="Normal 10 7 5 4" xfId="9838"/>
    <cellStyle name="Normal 10 7 5 5" xfId="9839"/>
    <cellStyle name="Normal 10 7 6" xfId="9840"/>
    <cellStyle name="Normal 10 7 6 2" xfId="9841"/>
    <cellStyle name="Normal 10 7 7" xfId="9842"/>
    <cellStyle name="Normal 10 7 7 2" xfId="9843"/>
    <cellStyle name="Normal 10 7 8" xfId="9844"/>
    <cellStyle name="Normal 10 7 8 2" xfId="9845"/>
    <cellStyle name="Normal 10 7 9" xfId="9846"/>
    <cellStyle name="Normal 10 8" xfId="9847"/>
    <cellStyle name="Normal 10 8 2" xfId="9848"/>
    <cellStyle name="Normal 10 8 2 2" xfId="9849"/>
    <cellStyle name="Normal 10 8 3" xfId="9850"/>
    <cellStyle name="Normal 10 8 3 2" xfId="9851"/>
    <cellStyle name="Normal 10 8 4" xfId="9852"/>
    <cellStyle name="Normal 10 8 4 2" xfId="9853"/>
    <cellStyle name="Normal 10 8 5" xfId="9854"/>
    <cellStyle name="Normal 10 8 6" xfId="9855"/>
    <cellStyle name="Normal 10 8 7" xfId="9856"/>
    <cellStyle name="Normal 10 9" xfId="9857"/>
    <cellStyle name="Normal 10 9 2" xfId="9858"/>
    <cellStyle name="Normal 10 9 2 2" xfId="9859"/>
    <cellStyle name="Normal 10 9 3" xfId="9860"/>
    <cellStyle name="Normal 10 9 3 2" xfId="9861"/>
    <cellStyle name="Normal 10 9 4" xfId="9862"/>
    <cellStyle name="Normal 10 9 4 2" xfId="9863"/>
    <cellStyle name="Normal 10 9 5" xfId="9864"/>
    <cellStyle name="Normal 10 9 6" xfId="9865"/>
    <cellStyle name="Normal 100" xfId="9866"/>
    <cellStyle name="Normal 101" xfId="9867"/>
    <cellStyle name="Normal 102" xfId="9868"/>
    <cellStyle name="Normal 103" xfId="9869"/>
    <cellStyle name="Normal 104" xfId="9870"/>
    <cellStyle name="Normal 105" xfId="9871"/>
    <cellStyle name="Normal 106" xfId="9872"/>
    <cellStyle name="Normal 107" xfId="43936"/>
    <cellStyle name="Normal 11" xfId="71"/>
    <cellStyle name="Normal 11 10" xfId="9873"/>
    <cellStyle name="Normal 11 10 2" xfId="9874"/>
    <cellStyle name="Normal 11 11" xfId="9875"/>
    <cellStyle name="Normal 11 12" xfId="9876"/>
    <cellStyle name="Normal 11 13" xfId="9877"/>
    <cellStyle name="Normal 11 2" xfId="9878"/>
    <cellStyle name="Normal 11 2 10" xfId="9879"/>
    <cellStyle name="Normal 11 2 11" xfId="9880"/>
    <cellStyle name="Normal 11 2 2" xfId="9881"/>
    <cellStyle name="Normal 11 2 2 2" xfId="9882"/>
    <cellStyle name="Normal 11 2 2 2 2" xfId="9883"/>
    <cellStyle name="Normal 11 2 2 2 2 2" xfId="9884"/>
    <cellStyle name="Normal 11 2 2 2 2 3" xfId="9885"/>
    <cellStyle name="Normal 11 2 2 2 3" xfId="9886"/>
    <cellStyle name="Normal 11 2 2 2 4" xfId="9887"/>
    <cellStyle name="Normal 11 2 2 2 5" xfId="9888"/>
    <cellStyle name="Normal 11 2 2 3" xfId="9889"/>
    <cellStyle name="Normal 11 2 2 3 2" xfId="9890"/>
    <cellStyle name="Normal 11 2 2 3 2 2" xfId="9891"/>
    <cellStyle name="Normal 11 2 2 3 3" xfId="9892"/>
    <cellStyle name="Normal 11 2 2 4" xfId="9893"/>
    <cellStyle name="Normal 11 2 2 4 2" xfId="9894"/>
    <cellStyle name="Normal 11 2 2 4 3" xfId="9895"/>
    <cellStyle name="Normal 11 2 2 5" xfId="9896"/>
    <cellStyle name="Normal 11 2 2 5 2" xfId="9897"/>
    <cellStyle name="Normal 11 2 2 6" xfId="9898"/>
    <cellStyle name="Normal 11 2 2 7" xfId="9899"/>
    <cellStyle name="Normal 11 2 3" xfId="9900"/>
    <cellStyle name="Normal 11 2 3 2" xfId="9901"/>
    <cellStyle name="Normal 11 2 3 2 2" xfId="9902"/>
    <cellStyle name="Normal 11 2 3 2 2 2" xfId="9903"/>
    <cellStyle name="Normal 11 2 3 2 3" xfId="9904"/>
    <cellStyle name="Normal 11 2 3 3" xfId="9905"/>
    <cellStyle name="Normal 11 2 3 3 2" xfId="9906"/>
    <cellStyle name="Normal 11 2 3 3 3" xfId="9907"/>
    <cellStyle name="Normal 11 2 3 4" xfId="9908"/>
    <cellStyle name="Normal 11 2 3 4 2" xfId="9909"/>
    <cellStyle name="Normal 11 2 3 4 3" xfId="9910"/>
    <cellStyle name="Normal 11 2 3 5" xfId="9911"/>
    <cellStyle name="Normal 11 2 3 6" xfId="9912"/>
    <cellStyle name="Normal 11 2 3 7" xfId="9913"/>
    <cellStyle name="Normal 11 2 4" xfId="9914"/>
    <cellStyle name="Normal 11 2 4 2" xfId="9915"/>
    <cellStyle name="Normal 11 2 4 2 2" xfId="9916"/>
    <cellStyle name="Normal 11 2 4 2 2 2" xfId="9917"/>
    <cellStyle name="Normal 11 2 4 2 3" xfId="9918"/>
    <cellStyle name="Normal 11 2 4 3" xfId="9919"/>
    <cellStyle name="Normal 11 2 4 3 2" xfId="9920"/>
    <cellStyle name="Normal 11 2 4 3 3" xfId="9921"/>
    <cellStyle name="Normal 11 2 4 4" xfId="9922"/>
    <cellStyle name="Normal 11 2 4 4 2" xfId="9923"/>
    <cellStyle name="Normal 11 2 4 4 3" xfId="9924"/>
    <cellStyle name="Normal 11 2 4 5" xfId="9925"/>
    <cellStyle name="Normal 11 2 4 6" xfId="9926"/>
    <cellStyle name="Normal 11 2 4 7" xfId="9927"/>
    <cellStyle name="Normal 11 2 5" xfId="9928"/>
    <cellStyle name="Normal 11 2 5 2" xfId="9929"/>
    <cellStyle name="Normal 11 2 5 2 2" xfId="9930"/>
    <cellStyle name="Normal 11 2 5 2 2 2" xfId="9931"/>
    <cellStyle name="Normal 11 2 5 2 3" xfId="9932"/>
    <cellStyle name="Normal 11 2 5 3" xfId="9933"/>
    <cellStyle name="Normal 11 2 5 3 2" xfId="9934"/>
    <cellStyle name="Normal 11 2 5 3 3" xfId="9935"/>
    <cellStyle name="Normal 11 2 5 4" xfId="9936"/>
    <cellStyle name="Normal 11 2 5 4 2" xfId="9937"/>
    <cellStyle name="Normal 11 2 5 5" xfId="9938"/>
    <cellStyle name="Normal 11 2 5 6" xfId="9939"/>
    <cellStyle name="Normal 11 2 6" xfId="9940"/>
    <cellStyle name="Normal 11 2 6 2" xfId="9941"/>
    <cellStyle name="Normal 11 2 6 2 2" xfId="9942"/>
    <cellStyle name="Normal 11 2 6 3" xfId="9943"/>
    <cellStyle name="Normal 11 2 7" xfId="9944"/>
    <cellStyle name="Normal 11 2 7 2" xfId="9945"/>
    <cellStyle name="Normal 11 2 7 3" xfId="9946"/>
    <cellStyle name="Normal 11 2 8" xfId="9947"/>
    <cellStyle name="Normal 11 2 8 2" xfId="9948"/>
    <cellStyle name="Normal 11 2 8 3" xfId="9949"/>
    <cellStyle name="Normal 11 2 9" xfId="9950"/>
    <cellStyle name="Normal 11 3" xfId="9951"/>
    <cellStyle name="Normal 11 3 10" xfId="9952"/>
    <cellStyle name="Normal 11 3 11" xfId="9953"/>
    <cellStyle name="Normal 11 3 2" xfId="9954"/>
    <cellStyle name="Normal 11 3 2 2" xfId="9955"/>
    <cellStyle name="Normal 11 3 2 2 2" xfId="9956"/>
    <cellStyle name="Normal 11 3 2 2 2 2" xfId="9957"/>
    <cellStyle name="Normal 11 3 2 2 3" xfId="9958"/>
    <cellStyle name="Normal 11 3 2 3" xfId="9959"/>
    <cellStyle name="Normal 11 3 2 3 2" xfId="9960"/>
    <cellStyle name="Normal 11 3 2 3 3" xfId="9961"/>
    <cellStyle name="Normal 11 3 2 4" xfId="9962"/>
    <cellStyle name="Normal 11 3 2 4 2" xfId="9963"/>
    <cellStyle name="Normal 11 3 2 4 3" xfId="9964"/>
    <cellStyle name="Normal 11 3 2 5" xfId="9965"/>
    <cellStyle name="Normal 11 3 2 6" xfId="9966"/>
    <cellStyle name="Normal 11 3 2 7" xfId="9967"/>
    <cellStyle name="Normal 11 3 3" xfId="9968"/>
    <cellStyle name="Normal 11 3 3 2" xfId="9969"/>
    <cellStyle name="Normal 11 3 3 2 2" xfId="9970"/>
    <cellStyle name="Normal 11 3 3 2 3" xfId="9971"/>
    <cellStyle name="Normal 11 3 3 3" xfId="9972"/>
    <cellStyle name="Normal 11 3 3 3 2" xfId="9973"/>
    <cellStyle name="Normal 11 3 3 4" xfId="9974"/>
    <cellStyle name="Normal 11 3 3 4 2" xfId="9975"/>
    <cellStyle name="Normal 11 3 3 5" xfId="9976"/>
    <cellStyle name="Normal 11 3 3 6" xfId="9977"/>
    <cellStyle name="Normal 11 3 3 7" xfId="9978"/>
    <cellStyle name="Normal 11 3 4" xfId="9979"/>
    <cellStyle name="Normal 11 3 4 2" xfId="9980"/>
    <cellStyle name="Normal 11 3 4 2 2" xfId="9981"/>
    <cellStyle name="Normal 11 3 4 3" xfId="9982"/>
    <cellStyle name="Normal 11 3 4 3 2" xfId="9983"/>
    <cellStyle name="Normal 11 3 4 4" xfId="9984"/>
    <cellStyle name="Normal 11 3 4 4 2" xfId="9985"/>
    <cellStyle name="Normal 11 3 4 5" xfId="9986"/>
    <cellStyle name="Normal 11 3 4 6" xfId="9987"/>
    <cellStyle name="Normal 11 3 4 7" xfId="9988"/>
    <cellStyle name="Normal 11 3 5" xfId="9989"/>
    <cellStyle name="Normal 11 3 5 2" xfId="9990"/>
    <cellStyle name="Normal 11 3 5 2 2" xfId="9991"/>
    <cellStyle name="Normal 11 3 5 3" xfId="9992"/>
    <cellStyle name="Normal 11 3 5 3 2" xfId="9993"/>
    <cellStyle name="Normal 11 3 5 4" xfId="9994"/>
    <cellStyle name="Normal 11 3 5 5" xfId="9995"/>
    <cellStyle name="Normal 11 3 5 6" xfId="9996"/>
    <cellStyle name="Normal 11 3 6" xfId="9997"/>
    <cellStyle name="Normal 11 3 6 2" xfId="9998"/>
    <cellStyle name="Normal 11 3 7" xfId="9999"/>
    <cellStyle name="Normal 11 3 7 2" xfId="10000"/>
    <cellStyle name="Normal 11 3 8" xfId="10001"/>
    <cellStyle name="Normal 11 3 8 2" xfId="10002"/>
    <cellStyle name="Normal 11 3 9" xfId="10003"/>
    <cellStyle name="Normal 11 4" xfId="10004"/>
    <cellStyle name="Normal 11 4 2" xfId="10005"/>
    <cellStyle name="Normal 11 4 2 2" xfId="10006"/>
    <cellStyle name="Normal 11 4 2 2 2" xfId="10007"/>
    <cellStyle name="Normal 11 4 2 3" xfId="10008"/>
    <cellStyle name="Normal 11 4 3" xfId="10009"/>
    <cellStyle name="Normal 11 4 3 2" xfId="10010"/>
    <cellStyle name="Normal 11 4 3 3" xfId="10011"/>
    <cellStyle name="Normal 11 4 4" xfId="10012"/>
    <cellStyle name="Normal 11 4 4 2" xfId="10013"/>
    <cellStyle name="Normal 11 4 4 3" xfId="10014"/>
    <cellStyle name="Normal 11 4 5" xfId="10015"/>
    <cellStyle name="Normal 11 4 6" xfId="10016"/>
    <cellStyle name="Normal 11 4 7" xfId="10017"/>
    <cellStyle name="Normal 11 5" xfId="10018"/>
    <cellStyle name="Normal 11 5 2" xfId="10019"/>
    <cellStyle name="Normal 11 5 2 2" xfId="10020"/>
    <cellStyle name="Normal 11 5 2 2 2" xfId="10021"/>
    <cellStyle name="Normal 11 5 2 3" xfId="10022"/>
    <cellStyle name="Normal 11 5 3" xfId="10023"/>
    <cellStyle name="Normal 11 5 3 2" xfId="10024"/>
    <cellStyle name="Normal 11 5 3 3" xfId="10025"/>
    <cellStyle name="Normal 11 5 4" xfId="10026"/>
    <cellStyle name="Normal 11 5 4 2" xfId="10027"/>
    <cellStyle name="Normal 11 5 4 3" xfId="10028"/>
    <cellStyle name="Normal 11 5 5" xfId="10029"/>
    <cellStyle name="Normal 11 5 6" xfId="10030"/>
    <cellStyle name="Normal 11 5 7" xfId="10031"/>
    <cellStyle name="Normal 11 6" xfId="10032"/>
    <cellStyle name="Normal 11 6 2" xfId="10033"/>
    <cellStyle name="Normal 11 6 2 2" xfId="10034"/>
    <cellStyle name="Normal 11 6 2 2 2" xfId="10035"/>
    <cellStyle name="Normal 11 6 2 3" xfId="10036"/>
    <cellStyle name="Normal 11 6 3" xfId="10037"/>
    <cellStyle name="Normal 11 6 3 2" xfId="10038"/>
    <cellStyle name="Normal 11 6 3 3" xfId="10039"/>
    <cellStyle name="Normal 11 6 4" xfId="10040"/>
    <cellStyle name="Normal 11 6 4 2" xfId="10041"/>
    <cellStyle name="Normal 11 6 4 3" xfId="10042"/>
    <cellStyle name="Normal 11 6 5" xfId="10043"/>
    <cellStyle name="Normal 11 6 6" xfId="10044"/>
    <cellStyle name="Normal 11 6 7" xfId="10045"/>
    <cellStyle name="Normal 11 7" xfId="10046"/>
    <cellStyle name="Normal 11 7 2" xfId="10047"/>
    <cellStyle name="Normal 11 7 2 2" xfId="10048"/>
    <cellStyle name="Normal 11 7 2 3" xfId="10049"/>
    <cellStyle name="Normal 11 7 3" xfId="10050"/>
    <cellStyle name="Normal 11 7 3 2" xfId="10051"/>
    <cellStyle name="Normal 11 7 4" xfId="10052"/>
    <cellStyle name="Normal 11 7 5" xfId="10053"/>
    <cellStyle name="Normal 11 7 6" xfId="10054"/>
    <cellStyle name="Normal 11 8" xfId="10055"/>
    <cellStyle name="Normal 11 8 2" xfId="10056"/>
    <cellStyle name="Normal 11 8 3" xfId="10057"/>
    <cellStyle name="Normal 11 9" xfId="10058"/>
    <cellStyle name="Normal 11 9 2" xfId="10059"/>
    <cellStyle name="Normal 11 9 3" xfId="10060"/>
    <cellStyle name="Normal 12" xfId="10061"/>
    <cellStyle name="Normal 12 2" xfId="10062"/>
    <cellStyle name="Normal 12 2 2" xfId="10063"/>
    <cellStyle name="Normal 12 2 2 2" xfId="10064"/>
    <cellStyle name="Normal 12 2 2 2 2" xfId="10065"/>
    <cellStyle name="Normal 12 2 2 3" xfId="10066"/>
    <cellStyle name="Normal 12 2 2 4" xfId="10067"/>
    <cellStyle name="Normal 12 2 2 5" xfId="10068"/>
    <cellStyle name="Normal 12 2 3" xfId="10069"/>
    <cellStyle name="Normal 12 2 3 2" xfId="10070"/>
    <cellStyle name="Normal 12 2 3 3" xfId="10071"/>
    <cellStyle name="Normal 12 2 4" xfId="10072"/>
    <cellStyle name="Normal 12 2 5" xfId="10073"/>
    <cellStyle name="Normal 12 2 6" xfId="10074"/>
    <cellStyle name="Normal 12 3" xfId="10075"/>
    <cellStyle name="Normal 12 3 2" xfId="10076"/>
    <cellStyle name="Normal 12 3 2 2" xfId="10077"/>
    <cellStyle name="Normal 12 3 2 3" xfId="10078"/>
    <cellStyle name="Normal 12 3 3" xfId="10079"/>
    <cellStyle name="Normal 12 3 4" xfId="10080"/>
    <cellStyle name="Normal 12 3 5" xfId="10081"/>
    <cellStyle name="Normal 12 4" xfId="10082"/>
    <cellStyle name="Normal 12 4 2" xfId="10083"/>
    <cellStyle name="Normal 12 4 2 2" xfId="10084"/>
    <cellStyle name="Normal 12 4 3" xfId="10085"/>
    <cellStyle name="Normal 12 4 4" xfId="10086"/>
    <cellStyle name="Normal 12 4 5" xfId="10087"/>
    <cellStyle name="Normal 12 5" xfId="10088"/>
    <cellStyle name="Normal 12 5 2" xfId="10089"/>
    <cellStyle name="Normal 12 5 2 2" xfId="10090"/>
    <cellStyle name="Normal 12 5 3" xfId="10091"/>
    <cellStyle name="Normal 12 5 4" xfId="10092"/>
    <cellStyle name="Normal 12 5 5" xfId="10093"/>
    <cellStyle name="Normal 12 6" xfId="10094"/>
    <cellStyle name="Normal 12 6 2" xfId="10095"/>
    <cellStyle name="Normal 12 6 3" xfId="10096"/>
    <cellStyle name="Normal 12 7" xfId="10097"/>
    <cellStyle name="Normal 12 8" xfId="10098"/>
    <cellStyle name="Normal 12 9" xfId="10099"/>
    <cellStyle name="Normal 13" xfId="10100"/>
    <cellStyle name="Normal 13 2" xfId="10101"/>
    <cellStyle name="Normal 13 2 2" xfId="10102"/>
    <cellStyle name="Normal 13 2 2 2" xfId="10103"/>
    <cellStyle name="Normal 13 2 3" xfId="10104"/>
    <cellStyle name="Normal 13 2 3 2" xfId="10105"/>
    <cellStyle name="Normal 13 3" xfId="10106"/>
    <cellStyle name="Normal 13 3 2" xfId="10107"/>
    <cellStyle name="Normal 13 3 3" xfId="10108"/>
    <cellStyle name="Normal 13 4" xfId="10109"/>
    <cellStyle name="Normal 13 5" xfId="10110"/>
    <cellStyle name="Normal 14" xfId="10111"/>
    <cellStyle name="Normal 14 2" xfId="10112"/>
    <cellStyle name="Normal 14 2 2" xfId="10113"/>
    <cellStyle name="Normal 14 2 3" xfId="10114"/>
    <cellStyle name="Normal 14 2 4" xfId="10115"/>
    <cellStyle name="Normal 14 2 4 2" xfId="10116"/>
    <cellStyle name="Normal 14 2 5" xfId="10117"/>
    <cellStyle name="Normal 14 2 6" xfId="10118"/>
    <cellStyle name="Normal 14 3" xfId="10119"/>
    <cellStyle name="Normal 14 4" xfId="10120"/>
    <cellStyle name="Normal 14 4 2" xfId="10121"/>
    <cellStyle name="Normal 14 4 2 2" xfId="10122"/>
    <cellStyle name="Normal 14 4 3" xfId="10123"/>
    <cellStyle name="Normal 14 4 4" xfId="10124"/>
    <cellStyle name="Normal 14 5" xfId="10125"/>
    <cellStyle name="Normal 14 5 2" xfId="10126"/>
    <cellStyle name="Normal 14 5 2 2" xfId="10127"/>
    <cellStyle name="Normal 14 5 3" xfId="10128"/>
    <cellStyle name="Normal 14 5 4" xfId="10129"/>
    <cellStyle name="Normal 14_KY NBV" xfId="10130"/>
    <cellStyle name="Normal 15" xfId="10131"/>
    <cellStyle name="Normal 15 2" xfId="10132"/>
    <cellStyle name="Normal 15 2 2" xfId="10133"/>
    <cellStyle name="Normal 15 2 2 2" xfId="10134"/>
    <cellStyle name="Normal 15 2 2 2 2" xfId="10135"/>
    <cellStyle name="Normal 15 2 2 3" xfId="10136"/>
    <cellStyle name="Normal 15 2 2 4" xfId="10137"/>
    <cellStyle name="Normal 15 2 2 5" xfId="10138"/>
    <cellStyle name="Normal 15 2 3" xfId="10139"/>
    <cellStyle name="Normal 15 2 3 2" xfId="10140"/>
    <cellStyle name="Normal 15 2 4" xfId="10141"/>
    <cellStyle name="Normal 15 2 5" xfId="10142"/>
    <cellStyle name="Normal 15 2 6" xfId="10143"/>
    <cellStyle name="Normal 15 3" xfId="10144"/>
    <cellStyle name="Normal 15 3 2" xfId="10145"/>
    <cellStyle name="Normal 15 3 2 2" xfId="10146"/>
    <cellStyle name="Normal 15 3 3" xfId="10147"/>
    <cellStyle name="Normal 15 3 4" xfId="10148"/>
    <cellStyle name="Normal 15 4" xfId="10149"/>
    <cellStyle name="Normal 15 4 2" xfId="10150"/>
    <cellStyle name="Normal 15 4 2 2" xfId="10151"/>
    <cellStyle name="Normal 15 4 3" xfId="10152"/>
    <cellStyle name="Normal 15 4 4" xfId="10153"/>
    <cellStyle name="Normal 15 5" xfId="10154"/>
    <cellStyle name="Normal 15 5 2" xfId="10155"/>
    <cellStyle name="Normal 15 5 2 2" xfId="10156"/>
    <cellStyle name="Normal 15 5 3" xfId="10157"/>
    <cellStyle name="Normal 15 5 4" xfId="10158"/>
    <cellStyle name="Normal 15 6" xfId="10159"/>
    <cellStyle name="Normal 15 6 2" xfId="10160"/>
    <cellStyle name="Normal 15 7" xfId="10161"/>
    <cellStyle name="Normal 15 8" xfId="10162"/>
    <cellStyle name="Normal 15 9" xfId="10163"/>
    <cellStyle name="Normal 15_KY NBV" xfId="10164"/>
    <cellStyle name="Normal 150" xfId="10165"/>
    <cellStyle name="Normal 16" xfId="10166"/>
    <cellStyle name="Normal 16 2" xfId="10167"/>
    <cellStyle name="Normal 16 2 2" xfId="10168"/>
    <cellStyle name="Normal 16 2 2 2" xfId="10169"/>
    <cellStyle name="Normal 16 2 2 3" xfId="10170"/>
    <cellStyle name="Normal 16 2 3" xfId="10171"/>
    <cellStyle name="Normal 16 2 4" xfId="10172"/>
    <cellStyle name="Normal 16 2 5" xfId="10173"/>
    <cellStyle name="Normal 16 3" xfId="10174"/>
    <cellStyle name="Normal 16 3 2" xfId="10175"/>
    <cellStyle name="Normal 16 3 2 2" xfId="10176"/>
    <cellStyle name="Normal 16 3 2 3" xfId="10177"/>
    <cellStyle name="Normal 16 3 3" xfId="10178"/>
    <cellStyle name="Normal 16 4" xfId="10179"/>
    <cellStyle name="Normal 16 4 2" xfId="10180"/>
    <cellStyle name="Normal 16 4 2 2" xfId="10181"/>
    <cellStyle name="Normal 16 4 3" xfId="10182"/>
    <cellStyle name="Normal 16 4 4" xfId="10183"/>
    <cellStyle name="Normal 16 5" xfId="10184"/>
    <cellStyle name="Normal 16 6" xfId="10185"/>
    <cellStyle name="Normal 16 7" xfId="10186"/>
    <cellStyle name="Normal 17" xfId="10187"/>
    <cellStyle name="Normal 17 2" xfId="10188"/>
    <cellStyle name="Normal 17 2 2" xfId="10189"/>
    <cellStyle name="Normal 17 2 2 2" xfId="10190"/>
    <cellStyle name="Normal 17 2 2 3" xfId="10191"/>
    <cellStyle name="Normal 17 2 3" xfId="10192"/>
    <cellStyle name="Normal 17 2 4" xfId="10193"/>
    <cellStyle name="Normal 17 2 5" xfId="10194"/>
    <cellStyle name="Normal 17 2 6" xfId="10195"/>
    <cellStyle name="Normal 17 3" xfId="10196"/>
    <cellStyle name="Normal 17 3 2" xfId="10197"/>
    <cellStyle name="Normal 17 4" xfId="10198"/>
    <cellStyle name="Normal 17 5" xfId="10199"/>
    <cellStyle name="Normal 17 6" xfId="10200"/>
    <cellStyle name="Normal 17 7" xfId="10201"/>
    <cellStyle name="Normal 17 8" xfId="10202"/>
    <cellStyle name="Normal 17 8 2" xfId="10203"/>
    <cellStyle name="Normal 17 9" xfId="10204"/>
    <cellStyle name="Normal 18" xfId="10205"/>
    <cellStyle name="Normal 18 2" xfId="10206"/>
    <cellStyle name="Normal 18 3" xfId="10207"/>
    <cellStyle name="Normal 18 4" xfId="10208"/>
    <cellStyle name="Normal 18 4 2" xfId="10209"/>
    <cellStyle name="Normal 18 5" xfId="10210"/>
    <cellStyle name="Normal 19" xfId="10211"/>
    <cellStyle name="Normal 19 2" xfId="10212"/>
    <cellStyle name="Normal 19 3" xfId="10213"/>
    <cellStyle name="Normal 2" xfId="66"/>
    <cellStyle name="Normal 2 10" xfId="72"/>
    <cellStyle name="Normal 2 10 2" xfId="10214"/>
    <cellStyle name="Normal 2 11" xfId="10215"/>
    <cellStyle name="Normal 2 12" xfId="10216"/>
    <cellStyle name="Normal 2 12 2" xfId="10217"/>
    <cellStyle name="Normal 2 12 2 2" xfId="10218"/>
    <cellStyle name="Normal 2 12 2 2 2" xfId="10219"/>
    <cellStyle name="Normal 2 12 2 2 3" xfId="10220"/>
    <cellStyle name="Normal 2 12 2 3" xfId="10221"/>
    <cellStyle name="Normal 2 12 2 4" xfId="10222"/>
    <cellStyle name="Normal 2 12 3" xfId="10223"/>
    <cellStyle name="Normal 2 12 3 2" xfId="10224"/>
    <cellStyle name="Normal 2 12 3 3" xfId="10225"/>
    <cellStyle name="Normal 2 12 4" xfId="10226"/>
    <cellStyle name="Normal 2 12 4 2" xfId="10227"/>
    <cellStyle name="Normal 2 12 4 3" xfId="10228"/>
    <cellStyle name="Normal 2 12 5" xfId="10229"/>
    <cellStyle name="Normal 2 12 6" xfId="10230"/>
    <cellStyle name="Normal 2 2" xfId="10231"/>
    <cellStyle name="Normal 2 2 2" xfId="10232"/>
    <cellStyle name="Normal 2 2 2 10" xfId="10233"/>
    <cellStyle name="Normal 2 2 2 10 2" xfId="10234"/>
    <cellStyle name="Normal 2 2 2 10 2 2" xfId="10235"/>
    <cellStyle name="Normal 2 2 2 10 3" xfId="10236"/>
    <cellStyle name="Normal 2 2 2 10 3 2" xfId="10237"/>
    <cellStyle name="Normal 2 2 2 10 4" xfId="10238"/>
    <cellStyle name="Normal 2 2 2 10 4 2" xfId="10239"/>
    <cellStyle name="Normal 2 2 2 10 5" xfId="10240"/>
    <cellStyle name="Normal 2 2 2 10 6" xfId="10241"/>
    <cellStyle name="Normal 2 2 2 11" xfId="10242"/>
    <cellStyle name="Normal 2 2 2 11 2" xfId="10243"/>
    <cellStyle name="Normal 2 2 2 11 2 2" xfId="10244"/>
    <cellStyle name="Normal 2 2 2 11 3" xfId="10245"/>
    <cellStyle name="Normal 2 2 2 11 3 2" xfId="10246"/>
    <cellStyle name="Normal 2 2 2 11 4" xfId="10247"/>
    <cellStyle name="Normal 2 2 2 11 4 2" xfId="10248"/>
    <cellStyle name="Normal 2 2 2 11 5" xfId="10249"/>
    <cellStyle name="Normal 2 2 2 11 6" xfId="10250"/>
    <cellStyle name="Normal 2 2 2 12" xfId="10251"/>
    <cellStyle name="Normal 2 2 2 12 2" xfId="10252"/>
    <cellStyle name="Normal 2 2 2 12 2 2" xfId="10253"/>
    <cellStyle name="Normal 2 2 2 12 3" xfId="10254"/>
    <cellStyle name="Normal 2 2 2 12 3 2" xfId="10255"/>
    <cellStyle name="Normal 2 2 2 12 4" xfId="10256"/>
    <cellStyle name="Normal 2 2 2 12 5" xfId="10257"/>
    <cellStyle name="Normal 2 2 2 13" xfId="10258"/>
    <cellStyle name="Normal 2 2 2 13 2" xfId="10259"/>
    <cellStyle name="Normal 2 2 2 14" xfId="10260"/>
    <cellStyle name="Normal 2 2 2 14 2" xfId="10261"/>
    <cellStyle name="Normal 2 2 2 15" xfId="10262"/>
    <cellStyle name="Normal 2 2 2 15 2" xfId="10263"/>
    <cellStyle name="Normal 2 2 2 16" xfId="10264"/>
    <cellStyle name="Normal 2 2 2 17" xfId="10265"/>
    <cellStyle name="Normal 2 2 2 18" xfId="10266"/>
    <cellStyle name="Normal 2 2 2 2" xfId="10267"/>
    <cellStyle name="Normal 2 2 2 3" xfId="10268"/>
    <cellStyle name="Normal 2 2 2 3 10" xfId="10269"/>
    <cellStyle name="Normal 2 2 2 3 10 2" xfId="10270"/>
    <cellStyle name="Normal 2 2 2 3 11" xfId="10271"/>
    <cellStyle name="Normal 2 2 2 3 11 2" xfId="10272"/>
    <cellStyle name="Normal 2 2 2 3 12" xfId="10273"/>
    <cellStyle name="Normal 2 2 2 3 13" xfId="10274"/>
    <cellStyle name="Normal 2 2 2 3 2" xfId="10275"/>
    <cellStyle name="Normal 2 2 2 3 2 10" xfId="10276"/>
    <cellStyle name="Normal 2 2 2 3 2 11" xfId="10277"/>
    <cellStyle name="Normal 2 2 2 3 2 2" xfId="10278"/>
    <cellStyle name="Normal 2 2 2 3 2 2 2" xfId="10279"/>
    <cellStyle name="Normal 2 2 2 3 2 2 2 2" xfId="10280"/>
    <cellStyle name="Normal 2 2 2 3 2 2 3" xfId="10281"/>
    <cellStyle name="Normal 2 2 2 3 2 2 3 2" xfId="10282"/>
    <cellStyle name="Normal 2 2 2 3 2 2 4" xfId="10283"/>
    <cellStyle name="Normal 2 2 2 3 2 2 4 2" xfId="10284"/>
    <cellStyle name="Normal 2 2 2 3 2 2 5" xfId="10285"/>
    <cellStyle name="Normal 2 2 2 3 2 2 6" xfId="10286"/>
    <cellStyle name="Normal 2 2 2 3 2 3" xfId="10287"/>
    <cellStyle name="Normal 2 2 2 3 2 3 2" xfId="10288"/>
    <cellStyle name="Normal 2 2 2 3 2 3 2 2" xfId="10289"/>
    <cellStyle name="Normal 2 2 2 3 2 3 3" xfId="10290"/>
    <cellStyle name="Normal 2 2 2 3 2 3 3 2" xfId="10291"/>
    <cellStyle name="Normal 2 2 2 3 2 3 4" xfId="10292"/>
    <cellStyle name="Normal 2 2 2 3 2 3 4 2" xfId="10293"/>
    <cellStyle name="Normal 2 2 2 3 2 3 5" xfId="10294"/>
    <cellStyle name="Normal 2 2 2 3 2 3 6" xfId="10295"/>
    <cellStyle name="Normal 2 2 2 3 2 4" xfId="10296"/>
    <cellStyle name="Normal 2 2 2 3 2 4 2" xfId="10297"/>
    <cellStyle name="Normal 2 2 2 3 2 4 2 2" xfId="10298"/>
    <cellStyle name="Normal 2 2 2 3 2 4 3" xfId="10299"/>
    <cellStyle name="Normal 2 2 2 3 2 4 3 2" xfId="10300"/>
    <cellStyle name="Normal 2 2 2 3 2 4 4" xfId="10301"/>
    <cellStyle name="Normal 2 2 2 3 2 4 4 2" xfId="10302"/>
    <cellStyle name="Normal 2 2 2 3 2 4 5" xfId="10303"/>
    <cellStyle name="Normal 2 2 2 3 2 4 6" xfId="10304"/>
    <cellStyle name="Normal 2 2 2 3 2 5" xfId="10305"/>
    <cellStyle name="Normal 2 2 2 3 2 5 2" xfId="10306"/>
    <cellStyle name="Normal 2 2 2 3 2 5 2 2" xfId="10307"/>
    <cellStyle name="Normal 2 2 2 3 2 5 3" xfId="10308"/>
    <cellStyle name="Normal 2 2 2 3 2 5 3 2" xfId="10309"/>
    <cellStyle name="Normal 2 2 2 3 2 5 4" xfId="10310"/>
    <cellStyle name="Normal 2 2 2 3 2 5 4 2" xfId="10311"/>
    <cellStyle name="Normal 2 2 2 3 2 5 5" xfId="10312"/>
    <cellStyle name="Normal 2 2 2 3 2 5 6" xfId="10313"/>
    <cellStyle name="Normal 2 2 2 3 2 6" xfId="10314"/>
    <cellStyle name="Normal 2 2 2 3 2 6 2" xfId="10315"/>
    <cellStyle name="Normal 2 2 2 3 2 6 2 2" xfId="10316"/>
    <cellStyle name="Normal 2 2 2 3 2 6 3" xfId="10317"/>
    <cellStyle name="Normal 2 2 2 3 2 6 3 2" xfId="10318"/>
    <cellStyle name="Normal 2 2 2 3 2 6 4" xfId="10319"/>
    <cellStyle name="Normal 2 2 2 3 2 6 5" xfId="10320"/>
    <cellStyle name="Normal 2 2 2 3 2 7" xfId="10321"/>
    <cellStyle name="Normal 2 2 2 3 2 7 2" xfId="10322"/>
    <cellStyle name="Normal 2 2 2 3 2 8" xfId="10323"/>
    <cellStyle name="Normal 2 2 2 3 2 8 2" xfId="10324"/>
    <cellStyle name="Normal 2 2 2 3 2 9" xfId="10325"/>
    <cellStyle name="Normal 2 2 2 3 2 9 2" xfId="10326"/>
    <cellStyle name="Normal 2 2 2 3 3" xfId="10327"/>
    <cellStyle name="Normal 2 2 2 3 3 10" xfId="10328"/>
    <cellStyle name="Normal 2 2 2 3 3 2" xfId="10329"/>
    <cellStyle name="Normal 2 2 2 3 3 2 2" xfId="10330"/>
    <cellStyle name="Normal 2 2 2 3 3 2 2 2" xfId="10331"/>
    <cellStyle name="Normal 2 2 2 3 3 2 3" xfId="10332"/>
    <cellStyle name="Normal 2 2 2 3 3 2 3 2" xfId="10333"/>
    <cellStyle name="Normal 2 2 2 3 3 2 4" xfId="10334"/>
    <cellStyle name="Normal 2 2 2 3 3 2 4 2" xfId="10335"/>
    <cellStyle name="Normal 2 2 2 3 3 2 5" xfId="10336"/>
    <cellStyle name="Normal 2 2 2 3 3 2 6" xfId="10337"/>
    <cellStyle name="Normal 2 2 2 3 3 3" xfId="10338"/>
    <cellStyle name="Normal 2 2 2 3 3 3 2" xfId="10339"/>
    <cellStyle name="Normal 2 2 2 3 3 3 2 2" xfId="10340"/>
    <cellStyle name="Normal 2 2 2 3 3 3 3" xfId="10341"/>
    <cellStyle name="Normal 2 2 2 3 3 3 3 2" xfId="10342"/>
    <cellStyle name="Normal 2 2 2 3 3 3 4" xfId="10343"/>
    <cellStyle name="Normal 2 2 2 3 3 3 4 2" xfId="10344"/>
    <cellStyle name="Normal 2 2 2 3 3 3 5" xfId="10345"/>
    <cellStyle name="Normal 2 2 2 3 3 3 6" xfId="10346"/>
    <cellStyle name="Normal 2 2 2 3 3 4" xfId="10347"/>
    <cellStyle name="Normal 2 2 2 3 3 4 2" xfId="10348"/>
    <cellStyle name="Normal 2 2 2 3 3 4 2 2" xfId="10349"/>
    <cellStyle name="Normal 2 2 2 3 3 4 3" xfId="10350"/>
    <cellStyle name="Normal 2 2 2 3 3 4 3 2" xfId="10351"/>
    <cellStyle name="Normal 2 2 2 3 3 4 4" xfId="10352"/>
    <cellStyle name="Normal 2 2 2 3 3 4 4 2" xfId="10353"/>
    <cellStyle name="Normal 2 2 2 3 3 4 5" xfId="10354"/>
    <cellStyle name="Normal 2 2 2 3 3 4 6" xfId="10355"/>
    <cellStyle name="Normal 2 2 2 3 3 5" xfId="10356"/>
    <cellStyle name="Normal 2 2 2 3 3 5 2" xfId="10357"/>
    <cellStyle name="Normal 2 2 2 3 3 5 2 2" xfId="10358"/>
    <cellStyle name="Normal 2 2 2 3 3 5 3" xfId="10359"/>
    <cellStyle name="Normal 2 2 2 3 3 5 3 2" xfId="10360"/>
    <cellStyle name="Normal 2 2 2 3 3 5 4" xfId="10361"/>
    <cellStyle name="Normal 2 2 2 3 3 5 5" xfId="10362"/>
    <cellStyle name="Normal 2 2 2 3 3 6" xfId="10363"/>
    <cellStyle name="Normal 2 2 2 3 3 6 2" xfId="10364"/>
    <cellStyle name="Normal 2 2 2 3 3 7" xfId="10365"/>
    <cellStyle name="Normal 2 2 2 3 3 7 2" xfId="10366"/>
    <cellStyle name="Normal 2 2 2 3 3 8" xfId="10367"/>
    <cellStyle name="Normal 2 2 2 3 3 8 2" xfId="10368"/>
    <cellStyle name="Normal 2 2 2 3 3 9" xfId="10369"/>
    <cellStyle name="Normal 2 2 2 3 4" xfId="10370"/>
    <cellStyle name="Normal 2 2 2 3 4 10" xfId="10371"/>
    <cellStyle name="Normal 2 2 2 3 4 2" xfId="10372"/>
    <cellStyle name="Normal 2 2 2 3 4 2 2" xfId="10373"/>
    <cellStyle name="Normal 2 2 2 3 4 2 2 2" xfId="10374"/>
    <cellStyle name="Normal 2 2 2 3 4 2 3" xfId="10375"/>
    <cellStyle name="Normal 2 2 2 3 4 2 3 2" xfId="10376"/>
    <cellStyle name="Normal 2 2 2 3 4 2 4" xfId="10377"/>
    <cellStyle name="Normal 2 2 2 3 4 2 4 2" xfId="10378"/>
    <cellStyle name="Normal 2 2 2 3 4 2 5" xfId="10379"/>
    <cellStyle name="Normal 2 2 2 3 4 2 6" xfId="10380"/>
    <cellStyle name="Normal 2 2 2 3 4 3" xfId="10381"/>
    <cellStyle name="Normal 2 2 2 3 4 3 2" xfId="10382"/>
    <cellStyle name="Normal 2 2 2 3 4 3 2 2" xfId="10383"/>
    <cellStyle name="Normal 2 2 2 3 4 3 3" xfId="10384"/>
    <cellStyle name="Normal 2 2 2 3 4 3 3 2" xfId="10385"/>
    <cellStyle name="Normal 2 2 2 3 4 3 4" xfId="10386"/>
    <cellStyle name="Normal 2 2 2 3 4 3 4 2" xfId="10387"/>
    <cellStyle name="Normal 2 2 2 3 4 3 5" xfId="10388"/>
    <cellStyle name="Normal 2 2 2 3 4 3 6" xfId="10389"/>
    <cellStyle name="Normal 2 2 2 3 4 4" xfId="10390"/>
    <cellStyle name="Normal 2 2 2 3 4 4 2" xfId="10391"/>
    <cellStyle name="Normal 2 2 2 3 4 4 2 2" xfId="10392"/>
    <cellStyle name="Normal 2 2 2 3 4 4 3" xfId="10393"/>
    <cellStyle name="Normal 2 2 2 3 4 4 3 2" xfId="10394"/>
    <cellStyle name="Normal 2 2 2 3 4 4 4" xfId="10395"/>
    <cellStyle name="Normal 2 2 2 3 4 4 4 2" xfId="10396"/>
    <cellStyle name="Normal 2 2 2 3 4 4 5" xfId="10397"/>
    <cellStyle name="Normal 2 2 2 3 4 4 6" xfId="10398"/>
    <cellStyle name="Normal 2 2 2 3 4 5" xfId="10399"/>
    <cellStyle name="Normal 2 2 2 3 4 5 2" xfId="10400"/>
    <cellStyle name="Normal 2 2 2 3 4 5 2 2" xfId="10401"/>
    <cellStyle name="Normal 2 2 2 3 4 5 3" xfId="10402"/>
    <cellStyle name="Normal 2 2 2 3 4 5 3 2" xfId="10403"/>
    <cellStyle name="Normal 2 2 2 3 4 5 4" xfId="10404"/>
    <cellStyle name="Normal 2 2 2 3 4 5 5" xfId="10405"/>
    <cellStyle name="Normal 2 2 2 3 4 6" xfId="10406"/>
    <cellStyle name="Normal 2 2 2 3 4 6 2" xfId="10407"/>
    <cellStyle name="Normal 2 2 2 3 4 7" xfId="10408"/>
    <cellStyle name="Normal 2 2 2 3 4 7 2" xfId="10409"/>
    <cellStyle name="Normal 2 2 2 3 4 8" xfId="10410"/>
    <cellStyle name="Normal 2 2 2 3 4 8 2" xfId="10411"/>
    <cellStyle name="Normal 2 2 2 3 4 9" xfId="10412"/>
    <cellStyle name="Normal 2 2 2 3 5" xfId="10413"/>
    <cellStyle name="Normal 2 2 2 3 5 2" xfId="10414"/>
    <cellStyle name="Normal 2 2 2 3 5 2 2" xfId="10415"/>
    <cellStyle name="Normal 2 2 2 3 5 3" xfId="10416"/>
    <cellStyle name="Normal 2 2 2 3 5 3 2" xfId="10417"/>
    <cellStyle name="Normal 2 2 2 3 5 4" xfId="10418"/>
    <cellStyle name="Normal 2 2 2 3 5 4 2" xfId="10419"/>
    <cellStyle name="Normal 2 2 2 3 5 5" xfId="10420"/>
    <cellStyle name="Normal 2 2 2 3 5 6" xfId="10421"/>
    <cellStyle name="Normal 2 2 2 3 6" xfId="10422"/>
    <cellStyle name="Normal 2 2 2 3 6 2" xfId="10423"/>
    <cellStyle name="Normal 2 2 2 3 6 2 2" xfId="10424"/>
    <cellStyle name="Normal 2 2 2 3 6 3" xfId="10425"/>
    <cellStyle name="Normal 2 2 2 3 6 3 2" xfId="10426"/>
    <cellStyle name="Normal 2 2 2 3 6 4" xfId="10427"/>
    <cellStyle name="Normal 2 2 2 3 6 4 2" xfId="10428"/>
    <cellStyle name="Normal 2 2 2 3 6 5" xfId="10429"/>
    <cellStyle name="Normal 2 2 2 3 6 6" xfId="10430"/>
    <cellStyle name="Normal 2 2 2 3 7" xfId="10431"/>
    <cellStyle name="Normal 2 2 2 3 7 2" xfId="10432"/>
    <cellStyle name="Normal 2 2 2 3 7 2 2" xfId="10433"/>
    <cellStyle name="Normal 2 2 2 3 7 3" xfId="10434"/>
    <cellStyle name="Normal 2 2 2 3 7 3 2" xfId="10435"/>
    <cellStyle name="Normal 2 2 2 3 7 4" xfId="10436"/>
    <cellStyle name="Normal 2 2 2 3 7 4 2" xfId="10437"/>
    <cellStyle name="Normal 2 2 2 3 7 5" xfId="10438"/>
    <cellStyle name="Normal 2 2 2 3 7 6" xfId="10439"/>
    <cellStyle name="Normal 2 2 2 3 8" xfId="10440"/>
    <cellStyle name="Normal 2 2 2 3 8 2" xfId="10441"/>
    <cellStyle name="Normal 2 2 2 3 8 2 2" xfId="10442"/>
    <cellStyle name="Normal 2 2 2 3 8 3" xfId="10443"/>
    <cellStyle name="Normal 2 2 2 3 8 3 2" xfId="10444"/>
    <cellStyle name="Normal 2 2 2 3 8 4" xfId="10445"/>
    <cellStyle name="Normal 2 2 2 3 8 5" xfId="10446"/>
    <cellStyle name="Normal 2 2 2 3 9" xfId="10447"/>
    <cellStyle name="Normal 2 2 2 3 9 2" xfId="10448"/>
    <cellStyle name="Normal 2 2 2 4" xfId="10449"/>
    <cellStyle name="Normal 2 2 2 4 10" xfId="10450"/>
    <cellStyle name="Normal 2 2 2 4 10 2" xfId="10451"/>
    <cellStyle name="Normal 2 2 2 4 11" xfId="10452"/>
    <cellStyle name="Normal 2 2 2 4 11 2" xfId="10453"/>
    <cellStyle name="Normal 2 2 2 4 12" xfId="10454"/>
    <cellStyle name="Normal 2 2 2 4 13" xfId="10455"/>
    <cellStyle name="Normal 2 2 2 4 2" xfId="10456"/>
    <cellStyle name="Normal 2 2 2 4 2 10" xfId="10457"/>
    <cellStyle name="Normal 2 2 2 4 2 11" xfId="10458"/>
    <cellStyle name="Normal 2 2 2 4 2 2" xfId="10459"/>
    <cellStyle name="Normal 2 2 2 4 2 2 2" xfId="10460"/>
    <cellStyle name="Normal 2 2 2 4 2 2 2 2" xfId="10461"/>
    <cellStyle name="Normal 2 2 2 4 2 2 3" xfId="10462"/>
    <cellStyle name="Normal 2 2 2 4 2 2 3 2" xfId="10463"/>
    <cellStyle name="Normal 2 2 2 4 2 2 4" xfId="10464"/>
    <cellStyle name="Normal 2 2 2 4 2 2 4 2" xfId="10465"/>
    <cellStyle name="Normal 2 2 2 4 2 2 5" xfId="10466"/>
    <cellStyle name="Normal 2 2 2 4 2 2 6" xfId="10467"/>
    <cellStyle name="Normal 2 2 2 4 2 3" xfId="10468"/>
    <cellStyle name="Normal 2 2 2 4 2 3 2" xfId="10469"/>
    <cellStyle name="Normal 2 2 2 4 2 3 2 2" xfId="10470"/>
    <cellStyle name="Normal 2 2 2 4 2 3 3" xfId="10471"/>
    <cellStyle name="Normal 2 2 2 4 2 3 3 2" xfId="10472"/>
    <cellStyle name="Normal 2 2 2 4 2 3 4" xfId="10473"/>
    <cellStyle name="Normal 2 2 2 4 2 3 4 2" xfId="10474"/>
    <cellStyle name="Normal 2 2 2 4 2 3 5" xfId="10475"/>
    <cellStyle name="Normal 2 2 2 4 2 3 6" xfId="10476"/>
    <cellStyle name="Normal 2 2 2 4 2 4" xfId="10477"/>
    <cellStyle name="Normal 2 2 2 4 2 4 2" xfId="10478"/>
    <cellStyle name="Normal 2 2 2 4 2 4 2 2" xfId="10479"/>
    <cellStyle name="Normal 2 2 2 4 2 4 3" xfId="10480"/>
    <cellStyle name="Normal 2 2 2 4 2 4 3 2" xfId="10481"/>
    <cellStyle name="Normal 2 2 2 4 2 4 4" xfId="10482"/>
    <cellStyle name="Normal 2 2 2 4 2 4 4 2" xfId="10483"/>
    <cellStyle name="Normal 2 2 2 4 2 4 5" xfId="10484"/>
    <cellStyle name="Normal 2 2 2 4 2 4 6" xfId="10485"/>
    <cellStyle name="Normal 2 2 2 4 2 5" xfId="10486"/>
    <cellStyle name="Normal 2 2 2 4 2 5 2" xfId="10487"/>
    <cellStyle name="Normal 2 2 2 4 2 5 2 2" xfId="10488"/>
    <cellStyle name="Normal 2 2 2 4 2 5 3" xfId="10489"/>
    <cellStyle name="Normal 2 2 2 4 2 5 3 2" xfId="10490"/>
    <cellStyle name="Normal 2 2 2 4 2 5 4" xfId="10491"/>
    <cellStyle name="Normal 2 2 2 4 2 5 4 2" xfId="10492"/>
    <cellStyle name="Normal 2 2 2 4 2 5 5" xfId="10493"/>
    <cellStyle name="Normal 2 2 2 4 2 5 6" xfId="10494"/>
    <cellStyle name="Normal 2 2 2 4 2 6" xfId="10495"/>
    <cellStyle name="Normal 2 2 2 4 2 6 2" xfId="10496"/>
    <cellStyle name="Normal 2 2 2 4 2 6 2 2" xfId="10497"/>
    <cellStyle name="Normal 2 2 2 4 2 6 3" xfId="10498"/>
    <cellStyle name="Normal 2 2 2 4 2 6 3 2" xfId="10499"/>
    <cellStyle name="Normal 2 2 2 4 2 6 4" xfId="10500"/>
    <cellStyle name="Normal 2 2 2 4 2 6 5" xfId="10501"/>
    <cellStyle name="Normal 2 2 2 4 2 7" xfId="10502"/>
    <cellStyle name="Normal 2 2 2 4 2 7 2" xfId="10503"/>
    <cellStyle name="Normal 2 2 2 4 2 8" xfId="10504"/>
    <cellStyle name="Normal 2 2 2 4 2 8 2" xfId="10505"/>
    <cellStyle name="Normal 2 2 2 4 2 9" xfId="10506"/>
    <cellStyle name="Normal 2 2 2 4 2 9 2" xfId="10507"/>
    <cellStyle name="Normal 2 2 2 4 3" xfId="10508"/>
    <cellStyle name="Normal 2 2 2 4 3 10" xfId="10509"/>
    <cellStyle name="Normal 2 2 2 4 3 2" xfId="10510"/>
    <cellStyle name="Normal 2 2 2 4 3 2 2" xfId="10511"/>
    <cellStyle name="Normal 2 2 2 4 3 2 2 2" xfId="10512"/>
    <cellStyle name="Normal 2 2 2 4 3 2 3" xfId="10513"/>
    <cellStyle name="Normal 2 2 2 4 3 2 3 2" xfId="10514"/>
    <cellStyle name="Normal 2 2 2 4 3 2 4" xfId="10515"/>
    <cellStyle name="Normal 2 2 2 4 3 2 4 2" xfId="10516"/>
    <cellStyle name="Normal 2 2 2 4 3 2 5" xfId="10517"/>
    <cellStyle name="Normal 2 2 2 4 3 2 6" xfId="10518"/>
    <cellStyle name="Normal 2 2 2 4 3 3" xfId="10519"/>
    <cellStyle name="Normal 2 2 2 4 3 3 2" xfId="10520"/>
    <cellStyle name="Normal 2 2 2 4 3 3 2 2" xfId="10521"/>
    <cellStyle name="Normal 2 2 2 4 3 3 3" xfId="10522"/>
    <cellStyle name="Normal 2 2 2 4 3 3 3 2" xfId="10523"/>
    <cellStyle name="Normal 2 2 2 4 3 3 4" xfId="10524"/>
    <cellStyle name="Normal 2 2 2 4 3 3 4 2" xfId="10525"/>
    <cellStyle name="Normal 2 2 2 4 3 3 5" xfId="10526"/>
    <cellStyle name="Normal 2 2 2 4 3 3 6" xfId="10527"/>
    <cellStyle name="Normal 2 2 2 4 3 4" xfId="10528"/>
    <cellStyle name="Normal 2 2 2 4 3 4 2" xfId="10529"/>
    <cellStyle name="Normal 2 2 2 4 3 4 2 2" xfId="10530"/>
    <cellStyle name="Normal 2 2 2 4 3 4 3" xfId="10531"/>
    <cellStyle name="Normal 2 2 2 4 3 4 3 2" xfId="10532"/>
    <cellStyle name="Normal 2 2 2 4 3 4 4" xfId="10533"/>
    <cellStyle name="Normal 2 2 2 4 3 4 4 2" xfId="10534"/>
    <cellStyle name="Normal 2 2 2 4 3 4 5" xfId="10535"/>
    <cellStyle name="Normal 2 2 2 4 3 4 6" xfId="10536"/>
    <cellStyle name="Normal 2 2 2 4 3 5" xfId="10537"/>
    <cellStyle name="Normal 2 2 2 4 3 5 2" xfId="10538"/>
    <cellStyle name="Normal 2 2 2 4 3 5 2 2" xfId="10539"/>
    <cellStyle name="Normal 2 2 2 4 3 5 3" xfId="10540"/>
    <cellStyle name="Normal 2 2 2 4 3 5 3 2" xfId="10541"/>
    <cellStyle name="Normal 2 2 2 4 3 5 4" xfId="10542"/>
    <cellStyle name="Normal 2 2 2 4 3 5 5" xfId="10543"/>
    <cellStyle name="Normal 2 2 2 4 3 6" xfId="10544"/>
    <cellStyle name="Normal 2 2 2 4 3 6 2" xfId="10545"/>
    <cellStyle name="Normal 2 2 2 4 3 7" xfId="10546"/>
    <cellStyle name="Normal 2 2 2 4 3 7 2" xfId="10547"/>
    <cellStyle name="Normal 2 2 2 4 3 8" xfId="10548"/>
    <cellStyle name="Normal 2 2 2 4 3 8 2" xfId="10549"/>
    <cellStyle name="Normal 2 2 2 4 3 9" xfId="10550"/>
    <cellStyle name="Normal 2 2 2 4 4" xfId="10551"/>
    <cellStyle name="Normal 2 2 2 4 4 10" xfId="10552"/>
    <cellStyle name="Normal 2 2 2 4 4 2" xfId="10553"/>
    <cellStyle name="Normal 2 2 2 4 4 2 2" xfId="10554"/>
    <cellStyle name="Normal 2 2 2 4 4 2 2 2" xfId="10555"/>
    <cellStyle name="Normal 2 2 2 4 4 2 3" xfId="10556"/>
    <cellStyle name="Normal 2 2 2 4 4 2 3 2" xfId="10557"/>
    <cellStyle name="Normal 2 2 2 4 4 2 4" xfId="10558"/>
    <cellStyle name="Normal 2 2 2 4 4 2 4 2" xfId="10559"/>
    <cellStyle name="Normal 2 2 2 4 4 2 5" xfId="10560"/>
    <cellStyle name="Normal 2 2 2 4 4 2 6" xfId="10561"/>
    <cellStyle name="Normal 2 2 2 4 4 3" xfId="10562"/>
    <cellStyle name="Normal 2 2 2 4 4 3 2" xfId="10563"/>
    <cellStyle name="Normal 2 2 2 4 4 3 2 2" xfId="10564"/>
    <cellStyle name="Normal 2 2 2 4 4 3 3" xfId="10565"/>
    <cellStyle name="Normal 2 2 2 4 4 3 3 2" xfId="10566"/>
    <cellStyle name="Normal 2 2 2 4 4 3 4" xfId="10567"/>
    <cellStyle name="Normal 2 2 2 4 4 3 4 2" xfId="10568"/>
    <cellStyle name="Normal 2 2 2 4 4 3 5" xfId="10569"/>
    <cellStyle name="Normal 2 2 2 4 4 3 6" xfId="10570"/>
    <cellStyle name="Normal 2 2 2 4 4 4" xfId="10571"/>
    <cellStyle name="Normal 2 2 2 4 4 4 2" xfId="10572"/>
    <cellStyle name="Normal 2 2 2 4 4 4 2 2" xfId="10573"/>
    <cellStyle name="Normal 2 2 2 4 4 4 3" xfId="10574"/>
    <cellStyle name="Normal 2 2 2 4 4 4 3 2" xfId="10575"/>
    <cellStyle name="Normal 2 2 2 4 4 4 4" xfId="10576"/>
    <cellStyle name="Normal 2 2 2 4 4 4 4 2" xfId="10577"/>
    <cellStyle name="Normal 2 2 2 4 4 4 5" xfId="10578"/>
    <cellStyle name="Normal 2 2 2 4 4 4 6" xfId="10579"/>
    <cellStyle name="Normal 2 2 2 4 4 5" xfId="10580"/>
    <cellStyle name="Normal 2 2 2 4 4 5 2" xfId="10581"/>
    <cellStyle name="Normal 2 2 2 4 4 5 2 2" xfId="10582"/>
    <cellStyle name="Normal 2 2 2 4 4 5 3" xfId="10583"/>
    <cellStyle name="Normal 2 2 2 4 4 5 3 2" xfId="10584"/>
    <cellStyle name="Normal 2 2 2 4 4 5 4" xfId="10585"/>
    <cellStyle name="Normal 2 2 2 4 4 5 5" xfId="10586"/>
    <cellStyle name="Normal 2 2 2 4 4 6" xfId="10587"/>
    <cellStyle name="Normal 2 2 2 4 4 6 2" xfId="10588"/>
    <cellStyle name="Normal 2 2 2 4 4 7" xfId="10589"/>
    <cellStyle name="Normal 2 2 2 4 4 7 2" xfId="10590"/>
    <cellStyle name="Normal 2 2 2 4 4 8" xfId="10591"/>
    <cellStyle name="Normal 2 2 2 4 4 8 2" xfId="10592"/>
    <cellStyle name="Normal 2 2 2 4 4 9" xfId="10593"/>
    <cellStyle name="Normal 2 2 2 4 5" xfId="10594"/>
    <cellStyle name="Normal 2 2 2 4 5 2" xfId="10595"/>
    <cellStyle name="Normal 2 2 2 4 5 2 2" xfId="10596"/>
    <cellStyle name="Normal 2 2 2 4 5 3" xfId="10597"/>
    <cellStyle name="Normal 2 2 2 4 5 3 2" xfId="10598"/>
    <cellStyle name="Normal 2 2 2 4 5 4" xfId="10599"/>
    <cellStyle name="Normal 2 2 2 4 5 4 2" xfId="10600"/>
    <cellStyle name="Normal 2 2 2 4 5 5" xfId="10601"/>
    <cellStyle name="Normal 2 2 2 4 5 6" xfId="10602"/>
    <cellStyle name="Normal 2 2 2 4 6" xfId="10603"/>
    <cellStyle name="Normal 2 2 2 4 6 2" xfId="10604"/>
    <cellStyle name="Normal 2 2 2 4 6 2 2" xfId="10605"/>
    <cellStyle name="Normal 2 2 2 4 6 3" xfId="10606"/>
    <cellStyle name="Normal 2 2 2 4 6 3 2" xfId="10607"/>
    <cellStyle name="Normal 2 2 2 4 6 4" xfId="10608"/>
    <cellStyle name="Normal 2 2 2 4 6 4 2" xfId="10609"/>
    <cellStyle name="Normal 2 2 2 4 6 5" xfId="10610"/>
    <cellStyle name="Normal 2 2 2 4 6 6" xfId="10611"/>
    <cellStyle name="Normal 2 2 2 4 7" xfId="10612"/>
    <cellStyle name="Normal 2 2 2 4 7 2" xfId="10613"/>
    <cellStyle name="Normal 2 2 2 4 7 2 2" xfId="10614"/>
    <cellStyle name="Normal 2 2 2 4 7 3" xfId="10615"/>
    <cellStyle name="Normal 2 2 2 4 7 3 2" xfId="10616"/>
    <cellStyle name="Normal 2 2 2 4 7 4" xfId="10617"/>
    <cellStyle name="Normal 2 2 2 4 7 4 2" xfId="10618"/>
    <cellStyle name="Normal 2 2 2 4 7 5" xfId="10619"/>
    <cellStyle name="Normal 2 2 2 4 7 6" xfId="10620"/>
    <cellStyle name="Normal 2 2 2 4 8" xfId="10621"/>
    <cellStyle name="Normal 2 2 2 4 8 2" xfId="10622"/>
    <cellStyle name="Normal 2 2 2 4 8 2 2" xfId="10623"/>
    <cellStyle name="Normal 2 2 2 4 8 3" xfId="10624"/>
    <cellStyle name="Normal 2 2 2 4 8 3 2" xfId="10625"/>
    <cellStyle name="Normal 2 2 2 4 8 4" xfId="10626"/>
    <cellStyle name="Normal 2 2 2 4 8 5" xfId="10627"/>
    <cellStyle name="Normal 2 2 2 4 9" xfId="10628"/>
    <cellStyle name="Normal 2 2 2 4 9 2" xfId="10629"/>
    <cellStyle name="Normal 2 2 2 5" xfId="10630"/>
    <cellStyle name="Normal 2 2 2 5 10" xfId="10631"/>
    <cellStyle name="Normal 2 2 2 5 10 2" xfId="10632"/>
    <cellStyle name="Normal 2 2 2 5 11" xfId="10633"/>
    <cellStyle name="Normal 2 2 2 5 12" xfId="10634"/>
    <cellStyle name="Normal 2 2 2 5 2" xfId="10635"/>
    <cellStyle name="Normal 2 2 2 5 2 10" xfId="10636"/>
    <cellStyle name="Normal 2 2 2 5 2 2" xfId="10637"/>
    <cellStyle name="Normal 2 2 2 5 2 2 2" xfId="10638"/>
    <cellStyle name="Normal 2 2 2 5 2 2 2 2" xfId="10639"/>
    <cellStyle name="Normal 2 2 2 5 2 2 3" xfId="10640"/>
    <cellStyle name="Normal 2 2 2 5 2 2 3 2" xfId="10641"/>
    <cellStyle name="Normal 2 2 2 5 2 2 4" xfId="10642"/>
    <cellStyle name="Normal 2 2 2 5 2 2 4 2" xfId="10643"/>
    <cellStyle name="Normal 2 2 2 5 2 2 5" xfId="10644"/>
    <cellStyle name="Normal 2 2 2 5 2 2 6" xfId="10645"/>
    <cellStyle name="Normal 2 2 2 5 2 3" xfId="10646"/>
    <cellStyle name="Normal 2 2 2 5 2 3 2" xfId="10647"/>
    <cellStyle name="Normal 2 2 2 5 2 3 2 2" xfId="10648"/>
    <cellStyle name="Normal 2 2 2 5 2 3 3" xfId="10649"/>
    <cellStyle name="Normal 2 2 2 5 2 3 3 2" xfId="10650"/>
    <cellStyle name="Normal 2 2 2 5 2 3 4" xfId="10651"/>
    <cellStyle name="Normal 2 2 2 5 2 3 4 2" xfId="10652"/>
    <cellStyle name="Normal 2 2 2 5 2 3 5" xfId="10653"/>
    <cellStyle name="Normal 2 2 2 5 2 3 6" xfId="10654"/>
    <cellStyle name="Normal 2 2 2 5 2 4" xfId="10655"/>
    <cellStyle name="Normal 2 2 2 5 2 4 2" xfId="10656"/>
    <cellStyle name="Normal 2 2 2 5 2 4 2 2" xfId="10657"/>
    <cellStyle name="Normal 2 2 2 5 2 4 3" xfId="10658"/>
    <cellStyle name="Normal 2 2 2 5 2 4 3 2" xfId="10659"/>
    <cellStyle name="Normal 2 2 2 5 2 4 4" xfId="10660"/>
    <cellStyle name="Normal 2 2 2 5 2 4 4 2" xfId="10661"/>
    <cellStyle name="Normal 2 2 2 5 2 4 5" xfId="10662"/>
    <cellStyle name="Normal 2 2 2 5 2 4 6" xfId="10663"/>
    <cellStyle name="Normal 2 2 2 5 2 5" xfId="10664"/>
    <cellStyle name="Normal 2 2 2 5 2 5 2" xfId="10665"/>
    <cellStyle name="Normal 2 2 2 5 2 5 2 2" xfId="10666"/>
    <cellStyle name="Normal 2 2 2 5 2 5 3" xfId="10667"/>
    <cellStyle name="Normal 2 2 2 5 2 5 3 2" xfId="10668"/>
    <cellStyle name="Normal 2 2 2 5 2 5 4" xfId="10669"/>
    <cellStyle name="Normal 2 2 2 5 2 5 5" xfId="10670"/>
    <cellStyle name="Normal 2 2 2 5 2 6" xfId="10671"/>
    <cellStyle name="Normal 2 2 2 5 2 6 2" xfId="10672"/>
    <cellStyle name="Normal 2 2 2 5 2 7" xfId="10673"/>
    <cellStyle name="Normal 2 2 2 5 2 7 2" xfId="10674"/>
    <cellStyle name="Normal 2 2 2 5 2 8" xfId="10675"/>
    <cellStyle name="Normal 2 2 2 5 2 8 2" xfId="10676"/>
    <cellStyle name="Normal 2 2 2 5 2 9" xfId="10677"/>
    <cellStyle name="Normal 2 2 2 5 3" xfId="10678"/>
    <cellStyle name="Normal 2 2 2 5 3 10" xfId="10679"/>
    <cellStyle name="Normal 2 2 2 5 3 2" xfId="10680"/>
    <cellStyle name="Normal 2 2 2 5 3 2 2" xfId="10681"/>
    <cellStyle name="Normal 2 2 2 5 3 2 2 2" xfId="10682"/>
    <cellStyle name="Normal 2 2 2 5 3 2 3" xfId="10683"/>
    <cellStyle name="Normal 2 2 2 5 3 2 3 2" xfId="10684"/>
    <cellStyle name="Normal 2 2 2 5 3 2 4" xfId="10685"/>
    <cellStyle name="Normal 2 2 2 5 3 2 4 2" xfId="10686"/>
    <cellStyle name="Normal 2 2 2 5 3 2 5" xfId="10687"/>
    <cellStyle name="Normal 2 2 2 5 3 2 6" xfId="10688"/>
    <cellStyle name="Normal 2 2 2 5 3 3" xfId="10689"/>
    <cellStyle name="Normal 2 2 2 5 3 3 2" xfId="10690"/>
    <cellStyle name="Normal 2 2 2 5 3 3 2 2" xfId="10691"/>
    <cellStyle name="Normal 2 2 2 5 3 3 3" xfId="10692"/>
    <cellStyle name="Normal 2 2 2 5 3 3 3 2" xfId="10693"/>
    <cellStyle name="Normal 2 2 2 5 3 3 4" xfId="10694"/>
    <cellStyle name="Normal 2 2 2 5 3 3 4 2" xfId="10695"/>
    <cellStyle name="Normal 2 2 2 5 3 3 5" xfId="10696"/>
    <cellStyle name="Normal 2 2 2 5 3 3 6" xfId="10697"/>
    <cellStyle name="Normal 2 2 2 5 3 4" xfId="10698"/>
    <cellStyle name="Normal 2 2 2 5 3 4 2" xfId="10699"/>
    <cellStyle name="Normal 2 2 2 5 3 4 2 2" xfId="10700"/>
    <cellStyle name="Normal 2 2 2 5 3 4 3" xfId="10701"/>
    <cellStyle name="Normal 2 2 2 5 3 4 3 2" xfId="10702"/>
    <cellStyle name="Normal 2 2 2 5 3 4 4" xfId="10703"/>
    <cellStyle name="Normal 2 2 2 5 3 4 4 2" xfId="10704"/>
    <cellStyle name="Normal 2 2 2 5 3 4 5" xfId="10705"/>
    <cellStyle name="Normal 2 2 2 5 3 4 6" xfId="10706"/>
    <cellStyle name="Normal 2 2 2 5 3 5" xfId="10707"/>
    <cellStyle name="Normal 2 2 2 5 3 5 2" xfId="10708"/>
    <cellStyle name="Normal 2 2 2 5 3 5 2 2" xfId="10709"/>
    <cellStyle name="Normal 2 2 2 5 3 5 3" xfId="10710"/>
    <cellStyle name="Normal 2 2 2 5 3 5 3 2" xfId="10711"/>
    <cellStyle name="Normal 2 2 2 5 3 5 4" xfId="10712"/>
    <cellStyle name="Normal 2 2 2 5 3 5 5" xfId="10713"/>
    <cellStyle name="Normal 2 2 2 5 3 6" xfId="10714"/>
    <cellStyle name="Normal 2 2 2 5 3 6 2" xfId="10715"/>
    <cellStyle name="Normal 2 2 2 5 3 7" xfId="10716"/>
    <cellStyle name="Normal 2 2 2 5 3 7 2" xfId="10717"/>
    <cellStyle name="Normal 2 2 2 5 3 8" xfId="10718"/>
    <cellStyle name="Normal 2 2 2 5 3 8 2" xfId="10719"/>
    <cellStyle name="Normal 2 2 2 5 3 9" xfId="10720"/>
    <cellStyle name="Normal 2 2 2 5 4" xfId="10721"/>
    <cellStyle name="Normal 2 2 2 5 4 2" xfId="10722"/>
    <cellStyle name="Normal 2 2 2 5 4 2 2" xfId="10723"/>
    <cellStyle name="Normal 2 2 2 5 4 3" xfId="10724"/>
    <cellStyle name="Normal 2 2 2 5 4 3 2" xfId="10725"/>
    <cellStyle name="Normal 2 2 2 5 4 4" xfId="10726"/>
    <cellStyle name="Normal 2 2 2 5 4 4 2" xfId="10727"/>
    <cellStyle name="Normal 2 2 2 5 4 5" xfId="10728"/>
    <cellStyle name="Normal 2 2 2 5 4 6" xfId="10729"/>
    <cellStyle name="Normal 2 2 2 5 5" xfId="10730"/>
    <cellStyle name="Normal 2 2 2 5 5 2" xfId="10731"/>
    <cellStyle name="Normal 2 2 2 5 5 2 2" xfId="10732"/>
    <cellStyle name="Normal 2 2 2 5 5 3" xfId="10733"/>
    <cellStyle name="Normal 2 2 2 5 5 3 2" xfId="10734"/>
    <cellStyle name="Normal 2 2 2 5 5 4" xfId="10735"/>
    <cellStyle name="Normal 2 2 2 5 5 4 2" xfId="10736"/>
    <cellStyle name="Normal 2 2 2 5 5 5" xfId="10737"/>
    <cellStyle name="Normal 2 2 2 5 5 6" xfId="10738"/>
    <cellStyle name="Normal 2 2 2 5 6" xfId="10739"/>
    <cellStyle name="Normal 2 2 2 5 6 2" xfId="10740"/>
    <cellStyle name="Normal 2 2 2 5 6 2 2" xfId="10741"/>
    <cellStyle name="Normal 2 2 2 5 6 3" xfId="10742"/>
    <cellStyle name="Normal 2 2 2 5 6 3 2" xfId="10743"/>
    <cellStyle name="Normal 2 2 2 5 6 4" xfId="10744"/>
    <cellStyle name="Normal 2 2 2 5 6 4 2" xfId="10745"/>
    <cellStyle name="Normal 2 2 2 5 6 5" xfId="10746"/>
    <cellStyle name="Normal 2 2 2 5 6 6" xfId="10747"/>
    <cellStyle name="Normal 2 2 2 5 7" xfId="10748"/>
    <cellStyle name="Normal 2 2 2 5 7 2" xfId="10749"/>
    <cellStyle name="Normal 2 2 2 5 7 2 2" xfId="10750"/>
    <cellStyle name="Normal 2 2 2 5 7 3" xfId="10751"/>
    <cellStyle name="Normal 2 2 2 5 7 3 2" xfId="10752"/>
    <cellStyle name="Normal 2 2 2 5 7 4" xfId="10753"/>
    <cellStyle name="Normal 2 2 2 5 7 5" xfId="10754"/>
    <cellStyle name="Normal 2 2 2 5 8" xfId="10755"/>
    <cellStyle name="Normal 2 2 2 5 8 2" xfId="10756"/>
    <cellStyle name="Normal 2 2 2 5 9" xfId="10757"/>
    <cellStyle name="Normal 2 2 2 5 9 2" xfId="10758"/>
    <cellStyle name="Normal 2 2 2 6" xfId="10759"/>
    <cellStyle name="Normal 2 2 2 6 10" xfId="10760"/>
    <cellStyle name="Normal 2 2 2 6 11" xfId="10761"/>
    <cellStyle name="Normal 2 2 2 6 2" xfId="10762"/>
    <cellStyle name="Normal 2 2 2 6 2 2" xfId="10763"/>
    <cellStyle name="Normal 2 2 2 6 2 2 2" xfId="10764"/>
    <cellStyle name="Normal 2 2 2 6 2 3" xfId="10765"/>
    <cellStyle name="Normal 2 2 2 6 2 3 2" xfId="10766"/>
    <cellStyle name="Normal 2 2 2 6 2 4" xfId="10767"/>
    <cellStyle name="Normal 2 2 2 6 2 4 2" xfId="10768"/>
    <cellStyle name="Normal 2 2 2 6 2 5" xfId="10769"/>
    <cellStyle name="Normal 2 2 2 6 2 6" xfId="10770"/>
    <cellStyle name="Normal 2 2 2 6 3" xfId="10771"/>
    <cellStyle name="Normal 2 2 2 6 3 2" xfId="10772"/>
    <cellStyle name="Normal 2 2 2 6 3 2 2" xfId="10773"/>
    <cellStyle name="Normal 2 2 2 6 3 3" xfId="10774"/>
    <cellStyle name="Normal 2 2 2 6 3 3 2" xfId="10775"/>
    <cellStyle name="Normal 2 2 2 6 3 4" xfId="10776"/>
    <cellStyle name="Normal 2 2 2 6 3 4 2" xfId="10777"/>
    <cellStyle name="Normal 2 2 2 6 3 5" xfId="10778"/>
    <cellStyle name="Normal 2 2 2 6 3 6" xfId="10779"/>
    <cellStyle name="Normal 2 2 2 6 4" xfId="10780"/>
    <cellStyle name="Normal 2 2 2 6 4 2" xfId="10781"/>
    <cellStyle name="Normal 2 2 2 6 4 2 2" xfId="10782"/>
    <cellStyle name="Normal 2 2 2 6 4 3" xfId="10783"/>
    <cellStyle name="Normal 2 2 2 6 4 3 2" xfId="10784"/>
    <cellStyle name="Normal 2 2 2 6 4 4" xfId="10785"/>
    <cellStyle name="Normal 2 2 2 6 4 4 2" xfId="10786"/>
    <cellStyle name="Normal 2 2 2 6 4 5" xfId="10787"/>
    <cellStyle name="Normal 2 2 2 6 4 6" xfId="10788"/>
    <cellStyle name="Normal 2 2 2 6 5" xfId="10789"/>
    <cellStyle name="Normal 2 2 2 6 5 2" xfId="10790"/>
    <cellStyle name="Normal 2 2 2 6 5 2 2" xfId="10791"/>
    <cellStyle name="Normal 2 2 2 6 5 3" xfId="10792"/>
    <cellStyle name="Normal 2 2 2 6 5 3 2" xfId="10793"/>
    <cellStyle name="Normal 2 2 2 6 5 4" xfId="10794"/>
    <cellStyle name="Normal 2 2 2 6 5 4 2" xfId="10795"/>
    <cellStyle name="Normal 2 2 2 6 5 5" xfId="10796"/>
    <cellStyle name="Normal 2 2 2 6 5 6" xfId="10797"/>
    <cellStyle name="Normal 2 2 2 6 6" xfId="10798"/>
    <cellStyle name="Normal 2 2 2 6 6 2" xfId="10799"/>
    <cellStyle name="Normal 2 2 2 6 6 2 2" xfId="10800"/>
    <cellStyle name="Normal 2 2 2 6 6 3" xfId="10801"/>
    <cellStyle name="Normal 2 2 2 6 6 3 2" xfId="10802"/>
    <cellStyle name="Normal 2 2 2 6 6 4" xfId="10803"/>
    <cellStyle name="Normal 2 2 2 6 6 5" xfId="10804"/>
    <cellStyle name="Normal 2 2 2 6 7" xfId="10805"/>
    <cellStyle name="Normal 2 2 2 6 7 2" xfId="10806"/>
    <cellStyle name="Normal 2 2 2 6 8" xfId="10807"/>
    <cellStyle name="Normal 2 2 2 6 8 2" xfId="10808"/>
    <cellStyle name="Normal 2 2 2 6 9" xfId="10809"/>
    <cellStyle name="Normal 2 2 2 6 9 2" xfId="10810"/>
    <cellStyle name="Normal 2 2 2 7" xfId="10811"/>
    <cellStyle name="Normal 2 2 2 7 10" xfId="10812"/>
    <cellStyle name="Normal 2 2 2 7 2" xfId="10813"/>
    <cellStyle name="Normal 2 2 2 7 2 2" xfId="10814"/>
    <cellStyle name="Normal 2 2 2 7 2 2 2" xfId="10815"/>
    <cellStyle name="Normal 2 2 2 7 2 3" xfId="10816"/>
    <cellStyle name="Normal 2 2 2 7 2 3 2" xfId="10817"/>
    <cellStyle name="Normal 2 2 2 7 2 4" xfId="10818"/>
    <cellStyle name="Normal 2 2 2 7 2 4 2" xfId="10819"/>
    <cellStyle name="Normal 2 2 2 7 2 5" xfId="10820"/>
    <cellStyle name="Normal 2 2 2 7 2 6" xfId="10821"/>
    <cellStyle name="Normal 2 2 2 7 3" xfId="10822"/>
    <cellStyle name="Normal 2 2 2 7 3 2" xfId="10823"/>
    <cellStyle name="Normal 2 2 2 7 3 2 2" xfId="10824"/>
    <cellStyle name="Normal 2 2 2 7 3 3" xfId="10825"/>
    <cellStyle name="Normal 2 2 2 7 3 3 2" xfId="10826"/>
    <cellStyle name="Normal 2 2 2 7 3 4" xfId="10827"/>
    <cellStyle name="Normal 2 2 2 7 3 4 2" xfId="10828"/>
    <cellStyle name="Normal 2 2 2 7 3 5" xfId="10829"/>
    <cellStyle name="Normal 2 2 2 7 3 6" xfId="10830"/>
    <cellStyle name="Normal 2 2 2 7 4" xfId="10831"/>
    <cellStyle name="Normal 2 2 2 7 4 2" xfId="10832"/>
    <cellStyle name="Normal 2 2 2 7 4 2 2" xfId="10833"/>
    <cellStyle name="Normal 2 2 2 7 4 3" xfId="10834"/>
    <cellStyle name="Normal 2 2 2 7 4 3 2" xfId="10835"/>
    <cellStyle name="Normal 2 2 2 7 4 4" xfId="10836"/>
    <cellStyle name="Normal 2 2 2 7 4 4 2" xfId="10837"/>
    <cellStyle name="Normal 2 2 2 7 4 5" xfId="10838"/>
    <cellStyle name="Normal 2 2 2 7 4 6" xfId="10839"/>
    <cellStyle name="Normal 2 2 2 7 5" xfId="10840"/>
    <cellStyle name="Normal 2 2 2 7 5 2" xfId="10841"/>
    <cellStyle name="Normal 2 2 2 7 5 2 2" xfId="10842"/>
    <cellStyle name="Normal 2 2 2 7 5 3" xfId="10843"/>
    <cellStyle name="Normal 2 2 2 7 5 3 2" xfId="10844"/>
    <cellStyle name="Normal 2 2 2 7 5 4" xfId="10845"/>
    <cellStyle name="Normal 2 2 2 7 5 5" xfId="10846"/>
    <cellStyle name="Normal 2 2 2 7 6" xfId="10847"/>
    <cellStyle name="Normal 2 2 2 7 6 2" xfId="10848"/>
    <cellStyle name="Normal 2 2 2 7 7" xfId="10849"/>
    <cellStyle name="Normal 2 2 2 7 7 2" xfId="10850"/>
    <cellStyle name="Normal 2 2 2 7 8" xfId="10851"/>
    <cellStyle name="Normal 2 2 2 7 8 2" xfId="10852"/>
    <cellStyle name="Normal 2 2 2 7 9" xfId="10853"/>
    <cellStyle name="Normal 2 2 2 8" xfId="10854"/>
    <cellStyle name="Normal 2 2 2 8 10" xfId="10855"/>
    <cellStyle name="Normal 2 2 2 8 2" xfId="10856"/>
    <cellStyle name="Normal 2 2 2 8 2 2" xfId="10857"/>
    <cellStyle name="Normal 2 2 2 8 2 2 2" xfId="10858"/>
    <cellStyle name="Normal 2 2 2 8 2 3" xfId="10859"/>
    <cellStyle name="Normal 2 2 2 8 2 3 2" xfId="10860"/>
    <cellStyle name="Normal 2 2 2 8 2 4" xfId="10861"/>
    <cellStyle name="Normal 2 2 2 8 2 4 2" xfId="10862"/>
    <cellStyle name="Normal 2 2 2 8 2 5" xfId="10863"/>
    <cellStyle name="Normal 2 2 2 8 2 6" xfId="10864"/>
    <cellStyle name="Normal 2 2 2 8 3" xfId="10865"/>
    <cellStyle name="Normal 2 2 2 8 3 2" xfId="10866"/>
    <cellStyle name="Normal 2 2 2 8 3 2 2" xfId="10867"/>
    <cellStyle name="Normal 2 2 2 8 3 3" xfId="10868"/>
    <cellStyle name="Normal 2 2 2 8 3 3 2" xfId="10869"/>
    <cellStyle name="Normal 2 2 2 8 3 4" xfId="10870"/>
    <cellStyle name="Normal 2 2 2 8 3 4 2" xfId="10871"/>
    <cellStyle name="Normal 2 2 2 8 3 5" xfId="10872"/>
    <cellStyle name="Normal 2 2 2 8 3 6" xfId="10873"/>
    <cellStyle name="Normal 2 2 2 8 4" xfId="10874"/>
    <cellStyle name="Normal 2 2 2 8 4 2" xfId="10875"/>
    <cellStyle name="Normal 2 2 2 8 4 2 2" xfId="10876"/>
    <cellStyle name="Normal 2 2 2 8 4 3" xfId="10877"/>
    <cellStyle name="Normal 2 2 2 8 4 3 2" xfId="10878"/>
    <cellStyle name="Normal 2 2 2 8 4 4" xfId="10879"/>
    <cellStyle name="Normal 2 2 2 8 4 4 2" xfId="10880"/>
    <cellStyle name="Normal 2 2 2 8 4 5" xfId="10881"/>
    <cellStyle name="Normal 2 2 2 8 4 6" xfId="10882"/>
    <cellStyle name="Normal 2 2 2 8 5" xfId="10883"/>
    <cellStyle name="Normal 2 2 2 8 5 2" xfId="10884"/>
    <cellStyle name="Normal 2 2 2 8 5 2 2" xfId="10885"/>
    <cellStyle name="Normal 2 2 2 8 5 3" xfId="10886"/>
    <cellStyle name="Normal 2 2 2 8 5 3 2" xfId="10887"/>
    <cellStyle name="Normal 2 2 2 8 5 4" xfId="10888"/>
    <cellStyle name="Normal 2 2 2 8 5 5" xfId="10889"/>
    <cellStyle name="Normal 2 2 2 8 6" xfId="10890"/>
    <cellStyle name="Normal 2 2 2 8 6 2" xfId="10891"/>
    <cellStyle name="Normal 2 2 2 8 7" xfId="10892"/>
    <cellStyle name="Normal 2 2 2 8 7 2" xfId="10893"/>
    <cellStyle name="Normal 2 2 2 8 8" xfId="10894"/>
    <cellStyle name="Normal 2 2 2 8 8 2" xfId="10895"/>
    <cellStyle name="Normal 2 2 2 8 9" xfId="10896"/>
    <cellStyle name="Normal 2 2 2 9" xfId="10897"/>
    <cellStyle name="Normal 2 2 2 9 2" xfId="10898"/>
    <cellStyle name="Normal 2 2 2 9 2 2" xfId="10899"/>
    <cellStyle name="Normal 2 2 2 9 3" xfId="10900"/>
    <cellStyle name="Normal 2 2 2 9 3 2" xfId="10901"/>
    <cellStyle name="Normal 2 2 2 9 4" xfId="10902"/>
    <cellStyle name="Normal 2 2 2 9 4 2" xfId="10903"/>
    <cellStyle name="Normal 2 2 2 9 5" xfId="10904"/>
    <cellStyle name="Normal 2 2 2 9 6" xfId="10905"/>
    <cellStyle name="Normal 2 2 3" xfId="10906"/>
    <cellStyle name="Normal 2 2 3 2" xfId="10907"/>
    <cellStyle name="Normal 2 2 4" xfId="10908"/>
    <cellStyle name="Normal 2 2 5" xfId="10909"/>
    <cellStyle name="Normal 2 3" xfId="10910"/>
    <cellStyle name="Normal 2 3 10" xfId="10911"/>
    <cellStyle name="Normal 2 3 10 2" xfId="10912"/>
    <cellStyle name="Normal 2 3 10 2 2" xfId="10913"/>
    <cellStyle name="Normal 2 3 10 2 2 2" xfId="10914"/>
    <cellStyle name="Normal 2 3 10 2 2 3" xfId="10915"/>
    <cellStyle name="Normal 2 3 10 2 3" xfId="10916"/>
    <cellStyle name="Normal 2 3 10 2 4" xfId="10917"/>
    <cellStyle name="Normal 2 3 10 3" xfId="10918"/>
    <cellStyle name="Normal 2 3 10 3 2" xfId="10919"/>
    <cellStyle name="Normal 2 3 10 3 3" xfId="10920"/>
    <cellStyle name="Normal 2 3 10 4" xfId="10921"/>
    <cellStyle name="Normal 2 3 10 4 2" xfId="10922"/>
    <cellStyle name="Normal 2 3 10 4 3" xfId="10923"/>
    <cellStyle name="Normal 2 3 10 5" xfId="10924"/>
    <cellStyle name="Normal 2 3 10 6" xfId="10925"/>
    <cellStyle name="Normal 2 3 11" xfId="10926"/>
    <cellStyle name="Normal 2 3 11 2" xfId="10927"/>
    <cellStyle name="Normal 2 3 11 2 2" xfId="10928"/>
    <cellStyle name="Normal 2 3 11 2 3" xfId="10929"/>
    <cellStyle name="Normal 2 3 11 3" xfId="10930"/>
    <cellStyle name="Normal 2 3 11 4" xfId="10931"/>
    <cellStyle name="Normal 2 3 12" xfId="10932"/>
    <cellStyle name="Normal 2 3 12 2" xfId="10933"/>
    <cellStyle name="Normal 2 3 12 3" xfId="10934"/>
    <cellStyle name="Normal 2 3 13" xfId="10935"/>
    <cellStyle name="Normal 2 3 13 2" xfId="10936"/>
    <cellStyle name="Normal 2 3 13 3" xfId="10937"/>
    <cellStyle name="Normal 2 3 14" xfId="10938"/>
    <cellStyle name="Normal 2 3 14 2" xfId="10939"/>
    <cellStyle name="Normal 2 3 15" xfId="10940"/>
    <cellStyle name="Normal 2 3 2" xfId="10941"/>
    <cellStyle name="Normal 2 3 2 10" xfId="10942"/>
    <cellStyle name="Normal 2 3 2 10 2" xfId="10943"/>
    <cellStyle name="Normal 2 3 2 10 2 2" xfId="10944"/>
    <cellStyle name="Normal 2 3 2 10 2 2 2" xfId="10945"/>
    <cellStyle name="Normal 2 3 2 10 2 3" xfId="10946"/>
    <cellStyle name="Normal 2 3 2 10 2 4" xfId="10947"/>
    <cellStyle name="Normal 2 3 2 10 3" xfId="10948"/>
    <cellStyle name="Normal 2 3 2 10 3 2" xfId="10949"/>
    <cellStyle name="Normal 2 3 2 10 3 3" xfId="10950"/>
    <cellStyle name="Normal 2 3 2 10 4" xfId="10951"/>
    <cellStyle name="Normal 2 3 2 10 4 2" xfId="10952"/>
    <cellStyle name="Normal 2 3 2 10 5" xfId="10953"/>
    <cellStyle name="Normal 2 3 2 10 6" xfId="10954"/>
    <cellStyle name="Normal 2 3 2 10 7" xfId="10955"/>
    <cellStyle name="Normal 2 3 2 10 8" xfId="10956"/>
    <cellStyle name="Normal 2 3 2 11" xfId="10957"/>
    <cellStyle name="Normal 2 3 2 11 2" xfId="10958"/>
    <cellStyle name="Normal 2 3 2 11 2 2" xfId="10959"/>
    <cellStyle name="Normal 2 3 2 11 2 3" xfId="10960"/>
    <cellStyle name="Normal 2 3 2 11 3" xfId="10961"/>
    <cellStyle name="Normal 2 3 2 11 3 2" xfId="10962"/>
    <cellStyle name="Normal 2 3 2 11 4" xfId="10963"/>
    <cellStyle name="Normal 2 3 2 11 4 2" xfId="10964"/>
    <cellStyle name="Normal 2 3 2 11 5" xfId="10965"/>
    <cellStyle name="Normal 2 3 2 11 6" xfId="10966"/>
    <cellStyle name="Normal 2 3 2 11 7" xfId="10967"/>
    <cellStyle name="Normal 2 3 2 11 8" xfId="10968"/>
    <cellStyle name="Normal 2 3 2 12" xfId="10969"/>
    <cellStyle name="Normal 2 3 2 12 2" xfId="10970"/>
    <cellStyle name="Normal 2 3 2 12 2 2" xfId="10971"/>
    <cellStyle name="Normal 2 3 2 12 2 3" xfId="10972"/>
    <cellStyle name="Normal 2 3 2 12 3" xfId="10973"/>
    <cellStyle name="Normal 2 3 2 12 3 2" xfId="10974"/>
    <cellStyle name="Normal 2 3 2 12 4" xfId="10975"/>
    <cellStyle name="Normal 2 3 2 12 5" xfId="10976"/>
    <cellStyle name="Normal 2 3 2 12 6" xfId="10977"/>
    <cellStyle name="Normal 2 3 2 12 7" xfId="10978"/>
    <cellStyle name="Normal 2 3 2 13" xfId="10979"/>
    <cellStyle name="Normal 2 3 2 13 2" xfId="10980"/>
    <cellStyle name="Normal 2 3 2 13 3" xfId="10981"/>
    <cellStyle name="Normal 2 3 2 14" xfId="10982"/>
    <cellStyle name="Normal 2 3 2 14 2" xfId="10983"/>
    <cellStyle name="Normal 2 3 2 15" xfId="10984"/>
    <cellStyle name="Normal 2 3 2 15 2" xfId="10985"/>
    <cellStyle name="Normal 2 3 2 16" xfId="10986"/>
    <cellStyle name="Normal 2 3 2 17" xfId="10987"/>
    <cellStyle name="Normal 2 3 2 18" xfId="10988"/>
    <cellStyle name="Normal 2 3 2 19" xfId="10989"/>
    <cellStyle name="Normal 2 3 2 2" xfId="10990"/>
    <cellStyle name="Normal 2 3 2 2 10" xfId="10991"/>
    <cellStyle name="Normal 2 3 2 2 10 2" xfId="10992"/>
    <cellStyle name="Normal 2 3 2 2 10 3" xfId="10993"/>
    <cellStyle name="Normal 2 3 2 2 11" xfId="10994"/>
    <cellStyle name="Normal 2 3 2 2 11 2" xfId="10995"/>
    <cellStyle name="Normal 2 3 2 2 11 3" xfId="10996"/>
    <cellStyle name="Normal 2 3 2 2 12" xfId="10997"/>
    <cellStyle name="Normal 2 3 2 2 12 2" xfId="10998"/>
    <cellStyle name="Normal 2 3 2 2 13" xfId="10999"/>
    <cellStyle name="Normal 2 3 2 2 2" xfId="11000"/>
    <cellStyle name="Normal 2 3 2 2 2 10" xfId="11001"/>
    <cellStyle name="Normal 2 3 2 2 2 10 2" xfId="11002"/>
    <cellStyle name="Normal 2 3 2 2 2 10 3" xfId="11003"/>
    <cellStyle name="Normal 2 3 2 2 2 11" xfId="11004"/>
    <cellStyle name="Normal 2 3 2 2 2 12" xfId="11005"/>
    <cellStyle name="Normal 2 3 2 2 2 2" xfId="11006"/>
    <cellStyle name="Normal 2 3 2 2 2 2 10" xfId="11007"/>
    <cellStyle name="Normal 2 3 2 2 2 2 11" xfId="11008"/>
    <cellStyle name="Normal 2 3 2 2 2 2 2" xfId="11009"/>
    <cellStyle name="Normal 2 3 2 2 2 2 2 2" xfId="11010"/>
    <cellStyle name="Normal 2 3 2 2 2 2 2 2 2" xfId="11011"/>
    <cellStyle name="Normal 2 3 2 2 2 2 2 2 2 2" xfId="11012"/>
    <cellStyle name="Normal 2 3 2 2 2 2 2 2 2 2 2" xfId="11013"/>
    <cellStyle name="Normal 2 3 2 2 2 2 2 2 2 2 2 2" xfId="11014"/>
    <cellStyle name="Normal 2 3 2 2 2 2 2 2 2 2 2 3" xfId="11015"/>
    <cellStyle name="Normal 2 3 2 2 2 2 2 2 2 2 3" xfId="11016"/>
    <cellStyle name="Normal 2 3 2 2 2 2 2 2 2 2 4" xfId="11017"/>
    <cellStyle name="Normal 2 3 2 2 2 2 2 2 2 3" xfId="11018"/>
    <cellStyle name="Normal 2 3 2 2 2 2 2 2 2 3 2" xfId="11019"/>
    <cellStyle name="Normal 2 3 2 2 2 2 2 2 2 3 3" xfId="11020"/>
    <cellStyle name="Normal 2 3 2 2 2 2 2 2 2 4" xfId="11021"/>
    <cellStyle name="Normal 2 3 2 2 2 2 2 2 2 4 2" xfId="11022"/>
    <cellStyle name="Normal 2 3 2 2 2 2 2 2 2 4 3" xfId="11023"/>
    <cellStyle name="Normal 2 3 2 2 2 2 2 2 2 5" xfId="11024"/>
    <cellStyle name="Normal 2 3 2 2 2 2 2 2 2 6" xfId="11025"/>
    <cellStyle name="Normal 2 3 2 2 2 2 2 2 3" xfId="11026"/>
    <cellStyle name="Normal 2 3 2 2 2 2 2 2 3 2" xfId="11027"/>
    <cellStyle name="Normal 2 3 2 2 2 2 2 2 3 2 2" xfId="11028"/>
    <cellStyle name="Normal 2 3 2 2 2 2 2 2 3 2 3" xfId="11029"/>
    <cellStyle name="Normal 2 3 2 2 2 2 2 2 3 3" xfId="11030"/>
    <cellStyle name="Normal 2 3 2 2 2 2 2 2 3 4" xfId="11031"/>
    <cellStyle name="Normal 2 3 2 2 2 2 2 2 4" xfId="11032"/>
    <cellStyle name="Normal 2 3 2 2 2 2 2 2 4 2" xfId="11033"/>
    <cellStyle name="Normal 2 3 2 2 2 2 2 2 4 3" xfId="11034"/>
    <cellStyle name="Normal 2 3 2 2 2 2 2 2 5" xfId="11035"/>
    <cellStyle name="Normal 2 3 2 2 2 2 2 2 5 2" xfId="11036"/>
    <cellStyle name="Normal 2 3 2 2 2 2 2 2 5 3" xfId="11037"/>
    <cellStyle name="Normal 2 3 2 2 2 2 2 2 6" xfId="11038"/>
    <cellStyle name="Normal 2 3 2 2 2 2 2 2 7" xfId="11039"/>
    <cellStyle name="Normal 2 3 2 2 2 2 2 3" xfId="11040"/>
    <cellStyle name="Normal 2 3 2 2 2 2 2 3 2" xfId="11041"/>
    <cellStyle name="Normal 2 3 2 2 2 2 2 3 2 2" xfId="11042"/>
    <cellStyle name="Normal 2 3 2 2 2 2 2 3 2 2 2" xfId="11043"/>
    <cellStyle name="Normal 2 3 2 2 2 2 2 3 2 2 3" xfId="11044"/>
    <cellStyle name="Normal 2 3 2 2 2 2 2 3 2 3" xfId="11045"/>
    <cellStyle name="Normal 2 3 2 2 2 2 2 3 2 4" xfId="11046"/>
    <cellStyle name="Normal 2 3 2 2 2 2 2 3 3" xfId="11047"/>
    <cellStyle name="Normal 2 3 2 2 2 2 2 3 3 2" xfId="11048"/>
    <cellStyle name="Normal 2 3 2 2 2 2 2 3 3 3" xfId="11049"/>
    <cellStyle name="Normal 2 3 2 2 2 2 2 3 4" xfId="11050"/>
    <cellStyle name="Normal 2 3 2 2 2 2 2 3 4 2" xfId="11051"/>
    <cellStyle name="Normal 2 3 2 2 2 2 2 3 4 3" xfId="11052"/>
    <cellStyle name="Normal 2 3 2 2 2 2 2 3 5" xfId="11053"/>
    <cellStyle name="Normal 2 3 2 2 2 2 2 3 6" xfId="11054"/>
    <cellStyle name="Normal 2 3 2 2 2 2 2 4" xfId="11055"/>
    <cellStyle name="Normal 2 3 2 2 2 2 2 4 2" xfId="11056"/>
    <cellStyle name="Normal 2 3 2 2 2 2 2 4 2 2" xfId="11057"/>
    <cellStyle name="Normal 2 3 2 2 2 2 2 4 2 3" xfId="11058"/>
    <cellStyle name="Normal 2 3 2 2 2 2 2 4 3" xfId="11059"/>
    <cellStyle name="Normal 2 3 2 2 2 2 2 4 4" xfId="11060"/>
    <cellStyle name="Normal 2 3 2 2 2 2 2 5" xfId="11061"/>
    <cellStyle name="Normal 2 3 2 2 2 2 2 5 2" xfId="11062"/>
    <cellStyle name="Normal 2 3 2 2 2 2 2 5 3" xfId="11063"/>
    <cellStyle name="Normal 2 3 2 2 2 2 2 6" xfId="11064"/>
    <cellStyle name="Normal 2 3 2 2 2 2 2 6 2" xfId="11065"/>
    <cellStyle name="Normal 2 3 2 2 2 2 2 6 3" xfId="11066"/>
    <cellStyle name="Normal 2 3 2 2 2 2 2 7" xfId="11067"/>
    <cellStyle name="Normal 2 3 2 2 2 2 2 8" xfId="11068"/>
    <cellStyle name="Normal 2 3 2 2 2 2 3" xfId="11069"/>
    <cellStyle name="Normal 2 3 2 2 2 2 3 2" xfId="11070"/>
    <cellStyle name="Normal 2 3 2 2 2 2 3 2 2" xfId="11071"/>
    <cellStyle name="Normal 2 3 2 2 2 2 3 2 2 2" xfId="11072"/>
    <cellStyle name="Normal 2 3 2 2 2 2 3 2 2 2 2" xfId="11073"/>
    <cellStyle name="Normal 2 3 2 2 2 2 3 2 2 2 2 2" xfId="11074"/>
    <cellStyle name="Normal 2 3 2 2 2 2 3 2 2 2 2 3" xfId="11075"/>
    <cellStyle name="Normal 2 3 2 2 2 2 3 2 2 2 3" xfId="11076"/>
    <cellStyle name="Normal 2 3 2 2 2 2 3 2 2 2 4" xfId="11077"/>
    <cellStyle name="Normal 2 3 2 2 2 2 3 2 2 3" xfId="11078"/>
    <cellStyle name="Normal 2 3 2 2 2 2 3 2 2 3 2" xfId="11079"/>
    <cellStyle name="Normal 2 3 2 2 2 2 3 2 2 3 3" xfId="11080"/>
    <cellStyle name="Normal 2 3 2 2 2 2 3 2 2 4" xfId="11081"/>
    <cellStyle name="Normal 2 3 2 2 2 2 3 2 2 4 2" xfId="11082"/>
    <cellStyle name="Normal 2 3 2 2 2 2 3 2 2 4 3" xfId="11083"/>
    <cellStyle name="Normal 2 3 2 2 2 2 3 2 2 5" xfId="11084"/>
    <cellStyle name="Normal 2 3 2 2 2 2 3 2 2 6" xfId="11085"/>
    <cellStyle name="Normal 2 3 2 2 2 2 3 2 3" xfId="11086"/>
    <cellStyle name="Normal 2 3 2 2 2 2 3 2 3 2" xfId="11087"/>
    <cellStyle name="Normal 2 3 2 2 2 2 3 2 3 2 2" xfId="11088"/>
    <cellStyle name="Normal 2 3 2 2 2 2 3 2 3 2 3" xfId="11089"/>
    <cellStyle name="Normal 2 3 2 2 2 2 3 2 3 3" xfId="11090"/>
    <cellStyle name="Normal 2 3 2 2 2 2 3 2 3 4" xfId="11091"/>
    <cellStyle name="Normal 2 3 2 2 2 2 3 2 4" xfId="11092"/>
    <cellStyle name="Normal 2 3 2 2 2 2 3 2 4 2" xfId="11093"/>
    <cellStyle name="Normal 2 3 2 2 2 2 3 2 4 3" xfId="11094"/>
    <cellStyle name="Normal 2 3 2 2 2 2 3 2 5" xfId="11095"/>
    <cellStyle name="Normal 2 3 2 2 2 2 3 2 5 2" xfId="11096"/>
    <cellStyle name="Normal 2 3 2 2 2 2 3 2 5 3" xfId="11097"/>
    <cellStyle name="Normal 2 3 2 2 2 2 3 2 6" xfId="11098"/>
    <cellStyle name="Normal 2 3 2 2 2 2 3 2 7" xfId="11099"/>
    <cellStyle name="Normal 2 3 2 2 2 2 3 3" xfId="11100"/>
    <cellStyle name="Normal 2 3 2 2 2 2 3 3 2" xfId="11101"/>
    <cellStyle name="Normal 2 3 2 2 2 2 3 3 2 2" xfId="11102"/>
    <cellStyle name="Normal 2 3 2 2 2 2 3 3 2 2 2" xfId="11103"/>
    <cellStyle name="Normal 2 3 2 2 2 2 3 3 2 2 3" xfId="11104"/>
    <cellStyle name="Normal 2 3 2 2 2 2 3 3 2 3" xfId="11105"/>
    <cellStyle name="Normal 2 3 2 2 2 2 3 3 2 4" xfId="11106"/>
    <cellStyle name="Normal 2 3 2 2 2 2 3 3 3" xfId="11107"/>
    <cellStyle name="Normal 2 3 2 2 2 2 3 3 3 2" xfId="11108"/>
    <cellStyle name="Normal 2 3 2 2 2 2 3 3 3 3" xfId="11109"/>
    <cellStyle name="Normal 2 3 2 2 2 2 3 3 4" xfId="11110"/>
    <cellStyle name="Normal 2 3 2 2 2 2 3 3 4 2" xfId="11111"/>
    <cellStyle name="Normal 2 3 2 2 2 2 3 3 4 3" xfId="11112"/>
    <cellStyle name="Normal 2 3 2 2 2 2 3 3 5" xfId="11113"/>
    <cellStyle name="Normal 2 3 2 2 2 2 3 3 6" xfId="11114"/>
    <cellStyle name="Normal 2 3 2 2 2 2 3 4" xfId="11115"/>
    <cellStyle name="Normal 2 3 2 2 2 2 3 4 2" xfId="11116"/>
    <cellStyle name="Normal 2 3 2 2 2 2 3 4 2 2" xfId="11117"/>
    <cellStyle name="Normal 2 3 2 2 2 2 3 4 2 3" xfId="11118"/>
    <cellStyle name="Normal 2 3 2 2 2 2 3 4 3" xfId="11119"/>
    <cellStyle name="Normal 2 3 2 2 2 2 3 4 4" xfId="11120"/>
    <cellStyle name="Normal 2 3 2 2 2 2 3 5" xfId="11121"/>
    <cellStyle name="Normal 2 3 2 2 2 2 3 5 2" xfId="11122"/>
    <cellStyle name="Normal 2 3 2 2 2 2 3 5 3" xfId="11123"/>
    <cellStyle name="Normal 2 3 2 2 2 2 3 6" xfId="11124"/>
    <cellStyle name="Normal 2 3 2 2 2 2 3 6 2" xfId="11125"/>
    <cellStyle name="Normal 2 3 2 2 2 2 3 6 3" xfId="11126"/>
    <cellStyle name="Normal 2 3 2 2 2 2 3 7" xfId="11127"/>
    <cellStyle name="Normal 2 3 2 2 2 2 3 8" xfId="11128"/>
    <cellStyle name="Normal 2 3 2 2 2 2 4" xfId="11129"/>
    <cellStyle name="Normal 2 3 2 2 2 2 4 2" xfId="11130"/>
    <cellStyle name="Normal 2 3 2 2 2 2 4 2 2" xfId="11131"/>
    <cellStyle name="Normal 2 3 2 2 2 2 4 2 2 2" xfId="11132"/>
    <cellStyle name="Normal 2 3 2 2 2 2 4 2 2 2 2" xfId="11133"/>
    <cellStyle name="Normal 2 3 2 2 2 2 4 2 2 2 2 2" xfId="11134"/>
    <cellStyle name="Normal 2 3 2 2 2 2 4 2 2 2 2 3" xfId="11135"/>
    <cellStyle name="Normal 2 3 2 2 2 2 4 2 2 2 3" xfId="11136"/>
    <cellStyle name="Normal 2 3 2 2 2 2 4 2 2 2 4" xfId="11137"/>
    <cellStyle name="Normal 2 3 2 2 2 2 4 2 2 3" xfId="11138"/>
    <cellStyle name="Normal 2 3 2 2 2 2 4 2 2 3 2" xfId="11139"/>
    <cellStyle name="Normal 2 3 2 2 2 2 4 2 2 3 3" xfId="11140"/>
    <cellStyle name="Normal 2 3 2 2 2 2 4 2 2 4" xfId="11141"/>
    <cellStyle name="Normal 2 3 2 2 2 2 4 2 2 4 2" xfId="11142"/>
    <cellStyle name="Normal 2 3 2 2 2 2 4 2 2 4 3" xfId="11143"/>
    <cellStyle name="Normal 2 3 2 2 2 2 4 2 2 5" xfId="11144"/>
    <cellStyle name="Normal 2 3 2 2 2 2 4 2 2 6" xfId="11145"/>
    <cellStyle name="Normal 2 3 2 2 2 2 4 2 3" xfId="11146"/>
    <cellStyle name="Normal 2 3 2 2 2 2 4 2 3 2" xfId="11147"/>
    <cellStyle name="Normal 2 3 2 2 2 2 4 2 3 2 2" xfId="11148"/>
    <cellStyle name="Normal 2 3 2 2 2 2 4 2 3 2 3" xfId="11149"/>
    <cellStyle name="Normal 2 3 2 2 2 2 4 2 3 3" xfId="11150"/>
    <cellStyle name="Normal 2 3 2 2 2 2 4 2 3 4" xfId="11151"/>
    <cellStyle name="Normal 2 3 2 2 2 2 4 2 4" xfId="11152"/>
    <cellStyle name="Normal 2 3 2 2 2 2 4 2 4 2" xfId="11153"/>
    <cellStyle name="Normal 2 3 2 2 2 2 4 2 4 3" xfId="11154"/>
    <cellStyle name="Normal 2 3 2 2 2 2 4 2 5" xfId="11155"/>
    <cellStyle name="Normal 2 3 2 2 2 2 4 2 5 2" xfId="11156"/>
    <cellStyle name="Normal 2 3 2 2 2 2 4 2 5 3" xfId="11157"/>
    <cellStyle name="Normal 2 3 2 2 2 2 4 2 6" xfId="11158"/>
    <cellStyle name="Normal 2 3 2 2 2 2 4 2 7" xfId="11159"/>
    <cellStyle name="Normal 2 3 2 2 2 2 4 3" xfId="11160"/>
    <cellStyle name="Normal 2 3 2 2 2 2 4 3 2" xfId="11161"/>
    <cellStyle name="Normal 2 3 2 2 2 2 4 3 2 2" xfId="11162"/>
    <cellStyle name="Normal 2 3 2 2 2 2 4 3 2 2 2" xfId="11163"/>
    <cellStyle name="Normal 2 3 2 2 2 2 4 3 2 2 3" xfId="11164"/>
    <cellStyle name="Normal 2 3 2 2 2 2 4 3 2 3" xfId="11165"/>
    <cellStyle name="Normal 2 3 2 2 2 2 4 3 2 4" xfId="11166"/>
    <cellStyle name="Normal 2 3 2 2 2 2 4 3 3" xfId="11167"/>
    <cellStyle name="Normal 2 3 2 2 2 2 4 3 3 2" xfId="11168"/>
    <cellStyle name="Normal 2 3 2 2 2 2 4 3 3 3" xfId="11169"/>
    <cellStyle name="Normal 2 3 2 2 2 2 4 3 4" xfId="11170"/>
    <cellStyle name="Normal 2 3 2 2 2 2 4 3 4 2" xfId="11171"/>
    <cellStyle name="Normal 2 3 2 2 2 2 4 3 4 3" xfId="11172"/>
    <cellStyle name="Normal 2 3 2 2 2 2 4 3 5" xfId="11173"/>
    <cellStyle name="Normal 2 3 2 2 2 2 4 3 6" xfId="11174"/>
    <cellStyle name="Normal 2 3 2 2 2 2 4 4" xfId="11175"/>
    <cellStyle name="Normal 2 3 2 2 2 2 4 4 2" xfId="11176"/>
    <cellStyle name="Normal 2 3 2 2 2 2 4 4 2 2" xfId="11177"/>
    <cellStyle name="Normal 2 3 2 2 2 2 4 4 2 3" xfId="11178"/>
    <cellStyle name="Normal 2 3 2 2 2 2 4 4 3" xfId="11179"/>
    <cellStyle name="Normal 2 3 2 2 2 2 4 4 4" xfId="11180"/>
    <cellStyle name="Normal 2 3 2 2 2 2 4 5" xfId="11181"/>
    <cellStyle name="Normal 2 3 2 2 2 2 4 5 2" xfId="11182"/>
    <cellStyle name="Normal 2 3 2 2 2 2 4 5 3" xfId="11183"/>
    <cellStyle name="Normal 2 3 2 2 2 2 4 6" xfId="11184"/>
    <cellStyle name="Normal 2 3 2 2 2 2 4 6 2" xfId="11185"/>
    <cellStyle name="Normal 2 3 2 2 2 2 4 6 3" xfId="11186"/>
    <cellStyle name="Normal 2 3 2 2 2 2 4 7" xfId="11187"/>
    <cellStyle name="Normal 2 3 2 2 2 2 4 8" xfId="11188"/>
    <cellStyle name="Normal 2 3 2 2 2 2 5" xfId="11189"/>
    <cellStyle name="Normal 2 3 2 2 2 2 5 2" xfId="11190"/>
    <cellStyle name="Normal 2 3 2 2 2 2 5 2 2" xfId="11191"/>
    <cellStyle name="Normal 2 3 2 2 2 2 5 2 2 2" xfId="11192"/>
    <cellStyle name="Normal 2 3 2 2 2 2 5 2 2 2 2" xfId="11193"/>
    <cellStyle name="Normal 2 3 2 2 2 2 5 2 2 2 3" xfId="11194"/>
    <cellStyle name="Normal 2 3 2 2 2 2 5 2 2 3" xfId="11195"/>
    <cellStyle name="Normal 2 3 2 2 2 2 5 2 2 4" xfId="11196"/>
    <cellStyle name="Normal 2 3 2 2 2 2 5 2 3" xfId="11197"/>
    <cellStyle name="Normal 2 3 2 2 2 2 5 2 3 2" xfId="11198"/>
    <cellStyle name="Normal 2 3 2 2 2 2 5 2 3 3" xfId="11199"/>
    <cellStyle name="Normal 2 3 2 2 2 2 5 2 4" xfId="11200"/>
    <cellStyle name="Normal 2 3 2 2 2 2 5 2 4 2" xfId="11201"/>
    <cellStyle name="Normal 2 3 2 2 2 2 5 2 4 3" xfId="11202"/>
    <cellStyle name="Normal 2 3 2 2 2 2 5 2 5" xfId="11203"/>
    <cellStyle name="Normal 2 3 2 2 2 2 5 2 6" xfId="11204"/>
    <cellStyle name="Normal 2 3 2 2 2 2 5 3" xfId="11205"/>
    <cellStyle name="Normal 2 3 2 2 2 2 5 3 2" xfId="11206"/>
    <cellStyle name="Normal 2 3 2 2 2 2 5 3 2 2" xfId="11207"/>
    <cellStyle name="Normal 2 3 2 2 2 2 5 3 2 3" xfId="11208"/>
    <cellStyle name="Normal 2 3 2 2 2 2 5 3 3" xfId="11209"/>
    <cellStyle name="Normal 2 3 2 2 2 2 5 3 4" xfId="11210"/>
    <cellStyle name="Normal 2 3 2 2 2 2 5 4" xfId="11211"/>
    <cellStyle name="Normal 2 3 2 2 2 2 5 4 2" xfId="11212"/>
    <cellStyle name="Normal 2 3 2 2 2 2 5 4 3" xfId="11213"/>
    <cellStyle name="Normal 2 3 2 2 2 2 5 5" xfId="11214"/>
    <cellStyle name="Normal 2 3 2 2 2 2 5 5 2" xfId="11215"/>
    <cellStyle name="Normal 2 3 2 2 2 2 5 5 3" xfId="11216"/>
    <cellStyle name="Normal 2 3 2 2 2 2 5 6" xfId="11217"/>
    <cellStyle name="Normal 2 3 2 2 2 2 5 7" xfId="11218"/>
    <cellStyle name="Normal 2 3 2 2 2 2 6" xfId="11219"/>
    <cellStyle name="Normal 2 3 2 2 2 2 6 2" xfId="11220"/>
    <cellStyle name="Normal 2 3 2 2 2 2 6 2 2" xfId="11221"/>
    <cellStyle name="Normal 2 3 2 2 2 2 6 2 2 2" xfId="11222"/>
    <cellStyle name="Normal 2 3 2 2 2 2 6 2 2 3" xfId="11223"/>
    <cellStyle name="Normal 2 3 2 2 2 2 6 2 3" xfId="11224"/>
    <cellStyle name="Normal 2 3 2 2 2 2 6 2 4" xfId="11225"/>
    <cellStyle name="Normal 2 3 2 2 2 2 6 3" xfId="11226"/>
    <cellStyle name="Normal 2 3 2 2 2 2 6 3 2" xfId="11227"/>
    <cellStyle name="Normal 2 3 2 2 2 2 6 3 3" xfId="11228"/>
    <cellStyle name="Normal 2 3 2 2 2 2 6 4" xfId="11229"/>
    <cellStyle name="Normal 2 3 2 2 2 2 6 4 2" xfId="11230"/>
    <cellStyle name="Normal 2 3 2 2 2 2 6 4 3" xfId="11231"/>
    <cellStyle name="Normal 2 3 2 2 2 2 6 5" xfId="11232"/>
    <cellStyle name="Normal 2 3 2 2 2 2 6 6" xfId="11233"/>
    <cellStyle name="Normal 2 3 2 2 2 2 7" xfId="11234"/>
    <cellStyle name="Normal 2 3 2 2 2 2 7 2" xfId="11235"/>
    <cellStyle name="Normal 2 3 2 2 2 2 7 2 2" xfId="11236"/>
    <cellStyle name="Normal 2 3 2 2 2 2 7 2 3" xfId="11237"/>
    <cellStyle name="Normal 2 3 2 2 2 2 7 3" xfId="11238"/>
    <cellStyle name="Normal 2 3 2 2 2 2 7 4" xfId="11239"/>
    <cellStyle name="Normal 2 3 2 2 2 2 8" xfId="11240"/>
    <cellStyle name="Normal 2 3 2 2 2 2 8 2" xfId="11241"/>
    <cellStyle name="Normal 2 3 2 2 2 2 8 3" xfId="11242"/>
    <cellStyle name="Normal 2 3 2 2 2 2 9" xfId="11243"/>
    <cellStyle name="Normal 2 3 2 2 2 2 9 2" xfId="11244"/>
    <cellStyle name="Normal 2 3 2 2 2 2 9 3" xfId="11245"/>
    <cellStyle name="Normal 2 3 2 2 2 3" xfId="11246"/>
    <cellStyle name="Normal 2 3 2 2 2 3 2" xfId="11247"/>
    <cellStyle name="Normal 2 3 2 2 2 3 2 2" xfId="11248"/>
    <cellStyle name="Normal 2 3 2 2 2 3 2 2 2" xfId="11249"/>
    <cellStyle name="Normal 2 3 2 2 2 3 2 2 2 2" xfId="11250"/>
    <cellStyle name="Normal 2 3 2 2 2 3 2 2 2 2 2" xfId="11251"/>
    <cellStyle name="Normal 2 3 2 2 2 3 2 2 2 2 3" xfId="11252"/>
    <cellStyle name="Normal 2 3 2 2 2 3 2 2 2 3" xfId="11253"/>
    <cellStyle name="Normal 2 3 2 2 2 3 2 2 2 4" xfId="11254"/>
    <cellStyle name="Normal 2 3 2 2 2 3 2 2 3" xfId="11255"/>
    <cellStyle name="Normal 2 3 2 2 2 3 2 2 3 2" xfId="11256"/>
    <cellStyle name="Normal 2 3 2 2 2 3 2 2 3 3" xfId="11257"/>
    <cellStyle name="Normal 2 3 2 2 2 3 2 2 4" xfId="11258"/>
    <cellStyle name="Normal 2 3 2 2 2 3 2 2 4 2" xfId="11259"/>
    <cellStyle name="Normal 2 3 2 2 2 3 2 2 4 3" xfId="11260"/>
    <cellStyle name="Normal 2 3 2 2 2 3 2 2 5" xfId="11261"/>
    <cellStyle name="Normal 2 3 2 2 2 3 2 2 6" xfId="11262"/>
    <cellStyle name="Normal 2 3 2 2 2 3 2 3" xfId="11263"/>
    <cellStyle name="Normal 2 3 2 2 2 3 2 3 2" xfId="11264"/>
    <cellStyle name="Normal 2 3 2 2 2 3 2 3 2 2" xfId="11265"/>
    <cellStyle name="Normal 2 3 2 2 2 3 2 3 2 3" xfId="11266"/>
    <cellStyle name="Normal 2 3 2 2 2 3 2 3 3" xfId="11267"/>
    <cellStyle name="Normal 2 3 2 2 2 3 2 3 4" xfId="11268"/>
    <cellStyle name="Normal 2 3 2 2 2 3 2 4" xfId="11269"/>
    <cellStyle name="Normal 2 3 2 2 2 3 2 4 2" xfId="11270"/>
    <cellStyle name="Normal 2 3 2 2 2 3 2 4 3" xfId="11271"/>
    <cellStyle name="Normal 2 3 2 2 2 3 2 5" xfId="11272"/>
    <cellStyle name="Normal 2 3 2 2 2 3 2 5 2" xfId="11273"/>
    <cellStyle name="Normal 2 3 2 2 2 3 2 5 3" xfId="11274"/>
    <cellStyle name="Normal 2 3 2 2 2 3 2 6" xfId="11275"/>
    <cellStyle name="Normal 2 3 2 2 2 3 2 7" xfId="11276"/>
    <cellStyle name="Normal 2 3 2 2 2 3 3" xfId="11277"/>
    <cellStyle name="Normal 2 3 2 2 2 3 3 2" xfId="11278"/>
    <cellStyle name="Normal 2 3 2 2 2 3 3 2 2" xfId="11279"/>
    <cellStyle name="Normal 2 3 2 2 2 3 3 2 2 2" xfId="11280"/>
    <cellStyle name="Normal 2 3 2 2 2 3 3 2 2 3" xfId="11281"/>
    <cellStyle name="Normal 2 3 2 2 2 3 3 2 3" xfId="11282"/>
    <cellStyle name="Normal 2 3 2 2 2 3 3 2 4" xfId="11283"/>
    <cellStyle name="Normal 2 3 2 2 2 3 3 3" xfId="11284"/>
    <cellStyle name="Normal 2 3 2 2 2 3 3 3 2" xfId="11285"/>
    <cellStyle name="Normal 2 3 2 2 2 3 3 3 3" xfId="11286"/>
    <cellStyle name="Normal 2 3 2 2 2 3 3 4" xfId="11287"/>
    <cellStyle name="Normal 2 3 2 2 2 3 3 4 2" xfId="11288"/>
    <cellStyle name="Normal 2 3 2 2 2 3 3 4 3" xfId="11289"/>
    <cellStyle name="Normal 2 3 2 2 2 3 3 5" xfId="11290"/>
    <cellStyle name="Normal 2 3 2 2 2 3 3 6" xfId="11291"/>
    <cellStyle name="Normal 2 3 2 2 2 3 4" xfId="11292"/>
    <cellStyle name="Normal 2 3 2 2 2 3 4 2" xfId="11293"/>
    <cellStyle name="Normal 2 3 2 2 2 3 4 2 2" xfId="11294"/>
    <cellStyle name="Normal 2 3 2 2 2 3 4 2 3" xfId="11295"/>
    <cellStyle name="Normal 2 3 2 2 2 3 4 3" xfId="11296"/>
    <cellStyle name="Normal 2 3 2 2 2 3 4 4" xfId="11297"/>
    <cellStyle name="Normal 2 3 2 2 2 3 5" xfId="11298"/>
    <cellStyle name="Normal 2 3 2 2 2 3 5 2" xfId="11299"/>
    <cellStyle name="Normal 2 3 2 2 2 3 5 3" xfId="11300"/>
    <cellStyle name="Normal 2 3 2 2 2 3 6" xfId="11301"/>
    <cellStyle name="Normal 2 3 2 2 2 3 6 2" xfId="11302"/>
    <cellStyle name="Normal 2 3 2 2 2 3 6 3" xfId="11303"/>
    <cellStyle name="Normal 2 3 2 2 2 3 7" xfId="11304"/>
    <cellStyle name="Normal 2 3 2 2 2 3 8" xfId="11305"/>
    <cellStyle name="Normal 2 3 2 2 2 4" xfId="11306"/>
    <cellStyle name="Normal 2 3 2 2 2 4 2" xfId="11307"/>
    <cellStyle name="Normal 2 3 2 2 2 4 2 2" xfId="11308"/>
    <cellStyle name="Normal 2 3 2 2 2 4 2 2 2" xfId="11309"/>
    <cellStyle name="Normal 2 3 2 2 2 4 2 2 2 2" xfId="11310"/>
    <cellStyle name="Normal 2 3 2 2 2 4 2 2 2 2 2" xfId="11311"/>
    <cellStyle name="Normal 2 3 2 2 2 4 2 2 2 2 3" xfId="11312"/>
    <cellStyle name="Normal 2 3 2 2 2 4 2 2 2 3" xfId="11313"/>
    <cellStyle name="Normal 2 3 2 2 2 4 2 2 2 4" xfId="11314"/>
    <cellStyle name="Normal 2 3 2 2 2 4 2 2 3" xfId="11315"/>
    <cellStyle name="Normal 2 3 2 2 2 4 2 2 3 2" xfId="11316"/>
    <cellStyle name="Normal 2 3 2 2 2 4 2 2 3 3" xfId="11317"/>
    <cellStyle name="Normal 2 3 2 2 2 4 2 2 4" xfId="11318"/>
    <cellStyle name="Normal 2 3 2 2 2 4 2 2 4 2" xfId="11319"/>
    <cellStyle name="Normal 2 3 2 2 2 4 2 2 4 3" xfId="11320"/>
    <cellStyle name="Normal 2 3 2 2 2 4 2 2 5" xfId="11321"/>
    <cellStyle name="Normal 2 3 2 2 2 4 2 2 6" xfId="11322"/>
    <cellStyle name="Normal 2 3 2 2 2 4 2 3" xfId="11323"/>
    <cellStyle name="Normal 2 3 2 2 2 4 2 3 2" xfId="11324"/>
    <cellStyle name="Normal 2 3 2 2 2 4 2 3 2 2" xfId="11325"/>
    <cellStyle name="Normal 2 3 2 2 2 4 2 3 2 3" xfId="11326"/>
    <cellStyle name="Normal 2 3 2 2 2 4 2 3 3" xfId="11327"/>
    <cellStyle name="Normal 2 3 2 2 2 4 2 3 4" xfId="11328"/>
    <cellStyle name="Normal 2 3 2 2 2 4 2 4" xfId="11329"/>
    <cellStyle name="Normal 2 3 2 2 2 4 2 4 2" xfId="11330"/>
    <cellStyle name="Normal 2 3 2 2 2 4 2 4 3" xfId="11331"/>
    <cellStyle name="Normal 2 3 2 2 2 4 2 5" xfId="11332"/>
    <cellStyle name="Normal 2 3 2 2 2 4 2 5 2" xfId="11333"/>
    <cellStyle name="Normal 2 3 2 2 2 4 2 5 3" xfId="11334"/>
    <cellStyle name="Normal 2 3 2 2 2 4 2 6" xfId="11335"/>
    <cellStyle name="Normal 2 3 2 2 2 4 2 7" xfId="11336"/>
    <cellStyle name="Normal 2 3 2 2 2 4 3" xfId="11337"/>
    <cellStyle name="Normal 2 3 2 2 2 4 3 2" xfId="11338"/>
    <cellStyle name="Normal 2 3 2 2 2 4 3 2 2" xfId="11339"/>
    <cellStyle name="Normal 2 3 2 2 2 4 3 2 2 2" xfId="11340"/>
    <cellStyle name="Normal 2 3 2 2 2 4 3 2 2 3" xfId="11341"/>
    <cellStyle name="Normal 2 3 2 2 2 4 3 2 3" xfId="11342"/>
    <cellStyle name="Normal 2 3 2 2 2 4 3 2 4" xfId="11343"/>
    <cellStyle name="Normal 2 3 2 2 2 4 3 3" xfId="11344"/>
    <cellStyle name="Normal 2 3 2 2 2 4 3 3 2" xfId="11345"/>
    <cellStyle name="Normal 2 3 2 2 2 4 3 3 3" xfId="11346"/>
    <cellStyle name="Normal 2 3 2 2 2 4 3 4" xfId="11347"/>
    <cellStyle name="Normal 2 3 2 2 2 4 3 4 2" xfId="11348"/>
    <cellStyle name="Normal 2 3 2 2 2 4 3 4 3" xfId="11349"/>
    <cellStyle name="Normal 2 3 2 2 2 4 3 5" xfId="11350"/>
    <cellStyle name="Normal 2 3 2 2 2 4 3 6" xfId="11351"/>
    <cellStyle name="Normal 2 3 2 2 2 4 4" xfId="11352"/>
    <cellStyle name="Normal 2 3 2 2 2 4 4 2" xfId="11353"/>
    <cellStyle name="Normal 2 3 2 2 2 4 4 2 2" xfId="11354"/>
    <cellStyle name="Normal 2 3 2 2 2 4 4 2 3" xfId="11355"/>
    <cellStyle name="Normal 2 3 2 2 2 4 4 3" xfId="11356"/>
    <cellStyle name="Normal 2 3 2 2 2 4 4 4" xfId="11357"/>
    <cellStyle name="Normal 2 3 2 2 2 4 5" xfId="11358"/>
    <cellStyle name="Normal 2 3 2 2 2 4 5 2" xfId="11359"/>
    <cellStyle name="Normal 2 3 2 2 2 4 5 3" xfId="11360"/>
    <cellStyle name="Normal 2 3 2 2 2 4 6" xfId="11361"/>
    <cellStyle name="Normal 2 3 2 2 2 4 6 2" xfId="11362"/>
    <cellStyle name="Normal 2 3 2 2 2 4 6 3" xfId="11363"/>
    <cellStyle name="Normal 2 3 2 2 2 4 7" xfId="11364"/>
    <cellStyle name="Normal 2 3 2 2 2 4 8" xfId="11365"/>
    <cellStyle name="Normal 2 3 2 2 2 5" xfId="11366"/>
    <cellStyle name="Normal 2 3 2 2 2 5 2" xfId="11367"/>
    <cellStyle name="Normal 2 3 2 2 2 5 2 2" xfId="11368"/>
    <cellStyle name="Normal 2 3 2 2 2 5 2 2 2" xfId="11369"/>
    <cellStyle name="Normal 2 3 2 2 2 5 2 2 2 2" xfId="11370"/>
    <cellStyle name="Normal 2 3 2 2 2 5 2 2 2 2 2" xfId="11371"/>
    <cellStyle name="Normal 2 3 2 2 2 5 2 2 2 2 3" xfId="11372"/>
    <cellStyle name="Normal 2 3 2 2 2 5 2 2 2 3" xfId="11373"/>
    <cellStyle name="Normal 2 3 2 2 2 5 2 2 2 4" xfId="11374"/>
    <cellStyle name="Normal 2 3 2 2 2 5 2 2 3" xfId="11375"/>
    <cellStyle name="Normal 2 3 2 2 2 5 2 2 3 2" xfId="11376"/>
    <cellStyle name="Normal 2 3 2 2 2 5 2 2 3 3" xfId="11377"/>
    <cellStyle name="Normal 2 3 2 2 2 5 2 2 4" xfId="11378"/>
    <cellStyle name="Normal 2 3 2 2 2 5 2 2 4 2" xfId="11379"/>
    <cellStyle name="Normal 2 3 2 2 2 5 2 2 4 3" xfId="11380"/>
    <cellStyle name="Normal 2 3 2 2 2 5 2 2 5" xfId="11381"/>
    <cellStyle name="Normal 2 3 2 2 2 5 2 2 6" xfId="11382"/>
    <cellStyle name="Normal 2 3 2 2 2 5 2 3" xfId="11383"/>
    <cellStyle name="Normal 2 3 2 2 2 5 2 3 2" xfId="11384"/>
    <cellStyle name="Normal 2 3 2 2 2 5 2 3 2 2" xfId="11385"/>
    <cellStyle name="Normal 2 3 2 2 2 5 2 3 2 3" xfId="11386"/>
    <cellStyle name="Normal 2 3 2 2 2 5 2 3 3" xfId="11387"/>
    <cellStyle name="Normal 2 3 2 2 2 5 2 3 4" xfId="11388"/>
    <cellStyle name="Normal 2 3 2 2 2 5 2 4" xfId="11389"/>
    <cellStyle name="Normal 2 3 2 2 2 5 2 4 2" xfId="11390"/>
    <cellStyle name="Normal 2 3 2 2 2 5 2 4 3" xfId="11391"/>
    <cellStyle name="Normal 2 3 2 2 2 5 2 5" xfId="11392"/>
    <cellStyle name="Normal 2 3 2 2 2 5 2 5 2" xfId="11393"/>
    <cellStyle name="Normal 2 3 2 2 2 5 2 5 3" xfId="11394"/>
    <cellStyle name="Normal 2 3 2 2 2 5 2 6" xfId="11395"/>
    <cellStyle name="Normal 2 3 2 2 2 5 2 7" xfId="11396"/>
    <cellStyle name="Normal 2 3 2 2 2 5 3" xfId="11397"/>
    <cellStyle name="Normal 2 3 2 2 2 5 3 2" xfId="11398"/>
    <cellStyle name="Normal 2 3 2 2 2 5 3 2 2" xfId="11399"/>
    <cellStyle name="Normal 2 3 2 2 2 5 3 2 2 2" xfId="11400"/>
    <cellStyle name="Normal 2 3 2 2 2 5 3 2 2 3" xfId="11401"/>
    <cellStyle name="Normal 2 3 2 2 2 5 3 2 3" xfId="11402"/>
    <cellStyle name="Normal 2 3 2 2 2 5 3 2 4" xfId="11403"/>
    <cellStyle name="Normal 2 3 2 2 2 5 3 3" xfId="11404"/>
    <cellStyle name="Normal 2 3 2 2 2 5 3 3 2" xfId="11405"/>
    <cellStyle name="Normal 2 3 2 2 2 5 3 3 3" xfId="11406"/>
    <cellStyle name="Normal 2 3 2 2 2 5 3 4" xfId="11407"/>
    <cellStyle name="Normal 2 3 2 2 2 5 3 4 2" xfId="11408"/>
    <cellStyle name="Normal 2 3 2 2 2 5 3 4 3" xfId="11409"/>
    <cellStyle name="Normal 2 3 2 2 2 5 3 5" xfId="11410"/>
    <cellStyle name="Normal 2 3 2 2 2 5 3 6" xfId="11411"/>
    <cellStyle name="Normal 2 3 2 2 2 5 4" xfId="11412"/>
    <cellStyle name="Normal 2 3 2 2 2 5 4 2" xfId="11413"/>
    <cellStyle name="Normal 2 3 2 2 2 5 4 2 2" xfId="11414"/>
    <cellStyle name="Normal 2 3 2 2 2 5 4 2 3" xfId="11415"/>
    <cellStyle name="Normal 2 3 2 2 2 5 4 3" xfId="11416"/>
    <cellStyle name="Normal 2 3 2 2 2 5 4 4" xfId="11417"/>
    <cellStyle name="Normal 2 3 2 2 2 5 5" xfId="11418"/>
    <cellStyle name="Normal 2 3 2 2 2 5 5 2" xfId="11419"/>
    <cellStyle name="Normal 2 3 2 2 2 5 5 3" xfId="11420"/>
    <cellStyle name="Normal 2 3 2 2 2 5 6" xfId="11421"/>
    <cellStyle name="Normal 2 3 2 2 2 5 6 2" xfId="11422"/>
    <cellStyle name="Normal 2 3 2 2 2 5 6 3" xfId="11423"/>
    <cellStyle name="Normal 2 3 2 2 2 5 7" xfId="11424"/>
    <cellStyle name="Normal 2 3 2 2 2 5 8" xfId="11425"/>
    <cellStyle name="Normal 2 3 2 2 2 6" xfId="11426"/>
    <cellStyle name="Normal 2 3 2 2 2 6 2" xfId="11427"/>
    <cellStyle name="Normal 2 3 2 2 2 6 2 2" xfId="11428"/>
    <cellStyle name="Normal 2 3 2 2 2 6 2 2 2" xfId="11429"/>
    <cellStyle name="Normal 2 3 2 2 2 6 2 2 2 2" xfId="11430"/>
    <cellStyle name="Normal 2 3 2 2 2 6 2 2 2 3" xfId="11431"/>
    <cellStyle name="Normal 2 3 2 2 2 6 2 2 3" xfId="11432"/>
    <cellStyle name="Normal 2 3 2 2 2 6 2 2 4" xfId="11433"/>
    <cellStyle name="Normal 2 3 2 2 2 6 2 3" xfId="11434"/>
    <cellStyle name="Normal 2 3 2 2 2 6 2 3 2" xfId="11435"/>
    <cellStyle name="Normal 2 3 2 2 2 6 2 3 3" xfId="11436"/>
    <cellStyle name="Normal 2 3 2 2 2 6 2 4" xfId="11437"/>
    <cellStyle name="Normal 2 3 2 2 2 6 2 4 2" xfId="11438"/>
    <cellStyle name="Normal 2 3 2 2 2 6 2 4 3" xfId="11439"/>
    <cellStyle name="Normal 2 3 2 2 2 6 2 5" xfId="11440"/>
    <cellStyle name="Normal 2 3 2 2 2 6 2 6" xfId="11441"/>
    <cellStyle name="Normal 2 3 2 2 2 6 3" xfId="11442"/>
    <cellStyle name="Normal 2 3 2 2 2 6 3 2" xfId="11443"/>
    <cellStyle name="Normal 2 3 2 2 2 6 3 2 2" xfId="11444"/>
    <cellStyle name="Normal 2 3 2 2 2 6 3 2 3" xfId="11445"/>
    <cellStyle name="Normal 2 3 2 2 2 6 3 3" xfId="11446"/>
    <cellStyle name="Normal 2 3 2 2 2 6 3 4" xfId="11447"/>
    <cellStyle name="Normal 2 3 2 2 2 6 4" xfId="11448"/>
    <cellStyle name="Normal 2 3 2 2 2 6 4 2" xfId="11449"/>
    <cellStyle name="Normal 2 3 2 2 2 6 4 3" xfId="11450"/>
    <cellStyle name="Normal 2 3 2 2 2 6 5" xfId="11451"/>
    <cellStyle name="Normal 2 3 2 2 2 6 5 2" xfId="11452"/>
    <cellStyle name="Normal 2 3 2 2 2 6 5 3" xfId="11453"/>
    <cellStyle name="Normal 2 3 2 2 2 6 6" xfId="11454"/>
    <cellStyle name="Normal 2 3 2 2 2 6 7" xfId="11455"/>
    <cellStyle name="Normal 2 3 2 2 2 7" xfId="11456"/>
    <cellStyle name="Normal 2 3 2 2 2 7 2" xfId="11457"/>
    <cellStyle name="Normal 2 3 2 2 2 7 2 2" xfId="11458"/>
    <cellStyle name="Normal 2 3 2 2 2 7 2 2 2" xfId="11459"/>
    <cellStyle name="Normal 2 3 2 2 2 7 2 2 3" xfId="11460"/>
    <cellStyle name="Normal 2 3 2 2 2 7 2 3" xfId="11461"/>
    <cellStyle name="Normal 2 3 2 2 2 7 2 4" xfId="11462"/>
    <cellStyle name="Normal 2 3 2 2 2 7 3" xfId="11463"/>
    <cellStyle name="Normal 2 3 2 2 2 7 3 2" xfId="11464"/>
    <cellStyle name="Normal 2 3 2 2 2 7 3 3" xfId="11465"/>
    <cellStyle name="Normal 2 3 2 2 2 7 4" xfId="11466"/>
    <cellStyle name="Normal 2 3 2 2 2 7 4 2" xfId="11467"/>
    <cellStyle name="Normal 2 3 2 2 2 7 4 3" xfId="11468"/>
    <cellStyle name="Normal 2 3 2 2 2 7 5" xfId="11469"/>
    <cellStyle name="Normal 2 3 2 2 2 7 6" xfId="11470"/>
    <cellStyle name="Normal 2 3 2 2 2 8" xfId="11471"/>
    <cellStyle name="Normal 2 3 2 2 2 8 2" xfId="11472"/>
    <cellStyle name="Normal 2 3 2 2 2 8 2 2" xfId="11473"/>
    <cellStyle name="Normal 2 3 2 2 2 8 2 3" xfId="11474"/>
    <cellStyle name="Normal 2 3 2 2 2 8 3" xfId="11475"/>
    <cellStyle name="Normal 2 3 2 2 2 8 4" xfId="11476"/>
    <cellStyle name="Normal 2 3 2 2 2 9" xfId="11477"/>
    <cellStyle name="Normal 2 3 2 2 2 9 2" xfId="11478"/>
    <cellStyle name="Normal 2 3 2 2 2 9 3" xfId="11479"/>
    <cellStyle name="Normal 2 3 2 2 3" xfId="11480"/>
    <cellStyle name="Normal 2 3 2 2 3 10" xfId="11481"/>
    <cellStyle name="Normal 2 3 2 2 3 11" xfId="11482"/>
    <cellStyle name="Normal 2 3 2 2 3 2" xfId="11483"/>
    <cellStyle name="Normal 2 3 2 2 3 2 2" xfId="11484"/>
    <cellStyle name="Normal 2 3 2 2 3 2 2 2" xfId="11485"/>
    <cellStyle name="Normal 2 3 2 2 3 2 2 2 2" xfId="11486"/>
    <cellStyle name="Normal 2 3 2 2 3 2 2 2 2 2" xfId="11487"/>
    <cellStyle name="Normal 2 3 2 2 3 2 2 2 2 2 2" xfId="11488"/>
    <cellStyle name="Normal 2 3 2 2 3 2 2 2 2 2 3" xfId="11489"/>
    <cellStyle name="Normal 2 3 2 2 3 2 2 2 2 3" xfId="11490"/>
    <cellStyle name="Normal 2 3 2 2 3 2 2 2 2 4" xfId="11491"/>
    <cellStyle name="Normal 2 3 2 2 3 2 2 2 3" xfId="11492"/>
    <cellStyle name="Normal 2 3 2 2 3 2 2 2 3 2" xfId="11493"/>
    <cellStyle name="Normal 2 3 2 2 3 2 2 2 3 3" xfId="11494"/>
    <cellStyle name="Normal 2 3 2 2 3 2 2 2 4" xfId="11495"/>
    <cellStyle name="Normal 2 3 2 2 3 2 2 2 4 2" xfId="11496"/>
    <cellStyle name="Normal 2 3 2 2 3 2 2 2 4 3" xfId="11497"/>
    <cellStyle name="Normal 2 3 2 2 3 2 2 2 5" xfId="11498"/>
    <cellStyle name="Normal 2 3 2 2 3 2 2 2 6" xfId="11499"/>
    <cellStyle name="Normal 2 3 2 2 3 2 2 3" xfId="11500"/>
    <cellStyle name="Normal 2 3 2 2 3 2 2 3 2" xfId="11501"/>
    <cellStyle name="Normal 2 3 2 2 3 2 2 3 2 2" xfId="11502"/>
    <cellStyle name="Normal 2 3 2 2 3 2 2 3 2 3" xfId="11503"/>
    <cellStyle name="Normal 2 3 2 2 3 2 2 3 3" xfId="11504"/>
    <cellStyle name="Normal 2 3 2 2 3 2 2 3 4" xfId="11505"/>
    <cellStyle name="Normal 2 3 2 2 3 2 2 4" xfId="11506"/>
    <cellStyle name="Normal 2 3 2 2 3 2 2 4 2" xfId="11507"/>
    <cellStyle name="Normal 2 3 2 2 3 2 2 4 3" xfId="11508"/>
    <cellStyle name="Normal 2 3 2 2 3 2 2 5" xfId="11509"/>
    <cellStyle name="Normal 2 3 2 2 3 2 2 5 2" xfId="11510"/>
    <cellStyle name="Normal 2 3 2 2 3 2 2 5 3" xfId="11511"/>
    <cellStyle name="Normal 2 3 2 2 3 2 2 6" xfId="11512"/>
    <cellStyle name="Normal 2 3 2 2 3 2 2 7" xfId="11513"/>
    <cellStyle name="Normal 2 3 2 2 3 2 3" xfId="11514"/>
    <cellStyle name="Normal 2 3 2 2 3 2 3 2" xfId="11515"/>
    <cellStyle name="Normal 2 3 2 2 3 2 3 2 2" xfId="11516"/>
    <cellStyle name="Normal 2 3 2 2 3 2 3 2 2 2" xfId="11517"/>
    <cellStyle name="Normal 2 3 2 2 3 2 3 2 2 3" xfId="11518"/>
    <cellStyle name="Normal 2 3 2 2 3 2 3 2 3" xfId="11519"/>
    <cellStyle name="Normal 2 3 2 2 3 2 3 2 4" xfId="11520"/>
    <cellStyle name="Normal 2 3 2 2 3 2 3 3" xfId="11521"/>
    <cellStyle name="Normal 2 3 2 2 3 2 3 3 2" xfId="11522"/>
    <cellStyle name="Normal 2 3 2 2 3 2 3 3 3" xfId="11523"/>
    <cellStyle name="Normal 2 3 2 2 3 2 3 4" xfId="11524"/>
    <cellStyle name="Normal 2 3 2 2 3 2 3 4 2" xfId="11525"/>
    <cellStyle name="Normal 2 3 2 2 3 2 3 4 3" xfId="11526"/>
    <cellStyle name="Normal 2 3 2 2 3 2 3 5" xfId="11527"/>
    <cellStyle name="Normal 2 3 2 2 3 2 3 6" xfId="11528"/>
    <cellStyle name="Normal 2 3 2 2 3 2 4" xfId="11529"/>
    <cellStyle name="Normal 2 3 2 2 3 2 4 2" xfId="11530"/>
    <cellStyle name="Normal 2 3 2 2 3 2 4 2 2" xfId="11531"/>
    <cellStyle name="Normal 2 3 2 2 3 2 4 2 3" xfId="11532"/>
    <cellStyle name="Normal 2 3 2 2 3 2 4 3" xfId="11533"/>
    <cellStyle name="Normal 2 3 2 2 3 2 4 4" xfId="11534"/>
    <cellStyle name="Normal 2 3 2 2 3 2 5" xfId="11535"/>
    <cellStyle name="Normal 2 3 2 2 3 2 5 2" xfId="11536"/>
    <cellStyle name="Normal 2 3 2 2 3 2 5 3" xfId="11537"/>
    <cellStyle name="Normal 2 3 2 2 3 2 6" xfId="11538"/>
    <cellStyle name="Normal 2 3 2 2 3 2 6 2" xfId="11539"/>
    <cellStyle name="Normal 2 3 2 2 3 2 6 3" xfId="11540"/>
    <cellStyle name="Normal 2 3 2 2 3 2 7" xfId="11541"/>
    <cellStyle name="Normal 2 3 2 2 3 2 8" xfId="11542"/>
    <cellStyle name="Normal 2 3 2 2 3 3" xfId="11543"/>
    <cellStyle name="Normal 2 3 2 2 3 3 2" xfId="11544"/>
    <cellStyle name="Normal 2 3 2 2 3 3 2 2" xfId="11545"/>
    <cellStyle name="Normal 2 3 2 2 3 3 2 2 2" xfId="11546"/>
    <cellStyle name="Normal 2 3 2 2 3 3 2 2 2 2" xfId="11547"/>
    <cellStyle name="Normal 2 3 2 2 3 3 2 2 2 2 2" xfId="11548"/>
    <cellStyle name="Normal 2 3 2 2 3 3 2 2 2 2 3" xfId="11549"/>
    <cellStyle name="Normal 2 3 2 2 3 3 2 2 2 3" xfId="11550"/>
    <cellStyle name="Normal 2 3 2 2 3 3 2 2 2 4" xfId="11551"/>
    <cellStyle name="Normal 2 3 2 2 3 3 2 2 3" xfId="11552"/>
    <cellStyle name="Normal 2 3 2 2 3 3 2 2 3 2" xfId="11553"/>
    <cellStyle name="Normal 2 3 2 2 3 3 2 2 3 3" xfId="11554"/>
    <cellStyle name="Normal 2 3 2 2 3 3 2 2 4" xfId="11555"/>
    <cellStyle name="Normal 2 3 2 2 3 3 2 2 4 2" xfId="11556"/>
    <cellStyle name="Normal 2 3 2 2 3 3 2 2 4 3" xfId="11557"/>
    <cellStyle name="Normal 2 3 2 2 3 3 2 2 5" xfId="11558"/>
    <cellStyle name="Normal 2 3 2 2 3 3 2 2 6" xfId="11559"/>
    <cellStyle name="Normal 2 3 2 2 3 3 2 3" xfId="11560"/>
    <cellStyle name="Normal 2 3 2 2 3 3 2 3 2" xfId="11561"/>
    <cellStyle name="Normal 2 3 2 2 3 3 2 3 2 2" xfId="11562"/>
    <cellStyle name="Normal 2 3 2 2 3 3 2 3 2 3" xfId="11563"/>
    <cellStyle name="Normal 2 3 2 2 3 3 2 3 3" xfId="11564"/>
    <cellStyle name="Normal 2 3 2 2 3 3 2 3 4" xfId="11565"/>
    <cellStyle name="Normal 2 3 2 2 3 3 2 4" xfId="11566"/>
    <cellStyle name="Normal 2 3 2 2 3 3 2 4 2" xfId="11567"/>
    <cellStyle name="Normal 2 3 2 2 3 3 2 4 3" xfId="11568"/>
    <cellStyle name="Normal 2 3 2 2 3 3 2 5" xfId="11569"/>
    <cellStyle name="Normal 2 3 2 2 3 3 2 5 2" xfId="11570"/>
    <cellStyle name="Normal 2 3 2 2 3 3 2 5 3" xfId="11571"/>
    <cellStyle name="Normal 2 3 2 2 3 3 2 6" xfId="11572"/>
    <cellStyle name="Normal 2 3 2 2 3 3 2 7" xfId="11573"/>
    <cellStyle name="Normal 2 3 2 2 3 3 3" xfId="11574"/>
    <cellStyle name="Normal 2 3 2 2 3 3 3 2" xfId="11575"/>
    <cellStyle name="Normal 2 3 2 2 3 3 3 2 2" xfId="11576"/>
    <cellStyle name="Normal 2 3 2 2 3 3 3 2 2 2" xfId="11577"/>
    <cellStyle name="Normal 2 3 2 2 3 3 3 2 2 3" xfId="11578"/>
    <cellStyle name="Normal 2 3 2 2 3 3 3 2 3" xfId="11579"/>
    <cellStyle name="Normal 2 3 2 2 3 3 3 2 4" xfId="11580"/>
    <cellStyle name="Normal 2 3 2 2 3 3 3 3" xfId="11581"/>
    <cellStyle name="Normal 2 3 2 2 3 3 3 3 2" xfId="11582"/>
    <cellStyle name="Normal 2 3 2 2 3 3 3 3 3" xfId="11583"/>
    <cellStyle name="Normal 2 3 2 2 3 3 3 4" xfId="11584"/>
    <cellStyle name="Normal 2 3 2 2 3 3 3 4 2" xfId="11585"/>
    <cellStyle name="Normal 2 3 2 2 3 3 3 4 3" xfId="11586"/>
    <cellStyle name="Normal 2 3 2 2 3 3 3 5" xfId="11587"/>
    <cellStyle name="Normal 2 3 2 2 3 3 3 6" xfId="11588"/>
    <cellStyle name="Normal 2 3 2 2 3 3 4" xfId="11589"/>
    <cellStyle name="Normal 2 3 2 2 3 3 4 2" xfId="11590"/>
    <cellStyle name="Normal 2 3 2 2 3 3 4 2 2" xfId="11591"/>
    <cellStyle name="Normal 2 3 2 2 3 3 4 2 3" xfId="11592"/>
    <cellStyle name="Normal 2 3 2 2 3 3 4 3" xfId="11593"/>
    <cellStyle name="Normal 2 3 2 2 3 3 4 4" xfId="11594"/>
    <cellStyle name="Normal 2 3 2 2 3 3 5" xfId="11595"/>
    <cellStyle name="Normal 2 3 2 2 3 3 5 2" xfId="11596"/>
    <cellStyle name="Normal 2 3 2 2 3 3 5 3" xfId="11597"/>
    <cellStyle name="Normal 2 3 2 2 3 3 6" xfId="11598"/>
    <cellStyle name="Normal 2 3 2 2 3 3 6 2" xfId="11599"/>
    <cellStyle name="Normal 2 3 2 2 3 3 6 3" xfId="11600"/>
    <cellStyle name="Normal 2 3 2 2 3 3 7" xfId="11601"/>
    <cellStyle name="Normal 2 3 2 2 3 3 8" xfId="11602"/>
    <cellStyle name="Normal 2 3 2 2 3 4" xfId="11603"/>
    <cellStyle name="Normal 2 3 2 2 3 4 2" xfId="11604"/>
    <cellStyle name="Normal 2 3 2 2 3 4 2 2" xfId="11605"/>
    <cellStyle name="Normal 2 3 2 2 3 4 2 2 2" xfId="11606"/>
    <cellStyle name="Normal 2 3 2 2 3 4 2 2 2 2" xfId="11607"/>
    <cellStyle name="Normal 2 3 2 2 3 4 2 2 2 2 2" xfId="11608"/>
    <cellStyle name="Normal 2 3 2 2 3 4 2 2 2 2 3" xfId="11609"/>
    <cellStyle name="Normal 2 3 2 2 3 4 2 2 2 3" xfId="11610"/>
    <cellStyle name="Normal 2 3 2 2 3 4 2 2 2 4" xfId="11611"/>
    <cellStyle name="Normal 2 3 2 2 3 4 2 2 3" xfId="11612"/>
    <cellStyle name="Normal 2 3 2 2 3 4 2 2 3 2" xfId="11613"/>
    <cellStyle name="Normal 2 3 2 2 3 4 2 2 3 3" xfId="11614"/>
    <cellStyle name="Normal 2 3 2 2 3 4 2 2 4" xfId="11615"/>
    <cellStyle name="Normal 2 3 2 2 3 4 2 2 4 2" xfId="11616"/>
    <cellStyle name="Normal 2 3 2 2 3 4 2 2 4 3" xfId="11617"/>
    <cellStyle name="Normal 2 3 2 2 3 4 2 2 5" xfId="11618"/>
    <cellStyle name="Normal 2 3 2 2 3 4 2 2 6" xfId="11619"/>
    <cellStyle name="Normal 2 3 2 2 3 4 2 3" xfId="11620"/>
    <cellStyle name="Normal 2 3 2 2 3 4 2 3 2" xfId="11621"/>
    <cellStyle name="Normal 2 3 2 2 3 4 2 3 2 2" xfId="11622"/>
    <cellStyle name="Normal 2 3 2 2 3 4 2 3 2 3" xfId="11623"/>
    <cellStyle name="Normal 2 3 2 2 3 4 2 3 3" xfId="11624"/>
    <cellStyle name="Normal 2 3 2 2 3 4 2 3 4" xfId="11625"/>
    <cellStyle name="Normal 2 3 2 2 3 4 2 4" xfId="11626"/>
    <cellStyle name="Normal 2 3 2 2 3 4 2 4 2" xfId="11627"/>
    <cellStyle name="Normal 2 3 2 2 3 4 2 4 3" xfId="11628"/>
    <cellStyle name="Normal 2 3 2 2 3 4 2 5" xfId="11629"/>
    <cellStyle name="Normal 2 3 2 2 3 4 2 5 2" xfId="11630"/>
    <cellStyle name="Normal 2 3 2 2 3 4 2 5 3" xfId="11631"/>
    <cellStyle name="Normal 2 3 2 2 3 4 2 6" xfId="11632"/>
    <cellStyle name="Normal 2 3 2 2 3 4 2 7" xfId="11633"/>
    <cellStyle name="Normal 2 3 2 2 3 4 3" xfId="11634"/>
    <cellStyle name="Normal 2 3 2 2 3 4 3 2" xfId="11635"/>
    <cellStyle name="Normal 2 3 2 2 3 4 3 2 2" xfId="11636"/>
    <cellStyle name="Normal 2 3 2 2 3 4 3 2 2 2" xfId="11637"/>
    <cellStyle name="Normal 2 3 2 2 3 4 3 2 2 3" xfId="11638"/>
    <cellStyle name="Normal 2 3 2 2 3 4 3 2 3" xfId="11639"/>
    <cellStyle name="Normal 2 3 2 2 3 4 3 2 4" xfId="11640"/>
    <cellStyle name="Normal 2 3 2 2 3 4 3 3" xfId="11641"/>
    <cellStyle name="Normal 2 3 2 2 3 4 3 3 2" xfId="11642"/>
    <cellStyle name="Normal 2 3 2 2 3 4 3 3 3" xfId="11643"/>
    <cellStyle name="Normal 2 3 2 2 3 4 3 4" xfId="11644"/>
    <cellStyle name="Normal 2 3 2 2 3 4 3 4 2" xfId="11645"/>
    <cellStyle name="Normal 2 3 2 2 3 4 3 4 3" xfId="11646"/>
    <cellStyle name="Normal 2 3 2 2 3 4 3 5" xfId="11647"/>
    <cellStyle name="Normal 2 3 2 2 3 4 3 6" xfId="11648"/>
    <cellStyle name="Normal 2 3 2 2 3 4 4" xfId="11649"/>
    <cellStyle name="Normal 2 3 2 2 3 4 4 2" xfId="11650"/>
    <cellStyle name="Normal 2 3 2 2 3 4 4 2 2" xfId="11651"/>
    <cellStyle name="Normal 2 3 2 2 3 4 4 2 3" xfId="11652"/>
    <cellStyle name="Normal 2 3 2 2 3 4 4 3" xfId="11653"/>
    <cellStyle name="Normal 2 3 2 2 3 4 4 4" xfId="11654"/>
    <cellStyle name="Normal 2 3 2 2 3 4 5" xfId="11655"/>
    <cellStyle name="Normal 2 3 2 2 3 4 5 2" xfId="11656"/>
    <cellStyle name="Normal 2 3 2 2 3 4 5 3" xfId="11657"/>
    <cellStyle name="Normal 2 3 2 2 3 4 6" xfId="11658"/>
    <cellStyle name="Normal 2 3 2 2 3 4 6 2" xfId="11659"/>
    <cellStyle name="Normal 2 3 2 2 3 4 6 3" xfId="11660"/>
    <cellStyle name="Normal 2 3 2 2 3 4 7" xfId="11661"/>
    <cellStyle name="Normal 2 3 2 2 3 4 8" xfId="11662"/>
    <cellStyle name="Normal 2 3 2 2 3 5" xfId="11663"/>
    <cellStyle name="Normal 2 3 2 2 3 5 2" xfId="11664"/>
    <cellStyle name="Normal 2 3 2 2 3 5 2 2" xfId="11665"/>
    <cellStyle name="Normal 2 3 2 2 3 5 2 2 2" xfId="11666"/>
    <cellStyle name="Normal 2 3 2 2 3 5 2 2 2 2" xfId="11667"/>
    <cellStyle name="Normal 2 3 2 2 3 5 2 2 2 3" xfId="11668"/>
    <cellStyle name="Normal 2 3 2 2 3 5 2 2 3" xfId="11669"/>
    <cellStyle name="Normal 2 3 2 2 3 5 2 2 4" xfId="11670"/>
    <cellStyle name="Normal 2 3 2 2 3 5 2 3" xfId="11671"/>
    <cellStyle name="Normal 2 3 2 2 3 5 2 3 2" xfId="11672"/>
    <cellStyle name="Normal 2 3 2 2 3 5 2 3 3" xfId="11673"/>
    <cellStyle name="Normal 2 3 2 2 3 5 2 4" xfId="11674"/>
    <cellStyle name="Normal 2 3 2 2 3 5 2 4 2" xfId="11675"/>
    <cellStyle name="Normal 2 3 2 2 3 5 2 4 3" xfId="11676"/>
    <cellStyle name="Normal 2 3 2 2 3 5 2 5" xfId="11677"/>
    <cellStyle name="Normal 2 3 2 2 3 5 2 6" xfId="11678"/>
    <cellStyle name="Normal 2 3 2 2 3 5 3" xfId="11679"/>
    <cellStyle name="Normal 2 3 2 2 3 5 3 2" xfId="11680"/>
    <cellStyle name="Normal 2 3 2 2 3 5 3 2 2" xfId="11681"/>
    <cellStyle name="Normal 2 3 2 2 3 5 3 2 3" xfId="11682"/>
    <cellStyle name="Normal 2 3 2 2 3 5 3 3" xfId="11683"/>
    <cellStyle name="Normal 2 3 2 2 3 5 3 4" xfId="11684"/>
    <cellStyle name="Normal 2 3 2 2 3 5 4" xfId="11685"/>
    <cellStyle name="Normal 2 3 2 2 3 5 4 2" xfId="11686"/>
    <cellStyle name="Normal 2 3 2 2 3 5 4 3" xfId="11687"/>
    <cellStyle name="Normal 2 3 2 2 3 5 5" xfId="11688"/>
    <cellStyle name="Normal 2 3 2 2 3 5 5 2" xfId="11689"/>
    <cellStyle name="Normal 2 3 2 2 3 5 5 3" xfId="11690"/>
    <cellStyle name="Normal 2 3 2 2 3 5 6" xfId="11691"/>
    <cellStyle name="Normal 2 3 2 2 3 5 7" xfId="11692"/>
    <cellStyle name="Normal 2 3 2 2 3 6" xfId="11693"/>
    <cellStyle name="Normal 2 3 2 2 3 6 2" xfId="11694"/>
    <cellStyle name="Normal 2 3 2 2 3 6 2 2" xfId="11695"/>
    <cellStyle name="Normal 2 3 2 2 3 6 2 2 2" xfId="11696"/>
    <cellStyle name="Normal 2 3 2 2 3 6 2 2 3" xfId="11697"/>
    <cellStyle name="Normal 2 3 2 2 3 6 2 3" xfId="11698"/>
    <cellStyle name="Normal 2 3 2 2 3 6 2 4" xfId="11699"/>
    <cellStyle name="Normal 2 3 2 2 3 6 3" xfId="11700"/>
    <cellStyle name="Normal 2 3 2 2 3 6 3 2" xfId="11701"/>
    <cellStyle name="Normal 2 3 2 2 3 6 3 3" xfId="11702"/>
    <cellStyle name="Normal 2 3 2 2 3 6 4" xfId="11703"/>
    <cellStyle name="Normal 2 3 2 2 3 6 4 2" xfId="11704"/>
    <cellStyle name="Normal 2 3 2 2 3 6 4 3" xfId="11705"/>
    <cellStyle name="Normal 2 3 2 2 3 6 5" xfId="11706"/>
    <cellStyle name="Normal 2 3 2 2 3 6 6" xfId="11707"/>
    <cellStyle name="Normal 2 3 2 2 3 7" xfId="11708"/>
    <cellStyle name="Normal 2 3 2 2 3 7 2" xfId="11709"/>
    <cellStyle name="Normal 2 3 2 2 3 7 2 2" xfId="11710"/>
    <cellStyle name="Normal 2 3 2 2 3 7 2 3" xfId="11711"/>
    <cellStyle name="Normal 2 3 2 2 3 7 3" xfId="11712"/>
    <cellStyle name="Normal 2 3 2 2 3 7 4" xfId="11713"/>
    <cellStyle name="Normal 2 3 2 2 3 8" xfId="11714"/>
    <cellStyle name="Normal 2 3 2 2 3 8 2" xfId="11715"/>
    <cellStyle name="Normal 2 3 2 2 3 8 3" xfId="11716"/>
    <cellStyle name="Normal 2 3 2 2 3 9" xfId="11717"/>
    <cellStyle name="Normal 2 3 2 2 3 9 2" xfId="11718"/>
    <cellStyle name="Normal 2 3 2 2 3 9 3" xfId="11719"/>
    <cellStyle name="Normal 2 3 2 2 4" xfId="11720"/>
    <cellStyle name="Normal 2 3 2 2 4 2" xfId="11721"/>
    <cellStyle name="Normal 2 3 2 2 4 2 2" xfId="11722"/>
    <cellStyle name="Normal 2 3 2 2 4 2 2 2" xfId="11723"/>
    <cellStyle name="Normal 2 3 2 2 4 2 2 2 2" xfId="11724"/>
    <cellStyle name="Normal 2 3 2 2 4 2 2 2 2 2" xfId="11725"/>
    <cellStyle name="Normal 2 3 2 2 4 2 2 2 2 3" xfId="11726"/>
    <cellStyle name="Normal 2 3 2 2 4 2 2 2 3" xfId="11727"/>
    <cellStyle name="Normal 2 3 2 2 4 2 2 2 4" xfId="11728"/>
    <cellStyle name="Normal 2 3 2 2 4 2 2 3" xfId="11729"/>
    <cellStyle name="Normal 2 3 2 2 4 2 2 3 2" xfId="11730"/>
    <cellStyle name="Normal 2 3 2 2 4 2 2 3 3" xfId="11731"/>
    <cellStyle name="Normal 2 3 2 2 4 2 2 4" xfId="11732"/>
    <cellStyle name="Normal 2 3 2 2 4 2 2 4 2" xfId="11733"/>
    <cellStyle name="Normal 2 3 2 2 4 2 2 4 3" xfId="11734"/>
    <cellStyle name="Normal 2 3 2 2 4 2 2 5" xfId="11735"/>
    <cellStyle name="Normal 2 3 2 2 4 2 2 6" xfId="11736"/>
    <cellStyle name="Normal 2 3 2 2 4 2 3" xfId="11737"/>
    <cellStyle name="Normal 2 3 2 2 4 2 3 2" xfId="11738"/>
    <cellStyle name="Normal 2 3 2 2 4 2 3 2 2" xfId="11739"/>
    <cellStyle name="Normal 2 3 2 2 4 2 3 2 3" xfId="11740"/>
    <cellStyle name="Normal 2 3 2 2 4 2 3 3" xfId="11741"/>
    <cellStyle name="Normal 2 3 2 2 4 2 3 4" xfId="11742"/>
    <cellStyle name="Normal 2 3 2 2 4 2 4" xfId="11743"/>
    <cellStyle name="Normal 2 3 2 2 4 2 4 2" xfId="11744"/>
    <cellStyle name="Normal 2 3 2 2 4 2 4 3" xfId="11745"/>
    <cellStyle name="Normal 2 3 2 2 4 2 5" xfId="11746"/>
    <cellStyle name="Normal 2 3 2 2 4 2 5 2" xfId="11747"/>
    <cellStyle name="Normal 2 3 2 2 4 2 5 3" xfId="11748"/>
    <cellStyle name="Normal 2 3 2 2 4 2 6" xfId="11749"/>
    <cellStyle name="Normal 2 3 2 2 4 2 7" xfId="11750"/>
    <cellStyle name="Normal 2 3 2 2 4 3" xfId="11751"/>
    <cellStyle name="Normal 2 3 2 2 4 3 2" xfId="11752"/>
    <cellStyle name="Normal 2 3 2 2 4 3 2 2" xfId="11753"/>
    <cellStyle name="Normal 2 3 2 2 4 3 2 2 2" xfId="11754"/>
    <cellStyle name="Normal 2 3 2 2 4 3 2 2 3" xfId="11755"/>
    <cellStyle name="Normal 2 3 2 2 4 3 2 3" xfId="11756"/>
    <cellStyle name="Normal 2 3 2 2 4 3 2 4" xfId="11757"/>
    <cellStyle name="Normal 2 3 2 2 4 3 3" xfId="11758"/>
    <cellStyle name="Normal 2 3 2 2 4 3 3 2" xfId="11759"/>
    <cellStyle name="Normal 2 3 2 2 4 3 3 3" xfId="11760"/>
    <cellStyle name="Normal 2 3 2 2 4 3 4" xfId="11761"/>
    <cellStyle name="Normal 2 3 2 2 4 3 4 2" xfId="11762"/>
    <cellStyle name="Normal 2 3 2 2 4 3 4 3" xfId="11763"/>
    <cellStyle name="Normal 2 3 2 2 4 3 5" xfId="11764"/>
    <cellStyle name="Normal 2 3 2 2 4 3 6" xfId="11765"/>
    <cellStyle name="Normal 2 3 2 2 4 4" xfId="11766"/>
    <cellStyle name="Normal 2 3 2 2 4 4 2" xfId="11767"/>
    <cellStyle name="Normal 2 3 2 2 4 4 2 2" xfId="11768"/>
    <cellStyle name="Normal 2 3 2 2 4 4 2 3" xfId="11769"/>
    <cellStyle name="Normal 2 3 2 2 4 4 3" xfId="11770"/>
    <cellStyle name="Normal 2 3 2 2 4 4 4" xfId="11771"/>
    <cellStyle name="Normal 2 3 2 2 4 5" xfId="11772"/>
    <cellStyle name="Normal 2 3 2 2 4 5 2" xfId="11773"/>
    <cellStyle name="Normal 2 3 2 2 4 5 3" xfId="11774"/>
    <cellStyle name="Normal 2 3 2 2 4 6" xfId="11775"/>
    <cellStyle name="Normal 2 3 2 2 4 6 2" xfId="11776"/>
    <cellStyle name="Normal 2 3 2 2 4 6 3" xfId="11777"/>
    <cellStyle name="Normal 2 3 2 2 4 7" xfId="11778"/>
    <cellStyle name="Normal 2 3 2 2 4 8" xfId="11779"/>
    <cellStyle name="Normal 2 3 2 2 5" xfId="11780"/>
    <cellStyle name="Normal 2 3 2 2 5 2" xfId="11781"/>
    <cellStyle name="Normal 2 3 2 2 5 2 2" xfId="11782"/>
    <cellStyle name="Normal 2 3 2 2 5 2 2 2" xfId="11783"/>
    <cellStyle name="Normal 2 3 2 2 5 2 2 2 2" xfId="11784"/>
    <cellStyle name="Normal 2 3 2 2 5 2 2 2 2 2" xfId="11785"/>
    <cellStyle name="Normal 2 3 2 2 5 2 2 2 2 3" xfId="11786"/>
    <cellStyle name="Normal 2 3 2 2 5 2 2 2 3" xfId="11787"/>
    <cellStyle name="Normal 2 3 2 2 5 2 2 2 4" xfId="11788"/>
    <cellStyle name="Normal 2 3 2 2 5 2 2 3" xfId="11789"/>
    <cellStyle name="Normal 2 3 2 2 5 2 2 3 2" xfId="11790"/>
    <cellStyle name="Normal 2 3 2 2 5 2 2 3 3" xfId="11791"/>
    <cellStyle name="Normal 2 3 2 2 5 2 2 4" xfId="11792"/>
    <cellStyle name="Normal 2 3 2 2 5 2 2 4 2" xfId="11793"/>
    <cellStyle name="Normal 2 3 2 2 5 2 2 4 3" xfId="11794"/>
    <cellStyle name="Normal 2 3 2 2 5 2 2 5" xfId="11795"/>
    <cellStyle name="Normal 2 3 2 2 5 2 2 6" xfId="11796"/>
    <cellStyle name="Normal 2 3 2 2 5 2 3" xfId="11797"/>
    <cellStyle name="Normal 2 3 2 2 5 2 3 2" xfId="11798"/>
    <cellStyle name="Normal 2 3 2 2 5 2 3 2 2" xfId="11799"/>
    <cellStyle name="Normal 2 3 2 2 5 2 3 2 3" xfId="11800"/>
    <cellStyle name="Normal 2 3 2 2 5 2 3 3" xfId="11801"/>
    <cellStyle name="Normal 2 3 2 2 5 2 3 4" xfId="11802"/>
    <cellStyle name="Normal 2 3 2 2 5 2 4" xfId="11803"/>
    <cellStyle name="Normal 2 3 2 2 5 2 4 2" xfId="11804"/>
    <cellStyle name="Normal 2 3 2 2 5 2 4 3" xfId="11805"/>
    <cellStyle name="Normal 2 3 2 2 5 2 5" xfId="11806"/>
    <cellStyle name="Normal 2 3 2 2 5 2 5 2" xfId="11807"/>
    <cellStyle name="Normal 2 3 2 2 5 2 5 3" xfId="11808"/>
    <cellStyle name="Normal 2 3 2 2 5 2 6" xfId="11809"/>
    <cellStyle name="Normal 2 3 2 2 5 2 7" xfId="11810"/>
    <cellStyle name="Normal 2 3 2 2 5 3" xfId="11811"/>
    <cellStyle name="Normal 2 3 2 2 5 3 2" xfId="11812"/>
    <cellStyle name="Normal 2 3 2 2 5 3 2 2" xfId="11813"/>
    <cellStyle name="Normal 2 3 2 2 5 3 2 2 2" xfId="11814"/>
    <cellStyle name="Normal 2 3 2 2 5 3 2 2 3" xfId="11815"/>
    <cellStyle name="Normal 2 3 2 2 5 3 2 3" xfId="11816"/>
    <cellStyle name="Normal 2 3 2 2 5 3 2 4" xfId="11817"/>
    <cellStyle name="Normal 2 3 2 2 5 3 3" xfId="11818"/>
    <cellStyle name="Normal 2 3 2 2 5 3 3 2" xfId="11819"/>
    <cellStyle name="Normal 2 3 2 2 5 3 3 3" xfId="11820"/>
    <cellStyle name="Normal 2 3 2 2 5 3 4" xfId="11821"/>
    <cellStyle name="Normal 2 3 2 2 5 3 4 2" xfId="11822"/>
    <cellStyle name="Normal 2 3 2 2 5 3 4 3" xfId="11823"/>
    <cellStyle name="Normal 2 3 2 2 5 3 5" xfId="11824"/>
    <cellStyle name="Normal 2 3 2 2 5 3 6" xfId="11825"/>
    <cellStyle name="Normal 2 3 2 2 5 4" xfId="11826"/>
    <cellStyle name="Normal 2 3 2 2 5 4 2" xfId="11827"/>
    <cellStyle name="Normal 2 3 2 2 5 4 2 2" xfId="11828"/>
    <cellStyle name="Normal 2 3 2 2 5 4 2 3" xfId="11829"/>
    <cellStyle name="Normal 2 3 2 2 5 4 3" xfId="11830"/>
    <cellStyle name="Normal 2 3 2 2 5 4 4" xfId="11831"/>
    <cellStyle name="Normal 2 3 2 2 5 5" xfId="11832"/>
    <cellStyle name="Normal 2 3 2 2 5 5 2" xfId="11833"/>
    <cellStyle name="Normal 2 3 2 2 5 5 3" xfId="11834"/>
    <cellStyle name="Normal 2 3 2 2 5 6" xfId="11835"/>
    <cellStyle name="Normal 2 3 2 2 5 6 2" xfId="11836"/>
    <cellStyle name="Normal 2 3 2 2 5 6 3" xfId="11837"/>
    <cellStyle name="Normal 2 3 2 2 5 7" xfId="11838"/>
    <cellStyle name="Normal 2 3 2 2 5 8" xfId="11839"/>
    <cellStyle name="Normal 2 3 2 2 6" xfId="11840"/>
    <cellStyle name="Normal 2 3 2 2 6 2" xfId="11841"/>
    <cellStyle name="Normal 2 3 2 2 6 2 2" xfId="11842"/>
    <cellStyle name="Normal 2 3 2 2 6 2 2 2" xfId="11843"/>
    <cellStyle name="Normal 2 3 2 2 6 2 2 2 2" xfId="11844"/>
    <cellStyle name="Normal 2 3 2 2 6 2 2 2 2 2" xfId="11845"/>
    <cellStyle name="Normal 2 3 2 2 6 2 2 2 2 3" xfId="11846"/>
    <cellStyle name="Normal 2 3 2 2 6 2 2 2 3" xfId="11847"/>
    <cellStyle name="Normal 2 3 2 2 6 2 2 2 4" xfId="11848"/>
    <cellStyle name="Normal 2 3 2 2 6 2 2 3" xfId="11849"/>
    <cellStyle name="Normal 2 3 2 2 6 2 2 3 2" xfId="11850"/>
    <cellStyle name="Normal 2 3 2 2 6 2 2 3 3" xfId="11851"/>
    <cellStyle name="Normal 2 3 2 2 6 2 2 4" xfId="11852"/>
    <cellStyle name="Normal 2 3 2 2 6 2 2 4 2" xfId="11853"/>
    <cellStyle name="Normal 2 3 2 2 6 2 2 4 3" xfId="11854"/>
    <cellStyle name="Normal 2 3 2 2 6 2 2 5" xfId="11855"/>
    <cellStyle name="Normal 2 3 2 2 6 2 2 6" xfId="11856"/>
    <cellStyle name="Normal 2 3 2 2 6 2 3" xfId="11857"/>
    <cellStyle name="Normal 2 3 2 2 6 2 3 2" xfId="11858"/>
    <cellStyle name="Normal 2 3 2 2 6 2 3 2 2" xfId="11859"/>
    <cellStyle name="Normal 2 3 2 2 6 2 3 2 3" xfId="11860"/>
    <cellStyle name="Normal 2 3 2 2 6 2 3 3" xfId="11861"/>
    <cellStyle name="Normal 2 3 2 2 6 2 3 4" xfId="11862"/>
    <cellStyle name="Normal 2 3 2 2 6 2 4" xfId="11863"/>
    <cellStyle name="Normal 2 3 2 2 6 2 4 2" xfId="11864"/>
    <cellStyle name="Normal 2 3 2 2 6 2 4 3" xfId="11865"/>
    <cellStyle name="Normal 2 3 2 2 6 2 5" xfId="11866"/>
    <cellStyle name="Normal 2 3 2 2 6 2 5 2" xfId="11867"/>
    <cellStyle name="Normal 2 3 2 2 6 2 5 3" xfId="11868"/>
    <cellStyle name="Normal 2 3 2 2 6 2 6" xfId="11869"/>
    <cellStyle name="Normal 2 3 2 2 6 2 7" xfId="11870"/>
    <cellStyle name="Normal 2 3 2 2 6 3" xfId="11871"/>
    <cellStyle name="Normal 2 3 2 2 6 3 2" xfId="11872"/>
    <cellStyle name="Normal 2 3 2 2 6 3 2 2" xfId="11873"/>
    <cellStyle name="Normal 2 3 2 2 6 3 2 2 2" xfId="11874"/>
    <cellStyle name="Normal 2 3 2 2 6 3 2 2 3" xfId="11875"/>
    <cellStyle name="Normal 2 3 2 2 6 3 2 3" xfId="11876"/>
    <cellStyle name="Normal 2 3 2 2 6 3 2 4" xfId="11877"/>
    <cellStyle name="Normal 2 3 2 2 6 3 3" xfId="11878"/>
    <cellStyle name="Normal 2 3 2 2 6 3 3 2" xfId="11879"/>
    <cellStyle name="Normal 2 3 2 2 6 3 3 3" xfId="11880"/>
    <cellStyle name="Normal 2 3 2 2 6 3 4" xfId="11881"/>
    <cellStyle name="Normal 2 3 2 2 6 3 4 2" xfId="11882"/>
    <cellStyle name="Normal 2 3 2 2 6 3 4 3" xfId="11883"/>
    <cellStyle name="Normal 2 3 2 2 6 3 5" xfId="11884"/>
    <cellStyle name="Normal 2 3 2 2 6 3 6" xfId="11885"/>
    <cellStyle name="Normal 2 3 2 2 6 4" xfId="11886"/>
    <cellStyle name="Normal 2 3 2 2 6 4 2" xfId="11887"/>
    <cellStyle name="Normal 2 3 2 2 6 4 2 2" xfId="11888"/>
    <cellStyle name="Normal 2 3 2 2 6 4 2 3" xfId="11889"/>
    <cellStyle name="Normal 2 3 2 2 6 4 3" xfId="11890"/>
    <cellStyle name="Normal 2 3 2 2 6 4 4" xfId="11891"/>
    <cellStyle name="Normal 2 3 2 2 6 5" xfId="11892"/>
    <cellStyle name="Normal 2 3 2 2 6 5 2" xfId="11893"/>
    <cellStyle name="Normal 2 3 2 2 6 5 3" xfId="11894"/>
    <cellStyle name="Normal 2 3 2 2 6 6" xfId="11895"/>
    <cellStyle name="Normal 2 3 2 2 6 6 2" xfId="11896"/>
    <cellStyle name="Normal 2 3 2 2 6 6 3" xfId="11897"/>
    <cellStyle name="Normal 2 3 2 2 6 7" xfId="11898"/>
    <cellStyle name="Normal 2 3 2 2 6 8" xfId="11899"/>
    <cellStyle name="Normal 2 3 2 2 7" xfId="11900"/>
    <cellStyle name="Normal 2 3 2 2 7 2" xfId="11901"/>
    <cellStyle name="Normal 2 3 2 2 7 2 2" xfId="11902"/>
    <cellStyle name="Normal 2 3 2 2 7 2 2 2" xfId="11903"/>
    <cellStyle name="Normal 2 3 2 2 7 2 2 2 2" xfId="11904"/>
    <cellStyle name="Normal 2 3 2 2 7 2 2 2 3" xfId="11905"/>
    <cellStyle name="Normal 2 3 2 2 7 2 2 3" xfId="11906"/>
    <cellStyle name="Normal 2 3 2 2 7 2 2 4" xfId="11907"/>
    <cellStyle name="Normal 2 3 2 2 7 2 3" xfId="11908"/>
    <cellStyle name="Normal 2 3 2 2 7 2 3 2" xfId="11909"/>
    <cellStyle name="Normal 2 3 2 2 7 2 3 3" xfId="11910"/>
    <cellStyle name="Normal 2 3 2 2 7 2 4" xfId="11911"/>
    <cellStyle name="Normal 2 3 2 2 7 2 4 2" xfId="11912"/>
    <cellStyle name="Normal 2 3 2 2 7 2 4 3" xfId="11913"/>
    <cellStyle name="Normal 2 3 2 2 7 2 5" xfId="11914"/>
    <cellStyle name="Normal 2 3 2 2 7 2 6" xfId="11915"/>
    <cellStyle name="Normal 2 3 2 2 7 3" xfId="11916"/>
    <cellStyle name="Normal 2 3 2 2 7 3 2" xfId="11917"/>
    <cellStyle name="Normal 2 3 2 2 7 3 2 2" xfId="11918"/>
    <cellStyle name="Normal 2 3 2 2 7 3 2 3" xfId="11919"/>
    <cellStyle name="Normal 2 3 2 2 7 3 3" xfId="11920"/>
    <cellStyle name="Normal 2 3 2 2 7 3 4" xfId="11921"/>
    <cellStyle name="Normal 2 3 2 2 7 4" xfId="11922"/>
    <cellStyle name="Normal 2 3 2 2 7 4 2" xfId="11923"/>
    <cellStyle name="Normal 2 3 2 2 7 4 3" xfId="11924"/>
    <cellStyle name="Normal 2 3 2 2 7 5" xfId="11925"/>
    <cellStyle name="Normal 2 3 2 2 7 5 2" xfId="11926"/>
    <cellStyle name="Normal 2 3 2 2 7 5 3" xfId="11927"/>
    <cellStyle name="Normal 2 3 2 2 7 6" xfId="11928"/>
    <cellStyle name="Normal 2 3 2 2 7 7" xfId="11929"/>
    <cellStyle name="Normal 2 3 2 2 8" xfId="11930"/>
    <cellStyle name="Normal 2 3 2 2 8 2" xfId="11931"/>
    <cellStyle name="Normal 2 3 2 2 8 2 2" xfId="11932"/>
    <cellStyle name="Normal 2 3 2 2 8 2 2 2" xfId="11933"/>
    <cellStyle name="Normal 2 3 2 2 8 2 2 3" xfId="11934"/>
    <cellStyle name="Normal 2 3 2 2 8 2 3" xfId="11935"/>
    <cellStyle name="Normal 2 3 2 2 8 2 4" xfId="11936"/>
    <cellStyle name="Normal 2 3 2 2 8 3" xfId="11937"/>
    <cellStyle name="Normal 2 3 2 2 8 3 2" xfId="11938"/>
    <cellStyle name="Normal 2 3 2 2 8 3 3" xfId="11939"/>
    <cellStyle name="Normal 2 3 2 2 8 4" xfId="11940"/>
    <cellStyle name="Normal 2 3 2 2 8 4 2" xfId="11941"/>
    <cellStyle name="Normal 2 3 2 2 8 4 3" xfId="11942"/>
    <cellStyle name="Normal 2 3 2 2 8 5" xfId="11943"/>
    <cellStyle name="Normal 2 3 2 2 8 6" xfId="11944"/>
    <cellStyle name="Normal 2 3 2 2 9" xfId="11945"/>
    <cellStyle name="Normal 2 3 2 2 9 2" xfId="11946"/>
    <cellStyle name="Normal 2 3 2 2 9 2 2" xfId="11947"/>
    <cellStyle name="Normal 2 3 2 2 9 2 3" xfId="11948"/>
    <cellStyle name="Normal 2 3 2 2 9 3" xfId="11949"/>
    <cellStyle name="Normal 2 3 2 2 9 4" xfId="11950"/>
    <cellStyle name="Normal 2 3 2 3" xfId="11951"/>
    <cellStyle name="Normal 2 3 2 3 10" xfId="11952"/>
    <cellStyle name="Normal 2 3 2 3 10 2" xfId="11953"/>
    <cellStyle name="Normal 2 3 2 3 10 2 2" xfId="11954"/>
    <cellStyle name="Normal 2 3 2 3 10 3" xfId="11955"/>
    <cellStyle name="Normal 2 3 2 3 10 4" xfId="11956"/>
    <cellStyle name="Normal 2 3 2 3 11" xfId="11957"/>
    <cellStyle name="Normal 2 3 2 3 11 2" xfId="11958"/>
    <cellStyle name="Normal 2 3 2 3 11 3" xfId="11959"/>
    <cellStyle name="Normal 2 3 2 3 12" xfId="11960"/>
    <cellStyle name="Normal 2 3 2 3 13" xfId="11961"/>
    <cellStyle name="Normal 2 3 2 3 14" xfId="11962"/>
    <cellStyle name="Normal 2 3 2 3 15" xfId="11963"/>
    <cellStyle name="Normal 2 3 2 3 2" xfId="11964"/>
    <cellStyle name="Normal 2 3 2 3 2 10" xfId="11965"/>
    <cellStyle name="Normal 2 3 2 3 2 10 2" xfId="11966"/>
    <cellStyle name="Normal 2 3 2 3 2 11" xfId="11967"/>
    <cellStyle name="Normal 2 3 2 3 2 12" xfId="11968"/>
    <cellStyle name="Normal 2 3 2 3 2 13" xfId="11969"/>
    <cellStyle name="Normal 2 3 2 3 2 2" xfId="11970"/>
    <cellStyle name="Normal 2 3 2 3 2 2 2" xfId="11971"/>
    <cellStyle name="Normal 2 3 2 3 2 2 2 2" xfId="11972"/>
    <cellStyle name="Normal 2 3 2 3 2 2 2 2 2" xfId="11973"/>
    <cellStyle name="Normal 2 3 2 3 2 2 2 2 2 2" xfId="11974"/>
    <cellStyle name="Normal 2 3 2 3 2 2 2 2 2 2 2" xfId="11975"/>
    <cellStyle name="Normal 2 3 2 3 2 2 2 2 2 2 3" xfId="11976"/>
    <cellStyle name="Normal 2 3 2 3 2 2 2 2 2 3" xfId="11977"/>
    <cellStyle name="Normal 2 3 2 3 2 2 2 2 2 4" xfId="11978"/>
    <cellStyle name="Normal 2 3 2 3 2 2 2 2 3" xfId="11979"/>
    <cellStyle name="Normal 2 3 2 3 2 2 2 2 3 2" xfId="11980"/>
    <cellStyle name="Normal 2 3 2 3 2 2 2 2 3 3" xfId="11981"/>
    <cellStyle name="Normal 2 3 2 3 2 2 2 2 4" xfId="11982"/>
    <cellStyle name="Normal 2 3 2 3 2 2 2 2 4 2" xfId="11983"/>
    <cellStyle name="Normal 2 3 2 3 2 2 2 2 4 3" xfId="11984"/>
    <cellStyle name="Normal 2 3 2 3 2 2 2 2 5" xfId="11985"/>
    <cellStyle name="Normal 2 3 2 3 2 2 2 2 5 2" xfId="11986"/>
    <cellStyle name="Normal 2 3 2 3 2 2 2 2 6" xfId="11987"/>
    <cellStyle name="Normal 2 3 2 3 2 2 2 3" xfId="11988"/>
    <cellStyle name="Normal 2 3 2 3 2 2 2 3 2" xfId="11989"/>
    <cellStyle name="Normal 2 3 2 3 2 2 2 3 2 2" xfId="11990"/>
    <cellStyle name="Normal 2 3 2 3 2 2 2 3 2 3" xfId="11991"/>
    <cellStyle name="Normal 2 3 2 3 2 2 2 3 3" xfId="11992"/>
    <cellStyle name="Normal 2 3 2 3 2 2 2 3 4" xfId="11993"/>
    <cellStyle name="Normal 2 3 2 3 2 2 2 4" xfId="11994"/>
    <cellStyle name="Normal 2 3 2 3 2 2 2 4 2" xfId="11995"/>
    <cellStyle name="Normal 2 3 2 3 2 2 2 4 3" xfId="11996"/>
    <cellStyle name="Normal 2 3 2 3 2 2 2 5" xfId="11997"/>
    <cellStyle name="Normal 2 3 2 3 2 2 2 5 2" xfId="11998"/>
    <cellStyle name="Normal 2 3 2 3 2 2 2 5 3" xfId="11999"/>
    <cellStyle name="Normal 2 3 2 3 2 2 2 6" xfId="12000"/>
    <cellStyle name="Normal 2 3 2 3 2 2 2 6 2" xfId="12001"/>
    <cellStyle name="Normal 2 3 2 3 2 2 2 7" xfId="12002"/>
    <cellStyle name="Normal 2 3 2 3 2 2 3" xfId="12003"/>
    <cellStyle name="Normal 2 3 2 3 2 2 3 2" xfId="12004"/>
    <cellStyle name="Normal 2 3 2 3 2 2 3 2 2" xfId="12005"/>
    <cellStyle name="Normal 2 3 2 3 2 2 3 2 2 2" xfId="12006"/>
    <cellStyle name="Normal 2 3 2 3 2 2 3 2 2 3" xfId="12007"/>
    <cellStyle name="Normal 2 3 2 3 2 2 3 2 3" xfId="12008"/>
    <cellStyle name="Normal 2 3 2 3 2 2 3 2 3 2" xfId="12009"/>
    <cellStyle name="Normal 2 3 2 3 2 2 3 2 4" xfId="12010"/>
    <cellStyle name="Normal 2 3 2 3 2 2 3 3" xfId="12011"/>
    <cellStyle name="Normal 2 3 2 3 2 2 3 3 2" xfId="12012"/>
    <cellStyle name="Normal 2 3 2 3 2 2 3 3 3" xfId="12013"/>
    <cellStyle name="Normal 2 3 2 3 2 2 3 4" xfId="12014"/>
    <cellStyle name="Normal 2 3 2 3 2 2 3 4 2" xfId="12015"/>
    <cellStyle name="Normal 2 3 2 3 2 2 3 4 3" xfId="12016"/>
    <cellStyle name="Normal 2 3 2 3 2 2 3 5" xfId="12017"/>
    <cellStyle name="Normal 2 3 2 3 2 2 3 5 2" xfId="12018"/>
    <cellStyle name="Normal 2 3 2 3 2 2 3 6" xfId="12019"/>
    <cellStyle name="Normal 2 3 2 3 2 2 4" xfId="12020"/>
    <cellStyle name="Normal 2 3 2 3 2 2 4 2" xfId="12021"/>
    <cellStyle name="Normal 2 3 2 3 2 2 4 2 2" xfId="12022"/>
    <cellStyle name="Normal 2 3 2 3 2 2 4 2 2 2" xfId="12023"/>
    <cellStyle name="Normal 2 3 2 3 2 2 4 2 3" xfId="12024"/>
    <cellStyle name="Normal 2 3 2 3 2 2 4 3" xfId="12025"/>
    <cellStyle name="Normal 2 3 2 3 2 2 4 3 2" xfId="12026"/>
    <cellStyle name="Normal 2 3 2 3 2 2 4 4" xfId="12027"/>
    <cellStyle name="Normal 2 3 2 3 2 2 5" xfId="12028"/>
    <cellStyle name="Normal 2 3 2 3 2 2 5 2" xfId="12029"/>
    <cellStyle name="Normal 2 3 2 3 2 2 5 2 2" xfId="12030"/>
    <cellStyle name="Normal 2 3 2 3 2 2 5 3" xfId="12031"/>
    <cellStyle name="Normal 2 3 2 3 2 2 6" xfId="12032"/>
    <cellStyle name="Normal 2 3 2 3 2 2 6 2" xfId="12033"/>
    <cellStyle name="Normal 2 3 2 3 2 2 6 2 2" xfId="12034"/>
    <cellStyle name="Normal 2 3 2 3 2 2 6 3" xfId="12035"/>
    <cellStyle name="Normal 2 3 2 3 2 2 7" xfId="12036"/>
    <cellStyle name="Normal 2 3 2 3 2 2 7 2" xfId="12037"/>
    <cellStyle name="Normal 2 3 2 3 2 2 8" xfId="12038"/>
    <cellStyle name="Normal 2 3 2 3 2 3" xfId="12039"/>
    <cellStyle name="Normal 2 3 2 3 2 3 2" xfId="12040"/>
    <cellStyle name="Normal 2 3 2 3 2 3 2 2" xfId="12041"/>
    <cellStyle name="Normal 2 3 2 3 2 3 2 2 2" xfId="12042"/>
    <cellStyle name="Normal 2 3 2 3 2 3 2 2 2 2" xfId="12043"/>
    <cellStyle name="Normal 2 3 2 3 2 3 2 2 2 2 2" xfId="12044"/>
    <cellStyle name="Normal 2 3 2 3 2 3 2 2 2 2 3" xfId="12045"/>
    <cellStyle name="Normal 2 3 2 3 2 3 2 2 2 3" xfId="12046"/>
    <cellStyle name="Normal 2 3 2 3 2 3 2 2 2 4" xfId="12047"/>
    <cellStyle name="Normal 2 3 2 3 2 3 2 2 3" xfId="12048"/>
    <cellStyle name="Normal 2 3 2 3 2 3 2 2 3 2" xfId="12049"/>
    <cellStyle name="Normal 2 3 2 3 2 3 2 2 3 3" xfId="12050"/>
    <cellStyle name="Normal 2 3 2 3 2 3 2 2 4" xfId="12051"/>
    <cellStyle name="Normal 2 3 2 3 2 3 2 2 4 2" xfId="12052"/>
    <cellStyle name="Normal 2 3 2 3 2 3 2 2 4 3" xfId="12053"/>
    <cellStyle name="Normal 2 3 2 3 2 3 2 2 5" xfId="12054"/>
    <cellStyle name="Normal 2 3 2 3 2 3 2 2 5 2" xfId="12055"/>
    <cellStyle name="Normal 2 3 2 3 2 3 2 2 6" xfId="12056"/>
    <cellStyle name="Normal 2 3 2 3 2 3 2 3" xfId="12057"/>
    <cellStyle name="Normal 2 3 2 3 2 3 2 3 2" xfId="12058"/>
    <cellStyle name="Normal 2 3 2 3 2 3 2 3 2 2" xfId="12059"/>
    <cellStyle name="Normal 2 3 2 3 2 3 2 3 2 3" xfId="12060"/>
    <cellStyle name="Normal 2 3 2 3 2 3 2 3 3" xfId="12061"/>
    <cellStyle name="Normal 2 3 2 3 2 3 2 3 4" xfId="12062"/>
    <cellStyle name="Normal 2 3 2 3 2 3 2 4" xfId="12063"/>
    <cellStyle name="Normal 2 3 2 3 2 3 2 4 2" xfId="12064"/>
    <cellStyle name="Normal 2 3 2 3 2 3 2 4 3" xfId="12065"/>
    <cellStyle name="Normal 2 3 2 3 2 3 2 5" xfId="12066"/>
    <cellStyle name="Normal 2 3 2 3 2 3 2 5 2" xfId="12067"/>
    <cellStyle name="Normal 2 3 2 3 2 3 2 5 3" xfId="12068"/>
    <cellStyle name="Normal 2 3 2 3 2 3 2 6" xfId="12069"/>
    <cellStyle name="Normal 2 3 2 3 2 3 2 6 2" xfId="12070"/>
    <cellStyle name="Normal 2 3 2 3 2 3 2 7" xfId="12071"/>
    <cellStyle name="Normal 2 3 2 3 2 3 3" xfId="12072"/>
    <cellStyle name="Normal 2 3 2 3 2 3 3 2" xfId="12073"/>
    <cellStyle name="Normal 2 3 2 3 2 3 3 2 2" xfId="12074"/>
    <cellStyle name="Normal 2 3 2 3 2 3 3 2 2 2" xfId="12075"/>
    <cellStyle name="Normal 2 3 2 3 2 3 3 2 2 3" xfId="12076"/>
    <cellStyle name="Normal 2 3 2 3 2 3 3 2 3" xfId="12077"/>
    <cellStyle name="Normal 2 3 2 3 2 3 3 2 3 2" xfId="12078"/>
    <cellStyle name="Normal 2 3 2 3 2 3 3 2 4" xfId="12079"/>
    <cellStyle name="Normal 2 3 2 3 2 3 3 3" xfId="12080"/>
    <cellStyle name="Normal 2 3 2 3 2 3 3 3 2" xfId="12081"/>
    <cellStyle name="Normal 2 3 2 3 2 3 3 3 3" xfId="12082"/>
    <cellStyle name="Normal 2 3 2 3 2 3 3 4" xfId="12083"/>
    <cellStyle name="Normal 2 3 2 3 2 3 3 4 2" xfId="12084"/>
    <cellStyle name="Normal 2 3 2 3 2 3 3 4 3" xfId="12085"/>
    <cellStyle name="Normal 2 3 2 3 2 3 3 5" xfId="12086"/>
    <cellStyle name="Normal 2 3 2 3 2 3 3 5 2" xfId="12087"/>
    <cellStyle name="Normal 2 3 2 3 2 3 3 6" xfId="12088"/>
    <cellStyle name="Normal 2 3 2 3 2 3 4" xfId="12089"/>
    <cellStyle name="Normal 2 3 2 3 2 3 4 2" xfId="12090"/>
    <cellStyle name="Normal 2 3 2 3 2 3 4 2 2" xfId="12091"/>
    <cellStyle name="Normal 2 3 2 3 2 3 4 2 2 2" xfId="12092"/>
    <cellStyle name="Normal 2 3 2 3 2 3 4 2 3" xfId="12093"/>
    <cellStyle name="Normal 2 3 2 3 2 3 4 3" xfId="12094"/>
    <cellStyle name="Normal 2 3 2 3 2 3 4 3 2" xfId="12095"/>
    <cellStyle name="Normal 2 3 2 3 2 3 4 4" xfId="12096"/>
    <cellStyle name="Normal 2 3 2 3 2 3 5" xfId="12097"/>
    <cellStyle name="Normal 2 3 2 3 2 3 5 2" xfId="12098"/>
    <cellStyle name="Normal 2 3 2 3 2 3 5 2 2" xfId="12099"/>
    <cellStyle name="Normal 2 3 2 3 2 3 5 3" xfId="12100"/>
    <cellStyle name="Normal 2 3 2 3 2 3 6" xfId="12101"/>
    <cellStyle name="Normal 2 3 2 3 2 3 6 2" xfId="12102"/>
    <cellStyle name="Normal 2 3 2 3 2 3 6 2 2" xfId="12103"/>
    <cellStyle name="Normal 2 3 2 3 2 3 6 3" xfId="12104"/>
    <cellStyle name="Normal 2 3 2 3 2 3 7" xfId="12105"/>
    <cellStyle name="Normal 2 3 2 3 2 3 7 2" xfId="12106"/>
    <cellStyle name="Normal 2 3 2 3 2 3 8" xfId="12107"/>
    <cellStyle name="Normal 2 3 2 3 2 4" xfId="12108"/>
    <cellStyle name="Normal 2 3 2 3 2 4 2" xfId="12109"/>
    <cellStyle name="Normal 2 3 2 3 2 4 2 2" xfId="12110"/>
    <cellStyle name="Normal 2 3 2 3 2 4 2 2 2" xfId="12111"/>
    <cellStyle name="Normal 2 3 2 3 2 4 2 2 2 2" xfId="12112"/>
    <cellStyle name="Normal 2 3 2 3 2 4 2 2 2 2 2" xfId="12113"/>
    <cellStyle name="Normal 2 3 2 3 2 4 2 2 2 2 3" xfId="12114"/>
    <cellStyle name="Normal 2 3 2 3 2 4 2 2 2 3" xfId="12115"/>
    <cellStyle name="Normal 2 3 2 3 2 4 2 2 2 4" xfId="12116"/>
    <cellStyle name="Normal 2 3 2 3 2 4 2 2 3" xfId="12117"/>
    <cellStyle name="Normal 2 3 2 3 2 4 2 2 3 2" xfId="12118"/>
    <cellStyle name="Normal 2 3 2 3 2 4 2 2 3 3" xfId="12119"/>
    <cellStyle name="Normal 2 3 2 3 2 4 2 2 4" xfId="12120"/>
    <cellStyle name="Normal 2 3 2 3 2 4 2 2 4 2" xfId="12121"/>
    <cellStyle name="Normal 2 3 2 3 2 4 2 2 4 3" xfId="12122"/>
    <cellStyle name="Normal 2 3 2 3 2 4 2 2 5" xfId="12123"/>
    <cellStyle name="Normal 2 3 2 3 2 4 2 2 5 2" xfId="12124"/>
    <cellStyle name="Normal 2 3 2 3 2 4 2 2 6" xfId="12125"/>
    <cellStyle name="Normal 2 3 2 3 2 4 2 3" xfId="12126"/>
    <cellStyle name="Normal 2 3 2 3 2 4 2 3 2" xfId="12127"/>
    <cellStyle name="Normal 2 3 2 3 2 4 2 3 2 2" xfId="12128"/>
    <cellStyle name="Normal 2 3 2 3 2 4 2 3 2 3" xfId="12129"/>
    <cellStyle name="Normal 2 3 2 3 2 4 2 3 3" xfId="12130"/>
    <cellStyle name="Normal 2 3 2 3 2 4 2 3 4" xfId="12131"/>
    <cellStyle name="Normal 2 3 2 3 2 4 2 4" xfId="12132"/>
    <cellStyle name="Normal 2 3 2 3 2 4 2 4 2" xfId="12133"/>
    <cellStyle name="Normal 2 3 2 3 2 4 2 4 3" xfId="12134"/>
    <cellStyle name="Normal 2 3 2 3 2 4 2 5" xfId="12135"/>
    <cellStyle name="Normal 2 3 2 3 2 4 2 5 2" xfId="12136"/>
    <cellStyle name="Normal 2 3 2 3 2 4 2 5 3" xfId="12137"/>
    <cellStyle name="Normal 2 3 2 3 2 4 2 6" xfId="12138"/>
    <cellStyle name="Normal 2 3 2 3 2 4 2 6 2" xfId="12139"/>
    <cellStyle name="Normal 2 3 2 3 2 4 2 7" xfId="12140"/>
    <cellStyle name="Normal 2 3 2 3 2 4 3" xfId="12141"/>
    <cellStyle name="Normal 2 3 2 3 2 4 3 2" xfId="12142"/>
    <cellStyle name="Normal 2 3 2 3 2 4 3 2 2" xfId="12143"/>
    <cellStyle name="Normal 2 3 2 3 2 4 3 2 2 2" xfId="12144"/>
    <cellStyle name="Normal 2 3 2 3 2 4 3 2 2 3" xfId="12145"/>
    <cellStyle name="Normal 2 3 2 3 2 4 3 2 3" xfId="12146"/>
    <cellStyle name="Normal 2 3 2 3 2 4 3 2 3 2" xfId="12147"/>
    <cellStyle name="Normal 2 3 2 3 2 4 3 2 4" xfId="12148"/>
    <cellStyle name="Normal 2 3 2 3 2 4 3 3" xfId="12149"/>
    <cellStyle name="Normal 2 3 2 3 2 4 3 3 2" xfId="12150"/>
    <cellStyle name="Normal 2 3 2 3 2 4 3 3 3" xfId="12151"/>
    <cellStyle name="Normal 2 3 2 3 2 4 3 4" xfId="12152"/>
    <cellStyle name="Normal 2 3 2 3 2 4 3 4 2" xfId="12153"/>
    <cellStyle name="Normal 2 3 2 3 2 4 3 4 3" xfId="12154"/>
    <cellStyle name="Normal 2 3 2 3 2 4 3 5" xfId="12155"/>
    <cellStyle name="Normal 2 3 2 3 2 4 3 5 2" xfId="12156"/>
    <cellStyle name="Normal 2 3 2 3 2 4 3 6" xfId="12157"/>
    <cellStyle name="Normal 2 3 2 3 2 4 4" xfId="12158"/>
    <cellStyle name="Normal 2 3 2 3 2 4 4 2" xfId="12159"/>
    <cellStyle name="Normal 2 3 2 3 2 4 4 2 2" xfId="12160"/>
    <cellStyle name="Normal 2 3 2 3 2 4 4 2 2 2" xfId="12161"/>
    <cellStyle name="Normal 2 3 2 3 2 4 4 2 3" xfId="12162"/>
    <cellStyle name="Normal 2 3 2 3 2 4 4 3" xfId="12163"/>
    <cellStyle name="Normal 2 3 2 3 2 4 4 3 2" xfId="12164"/>
    <cellStyle name="Normal 2 3 2 3 2 4 4 4" xfId="12165"/>
    <cellStyle name="Normal 2 3 2 3 2 4 5" xfId="12166"/>
    <cellStyle name="Normal 2 3 2 3 2 4 5 2" xfId="12167"/>
    <cellStyle name="Normal 2 3 2 3 2 4 5 2 2" xfId="12168"/>
    <cellStyle name="Normal 2 3 2 3 2 4 5 3" xfId="12169"/>
    <cellStyle name="Normal 2 3 2 3 2 4 6" xfId="12170"/>
    <cellStyle name="Normal 2 3 2 3 2 4 6 2" xfId="12171"/>
    <cellStyle name="Normal 2 3 2 3 2 4 6 2 2" xfId="12172"/>
    <cellStyle name="Normal 2 3 2 3 2 4 6 3" xfId="12173"/>
    <cellStyle name="Normal 2 3 2 3 2 4 7" xfId="12174"/>
    <cellStyle name="Normal 2 3 2 3 2 4 7 2" xfId="12175"/>
    <cellStyle name="Normal 2 3 2 3 2 4 8" xfId="12176"/>
    <cellStyle name="Normal 2 3 2 3 2 5" xfId="12177"/>
    <cellStyle name="Normal 2 3 2 3 2 5 2" xfId="12178"/>
    <cellStyle name="Normal 2 3 2 3 2 5 2 2" xfId="12179"/>
    <cellStyle name="Normal 2 3 2 3 2 5 2 2 2" xfId="12180"/>
    <cellStyle name="Normal 2 3 2 3 2 5 2 2 2 2" xfId="12181"/>
    <cellStyle name="Normal 2 3 2 3 2 5 2 2 2 3" xfId="12182"/>
    <cellStyle name="Normal 2 3 2 3 2 5 2 2 3" xfId="12183"/>
    <cellStyle name="Normal 2 3 2 3 2 5 2 2 3 2" xfId="12184"/>
    <cellStyle name="Normal 2 3 2 3 2 5 2 2 4" xfId="12185"/>
    <cellStyle name="Normal 2 3 2 3 2 5 2 3" xfId="12186"/>
    <cellStyle name="Normal 2 3 2 3 2 5 2 3 2" xfId="12187"/>
    <cellStyle name="Normal 2 3 2 3 2 5 2 3 3" xfId="12188"/>
    <cellStyle name="Normal 2 3 2 3 2 5 2 4" xfId="12189"/>
    <cellStyle name="Normal 2 3 2 3 2 5 2 4 2" xfId="12190"/>
    <cellStyle name="Normal 2 3 2 3 2 5 2 4 3" xfId="12191"/>
    <cellStyle name="Normal 2 3 2 3 2 5 2 5" xfId="12192"/>
    <cellStyle name="Normal 2 3 2 3 2 5 2 5 2" xfId="12193"/>
    <cellStyle name="Normal 2 3 2 3 2 5 2 6" xfId="12194"/>
    <cellStyle name="Normal 2 3 2 3 2 5 3" xfId="12195"/>
    <cellStyle name="Normal 2 3 2 3 2 5 3 2" xfId="12196"/>
    <cellStyle name="Normal 2 3 2 3 2 5 3 2 2" xfId="12197"/>
    <cellStyle name="Normal 2 3 2 3 2 5 3 2 2 2" xfId="12198"/>
    <cellStyle name="Normal 2 3 2 3 2 5 3 2 3" xfId="12199"/>
    <cellStyle name="Normal 2 3 2 3 2 5 3 3" xfId="12200"/>
    <cellStyle name="Normal 2 3 2 3 2 5 3 3 2" xfId="12201"/>
    <cellStyle name="Normal 2 3 2 3 2 5 3 4" xfId="12202"/>
    <cellStyle name="Normal 2 3 2 3 2 5 4" xfId="12203"/>
    <cellStyle name="Normal 2 3 2 3 2 5 4 2" xfId="12204"/>
    <cellStyle name="Normal 2 3 2 3 2 5 4 2 2" xfId="12205"/>
    <cellStyle name="Normal 2 3 2 3 2 5 4 3" xfId="12206"/>
    <cellStyle name="Normal 2 3 2 3 2 5 4 4" xfId="12207"/>
    <cellStyle name="Normal 2 3 2 3 2 5 5" xfId="12208"/>
    <cellStyle name="Normal 2 3 2 3 2 5 5 2" xfId="12209"/>
    <cellStyle name="Normal 2 3 2 3 2 5 5 2 2" xfId="12210"/>
    <cellStyle name="Normal 2 3 2 3 2 5 5 3" xfId="12211"/>
    <cellStyle name="Normal 2 3 2 3 2 5 6" xfId="12212"/>
    <cellStyle name="Normal 2 3 2 3 2 5 6 2" xfId="12213"/>
    <cellStyle name="Normal 2 3 2 3 2 5 7" xfId="12214"/>
    <cellStyle name="Normal 2 3 2 3 2 5 8" xfId="12215"/>
    <cellStyle name="Normal 2 3 2 3 2 6" xfId="12216"/>
    <cellStyle name="Normal 2 3 2 3 2 6 2" xfId="12217"/>
    <cellStyle name="Normal 2 3 2 3 2 6 2 2" xfId="12218"/>
    <cellStyle name="Normal 2 3 2 3 2 6 2 2 2" xfId="12219"/>
    <cellStyle name="Normal 2 3 2 3 2 6 2 2 2 2" xfId="12220"/>
    <cellStyle name="Normal 2 3 2 3 2 6 2 2 3" xfId="12221"/>
    <cellStyle name="Normal 2 3 2 3 2 6 2 3" xfId="12222"/>
    <cellStyle name="Normal 2 3 2 3 2 6 2 3 2" xfId="12223"/>
    <cellStyle name="Normal 2 3 2 3 2 6 2 4" xfId="12224"/>
    <cellStyle name="Normal 2 3 2 3 2 6 3" xfId="12225"/>
    <cellStyle name="Normal 2 3 2 3 2 6 3 2" xfId="12226"/>
    <cellStyle name="Normal 2 3 2 3 2 6 3 2 2" xfId="12227"/>
    <cellStyle name="Normal 2 3 2 3 2 6 3 3" xfId="12228"/>
    <cellStyle name="Normal 2 3 2 3 2 6 3 4" xfId="12229"/>
    <cellStyle name="Normal 2 3 2 3 2 6 4" xfId="12230"/>
    <cellStyle name="Normal 2 3 2 3 2 6 4 2" xfId="12231"/>
    <cellStyle name="Normal 2 3 2 3 2 6 4 2 2" xfId="12232"/>
    <cellStyle name="Normal 2 3 2 3 2 6 4 3" xfId="12233"/>
    <cellStyle name="Normal 2 3 2 3 2 6 5" xfId="12234"/>
    <cellStyle name="Normal 2 3 2 3 2 6 5 2" xfId="12235"/>
    <cellStyle name="Normal 2 3 2 3 2 6 6" xfId="12236"/>
    <cellStyle name="Normal 2 3 2 3 2 6 7" xfId="12237"/>
    <cellStyle name="Normal 2 3 2 3 2 7" xfId="12238"/>
    <cellStyle name="Normal 2 3 2 3 2 7 2" xfId="12239"/>
    <cellStyle name="Normal 2 3 2 3 2 7 2 2" xfId="12240"/>
    <cellStyle name="Normal 2 3 2 3 2 7 2 2 2" xfId="12241"/>
    <cellStyle name="Normal 2 3 2 3 2 7 2 3" xfId="12242"/>
    <cellStyle name="Normal 2 3 2 3 2 7 3" xfId="12243"/>
    <cellStyle name="Normal 2 3 2 3 2 7 3 2" xfId="12244"/>
    <cellStyle name="Normal 2 3 2 3 2 7 4" xfId="12245"/>
    <cellStyle name="Normal 2 3 2 3 2 8" xfId="12246"/>
    <cellStyle name="Normal 2 3 2 3 2 8 2" xfId="12247"/>
    <cellStyle name="Normal 2 3 2 3 2 8 2 2" xfId="12248"/>
    <cellStyle name="Normal 2 3 2 3 2 8 3" xfId="12249"/>
    <cellStyle name="Normal 2 3 2 3 2 8 4" xfId="12250"/>
    <cellStyle name="Normal 2 3 2 3 2 9" xfId="12251"/>
    <cellStyle name="Normal 2 3 2 3 2 9 2" xfId="12252"/>
    <cellStyle name="Normal 2 3 2 3 2 9 2 2" xfId="12253"/>
    <cellStyle name="Normal 2 3 2 3 2 9 3" xfId="12254"/>
    <cellStyle name="Normal 2 3 2 3 2 9 4" xfId="12255"/>
    <cellStyle name="Normal 2 3 2 3 3" xfId="12256"/>
    <cellStyle name="Normal 2 3 2 3 3 10" xfId="12257"/>
    <cellStyle name="Normal 2 3 2 3 3 11" xfId="12258"/>
    <cellStyle name="Normal 2 3 2 3 3 12" xfId="12259"/>
    <cellStyle name="Normal 2 3 2 3 3 2" xfId="12260"/>
    <cellStyle name="Normal 2 3 2 3 3 2 2" xfId="12261"/>
    <cellStyle name="Normal 2 3 2 3 3 2 2 2" xfId="12262"/>
    <cellStyle name="Normal 2 3 2 3 3 2 2 2 2" xfId="12263"/>
    <cellStyle name="Normal 2 3 2 3 3 2 2 2 2 2" xfId="12264"/>
    <cellStyle name="Normal 2 3 2 3 3 2 2 2 2 3" xfId="12265"/>
    <cellStyle name="Normal 2 3 2 3 3 2 2 2 3" xfId="12266"/>
    <cellStyle name="Normal 2 3 2 3 3 2 2 2 3 2" xfId="12267"/>
    <cellStyle name="Normal 2 3 2 3 3 2 2 2 4" xfId="12268"/>
    <cellStyle name="Normal 2 3 2 3 3 2 2 3" xfId="12269"/>
    <cellStyle name="Normal 2 3 2 3 3 2 2 3 2" xfId="12270"/>
    <cellStyle name="Normal 2 3 2 3 3 2 2 3 3" xfId="12271"/>
    <cellStyle name="Normal 2 3 2 3 3 2 2 4" xfId="12272"/>
    <cellStyle name="Normal 2 3 2 3 3 2 2 4 2" xfId="12273"/>
    <cellStyle name="Normal 2 3 2 3 3 2 2 4 3" xfId="12274"/>
    <cellStyle name="Normal 2 3 2 3 3 2 2 5" xfId="12275"/>
    <cellStyle name="Normal 2 3 2 3 3 2 2 5 2" xfId="12276"/>
    <cellStyle name="Normal 2 3 2 3 3 2 2 6" xfId="12277"/>
    <cellStyle name="Normal 2 3 2 3 3 2 3" xfId="12278"/>
    <cellStyle name="Normal 2 3 2 3 3 2 3 2" xfId="12279"/>
    <cellStyle name="Normal 2 3 2 3 3 2 3 2 2" xfId="12280"/>
    <cellStyle name="Normal 2 3 2 3 3 2 3 2 2 2" xfId="12281"/>
    <cellStyle name="Normal 2 3 2 3 3 2 3 2 3" xfId="12282"/>
    <cellStyle name="Normal 2 3 2 3 3 2 3 3" xfId="12283"/>
    <cellStyle name="Normal 2 3 2 3 3 2 3 3 2" xfId="12284"/>
    <cellStyle name="Normal 2 3 2 3 3 2 3 4" xfId="12285"/>
    <cellStyle name="Normal 2 3 2 3 3 2 4" xfId="12286"/>
    <cellStyle name="Normal 2 3 2 3 3 2 4 2" xfId="12287"/>
    <cellStyle name="Normal 2 3 2 3 3 2 4 2 2" xfId="12288"/>
    <cellStyle name="Normal 2 3 2 3 3 2 4 3" xfId="12289"/>
    <cellStyle name="Normal 2 3 2 3 3 2 4 4" xfId="12290"/>
    <cellStyle name="Normal 2 3 2 3 3 2 5" xfId="12291"/>
    <cellStyle name="Normal 2 3 2 3 3 2 5 2" xfId="12292"/>
    <cellStyle name="Normal 2 3 2 3 3 2 5 2 2" xfId="12293"/>
    <cellStyle name="Normal 2 3 2 3 3 2 5 3" xfId="12294"/>
    <cellStyle name="Normal 2 3 2 3 3 2 6" xfId="12295"/>
    <cellStyle name="Normal 2 3 2 3 3 2 6 2" xfId="12296"/>
    <cellStyle name="Normal 2 3 2 3 3 2 7" xfId="12297"/>
    <cellStyle name="Normal 2 3 2 3 3 2 8" xfId="12298"/>
    <cellStyle name="Normal 2 3 2 3 3 3" xfId="12299"/>
    <cellStyle name="Normal 2 3 2 3 3 3 2" xfId="12300"/>
    <cellStyle name="Normal 2 3 2 3 3 3 2 2" xfId="12301"/>
    <cellStyle name="Normal 2 3 2 3 3 3 2 2 2" xfId="12302"/>
    <cellStyle name="Normal 2 3 2 3 3 3 2 2 2 2" xfId="12303"/>
    <cellStyle name="Normal 2 3 2 3 3 3 2 2 3" xfId="12304"/>
    <cellStyle name="Normal 2 3 2 3 3 3 2 3" xfId="12305"/>
    <cellStyle name="Normal 2 3 2 3 3 3 2 3 2" xfId="12306"/>
    <cellStyle name="Normal 2 3 2 3 3 3 2 4" xfId="12307"/>
    <cellStyle name="Normal 2 3 2 3 3 3 3" xfId="12308"/>
    <cellStyle name="Normal 2 3 2 3 3 3 3 2" xfId="12309"/>
    <cellStyle name="Normal 2 3 2 3 3 3 3 2 2" xfId="12310"/>
    <cellStyle name="Normal 2 3 2 3 3 3 3 3" xfId="12311"/>
    <cellStyle name="Normal 2 3 2 3 3 3 3 4" xfId="12312"/>
    <cellStyle name="Normal 2 3 2 3 3 3 4" xfId="12313"/>
    <cellStyle name="Normal 2 3 2 3 3 3 4 2" xfId="12314"/>
    <cellStyle name="Normal 2 3 2 3 3 3 4 2 2" xfId="12315"/>
    <cellStyle name="Normal 2 3 2 3 3 3 4 3" xfId="12316"/>
    <cellStyle name="Normal 2 3 2 3 3 3 4 4" xfId="12317"/>
    <cellStyle name="Normal 2 3 2 3 3 3 5" xfId="12318"/>
    <cellStyle name="Normal 2 3 2 3 3 3 5 2" xfId="12319"/>
    <cellStyle name="Normal 2 3 2 3 3 3 6" xfId="12320"/>
    <cellStyle name="Normal 2 3 2 3 3 3 7" xfId="12321"/>
    <cellStyle name="Normal 2 3 2 3 3 3 8" xfId="12322"/>
    <cellStyle name="Normal 2 3 2 3 3 4" xfId="12323"/>
    <cellStyle name="Normal 2 3 2 3 3 4 2" xfId="12324"/>
    <cellStyle name="Normal 2 3 2 3 3 4 2 2" xfId="12325"/>
    <cellStyle name="Normal 2 3 2 3 3 4 2 2 2" xfId="12326"/>
    <cellStyle name="Normal 2 3 2 3 3 4 2 3" xfId="12327"/>
    <cellStyle name="Normal 2 3 2 3 3 4 2 4" xfId="12328"/>
    <cellStyle name="Normal 2 3 2 3 3 4 3" xfId="12329"/>
    <cellStyle name="Normal 2 3 2 3 3 4 3 2" xfId="12330"/>
    <cellStyle name="Normal 2 3 2 3 3 4 3 3" xfId="12331"/>
    <cellStyle name="Normal 2 3 2 3 3 4 4" xfId="12332"/>
    <cellStyle name="Normal 2 3 2 3 3 4 4 2" xfId="12333"/>
    <cellStyle name="Normal 2 3 2 3 3 4 5" xfId="12334"/>
    <cellStyle name="Normal 2 3 2 3 3 4 6" xfId="12335"/>
    <cellStyle name="Normal 2 3 2 3 3 4 7" xfId="12336"/>
    <cellStyle name="Normal 2 3 2 3 3 4 8" xfId="12337"/>
    <cellStyle name="Normal 2 3 2 3 3 5" xfId="12338"/>
    <cellStyle name="Normal 2 3 2 3 3 5 2" xfId="12339"/>
    <cellStyle name="Normal 2 3 2 3 3 5 2 2" xfId="12340"/>
    <cellStyle name="Normal 2 3 2 3 3 5 2 3" xfId="12341"/>
    <cellStyle name="Normal 2 3 2 3 3 5 3" xfId="12342"/>
    <cellStyle name="Normal 2 3 2 3 3 5 3 2" xfId="12343"/>
    <cellStyle name="Normal 2 3 2 3 3 5 4" xfId="12344"/>
    <cellStyle name="Normal 2 3 2 3 3 5 5" xfId="12345"/>
    <cellStyle name="Normal 2 3 2 3 3 5 6" xfId="12346"/>
    <cellStyle name="Normal 2 3 2 3 3 5 7" xfId="12347"/>
    <cellStyle name="Normal 2 3 2 3 3 6" xfId="12348"/>
    <cellStyle name="Normal 2 3 2 3 3 6 2" xfId="12349"/>
    <cellStyle name="Normal 2 3 2 3 3 6 2 2" xfId="12350"/>
    <cellStyle name="Normal 2 3 2 3 3 6 3" xfId="12351"/>
    <cellStyle name="Normal 2 3 2 3 3 6 4" xfId="12352"/>
    <cellStyle name="Normal 2 3 2 3 3 7" xfId="12353"/>
    <cellStyle name="Normal 2 3 2 3 3 7 2" xfId="12354"/>
    <cellStyle name="Normal 2 3 2 3 3 7 3" xfId="12355"/>
    <cellStyle name="Normal 2 3 2 3 3 8" xfId="12356"/>
    <cellStyle name="Normal 2 3 2 3 3 8 2" xfId="12357"/>
    <cellStyle name="Normal 2 3 2 3 3 9" xfId="12358"/>
    <cellStyle name="Normal 2 3 2 3 4" xfId="12359"/>
    <cellStyle name="Normal 2 3 2 3 4 10" xfId="12360"/>
    <cellStyle name="Normal 2 3 2 3 4 11" xfId="12361"/>
    <cellStyle name="Normal 2 3 2 3 4 12" xfId="12362"/>
    <cellStyle name="Normal 2 3 2 3 4 2" xfId="12363"/>
    <cellStyle name="Normal 2 3 2 3 4 2 2" xfId="12364"/>
    <cellStyle name="Normal 2 3 2 3 4 2 2 2" xfId="12365"/>
    <cellStyle name="Normal 2 3 2 3 4 2 2 2 2" xfId="12366"/>
    <cellStyle name="Normal 2 3 2 3 4 2 2 2 2 2" xfId="12367"/>
    <cellStyle name="Normal 2 3 2 3 4 2 2 2 2 3" xfId="12368"/>
    <cellStyle name="Normal 2 3 2 3 4 2 2 2 3" xfId="12369"/>
    <cellStyle name="Normal 2 3 2 3 4 2 2 2 3 2" xfId="12370"/>
    <cellStyle name="Normal 2 3 2 3 4 2 2 2 4" xfId="12371"/>
    <cellStyle name="Normal 2 3 2 3 4 2 2 3" xfId="12372"/>
    <cellStyle name="Normal 2 3 2 3 4 2 2 3 2" xfId="12373"/>
    <cellStyle name="Normal 2 3 2 3 4 2 2 3 3" xfId="12374"/>
    <cellStyle name="Normal 2 3 2 3 4 2 2 4" xfId="12375"/>
    <cellStyle name="Normal 2 3 2 3 4 2 2 4 2" xfId="12376"/>
    <cellStyle name="Normal 2 3 2 3 4 2 2 4 3" xfId="12377"/>
    <cellStyle name="Normal 2 3 2 3 4 2 2 5" xfId="12378"/>
    <cellStyle name="Normal 2 3 2 3 4 2 2 5 2" xfId="12379"/>
    <cellStyle name="Normal 2 3 2 3 4 2 2 6" xfId="12380"/>
    <cellStyle name="Normal 2 3 2 3 4 2 3" xfId="12381"/>
    <cellStyle name="Normal 2 3 2 3 4 2 3 2" xfId="12382"/>
    <cellStyle name="Normal 2 3 2 3 4 2 3 2 2" xfId="12383"/>
    <cellStyle name="Normal 2 3 2 3 4 2 3 2 2 2" xfId="12384"/>
    <cellStyle name="Normal 2 3 2 3 4 2 3 2 3" xfId="12385"/>
    <cellStyle name="Normal 2 3 2 3 4 2 3 3" xfId="12386"/>
    <cellStyle name="Normal 2 3 2 3 4 2 3 3 2" xfId="12387"/>
    <cellStyle name="Normal 2 3 2 3 4 2 3 4" xfId="12388"/>
    <cellStyle name="Normal 2 3 2 3 4 2 4" xfId="12389"/>
    <cellStyle name="Normal 2 3 2 3 4 2 4 2" xfId="12390"/>
    <cellStyle name="Normal 2 3 2 3 4 2 4 2 2" xfId="12391"/>
    <cellStyle name="Normal 2 3 2 3 4 2 4 3" xfId="12392"/>
    <cellStyle name="Normal 2 3 2 3 4 2 4 4" xfId="12393"/>
    <cellStyle name="Normal 2 3 2 3 4 2 5" xfId="12394"/>
    <cellStyle name="Normal 2 3 2 3 4 2 5 2" xfId="12395"/>
    <cellStyle name="Normal 2 3 2 3 4 2 5 2 2" xfId="12396"/>
    <cellStyle name="Normal 2 3 2 3 4 2 5 3" xfId="12397"/>
    <cellStyle name="Normal 2 3 2 3 4 2 6" xfId="12398"/>
    <cellStyle name="Normal 2 3 2 3 4 2 6 2" xfId="12399"/>
    <cellStyle name="Normal 2 3 2 3 4 2 7" xfId="12400"/>
    <cellStyle name="Normal 2 3 2 3 4 2 8" xfId="12401"/>
    <cellStyle name="Normal 2 3 2 3 4 3" xfId="12402"/>
    <cellStyle name="Normal 2 3 2 3 4 3 2" xfId="12403"/>
    <cellStyle name="Normal 2 3 2 3 4 3 2 2" xfId="12404"/>
    <cellStyle name="Normal 2 3 2 3 4 3 2 2 2" xfId="12405"/>
    <cellStyle name="Normal 2 3 2 3 4 3 2 2 2 2" xfId="12406"/>
    <cellStyle name="Normal 2 3 2 3 4 3 2 2 3" xfId="12407"/>
    <cellStyle name="Normal 2 3 2 3 4 3 2 3" xfId="12408"/>
    <cellStyle name="Normal 2 3 2 3 4 3 2 3 2" xfId="12409"/>
    <cellStyle name="Normal 2 3 2 3 4 3 2 4" xfId="12410"/>
    <cellStyle name="Normal 2 3 2 3 4 3 3" xfId="12411"/>
    <cellStyle name="Normal 2 3 2 3 4 3 3 2" xfId="12412"/>
    <cellStyle name="Normal 2 3 2 3 4 3 3 2 2" xfId="12413"/>
    <cellStyle name="Normal 2 3 2 3 4 3 3 3" xfId="12414"/>
    <cellStyle name="Normal 2 3 2 3 4 3 3 4" xfId="12415"/>
    <cellStyle name="Normal 2 3 2 3 4 3 4" xfId="12416"/>
    <cellStyle name="Normal 2 3 2 3 4 3 4 2" xfId="12417"/>
    <cellStyle name="Normal 2 3 2 3 4 3 4 2 2" xfId="12418"/>
    <cellStyle name="Normal 2 3 2 3 4 3 4 3" xfId="12419"/>
    <cellStyle name="Normal 2 3 2 3 4 3 4 4" xfId="12420"/>
    <cellStyle name="Normal 2 3 2 3 4 3 5" xfId="12421"/>
    <cellStyle name="Normal 2 3 2 3 4 3 5 2" xfId="12422"/>
    <cellStyle name="Normal 2 3 2 3 4 3 6" xfId="12423"/>
    <cellStyle name="Normal 2 3 2 3 4 3 7" xfId="12424"/>
    <cellStyle name="Normal 2 3 2 3 4 3 8" xfId="12425"/>
    <cellStyle name="Normal 2 3 2 3 4 4" xfId="12426"/>
    <cellStyle name="Normal 2 3 2 3 4 4 2" xfId="12427"/>
    <cellStyle name="Normal 2 3 2 3 4 4 2 2" xfId="12428"/>
    <cellStyle name="Normal 2 3 2 3 4 4 2 2 2" xfId="12429"/>
    <cellStyle name="Normal 2 3 2 3 4 4 2 3" xfId="12430"/>
    <cellStyle name="Normal 2 3 2 3 4 4 2 4" xfId="12431"/>
    <cellStyle name="Normal 2 3 2 3 4 4 3" xfId="12432"/>
    <cellStyle name="Normal 2 3 2 3 4 4 3 2" xfId="12433"/>
    <cellStyle name="Normal 2 3 2 3 4 4 3 3" xfId="12434"/>
    <cellStyle name="Normal 2 3 2 3 4 4 4" xfId="12435"/>
    <cellStyle name="Normal 2 3 2 3 4 4 4 2" xfId="12436"/>
    <cellStyle name="Normal 2 3 2 3 4 4 5" xfId="12437"/>
    <cellStyle name="Normal 2 3 2 3 4 4 6" xfId="12438"/>
    <cellStyle name="Normal 2 3 2 3 4 4 7" xfId="12439"/>
    <cellStyle name="Normal 2 3 2 3 4 4 8" xfId="12440"/>
    <cellStyle name="Normal 2 3 2 3 4 5" xfId="12441"/>
    <cellStyle name="Normal 2 3 2 3 4 5 2" xfId="12442"/>
    <cellStyle name="Normal 2 3 2 3 4 5 2 2" xfId="12443"/>
    <cellStyle name="Normal 2 3 2 3 4 5 2 3" xfId="12444"/>
    <cellStyle name="Normal 2 3 2 3 4 5 3" xfId="12445"/>
    <cellStyle name="Normal 2 3 2 3 4 5 3 2" xfId="12446"/>
    <cellStyle name="Normal 2 3 2 3 4 5 4" xfId="12447"/>
    <cellStyle name="Normal 2 3 2 3 4 5 5" xfId="12448"/>
    <cellStyle name="Normal 2 3 2 3 4 5 6" xfId="12449"/>
    <cellStyle name="Normal 2 3 2 3 4 5 7" xfId="12450"/>
    <cellStyle name="Normal 2 3 2 3 4 6" xfId="12451"/>
    <cellStyle name="Normal 2 3 2 3 4 6 2" xfId="12452"/>
    <cellStyle name="Normal 2 3 2 3 4 6 2 2" xfId="12453"/>
    <cellStyle name="Normal 2 3 2 3 4 6 3" xfId="12454"/>
    <cellStyle name="Normal 2 3 2 3 4 6 4" xfId="12455"/>
    <cellStyle name="Normal 2 3 2 3 4 7" xfId="12456"/>
    <cellStyle name="Normal 2 3 2 3 4 7 2" xfId="12457"/>
    <cellStyle name="Normal 2 3 2 3 4 7 3" xfId="12458"/>
    <cellStyle name="Normal 2 3 2 3 4 8" xfId="12459"/>
    <cellStyle name="Normal 2 3 2 3 4 8 2" xfId="12460"/>
    <cellStyle name="Normal 2 3 2 3 4 9" xfId="12461"/>
    <cellStyle name="Normal 2 3 2 3 5" xfId="12462"/>
    <cellStyle name="Normal 2 3 2 3 5 2" xfId="12463"/>
    <cellStyle name="Normal 2 3 2 3 5 2 2" xfId="12464"/>
    <cellStyle name="Normal 2 3 2 3 5 2 2 2" xfId="12465"/>
    <cellStyle name="Normal 2 3 2 3 5 2 2 2 2" xfId="12466"/>
    <cellStyle name="Normal 2 3 2 3 5 2 2 2 2 2" xfId="12467"/>
    <cellStyle name="Normal 2 3 2 3 5 2 2 2 2 3" xfId="12468"/>
    <cellStyle name="Normal 2 3 2 3 5 2 2 2 3" xfId="12469"/>
    <cellStyle name="Normal 2 3 2 3 5 2 2 2 4" xfId="12470"/>
    <cellStyle name="Normal 2 3 2 3 5 2 2 3" xfId="12471"/>
    <cellStyle name="Normal 2 3 2 3 5 2 2 3 2" xfId="12472"/>
    <cellStyle name="Normal 2 3 2 3 5 2 2 3 3" xfId="12473"/>
    <cellStyle name="Normal 2 3 2 3 5 2 2 4" xfId="12474"/>
    <cellStyle name="Normal 2 3 2 3 5 2 2 4 2" xfId="12475"/>
    <cellStyle name="Normal 2 3 2 3 5 2 2 4 3" xfId="12476"/>
    <cellStyle name="Normal 2 3 2 3 5 2 2 5" xfId="12477"/>
    <cellStyle name="Normal 2 3 2 3 5 2 2 5 2" xfId="12478"/>
    <cellStyle name="Normal 2 3 2 3 5 2 2 6" xfId="12479"/>
    <cellStyle name="Normal 2 3 2 3 5 2 3" xfId="12480"/>
    <cellStyle name="Normal 2 3 2 3 5 2 3 2" xfId="12481"/>
    <cellStyle name="Normal 2 3 2 3 5 2 3 2 2" xfId="12482"/>
    <cellStyle name="Normal 2 3 2 3 5 2 3 2 3" xfId="12483"/>
    <cellStyle name="Normal 2 3 2 3 5 2 3 3" xfId="12484"/>
    <cellStyle name="Normal 2 3 2 3 5 2 3 4" xfId="12485"/>
    <cellStyle name="Normal 2 3 2 3 5 2 4" xfId="12486"/>
    <cellStyle name="Normal 2 3 2 3 5 2 4 2" xfId="12487"/>
    <cellStyle name="Normal 2 3 2 3 5 2 4 3" xfId="12488"/>
    <cellStyle name="Normal 2 3 2 3 5 2 5" xfId="12489"/>
    <cellStyle name="Normal 2 3 2 3 5 2 5 2" xfId="12490"/>
    <cellStyle name="Normal 2 3 2 3 5 2 5 3" xfId="12491"/>
    <cellStyle name="Normal 2 3 2 3 5 2 6" xfId="12492"/>
    <cellStyle name="Normal 2 3 2 3 5 2 6 2" xfId="12493"/>
    <cellStyle name="Normal 2 3 2 3 5 2 7" xfId="12494"/>
    <cellStyle name="Normal 2 3 2 3 5 3" xfId="12495"/>
    <cellStyle name="Normal 2 3 2 3 5 3 2" xfId="12496"/>
    <cellStyle name="Normal 2 3 2 3 5 3 2 2" xfId="12497"/>
    <cellStyle name="Normal 2 3 2 3 5 3 2 2 2" xfId="12498"/>
    <cellStyle name="Normal 2 3 2 3 5 3 2 2 3" xfId="12499"/>
    <cellStyle name="Normal 2 3 2 3 5 3 2 3" xfId="12500"/>
    <cellStyle name="Normal 2 3 2 3 5 3 2 3 2" xfId="12501"/>
    <cellStyle name="Normal 2 3 2 3 5 3 2 4" xfId="12502"/>
    <cellStyle name="Normal 2 3 2 3 5 3 3" xfId="12503"/>
    <cellStyle name="Normal 2 3 2 3 5 3 3 2" xfId="12504"/>
    <cellStyle name="Normal 2 3 2 3 5 3 3 3" xfId="12505"/>
    <cellStyle name="Normal 2 3 2 3 5 3 4" xfId="12506"/>
    <cellStyle name="Normal 2 3 2 3 5 3 4 2" xfId="12507"/>
    <cellStyle name="Normal 2 3 2 3 5 3 4 3" xfId="12508"/>
    <cellStyle name="Normal 2 3 2 3 5 3 5" xfId="12509"/>
    <cellStyle name="Normal 2 3 2 3 5 3 5 2" xfId="12510"/>
    <cellStyle name="Normal 2 3 2 3 5 3 6" xfId="12511"/>
    <cellStyle name="Normal 2 3 2 3 5 4" xfId="12512"/>
    <cellStyle name="Normal 2 3 2 3 5 4 2" xfId="12513"/>
    <cellStyle name="Normal 2 3 2 3 5 4 2 2" xfId="12514"/>
    <cellStyle name="Normal 2 3 2 3 5 4 2 2 2" xfId="12515"/>
    <cellStyle name="Normal 2 3 2 3 5 4 2 3" xfId="12516"/>
    <cellStyle name="Normal 2 3 2 3 5 4 3" xfId="12517"/>
    <cellStyle name="Normal 2 3 2 3 5 4 3 2" xfId="12518"/>
    <cellStyle name="Normal 2 3 2 3 5 4 4" xfId="12519"/>
    <cellStyle name="Normal 2 3 2 3 5 5" xfId="12520"/>
    <cellStyle name="Normal 2 3 2 3 5 5 2" xfId="12521"/>
    <cellStyle name="Normal 2 3 2 3 5 5 2 2" xfId="12522"/>
    <cellStyle name="Normal 2 3 2 3 5 5 3" xfId="12523"/>
    <cellStyle name="Normal 2 3 2 3 5 6" xfId="12524"/>
    <cellStyle name="Normal 2 3 2 3 5 6 2" xfId="12525"/>
    <cellStyle name="Normal 2 3 2 3 5 6 2 2" xfId="12526"/>
    <cellStyle name="Normal 2 3 2 3 5 6 3" xfId="12527"/>
    <cellStyle name="Normal 2 3 2 3 5 7" xfId="12528"/>
    <cellStyle name="Normal 2 3 2 3 5 7 2" xfId="12529"/>
    <cellStyle name="Normal 2 3 2 3 5 8" xfId="12530"/>
    <cellStyle name="Normal 2 3 2 3 6" xfId="12531"/>
    <cellStyle name="Normal 2 3 2 3 6 2" xfId="12532"/>
    <cellStyle name="Normal 2 3 2 3 6 2 2" xfId="12533"/>
    <cellStyle name="Normal 2 3 2 3 6 2 2 2" xfId="12534"/>
    <cellStyle name="Normal 2 3 2 3 6 2 2 2 2" xfId="12535"/>
    <cellStyle name="Normal 2 3 2 3 6 2 2 2 3" xfId="12536"/>
    <cellStyle name="Normal 2 3 2 3 6 2 2 3" xfId="12537"/>
    <cellStyle name="Normal 2 3 2 3 6 2 2 3 2" xfId="12538"/>
    <cellStyle name="Normal 2 3 2 3 6 2 2 4" xfId="12539"/>
    <cellStyle name="Normal 2 3 2 3 6 2 3" xfId="12540"/>
    <cellStyle name="Normal 2 3 2 3 6 2 3 2" xfId="12541"/>
    <cellStyle name="Normal 2 3 2 3 6 2 3 3" xfId="12542"/>
    <cellStyle name="Normal 2 3 2 3 6 2 4" xfId="12543"/>
    <cellStyle name="Normal 2 3 2 3 6 2 4 2" xfId="12544"/>
    <cellStyle name="Normal 2 3 2 3 6 2 4 3" xfId="12545"/>
    <cellStyle name="Normal 2 3 2 3 6 2 5" xfId="12546"/>
    <cellStyle name="Normal 2 3 2 3 6 2 5 2" xfId="12547"/>
    <cellStyle name="Normal 2 3 2 3 6 2 6" xfId="12548"/>
    <cellStyle name="Normal 2 3 2 3 6 3" xfId="12549"/>
    <cellStyle name="Normal 2 3 2 3 6 3 2" xfId="12550"/>
    <cellStyle name="Normal 2 3 2 3 6 3 2 2" xfId="12551"/>
    <cellStyle name="Normal 2 3 2 3 6 3 2 2 2" xfId="12552"/>
    <cellStyle name="Normal 2 3 2 3 6 3 2 3" xfId="12553"/>
    <cellStyle name="Normal 2 3 2 3 6 3 3" xfId="12554"/>
    <cellStyle name="Normal 2 3 2 3 6 3 3 2" xfId="12555"/>
    <cellStyle name="Normal 2 3 2 3 6 3 4" xfId="12556"/>
    <cellStyle name="Normal 2 3 2 3 6 4" xfId="12557"/>
    <cellStyle name="Normal 2 3 2 3 6 4 2" xfId="12558"/>
    <cellStyle name="Normal 2 3 2 3 6 4 2 2" xfId="12559"/>
    <cellStyle name="Normal 2 3 2 3 6 4 3" xfId="12560"/>
    <cellStyle name="Normal 2 3 2 3 6 4 4" xfId="12561"/>
    <cellStyle name="Normal 2 3 2 3 6 5" xfId="12562"/>
    <cellStyle name="Normal 2 3 2 3 6 5 2" xfId="12563"/>
    <cellStyle name="Normal 2 3 2 3 6 5 2 2" xfId="12564"/>
    <cellStyle name="Normal 2 3 2 3 6 5 3" xfId="12565"/>
    <cellStyle name="Normal 2 3 2 3 6 6" xfId="12566"/>
    <cellStyle name="Normal 2 3 2 3 6 6 2" xfId="12567"/>
    <cellStyle name="Normal 2 3 2 3 6 7" xfId="12568"/>
    <cellStyle name="Normal 2 3 2 3 6 8" xfId="12569"/>
    <cellStyle name="Normal 2 3 2 3 7" xfId="12570"/>
    <cellStyle name="Normal 2 3 2 3 7 2" xfId="12571"/>
    <cellStyle name="Normal 2 3 2 3 7 2 2" xfId="12572"/>
    <cellStyle name="Normal 2 3 2 3 7 2 2 2" xfId="12573"/>
    <cellStyle name="Normal 2 3 2 3 7 2 2 2 2" xfId="12574"/>
    <cellStyle name="Normal 2 3 2 3 7 2 2 3" xfId="12575"/>
    <cellStyle name="Normal 2 3 2 3 7 2 3" xfId="12576"/>
    <cellStyle name="Normal 2 3 2 3 7 2 3 2" xfId="12577"/>
    <cellStyle name="Normal 2 3 2 3 7 2 4" xfId="12578"/>
    <cellStyle name="Normal 2 3 2 3 7 3" xfId="12579"/>
    <cellStyle name="Normal 2 3 2 3 7 3 2" xfId="12580"/>
    <cellStyle name="Normal 2 3 2 3 7 3 2 2" xfId="12581"/>
    <cellStyle name="Normal 2 3 2 3 7 3 3" xfId="12582"/>
    <cellStyle name="Normal 2 3 2 3 7 3 4" xfId="12583"/>
    <cellStyle name="Normal 2 3 2 3 7 4" xfId="12584"/>
    <cellStyle name="Normal 2 3 2 3 7 4 2" xfId="12585"/>
    <cellStyle name="Normal 2 3 2 3 7 4 2 2" xfId="12586"/>
    <cellStyle name="Normal 2 3 2 3 7 4 3" xfId="12587"/>
    <cellStyle name="Normal 2 3 2 3 7 4 4" xfId="12588"/>
    <cellStyle name="Normal 2 3 2 3 7 5" xfId="12589"/>
    <cellStyle name="Normal 2 3 2 3 7 5 2" xfId="12590"/>
    <cellStyle name="Normal 2 3 2 3 7 6" xfId="12591"/>
    <cellStyle name="Normal 2 3 2 3 7 7" xfId="12592"/>
    <cellStyle name="Normal 2 3 2 3 7 8" xfId="12593"/>
    <cellStyle name="Normal 2 3 2 3 8" xfId="12594"/>
    <cellStyle name="Normal 2 3 2 3 8 2" xfId="12595"/>
    <cellStyle name="Normal 2 3 2 3 8 2 2" xfId="12596"/>
    <cellStyle name="Normal 2 3 2 3 8 2 2 2" xfId="12597"/>
    <cellStyle name="Normal 2 3 2 3 8 2 3" xfId="12598"/>
    <cellStyle name="Normal 2 3 2 3 8 2 4" xfId="12599"/>
    <cellStyle name="Normal 2 3 2 3 8 3" xfId="12600"/>
    <cellStyle name="Normal 2 3 2 3 8 3 2" xfId="12601"/>
    <cellStyle name="Normal 2 3 2 3 8 3 3" xfId="12602"/>
    <cellStyle name="Normal 2 3 2 3 8 4" xfId="12603"/>
    <cellStyle name="Normal 2 3 2 3 8 5" xfId="12604"/>
    <cellStyle name="Normal 2 3 2 3 8 6" xfId="12605"/>
    <cellStyle name="Normal 2 3 2 3 8 7" xfId="12606"/>
    <cellStyle name="Normal 2 3 2 3 9" xfId="12607"/>
    <cellStyle name="Normal 2 3 2 3 9 2" xfId="12608"/>
    <cellStyle name="Normal 2 3 2 3 9 2 2" xfId="12609"/>
    <cellStyle name="Normal 2 3 2 3 9 3" xfId="12610"/>
    <cellStyle name="Normal 2 3 2 3 9 4" xfId="12611"/>
    <cellStyle name="Normal 2 3 2 4" xfId="12612"/>
    <cellStyle name="Normal 2 3 2 4 10" xfId="12613"/>
    <cellStyle name="Normal 2 3 2 4 10 2" xfId="12614"/>
    <cellStyle name="Normal 2 3 2 4 10 3" xfId="12615"/>
    <cellStyle name="Normal 2 3 2 4 11" xfId="12616"/>
    <cellStyle name="Normal 2 3 2 4 11 2" xfId="12617"/>
    <cellStyle name="Normal 2 3 2 4 12" xfId="12618"/>
    <cellStyle name="Normal 2 3 2 4 13" xfId="12619"/>
    <cellStyle name="Normal 2 3 2 4 14" xfId="12620"/>
    <cellStyle name="Normal 2 3 2 4 15" xfId="12621"/>
    <cellStyle name="Normal 2 3 2 4 2" xfId="12622"/>
    <cellStyle name="Normal 2 3 2 4 2 10" xfId="12623"/>
    <cellStyle name="Normal 2 3 2 4 2 11" xfId="12624"/>
    <cellStyle name="Normal 2 3 2 4 2 12" xfId="12625"/>
    <cellStyle name="Normal 2 3 2 4 2 13" xfId="12626"/>
    <cellStyle name="Normal 2 3 2 4 2 2" xfId="12627"/>
    <cellStyle name="Normal 2 3 2 4 2 2 2" xfId="12628"/>
    <cellStyle name="Normal 2 3 2 4 2 2 2 2" xfId="12629"/>
    <cellStyle name="Normal 2 3 2 4 2 2 2 2 2" xfId="12630"/>
    <cellStyle name="Normal 2 3 2 4 2 2 2 2 2 2" xfId="12631"/>
    <cellStyle name="Normal 2 3 2 4 2 2 2 2 2 3" xfId="12632"/>
    <cellStyle name="Normal 2 3 2 4 2 2 2 2 3" xfId="12633"/>
    <cellStyle name="Normal 2 3 2 4 2 2 2 2 3 2" xfId="12634"/>
    <cellStyle name="Normal 2 3 2 4 2 2 2 2 4" xfId="12635"/>
    <cellStyle name="Normal 2 3 2 4 2 2 2 3" xfId="12636"/>
    <cellStyle name="Normal 2 3 2 4 2 2 2 3 2" xfId="12637"/>
    <cellStyle name="Normal 2 3 2 4 2 2 2 3 3" xfId="12638"/>
    <cellStyle name="Normal 2 3 2 4 2 2 2 4" xfId="12639"/>
    <cellStyle name="Normal 2 3 2 4 2 2 2 4 2" xfId="12640"/>
    <cellStyle name="Normal 2 3 2 4 2 2 2 4 3" xfId="12641"/>
    <cellStyle name="Normal 2 3 2 4 2 2 2 5" xfId="12642"/>
    <cellStyle name="Normal 2 3 2 4 2 2 2 5 2" xfId="12643"/>
    <cellStyle name="Normal 2 3 2 4 2 2 2 6" xfId="12644"/>
    <cellStyle name="Normal 2 3 2 4 2 2 3" xfId="12645"/>
    <cellStyle name="Normal 2 3 2 4 2 2 3 2" xfId="12646"/>
    <cellStyle name="Normal 2 3 2 4 2 2 3 2 2" xfId="12647"/>
    <cellStyle name="Normal 2 3 2 4 2 2 3 2 2 2" xfId="12648"/>
    <cellStyle name="Normal 2 3 2 4 2 2 3 2 3" xfId="12649"/>
    <cellStyle name="Normal 2 3 2 4 2 2 3 3" xfId="12650"/>
    <cellStyle name="Normal 2 3 2 4 2 2 3 3 2" xfId="12651"/>
    <cellStyle name="Normal 2 3 2 4 2 2 3 4" xfId="12652"/>
    <cellStyle name="Normal 2 3 2 4 2 2 4" xfId="12653"/>
    <cellStyle name="Normal 2 3 2 4 2 2 4 2" xfId="12654"/>
    <cellStyle name="Normal 2 3 2 4 2 2 4 2 2" xfId="12655"/>
    <cellStyle name="Normal 2 3 2 4 2 2 4 3" xfId="12656"/>
    <cellStyle name="Normal 2 3 2 4 2 2 4 4" xfId="12657"/>
    <cellStyle name="Normal 2 3 2 4 2 2 5" xfId="12658"/>
    <cellStyle name="Normal 2 3 2 4 2 2 5 2" xfId="12659"/>
    <cellStyle name="Normal 2 3 2 4 2 2 5 2 2" xfId="12660"/>
    <cellStyle name="Normal 2 3 2 4 2 2 5 3" xfId="12661"/>
    <cellStyle name="Normal 2 3 2 4 2 2 6" xfId="12662"/>
    <cellStyle name="Normal 2 3 2 4 2 2 6 2" xfId="12663"/>
    <cellStyle name="Normal 2 3 2 4 2 2 7" xfId="12664"/>
    <cellStyle name="Normal 2 3 2 4 2 2 8" xfId="12665"/>
    <cellStyle name="Normal 2 3 2 4 2 3" xfId="12666"/>
    <cellStyle name="Normal 2 3 2 4 2 3 2" xfId="12667"/>
    <cellStyle name="Normal 2 3 2 4 2 3 2 2" xfId="12668"/>
    <cellStyle name="Normal 2 3 2 4 2 3 2 2 2" xfId="12669"/>
    <cellStyle name="Normal 2 3 2 4 2 3 2 2 2 2" xfId="12670"/>
    <cellStyle name="Normal 2 3 2 4 2 3 2 2 3" xfId="12671"/>
    <cellStyle name="Normal 2 3 2 4 2 3 2 3" xfId="12672"/>
    <cellStyle name="Normal 2 3 2 4 2 3 2 3 2" xfId="12673"/>
    <cellStyle name="Normal 2 3 2 4 2 3 2 4" xfId="12674"/>
    <cellStyle name="Normal 2 3 2 4 2 3 3" xfId="12675"/>
    <cellStyle name="Normal 2 3 2 4 2 3 3 2" xfId="12676"/>
    <cellStyle name="Normal 2 3 2 4 2 3 3 2 2" xfId="12677"/>
    <cellStyle name="Normal 2 3 2 4 2 3 3 3" xfId="12678"/>
    <cellStyle name="Normal 2 3 2 4 2 3 3 4" xfId="12679"/>
    <cellStyle name="Normal 2 3 2 4 2 3 4" xfId="12680"/>
    <cellStyle name="Normal 2 3 2 4 2 3 4 2" xfId="12681"/>
    <cellStyle name="Normal 2 3 2 4 2 3 4 2 2" xfId="12682"/>
    <cellStyle name="Normal 2 3 2 4 2 3 4 3" xfId="12683"/>
    <cellStyle name="Normal 2 3 2 4 2 3 4 4" xfId="12684"/>
    <cellStyle name="Normal 2 3 2 4 2 3 5" xfId="12685"/>
    <cellStyle name="Normal 2 3 2 4 2 3 5 2" xfId="12686"/>
    <cellStyle name="Normal 2 3 2 4 2 3 6" xfId="12687"/>
    <cellStyle name="Normal 2 3 2 4 2 3 7" xfId="12688"/>
    <cellStyle name="Normal 2 3 2 4 2 3 8" xfId="12689"/>
    <cellStyle name="Normal 2 3 2 4 2 4" xfId="12690"/>
    <cellStyle name="Normal 2 3 2 4 2 4 2" xfId="12691"/>
    <cellStyle name="Normal 2 3 2 4 2 4 2 2" xfId="12692"/>
    <cellStyle name="Normal 2 3 2 4 2 4 2 2 2" xfId="12693"/>
    <cellStyle name="Normal 2 3 2 4 2 4 2 3" xfId="12694"/>
    <cellStyle name="Normal 2 3 2 4 2 4 2 4" xfId="12695"/>
    <cellStyle name="Normal 2 3 2 4 2 4 3" xfId="12696"/>
    <cellStyle name="Normal 2 3 2 4 2 4 3 2" xfId="12697"/>
    <cellStyle name="Normal 2 3 2 4 2 4 3 3" xfId="12698"/>
    <cellStyle name="Normal 2 3 2 4 2 4 4" xfId="12699"/>
    <cellStyle name="Normal 2 3 2 4 2 4 4 2" xfId="12700"/>
    <cellStyle name="Normal 2 3 2 4 2 4 5" xfId="12701"/>
    <cellStyle name="Normal 2 3 2 4 2 4 6" xfId="12702"/>
    <cellStyle name="Normal 2 3 2 4 2 4 7" xfId="12703"/>
    <cellStyle name="Normal 2 3 2 4 2 4 8" xfId="12704"/>
    <cellStyle name="Normal 2 3 2 4 2 5" xfId="12705"/>
    <cellStyle name="Normal 2 3 2 4 2 5 2" xfId="12706"/>
    <cellStyle name="Normal 2 3 2 4 2 5 2 2" xfId="12707"/>
    <cellStyle name="Normal 2 3 2 4 2 5 2 3" xfId="12708"/>
    <cellStyle name="Normal 2 3 2 4 2 5 3" xfId="12709"/>
    <cellStyle name="Normal 2 3 2 4 2 5 3 2" xfId="12710"/>
    <cellStyle name="Normal 2 3 2 4 2 5 4" xfId="12711"/>
    <cellStyle name="Normal 2 3 2 4 2 5 4 2" xfId="12712"/>
    <cellStyle name="Normal 2 3 2 4 2 5 5" xfId="12713"/>
    <cellStyle name="Normal 2 3 2 4 2 5 6" xfId="12714"/>
    <cellStyle name="Normal 2 3 2 4 2 5 7" xfId="12715"/>
    <cellStyle name="Normal 2 3 2 4 2 5 8" xfId="12716"/>
    <cellStyle name="Normal 2 3 2 4 2 6" xfId="12717"/>
    <cellStyle name="Normal 2 3 2 4 2 6 2" xfId="12718"/>
    <cellStyle name="Normal 2 3 2 4 2 6 2 2" xfId="12719"/>
    <cellStyle name="Normal 2 3 2 4 2 6 2 3" xfId="12720"/>
    <cellStyle name="Normal 2 3 2 4 2 6 3" xfId="12721"/>
    <cellStyle name="Normal 2 3 2 4 2 6 3 2" xfId="12722"/>
    <cellStyle name="Normal 2 3 2 4 2 6 4" xfId="12723"/>
    <cellStyle name="Normal 2 3 2 4 2 6 5" xfId="12724"/>
    <cellStyle name="Normal 2 3 2 4 2 6 6" xfId="12725"/>
    <cellStyle name="Normal 2 3 2 4 2 6 7" xfId="12726"/>
    <cellStyle name="Normal 2 3 2 4 2 7" xfId="12727"/>
    <cellStyle name="Normal 2 3 2 4 2 7 2" xfId="12728"/>
    <cellStyle name="Normal 2 3 2 4 2 7 3" xfId="12729"/>
    <cellStyle name="Normal 2 3 2 4 2 8" xfId="12730"/>
    <cellStyle name="Normal 2 3 2 4 2 8 2" xfId="12731"/>
    <cellStyle name="Normal 2 3 2 4 2 9" xfId="12732"/>
    <cellStyle name="Normal 2 3 2 4 2 9 2" xfId="12733"/>
    <cellStyle name="Normal 2 3 2 4 3" xfId="12734"/>
    <cellStyle name="Normal 2 3 2 4 3 10" xfId="12735"/>
    <cellStyle name="Normal 2 3 2 4 3 11" xfId="12736"/>
    <cellStyle name="Normal 2 3 2 4 3 12" xfId="12737"/>
    <cellStyle name="Normal 2 3 2 4 3 2" xfId="12738"/>
    <cellStyle name="Normal 2 3 2 4 3 2 2" xfId="12739"/>
    <cellStyle name="Normal 2 3 2 4 3 2 2 2" xfId="12740"/>
    <cellStyle name="Normal 2 3 2 4 3 2 2 2 2" xfId="12741"/>
    <cellStyle name="Normal 2 3 2 4 3 2 2 2 2 2" xfId="12742"/>
    <cellStyle name="Normal 2 3 2 4 3 2 2 2 2 3" xfId="12743"/>
    <cellStyle name="Normal 2 3 2 4 3 2 2 2 3" xfId="12744"/>
    <cellStyle name="Normal 2 3 2 4 3 2 2 2 3 2" xfId="12745"/>
    <cellStyle name="Normal 2 3 2 4 3 2 2 2 4" xfId="12746"/>
    <cellStyle name="Normal 2 3 2 4 3 2 2 3" xfId="12747"/>
    <cellStyle name="Normal 2 3 2 4 3 2 2 3 2" xfId="12748"/>
    <cellStyle name="Normal 2 3 2 4 3 2 2 3 3" xfId="12749"/>
    <cellStyle name="Normal 2 3 2 4 3 2 2 4" xfId="12750"/>
    <cellStyle name="Normal 2 3 2 4 3 2 2 4 2" xfId="12751"/>
    <cellStyle name="Normal 2 3 2 4 3 2 2 4 3" xfId="12752"/>
    <cellStyle name="Normal 2 3 2 4 3 2 2 5" xfId="12753"/>
    <cellStyle name="Normal 2 3 2 4 3 2 2 5 2" xfId="12754"/>
    <cellStyle name="Normal 2 3 2 4 3 2 2 6" xfId="12755"/>
    <cellStyle name="Normal 2 3 2 4 3 2 3" xfId="12756"/>
    <cellStyle name="Normal 2 3 2 4 3 2 3 2" xfId="12757"/>
    <cellStyle name="Normal 2 3 2 4 3 2 3 2 2" xfId="12758"/>
    <cellStyle name="Normal 2 3 2 4 3 2 3 2 2 2" xfId="12759"/>
    <cellStyle name="Normal 2 3 2 4 3 2 3 2 3" xfId="12760"/>
    <cellStyle name="Normal 2 3 2 4 3 2 3 3" xfId="12761"/>
    <cellStyle name="Normal 2 3 2 4 3 2 3 3 2" xfId="12762"/>
    <cellStyle name="Normal 2 3 2 4 3 2 3 4" xfId="12763"/>
    <cellStyle name="Normal 2 3 2 4 3 2 4" xfId="12764"/>
    <cellStyle name="Normal 2 3 2 4 3 2 4 2" xfId="12765"/>
    <cellStyle name="Normal 2 3 2 4 3 2 4 2 2" xfId="12766"/>
    <cellStyle name="Normal 2 3 2 4 3 2 4 3" xfId="12767"/>
    <cellStyle name="Normal 2 3 2 4 3 2 4 4" xfId="12768"/>
    <cellStyle name="Normal 2 3 2 4 3 2 5" xfId="12769"/>
    <cellStyle name="Normal 2 3 2 4 3 2 5 2" xfId="12770"/>
    <cellStyle name="Normal 2 3 2 4 3 2 5 2 2" xfId="12771"/>
    <cellStyle name="Normal 2 3 2 4 3 2 5 3" xfId="12772"/>
    <cellStyle name="Normal 2 3 2 4 3 2 6" xfId="12773"/>
    <cellStyle name="Normal 2 3 2 4 3 2 6 2" xfId="12774"/>
    <cellStyle name="Normal 2 3 2 4 3 2 7" xfId="12775"/>
    <cellStyle name="Normal 2 3 2 4 3 2 8" xfId="12776"/>
    <cellStyle name="Normal 2 3 2 4 3 3" xfId="12777"/>
    <cellStyle name="Normal 2 3 2 4 3 3 2" xfId="12778"/>
    <cellStyle name="Normal 2 3 2 4 3 3 2 2" xfId="12779"/>
    <cellStyle name="Normal 2 3 2 4 3 3 2 2 2" xfId="12780"/>
    <cellStyle name="Normal 2 3 2 4 3 3 2 2 2 2" xfId="12781"/>
    <cellStyle name="Normal 2 3 2 4 3 3 2 2 3" xfId="12782"/>
    <cellStyle name="Normal 2 3 2 4 3 3 2 3" xfId="12783"/>
    <cellStyle name="Normal 2 3 2 4 3 3 2 3 2" xfId="12784"/>
    <cellStyle name="Normal 2 3 2 4 3 3 2 4" xfId="12785"/>
    <cellStyle name="Normal 2 3 2 4 3 3 3" xfId="12786"/>
    <cellStyle name="Normal 2 3 2 4 3 3 3 2" xfId="12787"/>
    <cellStyle name="Normal 2 3 2 4 3 3 3 2 2" xfId="12788"/>
    <cellStyle name="Normal 2 3 2 4 3 3 3 3" xfId="12789"/>
    <cellStyle name="Normal 2 3 2 4 3 3 3 4" xfId="12790"/>
    <cellStyle name="Normal 2 3 2 4 3 3 4" xfId="12791"/>
    <cellStyle name="Normal 2 3 2 4 3 3 4 2" xfId="12792"/>
    <cellStyle name="Normal 2 3 2 4 3 3 4 2 2" xfId="12793"/>
    <cellStyle name="Normal 2 3 2 4 3 3 4 3" xfId="12794"/>
    <cellStyle name="Normal 2 3 2 4 3 3 4 4" xfId="12795"/>
    <cellStyle name="Normal 2 3 2 4 3 3 5" xfId="12796"/>
    <cellStyle name="Normal 2 3 2 4 3 3 5 2" xfId="12797"/>
    <cellStyle name="Normal 2 3 2 4 3 3 6" xfId="12798"/>
    <cellStyle name="Normal 2 3 2 4 3 3 7" xfId="12799"/>
    <cellStyle name="Normal 2 3 2 4 3 3 8" xfId="12800"/>
    <cellStyle name="Normal 2 3 2 4 3 4" xfId="12801"/>
    <cellStyle name="Normal 2 3 2 4 3 4 2" xfId="12802"/>
    <cellStyle name="Normal 2 3 2 4 3 4 2 2" xfId="12803"/>
    <cellStyle name="Normal 2 3 2 4 3 4 2 2 2" xfId="12804"/>
    <cellStyle name="Normal 2 3 2 4 3 4 2 3" xfId="12805"/>
    <cellStyle name="Normal 2 3 2 4 3 4 2 4" xfId="12806"/>
    <cellStyle name="Normal 2 3 2 4 3 4 3" xfId="12807"/>
    <cellStyle name="Normal 2 3 2 4 3 4 3 2" xfId="12808"/>
    <cellStyle name="Normal 2 3 2 4 3 4 3 3" xfId="12809"/>
    <cellStyle name="Normal 2 3 2 4 3 4 4" xfId="12810"/>
    <cellStyle name="Normal 2 3 2 4 3 4 4 2" xfId="12811"/>
    <cellStyle name="Normal 2 3 2 4 3 4 5" xfId="12812"/>
    <cellStyle name="Normal 2 3 2 4 3 4 6" xfId="12813"/>
    <cellStyle name="Normal 2 3 2 4 3 4 7" xfId="12814"/>
    <cellStyle name="Normal 2 3 2 4 3 4 8" xfId="12815"/>
    <cellStyle name="Normal 2 3 2 4 3 5" xfId="12816"/>
    <cellStyle name="Normal 2 3 2 4 3 5 2" xfId="12817"/>
    <cellStyle name="Normal 2 3 2 4 3 5 2 2" xfId="12818"/>
    <cellStyle name="Normal 2 3 2 4 3 5 2 3" xfId="12819"/>
    <cellStyle name="Normal 2 3 2 4 3 5 3" xfId="12820"/>
    <cellStyle name="Normal 2 3 2 4 3 5 3 2" xfId="12821"/>
    <cellStyle name="Normal 2 3 2 4 3 5 4" xfId="12822"/>
    <cellStyle name="Normal 2 3 2 4 3 5 5" xfId="12823"/>
    <cellStyle name="Normal 2 3 2 4 3 5 6" xfId="12824"/>
    <cellStyle name="Normal 2 3 2 4 3 5 7" xfId="12825"/>
    <cellStyle name="Normal 2 3 2 4 3 6" xfId="12826"/>
    <cellStyle name="Normal 2 3 2 4 3 6 2" xfId="12827"/>
    <cellStyle name="Normal 2 3 2 4 3 6 2 2" xfId="12828"/>
    <cellStyle name="Normal 2 3 2 4 3 6 3" xfId="12829"/>
    <cellStyle name="Normal 2 3 2 4 3 6 4" xfId="12830"/>
    <cellStyle name="Normal 2 3 2 4 3 7" xfId="12831"/>
    <cellStyle name="Normal 2 3 2 4 3 7 2" xfId="12832"/>
    <cellStyle name="Normal 2 3 2 4 3 7 3" xfId="12833"/>
    <cellStyle name="Normal 2 3 2 4 3 8" xfId="12834"/>
    <cellStyle name="Normal 2 3 2 4 3 8 2" xfId="12835"/>
    <cellStyle name="Normal 2 3 2 4 3 9" xfId="12836"/>
    <cellStyle name="Normal 2 3 2 4 4" xfId="12837"/>
    <cellStyle name="Normal 2 3 2 4 4 10" xfId="12838"/>
    <cellStyle name="Normal 2 3 2 4 4 11" xfId="12839"/>
    <cellStyle name="Normal 2 3 2 4 4 12" xfId="12840"/>
    <cellStyle name="Normal 2 3 2 4 4 2" xfId="12841"/>
    <cellStyle name="Normal 2 3 2 4 4 2 2" xfId="12842"/>
    <cellStyle name="Normal 2 3 2 4 4 2 2 2" xfId="12843"/>
    <cellStyle name="Normal 2 3 2 4 4 2 2 2 2" xfId="12844"/>
    <cellStyle name="Normal 2 3 2 4 4 2 2 2 2 2" xfId="12845"/>
    <cellStyle name="Normal 2 3 2 4 4 2 2 2 2 3" xfId="12846"/>
    <cellStyle name="Normal 2 3 2 4 4 2 2 2 3" xfId="12847"/>
    <cellStyle name="Normal 2 3 2 4 4 2 2 2 3 2" xfId="12848"/>
    <cellStyle name="Normal 2 3 2 4 4 2 2 2 4" xfId="12849"/>
    <cellStyle name="Normal 2 3 2 4 4 2 2 3" xfId="12850"/>
    <cellStyle name="Normal 2 3 2 4 4 2 2 3 2" xfId="12851"/>
    <cellStyle name="Normal 2 3 2 4 4 2 2 3 3" xfId="12852"/>
    <cellStyle name="Normal 2 3 2 4 4 2 2 4" xfId="12853"/>
    <cellStyle name="Normal 2 3 2 4 4 2 2 4 2" xfId="12854"/>
    <cellStyle name="Normal 2 3 2 4 4 2 2 4 3" xfId="12855"/>
    <cellStyle name="Normal 2 3 2 4 4 2 2 5" xfId="12856"/>
    <cellStyle name="Normal 2 3 2 4 4 2 2 5 2" xfId="12857"/>
    <cellStyle name="Normal 2 3 2 4 4 2 2 6" xfId="12858"/>
    <cellStyle name="Normal 2 3 2 4 4 2 3" xfId="12859"/>
    <cellStyle name="Normal 2 3 2 4 4 2 3 2" xfId="12860"/>
    <cellStyle name="Normal 2 3 2 4 4 2 3 2 2" xfId="12861"/>
    <cellStyle name="Normal 2 3 2 4 4 2 3 2 2 2" xfId="12862"/>
    <cellStyle name="Normal 2 3 2 4 4 2 3 2 3" xfId="12863"/>
    <cellStyle name="Normal 2 3 2 4 4 2 3 3" xfId="12864"/>
    <cellStyle name="Normal 2 3 2 4 4 2 3 3 2" xfId="12865"/>
    <cellStyle name="Normal 2 3 2 4 4 2 3 4" xfId="12866"/>
    <cellStyle name="Normal 2 3 2 4 4 2 4" xfId="12867"/>
    <cellStyle name="Normal 2 3 2 4 4 2 4 2" xfId="12868"/>
    <cellStyle name="Normal 2 3 2 4 4 2 4 2 2" xfId="12869"/>
    <cellStyle name="Normal 2 3 2 4 4 2 4 3" xfId="12870"/>
    <cellStyle name="Normal 2 3 2 4 4 2 4 4" xfId="12871"/>
    <cellStyle name="Normal 2 3 2 4 4 2 5" xfId="12872"/>
    <cellStyle name="Normal 2 3 2 4 4 2 5 2" xfId="12873"/>
    <cellStyle name="Normal 2 3 2 4 4 2 5 2 2" xfId="12874"/>
    <cellStyle name="Normal 2 3 2 4 4 2 5 3" xfId="12875"/>
    <cellStyle name="Normal 2 3 2 4 4 2 6" xfId="12876"/>
    <cellStyle name="Normal 2 3 2 4 4 2 6 2" xfId="12877"/>
    <cellStyle name="Normal 2 3 2 4 4 2 7" xfId="12878"/>
    <cellStyle name="Normal 2 3 2 4 4 2 8" xfId="12879"/>
    <cellStyle name="Normal 2 3 2 4 4 3" xfId="12880"/>
    <cellStyle name="Normal 2 3 2 4 4 3 2" xfId="12881"/>
    <cellStyle name="Normal 2 3 2 4 4 3 2 2" xfId="12882"/>
    <cellStyle name="Normal 2 3 2 4 4 3 2 2 2" xfId="12883"/>
    <cellStyle name="Normal 2 3 2 4 4 3 2 2 2 2" xfId="12884"/>
    <cellStyle name="Normal 2 3 2 4 4 3 2 2 3" xfId="12885"/>
    <cellStyle name="Normal 2 3 2 4 4 3 2 3" xfId="12886"/>
    <cellStyle name="Normal 2 3 2 4 4 3 2 3 2" xfId="12887"/>
    <cellStyle name="Normal 2 3 2 4 4 3 2 4" xfId="12888"/>
    <cellStyle name="Normal 2 3 2 4 4 3 3" xfId="12889"/>
    <cellStyle name="Normal 2 3 2 4 4 3 3 2" xfId="12890"/>
    <cellStyle name="Normal 2 3 2 4 4 3 3 2 2" xfId="12891"/>
    <cellStyle name="Normal 2 3 2 4 4 3 3 3" xfId="12892"/>
    <cellStyle name="Normal 2 3 2 4 4 3 3 4" xfId="12893"/>
    <cellStyle name="Normal 2 3 2 4 4 3 4" xfId="12894"/>
    <cellStyle name="Normal 2 3 2 4 4 3 4 2" xfId="12895"/>
    <cellStyle name="Normal 2 3 2 4 4 3 4 2 2" xfId="12896"/>
    <cellStyle name="Normal 2 3 2 4 4 3 4 3" xfId="12897"/>
    <cellStyle name="Normal 2 3 2 4 4 3 4 4" xfId="12898"/>
    <cellStyle name="Normal 2 3 2 4 4 3 5" xfId="12899"/>
    <cellStyle name="Normal 2 3 2 4 4 3 5 2" xfId="12900"/>
    <cellStyle name="Normal 2 3 2 4 4 3 6" xfId="12901"/>
    <cellStyle name="Normal 2 3 2 4 4 3 7" xfId="12902"/>
    <cellStyle name="Normal 2 3 2 4 4 3 8" xfId="12903"/>
    <cellStyle name="Normal 2 3 2 4 4 4" xfId="12904"/>
    <cellStyle name="Normal 2 3 2 4 4 4 2" xfId="12905"/>
    <cellStyle name="Normal 2 3 2 4 4 4 2 2" xfId="12906"/>
    <cellStyle name="Normal 2 3 2 4 4 4 2 2 2" xfId="12907"/>
    <cellStyle name="Normal 2 3 2 4 4 4 2 3" xfId="12908"/>
    <cellStyle name="Normal 2 3 2 4 4 4 2 4" xfId="12909"/>
    <cellStyle name="Normal 2 3 2 4 4 4 3" xfId="12910"/>
    <cellStyle name="Normal 2 3 2 4 4 4 3 2" xfId="12911"/>
    <cellStyle name="Normal 2 3 2 4 4 4 3 3" xfId="12912"/>
    <cellStyle name="Normal 2 3 2 4 4 4 4" xfId="12913"/>
    <cellStyle name="Normal 2 3 2 4 4 4 4 2" xfId="12914"/>
    <cellStyle name="Normal 2 3 2 4 4 4 5" xfId="12915"/>
    <cellStyle name="Normal 2 3 2 4 4 4 6" xfId="12916"/>
    <cellStyle name="Normal 2 3 2 4 4 4 7" xfId="12917"/>
    <cellStyle name="Normal 2 3 2 4 4 4 8" xfId="12918"/>
    <cellStyle name="Normal 2 3 2 4 4 5" xfId="12919"/>
    <cellStyle name="Normal 2 3 2 4 4 5 2" xfId="12920"/>
    <cellStyle name="Normal 2 3 2 4 4 5 2 2" xfId="12921"/>
    <cellStyle name="Normal 2 3 2 4 4 5 2 3" xfId="12922"/>
    <cellStyle name="Normal 2 3 2 4 4 5 3" xfId="12923"/>
    <cellStyle name="Normal 2 3 2 4 4 5 3 2" xfId="12924"/>
    <cellStyle name="Normal 2 3 2 4 4 5 4" xfId="12925"/>
    <cellStyle name="Normal 2 3 2 4 4 5 5" xfId="12926"/>
    <cellStyle name="Normal 2 3 2 4 4 5 6" xfId="12927"/>
    <cellStyle name="Normal 2 3 2 4 4 5 7" xfId="12928"/>
    <cellStyle name="Normal 2 3 2 4 4 6" xfId="12929"/>
    <cellStyle name="Normal 2 3 2 4 4 6 2" xfId="12930"/>
    <cellStyle name="Normal 2 3 2 4 4 6 2 2" xfId="12931"/>
    <cellStyle name="Normal 2 3 2 4 4 6 3" xfId="12932"/>
    <cellStyle name="Normal 2 3 2 4 4 6 4" xfId="12933"/>
    <cellStyle name="Normal 2 3 2 4 4 7" xfId="12934"/>
    <cellStyle name="Normal 2 3 2 4 4 7 2" xfId="12935"/>
    <cellStyle name="Normal 2 3 2 4 4 7 3" xfId="12936"/>
    <cellStyle name="Normal 2 3 2 4 4 8" xfId="12937"/>
    <cellStyle name="Normal 2 3 2 4 4 8 2" xfId="12938"/>
    <cellStyle name="Normal 2 3 2 4 4 9" xfId="12939"/>
    <cellStyle name="Normal 2 3 2 4 5" xfId="12940"/>
    <cellStyle name="Normal 2 3 2 4 5 2" xfId="12941"/>
    <cellStyle name="Normal 2 3 2 4 5 2 2" xfId="12942"/>
    <cellStyle name="Normal 2 3 2 4 5 2 2 2" xfId="12943"/>
    <cellStyle name="Normal 2 3 2 4 5 2 2 2 2" xfId="12944"/>
    <cellStyle name="Normal 2 3 2 4 5 2 2 2 3" xfId="12945"/>
    <cellStyle name="Normal 2 3 2 4 5 2 2 3" xfId="12946"/>
    <cellStyle name="Normal 2 3 2 4 5 2 2 3 2" xfId="12947"/>
    <cellStyle name="Normal 2 3 2 4 5 2 2 4" xfId="12948"/>
    <cellStyle name="Normal 2 3 2 4 5 2 3" xfId="12949"/>
    <cellStyle name="Normal 2 3 2 4 5 2 3 2" xfId="12950"/>
    <cellStyle name="Normal 2 3 2 4 5 2 3 3" xfId="12951"/>
    <cellStyle name="Normal 2 3 2 4 5 2 4" xfId="12952"/>
    <cellStyle name="Normal 2 3 2 4 5 2 4 2" xfId="12953"/>
    <cellStyle name="Normal 2 3 2 4 5 2 4 3" xfId="12954"/>
    <cellStyle name="Normal 2 3 2 4 5 2 5" xfId="12955"/>
    <cellStyle name="Normal 2 3 2 4 5 2 5 2" xfId="12956"/>
    <cellStyle name="Normal 2 3 2 4 5 2 6" xfId="12957"/>
    <cellStyle name="Normal 2 3 2 4 5 3" xfId="12958"/>
    <cellStyle name="Normal 2 3 2 4 5 3 2" xfId="12959"/>
    <cellStyle name="Normal 2 3 2 4 5 3 2 2" xfId="12960"/>
    <cellStyle name="Normal 2 3 2 4 5 3 2 2 2" xfId="12961"/>
    <cellStyle name="Normal 2 3 2 4 5 3 2 3" xfId="12962"/>
    <cellStyle name="Normal 2 3 2 4 5 3 3" xfId="12963"/>
    <cellStyle name="Normal 2 3 2 4 5 3 3 2" xfId="12964"/>
    <cellStyle name="Normal 2 3 2 4 5 3 4" xfId="12965"/>
    <cellStyle name="Normal 2 3 2 4 5 4" xfId="12966"/>
    <cellStyle name="Normal 2 3 2 4 5 4 2" xfId="12967"/>
    <cellStyle name="Normal 2 3 2 4 5 4 2 2" xfId="12968"/>
    <cellStyle name="Normal 2 3 2 4 5 4 3" xfId="12969"/>
    <cellStyle name="Normal 2 3 2 4 5 4 4" xfId="12970"/>
    <cellStyle name="Normal 2 3 2 4 5 5" xfId="12971"/>
    <cellStyle name="Normal 2 3 2 4 5 5 2" xfId="12972"/>
    <cellStyle name="Normal 2 3 2 4 5 5 2 2" xfId="12973"/>
    <cellStyle name="Normal 2 3 2 4 5 5 3" xfId="12974"/>
    <cellStyle name="Normal 2 3 2 4 5 6" xfId="12975"/>
    <cellStyle name="Normal 2 3 2 4 5 6 2" xfId="12976"/>
    <cellStyle name="Normal 2 3 2 4 5 7" xfId="12977"/>
    <cellStyle name="Normal 2 3 2 4 5 8" xfId="12978"/>
    <cellStyle name="Normal 2 3 2 4 6" xfId="12979"/>
    <cellStyle name="Normal 2 3 2 4 6 2" xfId="12980"/>
    <cellStyle name="Normal 2 3 2 4 6 2 2" xfId="12981"/>
    <cellStyle name="Normal 2 3 2 4 6 2 2 2" xfId="12982"/>
    <cellStyle name="Normal 2 3 2 4 6 2 2 2 2" xfId="12983"/>
    <cellStyle name="Normal 2 3 2 4 6 2 2 3" xfId="12984"/>
    <cellStyle name="Normal 2 3 2 4 6 2 3" xfId="12985"/>
    <cellStyle name="Normal 2 3 2 4 6 2 3 2" xfId="12986"/>
    <cellStyle name="Normal 2 3 2 4 6 2 4" xfId="12987"/>
    <cellStyle name="Normal 2 3 2 4 6 3" xfId="12988"/>
    <cellStyle name="Normal 2 3 2 4 6 3 2" xfId="12989"/>
    <cellStyle name="Normal 2 3 2 4 6 3 2 2" xfId="12990"/>
    <cellStyle name="Normal 2 3 2 4 6 3 3" xfId="12991"/>
    <cellStyle name="Normal 2 3 2 4 6 3 4" xfId="12992"/>
    <cellStyle name="Normal 2 3 2 4 6 4" xfId="12993"/>
    <cellStyle name="Normal 2 3 2 4 6 4 2" xfId="12994"/>
    <cellStyle name="Normal 2 3 2 4 6 4 2 2" xfId="12995"/>
    <cellStyle name="Normal 2 3 2 4 6 4 3" xfId="12996"/>
    <cellStyle name="Normal 2 3 2 4 6 4 4" xfId="12997"/>
    <cellStyle name="Normal 2 3 2 4 6 5" xfId="12998"/>
    <cellStyle name="Normal 2 3 2 4 6 5 2" xfId="12999"/>
    <cellStyle name="Normal 2 3 2 4 6 6" xfId="13000"/>
    <cellStyle name="Normal 2 3 2 4 6 7" xfId="13001"/>
    <cellStyle name="Normal 2 3 2 4 6 8" xfId="13002"/>
    <cellStyle name="Normal 2 3 2 4 7" xfId="13003"/>
    <cellStyle name="Normal 2 3 2 4 7 2" xfId="13004"/>
    <cellStyle name="Normal 2 3 2 4 7 2 2" xfId="13005"/>
    <cellStyle name="Normal 2 3 2 4 7 2 2 2" xfId="13006"/>
    <cellStyle name="Normal 2 3 2 4 7 2 3" xfId="13007"/>
    <cellStyle name="Normal 2 3 2 4 7 2 4" xfId="13008"/>
    <cellStyle name="Normal 2 3 2 4 7 3" xfId="13009"/>
    <cellStyle name="Normal 2 3 2 4 7 3 2" xfId="13010"/>
    <cellStyle name="Normal 2 3 2 4 7 3 3" xfId="13011"/>
    <cellStyle name="Normal 2 3 2 4 7 4" xfId="13012"/>
    <cellStyle name="Normal 2 3 2 4 7 4 2" xfId="13013"/>
    <cellStyle name="Normal 2 3 2 4 7 5" xfId="13014"/>
    <cellStyle name="Normal 2 3 2 4 7 6" xfId="13015"/>
    <cellStyle name="Normal 2 3 2 4 7 7" xfId="13016"/>
    <cellStyle name="Normal 2 3 2 4 7 8" xfId="13017"/>
    <cellStyle name="Normal 2 3 2 4 8" xfId="13018"/>
    <cellStyle name="Normal 2 3 2 4 8 2" xfId="13019"/>
    <cellStyle name="Normal 2 3 2 4 8 2 2" xfId="13020"/>
    <cellStyle name="Normal 2 3 2 4 8 2 3" xfId="13021"/>
    <cellStyle name="Normal 2 3 2 4 8 3" xfId="13022"/>
    <cellStyle name="Normal 2 3 2 4 8 3 2" xfId="13023"/>
    <cellStyle name="Normal 2 3 2 4 8 4" xfId="13024"/>
    <cellStyle name="Normal 2 3 2 4 8 5" xfId="13025"/>
    <cellStyle name="Normal 2 3 2 4 8 6" xfId="13026"/>
    <cellStyle name="Normal 2 3 2 4 8 7" xfId="13027"/>
    <cellStyle name="Normal 2 3 2 4 9" xfId="13028"/>
    <cellStyle name="Normal 2 3 2 4 9 2" xfId="13029"/>
    <cellStyle name="Normal 2 3 2 4 9 2 2" xfId="13030"/>
    <cellStyle name="Normal 2 3 2 4 9 3" xfId="13031"/>
    <cellStyle name="Normal 2 3 2 4 9 4" xfId="13032"/>
    <cellStyle name="Normal 2 3 2 5" xfId="13033"/>
    <cellStyle name="Normal 2 3 2 5 10" xfId="13034"/>
    <cellStyle name="Normal 2 3 2 5 10 2" xfId="13035"/>
    <cellStyle name="Normal 2 3 2 5 11" xfId="13036"/>
    <cellStyle name="Normal 2 3 2 5 12" xfId="13037"/>
    <cellStyle name="Normal 2 3 2 5 13" xfId="13038"/>
    <cellStyle name="Normal 2 3 2 5 14" xfId="13039"/>
    <cellStyle name="Normal 2 3 2 5 2" xfId="13040"/>
    <cellStyle name="Normal 2 3 2 5 2 10" xfId="13041"/>
    <cellStyle name="Normal 2 3 2 5 2 11" xfId="13042"/>
    <cellStyle name="Normal 2 3 2 5 2 12" xfId="13043"/>
    <cellStyle name="Normal 2 3 2 5 2 2" xfId="13044"/>
    <cellStyle name="Normal 2 3 2 5 2 2 2" xfId="13045"/>
    <cellStyle name="Normal 2 3 2 5 2 2 2 2" xfId="13046"/>
    <cellStyle name="Normal 2 3 2 5 2 2 2 2 2" xfId="13047"/>
    <cellStyle name="Normal 2 3 2 5 2 2 2 2 2 2" xfId="13048"/>
    <cellStyle name="Normal 2 3 2 5 2 2 2 2 3" xfId="13049"/>
    <cellStyle name="Normal 2 3 2 5 2 2 2 3" xfId="13050"/>
    <cellStyle name="Normal 2 3 2 5 2 2 2 3 2" xfId="13051"/>
    <cellStyle name="Normal 2 3 2 5 2 2 2 4" xfId="13052"/>
    <cellStyle name="Normal 2 3 2 5 2 2 3" xfId="13053"/>
    <cellStyle name="Normal 2 3 2 5 2 2 3 2" xfId="13054"/>
    <cellStyle name="Normal 2 3 2 5 2 2 3 2 2" xfId="13055"/>
    <cellStyle name="Normal 2 3 2 5 2 2 3 3" xfId="13056"/>
    <cellStyle name="Normal 2 3 2 5 2 2 3 4" xfId="13057"/>
    <cellStyle name="Normal 2 3 2 5 2 2 4" xfId="13058"/>
    <cellStyle name="Normal 2 3 2 5 2 2 4 2" xfId="13059"/>
    <cellStyle name="Normal 2 3 2 5 2 2 4 2 2" xfId="13060"/>
    <cellStyle name="Normal 2 3 2 5 2 2 4 3" xfId="13061"/>
    <cellStyle name="Normal 2 3 2 5 2 2 4 4" xfId="13062"/>
    <cellStyle name="Normal 2 3 2 5 2 2 5" xfId="13063"/>
    <cellStyle name="Normal 2 3 2 5 2 2 5 2" xfId="13064"/>
    <cellStyle name="Normal 2 3 2 5 2 2 6" xfId="13065"/>
    <cellStyle name="Normal 2 3 2 5 2 2 7" xfId="13066"/>
    <cellStyle name="Normal 2 3 2 5 2 2 8" xfId="13067"/>
    <cellStyle name="Normal 2 3 2 5 2 3" xfId="13068"/>
    <cellStyle name="Normal 2 3 2 5 2 3 2" xfId="13069"/>
    <cellStyle name="Normal 2 3 2 5 2 3 2 2" xfId="13070"/>
    <cellStyle name="Normal 2 3 2 5 2 3 2 2 2" xfId="13071"/>
    <cellStyle name="Normal 2 3 2 5 2 3 2 3" xfId="13072"/>
    <cellStyle name="Normal 2 3 2 5 2 3 2 4" xfId="13073"/>
    <cellStyle name="Normal 2 3 2 5 2 3 3" xfId="13074"/>
    <cellStyle name="Normal 2 3 2 5 2 3 3 2" xfId="13075"/>
    <cellStyle name="Normal 2 3 2 5 2 3 3 3" xfId="13076"/>
    <cellStyle name="Normal 2 3 2 5 2 3 4" xfId="13077"/>
    <cellStyle name="Normal 2 3 2 5 2 3 4 2" xfId="13078"/>
    <cellStyle name="Normal 2 3 2 5 2 3 5" xfId="13079"/>
    <cellStyle name="Normal 2 3 2 5 2 3 6" xfId="13080"/>
    <cellStyle name="Normal 2 3 2 5 2 3 7" xfId="13081"/>
    <cellStyle name="Normal 2 3 2 5 2 3 8" xfId="13082"/>
    <cellStyle name="Normal 2 3 2 5 2 4" xfId="13083"/>
    <cellStyle name="Normal 2 3 2 5 2 4 2" xfId="13084"/>
    <cellStyle name="Normal 2 3 2 5 2 4 2 2" xfId="13085"/>
    <cellStyle name="Normal 2 3 2 5 2 4 2 3" xfId="13086"/>
    <cellStyle name="Normal 2 3 2 5 2 4 3" xfId="13087"/>
    <cellStyle name="Normal 2 3 2 5 2 4 3 2" xfId="13088"/>
    <cellStyle name="Normal 2 3 2 5 2 4 4" xfId="13089"/>
    <cellStyle name="Normal 2 3 2 5 2 4 4 2" xfId="13090"/>
    <cellStyle name="Normal 2 3 2 5 2 4 5" xfId="13091"/>
    <cellStyle name="Normal 2 3 2 5 2 4 6" xfId="13092"/>
    <cellStyle name="Normal 2 3 2 5 2 4 7" xfId="13093"/>
    <cellStyle name="Normal 2 3 2 5 2 4 8" xfId="13094"/>
    <cellStyle name="Normal 2 3 2 5 2 5" xfId="13095"/>
    <cellStyle name="Normal 2 3 2 5 2 5 2" xfId="13096"/>
    <cellStyle name="Normal 2 3 2 5 2 5 2 2" xfId="13097"/>
    <cellStyle name="Normal 2 3 2 5 2 5 2 3" xfId="13098"/>
    <cellStyle name="Normal 2 3 2 5 2 5 3" xfId="13099"/>
    <cellStyle name="Normal 2 3 2 5 2 5 3 2" xfId="13100"/>
    <cellStyle name="Normal 2 3 2 5 2 5 4" xfId="13101"/>
    <cellStyle name="Normal 2 3 2 5 2 5 5" xfId="13102"/>
    <cellStyle name="Normal 2 3 2 5 2 5 6" xfId="13103"/>
    <cellStyle name="Normal 2 3 2 5 2 5 7" xfId="13104"/>
    <cellStyle name="Normal 2 3 2 5 2 6" xfId="13105"/>
    <cellStyle name="Normal 2 3 2 5 2 6 2" xfId="13106"/>
    <cellStyle name="Normal 2 3 2 5 2 6 3" xfId="13107"/>
    <cellStyle name="Normal 2 3 2 5 2 7" xfId="13108"/>
    <cellStyle name="Normal 2 3 2 5 2 7 2" xfId="13109"/>
    <cellStyle name="Normal 2 3 2 5 2 8" xfId="13110"/>
    <cellStyle name="Normal 2 3 2 5 2 8 2" xfId="13111"/>
    <cellStyle name="Normal 2 3 2 5 2 9" xfId="13112"/>
    <cellStyle name="Normal 2 3 2 5 3" xfId="13113"/>
    <cellStyle name="Normal 2 3 2 5 3 10" xfId="13114"/>
    <cellStyle name="Normal 2 3 2 5 3 11" xfId="13115"/>
    <cellStyle name="Normal 2 3 2 5 3 12" xfId="13116"/>
    <cellStyle name="Normal 2 3 2 5 3 2" xfId="13117"/>
    <cellStyle name="Normal 2 3 2 5 3 2 2" xfId="13118"/>
    <cellStyle name="Normal 2 3 2 5 3 2 2 2" xfId="13119"/>
    <cellStyle name="Normal 2 3 2 5 3 2 2 2 2" xfId="13120"/>
    <cellStyle name="Normal 2 3 2 5 3 2 2 3" xfId="13121"/>
    <cellStyle name="Normal 2 3 2 5 3 2 2 4" xfId="13122"/>
    <cellStyle name="Normal 2 3 2 5 3 2 3" xfId="13123"/>
    <cellStyle name="Normal 2 3 2 5 3 2 3 2" xfId="13124"/>
    <cellStyle name="Normal 2 3 2 5 3 2 3 3" xfId="13125"/>
    <cellStyle name="Normal 2 3 2 5 3 2 4" xfId="13126"/>
    <cellStyle name="Normal 2 3 2 5 3 2 4 2" xfId="13127"/>
    <cellStyle name="Normal 2 3 2 5 3 2 5" xfId="13128"/>
    <cellStyle name="Normal 2 3 2 5 3 2 6" xfId="13129"/>
    <cellStyle name="Normal 2 3 2 5 3 2 7" xfId="13130"/>
    <cellStyle name="Normal 2 3 2 5 3 2 8" xfId="13131"/>
    <cellStyle name="Normal 2 3 2 5 3 3" xfId="13132"/>
    <cellStyle name="Normal 2 3 2 5 3 3 2" xfId="13133"/>
    <cellStyle name="Normal 2 3 2 5 3 3 2 2" xfId="13134"/>
    <cellStyle name="Normal 2 3 2 5 3 3 2 3" xfId="13135"/>
    <cellStyle name="Normal 2 3 2 5 3 3 3" xfId="13136"/>
    <cellStyle name="Normal 2 3 2 5 3 3 3 2" xfId="13137"/>
    <cellStyle name="Normal 2 3 2 5 3 3 4" xfId="13138"/>
    <cellStyle name="Normal 2 3 2 5 3 3 4 2" xfId="13139"/>
    <cellStyle name="Normal 2 3 2 5 3 3 5" xfId="13140"/>
    <cellStyle name="Normal 2 3 2 5 3 3 6" xfId="13141"/>
    <cellStyle name="Normal 2 3 2 5 3 3 7" xfId="13142"/>
    <cellStyle name="Normal 2 3 2 5 3 3 8" xfId="13143"/>
    <cellStyle name="Normal 2 3 2 5 3 4" xfId="13144"/>
    <cellStyle name="Normal 2 3 2 5 3 4 2" xfId="13145"/>
    <cellStyle name="Normal 2 3 2 5 3 4 2 2" xfId="13146"/>
    <cellStyle name="Normal 2 3 2 5 3 4 2 3" xfId="13147"/>
    <cellStyle name="Normal 2 3 2 5 3 4 3" xfId="13148"/>
    <cellStyle name="Normal 2 3 2 5 3 4 3 2" xfId="13149"/>
    <cellStyle name="Normal 2 3 2 5 3 4 4" xfId="13150"/>
    <cellStyle name="Normal 2 3 2 5 3 4 4 2" xfId="13151"/>
    <cellStyle name="Normal 2 3 2 5 3 4 5" xfId="13152"/>
    <cellStyle name="Normal 2 3 2 5 3 4 6" xfId="13153"/>
    <cellStyle name="Normal 2 3 2 5 3 4 7" xfId="13154"/>
    <cellStyle name="Normal 2 3 2 5 3 4 8" xfId="13155"/>
    <cellStyle name="Normal 2 3 2 5 3 5" xfId="13156"/>
    <cellStyle name="Normal 2 3 2 5 3 5 2" xfId="13157"/>
    <cellStyle name="Normal 2 3 2 5 3 5 2 2" xfId="13158"/>
    <cellStyle name="Normal 2 3 2 5 3 5 3" xfId="13159"/>
    <cellStyle name="Normal 2 3 2 5 3 5 3 2" xfId="13160"/>
    <cellStyle name="Normal 2 3 2 5 3 5 4" xfId="13161"/>
    <cellStyle name="Normal 2 3 2 5 3 5 5" xfId="13162"/>
    <cellStyle name="Normal 2 3 2 5 3 5 6" xfId="13163"/>
    <cellStyle name="Normal 2 3 2 5 3 6" xfId="13164"/>
    <cellStyle name="Normal 2 3 2 5 3 6 2" xfId="13165"/>
    <cellStyle name="Normal 2 3 2 5 3 7" xfId="13166"/>
    <cellStyle name="Normal 2 3 2 5 3 7 2" xfId="13167"/>
    <cellStyle name="Normal 2 3 2 5 3 8" xfId="13168"/>
    <cellStyle name="Normal 2 3 2 5 3 8 2" xfId="13169"/>
    <cellStyle name="Normal 2 3 2 5 3 9" xfId="13170"/>
    <cellStyle name="Normal 2 3 2 5 4" xfId="13171"/>
    <cellStyle name="Normal 2 3 2 5 4 2" xfId="13172"/>
    <cellStyle name="Normal 2 3 2 5 4 2 2" xfId="13173"/>
    <cellStyle name="Normal 2 3 2 5 4 2 2 2" xfId="13174"/>
    <cellStyle name="Normal 2 3 2 5 4 2 3" xfId="13175"/>
    <cellStyle name="Normal 2 3 2 5 4 2 4" xfId="13176"/>
    <cellStyle name="Normal 2 3 2 5 4 3" xfId="13177"/>
    <cellStyle name="Normal 2 3 2 5 4 3 2" xfId="13178"/>
    <cellStyle name="Normal 2 3 2 5 4 3 3" xfId="13179"/>
    <cellStyle name="Normal 2 3 2 5 4 4" xfId="13180"/>
    <cellStyle name="Normal 2 3 2 5 4 4 2" xfId="13181"/>
    <cellStyle name="Normal 2 3 2 5 4 5" xfId="13182"/>
    <cellStyle name="Normal 2 3 2 5 4 6" xfId="13183"/>
    <cellStyle name="Normal 2 3 2 5 4 7" xfId="13184"/>
    <cellStyle name="Normal 2 3 2 5 4 8" xfId="13185"/>
    <cellStyle name="Normal 2 3 2 5 5" xfId="13186"/>
    <cellStyle name="Normal 2 3 2 5 5 2" xfId="13187"/>
    <cellStyle name="Normal 2 3 2 5 5 2 2" xfId="13188"/>
    <cellStyle name="Normal 2 3 2 5 5 2 3" xfId="13189"/>
    <cellStyle name="Normal 2 3 2 5 5 3" xfId="13190"/>
    <cellStyle name="Normal 2 3 2 5 5 3 2" xfId="13191"/>
    <cellStyle name="Normal 2 3 2 5 5 4" xfId="13192"/>
    <cellStyle name="Normal 2 3 2 5 5 4 2" xfId="13193"/>
    <cellStyle name="Normal 2 3 2 5 5 5" xfId="13194"/>
    <cellStyle name="Normal 2 3 2 5 5 6" xfId="13195"/>
    <cellStyle name="Normal 2 3 2 5 5 7" xfId="13196"/>
    <cellStyle name="Normal 2 3 2 5 5 8" xfId="13197"/>
    <cellStyle name="Normal 2 3 2 5 6" xfId="13198"/>
    <cellStyle name="Normal 2 3 2 5 6 2" xfId="13199"/>
    <cellStyle name="Normal 2 3 2 5 6 2 2" xfId="13200"/>
    <cellStyle name="Normal 2 3 2 5 6 2 3" xfId="13201"/>
    <cellStyle name="Normal 2 3 2 5 6 3" xfId="13202"/>
    <cellStyle name="Normal 2 3 2 5 6 3 2" xfId="13203"/>
    <cellStyle name="Normal 2 3 2 5 6 4" xfId="13204"/>
    <cellStyle name="Normal 2 3 2 5 6 4 2" xfId="13205"/>
    <cellStyle name="Normal 2 3 2 5 6 5" xfId="13206"/>
    <cellStyle name="Normal 2 3 2 5 6 6" xfId="13207"/>
    <cellStyle name="Normal 2 3 2 5 6 7" xfId="13208"/>
    <cellStyle name="Normal 2 3 2 5 6 8" xfId="13209"/>
    <cellStyle name="Normal 2 3 2 5 7" xfId="13210"/>
    <cellStyle name="Normal 2 3 2 5 7 2" xfId="13211"/>
    <cellStyle name="Normal 2 3 2 5 7 2 2" xfId="13212"/>
    <cellStyle name="Normal 2 3 2 5 7 3" xfId="13213"/>
    <cellStyle name="Normal 2 3 2 5 7 3 2" xfId="13214"/>
    <cellStyle name="Normal 2 3 2 5 7 4" xfId="13215"/>
    <cellStyle name="Normal 2 3 2 5 7 5" xfId="13216"/>
    <cellStyle name="Normal 2 3 2 5 7 6" xfId="13217"/>
    <cellStyle name="Normal 2 3 2 5 8" xfId="13218"/>
    <cellStyle name="Normal 2 3 2 5 8 2" xfId="13219"/>
    <cellStyle name="Normal 2 3 2 5 9" xfId="13220"/>
    <cellStyle name="Normal 2 3 2 5 9 2" xfId="13221"/>
    <cellStyle name="Normal 2 3 2 6" xfId="13222"/>
    <cellStyle name="Normal 2 3 2 6 10" xfId="13223"/>
    <cellStyle name="Normal 2 3 2 6 11" xfId="13224"/>
    <cellStyle name="Normal 2 3 2 6 12" xfId="13225"/>
    <cellStyle name="Normal 2 3 2 6 13" xfId="13226"/>
    <cellStyle name="Normal 2 3 2 6 2" xfId="13227"/>
    <cellStyle name="Normal 2 3 2 6 2 2" xfId="13228"/>
    <cellStyle name="Normal 2 3 2 6 2 2 2" xfId="13229"/>
    <cellStyle name="Normal 2 3 2 6 2 2 2 2" xfId="13230"/>
    <cellStyle name="Normal 2 3 2 6 2 2 2 2 2" xfId="13231"/>
    <cellStyle name="Normal 2 3 2 6 2 2 2 2 3" xfId="13232"/>
    <cellStyle name="Normal 2 3 2 6 2 2 2 3" xfId="13233"/>
    <cellStyle name="Normal 2 3 2 6 2 2 2 3 2" xfId="13234"/>
    <cellStyle name="Normal 2 3 2 6 2 2 2 4" xfId="13235"/>
    <cellStyle name="Normal 2 3 2 6 2 2 3" xfId="13236"/>
    <cellStyle name="Normal 2 3 2 6 2 2 3 2" xfId="13237"/>
    <cellStyle name="Normal 2 3 2 6 2 2 3 3" xfId="13238"/>
    <cellStyle name="Normal 2 3 2 6 2 2 4" xfId="13239"/>
    <cellStyle name="Normal 2 3 2 6 2 2 4 2" xfId="13240"/>
    <cellStyle name="Normal 2 3 2 6 2 2 4 3" xfId="13241"/>
    <cellStyle name="Normal 2 3 2 6 2 2 5" xfId="13242"/>
    <cellStyle name="Normal 2 3 2 6 2 2 5 2" xfId="13243"/>
    <cellStyle name="Normal 2 3 2 6 2 2 6" xfId="13244"/>
    <cellStyle name="Normal 2 3 2 6 2 3" xfId="13245"/>
    <cellStyle name="Normal 2 3 2 6 2 3 2" xfId="13246"/>
    <cellStyle name="Normal 2 3 2 6 2 3 2 2" xfId="13247"/>
    <cellStyle name="Normal 2 3 2 6 2 3 2 2 2" xfId="13248"/>
    <cellStyle name="Normal 2 3 2 6 2 3 2 3" xfId="13249"/>
    <cellStyle name="Normal 2 3 2 6 2 3 3" xfId="13250"/>
    <cellStyle name="Normal 2 3 2 6 2 3 3 2" xfId="13251"/>
    <cellStyle name="Normal 2 3 2 6 2 3 4" xfId="13252"/>
    <cellStyle name="Normal 2 3 2 6 2 4" xfId="13253"/>
    <cellStyle name="Normal 2 3 2 6 2 4 2" xfId="13254"/>
    <cellStyle name="Normal 2 3 2 6 2 4 2 2" xfId="13255"/>
    <cellStyle name="Normal 2 3 2 6 2 4 3" xfId="13256"/>
    <cellStyle name="Normal 2 3 2 6 2 4 4" xfId="13257"/>
    <cellStyle name="Normal 2 3 2 6 2 5" xfId="13258"/>
    <cellStyle name="Normal 2 3 2 6 2 5 2" xfId="13259"/>
    <cellStyle name="Normal 2 3 2 6 2 5 2 2" xfId="13260"/>
    <cellStyle name="Normal 2 3 2 6 2 5 3" xfId="13261"/>
    <cellStyle name="Normal 2 3 2 6 2 6" xfId="13262"/>
    <cellStyle name="Normal 2 3 2 6 2 6 2" xfId="13263"/>
    <cellStyle name="Normal 2 3 2 6 2 7" xfId="13264"/>
    <cellStyle name="Normal 2 3 2 6 2 8" xfId="13265"/>
    <cellStyle name="Normal 2 3 2 6 3" xfId="13266"/>
    <cellStyle name="Normal 2 3 2 6 3 2" xfId="13267"/>
    <cellStyle name="Normal 2 3 2 6 3 2 2" xfId="13268"/>
    <cellStyle name="Normal 2 3 2 6 3 2 2 2" xfId="13269"/>
    <cellStyle name="Normal 2 3 2 6 3 2 2 2 2" xfId="13270"/>
    <cellStyle name="Normal 2 3 2 6 3 2 2 3" xfId="13271"/>
    <cellStyle name="Normal 2 3 2 6 3 2 3" xfId="13272"/>
    <cellStyle name="Normal 2 3 2 6 3 2 3 2" xfId="13273"/>
    <cellStyle name="Normal 2 3 2 6 3 2 4" xfId="13274"/>
    <cellStyle name="Normal 2 3 2 6 3 3" xfId="13275"/>
    <cellStyle name="Normal 2 3 2 6 3 3 2" xfId="13276"/>
    <cellStyle name="Normal 2 3 2 6 3 3 2 2" xfId="13277"/>
    <cellStyle name="Normal 2 3 2 6 3 3 3" xfId="13278"/>
    <cellStyle name="Normal 2 3 2 6 3 3 4" xfId="13279"/>
    <cellStyle name="Normal 2 3 2 6 3 4" xfId="13280"/>
    <cellStyle name="Normal 2 3 2 6 3 4 2" xfId="13281"/>
    <cellStyle name="Normal 2 3 2 6 3 4 2 2" xfId="13282"/>
    <cellStyle name="Normal 2 3 2 6 3 4 3" xfId="13283"/>
    <cellStyle name="Normal 2 3 2 6 3 4 4" xfId="13284"/>
    <cellStyle name="Normal 2 3 2 6 3 5" xfId="13285"/>
    <cellStyle name="Normal 2 3 2 6 3 5 2" xfId="13286"/>
    <cellStyle name="Normal 2 3 2 6 3 6" xfId="13287"/>
    <cellStyle name="Normal 2 3 2 6 3 7" xfId="13288"/>
    <cellStyle name="Normal 2 3 2 6 3 8" xfId="13289"/>
    <cellStyle name="Normal 2 3 2 6 4" xfId="13290"/>
    <cellStyle name="Normal 2 3 2 6 4 2" xfId="13291"/>
    <cellStyle name="Normal 2 3 2 6 4 2 2" xfId="13292"/>
    <cellStyle name="Normal 2 3 2 6 4 2 2 2" xfId="13293"/>
    <cellStyle name="Normal 2 3 2 6 4 2 3" xfId="13294"/>
    <cellStyle name="Normal 2 3 2 6 4 2 4" xfId="13295"/>
    <cellStyle name="Normal 2 3 2 6 4 3" xfId="13296"/>
    <cellStyle name="Normal 2 3 2 6 4 3 2" xfId="13297"/>
    <cellStyle name="Normal 2 3 2 6 4 3 3" xfId="13298"/>
    <cellStyle name="Normal 2 3 2 6 4 4" xfId="13299"/>
    <cellStyle name="Normal 2 3 2 6 4 4 2" xfId="13300"/>
    <cellStyle name="Normal 2 3 2 6 4 5" xfId="13301"/>
    <cellStyle name="Normal 2 3 2 6 4 6" xfId="13302"/>
    <cellStyle name="Normal 2 3 2 6 4 7" xfId="13303"/>
    <cellStyle name="Normal 2 3 2 6 4 8" xfId="13304"/>
    <cellStyle name="Normal 2 3 2 6 5" xfId="13305"/>
    <cellStyle name="Normal 2 3 2 6 5 2" xfId="13306"/>
    <cellStyle name="Normal 2 3 2 6 5 2 2" xfId="13307"/>
    <cellStyle name="Normal 2 3 2 6 5 2 3" xfId="13308"/>
    <cellStyle name="Normal 2 3 2 6 5 3" xfId="13309"/>
    <cellStyle name="Normal 2 3 2 6 5 3 2" xfId="13310"/>
    <cellStyle name="Normal 2 3 2 6 5 4" xfId="13311"/>
    <cellStyle name="Normal 2 3 2 6 5 4 2" xfId="13312"/>
    <cellStyle name="Normal 2 3 2 6 5 5" xfId="13313"/>
    <cellStyle name="Normal 2 3 2 6 5 6" xfId="13314"/>
    <cellStyle name="Normal 2 3 2 6 5 7" xfId="13315"/>
    <cellStyle name="Normal 2 3 2 6 5 8" xfId="13316"/>
    <cellStyle name="Normal 2 3 2 6 6" xfId="13317"/>
    <cellStyle name="Normal 2 3 2 6 6 2" xfId="13318"/>
    <cellStyle name="Normal 2 3 2 6 6 2 2" xfId="13319"/>
    <cellStyle name="Normal 2 3 2 6 6 2 3" xfId="13320"/>
    <cellStyle name="Normal 2 3 2 6 6 3" xfId="13321"/>
    <cellStyle name="Normal 2 3 2 6 6 3 2" xfId="13322"/>
    <cellStyle name="Normal 2 3 2 6 6 4" xfId="13323"/>
    <cellStyle name="Normal 2 3 2 6 6 5" xfId="13324"/>
    <cellStyle name="Normal 2 3 2 6 6 6" xfId="13325"/>
    <cellStyle name="Normal 2 3 2 6 6 7" xfId="13326"/>
    <cellStyle name="Normal 2 3 2 6 7" xfId="13327"/>
    <cellStyle name="Normal 2 3 2 6 7 2" xfId="13328"/>
    <cellStyle name="Normal 2 3 2 6 7 3" xfId="13329"/>
    <cellStyle name="Normal 2 3 2 6 8" xfId="13330"/>
    <cellStyle name="Normal 2 3 2 6 8 2" xfId="13331"/>
    <cellStyle name="Normal 2 3 2 6 9" xfId="13332"/>
    <cellStyle name="Normal 2 3 2 6 9 2" xfId="13333"/>
    <cellStyle name="Normal 2 3 2 7" xfId="13334"/>
    <cellStyle name="Normal 2 3 2 7 10" xfId="13335"/>
    <cellStyle name="Normal 2 3 2 7 11" xfId="13336"/>
    <cellStyle name="Normal 2 3 2 7 12" xfId="13337"/>
    <cellStyle name="Normal 2 3 2 7 2" xfId="13338"/>
    <cellStyle name="Normal 2 3 2 7 2 2" xfId="13339"/>
    <cellStyle name="Normal 2 3 2 7 2 2 2" xfId="13340"/>
    <cellStyle name="Normal 2 3 2 7 2 2 2 2" xfId="13341"/>
    <cellStyle name="Normal 2 3 2 7 2 2 2 2 2" xfId="13342"/>
    <cellStyle name="Normal 2 3 2 7 2 2 2 2 3" xfId="13343"/>
    <cellStyle name="Normal 2 3 2 7 2 2 2 3" xfId="13344"/>
    <cellStyle name="Normal 2 3 2 7 2 2 2 3 2" xfId="13345"/>
    <cellStyle name="Normal 2 3 2 7 2 2 2 4" xfId="13346"/>
    <cellStyle name="Normal 2 3 2 7 2 2 3" xfId="13347"/>
    <cellStyle name="Normal 2 3 2 7 2 2 3 2" xfId="13348"/>
    <cellStyle name="Normal 2 3 2 7 2 2 3 3" xfId="13349"/>
    <cellStyle name="Normal 2 3 2 7 2 2 4" xfId="13350"/>
    <cellStyle name="Normal 2 3 2 7 2 2 4 2" xfId="13351"/>
    <cellStyle name="Normal 2 3 2 7 2 2 4 3" xfId="13352"/>
    <cellStyle name="Normal 2 3 2 7 2 2 5" xfId="13353"/>
    <cellStyle name="Normal 2 3 2 7 2 2 5 2" xfId="13354"/>
    <cellStyle name="Normal 2 3 2 7 2 2 6" xfId="13355"/>
    <cellStyle name="Normal 2 3 2 7 2 3" xfId="13356"/>
    <cellStyle name="Normal 2 3 2 7 2 3 2" xfId="13357"/>
    <cellStyle name="Normal 2 3 2 7 2 3 2 2" xfId="13358"/>
    <cellStyle name="Normal 2 3 2 7 2 3 2 2 2" xfId="13359"/>
    <cellStyle name="Normal 2 3 2 7 2 3 2 3" xfId="13360"/>
    <cellStyle name="Normal 2 3 2 7 2 3 3" xfId="13361"/>
    <cellStyle name="Normal 2 3 2 7 2 3 3 2" xfId="13362"/>
    <cellStyle name="Normal 2 3 2 7 2 3 4" xfId="13363"/>
    <cellStyle name="Normal 2 3 2 7 2 4" xfId="13364"/>
    <cellStyle name="Normal 2 3 2 7 2 4 2" xfId="13365"/>
    <cellStyle name="Normal 2 3 2 7 2 4 2 2" xfId="13366"/>
    <cellStyle name="Normal 2 3 2 7 2 4 3" xfId="13367"/>
    <cellStyle name="Normal 2 3 2 7 2 4 4" xfId="13368"/>
    <cellStyle name="Normal 2 3 2 7 2 5" xfId="13369"/>
    <cellStyle name="Normal 2 3 2 7 2 5 2" xfId="13370"/>
    <cellStyle name="Normal 2 3 2 7 2 5 2 2" xfId="13371"/>
    <cellStyle name="Normal 2 3 2 7 2 5 3" xfId="13372"/>
    <cellStyle name="Normal 2 3 2 7 2 6" xfId="13373"/>
    <cellStyle name="Normal 2 3 2 7 2 6 2" xfId="13374"/>
    <cellStyle name="Normal 2 3 2 7 2 7" xfId="13375"/>
    <cellStyle name="Normal 2 3 2 7 2 8" xfId="13376"/>
    <cellStyle name="Normal 2 3 2 7 3" xfId="13377"/>
    <cellStyle name="Normal 2 3 2 7 3 2" xfId="13378"/>
    <cellStyle name="Normal 2 3 2 7 3 2 2" xfId="13379"/>
    <cellStyle name="Normal 2 3 2 7 3 2 2 2" xfId="13380"/>
    <cellStyle name="Normal 2 3 2 7 3 2 2 2 2" xfId="13381"/>
    <cellStyle name="Normal 2 3 2 7 3 2 2 3" xfId="13382"/>
    <cellStyle name="Normal 2 3 2 7 3 2 3" xfId="13383"/>
    <cellStyle name="Normal 2 3 2 7 3 2 3 2" xfId="13384"/>
    <cellStyle name="Normal 2 3 2 7 3 2 4" xfId="13385"/>
    <cellStyle name="Normal 2 3 2 7 3 3" xfId="13386"/>
    <cellStyle name="Normal 2 3 2 7 3 3 2" xfId="13387"/>
    <cellStyle name="Normal 2 3 2 7 3 3 2 2" xfId="13388"/>
    <cellStyle name="Normal 2 3 2 7 3 3 3" xfId="13389"/>
    <cellStyle name="Normal 2 3 2 7 3 3 4" xfId="13390"/>
    <cellStyle name="Normal 2 3 2 7 3 4" xfId="13391"/>
    <cellStyle name="Normal 2 3 2 7 3 4 2" xfId="13392"/>
    <cellStyle name="Normal 2 3 2 7 3 4 2 2" xfId="13393"/>
    <cellStyle name="Normal 2 3 2 7 3 4 3" xfId="13394"/>
    <cellStyle name="Normal 2 3 2 7 3 4 4" xfId="13395"/>
    <cellStyle name="Normal 2 3 2 7 3 5" xfId="13396"/>
    <cellStyle name="Normal 2 3 2 7 3 5 2" xfId="13397"/>
    <cellStyle name="Normal 2 3 2 7 3 6" xfId="13398"/>
    <cellStyle name="Normal 2 3 2 7 3 7" xfId="13399"/>
    <cellStyle name="Normal 2 3 2 7 3 8" xfId="13400"/>
    <cellStyle name="Normal 2 3 2 7 4" xfId="13401"/>
    <cellStyle name="Normal 2 3 2 7 4 2" xfId="13402"/>
    <cellStyle name="Normal 2 3 2 7 4 2 2" xfId="13403"/>
    <cellStyle name="Normal 2 3 2 7 4 2 2 2" xfId="13404"/>
    <cellStyle name="Normal 2 3 2 7 4 2 3" xfId="13405"/>
    <cellStyle name="Normal 2 3 2 7 4 2 4" xfId="13406"/>
    <cellStyle name="Normal 2 3 2 7 4 3" xfId="13407"/>
    <cellStyle name="Normal 2 3 2 7 4 3 2" xfId="13408"/>
    <cellStyle name="Normal 2 3 2 7 4 3 3" xfId="13409"/>
    <cellStyle name="Normal 2 3 2 7 4 4" xfId="13410"/>
    <cellStyle name="Normal 2 3 2 7 4 4 2" xfId="13411"/>
    <cellStyle name="Normal 2 3 2 7 4 5" xfId="13412"/>
    <cellStyle name="Normal 2 3 2 7 4 6" xfId="13413"/>
    <cellStyle name="Normal 2 3 2 7 4 7" xfId="13414"/>
    <cellStyle name="Normal 2 3 2 7 4 8" xfId="13415"/>
    <cellStyle name="Normal 2 3 2 7 5" xfId="13416"/>
    <cellStyle name="Normal 2 3 2 7 5 2" xfId="13417"/>
    <cellStyle name="Normal 2 3 2 7 5 2 2" xfId="13418"/>
    <cellStyle name="Normal 2 3 2 7 5 2 3" xfId="13419"/>
    <cellStyle name="Normal 2 3 2 7 5 3" xfId="13420"/>
    <cellStyle name="Normal 2 3 2 7 5 3 2" xfId="13421"/>
    <cellStyle name="Normal 2 3 2 7 5 4" xfId="13422"/>
    <cellStyle name="Normal 2 3 2 7 5 5" xfId="13423"/>
    <cellStyle name="Normal 2 3 2 7 5 6" xfId="13424"/>
    <cellStyle name="Normal 2 3 2 7 5 7" xfId="13425"/>
    <cellStyle name="Normal 2 3 2 7 6" xfId="13426"/>
    <cellStyle name="Normal 2 3 2 7 6 2" xfId="13427"/>
    <cellStyle name="Normal 2 3 2 7 6 2 2" xfId="13428"/>
    <cellStyle name="Normal 2 3 2 7 6 3" xfId="13429"/>
    <cellStyle name="Normal 2 3 2 7 6 4" xfId="13430"/>
    <cellStyle name="Normal 2 3 2 7 7" xfId="13431"/>
    <cellStyle name="Normal 2 3 2 7 7 2" xfId="13432"/>
    <cellStyle name="Normal 2 3 2 7 7 3" xfId="13433"/>
    <cellStyle name="Normal 2 3 2 7 8" xfId="13434"/>
    <cellStyle name="Normal 2 3 2 7 8 2" xfId="13435"/>
    <cellStyle name="Normal 2 3 2 7 9" xfId="13436"/>
    <cellStyle name="Normal 2 3 2 8" xfId="13437"/>
    <cellStyle name="Normal 2 3 2 8 10" xfId="13438"/>
    <cellStyle name="Normal 2 3 2 8 11" xfId="13439"/>
    <cellStyle name="Normal 2 3 2 8 12" xfId="13440"/>
    <cellStyle name="Normal 2 3 2 8 2" xfId="13441"/>
    <cellStyle name="Normal 2 3 2 8 2 2" xfId="13442"/>
    <cellStyle name="Normal 2 3 2 8 2 2 2" xfId="13443"/>
    <cellStyle name="Normal 2 3 2 8 2 2 2 2" xfId="13444"/>
    <cellStyle name="Normal 2 3 2 8 2 2 2 2 2" xfId="13445"/>
    <cellStyle name="Normal 2 3 2 8 2 2 2 3" xfId="13446"/>
    <cellStyle name="Normal 2 3 2 8 2 2 3" xfId="13447"/>
    <cellStyle name="Normal 2 3 2 8 2 2 3 2" xfId="13448"/>
    <cellStyle name="Normal 2 3 2 8 2 2 4" xfId="13449"/>
    <cellStyle name="Normal 2 3 2 8 2 3" xfId="13450"/>
    <cellStyle name="Normal 2 3 2 8 2 3 2" xfId="13451"/>
    <cellStyle name="Normal 2 3 2 8 2 3 2 2" xfId="13452"/>
    <cellStyle name="Normal 2 3 2 8 2 3 3" xfId="13453"/>
    <cellStyle name="Normal 2 3 2 8 2 3 4" xfId="13454"/>
    <cellStyle name="Normal 2 3 2 8 2 4" xfId="13455"/>
    <cellStyle name="Normal 2 3 2 8 2 4 2" xfId="13456"/>
    <cellStyle name="Normal 2 3 2 8 2 4 2 2" xfId="13457"/>
    <cellStyle name="Normal 2 3 2 8 2 4 3" xfId="13458"/>
    <cellStyle name="Normal 2 3 2 8 2 4 4" xfId="13459"/>
    <cellStyle name="Normal 2 3 2 8 2 5" xfId="13460"/>
    <cellStyle name="Normal 2 3 2 8 2 5 2" xfId="13461"/>
    <cellStyle name="Normal 2 3 2 8 2 6" xfId="13462"/>
    <cellStyle name="Normal 2 3 2 8 2 7" xfId="13463"/>
    <cellStyle name="Normal 2 3 2 8 2 8" xfId="13464"/>
    <cellStyle name="Normal 2 3 2 8 3" xfId="13465"/>
    <cellStyle name="Normal 2 3 2 8 3 2" xfId="13466"/>
    <cellStyle name="Normal 2 3 2 8 3 2 2" xfId="13467"/>
    <cellStyle name="Normal 2 3 2 8 3 2 2 2" xfId="13468"/>
    <cellStyle name="Normal 2 3 2 8 3 2 3" xfId="13469"/>
    <cellStyle name="Normal 2 3 2 8 3 2 4" xfId="13470"/>
    <cellStyle name="Normal 2 3 2 8 3 3" xfId="13471"/>
    <cellStyle name="Normal 2 3 2 8 3 3 2" xfId="13472"/>
    <cellStyle name="Normal 2 3 2 8 3 3 3" xfId="13473"/>
    <cellStyle name="Normal 2 3 2 8 3 4" xfId="13474"/>
    <cellStyle name="Normal 2 3 2 8 3 4 2" xfId="13475"/>
    <cellStyle name="Normal 2 3 2 8 3 5" xfId="13476"/>
    <cellStyle name="Normal 2 3 2 8 3 6" xfId="13477"/>
    <cellStyle name="Normal 2 3 2 8 3 7" xfId="13478"/>
    <cellStyle name="Normal 2 3 2 8 3 8" xfId="13479"/>
    <cellStyle name="Normal 2 3 2 8 4" xfId="13480"/>
    <cellStyle name="Normal 2 3 2 8 4 2" xfId="13481"/>
    <cellStyle name="Normal 2 3 2 8 4 2 2" xfId="13482"/>
    <cellStyle name="Normal 2 3 2 8 4 2 3" xfId="13483"/>
    <cellStyle name="Normal 2 3 2 8 4 3" xfId="13484"/>
    <cellStyle name="Normal 2 3 2 8 4 3 2" xfId="13485"/>
    <cellStyle name="Normal 2 3 2 8 4 4" xfId="13486"/>
    <cellStyle name="Normal 2 3 2 8 4 4 2" xfId="13487"/>
    <cellStyle name="Normal 2 3 2 8 4 5" xfId="13488"/>
    <cellStyle name="Normal 2 3 2 8 4 6" xfId="13489"/>
    <cellStyle name="Normal 2 3 2 8 4 7" xfId="13490"/>
    <cellStyle name="Normal 2 3 2 8 4 8" xfId="13491"/>
    <cellStyle name="Normal 2 3 2 8 5" xfId="13492"/>
    <cellStyle name="Normal 2 3 2 8 5 2" xfId="13493"/>
    <cellStyle name="Normal 2 3 2 8 5 2 2" xfId="13494"/>
    <cellStyle name="Normal 2 3 2 8 5 2 3" xfId="13495"/>
    <cellStyle name="Normal 2 3 2 8 5 3" xfId="13496"/>
    <cellStyle name="Normal 2 3 2 8 5 3 2" xfId="13497"/>
    <cellStyle name="Normal 2 3 2 8 5 4" xfId="13498"/>
    <cellStyle name="Normal 2 3 2 8 5 5" xfId="13499"/>
    <cellStyle name="Normal 2 3 2 8 5 6" xfId="13500"/>
    <cellStyle name="Normal 2 3 2 8 5 7" xfId="13501"/>
    <cellStyle name="Normal 2 3 2 8 6" xfId="13502"/>
    <cellStyle name="Normal 2 3 2 8 6 2" xfId="13503"/>
    <cellStyle name="Normal 2 3 2 8 6 3" xfId="13504"/>
    <cellStyle name="Normal 2 3 2 8 7" xfId="13505"/>
    <cellStyle name="Normal 2 3 2 8 7 2" xfId="13506"/>
    <cellStyle name="Normal 2 3 2 8 8" xfId="13507"/>
    <cellStyle name="Normal 2 3 2 8 8 2" xfId="13508"/>
    <cellStyle name="Normal 2 3 2 8 9" xfId="13509"/>
    <cellStyle name="Normal 2 3 2 9" xfId="13510"/>
    <cellStyle name="Normal 2 3 2 9 2" xfId="13511"/>
    <cellStyle name="Normal 2 3 2 9 2 2" xfId="13512"/>
    <cellStyle name="Normal 2 3 2 9 2 2 2" xfId="13513"/>
    <cellStyle name="Normal 2 3 2 9 2 2 2 2" xfId="13514"/>
    <cellStyle name="Normal 2 3 2 9 2 2 3" xfId="13515"/>
    <cellStyle name="Normal 2 3 2 9 2 3" xfId="13516"/>
    <cellStyle name="Normal 2 3 2 9 2 3 2" xfId="13517"/>
    <cellStyle name="Normal 2 3 2 9 2 4" xfId="13518"/>
    <cellStyle name="Normal 2 3 2 9 3" xfId="13519"/>
    <cellStyle name="Normal 2 3 2 9 3 2" xfId="13520"/>
    <cellStyle name="Normal 2 3 2 9 3 2 2" xfId="13521"/>
    <cellStyle name="Normal 2 3 2 9 3 3" xfId="13522"/>
    <cellStyle name="Normal 2 3 2 9 3 4" xfId="13523"/>
    <cellStyle name="Normal 2 3 2 9 4" xfId="13524"/>
    <cellStyle name="Normal 2 3 2 9 4 2" xfId="13525"/>
    <cellStyle name="Normal 2 3 2 9 4 2 2" xfId="13526"/>
    <cellStyle name="Normal 2 3 2 9 4 3" xfId="13527"/>
    <cellStyle name="Normal 2 3 2 9 4 4" xfId="13528"/>
    <cellStyle name="Normal 2 3 2 9 5" xfId="13529"/>
    <cellStyle name="Normal 2 3 2 9 5 2" xfId="13530"/>
    <cellStyle name="Normal 2 3 2 9 6" xfId="13531"/>
    <cellStyle name="Normal 2 3 2 9 7" xfId="13532"/>
    <cellStyle name="Normal 2 3 2 9 8" xfId="13533"/>
    <cellStyle name="Normal 2 3 3" xfId="13534"/>
    <cellStyle name="Normal 2 3 3 10" xfId="13535"/>
    <cellStyle name="Normal 2 3 3 10 2" xfId="13536"/>
    <cellStyle name="Normal 2 3 3 10 3" xfId="13537"/>
    <cellStyle name="Normal 2 3 3 11" xfId="13538"/>
    <cellStyle name="Normal 2 3 3 11 2" xfId="13539"/>
    <cellStyle name="Normal 2 3 3 11 3" xfId="13540"/>
    <cellStyle name="Normal 2 3 3 12" xfId="13541"/>
    <cellStyle name="Normal 2 3 3 12 2" xfId="13542"/>
    <cellStyle name="Normal 2 3 3 13" xfId="13543"/>
    <cellStyle name="Normal 2 3 3 2" xfId="13544"/>
    <cellStyle name="Normal 2 3 3 2 10" xfId="13545"/>
    <cellStyle name="Normal 2 3 3 2 10 2" xfId="13546"/>
    <cellStyle name="Normal 2 3 3 2 10 3" xfId="13547"/>
    <cellStyle name="Normal 2 3 3 2 11" xfId="13548"/>
    <cellStyle name="Normal 2 3 3 2 12" xfId="13549"/>
    <cellStyle name="Normal 2 3 3 2 2" xfId="13550"/>
    <cellStyle name="Normal 2 3 3 2 2 10" xfId="13551"/>
    <cellStyle name="Normal 2 3 3 2 2 11" xfId="13552"/>
    <cellStyle name="Normal 2 3 3 2 2 2" xfId="13553"/>
    <cellStyle name="Normal 2 3 3 2 2 2 2" xfId="13554"/>
    <cellStyle name="Normal 2 3 3 2 2 2 2 2" xfId="13555"/>
    <cellStyle name="Normal 2 3 3 2 2 2 2 2 2" xfId="13556"/>
    <cellStyle name="Normal 2 3 3 2 2 2 2 2 2 2" xfId="13557"/>
    <cellStyle name="Normal 2 3 3 2 2 2 2 2 2 2 2" xfId="13558"/>
    <cellStyle name="Normal 2 3 3 2 2 2 2 2 2 2 3" xfId="13559"/>
    <cellStyle name="Normal 2 3 3 2 2 2 2 2 2 3" xfId="13560"/>
    <cellStyle name="Normal 2 3 3 2 2 2 2 2 2 4" xfId="13561"/>
    <cellStyle name="Normal 2 3 3 2 2 2 2 2 3" xfId="13562"/>
    <cellStyle name="Normal 2 3 3 2 2 2 2 2 3 2" xfId="13563"/>
    <cellStyle name="Normal 2 3 3 2 2 2 2 2 3 3" xfId="13564"/>
    <cellStyle name="Normal 2 3 3 2 2 2 2 2 4" xfId="13565"/>
    <cellStyle name="Normal 2 3 3 2 2 2 2 2 4 2" xfId="13566"/>
    <cellStyle name="Normal 2 3 3 2 2 2 2 2 4 3" xfId="13567"/>
    <cellStyle name="Normal 2 3 3 2 2 2 2 2 5" xfId="13568"/>
    <cellStyle name="Normal 2 3 3 2 2 2 2 2 6" xfId="13569"/>
    <cellStyle name="Normal 2 3 3 2 2 2 2 3" xfId="13570"/>
    <cellStyle name="Normal 2 3 3 2 2 2 2 3 2" xfId="13571"/>
    <cellStyle name="Normal 2 3 3 2 2 2 2 3 2 2" xfId="13572"/>
    <cellStyle name="Normal 2 3 3 2 2 2 2 3 2 3" xfId="13573"/>
    <cellStyle name="Normal 2 3 3 2 2 2 2 3 3" xfId="13574"/>
    <cellStyle name="Normal 2 3 3 2 2 2 2 3 4" xfId="13575"/>
    <cellStyle name="Normal 2 3 3 2 2 2 2 4" xfId="13576"/>
    <cellStyle name="Normal 2 3 3 2 2 2 2 4 2" xfId="13577"/>
    <cellStyle name="Normal 2 3 3 2 2 2 2 4 3" xfId="13578"/>
    <cellStyle name="Normal 2 3 3 2 2 2 2 5" xfId="13579"/>
    <cellStyle name="Normal 2 3 3 2 2 2 2 5 2" xfId="13580"/>
    <cellStyle name="Normal 2 3 3 2 2 2 2 5 3" xfId="13581"/>
    <cellStyle name="Normal 2 3 3 2 2 2 2 6" xfId="13582"/>
    <cellStyle name="Normal 2 3 3 2 2 2 2 7" xfId="13583"/>
    <cellStyle name="Normal 2 3 3 2 2 2 3" xfId="13584"/>
    <cellStyle name="Normal 2 3 3 2 2 2 3 2" xfId="13585"/>
    <cellStyle name="Normal 2 3 3 2 2 2 3 2 2" xfId="13586"/>
    <cellStyle name="Normal 2 3 3 2 2 2 3 2 2 2" xfId="13587"/>
    <cellStyle name="Normal 2 3 3 2 2 2 3 2 2 3" xfId="13588"/>
    <cellStyle name="Normal 2 3 3 2 2 2 3 2 3" xfId="13589"/>
    <cellStyle name="Normal 2 3 3 2 2 2 3 2 4" xfId="13590"/>
    <cellStyle name="Normal 2 3 3 2 2 2 3 3" xfId="13591"/>
    <cellStyle name="Normal 2 3 3 2 2 2 3 3 2" xfId="13592"/>
    <cellStyle name="Normal 2 3 3 2 2 2 3 3 3" xfId="13593"/>
    <cellStyle name="Normal 2 3 3 2 2 2 3 4" xfId="13594"/>
    <cellStyle name="Normal 2 3 3 2 2 2 3 4 2" xfId="13595"/>
    <cellStyle name="Normal 2 3 3 2 2 2 3 4 3" xfId="13596"/>
    <cellStyle name="Normal 2 3 3 2 2 2 3 5" xfId="13597"/>
    <cellStyle name="Normal 2 3 3 2 2 2 3 6" xfId="13598"/>
    <cellStyle name="Normal 2 3 3 2 2 2 4" xfId="13599"/>
    <cellStyle name="Normal 2 3 3 2 2 2 4 2" xfId="13600"/>
    <cellStyle name="Normal 2 3 3 2 2 2 4 2 2" xfId="13601"/>
    <cellStyle name="Normal 2 3 3 2 2 2 4 2 3" xfId="13602"/>
    <cellStyle name="Normal 2 3 3 2 2 2 4 3" xfId="13603"/>
    <cellStyle name="Normal 2 3 3 2 2 2 4 4" xfId="13604"/>
    <cellStyle name="Normal 2 3 3 2 2 2 5" xfId="13605"/>
    <cellStyle name="Normal 2 3 3 2 2 2 5 2" xfId="13606"/>
    <cellStyle name="Normal 2 3 3 2 2 2 5 3" xfId="13607"/>
    <cellStyle name="Normal 2 3 3 2 2 2 6" xfId="13608"/>
    <cellStyle name="Normal 2 3 3 2 2 2 6 2" xfId="13609"/>
    <cellStyle name="Normal 2 3 3 2 2 2 6 3" xfId="13610"/>
    <cellStyle name="Normal 2 3 3 2 2 2 7" xfId="13611"/>
    <cellStyle name="Normal 2 3 3 2 2 2 8" xfId="13612"/>
    <cellStyle name="Normal 2 3 3 2 2 3" xfId="13613"/>
    <cellStyle name="Normal 2 3 3 2 2 3 2" xfId="13614"/>
    <cellStyle name="Normal 2 3 3 2 2 3 2 2" xfId="13615"/>
    <cellStyle name="Normal 2 3 3 2 2 3 2 2 2" xfId="13616"/>
    <cellStyle name="Normal 2 3 3 2 2 3 2 2 2 2" xfId="13617"/>
    <cellStyle name="Normal 2 3 3 2 2 3 2 2 2 2 2" xfId="13618"/>
    <cellStyle name="Normal 2 3 3 2 2 3 2 2 2 2 3" xfId="13619"/>
    <cellStyle name="Normal 2 3 3 2 2 3 2 2 2 3" xfId="13620"/>
    <cellStyle name="Normal 2 3 3 2 2 3 2 2 2 4" xfId="13621"/>
    <cellStyle name="Normal 2 3 3 2 2 3 2 2 3" xfId="13622"/>
    <cellStyle name="Normal 2 3 3 2 2 3 2 2 3 2" xfId="13623"/>
    <cellStyle name="Normal 2 3 3 2 2 3 2 2 3 3" xfId="13624"/>
    <cellStyle name="Normal 2 3 3 2 2 3 2 2 4" xfId="13625"/>
    <cellStyle name="Normal 2 3 3 2 2 3 2 2 4 2" xfId="13626"/>
    <cellStyle name="Normal 2 3 3 2 2 3 2 2 4 3" xfId="13627"/>
    <cellStyle name="Normal 2 3 3 2 2 3 2 2 5" xfId="13628"/>
    <cellStyle name="Normal 2 3 3 2 2 3 2 2 6" xfId="13629"/>
    <cellStyle name="Normal 2 3 3 2 2 3 2 3" xfId="13630"/>
    <cellStyle name="Normal 2 3 3 2 2 3 2 3 2" xfId="13631"/>
    <cellStyle name="Normal 2 3 3 2 2 3 2 3 2 2" xfId="13632"/>
    <cellStyle name="Normal 2 3 3 2 2 3 2 3 2 3" xfId="13633"/>
    <cellStyle name="Normal 2 3 3 2 2 3 2 3 3" xfId="13634"/>
    <cellStyle name="Normal 2 3 3 2 2 3 2 3 4" xfId="13635"/>
    <cellStyle name="Normal 2 3 3 2 2 3 2 4" xfId="13636"/>
    <cellStyle name="Normal 2 3 3 2 2 3 2 4 2" xfId="13637"/>
    <cellStyle name="Normal 2 3 3 2 2 3 2 4 3" xfId="13638"/>
    <cellStyle name="Normal 2 3 3 2 2 3 2 5" xfId="13639"/>
    <cellStyle name="Normal 2 3 3 2 2 3 2 5 2" xfId="13640"/>
    <cellStyle name="Normal 2 3 3 2 2 3 2 5 3" xfId="13641"/>
    <cellStyle name="Normal 2 3 3 2 2 3 2 6" xfId="13642"/>
    <cellStyle name="Normal 2 3 3 2 2 3 2 7" xfId="13643"/>
    <cellStyle name="Normal 2 3 3 2 2 3 3" xfId="13644"/>
    <cellStyle name="Normal 2 3 3 2 2 3 3 2" xfId="13645"/>
    <cellStyle name="Normal 2 3 3 2 2 3 3 2 2" xfId="13646"/>
    <cellStyle name="Normal 2 3 3 2 2 3 3 2 2 2" xfId="13647"/>
    <cellStyle name="Normal 2 3 3 2 2 3 3 2 2 3" xfId="13648"/>
    <cellStyle name="Normal 2 3 3 2 2 3 3 2 3" xfId="13649"/>
    <cellStyle name="Normal 2 3 3 2 2 3 3 2 4" xfId="13650"/>
    <cellStyle name="Normal 2 3 3 2 2 3 3 3" xfId="13651"/>
    <cellStyle name="Normal 2 3 3 2 2 3 3 3 2" xfId="13652"/>
    <cellStyle name="Normal 2 3 3 2 2 3 3 3 3" xfId="13653"/>
    <cellStyle name="Normal 2 3 3 2 2 3 3 4" xfId="13654"/>
    <cellStyle name="Normal 2 3 3 2 2 3 3 4 2" xfId="13655"/>
    <cellStyle name="Normal 2 3 3 2 2 3 3 4 3" xfId="13656"/>
    <cellStyle name="Normal 2 3 3 2 2 3 3 5" xfId="13657"/>
    <cellStyle name="Normal 2 3 3 2 2 3 3 6" xfId="13658"/>
    <cellStyle name="Normal 2 3 3 2 2 3 4" xfId="13659"/>
    <cellStyle name="Normal 2 3 3 2 2 3 4 2" xfId="13660"/>
    <cellStyle name="Normal 2 3 3 2 2 3 4 2 2" xfId="13661"/>
    <cellStyle name="Normal 2 3 3 2 2 3 4 2 3" xfId="13662"/>
    <cellStyle name="Normal 2 3 3 2 2 3 4 3" xfId="13663"/>
    <cellStyle name="Normal 2 3 3 2 2 3 4 4" xfId="13664"/>
    <cellStyle name="Normal 2 3 3 2 2 3 5" xfId="13665"/>
    <cellStyle name="Normal 2 3 3 2 2 3 5 2" xfId="13666"/>
    <cellStyle name="Normal 2 3 3 2 2 3 5 3" xfId="13667"/>
    <cellStyle name="Normal 2 3 3 2 2 3 6" xfId="13668"/>
    <cellStyle name="Normal 2 3 3 2 2 3 6 2" xfId="13669"/>
    <cellStyle name="Normal 2 3 3 2 2 3 6 3" xfId="13670"/>
    <cellStyle name="Normal 2 3 3 2 2 3 7" xfId="13671"/>
    <cellStyle name="Normal 2 3 3 2 2 3 8" xfId="13672"/>
    <cellStyle name="Normal 2 3 3 2 2 4" xfId="13673"/>
    <cellStyle name="Normal 2 3 3 2 2 4 2" xfId="13674"/>
    <cellStyle name="Normal 2 3 3 2 2 4 2 2" xfId="13675"/>
    <cellStyle name="Normal 2 3 3 2 2 4 2 2 2" xfId="13676"/>
    <cellStyle name="Normal 2 3 3 2 2 4 2 2 2 2" xfId="13677"/>
    <cellStyle name="Normal 2 3 3 2 2 4 2 2 2 2 2" xfId="13678"/>
    <cellStyle name="Normal 2 3 3 2 2 4 2 2 2 2 3" xfId="13679"/>
    <cellStyle name="Normal 2 3 3 2 2 4 2 2 2 3" xfId="13680"/>
    <cellStyle name="Normal 2 3 3 2 2 4 2 2 2 4" xfId="13681"/>
    <cellStyle name="Normal 2 3 3 2 2 4 2 2 3" xfId="13682"/>
    <cellStyle name="Normal 2 3 3 2 2 4 2 2 3 2" xfId="13683"/>
    <cellStyle name="Normal 2 3 3 2 2 4 2 2 3 3" xfId="13684"/>
    <cellStyle name="Normal 2 3 3 2 2 4 2 2 4" xfId="13685"/>
    <cellStyle name="Normal 2 3 3 2 2 4 2 2 4 2" xfId="13686"/>
    <cellStyle name="Normal 2 3 3 2 2 4 2 2 4 3" xfId="13687"/>
    <cellStyle name="Normal 2 3 3 2 2 4 2 2 5" xfId="13688"/>
    <cellStyle name="Normal 2 3 3 2 2 4 2 2 6" xfId="13689"/>
    <cellStyle name="Normal 2 3 3 2 2 4 2 3" xfId="13690"/>
    <cellStyle name="Normal 2 3 3 2 2 4 2 3 2" xfId="13691"/>
    <cellStyle name="Normal 2 3 3 2 2 4 2 3 2 2" xfId="13692"/>
    <cellStyle name="Normal 2 3 3 2 2 4 2 3 2 3" xfId="13693"/>
    <cellStyle name="Normal 2 3 3 2 2 4 2 3 3" xfId="13694"/>
    <cellStyle name="Normal 2 3 3 2 2 4 2 3 4" xfId="13695"/>
    <cellStyle name="Normal 2 3 3 2 2 4 2 4" xfId="13696"/>
    <cellStyle name="Normal 2 3 3 2 2 4 2 4 2" xfId="13697"/>
    <cellStyle name="Normal 2 3 3 2 2 4 2 4 3" xfId="13698"/>
    <cellStyle name="Normal 2 3 3 2 2 4 2 5" xfId="13699"/>
    <cellStyle name="Normal 2 3 3 2 2 4 2 5 2" xfId="13700"/>
    <cellStyle name="Normal 2 3 3 2 2 4 2 5 3" xfId="13701"/>
    <cellStyle name="Normal 2 3 3 2 2 4 2 6" xfId="13702"/>
    <cellStyle name="Normal 2 3 3 2 2 4 2 7" xfId="13703"/>
    <cellStyle name="Normal 2 3 3 2 2 4 3" xfId="13704"/>
    <cellStyle name="Normal 2 3 3 2 2 4 3 2" xfId="13705"/>
    <cellStyle name="Normal 2 3 3 2 2 4 3 2 2" xfId="13706"/>
    <cellStyle name="Normal 2 3 3 2 2 4 3 2 2 2" xfId="13707"/>
    <cellStyle name="Normal 2 3 3 2 2 4 3 2 2 3" xfId="13708"/>
    <cellStyle name="Normal 2 3 3 2 2 4 3 2 3" xfId="13709"/>
    <cellStyle name="Normal 2 3 3 2 2 4 3 2 4" xfId="13710"/>
    <cellStyle name="Normal 2 3 3 2 2 4 3 3" xfId="13711"/>
    <cellStyle name="Normal 2 3 3 2 2 4 3 3 2" xfId="13712"/>
    <cellStyle name="Normal 2 3 3 2 2 4 3 3 3" xfId="13713"/>
    <cellStyle name="Normal 2 3 3 2 2 4 3 4" xfId="13714"/>
    <cellStyle name="Normal 2 3 3 2 2 4 3 4 2" xfId="13715"/>
    <cellStyle name="Normal 2 3 3 2 2 4 3 4 3" xfId="13716"/>
    <cellStyle name="Normal 2 3 3 2 2 4 3 5" xfId="13717"/>
    <cellStyle name="Normal 2 3 3 2 2 4 3 6" xfId="13718"/>
    <cellStyle name="Normal 2 3 3 2 2 4 4" xfId="13719"/>
    <cellStyle name="Normal 2 3 3 2 2 4 4 2" xfId="13720"/>
    <cellStyle name="Normal 2 3 3 2 2 4 4 2 2" xfId="13721"/>
    <cellStyle name="Normal 2 3 3 2 2 4 4 2 3" xfId="13722"/>
    <cellStyle name="Normal 2 3 3 2 2 4 4 3" xfId="13723"/>
    <cellStyle name="Normal 2 3 3 2 2 4 4 4" xfId="13724"/>
    <cellStyle name="Normal 2 3 3 2 2 4 5" xfId="13725"/>
    <cellStyle name="Normal 2 3 3 2 2 4 5 2" xfId="13726"/>
    <cellStyle name="Normal 2 3 3 2 2 4 5 3" xfId="13727"/>
    <cellStyle name="Normal 2 3 3 2 2 4 6" xfId="13728"/>
    <cellStyle name="Normal 2 3 3 2 2 4 6 2" xfId="13729"/>
    <cellStyle name="Normal 2 3 3 2 2 4 6 3" xfId="13730"/>
    <cellStyle name="Normal 2 3 3 2 2 4 7" xfId="13731"/>
    <cellStyle name="Normal 2 3 3 2 2 4 8" xfId="13732"/>
    <cellStyle name="Normal 2 3 3 2 2 5" xfId="13733"/>
    <cellStyle name="Normal 2 3 3 2 2 5 2" xfId="13734"/>
    <cellStyle name="Normal 2 3 3 2 2 5 2 2" xfId="13735"/>
    <cellStyle name="Normal 2 3 3 2 2 5 2 2 2" xfId="13736"/>
    <cellStyle name="Normal 2 3 3 2 2 5 2 2 2 2" xfId="13737"/>
    <cellStyle name="Normal 2 3 3 2 2 5 2 2 2 3" xfId="13738"/>
    <cellStyle name="Normal 2 3 3 2 2 5 2 2 3" xfId="13739"/>
    <cellStyle name="Normal 2 3 3 2 2 5 2 2 4" xfId="13740"/>
    <cellStyle name="Normal 2 3 3 2 2 5 2 3" xfId="13741"/>
    <cellStyle name="Normal 2 3 3 2 2 5 2 3 2" xfId="13742"/>
    <cellStyle name="Normal 2 3 3 2 2 5 2 3 3" xfId="13743"/>
    <cellStyle name="Normal 2 3 3 2 2 5 2 4" xfId="13744"/>
    <cellStyle name="Normal 2 3 3 2 2 5 2 4 2" xfId="13745"/>
    <cellStyle name="Normal 2 3 3 2 2 5 2 4 3" xfId="13746"/>
    <cellStyle name="Normal 2 3 3 2 2 5 2 5" xfId="13747"/>
    <cellStyle name="Normal 2 3 3 2 2 5 2 6" xfId="13748"/>
    <cellStyle name="Normal 2 3 3 2 2 5 3" xfId="13749"/>
    <cellStyle name="Normal 2 3 3 2 2 5 3 2" xfId="13750"/>
    <cellStyle name="Normal 2 3 3 2 2 5 3 2 2" xfId="13751"/>
    <cellStyle name="Normal 2 3 3 2 2 5 3 2 3" xfId="13752"/>
    <cellStyle name="Normal 2 3 3 2 2 5 3 3" xfId="13753"/>
    <cellStyle name="Normal 2 3 3 2 2 5 3 4" xfId="13754"/>
    <cellStyle name="Normal 2 3 3 2 2 5 4" xfId="13755"/>
    <cellStyle name="Normal 2 3 3 2 2 5 4 2" xfId="13756"/>
    <cellStyle name="Normal 2 3 3 2 2 5 4 3" xfId="13757"/>
    <cellStyle name="Normal 2 3 3 2 2 5 5" xfId="13758"/>
    <cellStyle name="Normal 2 3 3 2 2 5 5 2" xfId="13759"/>
    <cellStyle name="Normal 2 3 3 2 2 5 5 3" xfId="13760"/>
    <cellStyle name="Normal 2 3 3 2 2 5 6" xfId="13761"/>
    <cellStyle name="Normal 2 3 3 2 2 5 7" xfId="13762"/>
    <cellStyle name="Normal 2 3 3 2 2 6" xfId="13763"/>
    <cellStyle name="Normal 2 3 3 2 2 6 2" xfId="13764"/>
    <cellStyle name="Normal 2 3 3 2 2 6 2 2" xfId="13765"/>
    <cellStyle name="Normal 2 3 3 2 2 6 2 2 2" xfId="13766"/>
    <cellStyle name="Normal 2 3 3 2 2 6 2 2 3" xfId="13767"/>
    <cellStyle name="Normal 2 3 3 2 2 6 2 3" xfId="13768"/>
    <cellStyle name="Normal 2 3 3 2 2 6 2 4" xfId="13769"/>
    <cellStyle name="Normal 2 3 3 2 2 6 3" xfId="13770"/>
    <cellStyle name="Normal 2 3 3 2 2 6 3 2" xfId="13771"/>
    <cellStyle name="Normal 2 3 3 2 2 6 3 3" xfId="13772"/>
    <cellStyle name="Normal 2 3 3 2 2 6 4" xfId="13773"/>
    <cellStyle name="Normal 2 3 3 2 2 6 4 2" xfId="13774"/>
    <cellStyle name="Normal 2 3 3 2 2 6 4 3" xfId="13775"/>
    <cellStyle name="Normal 2 3 3 2 2 6 5" xfId="13776"/>
    <cellStyle name="Normal 2 3 3 2 2 6 6" xfId="13777"/>
    <cellStyle name="Normal 2 3 3 2 2 7" xfId="13778"/>
    <cellStyle name="Normal 2 3 3 2 2 7 2" xfId="13779"/>
    <cellStyle name="Normal 2 3 3 2 2 7 2 2" xfId="13780"/>
    <cellStyle name="Normal 2 3 3 2 2 7 2 3" xfId="13781"/>
    <cellStyle name="Normal 2 3 3 2 2 7 3" xfId="13782"/>
    <cellStyle name="Normal 2 3 3 2 2 7 4" xfId="13783"/>
    <cellStyle name="Normal 2 3 3 2 2 8" xfId="13784"/>
    <cellStyle name="Normal 2 3 3 2 2 8 2" xfId="13785"/>
    <cellStyle name="Normal 2 3 3 2 2 8 3" xfId="13786"/>
    <cellStyle name="Normal 2 3 3 2 2 9" xfId="13787"/>
    <cellStyle name="Normal 2 3 3 2 2 9 2" xfId="13788"/>
    <cellStyle name="Normal 2 3 3 2 2 9 3" xfId="13789"/>
    <cellStyle name="Normal 2 3 3 2 3" xfId="13790"/>
    <cellStyle name="Normal 2 3 3 2 3 2" xfId="13791"/>
    <cellStyle name="Normal 2 3 3 2 3 2 2" xfId="13792"/>
    <cellStyle name="Normal 2 3 3 2 3 2 2 2" xfId="13793"/>
    <cellStyle name="Normal 2 3 3 2 3 2 2 2 2" xfId="13794"/>
    <cellStyle name="Normal 2 3 3 2 3 2 2 2 2 2" xfId="13795"/>
    <cellStyle name="Normal 2 3 3 2 3 2 2 2 2 3" xfId="13796"/>
    <cellStyle name="Normal 2 3 3 2 3 2 2 2 3" xfId="13797"/>
    <cellStyle name="Normal 2 3 3 2 3 2 2 2 4" xfId="13798"/>
    <cellStyle name="Normal 2 3 3 2 3 2 2 3" xfId="13799"/>
    <cellStyle name="Normal 2 3 3 2 3 2 2 3 2" xfId="13800"/>
    <cellStyle name="Normal 2 3 3 2 3 2 2 3 3" xfId="13801"/>
    <cellStyle name="Normal 2 3 3 2 3 2 2 4" xfId="13802"/>
    <cellStyle name="Normal 2 3 3 2 3 2 2 4 2" xfId="13803"/>
    <cellStyle name="Normal 2 3 3 2 3 2 2 4 3" xfId="13804"/>
    <cellStyle name="Normal 2 3 3 2 3 2 2 5" xfId="13805"/>
    <cellStyle name="Normal 2 3 3 2 3 2 2 6" xfId="13806"/>
    <cellStyle name="Normal 2 3 3 2 3 2 3" xfId="13807"/>
    <cellStyle name="Normal 2 3 3 2 3 2 3 2" xfId="13808"/>
    <cellStyle name="Normal 2 3 3 2 3 2 3 2 2" xfId="13809"/>
    <cellStyle name="Normal 2 3 3 2 3 2 3 2 3" xfId="13810"/>
    <cellStyle name="Normal 2 3 3 2 3 2 3 3" xfId="13811"/>
    <cellStyle name="Normal 2 3 3 2 3 2 3 4" xfId="13812"/>
    <cellStyle name="Normal 2 3 3 2 3 2 4" xfId="13813"/>
    <cellStyle name="Normal 2 3 3 2 3 2 4 2" xfId="13814"/>
    <cellStyle name="Normal 2 3 3 2 3 2 4 3" xfId="13815"/>
    <cellStyle name="Normal 2 3 3 2 3 2 5" xfId="13816"/>
    <cellStyle name="Normal 2 3 3 2 3 2 5 2" xfId="13817"/>
    <cellStyle name="Normal 2 3 3 2 3 2 5 3" xfId="13818"/>
    <cellStyle name="Normal 2 3 3 2 3 2 6" xfId="13819"/>
    <cellStyle name="Normal 2 3 3 2 3 2 7" xfId="13820"/>
    <cellStyle name="Normal 2 3 3 2 3 3" xfId="13821"/>
    <cellStyle name="Normal 2 3 3 2 3 3 2" xfId="13822"/>
    <cellStyle name="Normal 2 3 3 2 3 3 2 2" xfId="13823"/>
    <cellStyle name="Normal 2 3 3 2 3 3 2 2 2" xfId="13824"/>
    <cellStyle name="Normal 2 3 3 2 3 3 2 2 3" xfId="13825"/>
    <cellStyle name="Normal 2 3 3 2 3 3 2 3" xfId="13826"/>
    <cellStyle name="Normal 2 3 3 2 3 3 2 4" xfId="13827"/>
    <cellStyle name="Normal 2 3 3 2 3 3 3" xfId="13828"/>
    <cellStyle name="Normal 2 3 3 2 3 3 3 2" xfId="13829"/>
    <cellStyle name="Normal 2 3 3 2 3 3 3 3" xfId="13830"/>
    <cellStyle name="Normal 2 3 3 2 3 3 4" xfId="13831"/>
    <cellStyle name="Normal 2 3 3 2 3 3 4 2" xfId="13832"/>
    <cellStyle name="Normal 2 3 3 2 3 3 4 3" xfId="13833"/>
    <cellStyle name="Normal 2 3 3 2 3 3 5" xfId="13834"/>
    <cellStyle name="Normal 2 3 3 2 3 3 6" xfId="13835"/>
    <cellStyle name="Normal 2 3 3 2 3 4" xfId="13836"/>
    <cellStyle name="Normal 2 3 3 2 3 4 2" xfId="13837"/>
    <cellStyle name="Normal 2 3 3 2 3 4 2 2" xfId="13838"/>
    <cellStyle name="Normal 2 3 3 2 3 4 2 3" xfId="13839"/>
    <cellStyle name="Normal 2 3 3 2 3 4 3" xfId="13840"/>
    <cellStyle name="Normal 2 3 3 2 3 4 4" xfId="13841"/>
    <cellStyle name="Normal 2 3 3 2 3 5" xfId="13842"/>
    <cellStyle name="Normal 2 3 3 2 3 5 2" xfId="13843"/>
    <cellStyle name="Normal 2 3 3 2 3 5 3" xfId="13844"/>
    <cellStyle name="Normal 2 3 3 2 3 6" xfId="13845"/>
    <cellStyle name="Normal 2 3 3 2 3 6 2" xfId="13846"/>
    <cellStyle name="Normal 2 3 3 2 3 6 3" xfId="13847"/>
    <cellStyle name="Normal 2 3 3 2 3 7" xfId="13848"/>
    <cellStyle name="Normal 2 3 3 2 3 8" xfId="13849"/>
    <cellStyle name="Normal 2 3 3 2 4" xfId="13850"/>
    <cellStyle name="Normal 2 3 3 2 4 2" xfId="13851"/>
    <cellStyle name="Normal 2 3 3 2 4 2 2" xfId="13852"/>
    <cellStyle name="Normal 2 3 3 2 4 2 2 2" xfId="13853"/>
    <cellStyle name="Normal 2 3 3 2 4 2 2 2 2" xfId="13854"/>
    <cellStyle name="Normal 2 3 3 2 4 2 2 2 2 2" xfId="13855"/>
    <cellStyle name="Normal 2 3 3 2 4 2 2 2 2 3" xfId="13856"/>
    <cellStyle name="Normal 2 3 3 2 4 2 2 2 3" xfId="13857"/>
    <cellStyle name="Normal 2 3 3 2 4 2 2 2 4" xfId="13858"/>
    <cellStyle name="Normal 2 3 3 2 4 2 2 3" xfId="13859"/>
    <cellStyle name="Normal 2 3 3 2 4 2 2 3 2" xfId="13860"/>
    <cellStyle name="Normal 2 3 3 2 4 2 2 3 3" xfId="13861"/>
    <cellStyle name="Normal 2 3 3 2 4 2 2 4" xfId="13862"/>
    <cellStyle name="Normal 2 3 3 2 4 2 2 4 2" xfId="13863"/>
    <cellStyle name="Normal 2 3 3 2 4 2 2 4 3" xfId="13864"/>
    <cellStyle name="Normal 2 3 3 2 4 2 2 5" xfId="13865"/>
    <cellStyle name="Normal 2 3 3 2 4 2 2 6" xfId="13866"/>
    <cellStyle name="Normal 2 3 3 2 4 2 3" xfId="13867"/>
    <cellStyle name="Normal 2 3 3 2 4 2 3 2" xfId="13868"/>
    <cellStyle name="Normal 2 3 3 2 4 2 3 2 2" xfId="13869"/>
    <cellStyle name="Normal 2 3 3 2 4 2 3 2 3" xfId="13870"/>
    <cellStyle name="Normal 2 3 3 2 4 2 3 3" xfId="13871"/>
    <cellStyle name="Normal 2 3 3 2 4 2 3 4" xfId="13872"/>
    <cellStyle name="Normal 2 3 3 2 4 2 4" xfId="13873"/>
    <cellStyle name="Normal 2 3 3 2 4 2 4 2" xfId="13874"/>
    <cellStyle name="Normal 2 3 3 2 4 2 4 3" xfId="13875"/>
    <cellStyle name="Normal 2 3 3 2 4 2 5" xfId="13876"/>
    <cellStyle name="Normal 2 3 3 2 4 2 5 2" xfId="13877"/>
    <cellStyle name="Normal 2 3 3 2 4 2 5 3" xfId="13878"/>
    <cellStyle name="Normal 2 3 3 2 4 2 6" xfId="13879"/>
    <cellStyle name="Normal 2 3 3 2 4 2 7" xfId="13880"/>
    <cellStyle name="Normal 2 3 3 2 4 3" xfId="13881"/>
    <cellStyle name="Normal 2 3 3 2 4 3 2" xfId="13882"/>
    <cellStyle name="Normal 2 3 3 2 4 3 2 2" xfId="13883"/>
    <cellStyle name="Normal 2 3 3 2 4 3 2 2 2" xfId="13884"/>
    <cellStyle name="Normal 2 3 3 2 4 3 2 2 3" xfId="13885"/>
    <cellStyle name="Normal 2 3 3 2 4 3 2 3" xfId="13886"/>
    <cellStyle name="Normal 2 3 3 2 4 3 2 4" xfId="13887"/>
    <cellStyle name="Normal 2 3 3 2 4 3 3" xfId="13888"/>
    <cellStyle name="Normal 2 3 3 2 4 3 3 2" xfId="13889"/>
    <cellStyle name="Normal 2 3 3 2 4 3 3 3" xfId="13890"/>
    <cellStyle name="Normal 2 3 3 2 4 3 4" xfId="13891"/>
    <cellStyle name="Normal 2 3 3 2 4 3 4 2" xfId="13892"/>
    <cellStyle name="Normal 2 3 3 2 4 3 4 3" xfId="13893"/>
    <cellStyle name="Normal 2 3 3 2 4 3 5" xfId="13894"/>
    <cellStyle name="Normal 2 3 3 2 4 3 6" xfId="13895"/>
    <cellStyle name="Normal 2 3 3 2 4 4" xfId="13896"/>
    <cellStyle name="Normal 2 3 3 2 4 4 2" xfId="13897"/>
    <cellStyle name="Normal 2 3 3 2 4 4 2 2" xfId="13898"/>
    <cellStyle name="Normal 2 3 3 2 4 4 2 3" xfId="13899"/>
    <cellStyle name="Normal 2 3 3 2 4 4 3" xfId="13900"/>
    <cellStyle name="Normal 2 3 3 2 4 4 4" xfId="13901"/>
    <cellStyle name="Normal 2 3 3 2 4 5" xfId="13902"/>
    <cellStyle name="Normal 2 3 3 2 4 5 2" xfId="13903"/>
    <cellStyle name="Normal 2 3 3 2 4 5 3" xfId="13904"/>
    <cellStyle name="Normal 2 3 3 2 4 6" xfId="13905"/>
    <cellStyle name="Normal 2 3 3 2 4 6 2" xfId="13906"/>
    <cellStyle name="Normal 2 3 3 2 4 6 3" xfId="13907"/>
    <cellStyle name="Normal 2 3 3 2 4 7" xfId="13908"/>
    <cellStyle name="Normal 2 3 3 2 4 8" xfId="13909"/>
    <cellStyle name="Normal 2 3 3 2 5" xfId="13910"/>
    <cellStyle name="Normal 2 3 3 2 5 2" xfId="13911"/>
    <cellStyle name="Normal 2 3 3 2 5 2 2" xfId="13912"/>
    <cellStyle name="Normal 2 3 3 2 5 2 2 2" xfId="13913"/>
    <cellStyle name="Normal 2 3 3 2 5 2 2 2 2" xfId="13914"/>
    <cellStyle name="Normal 2 3 3 2 5 2 2 2 2 2" xfId="13915"/>
    <cellStyle name="Normal 2 3 3 2 5 2 2 2 2 3" xfId="13916"/>
    <cellStyle name="Normal 2 3 3 2 5 2 2 2 3" xfId="13917"/>
    <cellStyle name="Normal 2 3 3 2 5 2 2 2 4" xfId="13918"/>
    <cellStyle name="Normal 2 3 3 2 5 2 2 3" xfId="13919"/>
    <cellStyle name="Normal 2 3 3 2 5 2 2 3 2" xfId="13920"/>
    <cellStyle name="Normal 2 3 3 2 5 2 2 3 3" xfId="13921"/>
    <cellStyle name="Normal 2 3 3 2 5 2 2 4" xfId="13922"/>
    <cellStyle name="Normal 2 3 3 2 5 2 2 4 2" xfId="13923"/>
    <cellStyle name="Normal 2 3 3 2 5 2 2 4 3" xfId="13924"/>
    <cellStyle name="Normal 2 3 3 2 5 2 2 5" xfId="13925"/>
    <cellStyle name="Normal 2 3 3 2 5 2 2 6" xfId="13926"/>
    <cellStyle name="Normal 2 3 3 2 5 2 3" xfId="13927"/>
    <cellStyle name="Normal 2 3 3 2 5 2 3 2" xfId="13928"/>
    <cellStyle name="Normal 2 3 3 2 5 2 3 2 2" xfId="13929"/>
    <cellStyle name="Normal 2 3 3 2 5 2 3 2 3" xfId="13930"/>
    <cellStyle name="Normal 2 3 3 2 5 2 3 3" xfId="13931"/>
    <cellStyle name="Normal 2 3 3 2 5 2 3 4" xfId="13932"/>
    <cellStyle name="Normal 2 3 3 2 5 2 4" xfId="13933"/>
    <cellStyle name="Normal 2 3 3 2 5 2 4 2" xfId="13934"/>
    <cellStyle name="Normal 2 3 3 2 5 2 4 3" xfId="13935"/>
    <cellStyle name="Normal 2 3 3 2 5 2 5" xfId="13936"/>
    <cellStyle name="Normal 2 3 3 2 5 2 5 2" xfId="13937"/>
    <cellStyle name="Normal 2 3 3 2 5 2 5 3" xfId="13938"/>
    <cellStyle name="Normal 2 3 3 2 5 2 6" xfId="13939"/>
    <cellStyle name="Normal 2 3 3 2 5 2 7" xfId="13940"/>
    <cellStyle name="Normal 2 3 3 2 5 3" xfId="13941"/>
    <cellStyle name="Normal 2 3 3 2 5 3 2" xfId="13942"/>
    <cellStyle name="Normal 2 3 3 2 5 3 2 2" xfId="13943"/>
    <cellStyle name="Normal 2 3 3 2 5 3 2 2 2" xfId="13944"/>
    <cellStyle name="Normal 2 3 3 2 5 3 2 2 3" xfId="13945"/>
    <cellStyle name="Normal 2 3 3 2 5 3 2 3" xfId="13946"/>
    <cellStyle name="Normal 2 3 3 2 5 3 2 4" xfId="13947"/>
    <cellStyle name="Normal 2 3 3 2 5 3 3" xfId="13948"/>
    <cellStyle name="Normal 2 3 3 2 5 3 3 2" xfId="13949"/>
    <cellStyle name="Normal 2 3 3 2 5 3 3 3" xfId="13950"/>
    <cellStyle name="Normal 2 3 3 2 5 3 4" xfId="13951"/>
    <cellStyle name="Normal 2 3 3 2 5 3 4 2" xfId="13952"/>
    <cellStyle name="Normal 2 3 3 2 5 3 4 3" xfId="13953"/>
    <cellStyle name="Normal 2 3 3 2 5 3 5" xfId="13954"/>
    <cellStyle name="Normal 2 3 3 2 5 3 6" xfId="13955"/>
    <cellStyle name="Normal 2 3 3 2 5 4" xfId="13956"/>
    <cellStyle name="Normal 2 3 3 2 5 4 2" xfId="13957"/>
    <cellStyle name="Normal 2 3 3 2 5 4 2 2" xfId="13958"/>
    <cellStyle name="Normal 2 3 3 2 5 4 2 3" xfId="13959"/>
    <cellStyle name="Normal 2 3 3 2 5 4 3" xfId="13960"/>
    <cellStyle name="Normal 2 3 3 2 5 4 4" xfId="13961"/>
    <cellStyle name="Normal 2 3 3 2 5 5" xfId="13962"/>
    <cellStyle name="Normal 2 3 3 2 5 5 2" xfId="13963"/>
    <cellStyle name="Normal 2 3 3 2 5 5 3" xfId="13964"/>
    <cellStyle name="Normal 2 3 3 2 5 6" xfId="13965"/>
    <cellStyle name="Normal 2 3 3 2 5 6 2" xfId="13966"/>
    <cellStyle name="Normal 2 3 3 2 5 6 3" xfId="13967"/>
    <cellStyle name="Normal 2 3 3 2 5 7" xfId="13968"/>
    <cellStyle name="Normal 2 3 3 2 5 8" xfId="13969"/>
    <cellStyle name="Normal 2 3 3 2 6" xfId="13970"/>
    <cellStyle name="Normal 2 3 3 2 6 2" xfId="13971"/>
    <cellStyle name="Normal 2 3 3 2 6 2 2" xfId="13972"/>
    <cellStyle name="Normal 2 3 3 2 6 2 2 2" xfId="13973"/>
    <cellStyle name="Normal 2 3 3 2 6 2 2 2 2" xfId="13974"/>
    <cellStyle name="Normal 2 3 3 2 6 2 2 2 3" xfId="13975"/>
    <cellStyle name="Normal 2 3 3 2 6 2 2 3" xfId="13976"/>
    <cellStyle name="Normal 2 3 3 2 6 2 2 4" xfId="13977"/>
    <cellStyle name="Normal 2 3 3 2 6 2 3" xfId="13978"/>
    <cellStyle name="Normal 2 3 3 2 6 2 3 2" xfId="13979"/>
    <cellStyle name="Normal 2 3 3 2 6 2 3 3" xfId="13980"/>
    <cellStyle name="Normal 2 3 3 2 6 2 4" xfId="13981"/>
    <cellStyle name="Normal 2 3 3 2 6 2 4 2" xfId="13982"/>
    <cellStyle name="Normal 2 3 3 2 6 2 4 3" xfId="13983"/>
    <cellStyle name="Normal 2 3 3 2 6 2 5" xfId="13984"/>
    <cellStyle name="Normal 2 3 3 2 6 2 6" xfId="13985"/>
    <cellStyle name="Normal 2 3 3 2 6 3" xfId="13986"/>
    <cellStyle name="Normal 2 3 3 2 6 3 2" xfId="13987"/>
    <cellStyle name="Normal 2 3 3 2 6 3 2 2" xfId="13988"/>
    <cellStyle name="Normal 2 3 3 2 6 3 2 3" xfId="13989"/>
    <cellStyle name="Normal 2 3 3 2 6 3 3" xfId="13990"/>
    <cellStyle name="Normal 2 3 3 2 6 3 4" xfId="13991"/>
    <cellStyle name="Normal 2 3 3 2 6 4" xfId="13992"/>
    <cellStyle name="Normal 2 3 3 2 6 4 2" xfId="13993"/>
    <cellStyle name="Normal 2 3 3 2 6 4 3" xfId="13994"/>
    <cellStyle name="Normal 2 3 3 2 6 5" xfId="13995"/>
    <cellStyle name="Normal 2 3 3 2 6 5 2" xfId="13996"/>
    <cellStyle name="Normal 2 3 3 2 6 5 3" xfId="13997"/>
    <cellStyle name="Normal 2 3 3 2 6 6" xfId="13998"/>
    <cellStyle name="Normal 2 3 3 2 6 7" xfId="13999"/>
    <cellStyle name="Normal 2 3 3 2 7" xfId="14000"/>
    <cellStyle name="Normal 2 3 3 2 7 2" xfId="14001"/>
    <cellStyle name="Normal 2 3 3 2 7 2 2" xfId="14002"/>
    <cellStyle name="Normal 2 3 3 2 7 2 2 2" xfId="14003"/>
    <cellStyle name="Normal 2 3 3 2 7 2 2 3" xfId="14004"/>
    <cellStyle name="Normal 2 3 3 2 7 2 3" xfId="14005"/>
    <cellStyle name="Normal 2 3 3 2 7 2 4" xfId="14006"/>
    <cellStyle name="Normal 2 3 3 2 7 3" xfId="14007"/>
    <cellStyle name="Normal 2 3 3 2 7 3 2" xfId="14008"/>
    <cellStyle name="Normal 2 3 3 2 7 3 3" xfId="14009"/>
    <cellStyle name="Normal 2 3 3 2 7 4" xfId="14010"/>
    <cellStyle name="Normal 2 3 3 2 7 4 2" xfId="14011"/>
    <cellStyle name="Normal 2 3 3 2 7 4 3" xfId="14012"/>
    <cellStyle name="Normal 2 3 3 2 7 5" xfId="14013"/>
    <cellStyle name="Normal 2 3 3 2 7 6" xfId="14014"/>
    <cellStyle name="Normal 2 3 3 2 8" xfId="14015"/>
    <cellStyle name="Normal 2 3 3 2 8 2" xfId="14016"/>
    <cellStyle name="Normal 2 3 3 2 8 2 2" xfId="14017"/>
    <cellStyle name="Normal 2 3 3 2 8 2 3" xfId="14018"/>
    <cellStyle name="Normal 2 3 3 2 8 3" xfId="14019"/>
    <cellStyle name="Normal 2 3 3 2 8 4" xfId="14020"/>
    <cellStyle name="Normal 2 3 3 2 9" xfId="14021"/>
    <cellStyle name="Normal 2 3 3 2 9 2" xfId="14022"/>
    <cellStyle name="Normal 2 3 3 2 9 3" xfId="14023"/>
    <cellStyle name="Normal 2 3 3 3" xfId="14024"/>
    <cellStyle name="Normal 2 3 3 3 10" xfId="14025"/>
    <cellStyle name="Normal 2 3 3 3 11" xfId="14026"/>
    <cellStyle name="Normal 2 3 3 3 2" xfId="14027"/>
    <cellStyle name="Normal 2 3 3 3 2 2" xfId="14028"/>
    <cellStyle name="Normal 2 3 3 3 2 2 2" xfId="14029"/>
    <cellStyle name="Normal 2 3 3 3 2 2 2 2" xfId="14030"/>
    <cellStyle name="Normal 2 3 3 3 2 2 2 2 2" xfId="14031"/>
    <cellStyle name="Normal 2 3 3 3 2 2 2 2 2 2" xfId="14032"/>
    <cellStyle name="Normal 2 3 3 3 2 2 2 2 2 3" xfId="14033"/>
    <cellStyle name="Normal 2 3 3 3 2 2 2 2 3" xfId="14034"/>
    <cellStyle name="Normal 2 3 3 3 2 2 2 2 4" xfId="14035"/>
    <cellStyle name="Normal 2 3 3 3 2 2 2 3" xfId="14036"/>
    <cellStyle name="Normal 2 3 3 3 2 2 2 3 2" xfId="14037"/>
    <cellStyle name="Normal 2 3 3 3 2 2 2 3 3" xfId="14038"/>
    <cellStyle name="Normal 2 3 3 3 2 2 2 4" xfId="14039"/>
    <cellStyle name="Normal 2 3 3 3 2 2 2 4 2" xfId="14040"/>
    <cellStyle name="Normal 2 3 3 3 2 2 2 4 3" xfId="14041"/>
    <cellStyle name="Normal 2 3 3 3 2 2 2 5" xfId="14042"/>
    <cellStyle name="Normal 2 3 3 3 2 2 2 6" xfId="14043"/>
    <cellStyle name="Normal 2 3 3 3 2 2 3" xfId="14044"/>
    <cellStyle name="Normal 2 3 3 3 2 2 3 2" xfId="14045"/>
    <cellStyle name="Normal 2 3 3 3 2 2 3 2 2" xfId="14046"/>
    <cellStyle name="Normal 2 3 3 3 2 2 3 2 3" xfId="14047"/>
    <cellStyle name="Normal 2 3 3 3 2 2 3 3" xfId="14048"/>
    <cellStyle name="Normal 2 3 3 3 2 2 3 4" xfId="14049"/>
    <cellStyle name="Normal 2 3 3 3 2 2 4" xfId="14050"/>
    <cellStyle name="Normal 2 3 3 3 2 2 4 2" xfId="14051"/>
    <cellStyle name="Normal 2 3 3 3 2 2 4 3" xfId="14052"/>
    <cellStyle name="Normal 2 3 3 3 2 2 5" xfId="14053"/>
    <cellStyle name="Normal 2 3 3 3 2 2 5 2" xfId="14054"/>
    <cellStyle name="Normal 2 3 3 3 2 2 5 3" xfId="14055"/>
    <cellStyle name="Normal 2 3 3 3 2 2 6" xfId="14056"/>
    <cellStyle name="Normal 2 3 3 3 2 2 7" xfId="14057"/>
    <cellStyle name="Normal 2 3 3 3 2 3" xfId="14058"/>
    <cellStyle name="Normal 2 3 3 3 2 3 2" xfId="14059"/>
    <cellStyle name="Normal 2 3 3 3 2 3 2 2" xfId="14060"/>
    <cellStyle name="Normal 2 3 3 3 2 3 2 2 2" xfId="14061"/>
    <cellStyle name="Normal 2 3 3 3 2 3 2 2 3" xfId="14062"/>
    <cellStyle name="Normal 2 3 3 3 2 3 2 3" xfId="14063"/>
    <cellStyle name="Normal 2 3 3 3 2 3 2 4" xfId="14064"/>
    <cellStyle name="Normal 2 3 3 3 2 3 3" xfId="14065"/>
    <cellStyle name="Normal 2 3 3 3 2 3 3 2" xfId="14066"/>
    <cellStyle name="Normal 2 3 3 3 2 3 3 3" xfId="14067"/>
    <cellStyle name="Normal 2 3 3 3 2 3 4" xfId="14068"/>
    <cellStyle name="Normal 2 3 3 3 2 3 4 2" xfId="14069"/>
    <cellStyle name="Normal 2 3 3 3 2 3 4 3" xfId="14070"/>
    <cellStyle name="Normal 2 3 3 3 2 3 5" xfId="14071"/>
    <cellStyle name="Normal 2 3 3 3 2 3 6" xfId="14072"/>
    <cellStyle name="Normal 2 3 3 3 2 4" xfId="14073"/>
    <cellStyle name="Normal 2 3 3 3 2 4 2" xfId="14074"/>
    <cellStyle name="Normal 2 3 3 3 2 4 2 2" xfId="14075"/>
    <cellStyle name="Normal 2 3 3 3 2 4 2 3" xfId="14076"/>
    <cellStyle name="Normal 2 3 3 3 2 4 3" xfId="14077"/>
    <cellStyle name="Normal 2 3 3 3 2 4 4" xfId="14078"/>
    <cellStyle name="Normal 2 3 3 3 2 5" xfId="14079"/>
    <cellStyle name="Normal 2 3 3 3 2 5 2" xfId="14080"/>
    <cellStyle name="Normal 2 3 3 3 2 5 3" xfId="14081"/>
    <cellStyle name="Normal 2 3 3 3 2 6" xfId="14082"/>
    <cellStyle name="Normal 2 3 3 3 2 6 2" xfId="14083"/>
    <cellStyle name="Normal 2 3 3 3 2 6 3" xfId="14084"/>
    <cellStyle name="Normal 2 3 3 3 2 7" xfId="14085"/>
    <cellStyle name="Normal 2 3 3 3 2 8" xfId="14086"/>
    <cellStyle name="Normal 2 3 3 3 3" xfId="14087"/>
    <cellStyle name="Normal 2 3 3 3 3 2" xfId="14088"/>
    <cellStyle name="Normal 2 3 3 3 3 2 2" xfId="14089"/>
    <cellStyle name="Normal 2 3 3 3 3 2 2 2" xfId="14090"/>
    <cellStyle name="Normal 2 3 3 3 3 2 2 2 2" xfId="14091"/>
    <cellStyle name="Normal 2 3 3 3 3 2 2 2 2 2" xfId="14092"/>
    <cellStyle name="Normal 2 3 3 3 3 2 2 2 2 3" xfId="14093"/>
    <cellStyle name="Normal 2 3 3 3 3 2 2 2 3" xfId="14094"/>
    <cellStyle name="Normal 2 3 3 3 3 2 2 2 4" xfId="14095"/>
    <cellStyle name="Normal 2 3 3 3 3 2 2 3" xfId="14096"/>
    <cellStyle name="Normal 2 3 3 3 3 2 2 3 2" xfId="14097"/>
    <cellStyle name="Normal 2 3 3 3 3 2 2 3 3" xfId="14098"/>
    <cellStyle name="Normal 2 3 3 3 3 2 2 4" xfId="14099"/>
    <cellStyle name="Normal 2 3 3 3 3 2 2 4 2" xfId="14100"/>
    <cellStyle name="Normal 2 3 3 3 3 2 2 4 3" xfId="14101"/>
    <cellStyle name="Normal 2 3 3 3 3 2 2 5" xfId="14102"/>
    <cellStyle name="Normal 2 3 3 3 3 2 2 6" xfId="14103"/>
    <cellStyle name="Normal 2 3 3 3 3 2 3" xfId="14104"/>
    <cellStyle name="Normal 2 3 3 3 3 2 3 2" xfId="14105"/>
    <cellStyle name="Normal 2 3 3 3 3 2 3 2 2" xfId="14106"/>
    <cellStyle name="Normal 2 3 3 3 3 2 3 2 3" xfId="14107"/>
    <cellStyle name="Normal 2 3 3 3 3 2 3 3" xfId="14108"/>
    <cellStyle name="Normal 2 3 3 3 3 2 3 4" xfId="14109"/>
    <cellStyle name="Normal 2 3 3 3 3 2 4" xfId="14110"/>
    <cellStyle name="Normal 2 3 3 3 3 2 4 2" xfId="14111"/>
    <cellStyle name="Normal 2 3 3 3 3 2 4 3" xfId="14112"/>
    <cellStyle name="Normal 2 3 3 3 3 2 5" xfId="14113"/>
    <cellStyle name="Normal 2 3 3 3 3 2 5 2" xfId="14114"/>
    <cellStyle name="Normal 2 3 3 3 3 2 5 3" xfId="14115"/>
    <cellStyle name="Normal 2 3 3 3 3 2 6" xfId="14116"/>
    <cellStyle name="Normal 2 3 3 3 3 2 7" xfId="14117"/>
    <cellStyle name="Normal 2 3 3 3 3 3" xfId="14118"/>
    <cellStyle name="Normal 2 3 3 3 3 3 2" xfId="14119"/>
    <cellStyle name="Normal 2 3 3 3 3 3 2 2" xfId="14120"/>
    <cellStyle name="Normal 2 3 3 3 3 3 2 2 2" xfId="14121"/>
    <cellStyle name="Normal 2 3 3 3 3 3 2 2 3" xfId="14122"/>
    <cellStyle name="Normal 2 3 3 3 3 3 2 3" xfId="14123"/>
    <cellStyle name="Normal 2 3 3 3 3 3 2 4" xfId="14124"/>
    <cellStyle name="Normal 2 3 3 3 3 3 3" xfId="14125"/>
    <cellStyle name="Normal 2 3 3 3 3 3 3 2" xfId="14126"/>
    <cellStyle name="Normal 2 3 3 3 3 3 3 3" xfId="14127"/>
    <cellStyle name="Normal 2 3 3 3 3 3 4" xfId="14128"/>
    <cellStyle name="Normal 2 3 3 3 3 3 4 2" xfId="14129"/>
    <cellStyle name="Normal 2 3 3 3 3 3 4 3" xfId="14130"/>
    <cellStyle name="Normal 2 3 3 3 3 3 5" xfId="14131"/>
    <cellStyle name="Normal 2 3 3 3 3 3 6" xfId="14132"/>
    <cellStyle name="Normal 2 3 3 3 3 4" xfId="14133"/>
    <cellStyle name="Normal 2 3 3 3 3 4 2" xfId="14134"/>
    <cellStyle name="Normal 2 3 3 3 3 4 2 2" xfId="14135"/>
    <cellStyle name="Normal 2 3 3 3 3 4 2 3" xfId="14136"/>
    <cellStyle name="Normal 2 3 3 3 3 4 3" xfId="14137"/>
    <cellStyle name="Normal 2 3 3 3 3 4 4" xfId="14138"/>
    <cellStyle name="Normal 2 3 3 3 3 5" xfId="14139"/>
    <cellStyle name="Normal 2 3 3 3 3 5 2" xfId="14140"/>
    <cellStyle name="Normal 2 3 3 3 3 5 3" xfId="14141"/>
    <cellStyle name="Normal 2 3 3 3 3 6" xfId="14142"/>
    <cellStyle name="Normal 2 3 3 3 3 6 2" xfId="14143"/>
    <cellStyle name="Normal 2 3 3 3 3 6 3" xfId="14144"/>
    <cellStyle name="Normal 2 3 3 3 3 7" xfId="14145"/>
    <cellStyle name="Normal 2 3 3 3 3 8" xfId="14146"/>
    <cellStyle name="Normal 2 3 3 3 4" xfId="14147"/>
    <cellStyle name="Normal 2 3 3 3 4 2" xfId="14148"/>
    <cellStyle name="Normal 2 3 3 3 4 2 2" xfId="14149"/>
    <cellStyle name="Normal 2 3 3 3 4 2 2 2" xfId="14150"/>
    <cellStyle name="Normal 2 3 3 3 4 2 2 2 2" xfId="14151"/>
    <cellStyle name="Normal 2 3 3 3 4 2 2 2 2 2" xfId="14152"/>
    <cellStyle name="Normal 2 3 3 3 4 2 2 2 2 3" xfId="14153"/>
    <cellStyle name="Normal 2 3 3 3 4 2 2 2 3" xfId="14154"/>
    <cellStyle name="Normal 2 3 3 3 4 2 2 2 4" xfId="14155"/>
    <cellStyle name="Normal 2 3 3 3 4 2 2 3" xfId="14156"/>
    <cellStyle name="Normal 2 3 3 3 4 2 2 3 2" xfId="14157"/>
    <cellStyle name="Normal 2 3 3 3 4 2 2 3 3" xfId="14158"/>
    <cellStyle name="Normal 2 3 3 3 4 2 2 4" xfId="14159"/>
    <cellStyle name="Normal 2 3 3 3 4 2 2 4 2" xfId="14160"/>
    <cellStyle name="Normal 2 3 3 3 4 2 2 4 3" xfId="14161"/>
    <cellStyle name="Normal 2 3 3 3 4 2 2 5" xfId="14162"/>
    <cellStyle name="Normal 2 3 3 3 4 2 2 6" xfId="14163"/>
    <cellStyle name="Normal 2 3 3 3 4 2 3" xfId="14164"/>
    <cellStyle name="Normal 2 3 3 3 4 2 3 2" xfId="14165"/>
    <cellStyle name="Normal 2 3 3 3 4 2 3 2 2" xfId="14166"/>
    <cellStyle name="Normal 2 3 3 3 4 2 3 2 3" xfId="14167"/>
    <cellStyle name="Normal 2 3 3 3 4 2 3 3" xfId="14168"/>
    <cellStyle name="Normal 2 3 3 3 4 2 3 4" xfId="14169"/>
    <cellStyle name="Normal 2 3 3 3 4 2 4" xfId="14170"/>
    <cellStyle name="Normal 2 3 3 3 4 2 4 2" xfId="14171"/>
    <cellStyle name="Normal 2 3 3 3 4 2 4 3" xfId="14172"/>
    <cellStyle name="Normal 2 3 3 3 4 2 5" xfId="14173"/>
    <cellStyle name="Normal 2 3 3 3 4 2 5 2" xfId="14174"/>
    <cellStyle name="Normal 2 3 3 3 4 2 5 3" xfId="14175"/>
    <cellStyle name="Normal 2 3 3 3 4 2 6" xfId="14176"/>
    <cellStyle name="Normal 2 3 3 3 4 2 7" xfId="14177"/>
    <cellStyle name="Normal 2 3 3 3 4 3" xfId="14178"/>
    <cellStyle name="Normal 2 3 3 3 4 3 2" xfId="14179"/>
    <cellStyle name="Normal 2 3 3 3 4 3 2 2" xfId="14180"/>
    <cellStyle name="Normal 2 3 3 3 4 3 2 2 2" xfId="14181"/>
    <cellStyle name="Normal 2 3 3 3 4 3 2 2 3" xfId="14182"/>
    <cellStyle name="Normal 2 3 3 3 4 3 2 3" xfId="14183"/>
    <cellStyle name="Normal 2 3 3 3 4 3 2 4" xfId="14184"/>
    <cellStyle name="Normal 2 3 3 3 4 3 3" xfId="14185"/>
    <cellStyle name="Normal 2 3 3 3 4 3 3 2" xfId="14186"/>
    <cellStyle name="Normal 2 3 3 3 4 3 3 3" xfId="14187"/>
    <cellStyle name="Normal 2 3 3 3 4 3 4" xfId="14188"/>
    <cellStyle name="Normal 2 3 3 3 4 3 4 2" xfId="14189"/>
    <cellStyle name="Normal 2 3 3 3 4 3 4 3" xfId="14190"/>
    <cellStyle name="Normal 2 3 3 3 4 3 5" xfId="14191"/>
    <cellStyle name="Normal 2 3 3 3 4 3 6" xfId="14192"/>
    <cellStyle name="Normal 2 3 3 3 4 4" xfId="14193"/>
    <cellStyle name="Normal 2 3 3 3 4 4 2" xfId="14194"/>
    <cellStyle name="Normal 2 3 3 3 4 4 2 2" xfId="14195"/>
    <cellStyle name="Normal 2 3 3 3 4 4 2 3" xfId="14196"/>
    <cellStyle name="Normal 2 3 3 3 4 4 3" xfId="14197"/>
    <cellStyle name="Normal 2 3 3 3 4 4 4" xfId="14198"/>
    <cellStyle name="Normal 2 3 3 3 4 5" xfId="14199"/>
    <cellStyle name="Normal 2 3 3 3 4 5 2" xfId="14200"/>
    <cellStyle name="Normal 2 3 3 3 4 5 3" xfId="14201"/>
    <cellStyle name="Normal 2 3 3 3 4 6" xfId="14202"/>
    <cellStyle name="Normal 2 3 3 3 4 6 2" xfId="14203"/>
    <cellStyle name="Normal 2 3 3 3 4 6 3" xfId="14204"/>
    <cellStyle name="Normal 2 3 3 3 4 7" xfId="14205"/>
    <cellStyle name="Normal 2 3 3 3 4 8" xfId="14206"/>
    <cellStyle name="Normal 2 3 3 3 5" xfId="14207"/>
    <cellStyle name="Normal 2 3 3 3 5 2" xfId="14208"/>
    <cellStyle name="Normal 2 3 3 3 5 2 2" xfId="14209"/>
    <cellStyle name="Normal 2 3 3 3 5 2 2 2" xfId="14210"/>
    <cellStyle name="Normal 2 3 3 3 5 2 2 2 2" xfId="14211"/>
    <cellStyle name="Normal 2 3 3 3 5 2 2 2 3" xfId="14212"/>
    <cellStyle name="Normal 2 3 3 3 5 2 2 3" xfId="14213"/>
    <cellStyle name="Normal 2 3 3 3 5 2 2 4" xfId="14214"/>
    <cellStyle name="Normal 2 3 3 3 5 2 3" xfId="14215"/>
    <cellStyle name="Normal 2 3 3 3 5 2 3 2" xfId="14216"/>
    <cellStyle name="Normal 2 3 3 3 5 2 3 3" xfId="14217"/>
    <cellStyle name="Normal 2 3 3 3 5 2 4" xfId="14218"/>
    <cellStyle name="Normal 2 3 3 3 5 2 4 2" xfId="14219"/>
    <cellStyle name="Normal 2 3 3 3 5 2 4 3" xfId="14220"/>
    <cellStyle name="Normal 2 3 3 3 5 2 5" xfId="14221"/>
    <cellStyle name="Normal 2 3 3 3 5 2 6" xfId="14222"/>
    <cellStyle name="Normal 2 3 3 3 5 3" xfId="14223"/>
    <cellStyle name="Normal 2 3 3 3 5 3 2" xfId="14224"/>
    <cellStyle name="Normal 2 3 3 3 5 3 2 2" xfId="14225"/>
    <cellStyle name="Normal 2 3 3 3 5 3 2 3" xfId="14226"/>
    <cellStyle name="Normal 2 3 3 3 5 3 3" xfId="14227"/>
    <cellStyle name="Normal 2 3 3 3 5 3 4" xfId="14228"/>
    <cellStyle name="Normal 2 3 3 3 5 4" xfId="14229"/>
    <cellStyle name="Normal 2 3 3 3 5 4 2" xfId="14230"/>
    <cellStyle name="Normal 2 3 3 3 5 4 3" xfId="14231"/>
    <cellStyle name="Normal 2 3 3 3 5 5" xfId="14232"/>
    <cellStyle name="Normal 2 3 3 3 5 5 2" xfId="14233"/>
    <cellStyle name="Normal 2 3 3 3 5 5 3" xfId="14234"/>
    <cellStyle name="Normal 2 3 3 3 5 6" xfId="14235"/>
    <cellStyle name="Normal 2 3 3 3 5 7" xfId="14236"/>
    <cellStyle name="Normal 2 3 3 3 6" xfId="14237"/>
    <cellStyle name="Normal 2 3 3 3 6 2" xfId="14238"/>
    <cellStyle name="Normal 2 3 3 3 6 2 2" xfId="14239"/>
    <cellStyle name="Normal 2 3 3 3 6 2 2 2" xfId="14240"/>
    <cellStyle name="Normal 2 3 3 3 6 2 2 3" xfId="14241"/>
    <cellStyle name="Normal 2 3 3 3 6 2 3" xfId="14242"/>
    <cellStyle name="Normal 2 3 3 3 6 2 4" xfId="14243"/>
    <cellStyle name="Normal 2 3 3 3 6 3" xfId="14244"/>
    <cellStyle name="Normal 2 3 3 3 6 3 2" xfId="14245"/>
    <cellStyle name="Normal 2 3 3 3 6 3 3" xfId="14246"/>
    <cellStyle name="Normal 2 3 3 3 6 4" xfId="14247"/>
    <cellStyle name="Normal 2 3 3 3 6 4 2" xfId="14248"/>
    <cellStyle name="Normal 2 3 3 3 6 4 3" xfId="14249"/>
    <cellStyle name="Normal 2 3 3 3 6 5" xfId="14250"/>
    <cellStyle name="Normal 2 3 3 3 6 6" xfId="14251"/>
    <cellStyle name="Normal 2 3 3 3 7" xfId="14252"/>
    <cellStyle name="Normal 2 3 3 3 7 2" xfId="14253"/>
    <cellStyle name="Normal 2 3 3 3 7 2 2" xfId="14254"/>
    <cellStyle name="Normal 2 3 3 3 7 2 3" xfId="14255"/>
    <cellStyle name="Normal 2 3 3 3 7 3" xfId="14256"/>
    <cellStyle name="Normal 2 3 3 3 7 4" xfId="14257"/>
    <cellStyle name="Normal 2 3 3 3 8" xfId="14258"/>
    <cellStyle name="Normal 2 3 3 3 8 2" xfId="14259"/>
    <cellStyle name="Normal 2 3 3 3 8 3" xfId="14260"/>
    <cellStyle name="Normal 2 3 3 3 9" xfId="14261"/>
    <cellStyle name="Normal 2 3 3 3 9 2" xfId="14262"/>
    <cellStyle name="Normal 2 3 3 3 9 3" xfId="14263"/>
    <cellStyle name="Normal 2 3 3 4" xfId="14264"/>
    <cellStyle name="Normal 2 3 3 4 2" xfId="14265"/>
    <cellStyle name="Normal 2 3 3 4 2 2" xfId="14266"/>
    <cellStyle name="Normal 2 3 3 4 2 2 2" xfId="14267"/>
    <cellStyle name="Normal 2 3 3 4 2 2 2 2" xfId="14268"/>
    <cellStyle name="Normal 2 3 3 4 2 2 2 2 2" xfId="14269"/>
    <cellStyle name="Normal 2 3 3 4 2 2 2 2 3" xfId="14270"/>
    <cellStyle name="Normal 2 3 3 4 2 2 2 3" xfId="14271"/>
    <cellStyle name="Normal 2 3 3 4 2 2 2 4" xfId="14272"/>
    <cellStyle name="Normal 2 3 3 4 2 2 3" xfId="14273"/>
    <cellStyle name="Normal 2 3 3 4 2 2 3 2" xfId="14274"/>
    <cellStyle name="Normal 2 3 3 4 2 2 3 3" xfId="14275"/>
    <cellStyle name="Normal 2 3 3 4 2 2 4" xfId="14276"/>
    <cellStyle name="Normal 2 3 3 4 2 2 4 2" xfId="14277"/>
    <cellStyle name="Normal 2 3 3 4 2 2 4 3" xfId="14278"/>
    <cellStyle name="Normal 2 3 3 4 2 2 5" xfId="14279"/>
    <cellStyle name="Normal 2 3 3 4 2 2 6" xfId="14280"/>
    <cellStyle name="Normal 2 3 3 4 2 3" xfId="14281"/>
    <cellStyle name="Normal 2 3 3 4 2 3 2" xfId="14282"/>
    <cellStyle name="Normal 2 3 3 4 2 3 2 2" xfId="14283"/>
    <cellStyle name="Normal 2 3 3 4 2 3 2 3" xfId="14284"/>
    <cellStyle name="Normal 2 3 3 4 2 3 3" xfId="14285"/>
    <cellStyle name="Normal 2 3 3 4 2 3 4" xfId="14286"/>
    <cellStyle name="Normal 2 3 3 4 2 4" xfId="14287"/>
    <cellStyle name="Normal 2 3 3 4 2 4 2" xfId="14288"/>
    <cellStyle name="Normal 2 3 3 4 2 4 3" xfId="14289"/>
    <cellStyle name="Normal 2 3 3 4 2 5" xfId="14290"/>
    <cellStyle name="Normal 2 3 3 4 2 5 2" xfId="14291"/>
    <cellStyle name="Normal 2 3 3 4 2 5 3" xfId="14292"/>
    <cellStyle name="Normal 2 3 3 4 2 6" xfId="14293"/>
    <cellStyle name="Normal 2 3 3 4 2 7" xfId="14294"/>
    <cellStyle name="Normal 2 3 3 4 3" xfId="14295"/>
    <cellStyle name="Normal 2 3 3 4 3 2" xfId="14296"/>
    <cellStyle name="Normal 2 3 3 4 3 2 2" xfId="14297"/>
    <cellStyle name="Normal 2 3 3 4 3 2 2 2" xfId="14298"/>
    <cellStyle name="Normal 2 3 3 4 3 2 2 3" xfId="14299"/>
    <cellStyle name="Normal 2 3 3 4 3 2 3" xfId="14300"/>
    <cellStyle name="Normal 2 3 3 4 3 2 4" xfId="14301"/>
    <cellStyle name="Normal 2 3 3 4 3 3" xfId="14302"/>
    <cellStyle name="Normal 2 3 3 4 3 3 2" xfId="14303"/>
    <cellStyle name="Normal 2 3 3 4 3 3 3" xfId="14304"/>
    <cellStyle name="Normal 2 3 3 4 3 4" xfId="14305"/>
    <cellStyle name="Normal 2 3 3 4 3 4 2" xfId="14306"/>
    <cellStyle name="Normal 2 3 3 4 3 4 3" xfId="14307"/>
    <cellStyle name="Normal 2 3 3 4 3 5" xfId="14308"/>
    <cellStyle name="Normal 2 3 3 4 3 6" xfId="14309"/>
    <cellStyle name="Normal 2 3 3 4 4" xfId="14310"/>
    <cellStyle name="Normal 2 3 3 4 4 2" xfId="14311"/>
    <cellStyle name="Normal 2 3 3 4 4 2 2" xfId="14312"/>
    <cellStyle name="Normal 2 3 3 4 4 2 3" xfId="14313"/>
    <cellStyle name="Normal 2 3 3 4 4 3" xfId="14314"/>
    <cellStyle name="Normal 2 3 3 4 4 4" xfId="14315"/>
    <cellStyle name="Normal 2 3 3 4 5" xfId="14316"/>
    <cellStyle name="Normal 2 3 3 4 5 2" xfId="14317"/>
    <cellStyle name="Normal 2 3 3 4 5 3" xfId="14318"/>
    <cellStyle name="Normal 2 3 3 4 6" xfId="14319"/>
    <cellStyle name="Normal 2 3 3 4 6 2" xfId="14320"/>
    <cellStyle name="Normal 2 3 3 4 6 3" xfId="14321"/>
    <cellStyle name="Normal 2 3 3 4 7" xfId="14322"/>
    <cellStyle name="Normal 2 3 3 4 8" xfId="14323"/>
    <cellStyle name="Normal 2 3 3 5" xfId="14324"/>
    <cellStyle name="Normal 2 3 3 5 2" xfId="14325"/>
    <cellStyle name="Normal 2 3 3 5 2 2" xfId="14326"/>
    <cellStyle name="Normal 2 3 3 5 2 2 2" xfId="14327"/>
    <cellStyle name="Normal 2 3 3 5 2 2 2 2" xfId="14328"/>
    <cellStyle name="Normal 2 3 3 5 2 2 2 2 2" xfId="14329"/>
    <cellStyle name="Normal 2 3 3 5 2 2 2 2 3" xfId="14330"/>
    <cellStyle name="Normal 2 3 3 5 2 2 2 3" xfId="14331"/>
    <cellStyle name="Normal 2 3 3 5 2 2 2 4" xfId="14332"/>
    <cellStyle name="Normal 2 3 3 5 2 2 3" xfId="14333"/>
    <cellStyle name="Normal 2 3 3 5 2 2 3 2" xfId="14334"/>
    <cellStyle name="Normal 2 3 3 5 2 2 3 3" xfId="14335"/>
    <cellStyle name="Normal 2 3 3 5 2 2 4" xfId="14336"/>
    <cellStyle name="Normal 2 3 3 5 2 2 4 2" xfId="14337"/>
    <cellStyle name="Normal 2 3 3 5 2 2 4 3" xfId="14338"/>
    <cellStyle name="Normal 2 3 3 5 2 2 5" xfId="14339"/>
    <cellStyle name="Normal 2 3 3 5 2 2 6" xfId="14340"/>
    <cellStyle name="Normal 2 3 3 5 2 3" xfId="14341"/>
    <cellStyle name="Normal 2 3 3 5 2 3 2" xfId="14342"/>
    <cellStyle name="Normal 2 3 3 5 2 3 2 2" xfId="14343"/>
    <cellStyle name="Normal 2 3 3 5 2 3 2 3" xfId="14344"/>
    <cellStyle name="Normal 2 3 3 5 2 3 3" xfId="14345"/>
    <cellStyle name="Normal 2 3 3 5 2 3 4" xfId="14346"/>
    <cellStyle name="Normal 2 3 3 5 2 4" xfId="14347"/>
    <cellStyle name="Normal 2 3 3 5 2 4 2" xfId="14348"/>
    <cellStyle name="Normal 2 3 3 5 2 4 3" xfId="14349"/>
    <cellStyle name="Normal 2 3 3 5 2 5" xfId="14350"/>
    <cellStyle name="Normal 2 3 3 5 2 5 2" xfId="14351"/>
    <cellStyle name="Normal 2 3 3 5 2 5 3" xfId="14352"/>
    <cellStyle name="Normal 2 3 3 5 2 6" xfId="14353"/>
    <cellStyle name="Normal 2 3 3 5 2 7" xfId="14354"/>
    <cellStyle name="Normal 2 3 3 5 3" xfId="14355"/>
    <cellStyle name="Normal 2 3 3 5 3 2" xfId="14356"/>
    <cellStyle name="Normal 2 3 3 5 3 2 2" xfId="14357"/>
    <cellStyle name="Normal 2 3 3 5 3 2 2 2" xfId="14358"/>
    <cellStyle name="Normal 2 3 3 5 3 2 2 3" xfId="14359"/>
    <cellStyle name="Normal 2 3 3 5 3 2 3" xfId="14360"/>
    <cellStyle name="Normal 2 3 3 5 3 2 4" xfId="14361"/>
    <cellStyle name="Normal 2 3 3 5 3 3" xfId="14362"/>
    <cellStyle name="Normal 2 3 3 5 3 3 2" xfId="14363"/>
    <cellStyle name="Normal 2 3 3 5 3 3 3" xfId="14364"/>
    <cellStyle name="Normal 2 3 3 5 3 4" xfId="14365"/>
    <cellStyle name="Normal 2 3 3 5 3 4 2" xfId="14366"/>
    <cellStyle name="Normal 2 3 3 5 3 4 3" xfId="14367"/>
    <cellStyle name="Normal 2 3 3 5 3 5" xfId="14368"/>
    <cellStyle name="Normal 2 3 3 5 3 6" xfId="14369"/>
    <cellStyle name="Normal 2 3 3 5 4" xfId="14370"/>
    <cellStyle name="Normal 2 3 3 5 4 2" xfId="14371"/>
    <cellStyle name="Normal 2 3 3 5 4 2 2" xfId="14372"/>
    <cellStyle name="Normal 2 3 3 5 4 2 3" xfId="14373"/>
    <cellStyle name="Normal 2 3 3 5 4 3" xfId="14374"/>
    <cellStyle name="Normal 2 3 3 5 4 4" xfId="14375"/>
    <cellStyle name="Normal 2 3 3 5 5" xfId="14376"/>
    <cellStyle name="Normal 2 3 3 5 5 2" xfId="14377"/>
    <cellStyle name="Normal 2 3 3 5 5 3" xfId="14378"/>
    <cellStyle name="Normal 2 3 3 5 6" xfId="14379"/>
    <cellStyle name="Normal 2 3 3 5 6 2" xfId="14380"/>
    <cellStyle name="Normal 2 3 3 5 6 3" xfId="14381"/>
    <cellStyle name="Normal 2 3 3 5 7" xfId="14382"/>
    <cellStyle name="Normal 2 3 3 5 8" xfId="14383"/>
    <cellStyle name="Normal 2 3 3 6" xfId="14384"/>
    <cellStyle name="Normal 2 3 3 6 2" xfId="14385"/>
    <cellStyle name="Normal 2 3 3 6 2 2" xfId="14386"/>
    <cellStyle name="Normal 2 3 3 6 2 2 2" xfId="14387"/>
    <cellStyle name="Normal 2 3 3 6 2 2 2 2" xfId="14388"/>
    <cellStyle name="Normal 2 3 3 6 2 2 2 2 2" xfId="14389"/>
    <cellStyle name="Normal 2 3 3 6 2 2 2 2 3" xfId="14390"/>
    <cellStyle name="Normal 2 3 3 6 2 2 2 3" xfId="14391"/>
    <cellStyle name="Normal 2 3 3 6 2 2 2 4" xfId="14392"/>
    <cellStyle name="Normal 2 3 3 6 2 2 3" xfId="14393"/>
    <cellStyle name="Normal 2 3 3 6 2 2 3 2" xfId="14394"/>
    <cellStyle name="Normal 2 3 3 6 2 2 3 3" xfId="14395"/>
    <cellStyle name="Normal 2 3 3 6 2 2 4" xfId="14396"/>
    <cellStyle name="Normal 2 3 3 6 2 2 4 2" xfId="14397"/>
    <cellStyle name="Normal 2 3 3 6 2 2 4 3" xfId="14398"/>
    <cellStyle name="Normal 2 3 3 6 2 2 5" xfId="14399"/>
    <cellStyle name="Normal 2 3 3 6 2 2 6" xfId="14400"/>
    <cellStyle name="Normal 2 3 3 6 2 3" xfId="14401"/>
    <cellStyle name="Normal 2 3 3 6 2 3 2" xfId="14402"/>
    <cellStyle name="Normal 2 3 3 6 2 3 2 2" xfId="14403"/>
    <cellStyle name="Normal 2 3 3 6 2 3 2 3" xfId="14404"/>
    <cellStyle name="Normal 2 3 3 6 2 3 3" xfId="14405"/>
    <cellStyle name="Normal 2 3 3 6 2 3 4" xfId="14406"/>
    <cellStyle name="Normal 2 3 3 6 2 4" xfId="14407"/>
    <cellStyle name="Normal 2 3 3 6 2 4 2" xfId="14408"/>
    <cellStyle name="Normal 2 3 3 6 2 4 3" xfId="14409"/>
    <cellStyle name="Normal 2 3 3 6 2 5" xfId="14410"/>
    <cellStyle name="Normal 2 3 3 6 2 5 2" xfId="14411"/>
    <cellStyle name="Normal 2 3 3 6 2 5 3" xfId="14412"/>
    <cellStyle name="Normal 2 3 3 6 2 6" xfId="14413"/>
    <cellStyle name="Normal 2 3 3 6 2 7" xfId="14414"/>
    <cellStyle name="Normal 2 3 3 6 3" xfId="14415"/>
    <cellStyle name="Normal 2 3 3 6 3 2" xfId="14416"/>
    <cellStyle name="Normal 2 3 3 6 3 2 2" xfId="14417"/>
    <cellStyle name="Normal 2 3 3 6 3 2 2 2" xfId="14418"/>
    <cellStyle name="Normal 2 3 3 6 3 2 2 3" xfId="14419"/>
    <cellStyle name="Normal 2 3 3 6 3 2 3" xfId="14420"/>
    <cellStyle name="Normal 2 3 3 6 3 2 4" xfId="14421"/>
    <cellStyle name="Normal 2 3 3 6 3 3" xfId="14422"/>
    <cellStyle name="Normal 2 3 3 6 3 3 2" xfId="14423"/>
    <cellStyle name="Normal 2 3 3 6 3 3 3" xfId="14424"/>
    <cellStyle name="Normal 2 3 3 6 3 4" xfId="14425"/>
    <cellStyle name="Normal 2 3 3 6 3 4 2" xfId="14426"/>
    <cellStyle name="Normal 2 3 3 6 3 4 3" xfId="14427"/>
    <cellStyle name="Normal 2 3 3 6 3 5" xfId="14428"/>
    <cellStyle name="Normal 2 3 3 6 3 6" xfId="14429"/>
    <cellStyle name="Normal 2 3 3 6 4" xfId="14430"/>
    <cellStyle name="Normal 2 3 3 6 4 2" xfId="14431"/>
    <cellStyle name="Normal 2 3 3 6 4 2 2" xfId="14432"/>
    <cellStyle name="Normal 2 3 3 6 4 2 3" xfId="14433"/>
    <cellStyle name="Normal 2 3 3 6 4 3" xfId="14434"/>
    <cellStyle name="Normal 2 3 3 6 4 4" xfId="14435"/>
    <cellStyle name="Normal 2 3 3 6 5" xfId="14436"/>
    <cellStyle name="Normal 2 3 3 6 5 2" xfId="14437"/>
    <cellStyle name="Normal 2 3 3 6 5 3" xfId="14438"/>
    <cellStyle name="Normal 2 3 3 6 6" xfId="14439"/>
    <cellStyle name="Normal 2 3 3 6 6 2" xfId="14440"/>
    <cellStyle name="Normal 2 3 3 6 6 3" xfId="14441"/>
    <cellStyle name="Normal 2 3 3 6 7" xfId="14442"/>
    <cellStyle name="Normal 2 3 3 6 8" xfId="14443"/>
    <cellStyle name="Normal 2 3 3 7" xfId="14444"/>
    <cellStyle name="Normal 2 3 3 7 2" xfId="14445"/>
    <cellStyle name="Normal 2 3 3 7 2 2" xfId="14446"/>
    <cellStyle name="Normal 2 3 3 7 2 2 2" xfId="14447"/>
    <cellStyle name="Normal 2 3 3 7 2 2 2 2" xfId="14448"/>
    <cellStyle name="Normal 2 3 3 7 2 2 2 3" xfId="14449"/>
    <cellStyle name="Normal 2 3 3 7 2 2 3" xfId="14450"/>
    <cellStyle name="Normal 2 3 3 7 2 2 4" xfId="14451"/>
    <cellStyle name="Normal 2 3 3 7 2 3" xfId="14452"/>
    <cellStyle name="Normal 2 3 3 7 2 3 2" xfId="14453"/>
    <cellStyle name="Normal 2 3 3 7 2 3 3" xfId="14454"/>
    <cellStyle name="Normal 2 3 3 7 2 4" xfId="14455"/>
    <cellStyle name="Normal 2 3 3 7 2 4 2" xfId="14456"/>
    <cellStyle name="Normal 2 3 3 7 2 4 3" xfId="14457"/>
    <cellStyle name="Normal 2 3 3 7 2 5" xfId="14458"/>
    <cellStyle name="Normal 2 3 3 7 2 6" xfId="14459"/>
    <cellStyle name="Normal 2 3 3 7 3" xfId="14460"/>
    <cellStyle name="Normal 2 3 3 7 3 2" xfId="14461"/>
    <cellStyle name="Normal 2 3 3 7 3 2 2" xfId="14462"/>
    <cellStyle name="Normal 2 3 3 7 3 2 3" xfId="14463"/>
    <cellStyle name="Normal 2 3 3 7 3 3" xfId="14464"/>
    <cellStyle name="Normal 2 3 3 7 3 4" xfId="14465"/>
    <cellStyle name="Normal 2 3 3 7 4" xfId="14466"/>
    <cellStyle name="Normal 2 3 3 7 4 2" xfId="14467"/>
    <cellStyle name="Normal 2 3 3 7 4 3" xfId="14468"/>
    <cellStyle name="Normal 2 3 3 7 5" xfId="14469"/>
    <cellStyle name="Normal 2 3 3 7 5 2" xfId="14470"/>
    <cellStyle name="Normal 2 3 3 7 5 3" xfId="14471"/>
    <cellStyle name="Normal 2 3 3 7 6" xfId="14472"/>
    <cellStyle name="Normal 2 3 3 7 7" xfId="14473"/>
    <cellStyle name="Normal 2 3 3 8" xfId="14474"/>
    <cellStyle name="Normal 2 3 3 8 2" xfId="14475"/>
    <cellStyle name="Normal 2 3 3 8 2 2" xfId="14476"/>
    <cellStyle name="Normal 2 3 3 8 2 2 2" xfId="14477"/>
    <cellStyle name="Normal 2 3 3 8 2 2 3" xfId="14478"/>
    <cellStyle name="Normal 2 3 3 8 2 3" xfId="14479"/>
    <cellStyle name="Normal 2 3 3 8 2 4" xfId="14480"/>
    <cellStyle name="Normal 2 3 3 8 3" xfId="14481"/>
    <cellStyle name="Normal 2 3 3 8 3 2" xfId="14482"/>
    <cellStyle name="Normal 2 3 3 8 3 3" xfId="14483"/>
    <cellStyle name="Normal 2 3 3 8 4" xfId="14484"/>
    <cellStyle name="Normal 2 3 3 8 4 2" xfId="14485"/>
    <cellStyle name="Normal 2 3 3 8 4 3" xfId="14486"/>
    <cellStyle name="Normal 2 3 3 8 5" xfId="14487"/>
    <cellStyle name="Normal 2 3 3 8 6" xfId="14488"/>
    <cellStyle name="Normal 2 3 3 9" xfId="14489"/>
    <cellStyle name="Normal 2 3 3 9 2" xfId="14490"/>
    <cellStyle name="Normal 2 3 3 9 2 2" xfId="14491"/>
    <cellStyle name="Normal 2 3 3 9 2 3" xfId="14492"/>
    <cellStyle name="Normal 2 3 3 9 3" xfId="14493"/>
    <cellStyle name="Normal 2 3 3 9 4" xfId="14494"/>
    <cellStyle name="Normal 2 3 4" xfId="14495"/>
    <cellStyle name="Normal 2 3 4 10" xfId="14496"/>
    <cellStyle name="Normal 2 3 4 10 2" xfId="14497"/>
    <cellStyle name="Normal 2 3 4 10 3" xfId="14498"/>
    <cellStyle name="Normal 2 3 4 11" xfId="14499"/>
    <cellStyle name="Normal 2 3 4 11 2" xfId="14500"/>
    <cellStyle name="Normal 2 3 4 12" xfId="14501"/>
    <cellStyle name="Normal 2 3 4 2" xfId="14502"/>
    <cellStyle name="Normal 2 3 4 2 10" xfId="14503"/>
    <cellStyle name="Normal 2 3 4 2 11" xfId="14504"/>
    <cellStyle name="Normal 2 3 4 2 2" xfId="14505"/>
    <cellStyle name="Normal 2 3 4 2 2 2" xfId="14506"/>
    <cellStyle name="Normal 2 3 4 2 2 2 2" xfId="14507"/>
    <cellStyle name="Normal 2 3 4 2 2 2 2 2" xfId="14508"/>
    <cellStyle name="Normal 2 3 4 2 2 2 2 2 2" xfId="14509"/>
    <cellStyle name="Normal 2 3 4 2 2 2 2 2 2 2" xfId="14510"/>
    <cellStyle name="Normal 2 3 4 2 2 2 2 2 2 3" xfId="14511"/>
    <cellStyle name="Normal 2 3 4 2 2 2 2 2 3" xfId="14512"/>
    <cellStyle name="Normal 2 3 4 2 2 2 2 2 4" xfId="14513"/>
    <cellStyle name="Normal 2 3 4 2 2 2 2 3" xfId="14514"/>
    <cellStyle name="Normal 2 3 4 2 2 2 2 3 2" xfId="14515"/>
    <cellStyle name="Normal 2 3 4 2 2 2 2 3 3" xfId="14516"/>
    <cellStyle name="Normal 2 3 4 2 2 2 2 4" xfId="14517"/>
    <cellStyle name="Normal 2 3 4 2 2 2 2 4 2" xfId="14518"/>
    <cellStyle name="Normal 2 3 4 2 2 2 2 4 3" xfId="14519"/>
    <cellStyle name="Normal 2 3 4 2 2 2 2 5" xfId="14520"/>
    <cellStyle name="Normal 2 3 4 2 2 2 2 6" xfId="14521"/>
    <cellStyle name="Normal 2 3 4 2 2 2 3" xfId="14522"/>
    <cellStyle name="Normal 2 3 4 2 2 2 3 2" xfId="14523"/>
    <cellStyle name="Normal 2 3 4 2 2 2 3 2 2" xfId="14524"/>
    <cellStyle name="Normal 2 3 4 2 2 2 3 2 3" xfId="14525"/>
    <cellStyle name="Normal 2 3 4 2 2 2 3 3" xfId="14526"/>
    <cellStyle name="Normal 2 3 4 2 2 2 3 4" xfId="14527"/>
    <cellStyle name="Normal 2 3 4 2 2 2 4" xfId="14528"/>
    <cellStyle name="Normal 2 3 4 2 2 2 4 2" xfId="14529"/>
    <cellStyle name="Normal 2 3 4 2 2 2 4 3" xfId="14530"/>
    <cellStyle name="Normal 2 3 4 2 2 2 5" xfId="14531"/>
    <cellStyle name="Normal 2 3 4 2 2 2 5 2" xfId="14532"/>
    <cellStyle name="Normal 2 3 4 2 2 2 5 3" xfId="14533"/>
    <cellStyle name="Normal 2 3 4 2 2 2 6" xfId="14534"/>
    <cellStyle name="Normal 2 3 4 2 2 2 7" xfId="14535"/>
    <cellStyle name="Normal 2 3 4 2 2 3" xfId="14536"/>
    <cellStyle name="Normal 2 3 4 2 2 3 2" xfId="14537"/>
    <cellStyle name="Normal 2 3 4 2 2 3 2 2" xfId="14538"/>
    <cellStyle name="Normal 2 3 4 2 2 3 2 2 2" xfId="14539"/>
    <cellStyle name="Normal 2 3 4 2 2 3 2 2 3" xfId="14540"/>
    <cellStyle name="Normal 2 3 4 2 2 3 2 3" xfId="14541"/>
    <cellStyle name="Normal 2 3 4 2 2 3 2 4" xfId="14542"/>
    <cellStyle name="Normal 2 3 4 2 2 3 3" xfId="14543"/>
    <cellStyle name="Normal 2 3 4 2 2 3 3 2" xfId="14544"/>
    <cellStyle name="Normal 2 3 4 2 2 3 3 3" xfId="14545"/>
    <cellStyle name="Normal 2 3 4 2 2 3 4" xfId="14546"/>
    <cellStyle name="Normal 2 3 4 2 2 3 4 2" xfId="14547"/>
    <cellStyle name="Normal 2 3 4 2 2 3 4 3" xfId="14548"/>
    <cellStyle name="Normal 2 3 4 2 2 3 5" xfId="14549"/>
    <cellStyle name="Normal 2 3 4 2 2 3 6" xfId="14550"/>
    <cellStyle name="Normal 2 3 4 2 2 4" xfId="14551"/>
    <cellStyle name="Normal 2 3 4 2 2 4 2" xfId="14552"/>
    <cellStyle name="Normal 2 3 4 2 2 4 2 2" xfId="14553"/>
    <cellStyle name="Normal 2 3 4 2 2 4 2 3" xfId="14554"/>
    <cellStyle name="Normal 2 3 4 2 2 4 3" xfId="14555"/>
    <cellStyle name="Normal 2 3 4 2 2 4 4" xfId="14556"/>
    <cellStyle name="Normal 2 3 4 2 2 5" xfId="14557"/>
    <cellStyle name="Normal 2 3 4 2 2 5 2" xfId="14558"/>
    <cellStyle name="Normal 2 3 4 2 2 5 3" xfId="14559"/>
    <cellStyle name="Normal 2 3 4 2 2 6" xfId="14560"/>
    <cellStyle name="Normal 2 3 4 2 2 6 2" xfId="14561"/>
    <cellStyle name="Normal 2 3 4 2 2 6 3" xfId="14562"/>
    <cellStyle name="Normal 2 3 4 2 2 7" xfId="14563"/>
    <cellStyle name="Normal 2 3 4 2 2 8" xfId="14564"/>
    <cellStyle name="Normal 2 3 4 2 3" xfId="14565"/>
    <cellStyle name="Normal 2 3 4 2 3 2" xfId="14566"/>
    <cellStyle name="Normal 2 3 4 2 3 2 2" xfId="14567"/>
    <cellStyle name="Normal 2 3 4 2 3 2 2 2" xfId="14568"/>
    <cellStyle name="Normal 2 3 4 2 3 2 2 2 2" xfId="14569"/>
    <cellStyle name="Normal 2 3 4 2 3 2 2 2 2 2" xfId="14570"/>
    <cellStyle name="Normal 2 3 4 2 3 2 2 2 2 3" xfId="14571"/>
    <cellStyle name="Normal 2 3 4 2 3 2 2 2 3" xfId="14572"/>
    <cellStyle name="Normal 2 3 4 2 3 2 2 2 4" xfId="14573"/>
    <cellStyle name="Normal 2 3 4 2 3 2 2 3" xfId="14574"/>
    <cellStyle name="Normal 2 3 4 2 3 2 2 3 2" xfId="14575"/>
    <cellStyle name="Normal 2 3 4 2 3 2 2 3 3" xfId="14576"/>
    <cellStyle name="Normal 2 3 4 2 3 2 2 4" xfId="14577"/>
    <cellStyle name="Normal 2 3 4 2 3 2 2 4 2" xfId="14578"/>
    <cellStyle name="Normal 2 3 4 2 3 2 2 4 3" xfId="14579"/>
    <cellStyle name="Normal 2 3 4 2 3 2 2 5" xfId="14580"/>
    <cellStyle name="Normal 2 3 4 2 3 2 2 6" xfId="14581"/>
    <cellStyle name="Normal 2 3 4 2 3 2 3" xfId="14582"/>
    <cellStyle name="Normal 2 3 4 2 3 2 3 2" xfId="14583"/>
    <cellStyle name="Normal 2 3 4 2 3 2 3 2 2" xfId="14584"/>
    <cellStyle name="Normal 2 3 4 2 3 2 3 2 3" xfId="14585"/>
    <cellStyle name="Normal 2 3 4 2 3 2 3 3" xfId="14586"/>
    <cellStyle name="Normal 2 3 4 2 3 2 3 4" xfId="14587"/>
    <cellStyle name="Normal 2 3 4 2 3 2 4" xfId="14588"/>
    <cellStyle name="Normal 2 3 4 2 3 2 4 2" xfId="14589"/>
    <cellStyle name="Normal 2 3 4 2 3 2 4 3" xfId="14590"/>
    <cellStyle name="Normal 2 3 4 2 3 2 5" xfId="14591"/>
    <cellStyle name="Normal 2 3 4 2 3 2 5 2" xfId="14592"/>
    <cellStyle name="Normal 2 3 4 2 3 2 5 3" xfId="14593"/>
    <cellStyle name="Normal 2 3 4 2 3 2 6" xfId="14594"/>
    <cellStyle name="Normal 2 3 4 2 3 2 7" xfId="14595"/>
    <cellStyle name="Normal 2 3 4 2 3 3" xfId="14596"/>
    <cellStyle name="Normal 2 3 4 2 3 3 2" xfId="14597"/>
    <cellStyle name="Normal 2 3 4 2 3 3 2 2" xfId="14598"/>
    <cellStyle name="Normal 2 3 4 2 3 3 2 2 2" xfId="14599"/>
    <cellStyle name="Normal 2 3 4 2 3 3 2 2 3" xfId="14600"/>
    <cellStyle name="Normal 2 3 4 2 3 3 2 3" xfId="14601"/>
    <cellStyle name="Normal 2 3 4 2 3 3 2 4" xfId="14602"/>
    <cellStyle name="Normal 2 3 4 2 3 3 3" xfId="14603"/>
    <cellStyle name="Normal 2 3 4 2 3 3 3 2" xfId="14604"/>
    <cellStyle name="Normal 2 3 4 2 3 3 3 3" xfId="14605"/>
    <cellStyle name="Normal 2 3 4 2 3 3 4" xfId="14606"/>
    <cellStyle name="Normal 2 3 4 2 3 3 4 2" xfId="14607"/>
    <cellStyle name="Normal 2 3 4 2 3 3 4 3" xfId="14608"/>
    <cellStyle name="Normal 2 3 4 2 3 3 5" xfId="14609"/>
    <cellStyle name="Normal 2 3 4 2 3 3 6" xfId="14610"/>
    <cellStyle name="Normal 2 3 4 2 3 4" xfId="14611"/>
    <cellStyle name="Normal 2 3 4 2 3 4 2" xfId="14612"/>
    <cellStyle name="Normal 2 3 4 2 3 4 2 2" xfId="14613"/>
    <cellStyle name="Normal 2 3 4 2 3 4 2 3" xfId="14614"/>
    <cellStyle name="Normal 2 3 4 2 3 4 3" xfId="14615"/>
    <cellStyle name="Normal 2 3 4 2 3 4 4" xfId="14616"/>
    <cellStyle name="Normal 2 3 4 2 3 5" xfId="14617"/>
    <cellStyle name="Normal 2 3 4 2 3 5 2" xfId="14618"/>
    <cellStyle name="Normal 2 3 4 2 3 5 3" xfId="14619"/>
    <cellStyle name="Normal 2 3 4 2 3 6" xfId="14620"/>
    <cellStyle name="Normal 2 3 4 2 3 6 2" xfId="14621"/>
    <cellStyle name="Normal 2 3 4 2 3 6 3" xfId="14622"/>
    <cellStyle name="Normal 2 3 4 2 3 7" xfId="14623"/>
    <cellStyle name="Normal 2 3 4 2 3 8" xfId="14624"/>
    <cellStyle name="Normal 2 3 4 2 4" xfId="14625"/>
    <cellStyle name="Normal 2 3 4 2 4 2" xfId="14626"/>
    <cellStyle name="Normal 2 3 4 2 4 2 2" xfId="14627"/>
    <cellStyle name="Normal 2 3 4 2 4 2 2 2" xfId="14628"/>
    <cellStyle name="Normal 2 3 4 2 4 2 2 2 2" xfId="14629"/>
    <cellStyle name="Normal 2 3 4 2 4 2 2 2 2 2" xfId="14630"/>
    <cellStyle name="Normal 2 3 4 2 4 2 2 2 2 3" xfId="14631"/>
    <cellStyle name="Normal 2 3 4 2 4 2 2 2 3" xfId="14632"/>
    <cellStyle name="Normal 2 3 4 2 4 2 2 2 4" xfId="14633"/>
    <cellStyle name="Normal 2 3 4 2 4 2 2 3" xfId="14634"/>
    <cellStyle name="Normal 2 3 4 2 4 2 2 3 2" xfId="14635"/>
    <cellStyle name="Normal 2 3 4 2 4 2 2 3 3" xfId="14636"/>
    <cellStyle name="Normal 2 3 4 2 4 2 2 4" xfId="14637"/>
    <cellStyle name="Normal 2 3 4 2 4 2 2 4 2" xfId="14638"/>
    <cellStyle name="Normal 2 3 4 2 4 2 2 4 3" xfId="14639"/>
    <cellStyle name="Normal 2 3 4 2 4 2 2 5" xfId="14640"/>
    <cellStyle name="Normal 2 3 4 2 4 2 2 6" xfId="14641"/>
    <cellStyle name="Normal 2 3 4 2 4 2 3" xfId="14642"/>
    <cellStyle name="Normal 2 3 4 2 4 2 3 2" xfId="14643"/>
    <cellStyle name="Normal 2 3 4 2 4 2 3 2 2" xfId="14644"/>
    <cellStyle name="Normal 2 3 4 2 4 2 3 2 3" xfId="14645"/>
    <cellStyle name="Normal 2 3 4 2 4 2 3 3" xfId="14646"/>
    <cellStyle name="Normal 2 3 4 2 4 2 3 4" xfId="14647"/>
    <cellStyle name="Normal 2 3 4 2 4 2 4" xfId="14648"/>
    <cellStyle name="Normal 2 3 4 2 4 2 4 2" xfId="14649"/>
    <cellStyle name="Normal 2 3 4 2 4 2 4 3" xfId="14650"/>
    <cellStyle name="Normal 2 3 4 2 4 2 5" xfId="14651"/>
    <cellStyle name="Normal 2 3 4 2 4 2 5 2" xfId="14652"/>
    <cellStyle name="Normal 2 3 4 2 4 2 5 3" xfId="14653"/>
    <cellStyle name="Normal 2 3 4 2 4 2 6" xfId="14654"/>
    <cellStyle name="Normal 2 3 4 2 4 2 7" xfId="14655"/>
    <cellStyle name="Normal 2 3 4 2 4 3" xfId="14656"/>
    <cellStyle name="Normal 2 3 4 2 4 3 2" xfId="14657"/>
    <cellStyle name="Normal 2 3 4 2 4 3 2 2" xfId="14658"/>
    <cellStyle name="Normal 2 3 4 2 4 3 2 2 2" xfId="14659"/>
    <cellStyle name="Normal 2 3 4 2 4 3 2 2 3" xfId="14660"/>
    <cellStyle name="Normal 2 3 4 2 4 3 2 3" xfId="14661"/>
    <cellStyle name="Normal 2 3 4 2 4 3 2 4" xfId="14662"/>
    <cellStyle name="Normal 2 3 4 2 4 3 3" xfId="14663"/>
    <cellStyle name="Normal 2 3 4 2 4 3 3 2" xfId="14664"/>
    <cellStyle name="Normal 2 3 4 2 4 3 3 3" xfId="14665"/>
    <cellStyle name="Normal 2 3 4 2 4 3 4" xfId="14666"/>
    <cellStyle name="Normal 2 3 4 2 4 3 4 2" xfId="14667"/>
    <cellStyle name="Normal 2 3 4 2 4 3 4 3" xfId="14668"/>
    <cellStyle name="Normal 2 3 4 2 4 3 5" xfId="14669"/>
    <cellStyle name="Normal 2 3 4 2 4 3 6" xfId="14670"/>
    <cellStyle name="Normal 2 3 4 2 4 4" xfId="14671"/>
    <cellStyle name="Normal 2 3 4 2 4 4 2" xfId="14672"/>
    <cellStyle name="Normal 2 3 4 2 4 4 2 2" xfId="14673"/>
    <cellStyle name="Normal 2 3 4 2 4 4 2 3" xfId="14674"/>
    <cellStyle name="Normal 2 3 4 2 4 4 3" xfId="14675"/>
    <cellStyle name="Normal 2 3 4 2 4 4 4" xfId="14676"/>
    <cellStyle name="Normal 2 3 4 2 4 5" xfId="14677"/>
    <cellStyle name="Normal 2 3 4 2 4 5 2" xfId="14678"/>
    <cellStyle name="Normal 2 3 4 2 4 5 3" xfId="14679"/>
    <cellStyle name="Normal 2 3 4 2 4 6" xfId="14680"/>
    <cellStyle name="Normal 2 3 4 2 4 6 2" xfId="14681"/>
    <cellStyle name="Normal 2 3 4 2 4 6 3" xfId="14682"/>
    <cellStyle name="Normal 2 3 4 2 4 7" xfId="14683"/>
    <cellStyle name="Normal 2 3 4 2 4 8" xfId="14684"/>
    <cellStyle name="Normal 2 3 4 2 5" xfId="14685"/>
    <cellStyle name="Normal 2 3 4 2 5 2" xfId="14686"/>
    <cellStyle name="Normal 2 3 4 2 5 2 2" xfId="14687"/>
    <cellStyle name="Normal 2 3 4 2 5 2 2 2" xfId="14688"/>
    <cellStyle name="Normal 2 3 4 2 5 2 2 2 2" xfId="14689"/>
    <cellStyle name="Normal 2 3 4 2 5 2 2 2 3" xfId="14690"/>
    <cellStyle name="Normal 2 3 4 2 5 2 2 3" xfId="14691"/>
    <cellStyle name="Normal 2 3 4 2 5 2 2 4" xfId="14692"/>
    <cellStyle name="Normal 2 3 4 2 5 2 3" xfId="14693"/>
    <cellStyle name="Normal 2 3 4 2 5 2 3 2" xfId="14694"/>
    <cellStyle name="Normal 2 3 4 2 5 2 3 3" xfId="14695"/>
    <cellStyle name="Normal 2 3 4 2 5 2 4" xfId="14696"/>
    <cellStyle name="Normal 2 3 4 2 5 2 4 2" xfId="14697"/>
    <cellStyle name="Normal 2 3 4 2 5 2 4 3" xfId="14698"/>
    <cellStyle name="Normal 2 3 4 2 5 2 5" xfId="14699"/>
    <cellStyle name="Normal 2 3 4 2 5 2 6" xfId="14700"/>
    <cellStyle name="Normal 2 3 4 2 5 3" xfId="14701"/>
    <cellStyle name="Normal 2 3 4 2 5 3 2" xfId="14702"/>
    <cellStyle name="Normal 2 3 4 2 5 3 2 2" xfId="14703"/>
    <cellStyle name="Normal 2 3 4 2 5 3 2 3" xfId="14704"/>
    <cellStyle name="Normal 2 3 4 2 5 3 3" xfId="14705"/>
    <cellStyle name="Normal 2 3 4 2 5 3 4" xfId="14706"/>
    <cellStyle name="Normal 2 3 4 2 5 4" xfId="14707"/>
    <cellStyle name="Normal 2 3 4 2 5 4 2" xfId="14708"/>
    <cellStyle name="Normal 2 3 4 2 5 4 3" xfId="14709"/>
    <cellStyle name="Normal 2 3 4 2 5 5" xfId="14710"/>
    <cellStyle name="Normal 2 3 4 2 5 5 2" xfId="14711"/>
    <cellStyle name="Normal 2 3 4 2 5 5 3" xfId="14712"/>
    <cellStyle name="Normal 2 3 4 2 5 6" xfId="14713"/>
    <cellStyle name="Normal 2 3 4 2 5 7" xfId="14714"/>
    <cellStyle name="Normal 2 3 4 2 6" xfId="14715"/>
    <cellStyle name="Normal 2 3 4 2 6 2" xfId="14716"/>
    <cellStyle name="Normal 2 3 4 2 6 2 2" xfId="14717"/>
    <cellStyle name="Normal 2 3 4 2 6 2 2 2" xfId="14718"/>
    <cellStyle name="Normal 2 3 4 2 6 2 2 3" xfId="14719"/>
    <cellStyle name="Normal 2 3 4 2 6 2 3" xfId="14720"/>
    <cellStyle name="Normal 2 3 4 2 6 2 4" xfId="14721"/>
    <cellStyle name="Normal 2 3 4 2 6 3" xfId="14722"/>
    <cellStyle name="Normal 2 3 4 2 6 3 2" xfId="14723"/>
    <cellStyle name="Normal 2 3 4 2 6 3 3" xfId="14724"/>
    <cellStyle name="Normal 2 3 4 2 6 4" xfId="14725"/>
    <cellStyle name="Normal 2 3 4 2 6 4 2" xfId="14726"/>
    <cellStyle name="Normal 2 3 4 2 6 4 3" xfId="14727"/>
    <cellStyle name="Normal 2 3 4 2 6 5" xfId="14728"/>
    <cellStyle name="Normal 2 3 4 2 6 6" xfId="14729"/>
    <cellStyle name="Normal 2 3 4 2 7" xfId="14730"/>
    <cellStyle name="Normal 2 3 4 2 7 2" xfId="14731"/>
    <cellStyle name="Normal 2 3 4 2 7 2 2" xfId="14732"/>
    <cellStyle name="Normal 2 3 4 2 7 2 3" xfId="14733"/>
    <cellStyle name="Normal 2 3 4 2 7 3" xfId="14734"/>
    <cellStyle name="Normal 2 3 4 2 7 4" xfId="14735"/>
    <cellStyle name="Normal 2 3 4 2 8" xfId="14736"/>
    <cellStyle name="Normal 2 3 4 2 8 2" xfId="14737"/>
    <cellStyle name="Normal 2 3 4 2 8 3" xfId="14738"/>
    <cellStyle name="Normal 2 3 4 2 9" xfId="14739"/>
    <cellStyle name="Normal 2 3 4 2 9 2" xfId="14740"/>
    <cellStyle name="Normal 2 3 4 2 9 3" xfId="14741"/>
    <cellStyle name="Normal 2 3 4 3" xfId="14742"/>
    <cellStyle name="Normal 2 3 4 3 2" xfId="14743"/>
    <cellStyle name="Normal 2 3 4 3 2 2" xfId="14744"/>
    <cellStyle name="Normal 2 3 4 3 2 2 2" xfId="14745"/>
    <cellStyle name="Normal 2 3 4 3 2 2 2 2" xfId="14746"/>
    <cellStyle name="Normal 2 3 4 3 2 2 2 2 2" xfId="14747"/>
    <cellStyle name="Normal 2 3 4 3 2 2 2 2 3" xfId="14748"/>
    <cellStyle name="Normal 2 3 4 3 2 2 2 3" xfId="14749"/>
    <cellStyle name="Normal 2 3 4 3 2 2 2 4" xfId="14750"/>
    <cellStyle name="Normal 2 3 4 3 2 2 3" xfId="14751"/>
    <cellStyle name="Normal 2 3 4 3 2 2 3 2" xfId="14752"/>
    <cellStyle name="Normal 2 3 4 3 2 2 3 3" xfId="14753"/>
    <cellStyle name="Normal 2 3 4 3 2 2 4" xfId="14754"/>
    <cellStyle name="Normal 2 3 4 3 2 2 4 2" xfId="14755"/>
    <cellStyle name="Normal 2 3 4 3 2 2 4 3" xfId="14756"/>
    <cellStyle name="Normal 2 3 4 3 2 2 5" xfId="14757"/>
    <cellStyle name="Normal 2 3 4 3 2 2 6" xfId="14758"/>
    <cellStyle name="Normal 2 3 4 3 2 3" xfId="14759"/>
    <cellStyle name="Normal 2 3 4 3 2 3 2" xfId="14760"/>
    <cellStyle name="Normal 2 3 4 3 2 3 2 2" xfId="14761"/>
    <cellStyle name="Normal 2 3 4 3 2 3 2 3" xfId="14762"/>
    <cellStyle name="Normal 2 3 4 3 2 3 3" xfId="14763"/>
    <cellStyle name="Normal 2 3 4 3 2 3 4" xfId="14764"/>
    <cellStyle name="Normal 2 3 4 3 2 4" xfId="14765"/>
    <cellStyle name="Normal 2 3 4 3 2 4 2" xfId="14766"/>
    <cellStyle name="Normal 2 3 4 3 2 4 3" xfId="14767"/>
    <cellStyle name="Normal 2 3 4 3 2 5" xfId="14768"/>
    <cellStyle name="Normal 2 3 4 3 2 5 2" xfId="14769"/>
    <cellStyle name="Normal 2 3 4 3 2 5 3" xfId="14770"/>
    <cellStyle name="Normal 2 3 4 3 2 6" xfId="14771"/>
    <cellStyle name="Normal 2 3 4 3 2 7" xfId="14772"/>
    <cellStyle name="Normal 2 3 4 3 3" xfId="14773"/>
    <cellStyle name="Normal 2 3 4 3 3 2" xfId="14774"/>
    <cellStyle name="Normal 2 3 4 3 3 2 2" xfId="14775"/>
    <cellStyle name="Normal 2 3 4 3 3 2 2 2" xfId="14776"/>
    <cellStyle name="Normal 2 3 4 3 3 2 2 3" xfId="14777"/>
    <cellStyle name="Normal 2 3 4 3 3 2 3" xfId="14778"/>
    <cellStyle name="Normal 2 3 4 3 3 2 4" xfId="14779"/>
    <cellStyle name="Normal 2 3 4 3 3 3" xfId="14780"/>
    <cellStyle name="Normal 2 3 4 3 3 3 2" xfId="14781"/>
    <cellStyle name="Normal 2 3 4 3 3 3 3" xfId="14782"/>
    <cellStyle name="Normal 2 3 4 3 3 4" xfId="14783"/>
    <cellStyle name="Normal 2 3 4 3 3 4 2" xfId="14784"/>
    <cellStyle name="Normal 2 3 4 3 3 4 3" xfId="14785"/>
    <cellStyle name="Normal 2 3 4 3 3 5" xfId="14786"/>
    <cellStyle name="Normal 2 3 4 3 3 6" xfId="14787"/>
    <cellStyle name="Normal 2 3 4 3 4" xfId="14788"/>
    <cellStyle name="Normal 2 3 4 3 4 2" xfId="14789"/>
    <cellStyle name="Normal 2 3 4 3 4 2 2" xfId="14790"/>
    <cellStyle name="Normal 2 3 4 3 4 2 3" xfId="14791"/>
    <cellStyle name="Normal 2 3 4 3 4 3" xfId="14792"/>
    <cellStyle name="Normal 2 3 4 3 4 4" xfId="14793"/>
    <cellStyle name="Normal 2 3 4 3 5" xfId="14794"/>
    <cellStyle name="Normal 2 3 4 3 5 2" xfId="14795"/>
    <cellStyle name="Normal 2 3 4 3 5 3" xfId="14796"/>
    <cellStyle name="Normal 2 3 4 3 6" xfId="14797"/>
    <cellStyle name="Normal 2 3 4 3 6 2" xfId="14798"/>
    <cellStyle name="Normal 2 3 4 3 6 3" xfId="14799"/>
    <cellStyle name="Normal 2 3 4 3 7" xfId="14800"/>
    <cellStyle name="Normal 2 3 4 3 8" xfId="14801"/>
    <cellStyle name="Normal 2 3 4 4" xfId="14802"/>
    <cellStyle name="Normal 2 3 4 4 2" xfId="14803"/>
    <cellStyle name="Normal 2 3 4 4 2 2" xfId="14804"/>
    <cellStyle name="Normal 2 3 4 4 2 2 2" xfId="14805"/>
    <cellStyle name="Normal 2 3 4 4 2 2 2 2" xfId="14806"/>
    <cellStyle name="Normal 2 3 4 4 2 2 2 2 2" xfId="14807"/>
    <cellStyle name="Normal 2 3 4 4 2 2 2 2 3" xfId="14808"/>
    <cellStyle name="Normal 2 3 4 4 2 2 2 3" xfId="14809"/>
    <cellStyle name="Normal 2 3 4 4 2 2 2 4" xfId="14810"/>
    <cellStyle name="Normal 2 3 4 4 2 2 3" xfId="14811"/>
    <cellStyle name="Normal 2 3 4 4 2 2 3 2" xfId="14812"/>
    <cellStyle name="Normal 2 3 4 4 2 2 3 3" xfId="14813"/>
    <cellStyle name="Normal 2 3 4 4 2 2 4" xfId="14814"/>
    <cellStyle name="Normal 2 3 4 4 2 2 4 2" xfId="14815"/>
    <cellStyle name="Normal 2 3 4 4 2 2 4 3" xfId="14816"/>
    <cellStyle name="Normal 2 3 4 4 2 2 5" xfId="14817"/>
    <cellStyle name="Normal 2 3 4 4 2 2 6" xfId="14818"/>
    <cellStyle name="Normal 2 3 4 4 2 3" xfId="14819"/>
    <cellStyle name="Normal 2 3 4 4 2 3 2" xfId="14820"/>
    <cellStyle name="Normal 2 3 4 4 2 3 2 2" xfId="14821"/>
    <cellStyle name="Normal 2 3 4 4 2 3 2 3" xfId="14822"/>
    <cellStyle name="Normal 2 3 4 4 2 3 3" xfId="14823"/>
    <cellStyle name="Normal 2 3 4 4 2 3 4" xfId="14824"/>
    <cellStyle name="Normal 2 3 4 4 2 4" xfId="14825"/>
    <cellStyle name="Normal 2 3 4 4 2 4 2" xfId="14826"/>
    <cellStyle name="Normal 2 3 4 4 2 4 3" xfId="14827"/>
    <cellStyle name="Normal 2 3 4 4 2 5" xfId="14828"/>
    <cellStyle name="Normal 2 3 4 4 2 5 2" xfId="14829"/>
    <cellStyle name="Normal 2 3 4 4 2 5 3" xfId="14830"/>
    <cellStyle name="Normal 2 3 4 4 2 6" xfId="14831"/>
    <cellStyle name="Normal 2 3 4 4 2 7" xfId="14832"/>
    <cellStyle name="Normal 2 3 4 4 3" xfId="14833"/>
    <cellStyle name="Normal 2 3 4 4 3 2" xfId="14834"/>
    <cellStyle name="Normal 2 3 4 4 3 2 2" xfId="14835"/>
    <cellStyle name="Normal 2 3 4 4 3 2 2 2" xfId="14836"/>
    <cellStyle name="Normal 2 3 4 4 3 2 2 3" xfId="14837"/>
    <cellStyle name="Normal 2 3 4 4 3 2 3" xfId="14838"/>
    <cellStyle name="Normal 2 3 4 4 3 2 4" xfId="14839"/>
    <cellStyle name="Normal 2 3 4 4 3 3" xfId="14840"/>
    <cellStyle name="Normal 2 3 4 4 3 3 2" xfId="14841"/>
    <cellStyle name="Normal 2 3 4 4 3 3 3" xfId="14842"/>
    <cellStyle name="Normal 2 3 4 4 3 4" xfId="14843"/>
    <cellStyle name="Normal 2 3 4 4 3 4 2" xfId="14844"/>
    <cellStyle name="Normal 2 3 4 4 3 4 3" xfId="14845"/>
    <cellStyle name="Normal 2 3 4 4 3 5" xfId="14846"/>
    <cellStyle name="Normal 2 3 4 4 3 6" xfId="14847"/>
    <cellStyle name="Normal 2 3 4 4 4" xfId="14848"/>
    <cellStyle name="Normal 2 3 4 4 4 2" xfId="14849"/>
    <cellStyle name="Normal 2 3 4 4 4 2 2" xfId="14850"/>
    <cellStyle name="Normal 2 3 4 4 4 2 3" xfId="14851"/>
    <cellStyle name="Normal 2 3 4 4 4 3" xfId="14852"/>
    <cellStyle name="Normal 2 3 4 4 4 4" xfId="14853"/>
    <cellStyle name="Normal 2 3 4 4 5" xfId="14854"/>
    <cellStyle name="Normal 2 3 4 4 5 2" xfId="14855"/>
    <cellStyle name="Normal 2 3 4 4 5 3" xfId="14856"/>
    <cellStyle name="Normal 2 3 4 4 6" xfId="14857"/>
    <cellStyle name="Normal 2 3 4 4 6 2" xfId="14858"/>
    <cellStyle name="Normal 2 3 4 4 6 3" xfId="14859"/>
    <cellStyle name="Normal 2 3 4 4 7" xfId="14860"/>
    <cellStyle name="Normal 2 3 4 4 8" xfId="14861"/>
    <cellStyle name="Normal 2 3 4 5" xfId="14862"/>
    <cellStyle name="Normal 2 3 4 5 2" xfId="14863"/>
    <cellStyle name="Normal 2 3 4 5 2 2" xfId="14864"/>
    <cellStyle name="Normal 2 3 4 5 2 2 2" xfId="14865"/>
    <cellStyle name="Normal 2 3 4 5 2 2 2 2" xfId="14866"/>
    <cellStyle name="Normal 2 3 4 5 2 2 2 2 2" xfId="14867"/>
    <cellStyle name="Normal 2 3 4 5 2 2 2 2 3" xfId="14868"/>
    <cellStyle name="Normal 2 3 4 5 2 2 2 3" xfId="14869"/>
    <cellStyle name="Normal 2 3 4 5 2 2 2 4" xfId="14870"/>
    <cellStyle name="Normal 2 3 4 5 2 2 3" xfId="14871"/>
    <cellStyle name="Normal 2 3 4 5 2 2 3 2" xfId="14872"/>
    <cellStyle name="Normal 2 3 4 5 2 2 3 3" xfId="14873"/>
    <cellStyle name="Normal 2 3 4 5 2 2 4" xfId="14874"/>
    <cellStyle name="Normal 2 3 4 5 2 2 4 2" xfId="14875"/>
    <cellStyle name="Normal 2 3 4 5 2 2 4 3" xfId="14876"/>
    <cellStyle name="Normal 2 3 4 5 2 2 5" xfId="14877"/>
    <cellStyle name="Normal 2 3 4 5 2 2 6" xfId="14878"/>
    <cellStyle name="Normal 2 3 4 5 2 3" xfId="14879"/>
    <cellStyle name="Normal 2 3 4 5 2 3 2" xfId="14880"/>
    <cellStyle name="Normal 2 3 4 5 2 3 2 2" xfId="14881"/>
    <cellStyle name="Normal 2 3 4 5 2 3 2 3" xfId="14882"/>
    <cellStyle name="Normal 2 3 4 5 2 3 3" xfId="14883"/>
    <cellStyle name="Normal 2 3 4 5 2 3 4" xfId="14884"/>
    <cellStyle name="Normal 2 3 4 5 2 4" xfId="14885"/>
    <cellStyle name="Normal 2 3 4 5 2 4 2" xfId="14886"/>
    <cellStyle name="Normal 2 3 4 5 2 4 3" xfId="14887"/>
    <cellStyle name="Normal 2 3 4 5 2 5" xfId="14888"/>
    <cellStyle name="Normal 2 3 4 5 2 5 2" xfId="14889"/>
    <cellStyle name="Normal 2 3 4 5 2 5 3" xfId="14890"/>
    <cellStyle name="Normal 2 3 4 5 2 6" xfId="14891"/>
    <cellStyle name="Normal 2 3 4 5 2 7" xfId="14892"/>
    <cellStyle name="Normal 2 3 4 5 3" xfId="14893"/>
    <cellStyle name="Normal 2 3 4 5 3 2" xfId="14894"/>
    <cellStyle name="Normal 2 3 4 5 3 2 2" xfId="14895"/>
    <cellStyle name="Normal 2 3 4 5 3 2 2 2" xfId="14896"/>
    <cellStyle name="Normal 2 3 4 5 3 2 2 3" xfId="14897"/>
    <cellStyle name="Normal 2 3 4 5 3 2 3" xfId="14898"/>
    <cellStyle name="Normal 2 3 4 5 3 2 4" xfId="14899"/>
    <cellStyle name="Normal 2 3 4 5 3 3" xfId="14900"/>
    <cellStyle name="Normal 2 3 4 5 3 3 2" xfId="14901"/>
    <cellStyle name="Normal 2 3 4 5 3 3 3" xfId="14902"/>
    <cellStyle name="Normal 2 3 4 5 3 4" xfId="14903"/>
    <cellStyle name="Normal 2 3 4 5 3 4 2" xfId="14904"/>
    <cellStyle name="Normal 2 3 4 5 3 4 3" xfId="14905"/>
    <cellStyle name="Normal 2 3 4 5 3 5" xfId="14906"/>
    <cellStyle name="Normal 2 3 4 5 3 6" xfId="14907"/>
    <cellStyle name="Normal 2 3 4 5 4" xfId="14908"/>
    <cellStyle name="Normal 2 3 4 5 4 2" xfId="14909"/>
    <cellStyle name="Normal 2 3 4 5 4 2 2" xfId="14910"/>
    <cellStyle name="Normal 2 3 4 5 4 2 3" xfId="14911"/>
    <cellStyle name="Normal 2 3 4 5 4 3" xfId="14912"/>
    <cellStyle name="Normal 2 3 4 5 4 4" xfId="14913"/>
    <cellStyle name="Normal 2 3 4 5 5" xfId="14914"/>
    <cellStyle name="Normal 2 3 4 5 5 2" xfId="14915"/>
    <cellStyle name="Normal 2 3 4 5 5 3" xfId="14916"/>
    <cellStyle name="Normal 2 3 4 5 6" xfId="14917"/>
    <cellStyle name="Normal 2 3 4 5 6 2" xfId="14918"/>
    <cellStyle name="Normal 2 3 4 5 6 3" xfId="14919"/>
    <cellStyle name="Normal 2 3 4 5 7" xfId="14920"/>
    <cellStyle name="Normal 2 3 4 5 8" xfId="14921"/>
    <cellStyle name="Normal 2 3 4 6" xfId="14922"/>
    <cellStyle name="Normal 2 3 4 6 2" xfId="14923"/>
    <cellStyle name="Normal 2 3 4 6 2 2" xfId="14924"/>
    <cellStyle name="Normal 2 3 4 6 2 2 2" xfId="14925"/>
    <cellStyle name="Normal 2 3 4 6 2 2 2 2" xfId="14926"/>
    <cellStyle name="Normal 2 3 4 6 2 2 2 3" xfId="14927"/>
    <cellStyle name="Normal 2 3 4 6 2 2 3" xfId="14928"/>
    <cellStyle name="Normal 2 3 4 6 2 2 4" xfId="14929"/>
    <cellStyle name="Normal 2 3 4 6 2 3" xfId="14930"/>
    <cellStyle name="Normal 2 3 4 6 2 3 2" xfId="14931"/>
    <cellStyle name="Normal 2 3 4 6 2 3 3" xfId="14932"/>
    <cellStyle name="Normal 2 3 4 6 2 4" xfId="14933"/>
    <cellStyle name="Normal 2 3 4 6 2 4 2" xfId="14934"/>
    <cellStyle name="Normal 2 3 4 6 2 4 3" xfId="14935"/>
    <cellStyle name="Normal 2 3 4 6 2 5" xfId="14936"/>
    <cellStyle name="Normal 2 3 4 6 2 6" xfId="14937"/>
    <cellStyle name="Normal 2 3 4 6 3" xfId="14938"/>
    <cellStyle name="Normal 2 3 4 6 3 2" xfId="14939"/>
    <cellStyle name="Normal 2 3 4 6 3 2 2" xfId="14940"/>
    <cellStyle name="Normal 2 3 4 6 3 2 3" xfId="14941"/>
    <cellStyle name="Normal 2 3 4 6 3 3" xfId="14942"/>
    <cellStyle name="Normal 2 3 4 6 3 4" xfId="14943"/>
    <cellStyle name="Normal 2 3 4 6 4" xfId="14944"/>
    <cellStyle name="Normal 2 3 4 6 4 2" xfId="14945"/>
    <cellStyle name="Normal 2 3 4 6 4 3" xfId="14946"/>
    <cellStyle name="Normal 2 3 4 6 5" xfId="14947"/>
    <cellStyle name="Normal 2 3 4 6 5 2" xfId="14948"/>
    <cellStyle name="Normal 2 3 4 6 5 3" xfId="14949"/>
    <cellStyle name="Normal 2 3 4 6 6" xfId="14950"/>
    <cellStyle name="Normal 2 3 4 6 7" xfId="14951"/>
    <cellStyle name="Normal 2 3 4 7" xfId="14952"/>
    <cellStyle name="Normal 2 3 4 7 2" xfId="14953"/>
    <cellStyle name="Normal 2 3 4 7 2 2" xfId="14954"/>
    <cellStyle name="Normal 2 3 4 7 2 2 2" xfId="14955"/>
    <cellStyle name="Normal 2 3 4 7 2 2 3" xfId="14956"/>
    <cellStyle name="Normal 2 3 4 7 2 3" xfId="14957"/>
    <cellStyle name="Normal 2 3 4 7 2 4" xfId="14958"/>
    <cellStyle name="Normal 2 3 4 7 3" xfId="14959"/>
    <cellStyle name="Normal 2 3 4 7 3 2" xfId="14960"/>
    <cellStyle name="Normal 2 3 4 7 3 3" xfId="14961"/>
    <cellStyle name="Normal 2 3 4 7 4" xfId="14962"/>
    <cellStyle name="Normal 2 3 4 7 4 2" xfId="14963"/>
    <cellStyle name="Normal 2 3 4 7 4 3" xfId="14964"/>
    <cellStyle name="Normal 2 3 4 7 5" xfId="14965"/>
    <cellStyle name="Normal 2 3 4 7 6" xfId="14966"/>
    <cellStyle name="Normal 2 3 4 8" xfId="14967"/>
    <cellStyle name="Normal 2 3 4 8 2" xfId="14968"/>
    <cellStyle name="Normal 2 3 4 8 2 2" xfId="14969"/>
    <cellStyle name="Normal 2 3 4 8 2 3" xfId="14970"/>
    <cellStyle name="Normal 2 3 4 8 3" xfId="14971"/>
    <cellStyle name="Normal 2 3 4 8 4" xfId="14972"/>
    <cellStyle name="Normal 2 3 4 9" xfId="14973"/>
    <cellStyle name="Normal 2 3 4 9 2" xfId="14974"/>
    <cellStyle name="Normal 2 3 4 9 3" xfId="14975"/>
    <cellStyle name="Normal 2 3 5" xfId="14976"/>
    <cellStyle name="Normal 2 3 5 10" xfId="14977"/>
    <cellStyle name="Normal 2 3 5 11" xfId="14978"/>
    <cellStyle name="Normal 2 3 5 2" xfId="14979"/>
    <cellStyle name="Normal 2 3 5 2 2" xfId="14980"/>
    <cellStyle name="Normal 2 3 5 2 2 2" xfId="14981"/>
    <cellStyle name="Normal 2 3 5 2 2 2 2" xfId="14982"/>
    <cellStyle name="Normal 2 3 5 2 2 2 2 2" xfId="14983"/>
    <cellStyle name="Normal 2 3 5 2 2 2 2 2 2" xfId="14984"/>
    <cellStyle name="Normal 2 3 5 2 2 2 2 2 3" xfId="14985"/>
    <cellStyle name="Normal 2 3 5 2 2 2 2 3" xfId="14986"/>
    <cellStyle name="Normal 2 3 5 2 2 2 2 4" xfId="14987"/>
    <cellStyle name="Normal 2 3 5 2 2 2 3" xfId="14988"/>
    <cellStyle name="Normal 2 3 5 2 2 2 3 2" xfId="14989"/>
    <cellStyle name="Normal 2 3 5 2 2 2 3 3" xfId="14990"/>
    <cellStyle name="Normal 2 3 5 2 2 2 4" xfId="14991"/>
    <cellStyle name="Normal 2 3 5 2 2 2 4 2" xfId="14992"/>
    <cellStyle name="Normal 2 3 5 2 2 2 4 3" xfId="14993"/>
    <cellStyle name="Normal 2 3 5 2 2 2 5" xfId="14994"/>
    <cellStyle name="Normal 2 3 5 2 2 2 6" xfId="14995"/>
    <cellStyle name="Normal 2 3 5 2 2 3" xfId="14996"/>
    <cellStyle name="Normal 2 3 5 2 2 3 2" xfId="14997"/>
    <cellStyle name="Normal 2 3 5 2 2 3 2 2" xfId="14998"/>
    <cellStyle name="Normal 2 3 5 2 2 3 2 3" xfId="14999"/>
    <cellStyle name="Normal 2 3 5 2 2 3 3" xfId="15000"/>
    <cellStyle name="Normal 2 3 5 2 2 3 4" xfId="15001"/>
    <cellStyle name="Normal 2 3 5 2 2 4" xfId="15002"/>
    <cellStyle name="Normal 2 3 5 2 2 4 2" xfId="15003"/>
    <cellStyle name="Normal 2 3 5 2 2 4 3" xfId="15004"/>
    <cellStyle name="Normal 2 3 5 2 2 5" xfId="15005"/>
    <cellStyle name="Normal 2 3 5 2 2 5 2" xfId="15006"/>
    <cellStyle name="Normal 2 3 5 2 2 5 3" xfId="15007"/>
    <cellStyle name="Normal 2 3 5 2 2 6" xfId="15008"/>
    <cellStyle name="Normal 2 3 5 2 2 7" xfId="15009"/>
    <cellStyle name="Normal 2 3 5 2 3" xfId="15010"/>
    <cellStyle name="Normal 2 3 5 2 3 2" xfId="15011"/>
    <cellStyle name="Normal 2 3 5 2 3 2 2" xfId="15012"/>
    <cellStyle name="Normal 2 3 5 2 3 2 2 2" xfId="15013"/>
    <cellStyle name="Normal 2 3 5 2 3 2 2 3" xfId="15014"/>
    <cellStyle name="Normal 2 3 5 2 3 2 3" xfId="15015"/>
    <cellStyle name="Normal 2 3 5 2 3 2 4" xfId="15016"/>
    <cellStyle name="Normal 2 3 5 2 3 3" xfId="15017"/>
    <cellStyle name="Normal 2 3 5 2 3 3 2" xfId="15018"/>
    <cellStyle name="Normal 2 3 5 2 3 3 3" xfId="15019"/>
    <cellStyle name="Normal 2 3 5 2 3 4" xfId="15020"/>
    <cellStyle name="Normal 2 3 5 2 3 4 2" xfId="15021"/>
    <cellStyle name="Normal 2 3 5 2 3 4 3" xfId="15022"/>
    <cellStyle name="Normal 2 3 5 2 3 5" xfId="15023"/>
    <cellStyle name="Normal 2 3 5 2 3 6" xfId="15024"/>
    <cellStyle name="Normal 2 3 5 2 4" xfId="15025"/>
    <cellStyle name="Normal 2 3 5 2 4 2" xfId="15026"/>
    <cellStyle name="Normal 2 3 5 2 4 2 2" xfId="15027"/>
    <cellStyle name="Normal 2 3 5 2 4 2 3" xfId="15028"/>
    <cellStyle name="Normal 2 3 5 2 4 3" xfId="15029"/>
    <cellStyle name="Normal 2 3 5 2 4 4" xfId="15030"/>
    <cellStyle name="Normal 2 3 5 2 5" xfId="15031"/>
    <cellStyle name="Normal 2 3 5 2 5 2" xfId="15032"/>
    <cellStyle name="Normal 2 3 5 2 5 3" xfId="15033"/>
    <cellStyle name="Normal 2 3 5 2 6" xfId="15034"/>
    <cellStyle name="Normal 2 3 5 2 6 2" xfId="15035"/>
    <cellStyle name="Normal 2 3 5 2 6 3" xfId="15036"/>
    <cellStyle name="Normal 2 3 5 2 7" xfId="15037"/>
    <cellStyle name="Normal 2 3 5 2 8" xfId="15038"/>
    <cellStyle name="Normal 2 3 5 3" xfId="15039"/>
    <cellStyle name="Normal 2 3 5 3 2" xfId="15040"/>
    <cellStyle name="Normal 2 3 5 3 2 2" xfId="15041"/>
    <cellStyle name="Normal 2 3 5 3 2 2 2" xfId="15042"/>
    <cellStyle name="Normal 2 3 5 3 2 2 2 2" xfId="15043"/>
    <cellStyle name="Normal 2 3 5 3 2 2 2 2 2" xfId="15044"/>
    <cellStyle name="Normal 2 3 5 3 2 2 2 2 3" xfId="15045"/>
    <cellStyle name="Normal 2 3 5 3 2 2 2 3" xfId="15046"/>
    <cellStyle name="Normal 2 3 5 3 2 2 2 4" xfId="15047"/>
    <cellStyle name="Normal 2 3 5 3 2 2 3" xfId="15048"/>
    <cellStyle name="Normal 2 3 5 3 2 2 3 2" xfId="15049"/>
    <cellStyle name="Normal 2 3 5 3 2 2 3 3" xfId="15050"/>
    <cellStyle name="Normal 2 3 5 3 2 2 4" xfId="15051"/>
    <cellStyle name="Normal 2 3 5 3 2 2 4 2" xfId="15052"/>
    <cellStyle name="Normal 2 3 5 3 2 2 4 3" xfId="15053"/>
    <cellStyle name="Normal 2 3 5 3 2 2 5" xfId="15054"/>
    <cellStyle name="Normal 2 3 5 3 2 2 6" xfId="15055"/>
    <cellStyle name="Normal 2 3 5 3 2 3" xfId="15056"/>
    <cellStyle name="Normal 2 3 5 3 2 3 2" xfId="15057"/>
    <cellStyle name="Normal 2 3 5 3 2 3 2 2" xfId="15058"/>
    <cellStyle name="Normal 2 3 5 3 2 3 2 3" xfId="15059"/>
    <cellStyle name="Normal 2 3 5 3 2 3 3" xfId="15060"/>
    <cellStyle name="Normal 2 3 5 3 2 3 4" xfId="15061"/>
    <cellStyle name="Normal 2 3 5 3 2 4" xfId="15062"/>
    <cellStyle name="Normal 2 3 5 3 2 4 2" xfId="15063"/>
    <cellStyle name="Normal 2 3 5 3 2 4 3" xfId="15064"/>
    <cellStyle name="Normal 2 3 5 3 2 5" xfId="15065"/>
    <cellStyle name="Normal 2 3 5 3 2 5 2" xfId="15066"/>
    <cellStyle name="Normal 2 3 5 3 2 5 3" xfId="15067"/>
    <cellStyle name="Normal 2 3 5 3 2 6" xfId="15068"/>
    <cellStyle name="Normal 2 3 5 3 2 7" xfId="15069"/>
    <cellStyle name="Normal 2 3 5 3 3" xfId="15070"/>
    <cellStyle name="Normal 2 3 5 3 3 2" xfId="15071"/>
    <cellStyle name="Normal 2 3 5 3 3 2 2" xfId="15072"/>
    <cellStyle name="Normal 2 3 5 3 3 2 2 2" xfId="15073"/>
    <cellStyle name="Normal 2 3 5 3 3 2 2 3" xfId="15074"/>
    <cellStyle name="Normal 2 3 5 3 3 2 3" xfId="15075"/>
    <cellStyle name="Normal 2 3 5 3 3 2 4" xfId="15076"/>
    <cellStyle name="Normal 2 3 5 3 3 3" xfId="15077"/>
    <cellStyle name="Normal 2 3 5 3 3 3 2" xfId="15078"/>
    <cellStyle name="Normal 2 3 5 3 3 3 3" xfId="15079"/>
    <cellStyle name="Normal 2 3 5 3 3 4" xfId="15080"/>
    <cellStyle name="Normal 2 3 5 3 3 4 2" xfId="15081"/>
    <cellStyle name="Normal 2 3 5 3 3 4 3" xfId="15082"/>
    <cellStyle name="Normal 2 3 5 3 3 5" xfId="15083"/>
    <cellStyle name="Normal 2 3 5 3 3 6" xfId="15084"/>
    <cellStyle name="Normal 2 3 5 3 4" xfId="15085"/>
    <cellStyle name="Normal 2 3 5 3 4 2" xfId="15086"/>
    <cellStyle name="Normal 2 3 5 3 4 2 2" xfId="15087"/>
    <cellStyle name="Normal 2 3 5 3 4 2 3" xfId="15088"/>
    <cellStyle name="Normal 2 3 5 3 4 3" xfId="15089"/>
    <cellStyle name="Normal 2 3 5 3 4 4" xfId="15090"/>
    <cellStyle name="Normal 2 3 5 3 5" xfId="15091"/>
    <cellStyle name="Normal 2 3 5 3 5 2" xfId="15092"/>
    <cellStyle name="Normal 2 3 5 3 5 3" xfId="15093"/>
    <cellStyle name="Normal 2 3 5 3 6" xfId="15094"/>
    <cellStyle name="Normal 2 3 5 3 6 2" xfId="15095"/>
    <cellStyle name="Normal 2 3 5 3 6 3" xfId="15096"/>
    <cellStyle name="Normal 2 3 5 3 7" xfId="15097"/>
    <cellStyle name="Normal 2 3 5 3 8" xfId="15098"/>
    <cellStyle name="Normal 2 3 5 4" xfId="15099"/>
    <cellStyle name="Normal 2 3 5 4 2" xfId="15100"/>
    <cellStyle name="Normal 2 3 5 4 2 2" xfId="15101"/>
    <cellStyle name="Normal 2 3 5 4 2 2 2" xfId="15102"/>
    <cellStyle name="Normal 2 3 5 4 2 2 2 2" xfId="15103"/>
    <cellStyle name="Normal 2 3 5 4 2 2 2 2 2" xfId="15104"/>
    <cellStyle name="Normal 2 3 5 4 2 2 2 2 3" xfId="15105"/>
    <cellStyle name="Normal 2 3 5 4 2 2 2 3" xfId="15106"/>
    <cellStyle name="Normal 2 3 5 4 2 2 2 4" xfId="15107"/>
    <cellStyle name="Normal 2 3 5 4 2 2 3" xfId="15108"/>
    <cellStyle name="Normal 2 3 5 4 2 2 3 2" xfId="15109"/>
    <cellStyle name="Normal 2 3 5 4 2 2 3 3" xfId="15110"/>
    <cellStyle name="Normal 2 3 5 4 2 2 4" xfId="15111"/>
    <cellStyle name="Normal 2 3 5 4 2 2 4 2" xfId="15112"/>
    <cellStyle name="Normal 2 3 5 4 2 2 4 3" xfId="15113"/>
    <cellStyle name="Normal 2 3 5 4 2 2 5" xfId="15114"/>
    <cellStyle name="Normal 2 3 5 4 2 2 6" xfId="15115"/>
    <cellStyle name="Normal 2 3 5 4 2 3" xfId="15116"/>
    <cellStyle name="Normal 2 3 5 4 2 3 2" xfId="15117"/>
    <cellStyle name="Normal 2 3 5 4 2 3 2 2" xfId="15118"/>
    <cellStyle name="Normal 2 3 5 4 2 3 2 3" xfId="15119"/>
    <cellStyle name="Normal 2 3 5 4 2 3 3" xfId="15120"/>
    <cellStyle name="Normal 2 3 5 4 2 3 4" xfId="15121"/>
    <cellStyle name="Normal 2 3 5 4 2 4" xfId="15122"/>
    <cellStyle name="Normal 2 3 5 4 2 4 2" xfId="15123"/>
    <cellStyle name="Normal 2 3 5 4 2 4 3" xfId="15124"/>
    <cellStyle name="Normal 2 3 5 4 2 5" xfId="15125"/>
    <cellStyle name="Normal 2 3 5 4 2 5 2" xfId="15126"/>
    <cellStyle name="Normal 2 3 5 4 2 5 3" xfId="15127"/>
    <cellStyle name="Normal 2 3 5 4 2 6" xfId="15128"/>
    <cellStyle name="Normal 2 3 5 4 2 7" xfId="15129"/>
    <cellStyle name="Normal 2 3 5 4 3" xfId="15130"/>
    <cellStyle name="Normal 2 3 5 4 3 2" xfId="15131"/>
    <cellStyle name="Normal 2 3 5 4 3 2 2" xfId="15132"/>
    <cellStyle name="Normal 2 3 5 4 3 2 2 2" xfId="15133"/>
    <cellStyle name="Normal 2 3 5 4 3 2 2 3" xfId="15134"/>
    <cellStyle name="Normal 2 3 5 4 3 2 3" xfId="15135"/>
    <cellStyle name="Normal 2 3 5 4 3 2 4" xfId="15136"/>
    <cellStyle name="Normal 2 3 5 4 3 3" xfId="15137"/>
    <cellStyle name="Normal 2 3 5 4 3 3 2" xfId="15138"/>
    <cellStyle name="Normal 2 3 5 4 3 3 3" xfId="15139"/>
    <cellStyle name="Normal 2 3 5 4 3 4" xfId="15140"/>
    <cellStyle name="Normal 2 3 5 4 3 4 2" xfId="15141"/>
    <cellStyle name="Normal 2 3 5 4 3 4 3" xfId="15142"/>
    <cellStyle name="Normal 2 3 5 4 3 5" xfId="15143"/>
    <cellStyle name="Normal 2 3 5 4 3 6" xfId="15144"/>
    <cellStyle name="Normal 2 3 5 4 4" xfId="15145"/>
    <cellStyle name="Normal 2 3 5 4 4 2" xfId="15146"/>
    <cellStyle name="Normal 2 3 5 4 4 2 2" xfId="15147"/>
    <cellStyle name="Normal 2 3 5 4 4 2 3" xfId="15148"/>
    <cellStyle name="Normal 2 3 5 4 4 3" xfId="15149"/>
    <cellStyle name="Normal 2 3 5 4 4 4" xfId="15150"/>
    <cellStyle name="Normal 2 3 5 4 5" xfId="15151"/>
    <cellStyle name="Normal 2 3 5 4 5 2" xfId="15152"/>
    <cellStyle name="Normal 2 3 5 4 5 3" xfId="15153"/>
    <cellStyle name="Normal 2 3 5 4 6" xfId="15154"/>
    <cellStyle name="Normal 2 3 5 4 6 2" xfId="15155"/>
    <cellStyle name="Normal 2 3 5 4 6 3" xfId="15156"/>
    <cellStyle name="Normal 2 3 5 4 7" xfId="15157"/>
    <cellStyle name="Normal 2 3 5 4 8" xfId="15158"/>
    <cellStyle name="Normal 2 3 5 5" xfId="15159"/>
    <cellStyle name="Normal 2 3 5 5 2" xfId="15160"/>
    <cellStyle name="Normal 2 3 5 5 2 2" xfId="15161"/>
    <cellStyle name="Normal 2 3 5 5 2 2 2" xfId="15162"/>
    <cellStyle name="Normal 2 3 5 5 2 2 2 2" xfId="15163"/>
    <cellStyle name="Normal 2 3 5 5 2 2 2 3" xfId="15164"/>
    <cellStyle name="Normal 2 3 5 5 2 2 3" xfId="15165"/>
    <cellStyle name="Normal 2 3 5 5 2 2 4" xfId="15166"/>
    <cellStyle name="Normal 2 3 5 5 2 3" xfId="15167"/>
    <cellStyle name="Normal 2 3 5 5 2 3 2" xfId="15168"/>
    <cellStyle name="Normal 2 3 5 5 2 3 3" xfId="15169"/>
    <cellStyle name="Normal 2 3 5 5 2 4" xfId="15170"/>
    <cellStyle name="Normal 2 3 5 5 2 4 2" xfId="15171"/>
    <cellStyle name="Normal 2 3 5 5 2 4 3" xfId="15172"/>
    <cellStyle name="Normal 2 3 5 5 2 5" xfId="15173"/>
    <cellStyle name="Normal 2 3 5 5 2 6" xfId="15174"/>
    <cellStyle name="Normal 2 3 5 5 3" xfId="15175"/>
    <cellStyle name="Normal 2 3 5 5 3 2" xfId="15176"/>
    <cellStyle name="Normal 2 3 5 5 3 2 2" xfId="15177"/>
    <cellStyle name="Normal 2 3 5 5 3 2 3" xfId="15178"/>
    <cellStyle name="Normal 2 3 5 5 3 3" xfId="15179"/>
    <cellStyle name="Normal 2 3 5 5 3 4" xfId="15180"/>
    <cellStyle name="Normal 2 3 5 5 4" xfId="15181"/>
    <cellStyle name="Normal 2 3 5 5 4 2" xfId="15182"/>
    <cellStyle name="Normal 2 3 5 5 4 3" xfId="15183"/>
    <cellStyle name="Normal 2 3 5 5 5" xfId="15184"/>
    <cellStyle name="Normal 2 3 5 5 5 2" xfId="15185"/>
    <cellStyle name="Normal 2 3 5 5 5 3" xfId="15186"/>
    <cellStyle name="Normal 2 3 5 5 6" xfId="15187"/>
    <cellStyle name="Normal 2 3 5 5 7" xfId="15188"/>
    <cellStyle name="Normal 2 3 5 6" xfId="15189"/>
    <cellStyle name="Normal 2 3 5 6 2" xfId="15190"/>
    <cellStyle name="Normal 2 3 5 6 2 2" xfId="15191"/>
    <cellStyle name="Normal 2 3 5 6 2 2 2" xfId="15192"/>
    <cellStyle name="Normal 2 3 5 6 2 2 3" xfId="15193"/>
    <cellStyle name="Normal 2 3 5 6 2 3" xfId="15194"/>
    <cellStyle name="Normal 2 3 5 6 2 4" xfId="15195"/>
    <cellStyle name="Normal 2 3 5 6 3" xfId="15196"/>
    <cellStyle name="Normal 2 3 5 6 3 2" xfId="15197"/>
    <cellStyle name="Normal 2 3 5 6 3 3" xfId="15198"/>
    <cellStyle name="Normal 2 3 5 6 4" xfId="15199"/>
    <cellStyle name="Normal 2 3 5 6 4 2" xfId="15200"/>
    <cellStyle name="Normal 2 3 5 6 4 3" xfId="15201"/>
    <cellStyle name="Normal 2 3 5 6 5" xfId="15202"/>
    <cellStyle name="Normal 2 3 5 6 6" xfId="15203"/>
    <cellStyle name="Normal 2 3 5 7" xfId="15204"/>
    <cellStyle name="Normal 2 3 5 7 2" xfId="15205"/>
    <cellStyle name="Normal 2 3 5 7 2 2" xfId="15206"/>
    <cellStyle name="Normal 2 3 5 7 2 3" xfId="15207"/>
    <cellStyle name="Normal 2 3 5 7 3" xfId="15208"/>
    <cellStyle name="Normal 2 3 5 7 4" xfId="15209"/>
    <cellStyle name="Normal 2 3 5 8" xfId="15210"/>
    <cellStyle name="Normal 2 3 5 8 2" xfId="15211"/>
    <cellStyle name="Normal 2 3 5 8 3" xfId="15212"/>
    <cellStyle name="Normal 2 3 5 9" xfId="15213"/>
    <cellStyle name="Normal 2 3 5 9 2" xfId="15214"/>
    <cellStyle name="Normal 2 3 5 9 3" xfId="15215"/>
    <cellStyle name="Normal 2 3 6" xfId="15216"/>
    <cellStyle name="Normal 2 3 6 2" xfId="15217"/>
    <cellStyle name="Normal 2 3 6 2 2" xfId="15218"/>
    <cellStyle name="Normal 2 3 6 2 2 2" xfId="15219"/>
    <cellStyle name="Normal 2 3 6 2 2 2 2" xfId="15220"/>
    <cellStyle name="Normal 2 3 6 2 2 2 2 2" xfId="15221"/>
    <cellStyle name="Normal 2 3 6 2 2 2 2 3" xfId="15222"/>
    <cellStyle name="Normal 2 3 6 2 2 2 3" xfId="15223"/>
    <cellStyle name="Normal 2 3 6 2 2 2 4" xfId="15224"/>
    <cellStyle name="Normal 2 3 6 2 2 3" xfId="15225"/>
    <cellStyle name="Normal 2 3 6 2 2 3 2" xfId="15226"/>
    <cellStyle name="Normal 2 3 6 2 2 3 3" xfId="15227"/>
    <cellStyle name="Normal 2 3 6 2 2 4" xfId="15228"/>
    <cellStyle name="Normal 2 3 6 2 2 4 2" xfId="15229"/>
    <cellStyle name="Normal 2 3 6 2 2 4 3" xfId="15230"/>
    <cellStyle name="Normal 2 3 6 2 2 5" xfId="15231"/>
    <cellStyle name="Normal 2 3 6 2 2 6" xfId="15232"/>
    <cellStyle name="Normal 2 3 6 2 3" xfId="15233"/>
    <cellStyle name="Normal 2 3 6 2 3 2" xfId="15234"/>
    <cellStyle name="Normal 2 3 6 2 3 2 2" xfId="15235"/>
    <cellStyle name="Normal 2 3 6 2 3 2 3" xfId="15236"/>
    <cellStyle name="Normal 2 3 6 2 3 3" xfId="15237"/>
    <cellStyle name="Normal 2 3 6 2 3 4" xfId="15238"/>
    <cellStyle name="Normal 2 3 6 2 4" xfId="15239"/>
    <cellStyle name="Normal 2 3 6 2 4 2" xfId="15240"/>
    <cellStyle name="Normal 2 3 6 2 4 3" xfId="15241"/>
    <cellStyle name="Normal 2 3 6 2 5" xfId="15242"/>
    <cellStyle name="Normal 2 3 6 2 5 2" xfId="15243"/>
    <cellStyle name="Normal 2 3 6 2 5 3" xfId="15244"/>
    <cellStyle name="Normal 2 3 6 2 6" xfId="15245"/>
    <cellStyle name="Normal 2 3 6 2 7" xfId="15246"/>
    <cellStyle name="Normal 2 3 6 3" xfId="15247"/>
    <cellStyle name="Normal 2 3 6 3 2" xfId="15248"/>
    <cellStyle name="Normal 2 3 6 3 2 2" xfId="15249"/>
    <cellStyle name="Normal 2 3 6 3 2 2 2" xfId="15250"/>
    <cellStyle name="Normal 2 3 6 3 2 2 3" xfId="15251"/>
    <cellStyle name="Normal 2 3 6 3 2 3" xfId="15252"/>
    <cellStyle name="Normal 2 3 6 3 2 4" xfId="15253"/>
    <cellStyle name="Normal 2 3 6 3 3" xfId="15254"/>
    <cellStyle name="Normal 2 3 6 3 3 2" xfId="15255"/>
    <cellStyle name="Normal 2 3 6 3 3 3" xfId="15256"/>
    <cellStyle name="Normal 2 3 6 3 4" xfId="15257"/>
    <cellStyle name="Normal 2 3 6 3 4 2" xfId="15258"/>
    <cellStyle name="Normal 2 3 6 3 4 3" xfId="15259"/>
    <cellStyle name="Normal 2 3 6 3 5" xfId="15260"/>
    <cellStyle name="Normal 2 3 6 3 6" xfId="15261"/>
    <cellStyle name="Normal 2 3 6 4" xfId="15262"/>
    <cellStyle name="Normal 2 3 6 4 2" xfId="15263"/>
    <cellStyle name="Normal 2 3 6 4 2 2" xfId="15264"/>
    <cellStyle name="Normal 2 3 6 4 2 3" xfId="15265"/>
    <cellStyle name="Normal 2 3 6 4 3" xfId="15266"/>
    <cellStyle name="Normal 2 3 6 4 4" xfId="15267"/>
    <cellStyle name="Normal 2 3 6 5" xfId="15268"/>
    <cellStyle name="Normal 2 3 6 5 2" xfId="15269"/>
    <cellStyle name="Normal 2 3 6 5 3" xfId="15270"/>
    <cellStyle name="Normal 2 3 6 6" xfId="15271"/>
    <cellStyle name="Normal 2 3 6 6 2" xfId="15272"/>
    <cellStyle name="Normal 2 3 6 6 3" xfId="15273"/>
    <cellStyle name="Normal 2 3 6 7" xfId="15274"/>
    <cellStyle name="Normal 2 3 6 8" xfId="15275"/>
    <cellStyle name="Normal 2 3 7" xfId="15276"/>
    <cellStyle name="Normal 2 3 7 2" xfId="15277"/>
    <cellStyle name="Normal 2 3 7 2 2" xfId="15278"/>
    <cellStyle name="Normal 2 3 7 2 2 2" xfId="15279"/>
    <cellStyle name="Normal 2 3 7 2 2 2 2" xfId="15280"/>
    <cellStyle name="Normal 2 3 7 2 2 2 2 2" xfId="15281"/>
    <cellStyle name="Normal 2 3 7 2 2 2 2 3" xfId="15282"/>
    <cellStyle name="Normal 2 3 7 2 2 2 3" xfId="15283"/>
    <cellStyle name="Normal 2 3 7 2 2 2 4" xfId="15284"/>
    <cellStyle name="Normal 2 3 7 2 2 3" xfId="15285"/>
    <cellStyle name="Normal 2 3 7 2 2 3 2" xfId="15286"/>
    <cellStyle name="Normal 2 3 7 2 2 3 3" xfId="15287"/>
    <cellStyle name="Normal 2 3 7 2 2 4" xfId="15288"/>
    <cellStyle name="Normal 2 3 7 2 2 4 2" xfId="15289"/>
    <cellStyle name="Normal 2 3 7 2 2 4 3" xfId="15290"/>
    <cellStyle name="Normal 2 3 7 2 2 5" xfId="15291"/>
    <cellStyle name="Normal 2 3 7 2 2 6" xfId="15292"/>
    <cellStyle name="Normal 2 3 7 2 3" xfId="15293"/>
    <cellStyle name="Normal 2 3 7 2 3 2" xfId="15294"/>
    <cellStyle name="Normal 2 3 7 2 3 2 2" xfId="15295"/>
    <cellStyle name="Normal 2 3 7 2 3 2 3" xfId="15296"/>
    <cellStyle name="Normal 2 3 7 2 3 3" xfId="15297"/>
    <cellStyle name="Normal 2 3 7 2 3 4" xfId="15298"/>
    <cellStyle name="Normal 2 3 7 2 4" xfId="15299"/>
    <cellStyle name="Normal 2 3 7 2 4 2" xfId="15300"/>
    <cellStyle name="Normal 2 3 7 2 4 3" xfId="15301"/>
    <cellStyle name="Normal 2 3 7 2 5" xfId="15302"/>
    <cellStyle name="Normal 2 3 7 2 5 2" xfId="15303"/>
    <cellStyle name="Normal 2 3 7 2 5 3" xfId="15304"/>
    <cellStyle name="Normal 2 3 7 2 6" xfId="15305"/>
    <cellStyle name="Normal 2 3 7 2 7" xfId="15306"/>
    <cellStyle name="Normal 2 3 7 3" xfId="15307"/>
    <cellStyle name="Normal 2 3 7 3 2" xfId="15308"/>
    <cellStyle name="Normal 2 3 7 3 2 2" xfId="15309"/>
    <cellStyle name="Normal 2 3 7 3 2 2 2" xfId="15310"/>
    <cellStyle name="Normal 2 3 7 3 2 2 3" xfId="15311"/>
    <cellStyle name="Normal 2 3 7 3 2 3" xfId="15312"/>
    <cellStyle name="Normal 2 3 7 3 2 4" xfId="15313"/>
    <cellStyle name="Normal 2 3 7 3 3" xfId="15314"/>
    <cellStyle name="Normal 2 3 7 3 3 2" xfId="15315"/>
    <cellStyle name="Normal 2 3 7 3 3 3" xfId="15316"/>
    <cellStyle name="Normal 2 3 7 3 4" xfId="15317"/>
    <cellStyle name="Normal 2 3 7 3 4 2" xfId="15318"/>
    <cellStyle name="Normal 2 3 7 3 4 3" xfId="15319"/>
    <cellStyle name="Normal 2 3 7 3 5" xfId="15320"/>
    <cellStyle name="Normal 2 3 7 3 6" xfId="15321"/>
    <cellStyle name="Normal 2 3 7 4" xfId="15322"/>
    <cellStyle name="Normal 2 3 7 4 2" xfId="15323"/>
    <cellStyle name="Normal 2 3 7 4 2 2" xfId="15324"/>
    <cellStyle name="Normal 2 3 7 4 2 3" xfId="15325"/>
    <cellStyle name="Normal 2 3 7 4 3" xfId="15326"/>
    <cellStyle name="Normal 2 3 7 4 4" xfId="15327"/>
    <cellStyle name="Normal 2 3 7 5" xfId="15328"/>
    <cellStyle name="Normal 2 3 7 5 2" xfId="15329"/>
    <cellStyle name="Normal 2 3 7 5 3" xfId="15330"/>
    <cellStyle name="Normal 2 3 7 6" xfId="15331"/>
    <cellStyle name="Normal 2 3 7 6 2" xfId="15332"/>
    <cellStyle name="Normal 2 3 7 6 3" xfId="15333"/>
    <cellStyle name="Normal 2 3 7 7" xfId="15334"/>
    <cellStyle name="Normal 2 3 7 8" xfId="15335"/>
    <cellStyle name="Normal 2 3 8" xfId="15336"/>
    <cellStyle name="Normal 2 3 8 2" xfId="15337"/>
    <cellStyle name="Normal 2 3 8 2 2" xfId="15338"/>
    <cellStyle name="Normal 2 3 8 2 2 2" xfId="15339"/>
    <cellStyle name="Normal 2 3 8 2 2 2 2" xfId="15340"/>
    <cellStyle name="Normal 2 3 8 2 2 2 2 2" xfId="15341"/>
    <cellStyle name="Normal 2 3 8 2 2 2 2 3" xfId="15342"/>
    <cellStyle name="Normal 2 3 8 2 2 2 3" xfId="15343"/>
    <cellStyle name="Normal 2 3 8 2 2 2 4" xfId="15344"/>
    <cellStyle name="Normal 2 3 8 2 2 3" xfId="15345"/>
    <cellStyle name="Normal 2 3 8 2 2 3 2" xfId="15346"/>
    <cellStyle name="Normal 2 3 8 2 2 3 3" xfId="15347"/>
    <cellStyle name="Normal 2 3 8 2 2 4" xfId="15348"/>
    <cellStyle name="Normal 2 3 8 2 2 4 2" xfId="15349"/>
    <cellStyle name="Normal 2 3 8 2 2 4 3" xfId="15350"/>
    <cellStyle name="Normal 2 3 8 2 2 5" xfId="15351"/>
    <cellStyle name="Normal 2 3 8 2 2 6" xfId="15352"/>
    <cellStyle name="Normal 2 3 8 2 3" xfId="15353"/>
    <cellStyle name="Normal 2 3 8 2 3 2" xfId="15354"/>
    <cellStyle name="Normal 2 3 8 2 3 2 2" xfId="15355"/>
    <cellStyle name="Normal 2 3 8 2 3 2 3" xfId="15356"/>
    <cellStyle name="Normal 2 3 8 2 3 3" xfId="15357"/>
    <cellStyle name="Normal 2 3 8 2 3 4" xfId="15358"/>
    <cellStyle name="Normal 2 3 8 2 4" xfId="15359"/>
    <cellStyle name="Normal 2 3 8 2 4 2" xfId="15360"/>
    <cellStyle name="Normal 2 3 8 2 4 3" xfId="15361"/>
    <cellStyle name="Normal 2 3 8 2 5" xfId="15362"/>
    <cellStyle name="Normal 2 3 8 2 5 2" xfId="15363"/>
    <cellStyle name="Normal 2 3 8 2 5 3" xfId="15364"/>
    <cellStyle name="Normal 2 3 8 2 6" xfId="15365"/>
    <cellStyle name="Normal 2 3 8 2 7" xfId="15366"/>
    <cellStyle name="Normal 2 3 8 3" xfId="15367"/>
    <cellStyle name="Normal 2 3 8 3 2" xfId="15368"/>
    <cellStyle name="Normal 2 3 8 3 2 2" xfId="15369"/>
    <cellStyle name="Normal 2 3 8 3 2 2 2" xfId="15370"/>
    <cellStyle name="Normal 2 3 8 3 2 2 3" xfId="15371"/>
    <cellStyle name="Normal 2 3 8 3 2 3" xfId="15372"/>
    <cellStyle name="Normal 2 3 8 3 2 4" xfId="15373"/>
    <cellStyle name="Normal 2 3 8 3 3" xfId="15374"/>
    <cellStyle name="Normal 2 3 8 3 3 2" xfId="15375"/>
    <cellStyle name="Normal 2 3 8 3 3 3" xfId="15376"/>
    <cellStyle name="Normal 2 3 8 3 4" xfId="15377"/>
    <cellStyle name="Normal 2 3 8 3 4 2" xfId="15378"/>
    <cellStyle name="Normal 2 3 8 3 4 3" xfId="15379"/>
    <cellStyle name="Normal 2 3 8 3 5" xfId="15380"/>
    <cellStyle name="Normal 2 3 8 3 6" xfId="15381"/>
    <cellStyle name="Normal 2 3 8 4" xfId="15382"/>
    <cellStyle name="Normal 2 3 8 4 2" xfId="15383"/>
    <cellStyle name="Normal 2 3 8 4 2 2" xfId="15384"/>
    <cellStyle name="Normal 2 3 8 4 2 3" xfId="15385"/>
    <cellStyle name="Normal 2 3 8 4 3" xfId="15386"/>
    <cellStyle name="Normal 2 3 8 4 4" xfId="15387"/>
    <cellStyle name="Normal 2 3 8 5" xfId="15388"/>
    <cellStyle name="Normal 2 3 8 5 2" xfId="15389"/>
    <cellStyle name="Normal 2 3 8 5 3" xfId="15390"/>
    <cellStyle name="Normal 2 3 8 6" xfId="15391"/>
    <cellStyle name="Normal 2 3 8 6 2" xfId="15392"/>
    <cellStyle name="Normal 2 3 8 6 3" xfId="15393"/>
    <cellStyle name="Normal 2 3 8 7" xfId="15394"/>
    <cellStyle name="Normal 2 3 8 8" xfId="15395"/>
    <cellStyle name="Normal 2 3 9" xfId="15396"/>
    <cellStyle name="Normal 2 3 9 2" xfId="15397"/>
    <cellStyle name="Normal 2 3 9 2 2" xfId="15398"/>
    <cellStyle name="Normal 2 3 9 2 2 2" xfId="15399"/>
    <cellStyle name="Normal 2 3 9 2 2 2 2" xfId="15400"/>
    <cellStyle name="Normal 2 3 9 2 2 2 3" xfId="15401"/>
    <cellStyle name="Normal 2 3 9 2 2 3" xfId="15402"/>
    <cellStyle name="Normal 2 3 9 2 2 4" xfId="15403"/>
    <cellStyle name="Normal 2 3 9 2 3" xfId="15404"/>
    <cellStyle name="Normal 2 3 9 2 3 2" xfId="15405"/>
    <cellStyle name="Normal 2 3 9 2 3 3" xfId="15406"/>
    <cellStyle name="Normal 2 3 9 2 4" xfId="15407"/>
    <cellStyle name="Normal 2 3 9 2 4 2" xfId="15408"/>
    <cellStyle name="Normal 2 3 9 2 4 3" xfId="15409"/>
    <cellStyle name="Normal 2 3 9 2 5" xfId="15410"/>
    <cellStyle name="Normal 2 3 9 2 6" xfId="15411"/>
    <cellStyle name="Normal 2 3 9 3" xfId="15412"/>
    <cellStyle name="Normal 2 3 9 3 2" xfId="15413"/>
    <cellStyle name="Normal 2 3 9 3 2 2" xfId="15414"/>
    <cellStyle name="Normal 2 3 9 3 2 3" xfId="15415"/>
    <cellStyle name="Normal 2 3 9 3 3" xfId="15416"/>
    <cellStyle name="Normal 2 3 9 3 4" xfId="15417"/>
    <cellStyle name="Normal 2 3 9 4" xfId="15418"/>
    <cellStyle name="Normal 2 3 9 4 2" xfId="15419"/>
    <cellStyle name="Normal 2 3 9 4 3" xfId="15420"/>
    <cellStyle name="Normal 2 3 9 5" xfId="15421"/>
    <cellStyle name="Normal 2 3 9 5 2" xfId="15422"/>
    <cellStyle name="Normal 2 3 9 5 3" xfId="15423"/>
    <cellStyle name="Normal 2 3 9 6" xfId="15424"/>
    <cellStyle name="Normal 2 3 9 7" xfId="15425"/>
    <cellStyle name="Normal 2 4" xfId="15426"/>
    <cellStyle name="Normal 2 4 2" xfId="15427"/>
    <cellStyle name="Normal 2 4 2 2" xfId="15428"/>
    <cellStyle name="Normal 2 4 2 2 2" xfId="15429"/>
    <cellStyle name="Normal 2 4 2 2 2 2" xfId="15430"/>
    <cellStyle name="Normal 2 4 2 2 3" xfId="15431"/>
    <cellStyle name="Normal 2 4 2 2 4" xfId="15432"/>
    <cellStyle name="Normal 2 4 2 3" xfId="15433"/>
    <cellStyle name="Normal 2 4 2 3 2" xfId="15434"/>
    <cellStyle name="Normal 2 4 2 4" xfId="15435"/>
    <cellStyle name="Normal 2 4 2 5" xfId="15436"/>
    <cellStyle name="Normal 2 4 3" xfId="15437"/>
    <cellStyle name="Normal 2 4 3 2" xfId="15438"/>
    <cellStyle name="Normal 2 4 3 2 2" xfId="15439"/>
    <cellStyle name="Normal 2 4 3 3" xfId="15440"/>
    <cellStyle name="Normal 2 4 3 4" xfId="15441"/>
    <cellStyle name="Normal 2 4 4" xfId="15442"/>
    <cellStyle name="Normal 2 4 4 2" xfId="15443"/>
    <cellStyle name="Normal 2 4 4 2 2" xfId="15444"/>
    <cellStyle name="Normal 2 4 4 3" xfId="15445"/>
    <cellStyle name="Normal 2 4 4 4" xfId="15446"/>
    <cellStyle name="Normal 2 4 5" xfId="15447"/>
    <cellStyle name="Normal 2 4 5 2" xfId="15448"/>
    <cellStyle name="Normal 2 4 5 2 2" xfId="15449"/>
    <cellStyle name="Normal 2 4 5 3" xfId="15450"/>
    <cellStyle name="Normal 2 4 5 4" xfId="15451"/>
    <cellStyle name="Normal 2 4 6" xfId="15452"/>
    <cellStyle name="Normal 2 4 6 2" xfId="15453"/>
    <cellStyle name="Normal 2 4 7" xfId="15454"/>
    <cellStyle name="Normal 2 4 8" xfId="15455"/>
    <cellStyle name="Normal 2 4 9" xfId="15456"/>
    <cellStyle name="Normal 2 5" xfId="15457"/>
    <cellStyle name="Normal 2 5 10" xfId="15458"/>
    <cellStyle name="Normal 2 5 10 2" xfId="15459"/>
    <cellStyle name="Normal 2 5 10 2 2" xfId="15460"/>
    <cellStyle name="Normal 2 5 10 3" xfId="15461"/>
    <cellStyle name="Normal 2 5 10 3 2" xfId="15462"/>
    <cellStyle name="Normal 2 5 10 4" xfId="15463"/>
    <cellStyle name="Normal 2 5 11" xfId="15464"/>
    <cellStyle name="Normal 2 5 11 2" xfId="15465"/>
    <cellStyle name="Normal 2 5 11 3" xfId="15466"/>
    <cellStyle name="Normal 2 5 12" xfId="15467"/>
    <cellStyle name="Normal 2 5 12 2" xfId="15468"/>
    <cellStyle name="Normal 2 5 13" xfId="15469"/>
    <cellStyle name="Normal 2 5 13 2" xfId="15470"/>
    <cellStyle name="Normal 2 5 14" xfId="15471"/>
    <cellStyle name="Normal 2 5 15" xfId="15472"/>
    <cellStyle name="Normal 2 5 2" xfId="15473"/>
    <cellStyle name="Normal 2 5 2 10" xfId="15474"/>
    <cellStyle name="Normal 2 5 2 10 2" xfId="15475"/>
    <cellStyle name="Normal 2 5 2 11" xfId="15476"/>
    <cellStyle name="Normal 2 5 2 11 2" xfId="15477"/>
    <cellStyle name="Normal 2 5 2 12" xfId="15478"/>
    <cellStyle name="Normal 2 5 2 2" xfId="15479"/>
    <cellStyle name="Normal 2 5 2 2 10" xfId="15480"/>
    <cellStyle name="Normal 2 5 2 2 2" xfId="15481"/>
    <cellStyle name="Normal 2 5 2 2 2 2" xfId="15482"/>
    <cellStyle name="Normal 2 5 2 2 2 2 2" xfId="15483"/>
    <cellStyle name="Normal 2 5 2 2 2 2 2 2" xfId="15484"/>
    <cellStyle name="Normal 2 5 2 2 2 2 2 3" xfId="15485"/>
    <cellStyle name="Normal 2 5 2 2 2 2 3" xfId="15486"/>
    <cellStyle name="Normal 2 5 2 2 2 2 3 2" xfId="15487"/>
    <cellStyle name="Normal 2 5 2 2 2 2 4" xfId="15488"/>
    <cellStyle name="Normal 2 5 2 2 2 2 4 2" xfId="15489"/>
    <cellStyle name="Normal 2 5 2 2 2 2 5" xfId="15490"/>
    <cellStyle name="Normal 2 5 2 2 2 3" xfId="15491"/>
    <cellStyle name="Normal 2 5 2 2 2 3 2" xfId="15492"/>
    <cellStyle name="Normal 2 5 2 2 2 3 2 2" xfId="15493"/>
    <cellStyle name="Normal 2 5 2 2 2 3 3" xfId="15494"/>
    <cellStyle name="Normal 2 5 2 2 2 3 3 2" xfId="15495"/>
    <cellStyle name="Normal 2 5 2 2 2 3 4" xfId="15496"/>
    <cellStyle name="Normal 2 5 2 2 2 4" xfId="15497"/>
    <cellStyle name="Normal 2 5 2 2 2 4 2" xfId="15498"/>
    <cellStyle name="Normal 2 5 2 2 2 4 3" xfId="15499"/>
    <cellStyle name="Normal 2 5 2 2 2 5" xfId="15500"/>
    <cellStyle name="Normal 2 5 2 2 2 5 2" xfId="15501"/>
    <cellStyle name="Normal 2 5 2 2 2 6" xfId="15502"/>
    <cellStyle name="Normal 2 5 2 2 2 6 2" xfId="15503"/>
    <cellStyle name="Normal 2 5 2 2 2 7" xfId="15504"/>
    <cellStyle name="Normal 2 5 2 2 3" xfId="15505"/>
    <cellStyle name="Normal 2 5 2 2 3 2" xfId="15506"/>
    <cellStyle name="Normal 2 5 2 2 3 2 2" xfId="15507"/>
    <cellStyle name="Normal 2 5 2 2 3 2 2 2" xfId="15508"/>
    <cellStyle name="Normal 2 5 2 2 3 2 2 3" xfId="15509"/>
    <cellStyle name="Normal 2 5 2 2 3 2 3" xfId="15510"/>
    <cellStyle name="Normal 2 5 2 2 3 2 3 2" xfId="15511"/>
    <cellStyle name="Normal 2 5 2 2 3 2 4" xfId="15512"/>
    <cellStyle name="Normal 2 5 2 2 3 2 4 2" xfId="15513"/>
    <cellStyle name="Normal 2 5 2 2 3 2 5" xfId="15514"/>
    <cellStyle name="Normal 2 5 2 2 3 3" xfId="15515"/>
    <cellStyle name="Normal 2 5 2 2 3 3 2" xfId="15516"/>
    <cellStyle name="Normal 2 5 2 2 3 3 2 2" xfId="15517"/>
    <cellStyle name="Normal 2 5 2 2 3 3 3" xfId="15518"/>
    <cellStyle name="Normal 2 5 2 2 3 3 3 2" xfId="15519"/>
    <cellStyle name="Normal 2 5 2 2 3 3 4" xfId="15520"/>
    <cellStyle name="Normal 2 5 2 2 3 4" xfId="15521"/>
    <cellStyle name="Normal 2 5 2 2 3 4 2" xfId="15522"/>
    <cellStyle name="Normal 2 5 2 2 3 4 3" xfId="15523"/>
    <cellStyle name="Normal 2 5 2 2 3 5" xfId="15524"/>
    <cellStyle name="Normal 2 5 2 2 3 5 2" xfId="15525"/>
    <cellStyle name="Normal 2 5 2 2 3 6" xfId="15526"/>
    <cellStyle name="Normal 2 5 2 2 3 6 2" xfId="15527"/>
    <cellStyle name="Normal 2 5 2 2 3 7" xfId="15528"/>
    <cellStyle name="Normal 2 5 2 2 4" xfId="15529"/>
    <cellStyle name="Normal 2 5 2 2 4 2" xfId="15530"/>
    <cellStyle name="Normal 2 5 2 2 4 2 2" xfId="15531"/>
    <cellStyle name="Normal 2 5 2 2 4 2 2 2" xfId="15532"/>
    <cellStyle name="Normal 2 5 2 2 4 2 3" xfId="15533"/>
    <cellStyle name="Normal 2 5 2 2 4 2 3 2" xfId="15534"/>
    <cellStyle name="Normal 2 5 2 2 4 2 4" xfId="15535"/>
    <cellStyle name="Normal 2 5 2 2 4 3" xfId="15536"/>
    <cellStyle name="Normal 2 5 2 2 4 3 2" xfId="15537"/>
    <cellStyle name="Normal 2 5 2 2 4 3 3" xfId="15538"/>
    <cellStyle name="Normal 2 5 2 2 4 4" xfId="15539"/>
    <cellStyle name="Normal 2 5 2 2 4 4 2" xfId="15540"/>
    <cellStyle name="Normal 2 5 2 2 4 5" xfId="15541"/>
    <cellStyle name="Normal 2 5 2 2 4 5 2" xfId="15542"/>
    <cellStyle name="Normal 2 5 2 2 4 6" xfId="15543"/>
    <cellStyle name="Normal 2 5 2 2 5" xfId="15544"/>
    <cellStyle name="Normal 2 5 2 2 5 2" xfId="15545"/>
    <cellStyle name="Normal 2 5 2 2 5 2 2" xfId="15546"/>
    <cellStyle name="Normal 2 5 2 2 5 3" xfId="15547"/>
    <cellStyle name="Normal 2 5 2 2 5 3 2" xfId="15548"/>
    <cellStyle name="Normal 2 5 2 2 5 4" xfId="15549"/>
    <cellStyle name="Normal 2 5 2 2 6" xfId="15550"/>
    <cellStyle name="Normal 2 5 2 2 6 2" xfId="15551"/>
    <cellStyle name="Normal 2 5 2 2 6 2 2" xfId="15552"/>
    <cellStyle name="Normal 2 5 2 2 6 3" xfId="15553"/>
    <cellStyle name="Normal 2 5 2 2 6 3 2" xfId="15554"/>
    <cellStyle name="Normal 2 5 2 2 6 4" xfId="15555"/>
    <cellStyle name="Normal 2 5 2 2 7" xfId="15556"/>
    <cellStyle name="Normal 2 5 2 2 7 2" xfId="15557"/>
    <cellStyle name="Normal 2 5 2 2 7 3" xfId="15558"/>
    <cellStyle name="Normal 2 5 2 2 8" xfId="15559"/>
    <cellStyle name="Normal 2 5 2 2 8 2" xfId="15560"/>
    <cellStyle name="Normal 2 5 2 2 9" xfId="15561"/>
    <cellStyle name="Normal 2 5 2 2 9 2" xfId="15562"/>
    <cellStyle name="Normal 2 5 2 3" xfId="15563"/>
    <cellStyle name="Normal 2 5 2 3 2" xfId="15564"/>
    <cellStyle name="Normal 2 5 2 3 2 2" xfId="15565"/>
    <cellStyle name="Normal 2 5 2 3 2 2 2" xfId="15566"/>
    <cellStyle name="Normal 2 5 2 3 2 2 2 2" xfId="15567"/>
    <cellStyle name="Normal 2 5 2 3 2 2 2 3" xfId="15568"/>
    <cellStyle name="Normal 2 5 2 3 2 2 3" xfId="15569"/>
    <cellStyle name="Normal 2 5 2 3 2 2 3 2" xfId="15570"/>
    <cellStyle name="Normal 2 5 2 3 2 2 4" xfId="15571"/>
    <cellStyle name="Normal 2 5 2 3 2 2 4 2" xfId="15572"/>
    <cellStyle name="Normal 2 5 2 3 2 2 5" xfId="15573"/>
    <cellStyle name="Normal 2 5 2 3 2 3" xfId="15574"/>
    <cellStyle name="Normal 2 5 2 3 2 3 2" xfId="15575"/>
    <cellStyle name="Normal 2 5 2 3 2 3 2 2" xfId="15576"/>
    <cellStyle name="Normal 2 5 2 3 2 3 3" xfId="15577"/>
    <cellStyle name="Normal 2 5 2 3 2 3 3 2" xfId="15578"/>
    <cellStyle name="Normal 2 5 2 3 2 3 4" xfId="15579"/>
    <cellStyle name="Normal 2 5 2 3 2 4" xfId="15580"/>
    <cellStyle name="Normal 2 5 2 3 2 4 2" xfId="15581"/>
    <cellStyle name="Normal 2 5 2 3 2 4 3" xfId="15582"/>
    <cellStyle name="Normal 2 5 2 3 2 5" xfId="15583"/>
    <cellStyle name="Normal 2 5 2 3 2 5 2" xfId="15584"/>
    <cellStyle name="Normal 2 5 2 3 2 6" xfId="15585"/>
    <cellStyle name="Normal 2 5 2 3 2 6 2" xfId="15586"/>
    <cellStyle name="Normal 2 5 2 3 2 7" xfId="15587"/>
    <cellStyle name="Normal 2 5 2 3 3" xfId="15588"/>
    <cellStyle name="Normal 2 5 2 3 3 2" xfId="15589"/>
    <cellStyle name="Normal 2 5 2 3 3 2 2" xfId="15590"/>
    <cellStyle name="Normal 2 5 2 3 3 2 3" xfId="15591"/>
    <cellStyle name="Normal 2 5 2 3 3 3" xfId="15592"/>
    <cellStyle name="Normal 2 5 2 3 3 3 2" xfId="15593"/>
    <cellStyle name="Normal 2 5 2 3 3 4" xfId="15594"/>
    <cellStyle name="Normal 2 5 2 3 3 4 2" xfId="15595"/>
    <cellStyle name="Normal 2 5 2 3 3 5" xfId="15596"/>
    <cellStyle name="Normal 2 5 2 3 4" xfId="15597"/>
    <cellStyle name="Normal 2 5 2 3 4 2" xfId="15598"/>
    <cellStyle name="Normal 2 5 2 3 4 2 2" xfId="15599"/>
    <cellStyle name="Normal 2 5 2 3 4 3" xfId="15600"/>
    <cellStyle name="Normal 2 5 2 3 4 3 2" xfId="15601"/>
    <cellStyle name="Normal 2 5 2 3 4 4" xfId="15602"/>
    <cellStyle name="Normal 2 5 2 3 5" xfId="15603"/>
    <cellStyle name="Normal 2 5 2 3 5 2" xfId="15604"/>
    <cellStyle name="Normal 2 5 2 3 5 3" xfId="15605"/>
    <cellStyle name="Normal 2 5 2 3 6" xfId="15606"/>
    <cellStyle name="Normal 2 5 2 3 6 2" xfId="15607"/>
    <cellStyle name="Normal 2 5 2 3 7" xfId="15608"/>
    <cellStyle name="Normal 2 5 2 3 7 2" xfId="15609"/>
    <cellStyle name="Normal 2 5 2 3 8" xfId="15610"/>
    <cellStyle name="Normal 2 5 2 4" xfId="15611"/>
    <cellStyle name="Normal 2 5 2 4 2" xfId="15612"/>
    <cellStyle name="Normal 2 5 2 4 2 2" xfId="15613"/>
    <cellStyle name="Normal 2 5 2 4 2 2 2" xfId="15614"/>
    <cellStyle name="Normal 2 5 2 4 2 2 3" xfId="15615"/>
    <cellStyle name="Normal 2 5 2 4 2 3" xfId="15616"/>
    <cellStyle name="Normal 2 5 2 4 2 3 2" xfId="15617"/>
    <cellStyle name="Normal 2 5 2 4 2 4" xfId="15618"/>
    <cellStyle name="Normal 2 5 2 4 2 4 2" xfId="15619"/>
    <cellStyle name="Normal 2 5 2 4 2 5" xfId="15620"/>
    <cellStyle name="Normal 2 5 2 4 3" xfId="15621"/>
    <cellStyle name="Normal 2 5 2 4 3 2" xfId="15622"/>
    <cellStyle name="Normal 2 5 2 4 3 2 2" xfId="15623"/>
    <cellStyle name="Normal 2 5 2 4 3 3" xfId="15624"/>
    <cellStyle name="Normal 2 5 2 4 3 3 2" xfId="15625"/>
    <cellStyle name="Normal 2 5 2 4 3 4" xfId="15626"/>
    <cellStyle name="Normal 2 5 2 4 4" xfId="15627"/>
    <cellStyle name="Normal 2 5 2 4 4 2" xfId="15628"/>
    <cellStyle name="Normal 2 5 2 4 4 3" xfId="15629"/>
    <cellStyle name="Normal 2 5 2 4 5" xfId="15630"/>
    <cellStyle name="Normal 2 5 2 4 5 2" xfId="15631"/>
    <cellStyle name="Normal 2 5 2 4 6" xfId="15632"/>
    <cellStyle name="Normal 2 5 2 4 6 2" xfId="15633"/>
    <cellStyle name="Normal 2 5 2 4 7" xfId="15634"/>
    <cellStyle name="Normal 2 5 2 5" xfId="15635"/>
    <cellStyle name="Normal 2 5 2 5 2" xfId="15636"/>
    <cellStyle name="Normal 2 5 2 5 2 2" xfId="15637"/>
    <cellStyle name="Normal 2 5 2 5 2 2 2" xfId="15638"/>
    <cellStyle name="Normal 2 5 2 5 2 2 3" xfId="15639"/>
    <cellStyle name="Normal 2 5 2 5 2 3" xfId="15640"/>
    <cellStyle name="Normal 2 5 2 5 2 3 2" xfId="15641"/>
    <cellStyle name="Normal 2 5 2 5 2 4" xfId="15642"/>
    <cellStyle name="Normal 2 5 2 5 2 4 2" xfId="15643"/>
    <cellStyle name="Normal 2 5 2 5 2 5" xfId="15644"/>
    <cellStyle name="Normal 2 5 2 5 3" xfId="15645"/>
    <cellStyle name="Normal 2 5 2 5 3 2" xfId="15646"/>
    <cellStyle name="Normal 2 5 2 5 3 2 2" xfId="15647"/>
    <cellStyle name="Normal 2 5 2 5 3 3" xfId="15648"/>
    <cellStyle name="Normal 2 5 2 5 3 3 2" xfId="15649"/>
    <cellStyle name="Normal 2 5 2 5 3 4" xfId="15650"/>
    <cellStyle name="Normal 2 5 2 5 4" xfId="15651"/>
    <cellStyle name="Normal 2 5 2 5 4 2" xfId="15652"/>
    <cellStyle name="Normal 2 5 2 5 4 3" xfId="15653"/>
    <cellStyle name="Normal 2 5 2 5 5" xfId="15654"/>
    <cellStyle name="Normal 2 5 2 5 5 2" xfId="15655"/>
    <cellStyle name="Normal 2 5 2 5 6" xfId="15656"/>
    <cellStyle name="Normal 2 5 2 5 6 2" xfId="15657"/>
    <cellStyle name="Normal 2 5 2 5 7" xfId="15658"/>
    <cellStyle name="Normal 2 5 2 6" xfId="15659"/>
    <cellStyle name="Normal 2 5 2 6 2" xfId="15660"/>
    <cellStyle name="Normal 2 5 2 6 2 2" xfId="15661"/>
    <cellStyle name="Normal 2 5 2 6 2 2 2" xfId="15662"/>
    <cellStyle name="Normal 2 5 2 6 2 3" xfId="15663"/>
    <cellStyle name="Normal 2 5 2 6 2 3 2" xfId="15664"/>
    <cellStyle name="Normal 2 5 2 6 2 4" xfId="15665"/>
    <cellStyle name="Normal 2 5 2 6 3" xfId="15666"/>
    <cellStyle name="Normal 2 5 2 6 3 2" xfId="15667"/>
    <cellStyle name="Normal 2 5 2 6 3 3" xfId="15668"/>
    <cellStyle name="Normal 2 5 2 6 4" xfId="15669"/>
    <cellStyle name="Normal 2 5 2 6 4 2" xfId="15670"/>
    <cellStyle name="Normal 2 5 2 6 5" xfId="15671"/>
    <cellStyle name="Normal 2 5 2 6 5 2" xfId="15672"/>
    <cellStyle name="Normal 2 5 2 6 6" xfId="15673"/>
    <cellStyle name="Normal 2 5 2 7" xfId="15674"/>
    <cellStyle name="Normal 2 5 2 7 2" xfId="15675"/>
    <cellStyle name="Normal 2 5 2 7 2 2" xfId="15676"/>
    <cellStyle name="Normal 2 5 2 7 3" xfId="15677"/>
    <cellStyle name="Normal 2 5 2 7 3 2" xfId="15678"/>
    <cellStyle name="Normal 2 5 2 7 4" xfId="15679"/>
    <cellStyle name="Normal 2 5 2 8" xfId="15680"/>
    <cellStyle name="Normal 2 5 2 8 2" xfId="15681"/>
    <cellStyle name="Normal 2 5 2 8 2 2" xfId="15682"/>
    <cellStyle name="Normal 2 5 2 8 3" xfId="15683"/>
    <cellStyle name="Normal 2 5 2 8 3 2" xfId="15684"/>
    <cellStyle name="Normal 2 5 2 8 4" xfId="15685"/>
    <cellStyle name="Normal 2 5 2 9" xfId="15686"/>
    <cellStyle name="Normal 2 5 2 9 2" xfId="15687"/>
    <cellStyle name="Normal 2 5 2 9 3" xfId="15688"/>
    <cellStyle name="Normal 2 5 3" xfId="15689"/>
    <cellStyle name="Normal 2 5 3 10" xfId="15690"/>
    <cellStyle name="Normal 2 5 3 10 2" xfId="15691"/>
    <cellStyle name="Normal 2 5 3 11" xfId="15692"/>
    <cellStyle name="Normal 2 5 3 2" xfId="15693"/>
    <cellStyle name="Normal 2 5 3 2 2" xfId="15694"/>
    <cellStyle name="Normal 2 5 3 2 2 2" xfId="15695"/>
    <cellStyle name="Normal 2 5 3 2 2 2 2" xfId="15696"/>
    <cellStyle name="Normal 2 5 3 2 2 2 2 2" xfId="15697"/>
    <cellStyle name="Normal 2 5 3 2 2 2 2 3" xfId="15698"/>
    <cellStyle name="Normal 2 5 3 2 2 2 3" xfId="15699"/>
    <cellStyle name="Normal 2 5 3 2 2 2 3 2" xfId="15700"/>
    <cellStyle name="Normal 2 5 3 2 2 2 4" xfId="15701"/>
    <cellStyle name="Normal 2 5 3 2 2 2 4 2" xfId="15702"/>
    <cellStyle name="Normal 2 5 3 2 2 2 5" xfId="15703"/>
    <cellStyle name="Normal 2 5 3 2 2 3" xfId="15704"/>
    <cellStyle name="Normal 2 5 3 2 2 3 2" xfId="15705"/>
    <cellStyle name="Normal 2 5 3 2 2 3 2 2" xfId="15706"/>
    <cellStyle name="Normal 2 5 3 2 2 3 3" xfId="15707"/>
    <cellStyle name="Normal 2 5 3 2 2 3 3 2" xfId="15708"/>
    <cellStyle name="Normal 2 5 3 2 2 3 4" xfId="15709"/>
    <cellStyle name="Normal 2 5 3 2 2 4" xfId="15710"/>
    <cellStyle name="Normal 2 5 3 2 2 4 2" xfId="15711"/>
    <cellStyle name="Normal 2 5 3 2 2 4 3" xfId="15712"/>
    <cellStyle name="Normal 2 5 3 2 2 5" xfId="15713"/>
    <cellStyle name="Normal 2 5 3 2 2 5 2" xfId="15714"/>
    <cellStyle name="Normal 2 5 3 2 2 6" xfId="15715"/>
    <cellStyle name="Normal 2 5 3 2 2 6 2" xfId="15716"/>
    <cellStyle name="Normal 2 5 3 2 2 7" xfId="15717"/>
    <cellStyle name="Normal 2 5 3 2 3" xfId="15718"/>
    <cellStyle name="Normal 2 5 3 2 3 2" xfId="15719"/>
    <cellStyle name="Normal 2 5 3 2 3 2 2" xfId="15720"/>
    <cellStyle name="Normal 2 5 3 2 3 2 3" xfId="15721"/>
    <cellStyle name="Normal 2 5 3 2 3 3" xfId="15722"/>
    <cellStyle name="Normal 2 5 3 2 3 3 2" xfId="15723"/>
    <cellStyle name="Normal 2 5 3 2 3 4" xfId="15724"/>
    <cellStyle name="Normal 2 5 3 2 3 4 2" xfId="15725"/>
    <cellStyle name="Normal 2 5 3 2 3 5" xfId="15726"/>
    <cellStyle name="Normal 2 5 3 2 4" xfId="15727"/>
    <cellStyle name="Normal 2 5 3 2 4 2" xfId="15728"/>
    <cellStyle name="Normal 2 5 3 2 4 2 2" xfId="15729"/>
    <cellStyle name="Normal 2 5 3 2 4 3" xfId="15730"/>
    <cellStyle name="Normal 2 5 3 2 4 3 2" xfId="15731"/>
    <cellStyle name="Normal 2 5 3 2 4 4" xfId="15732"/>
    <cellStyle name="Normal 2 5 3 2 5" xfId="15733"/>
    <cellStyle name="Normal 2 5 3 2 5 2" xfId="15734"/>
    <cellStyle name="Normal 2 5 3 2 5 3" xfId="15735"/>
    <cellStyle name="Normal 2 5 3 2 6" xfId="15736"/>
    <cellStyle name="Normal 2 5 3 2 6 2" xfId="15737"/>
    <cellStyle name="Normal 2 5 3 2 7" xfId="15738"/>
    <cellStyle name="Normal 2 5 3 2 7 2" xfId="15739"/>
    <cellStyle name="Normal 2 5 3 2 8" xfId="15740"/>
    <cellStyle name="Normal 2 5 3 3" xfId="15741"/>
    <cellStyle name="Normal 2 5 3 3 2" xfId="15742"/>
    <cellStyle name="Normal 2 5 3 3 2 2" xfId="15743"/>
    <cellStyle name="Normal 2 5 3 3 2 2 2" xfId="15744"/>
    <cellStyle name="Normal 2 5 3 3 2 2 3" xfId="15745"/>
    <cellStyle name="Normal 2 5 3 3 2 3" xfId="15746"/>
    <cellStyle name="Normal 2 5 3 3 2 3 2" xfId="15747"/>
    <cellStyle name="Normal 2 5 3 3 2 4" xfId="15748"/>
    <cellStyle name="Normal 2 5 3 3 2 4 2" xfId="15749"/>
    <cellStyle name="Normal 2 5 3 3 2 5" xfId="15750"/>
    <cellStyle name="Normal 2 5 3 3 3" xfId="15751"/>
    <cellStyle name="Normal 2 5 3 3 3 2" xfId="15752"/>
    <cellStyle name="Normal 2 5 3 3 3 2 2" xfId="15753"/>
    <cellStyle name="Normal 2 5 3 3 3 3" xfId="15754"/>
    <cellStyle name="Normal 2 5 3 3 3 3 2" xfId="15755"/>
    <cellStyle name="Normal 2 5 3 3 3 4" xfId="15756"/>
    <cellStyle name="Normal 2 5 3 3 4" xfId="15757"/>
    <cellStyle name="Normal 2 5 3 3 4 2" xfId="15758"/>
    <cellStyle name="Normal 2 5 3 3 4 3" xfId="15759"/>
    <cellStyle name="Normal 2 5 3 3 5" xfId="15760"/>
    <cellStyle name="Normal 2 5 3 3 5 2" xfId="15761"/>
    <cellStyle name="Normal 2 5 3 3 6" xfId="15762"/>
    <cellStyle name="Normal 2 5 3 3 6 2" xfId="15763"/>
    <cellStyle name="Normal 2 5 3 3 7" xfId="15764"/>
    <cellStyle name="Normal 2 5 3 4" xfId="15765"/>
    <cellStyle name="Normal 2 5 3 4 2" xfId="15766"/>
    <cellStyle name="Normal 2 5 3 4 2 2" xfId="15767"/>
    <cellStyle name="Normal 2 5 3 4 2 2 2" xfId="15768"/>
    <cellStyle name="Normal 2 5 3 4 2 2 3" xfId="15769"/>
    <cellStyle name="Normal 2 5 3 4 2 3" xfId="15770"/>
    <cellStyle name="Normal 2 5 3 4 2 3 2" xfId="15771"/>
    <cellStyle name="Normal 2 5 3 4 2 4" xfId="15772"/>
    <cellStyle name="Normal 2 5 3 4 2 4 2" xfId="15773"/>
    <cellStyle name="Normal 2 5 3 4 2 5" xfId="15774"/>
    <cellStyle name="Normal 2 5 3 4 3" xfId="15775"/>
    <cellStyle name="Normal 2 5 3 4 3 2" xfId="15776"/>
    <cellStyle name="Normal 2 5 3 4 3 2 2" xfId="15777"/>
    <cellStyle name="Normal 2 5 3 4 3 3" xfId="15778"/>
    <cellStyle name="Normal 2 5 3 4 3 3 2" xfId="15779"/>
    <cellStyle name="Normal 2 5 3 4 3 4" xfId="15780"/>
    <cellStyle name="Normal 2 5 3 4 4" xfId="15781"/>
    <cellStyle name="Normal 2 5 3 4 4 2" xfId="15782"/>
    <cellStyle name="Normal 2 5 3 4 4 3" xfId="15783"/>
    <cellStyle name="Normal 2 5 3 4 5" xfId="15784"/>
    <cellStyle name="Normal 2 5 3 4 5 2" xfId="15785"/>
    <cellStyle name="Normal 2 5 3 4 6" xfId="15786"/>
    <cellStyle name="Normal 2 5 3 4 6 2" xfId="15787"/>
    <cellStyle name="Normal 2 5 3 4 7" xfId="15788"/>
    <cellStyle name="Normal 2 5 3 5" xfId="15789"/>
    <cellStyle name="Normal 2 5 3 5 2" xfId="15790"/>
    <cellStyle name="Normal 2 5 3 5 2 2" xfId="15791"/>
    <cellStyle name="Normal 2 5 3 5 2 2 2" xfId="15792"/>
    <cellStyle name="Normal 2 5 3 5 2 3" xfId="15793"/>
    <cellStyle name="Normal 2 5 3 5 2 3 2" xfId="15794"/>
    <cellStyle name="Normal 2 5 3 5 2 4" xfId="15795"/>
    <cellStyle name="Normal 2 5 3 5 3" xfId="15796"/>
    <cellStyle name="Normal 2 5 3 5 3 2" xfId="15797"/>
    <cellStyle name="Normal 2 5 3 5 3 3" xfId="15798"/>
    <cellStyle name="Normal 2 5 3 5 4" xfId="15799"/>
    <cellStyle name="Normal 2 5 3 5 4 2" xfId="15800"/>
    <cellStyle name="Normal 2 5 3 5 5" xfId="15801"/>
    <cellStyle name="Normal 2 5 3 5 5 2" xfId="15802"/>
    <cellStyle name="Normal 2 5 3 5 6" xfId="15803"/>
    <cellStyle name="Normal 2 5 3 6" xfId="15804"/>
    <cellStyle name="Normal 2 5 3 6 2" xfId="15805"/>
    <cellStyle name="Normal 2 5 3 6 2 2" xfId="15806"/>
    <cellStyle name="Normal 2 5 3 6 3" xfId="15807"/>
    <cellStyle name="Normal 2 5 3 6 3 2" xfId="15808"/>
    <cellStyle name="Normal 2 5 3 6 4" xfId="15809"/>
    <cellStyle name="Normal 2 5 3 7" xfId="15810"/>
    <cellStyle name="Normal 2 5 3 7 2" xfId="15811"/>
    <cellStyle name="Normal 2 5 3 7 2 2" xfId="15812"/>
    <cellStyle name="Normal 2 5 3 7 3" xfId="15813"/>
    <cellStyle name="Normal 2 5 3 7 3 2" xfId="15814"/>
    <cellStyle name="Normal 2 5 3 7 4" xfId="15815"/>
    <cellStyle name="Normal 2 5 3 8" xfId="15816"/>
    <cellStyle name="Normal 2 5 3 8 2" xfId="15817"/>
    <cellStyle name="Normal 2 5 3 8 3" xfId="15818"/>
    <cellStyle name="Normal 2 5 3 9" xfId="15819"/>
    <cellStyle name="Normal 2 5 3 9 2" xfId="15820"/>
    <cellStyle name="Normal 2 5 4" xfId="15821"/>
    <cellStyle name="Normal 2 5 4 10" xfId="15822"/>
    <cellStyle name="Normal 2 5 4 2" xfId="15823"/>
    <cellStyle name="Normal 2 5 4 2 2" xfId="15824"/>
    <cellStyle name="Normal 2 5 4 2 2 2" xfId="15825"/>
    <cellStyle name="Normal 2 5 4 2 2 2 2" xfId="15826"/>
    <cellStyle name="Normal 2 5 4 2 2 2 3" xfId="15827"/>
    <cellStyle name="Normal 2 5 4 2 2 3" xfId="15828"/>
    <cellStyle name="Normal 2 5 4 2 2 3 2" xfId="15829"/>
    <cellStyle name="Normal 2 5 4 2 2 4" xfId="15830"/>
    <cellStyle name="Normal 2 5 4 2 2 4 2" xfId="15831"/>
    <cellStyle name="Normal 2 5 4 2 2 5" xfId="15832"/>
    <cellStyle name="Normal 2 5 4 2 3" xfId="15833"/>
    <cellStyle name="Normal 2 5 4 2 3 2" xfId="15834"/>
    <cellStyle name="Normal 2 5 4 2 3 2 2" xfId="15835"/>
    <cellStyle name="Normal 2 5 4 2 3 3" xfId="15836"/>
    <cellStyle name="Normal 2 5 4 2 3 3 2" xfId="15837"/>
    <cellStyle name="Normal 2 5 4 2 3 4" xfId="15838"/>
    <cellStyle name="Normal 2 5 4 2 4" xfId="15839"/>
    <cellStyle name="Normal 2 5 4 2 4 2" xfId="15840"/>
    <cellStyle name="Normal 2 5 4 2 4 3" xfId="15841"/>
    <cellStyle name="Normal 2 5 4 2 5" xfId="15842"/>
    <cellStyle name="Normal 2 5 4 2 5 2" xfId="15843"/>
    <cellStyle name="Normal 2 5 4 2 6" xfId="15844"/>
    <cellStyle name="Normal 2 5 4 2 6 2" xfId="15845"/>
    <cellStyle name="Normal 2 5 4 2 7" xfId="15846"/>
    <cellStyle name="Normal 2 5 4 3" xfId="15847"/>
    <cellStyle name="Normal 2 5 4 3 2" xfId="15848"/>
    <cellStyle name="Normal 2 5 4 3 2 2" xfId="15849"/>
    <cellStyle name="Normal 2 5 4 3 2 2 2" xfId="15850"/>
    <cellStyle name="Normal 2 5 4 3 2 2 3" xfId="15851"/>
    <cellStyle name="Normal 2 5 4 3 2 3" xfId="15852"/>
    <cellStyle name="Normal 2 5 4 3 2 3 2" xfId="15853"/>
    <cellStyle name="Normal 2 5 4 3 2 4" xfId="15854"/>
    <cellStyle name="Normal 2 5 4 3 2 4 2" xfId="15855"/>
    <cellStyle name="Normal 2 5 4 3 2 5" xfId="15856"/>
    <cellStyle name="Normal 2 5 4 3 3" xfId="15857"/>
    <cellStyle name="Normal 2 5 4 3 3 2" xfId="15858"/>
    <cellStyle name="Normal 2 5 4 3 3 2 2" xfId="15859"/>
    <cellStyle name="Normal 2 5 4 3 3 3" xfId="15860"/>
    <cellStyle name="Normal 2 5 4 3 3 3 2" xfId="15861"/>
    <cellStyle name="Normal 2 5 4 3 3 4" xfId="15862"/>
    <cellStyle name="Normal 2 5 4 3 4" xfId="15863"/>
    <cellStyle name="Normal 2 5 4 3 4 2" xfId="15864"/>
    <cellStyle name="Normal 2 5 4 3 4 3" xfId="15865"/>
    <cellStyle name="Normal 2 5 4 3 5" xfId="15866"/>
    <cellStyle name="Normal 2 5 4 3 5 2" xfId="15867"/>
    <cellStyle name="Normal 2 5 4 3 6" xfId="15868"/>
    <cellStyle name="Normal 2 5 4 3 6 2" xfId="15869"/>
    <cellStyle name="Normal 2 5 4 3 7" xfId="15870"/>
    <cellStyle name="Normal 2 5 4 4" xfId="15871"/>
    <cellStyle name="Normal 2 5 4 4 2" xfId="15872"/>
    <cellStyle name="Normal 2 5 4 4 2 2" xfId="15873"/>
    <cellStyle name="Normal 2 5 4 4 2 2 2" xfId="15874"/>
    <cellStyle name="Normal 2 5 4 4 2 3" xfId="15875"/>
    <cellStyle name="Normal 2 5 4 4 2 3 2" xfId="15876"/>
    <cellStyle name="Normal 2 5 4 4 2 4" xfId="15877"/>
    <cellStyle name="Normal 2 5 4 4 3" xfId="15878"/>
    <cellStyle name="Normal 2 5 4 4 3 2" xfId="15879"/>
    <cellStyle name="Normal 2 5 4 4 3 3" xfId="15880"/>
    <cellStyle name="Normal 2 5 4 4 4" xfId="15881"/>
    <cellStyle name="Normal 2 5 4 4 4 2" xfId="15882"/>
    <cellStyle name="Normal 2 5 4 4 5" xfId="15883"/>
    <cellStyle name="Normal 2 5 4 4 5 2" xfId="15884"/>
    <cellStyle name="Normal 2 5 4 4 6" xfId="15885"/>
    <cellStyle name="Normal 2 5 4 5" xfId="15886"/>
    <cellStyle name="Normal 2 5 4 5 2" xfId="15887"/>
    <cellStyle name="Normal 2 5 4 5 2 2" xfId="15888"/>
    <cellStyle name="Normal 2 5 4 5 3" xfId="15889"/>
    <cellStyle name="Normal 2 5 4 5 3 2" xfId="15890"/>
    <cellStyle name="Normal 2 5 4 5 4" xfId="15891"/>
    <cellStyle name="Normal 2 5 4 6" xfId="15892"/>
    <cellStyle name="Normal 2 5 4 6 2" xfId="15893"/>
    <cellStyle name="Normal 2 5 4 6 2 2" xfId="15894"/>
    <cellStyle name="Normal 2 5 4 6 3" xfId="15895"/>
    <cellStyle name="Normal 2 5 4 6 3 2" xfId="15896"/>
    <cellStyle name="Normal 2 5 4 6 4" xfId="15897"/>
    <cellStyle name="Normal 2 5 4 7" xfId="15898"/>
    <cellStyle name="Normal 2 5 4 7 2" xfId="15899"/>
    <cellStyle name="Normal 2 5 4 7 3" xfId="15900"/>
    <cellStyle name="Normal 2 5 4 8" xfId="15901"/>
    <cellStyle name="Normal 2 5 4 8 2" xfId="15902"/>
    <cellStyle name="Normal 2 5 4 9" xfId="15903"/>
    <cellStyle name="Normal 2 5 4 9 2" xfId="15904"/>
    <cellStyle name="Normal 2 5 5" xfId="15905"/>
    <cellStyle name="Normal 2 5 5 2" xfId="15906"/>
    <cellStyle name="Normal 2 5 5 2 2" xfId="15907"/>
    <cellStyle name="Normal 2 5 5 2 2 2" xfId="15908"/>
    <cellStyle name="Normal 2 5 5 2 2 2 2" xfId="15909"/>
    <cellStyle name="Normal 2 5 5 2 2 2 3" xfId="15910"/>
    <cellStyle name="Normal 2 5 5 2 2 3" xfId="15911"/>
    <cellStyle name="Normal 2 5 5 2 2 3 2" xfId="15912"/>
    <cellStyle name="Normal 2 5 5 2 2 4" xfId="15913"/>
    <cellStyle name="Normal 2 5 5 2 2 4 2" xfId="15914"/>
    <cellStyle name="Normal 2 5 5 2 2 5" xfId="15915"/>
    <cellStyle name="Normal 2 5 5 2 3" xfId="15916"/>
    <cellStyle name="Normal 2 5 5 2 3 2" xfId="15917"/>
    <cellStyle name="Normal 2 5 5 2 3 2 2" xfId="15918"/>
    <cellStyle name="Normal 2 5 5 2 3 3" xfId="15919"/>
    <cellStyle name="Normal 2 5 5 2 3 3 2" xfId="15920"/>
    <cellStyle name="Normal 2 5 5 2 3 4" xfId="15921"/>
    <cellStyle name="Normal 2 5 5 2 4" xfId="15922"/>
    <cellStyle name="Normal 2 5 5 2 4 2" xfId="15923"/>
    <cellStyle name="Normal 2 5 5 2 4 3" xfId="15924"/>
    <cellStyle name="Normal 2 5 5 2 5" xfId="15925"/>
    <cellStyle name="Normal 2 5 5 2 5 2" xfId="15926"/>
    <cellStyle name="Normal 2 5 5 2 6" xfId="15927"/>
    <cellStyle name="Normal 2 5 5 2 6 2" xfId="15928"/>
    <cellStyle name="Normal 2 5 5 2 7" xfId="15929"/>
    <cellStyle name="Normal 2 5 5 3" xfId="15930"/>
    <cellStyle name="Normal 2 5 5 3 2" xfId="15931"/>
    <cellStyle name="Normal 2 5 5 3 2 2" xfId="15932"/>
    <cellStyle name="Normal 2 5 5 3 2 3" xfId="15933"/>
    <cellStyle name="Normal 2 5 5 3 3" xfId="15934"/>
    <cellStyle name="Normal 2 5 5 3 3 2" xfId="15935"/>
    <cellStyle name="Normal 2 5 5 3 4" xfId="15936"/>
    <cellStyle name="Normal 2 5 5 3 4 2" xfId="15937"/>
    <cellStyle name="Normal 2 5 5 3 5" xfId="15938"/>
    <cellStyle name="Normal 2 5 5 4" xfId="15939"/>
    <cellStyle name="Normal 2 5 5 4 2" xfId="15940"/>
    <cellStyle name="Normal 2 5 5 4 2 2" xfId="15941"/>
    <cellStyle name="Normal 2 5 5 4 3" xfId="15942"/>
    <cellStyle name="Normal 2 5 5 4 3 2" xfId="15943"/>
    <cellStyle name="Normal 2 5 5 4 4" xfId="15944"/>
    <cellStyle name="Normal 2 5 5 5" xfId="15945"/>
    <cellStyle name="Normal 2 5 5 5 2" xfId="15946"/>
    <cellStyle name="Normal 2 5 5 5 3" xfId="15947"/>
    <cellStyle name="Normal 2 5 5 6" xfId="15948"/>
    <cellStyle name="Normal 2 5 5 6 2" xfId="15949"/>
    <cellStyle name="Normal 2 5 5 7" xfId="15950"/>
    <cellStyle name="Normal 2 5 5 7 2" xfId="15951"/>
    <cellStyle name="Normal 2 5 5 8" xfId="15952"/>
    <cellStyle name="Normal 2 5 6" xfId="15953"/>
    <cellStyle name="Normal 2 5 6 2" xfId="15954"/>
    <cellStyle name="Normal 2 5 6 2 2" xfId="15955"/>
    <cellStyle name="Normal 2 5 6 2 2 2" xfId="15956"/>
    <cellStyle name="Normal 2 5 6 2 2 3" xfId="15957"/>
    <cellStyle name="Normal 2 5 6 2 3" xfId="15958"/>
    <cellStyle name="Normal 2 5 6 2 3 2" xfId="15959"/>
    <cellStyle name="Normal 2 5 6 2 4" xfId="15960"/>
    <cellStyle name="Normal 2 5 6 2 4 2" xfId="15961"/>
    <cellStyle name="Normal 2 5 6 2 5" xfId="15962"/>
    <cellStyle name="Normal 2 5 6 3" xfId="15963"/>
    <cellStyle name="Normal 2 5 6 3 2" xfId="15964"/>
    <cellStyle name="Normal 2 5 6 3 2 2" xfId="15965"/>
    <cellStyle name="Normal 2 5 6 3 3" xfId="15966"/>
    <cellStyle name="Normal 2 5 6 3 3 2" xfId="15967"/>
    <cellStyle name="Normal 2 5 6 3 4" xfId="15968"/>
    <cellStyle name="Normal 2 5 6 4" xfId="15969"/>
    <cellStyle name="Normal 2 5 6 4 2" xfId="15970"/>
    <cellStyle name="Normal 2 5 6 4 3" xfId="15971"/>
    <cellStyle name="Normal 2 5 6 5" xfId="15972"/>
    <cellStyle name="Normal 2 5 6 5 2" xfId="15973"/>
    <cellStyle name="Normal 2 5 6 6" xfId="15974"/>
    <cellStyle name="Normal 2 5 6 6 2" xfId="15975"/>
    <cellStyle name="Normal 2 5 6 7" xfId="15976"/>
    <cellStyle name="Normal 2 5 7" xfId="15977"/>
    <cellStyle name="Normal 2 5 7 2" xfId="15978"/>
    <cellStyle name="Normal 2 5 7 2 2" xfId="15979"/>
    <cellStyle name="Normal 2 5 7 2 2 2" xfId="15980"/>
    <cellStyle name="Normal 2 5 7 2 2 3" xfId="15981"/>
    <cellStyle name="Normal 2 5 7 2 3" xfId="15982"/>
    <cellStyle name="Normal 2 5 7 2 3 2" xfId="15983"/>
    <cellStyle name="Normal 2 5 7 2 4" xfId="15984"/>
    <cellStyle name="Normal 2 5 7 2 4 2" xfId="15985"/>
    <cellStyle name="Normal 2 5 7 2 5" xfId="15986"/>
    <cellStyle name="Normal 2 5 7 3" xfId="15987"/>
    <cellStyle name="Normal 2 5 7 3 2" xfId="15988"/>
    <cellStyle name="Normal 2 5 7 3 2 2" xfId="15989"/>
    <cellStyle name="Normal 2 5 7 3 3" xfId="15990"/>
    <cellStyle name="Normal 2 5 7 3 3 2" xfId="15991"/>
    <cellStyle name="Normal 2 5 7 3 4" xfId="15992"/>
    <cellStyle name="Normal 2 5 7 4" xfId="15993"/>
    <cellStyle name="Normal 2 5 7 4 2" xfId="15994"/>
    <cellStyle name="Normal 2 5 7 4 3" xfId="15995"/>
    <cellStyle name="Normal 2 5 7 5" xfId="15996"/>
    <cellStyle name="Normal 2 5 7 5 2" xfId="15997"/>
    <cellStyle name="Normal 2 5 7 6" xfId="15998"/>
    <cellStyle name="Normal 2 5 7 6 2" xfId="15999"/>
    <cellStyle name="Normal 2 5 7 7" xfId="16000"/>
    <cellStyle name="Normal 2 5 8" xfId="16001"/>
    <cellStyle name="Normal 2 5 8 2" xfId="16002"/>
    <cellStyle name="Normal 2 5 8 2 2" xfId="16003"/>
    <cellStyle name="Normal 2 5 8 2 2 2" xfId="16004"/>
    <cellStyle name="Normal 2 5 8 2 3" xfId="16005"/>
    <cellStyle name="Normal 2 5 8 2 3 2" xfId="16006"/>
    <cellStyle name="Normal 2 5 8 2 4" xfId="16007"/>
    <cellStyle name="Normal 2 5 8 3" xfId="16008"/>
    <cellStyle name="Normal 2 5 8 3 2" xfId="16009"/>
    <cellStyle name="Normal 2 5 8 3 3" xfId="16010"/>
    <cellStyle name="Normal 2 5 8 4" xfId="16011"/>
    <cellStyle name="Normal 2 5 8 4 2" xfId="16012"/>
    <cellStyle name="Normal 2 5 8 5" xfId="16013"/>
    <cellStyle name="Normal 2 5 8 5 2" xfId="16014"/>
    <cellStyle name="Normal 2 5 8 6" xfId="16015"/>
    <cellStyle name="Normal 2 5 9" xfId="16016"/>
    <cellStyle name="Normal 2 5 9 2" xfId="16017"/>
    <cellStyle name="Normal 2 5 9 2 2" xfId="16018"/>
    <cellStyle name="Normal 2 5 9 3" xfId="16019"/>
    <cellStyle name="Normal 2 5 9 3 2" xfId="16020"/>
    <cellStyle name="Normal 2 5 9 4" xfId="16021"/>
    <cellStyle name="Normal 2 6" xfId="16022"/>
    <cellStyle name="Normal 2 6 10" xfId="16023"/>
    <cellStyle name="Normal 2 6 10 2" xfId="16024"/>
    <cellStyle name="Normal 2 6 11" xfId="16025"/>
    <cellStyle name="Normal 2 6 12" xfId="16026"/>
    <cellStyle name="Normal 2 6 2" xfId="16027"/>
    <cellStyle name="Normal 2 6 2 2" xfId="16028"/>
    <cellStyle name="Normal 2 6 2 2 2" xfId="16029"/>
    <cellStyle name="Normal 2 6 2 2 2 2" xfId="16030"/>
    <cellStyle name="Normal 2 6 2 2 2 2 2" xfId="16031"/>
    <cellStyle name="Normal 2 6 2 2 2 2 3" xfId="16032"/>
    <cellStyle name="Normal 2 6 2 2 2 3" xfId="16033"/>
    <cellStyle name="Normal 2 6 2 2 2 3 2" xfId="16034"/>
    <cellStyle name="Normal 2 6 2 2 2 4" xfId="16035"/>
    <cellStyle name="Normal 2 6 2 2 2 4 2" xfId="16036"/>
    <cellStyle name="Normal 2 6 2 2 2 5" xfId="16037"/>
    <cellStyle name="Normal 2 6 2 2 3" xfId="16038"/>
    <cellStyle name="Normal 2 6 2 2 3 2" xfId="16039"/>
    <cellStyle name="Normal 2 6 2 2 3 2 2" xfId="16040"/>
    <cellStyle name="Normal 2 6 2 2 3 3" xfId="16041"/>
    <cellStyle name="Normal 2 6 2 2 3 3 2" xfId="16042"/>
    <cellStyle name="Normal 2 6 2 2 3 4" xfId="16043"/>
    <cellStyle name="Normal 2 6 2 2 4" xfId="16044"/>
    <cellStyle name="Normal 2 6 2 2 4 2" xfId="16045"/>
    <cellStyle name="Normal 2 6 2 2 4 3" xfId="16046"/>
    <cellStyle name="Normal 2 6 2 2 5" xfId="16047"/>
    <cellStyle name="Normal 2 6 2 2 5 2" xfId="16048"/>
    <cellStyle name="Normal 2 6 2 2 6" xfId="16049"/>
    <cellStyle name="Normal 2 6 2 2 6 2" xfId="16050"/>
    <cellStyle name="Normal 2 6 2 2 7" xfId="16051"/>
    <cellStyle name="Normal 2 6 2 3" xfId="16052"/>
    <cellStyle name="Normal 2 6 2 3 2" xfId="16053"/>
    <cellStyle name="Normal 2 6 2 3 2 2" xfId="16054"/>
    <cellStyle name="Normal 2 6 2 3 2 3" xfId="16055"/>
    <cellStyle name="Normal 2 6 2 3 3" xfId="16056"/>
    <cellStyle name="Normal 2 6 2 3 3 2" xfId="16057"/>
    <cellStyle name="Normal 2 6 2 3 4" xfId="16058"/>
    <cellStyle name="Normal 2 6 2 3 4 2" xfId="16059"/>
    <cellStyle name="Normal 2 6 2 3 5" xfId="16060"/>
    <cellStyle name="Normal 2 6 2 4" xfId="16061"/>
    <cellStyle name="Normal 2 6 2 4 2" xfId="16062"/>
    <cellStyle name="Normal 2 6 2 4 2 2" xfId="16063"/>
    <cellStyle name="Normal 2 6 2 4 3" xfId="16064"/>
    <cellStyle name="Normal 2 6 2 4 3 2" xfId="16065"/>
    <cellStyle name="Normal 2 6 2 4 4" xfId="16066"/>
    <cellStyle name="Normal 2 6 2 5" xfId="16067"/>
    <cellStyle name="Normal 2 6 2 5 2" xfId="16068"/>
    <cellStyle name="Normal 2 6 2 5 3" xfId="16069"/>
    <cellStyle name="Normal 2 6 2 6" xfId="16070"/>
    <cellStyle name="Normal 2 6 2 6 2" xfId="16071"/>
    <cellStyle name="Normal 2 6 2 7" xfId="16072"/>
    <cellStyle name="Normal 2 6 2 7 2" xfId="16073"/>
    <cellStyle name="Normal 2 6 2 8" xfId="16074"/>
    <cellStyle name="Normal 2 6 3" xfId="16075"/>
    <cellStyle name="Normal 2 6 3 2" xfId="16076"/>
    <cellStyle name="Normal 2 6 3 2 2" xfId="16077"/>
    <cellStyle name="Normal 2 6 3 2 2 2" xfId="16078"/>
    <cellStyle name="Normal 2 6 3 2 2 3" xfId="16079"/>
    <cellStyle name="Normal 2 6 3 2 3" xfId="16080"/>
    <cellStyle name="Normal 2 6 3 2 3 2" xfId="16081"/>
    <cellStyle name="Normal 2 6 3 2 4" xfId="16082"/>
    <cellStyle name="Normal 2 6 3 2 4 2" xfId="16083"/>
    <cellStyle name="Normal 2 6 3 2 5" xfId="16084"/>
    <cellStyle name="Normal 2 6 3 3" xfId="16085"/>
    <cellStyle name="Normal 2 6 3 3 2" xfId="16086"/>
    <cellStyle name="Normal 2 6 3 3 2 2" xfId="16087"/>
    <cellStyle name="Normal 2 6 3 3 3" xfId="16088"/>
    <cellStyle name="Normal 2 6 3 3 3 2" xfId="16089"/>
    <cellStyle name="Normal 2 6 3 3 4" xfId="16090"/>
    <cellStyle name="Normal 2 6 3 4" xfId="16091"/>
    <cellStyle name="Normal 2 6 3 4 2" xfId="16092"/>
    <cellStyle name="Normal 2 6 3 4 3" xfId="16093"/>
    <cellStyle name="Normal 2 6 3 5" xfId="16094"/>
    <cellStyle name="Normal 2 6 3 5 2" xfId="16095"/>
    <cellStyle name="Normal 2 6 3 6" xfId="16096"/>
    <cellStyle name="Normal 2 6 3 6 2" xfId="16097"/>
    <cellStyle name="Normal 2 6 3 7" xfId="16098"/>
    <cellStyle name="Normal 2 6 4" xfId="16099"/>
    <cellStyle name="Normal 2 6 4 2" xfId="16100"/>
    <cellStyle name="Normal 2 6 4 2 2" xfId="16101"/>
    <cellStyle name="Normal 2 6 4 2 2 2" xfId="16102"/>
    <cellStyle name="Normal 2 6 4 2 2 3" xfId="16103"/>
    <cellStyle name="Normal 2 6 4 2 3" xfId="16104"/>
    <cellStyle name="Normal 2 6 4 2 3 2" xfId="16105"/>
    <cellStyle name="Normal 2 6 4 2 4" xfId="16106"/>
    <cellStyle name="Normal 2 6 4 2 4 2" xfId="16107"/>
    <cellStyle name="Normal 2 6 4 2 5" xfId="16108"/>
    <cellStyle name="Normal 2 6 4 3" xfId="16109"/>
    <cellStyle name="Normal 2 6 4 3 2" xfId="16110"/>
    <cellStyle name="Normal 2 6 4 3 2 2" xfId="16111"/>
    <cellStyle name="Normal 2 6 4 3 3" xfId="16112"/>
    <cellStyle name="Normal 2 6 4 3 3 2" xfId="16113"/>
    <cellStyle name="Normal 2 6 4 3 4" xfId="16114"/>
    <cellStyle name="Normal 2 6 4 4" xfId="16115"/>
    <cellStyle name="Normal 2 6 4 4 2" xfId="16116"/>
    <cellStyle name="Normal 2 6 4 4 3" xfId="16117"/>
    <cellStyle name="Normal 2 6 4 5" xfId="16118"/>
    <cellStyle name="Normal 2 6 4 5 2" xfId="16119"/>
    <cellStyle name="Normal 2 6 4 6" xfId="16120"/>
    <cellStyle name="Normal 2 6 4 6 2" xfId="16121"/>
    <cellStyle name="Normal 2 6 4 7" xfId="16122"/>
    <cellStyle name="Normal 2 6 5" xfId="16123"/>
    <cellStyle name="Normal 2 6 5 2" xfId="16124"/>
    <cellStyle name="Normal 2 6 5 2 2" xfId="16125"/>
    <cellStyle name="Normal 2 6 5 2 2 2" xfId="16126"/>
    <cellStyle name="Normal 2 6 5 2 3" xfId="16127"/>
    <cellStyle name="Normal 2 6 5 2 3 2" xfId="16128"/>
    <cellStyle name="Normal 2 6 5 2 4" xfId="16129"/>
    <cellStyle name="Normal 2 6 5 3" xfId="16130"/>
    <cellStyle name="Normal 2 6 5 3 2" xfId="16131"/>
    <cellStyle name="Normal 2 6 5 3 3" xfId="16132"/>
    <cellStyle name="Normal 2 6 5 4" xfId="16133"/>
    <cellStyle name="Normal 2 6 5 4 2" xfId="16134"/>
    <cellStyle name="Normal 2 6 5 5" xfId="16135"/>
    <cellStyle name="Normal 2 6 5 5 2" xfId="16136"/>
    <cellStyle name="Normal 2 6 5 6" xfId="16137"/>
    <cellStyle name="Normal 2 6 6" xfId="16138"/>
    <cellStyle name="Normal 2 6 6 2" xfId="16139"/>
    <cellStyle name="Normal 2 6 6 2 2" xfId="16140"/>
    <cellStyle name="Normal 2 6 6 3" xfId="16141"/>
    <cellStyle name="Normal 2 6 6 3 2" xfId="16142"/>
    <cellStyle name="Normal 2 6 6 4" xfId="16143"/>
    <cellStyle name="Normal 2 6 7" xfId="16144"/>
    <cellStyle name="Normal 2 6 7 2" xfId="16145"/>
    <cellStyle name="Normal 2 6 7 2 2" xfId="16146"/>
    <cellStyle name="Normal 2 6 7 3" xfId="16147"/>
    <cellStyle name="Normal 2 6 7 3 2" xfId="16148"/>
    <cellStyle name="Normal 2 6 7 4" xfId="16149"/>
    <cellStyle name="Normal 2 6 8" xfId="16150"/>
    <cellStyle name="Normal 2 6 8 2" xfId="16151"/>
    <cellStyle name="Normal 2 6 8 3" xfId="16152"/>
    <cellStyle name="Normal 2 6 9" xfId="16153"/>
    <cellStyle name="Normal 2 6 9 2" xfId="16154"/>
    <cellStyle name="Normal 2 7" xfId="16155"/>
    <cellStyle name="Normal 2 7 10" xfId="16156"/>
    <cellStyle name="Normal 2 7 2" xfId="16157"/>
    <cellStyle name="Normal 2 7 2 2" xfId="16158"/>
    <cellStyle name="Normal 2 7 2 2 2" xfId="16159"/>
    <cellStyle name="Normal 2 7 2 2 2 2" xfId="16160"/>
    <cellStyle name="Normal 2 7 2 2 2 3" xfId="16161"/>
    <cellStyle name="Normal 2 7 2 2 3" xfId="16162"/>
    <cellStyle name="Normal 2 7 2 2 3 2" xfId="16163"/>
    <cellStyle name="Normal 2 7 2 2 4" xfId="16164"/>
    <cellStyle name="Normal 2 7 2 2 4 2" xfId="16165"/>
    <cellStyle name="Normal 2 7 2 2 5" xfId="16166"/>
    <cellStyle name="Normal 2 7 2 3" xfId="16167"/>
    <cellStyle name="Normal 2 7 2 3 2" xfId="16168"/>
    <cellStyle name="Normal 2 7 2 3 2 2" xfId="16169"/>
    <cellStyle name="Normal 2 7 2 3 3" xfId="16170"/>
    <cellStyle name="Normal 2 7 2 3 3 2" xfId="16171"/>
    <cellStyle name="Normal 2 7 2 3 4" xfId="16172"/>
    <cellStyle name="Normal 2 7 2 4" xfId="16173"/>
    <cellStyle name="Normal 2 7 2 4 2" xfId="16174"/>
    <cellStyle name="Normal 2 7 2 4 3" xfId="16175"/>
    <cellStyle name="Normal 2 7 2 5" xfId="16176"/>
    <cellStyle name="Normal 2 7 2 5 2" xfId="16177"/>
    <cellStyle name="Normal 2 7 2 6" xfId="16178"/>
    <cellStyle name="Normal 2 7 2 6 2" xfId="16179"/>
    <cellStyle name="Normal 2 7 2 7" xfId="16180"/>
    <cellStyle name="Normal 2 7 3" xfId="16181"/>
    <cellStyle name="Normal 2 7 3 2" xfId="16182"/>
    <cellStyle name="Normal 2 7 3 2 2" xfId="16183"/>
    <cellStyle name="Normal 2 7 3 2 2 2" xfId="16184"/>
    <cellStyle name="Normal 2 7 3 2 2 3" xfId="16185"/>
    <cellStyle name="Normal 2 7 3 2 3" xfId="16186"/>
    <cellStyle name="Normal 2 7 3 2 3 2" xfId="16187"/>
    <cellStyle name="Normal 2 7 3 2 4" xfId="16188"/>
    <cellStyle name="Normal 2 7 3 2 4 2" xfId="16189"/>
    <cellStyle name="Normal 2 7 3 2 5" xfId="16190"/>
    <cellStyle name="Normal 2 7 3 3" xfId="16191"/>
    <cellStyle name="Normal 2 7 3 3 2" xfId="16192"/>
    <cellStyle name="Normal 2 7 3 3 2 2" xfId="16193"/>
    <cellStyle name="Normal 2 7 3 3 3" xfId="16194"/>
    <cellStyle name="Normal 2 7 3 3 3 2" xfId="16195"/>
    <cellStyle name="Normal 2 7 3 3 4" xfId="16196"/>
    <cellStyle name="Normal 2 7 3 4" xfId="16197"/>
    <cellStyle name="Normal 2 7 3 4 2" xfId="16198"/>
    <cellStyle name="Normal 2 7 3 4 3" xfId="16199"/>
    <cellStyle name="Normal 2 7 3 5" xfId="16200"/>
    <cellStyle name="Normal 2 7 3 5 2" xfId="16201"/>
    <cellStyle name="Normal 2 7 3 6" xfId="16202"/>
    <cellStyle name="Normal 2 7 3 6 2" xfId="16203"/>
    <cellStyle name="Normal 2 7 3 7" xfId="16204"/>
    <cellStyle name="Normal 2 7 4" xfId="16205"/>
    <cellStyle name="Normal 2 7 4 2" xfId="16206"/>
    <cellStyle name="Normal 2 7 4 2 2" xfId="16207"/>
    <cellStyle name="Normal 2 7 4 2 2 2" xfId="16208"/>
    <cellStyle name="Normal 2 7 4 2 3" xfId="16209"/>
    <cellStyle name="Normal 2 7 4 2 3 2" xfId="16210"/>
    <cellStyle name="Normal 2 7 4 2 4" xfId="16211"/>
    <cellStyle name="Normal 2 7 4 3" xfId="16212"/>
    <cellStyle name="Normal 2 7 4 3 2" xfId="16213"/>
    <cellStyle name="Normal 2 7 4 3 3" xfId="16214"/>
    <cellStyle name="Normal 2 7 4 4" xfId="16215"/>
    <cellStyle name="Normal 2 7 4 4 2" xfId="16216"/>
    <cellStyle name="Normal 2 7 4 5" xfId="16217"/>
    <cellStyle name="Normal 2 7 4 5 2" xfId="16218"/>
    <cellStyle name="Normal 2 7 4 6" xfId="16219"/>
    <cellStyle name="Normal 2 7 5" xfId="16220"/>
    <cellStyle name="Normal 2 7 5 2" xfId="16221"/>
    <cellStyle name="Normal 2 7 5 2 2" xfId="16222"/>
    <cellStyle name="Normal 2 7 5 3" xfId="16223"/>
    <cellStyle name="Normal 2 7 5 3 2" xfId="16224"/>
    <cellStyle name="Normal 2 7 5 4" xfId="16225"/>
    <cellStyle name="Normal 2 7 6" xfId="16226"/>
    <cellStyle name="Normal 2 7 6 2" xfId="16227"/>
    <cellStyle name="Normal 2 7 6 2 2" xfId="16228"/>
    <cellStyle name="Normal 2 7 6 3" xfId="16229"/>
    <cellStyle name="Normal 2 7 6 3 2" xfId="16230"/>
    <cellStyle name="Normal 2 7 6 4" xfId="16231"/>
    <cellStyle name="Normal 2 7 7" xfId="16232"/>
    <cellStyle name="Normal 2 7 7 2" xfId="16233"/>
    <cellStyle name="Normal 2 7 7 3" xfId="16234"/>
    <cellStyle name="Normal 2 7 8" xfId="16235"/>
    <cellStyle name="Normal 2 7 8 2" xfId="16236"/>
    <cellStyle name="Normal 2 7 9" xfId="16237"/>
    <cellStyle name="Normal 2 7 9 2" xfId="16238"/>
    <cellStyle name="Normal 2 8" xfId="16239"/>
    <cellStyle name="Normal 2 8 2" xfId="16240"/>
    <cellStyle name="Normal 2 8 2 2" xfId="16241"/>
    <cellStyle name="Normal 2 8 2 2 2" xfId="16242"/>
    <cellStyle name="Normal 2 8 2 3" xfId="16243"/>
    <cellStyle name="Normal 2 8 2 3 2" xfId="16244"/>
    <cellStyle name="Normal 2 8 2 4" xfId="16245"/>
    <cellStyle name="Normal 2 8 3" xfId="16246"/>
    <cellStyle name="Normal 2 8 3 2" xfId="16247"/>
    <cellStyle name="Normal 2 8 3 3" xfId="16248"/>
    <cellStyle name="Normal 2 8 4" xfId="16249"/>
    <cellStyle name="Normal 2 8 4 2" xfId="16250"/>
    <cellStyle name="Normal 2 8 5" xfId="16251"/>
    <cellStyle name="Normal 2 8 5 2" xfId="16252"/>
    <cellStyle name="Normal 2 8 6" xfId="16253"/>
    <cellStyle name="Normal 2 9" xfId="16254"/>
    <cellStyle name="Normal 2 9 2" xfId="16255"/>
    <cellStyle name="Normal 2 9 2 2" xfId="16256"/>
    <cellStyle name="Normal 2 9 3" xfId="16257"/>
    <cellStyle name="Normal 2 9 3 2" xfId="16258"/>
    <cellStyle name="Normal 2 9 4" xfId="16259"/>
    <cellStyle name="Normal 20" xfId="16260"/>
    <cellStyle name="Normal 20 2" xfId="16261"/>
    <cellStyle name="Normal 20 3" xfId="16262"/>
    <cellStyle name="Normal 21" xfId="16263"/>
    <cellStyle name="Normal 21 2" xfId="16264"/>
    <cellStyle name="Normal 21 3" xfId="16265"/>
    <cellStyle name="Normal 22" xfId="16266"/>
    <cellStyle name="Normal 22 2" xfId="16267"/>
    <cellStyle name="Normal 22 3" xfId="16268"/>
    <cellStyle name="Normal 23" xfId="16269"/>
    <cellStyle name="Normal 23 2" xfId="16270"/>
    <cellStyle name="Normal 23 3" xfId="16271"/>
    <cellStyle name="Normal 23 4" xfId="16272"/>
    <cellStyle name="Normal 23 5" xfId="16273"/>
    <cellStyle name="Normal 23 6" xfId="16274"/>
    <cellStyle name="Normal 24" xfId="16275"/>
    <cellStyle name="Normal 24 2" xfId="16276"/>
    <cellStyle name="Normal 24 3" xfId="16277"/>
    <cellStyle name="Normal 25" xfId="16278"/>
    <cellStyle name="Normal 25 2" xfId="16279"/>
    <cellStyle name="Normal 25 2 2" xfId="16280"/>
    <cellStyle name="Normal 25 2 2 2" xfId="16281"/>
    <cellStyle name="Normal 25 2 2 3" xfId="16282"/>
    <cellStyle name="Normal 25 2 3" xfId="16283"/>
    <cellStyle name="Normal 25 3" xfId="16284"/>
    <cellStyle name="Normal 25 3 2" xfId="16285"/>
    <cellStyle name="Normal 25 4" xfId="16286"/>
    <cellStyle name="Normal 25 5" xfId="16287"/>
    <cellStyle name="Normal 26" xfId="16288"/>
    <cellStyle name="Normal 26 2" xfId="16289"/>
    <cellStyle name="Normal 26 2 2" xfId="16290"/>
    <cellStyle name="Normal 26 2 2 2" xfId="16291"/>
    <cellStyle name="Normal 26 2 2 3" xfId="16292"/>
    <cellStyle name="Normal 26 2 3" xfId="16293"/>
    <cellStyle name="Normal 26 3" xfId="16294"/>
    <cellStyle name="Normal 26 3 2" xfId="16295"/>
    <cellStyle name="Normal 26 4" xfId="16296"/>
    <cellStyle name="Normal 26 5" xfId="16297"/>
    <cellStyle name="Normal 27" xfId="16298"/>
    <cellStyle name="Normal 27 2" xfId="16299"/>
    <cellStyle name="Normal 27 2 2" xfId="16300"/>
    <cellStyle name="Normal 27 2 2 2" xfId="16301"/>
    <cellStyle name="Normal 27 2 2 3" xfId="16302"/>
    <cellStyle name="Normal 27 2 3" xfId="16303"/>
    <cellStyle name="Normal 27 3" xfId="16304"/>
    <cellStyle name="Normal 27 3 2" xfId="16305"/>
    <cellStyle name="Normal 27 4" xfId="16306"/>
    <cellStyle name="Normal 27 5" xfId="16307"/>
    <cellStyle name="Normal 28" xfId="16308"/>
    <cellStyle name="Normal 28 2" xfId="16309"/>
    <cellStyle name="Normal 28 3" xfId="16310"/>
    <cellStyle name="Normal 29" xfId="16311"/>
    <cellStyle name="Normal 29 2" xfId="16312"/>
    <cellStyle name="Normal 29 3" xfId="16313"/>
    <cellStyle name="Normal 3" xfId="70"/>
    <cellStyle name="Normal 3 10" xfId="16314"/>
    <cellStyle name="Normal 3 10 2" xfId="16315"/>
    <cellStyle name="Normal 3 10 2 2" xfId="16316"/>
    <cellStyle name="Normal 3 10 2 2 2" xfId="16317"/>
    <cellStyle name="Normal 3 10 2 2 3" xfId="16318"/>
    <cellStyle name="Normal 3 10 2 3" xfId="16319"/>
    <cellStyle name="Normal 3 10 2 3 2" xfId="16320"/>
    <cellStyle name="Normal 3 10 2 4" xfId="16321"/>
    <cellStyle name="Normal 3 10 2 4 2" xfId="16322"/>
    <cellStyle name="Normal 3 10 2 5" xfId="16323"/>
    <cellStyle name="Normal 3 10 3" xfId="16324"/>
    <cellStyle name="Normal 3 10 3 2" xfId="16325"/>
    <cellStyle name="Normal 3 10 3 2 2" xfId="16326"/>
    <cellStyle name="Normal 3 10 3 3" xfId="16327"/>
    <cellStyle name="Normal 3 10 3 3 2" xfId="16328"/>
    <cellStyle name="Normal 3 10 3 4" xfId="16329"/>
    <cellStyle name="Normal 3 10 4" xfId="16330"/>
    <cellStyle name="Normal 3 10 4 2" xfId="16331"/>
    <cellStyle name="Normal 3 10 4 3" xfId="16332"/>
    <cellStyle name="Normal 3 10 5" xfId="16333"/>
    <cellStyle name="Normal 3 10 5 2" xfId="16334"/>
    <cellStyle name="Normal 3 10 6" xfId="16335"/>
    <cellStyle name="Normal 3 10 6 2" xfId="16336"/>
    <cellStyle name="Normal 3 10 7" xfId="16337"/>
    <cellStyle name="Normal 3 11" xfId="16338"/>
    <cellStyle name="Normal 3 11 2" xfId="16339"/>
    <cellStyle name="Normal 3 11 2 2" xfId="16340"/>
    <cellStyle name="Normal 3 11 2 2 2" xfId="16341"/>
    <cellStyle name="Normal 3 11 2 2 3" xfId="16342"/>
    <cellStyle name="Normal 3 11 2 3" xfId="16343"/>
    <cellStyle name="Normal 3 11 2 3 2" xfId="16344"/>
    <cellStyle name="Normal 3 11 2 4" xfId="16345"/>
    <cellStyle name="Normal 3 11 2 4 2" xfId="16346"/>
    <cellStyle name="Normal 3 11 2 5" xfId="16347"/>
    <cellStyle name="Normal 3 11 3" xfId="16348"/>
    <cellStyle name="Normal 3 11 3 2" xfId="16349"/>
    <cellStyle name="Normal 3 11 3 2 2" xfId="16350"/>
    <cellStyle name="Normal 3 11 3 3" xfId="16351"/>
    <cellStyle name="Normal 3 11 3 3 2" xfId="16352"/>
    <cellStyle name="Normal 3 11 3 4" xfId="16353"/>
    <cellStyle name="Normal 3 11 4" xfId="16354"/>
    <cellStyle name="Normal 3 11 4 2" xfId="16355"/>
    <cellStyle name="Normal 3 11 4 3" xfId="16356"/>
    <cellStyle name="Normal 3 11 5" xfId="16357"/>
    <cellStyle name="Normal 3 11 5 2" xfId="16358"/>
    <cellStyle name="Normal 3 11 6" xfId="16359"/>
    <cellStyle name="Normal 3 11 6 2" xfId="16360"/>
    <cellStyle name="Normal 3 11 7" xfId="16361"/>
    <cellStyle name="Normal 3 12" xfId="16362"/>
    <cellStyle name="Normal 3 12 2" xfId="16363"/>
    <cellStyle name="Normal 3 12 2 2" xfId="16364"/>
    <cellStyle name="Normal 3 12 2 2 2" xfId="16365"/>
    <cellStyle name="Normal 3 12 2 3" xfId="16366"/>
    <cellStyle name="Normal 3 12 2 3 2" xfId="16367"/>
    <cellStyle name="Normal 3 12 2 4" xfId="16368"/>
    <cellStyle name="Normal 3 12 3" xfId="16369"/>
    <cellStyle name="Normal 3 12 3 2" xfId="16370"/>
    <cellStyle name="Normal 3 12 3 3" xfId="16371"/>
    <cellStyle name="Normal 3 12 4" xfId="16372"/>
    <cellStyle name="Normal 3 12 4 2" xfId="16373"/>
    <cellStyle name="Normal 3 12 5" xfId="16374"/>
    <cellStyle name="Normal 3 12 5 2" xfId="16375"/>
    <cellStyle name="Normal 3 12 6" xfId="16376"/>
    <cellStyle name="Normal 3 13" xfId="16377"/>
    <cellStyle name="Normal 3 13 2" xfId="16378"/>
    <cellStyle name="Normal 3 13 2 2" xfId="16379"/>
    <cellStyle name="Normal 3 13 3" xfId="16380"/>
    <cellStyle name="Normal 3 13 3 2" xfId="16381"/>
    <cellStyle name="Normal 3 13 4" xfId="16382"/>
    <cellStyle name="Normal 3 14" xfId="16383"/>
    <cellStyle name="Normal 3 14 2" xfId="16384"/>
    <cellStyle name="Normal 3 14 2 2" xfId="16385"/>
    <cellStyle name="Normal 3 14 3" xfId="16386"/>
    <cellStyle name="Normal 3 14 3 2" xfId="16387"/>
    <cellStyle name="Normal 3 14 4" xfId="16388"/>
    <cellStyle name="Normal 3 15" xfId="16389"/>
    <cellStyle name="Normal 3 15 2" xfId="16390"/>
    <cellStyle name="Normal 3 15 3" xfId="16391"/>
    <cellStyle name="Normal 3 16" xfId="16392"/>
    <cellStyle name="Normal 3 16 2" xfId="16393"/>
    <cellStyle name="Normal 3 17" xfId="16394"/>
    <cellStyle name="Normal 3 17 2" xfId="16395"/>
    <cellStyle name="Normal 3 18" xfId="16396"/>
    <cellStyle name="Normal 3 19" xfId="16397"/>
    <cellStyle name="Normal 3 2" xfId="16398"/>
    <cellStyle name="Normal 3 2 10" xfId="16399"/>
    <cellStyle name="Normal 3 2 10 2" xfId="16400"/>
    <cellStyle name="Normal 3 2 10 2 2" xfId="16401"/>
    <cellStyle name="Normal 3 2 10 2 2 2" xfId="16402"/>
    <cellStyle name="Normal 3 2 10 2 2 3" xfId="16403"/>
    <cellStyle name="Normal 3 2 10 2 2 4" xfId="16404"/>
    <cellStyle name="Normal 3 2 10 2 3" xfId="16405"/>
    <cellStyle name="Normal 3 2 10 2 3 2" xfId="16406"/>
    <cellStyle name="Normal 3 2 10 2 4" xfId="16407"/>
    <cellStyle name="Normal 3 2 10 2 4 2" xfId="16408"/>
    <cellStyle name="Normal 3 2 10 2 5" xfId="16409"/>
    <cellStyle name="Normal 3 2 10 2 6" xfId="16410"/>
    <cellStyle name="Normal 3 2 10 3" xfId="16411"/>
    <cellStyle name="Normal 3 2 10 3 2" xfId="16412"/>
    <cellStyle name="Normal 3 2 10 3 2 2" xfId="16413"/>
    <cellStyle name="Normal 3 2 10 3 2 3" xfId="16414"/>
    <cellStyle name="Normal 3 2 10 3 3" xfId="16415"/>
    <cellStyle name="Normal 3 2 10 3 3 2" xfId="16416"/>
    <cellStyle name="Normal 3 2 10 3 4" xfId="16417"/>
    <cellStyle name="Normal 3 2 10 3 5" xfId="16418"/>
    <cellStyle name="Normal 3 2 10 4" xfId="16419"/>
    <cellStyle name="Normal 3 2 10 4 2" xfId="16420"/>
    <cellStyle name="Normal 3 2 10 4 2 2" xfId="16421"/>
    <cellStyle name="Normal 3 2 10 4 3" xfId="16422"/>
    <cellStyle name="Normal 3 2 10 4 4" xfId="16423"/>
    <cellStyle name="Normal 3 2 10 5" xfId="16424"/>
    <cellStyle name="Normal 3 2 10 5 2" xfId="16425"/>
    <cellStyle name="Normal 3 2 10 5 3" xfId="16426"/>
    <cellStyle name="Normal 3 2 10 6" xfId="16427"/>
    <cellStyle name="Normal 3 2 10 6 2" xfId="16428"/>
    <cellStyle name="Normal 3 2 10 6 3" xfId="16429"/>
    <cellStyle name="Normal 3 2 10 7" xfId="16430"/>
    <cellStyle name="Normal 3 2 10 8" xfId="16431"/>
    <cellStyle name="Normal 3 2 11" xfId="16432"/>
    <cellStyle name="Normal 3 2 11 2" xfId="16433"/>
    <cellStyle name="Normal 3 2 11 2 2" xfId="16434"/>
    <cellStyle name="Normal 3 2 11 2 2 2" xfId="16435"/>
    <cellStyle name="Normal 3 2 11 2 2 3" xfId="16436"/>
    <cellStyle name="Normal 3 2 11 2 3" xfId="16437"/>
    <cellStyle name="Normal 3 2 11 2 3 2" xfId="16438"/>
    <cellStyle name="Normal 3 2 11 2 4" xfId="16439"/>
    <cellStyle name="Normal 3 2 11 2 5" xfId="16440"/>
    <cellStyle name="Normal 3 2 11 3" xfId="16441"/>
    <cellStyle name="Normal 3 2 11 3 2" xfId="16442"/>
    <cellStyle name="Normal 3 2 11 3 2 2" xfId="16443"/>
    <cellStyle name="Normal 3 2 11 3 3" xfId="16444"/>
    <cellStyle name="Normal 3 2 11 3 4" xfId="16445"/>
    <cellStyle name="Normal 3 2 11 4" xfId="16446"/>
    <cellStyle name="Normal 3 2 11 4 2" xfId="16447"/>
    <cellStyle name="Normal 3 2 11 4 2 2" xfId="16448"/>
    <cellStyle name="Normal 3 2 11 4 3" xfId="16449"/>
    <cellStyle name="Normal 3 2 11 5" xfId="16450"/>
    <cellStyle name="Normal 3 2 11 5 2" xfId="16451"/>
    <cellStyle name="Normal 3 2 11 5 3" xfId="16452"/>
    <cellStyle name="Normal 3 2 11 6" xfId="16453"/>
    <cellStyle name="Normal 3 2 11 6 2" xfId="16454"/>
    <cellStyle name="Normal 3 2 11 7" xfId="16455"/>
    <cellStyle name="Normal 3 2 12" xfId="16456"/>
    <cellStyle name="Normal 3 2 12 2" xfId="16457"/>
    <cellStyle name="Normal 3 2 12 2 2" xfId="16458"/>
    <cellStyle name="Normal 3 2 12 2 2 2" xfId="16459"/>
    <cellStyle name="Normal 3 2 12 2 3" xfId="16460"/>
    <cellStyle name="Normal 3 2 12 3" xfId="16461"/>
    <cellStyle name="Normal 3 2 12 3 2" xfId="16462"/>
    <cellStyle name="Normal 3 2 12 3 2 2" xfId="16463"/>
    <cellStyle name="Normal 3 2 12 3 3" xfId="16464"/>
    <cellStyle name="Normal 3 2 12 4" xfId="16465"/>
    <cellStyle name="Normal 3 2 12 4 2" xfId="16466"/>
    <cellStyle name="Normal 3 2 12 4 3" xfId="16467"/>
    <cellStyle name="Normal 3 2 12 5" xfId="16468"/>
    <cellStyle name="Normal 3 2 12 6" xfId="16469"/>
    <cellStyle name="Normal 3 2 12 7" xfId="16470"/>
    <cellStyle name="Normal 3 2 13" xfId="16471"/>
    <cellStyle name="Normal 3 2 13 2" xfId="16472"/>
    <cellStyle name="Normal 3 2 13 2 2" xfId="16473"/>
    <cellStyle name="Normal 3 2 13 2 2 2" xfId="16474"/>
    <cellStyle name="Normal 3 2 13 2 3" xfId="16475"/>
    <cellStyle name="Normal 3 2 13 3" xfId="16476"/>
    <cellStyle name="Normal 3 2 13 3 2" xfId="16477"/>
    <cellStyle name="Normal 3 2 13 3 2 2" xfId="16478"/>
    <cellStyle name="Normal 3 2 13 3 3" xfId="16479"/>
    <cellStyle name="Normal 3 2 13 4" xfId="16480"/>
    <cellStyle name="Normal 3 2 13 4 2" xfId="16481"/>
    <cellStyle name="Normal 3 2 13 5" xfId="16482"/>
    <cellStyle name="Normal 3 2 13 6" xfId="16483"/>
    <cellStyle name="Normal 3 2 14" xfId="16484"/>
    <cellStyle name="Normal 3 2 14 2" xfId="16485"/>
    <cellStyle name="Normal 3 2 14 2 2" xfId="16486"/>
    <cellStyle name="Normal 3 2 14 3" xfId="16487"/>
    <cellStyle name="Normal 3 2 14 4" xfId="16488"/>
    <cellStyle name="Normal 3 2 15" xfId="16489"/>
    <cellStyle name="Normal 3 2 15 2" xfId="16490"/>
    <cellStyle name="Normal 3 2 15 2 2" xfId="16491"/>
    <cellStyle name="Normal 3 2 15 3" xfId="16492"/>
    <cellStyle name="Normal 3 2 16" xfId="16493"/>
    <cellStyle name="Normal 3 2 16 2" xfId="16494"/>
    <cellStyle name="Normal 3 2 16 2 2" xfId="16495"/>
    <cellStyle name="Normal 3 2 16 3" xfId="16496"/>
    <cellStyle name="Normal 3 2 17" xfId="16497"/>
    <cellStyle name="Normal 3 2 17 2" xfId="16498"/>
    <cellStyle name="Normal 3 2 18" xfId="16499"/>
    <cellStyle name="Normal 3 2 19" xfId="16500"/>
    <cellStyle name="Normal 3 2 2" xfId="16501"/>
    <cellStyle name="Normal 3 2 2 10" xfId="16502"/>
    <cellStyle name="Normal 3 2 2 10 2" xfId="16503"/>
    <cellStyle name="Normal 3 2 2 10 2 2" xfId="16504"/>
    <cellStyle name="Normal 3 2 2 10 2 2 2" xfId="16505"/>
    <cellStyle name="Normal 3 2 2 10 2 3" xfId="16506"/>
    <cellStyle name="Normal 3 2 2 10 3" xfId="16507"/>
    <cellStyle name="Normal 3 2 2 10 3 2" xfId="16508"/>
    <cellStyle name="Normal 3 2 2 10 3 2 2" xfId="16509"/>
    <cellStyle name="Normal 3 2 2 10 3 3" xfId="16510"/>
    <cellStyle name="Normal 3 2 2 10 4" xfId="16511"/>
    <cellStyle name="Normal 3 2 2 10 4 2" xfId="16512"/>
    <cellStyle name="Normal 3 2 2 10 4 3" xfId="16513"/>
    <cellStyle name="Normal 3 2 2 10 5" xfId="16514"/>
    <cellStyle name="Normal 3 2 2 10 6" xfId="16515"/>
    <cellStyle name="Normal 3 2 2 10 7" xfId="16516"/>
    <cellStyle name="Normal 3 2 2 11" xfId="16517"/>
    <cellStyle name="Normal 3 2 2 11 2" xfId="16518"/>
    <cellStyle name="Normal 3 2 2 11 2 2" xfId="16519"/>
    <cellStyle name="Normal 3 2 2 11 2 2 2" xfId="16520"/>
    <cellStyle name="Normal 3 2 2 11 2 3" xfId="16521"/>
    <cellStyle name="Normal 3 2 2 11 3" xfId="16522"/>
    <cellStyle name="Normal 3 2 2 11 3 2" xfId="16523"/>
    <cellStyle name="Normal 3 2 2 11 3 2 2" xfId="16524"/>
    <cellStyle name="Normal 3 2 2 11 3 3" xfId="16525"/>
    <cellStyle name="Normal 3 2 2 11 4" xfId="16526"/>
    <cellStyle name="Normal 3 2 2 11 4 2" xfId="16527"/>
    <cellStyle name="Normal 3 2 2 11 4 3" xfId="16528"/>
    <cellStyle name="Normal 3 2 2 11 5" xfId="16529"/>
    <cellStyle name="Normal 3 2 2 11 6" xfId="16530"/>
    <cellStyle name="Normal 3 2 2 11 7" xfId="16531"/>
    <cellStyle name="Normal 3 2 2 12" xfId="16532"/>
    <cellStyle name="Normal 3 2 2 12 2" xfId="16533"/>
    <cellStyle name="Normal 3 2 2 12 2 2" xfId="16534"/>
    <cellStyle name="Normal 3 2 2 12 2 3" xfId="16535"/>
    <cellStyle name="Normal 3 2 2 12 3" xfId="16536"/>
    <cellStyle name="Normal 3 2 2 12 3 2" xfId="16537"/>
    <cellStyle name="Normal 3 2 2 12 3 3" xfId="16538"/>
    <cellStyle name="Normal 3 2 2 12 4" xfId="16539"/>
    <cellStyle name="Normal 3 2 2 12 5" xfId="16540"/>
    <cellStyle name="Normal 3 2 2 12 6" xfId="16541"/>
    <cellStyle name="Normal 3 2 2 13" xfId="16542"/>
    <cellStyle name="Normal 3 2 2 13 2" xfId="16543"/>
    <cellStyle name="Normal 3 2 2 13 2 2" xfId="16544"/>
    <cellStyle name="Normal 3 2 2 13 3" xfId="16545"/>
    <cellStyle name="Normal 3 2 2 14" xfId="16546"/>
    <cellStyle name="Normal 3 2 2 14 2" xfId="16547"/>
    <cellStyle name="Normal 3 2 2 14 2 2" xfId="16548"/>
    <cellStyle name="Normal 3 2 2 14 3" xfId="16549"/>
    <cellStyle name="Normal 3 2 2 15" xfId="16550"/>
    <cellStyle name="Normal 3 2 2 15 2" xfId="16551"/>
    <cellStyle name="Normal 3 2 2 15 3" xfId="16552"/>
    <cellStyle name="Normal 3 2 2 16" xfId="16553"/>
    <cellStyle name="Normal 3 2 2 17" xfId="16554"/>
    <cellStyle name="Normal 3 2 2 18" xfId="16555"/>
    <cellStyle name="Normal 3 2 2 19" xfId="16556"/>
    <cellStyle name="Normal 3 2 2 2" xfId="16557"/>
    <cellStyle name="Normal 3 2 2 2 10" xfId="16558"/>
    <cellStyle name="Normal 3 2 2 2 10 2" xfId="16559"/>
    <cellStyle name="Normal 3 2 2 2 10 2 2" xfId="16560"/>
    <cellStyle name="Normal 3 2 2 2 10 2 3" xfId="16561"/>
    <cellStyle name="Normal 3 2 2 2 10 3" xfId="16562"/>
    <cellStyle name="Normal 3 2 2 2 10 3 2" xfId="16563"/>
    <cellStyle name="Normal 3 2 2 2 10 3 3" xfId="16564"/>
    <cellStyle name="Normal 3 2 2 2 10 4" xfId="16565"/>
    <cellStyle name="Normal 3 2 2 2 10 4 2" xfId="16566"/>
    <cellStyle name="Normal 3 2 2 2 10 5" xfId="16567"/>
    <cellStyle name="Normal 3 2 2 2 10 6" xfId="16568"/>
    <cellStyle name="Normal 3 2 2 2 10 7" xfId="16569"/>
    <cellStyle name="Normal 3 2 2 2 11" xfId="16570"/>
    <cellStyle name="Normal 3 2 2 2 11 2" xfId="16571"/>
    <cellStyle name="Normal 3 2 2 2 11 2 2" xfId="16572"/>
    <cellStyle name="Normal 3 2 2 2 11 2 3" xfId="16573"/>
    <cellStyle name="Normal 3 2 2 2 11 3" xfId="16574"/>
    <cellStyle name="Normal 3 2 2 2 11 3 2" xfId="16575"/>
    <cellStyle name="Normal 3 2 2 2 11 4" xfId="16576"/>
    <cellStyle name="Normal 3 2 2 2 11 4 2" xfId="16577"/>
    <cellStyle name="Normal 3 2 2 2 11 5" xfId="16578"/>
    <cellStyle name="Normal 3 2 2 2 11 6" xfId="16579"/>
    <cellStyle name="Normal 3 2 2 2 11 7" xfId="16580"/>
    <cellStyle name="Normal 3 2 2 2 12" xfId="16581"/>
    <cellStyle name="Normal 3 2 2 2 12 2" xfId="16582"/>
    <cellStyle name="Normal 3 2 2 2 12 2 2" xfId="16583"/>
    <cellStyle name="Normal 3 2 2 2 12 2 3" xfId="16584"/>
    <cellStyle name="Normal 3 2 2 2 12 3" xfId="16585"/>
    <cellStyle name="Normal 3 2 2 2 12 3 2" xfId="16586"/>
    <cellStyle name="Normal 3 2 2 2 12 4" xfId="16587"/>
    <cellStyle name="Normal 3 2 2 2 12 5" xfId="16588"/>
    <cellStyle name="Normal 3 2 2 2 12 6" xfId="16589"/>
    <cellStyle name="Normal 3 2 2 2 13" xfId="16590"/>
    <cellStyle name="Normal 3 2 2 2 13 2" xfId="16591"/>
    <cellStyle name="Normal 3 2 2 2 13 3" xfId="16592"/>
    <cellStyle name="Normal 3 2 2 2 14" xfId="16593"/>
    <cellStyle name="Normal 3 2 2 2 14 2" xfId="16594"/>
    <cellStyle name="Normal 3 2 2 2 15" xfId="16595"/>
    <cellStyle name="Normal 3 2 2 2 15 2" xfId="16596"/>
    <cellStyle name="Normal 3 2 2 2 16" xfId="16597"/>
    <cellStyle name="Normal 3 2 2 2 17" xfId="16598"/>
    <cellStyle name="Normal 3 2 2 2 18" xfId="16599"/>
    <cellStyle name="Normal 3 2 2 2 2" xfId="16600"/>
    <cellStyle name="Normal 3 2 2 2 2 10" xfId="16601"/>
    <cellStyle name="Normal 3 2 2 2 2 10 10" xfId="16602"/>
    <cellStyle name="Normal 3 2 2 2 2 10 11" xfId="16603"/>
    <cellStyle name="Normal 3 2 2 2 2 10 2" xfId="16604"/>
    <cellStyle name="Normal 3 2 2 2 2 10 2 2" xfId="16605"/>
    <cellStyle name="Normal 3 2 2 2 2 10 2 2 2" xfId="16606"/>
    <cellStyle name="Normal 3 2 2 2 2 10 2 3" xfId="16607"/>
    <cellStyle name="Normal 3 2 2 2 2 10 2 3 2" xfId="16608"/>
    <cellStyle name="Normal 3 2 2 2 2 10 2 4" xfId="16609"/>
    <cellStyle name="Normal 3 2 2 2 2 10 2 4 2" xfId="16610"/>
    <cellStyle name="Normal 3 2 2 2 2 10 2 5" xfId="16611"/>
    <cellStyle name="Normal 3 2 2 2 2 10 2 6" xfId="16612"/>
    <cellStyle name="Normal 3 2 2 2 2 10 2 7" xfId="16613"/>
    <cellStyle name="Normal 3 2 2 2 2 10 3" xfId="16614"/>
    <cellStyle name="Normal 3 2 2 2 2 10 3 2" xfId="16615"/>
    <cellStyle name="Normal 3 2 2 2 2 10 3 2 2" xfId="16616"/>
    <cellStyle name="Normal 3 2 2 2 2 10 3 3" xfId="16617"/>
    <cellStyle name="Normal 3 2 2 2 2 10 3 3 2" xfId="16618"/>
    <cellStyle name="Normal 3 2 2 2 2 10 3 4" xfId="16619"/>
    <cellStyle name="Normal 3 2 2 2 2 10 3 4 2" xfId="16620"/>
    <cellStyle name="Normal 3 2 2 2 2 10 3 5" xfId="16621"/>
    <cellStyle name="Normal 3 2 2 2 2 10 3 6" xfId="16622"/>
    <cellStyle name="Normal 3 2 2 2 2 10 4" xfId="16623"/>
    <cellStyle name="Normal 3 2 2 2 2 10 4 2" xfId="16624"/>
    <cellStyle name="Normal 3 2 2 2 2 10 4 2 2" xfId="16625"/>
    <cellStyle name="Normal 3 2 2 2 2 10 4 3" xfId="16626"/>
    <cellStyle name="Normal 3 2 2 2 2 10 4 3 2" xfId="16627"/>
    <cellStyle name="Normal 3 2 2 2 2 10 4 4" xfId="16628"/>
    <cellStyle name="Normal 3 2 2 2 2 10 4 4 2" xfId="16629"/>
    <cellStyle name="Normal 3 2 2 2 2 10 4 5" xfId="16630"/>
    <cellStyle name="Normal 3 2 2 2 2 10 4 6" xfId="16631"/>
    <cellStyle name="Normal 3 2 2 2 2 10 5" xfId="16632"/>
    <cellStyle name="Normal 3 2 2 2 2 10 5 2" xfId="16633"/>
    <cellStyle name="Normal 3 2 2 2 2 10 5 2 2" xfId="16634"/>
    <cellStyle name="Normal 3 2 2 2 2 10 5 3" xfId="16635"/>
    <cellStyle name="Normal 3 2 2 2 2 10 5 3 2" xfId="16636"/>
    <cellStyle name="Normal 3 2 2 2 2 10 5 4" xfId="16637"/>
    <cellStyle name="Normal 3 2 2 2 2 10 5 5" xfId="16638"/>
    <cellStyle name="Normal 3 2 2 2 2 10 6" xfId="16639"/>
    <cellStyle name="Normal 3 2 2 2 2 10 6 2" xfId="16640"/>
    <cellStyle name="Normal 3 2 2 2 2 10 7" xfId="16641"/>
    <cellStyle name="Normal 3 2 2 2 2 10 7 2" xfId="16642"/>
    <cellStyle name="Normal 3 2 2 2 2 10 8" xfId="16643"/>
    <cellStyle name="Normal 3 2 2 2 2 10 8 2" xfId="16644"/>
    <cellStyle name="Normal 3 2 2 2 2 10 9" xfId="16645"/>
    <cellStyle name="Normal 3 2 2 2 2 11" xfId="16646"/>
    <cellStyle name="Normal 3 2 2 2 2 11 2" xfId="16647"/>
    <cellStyle name="Normal 3 2 2 2 2 11 2 2" xfId="16648"/>
    <cellStyle name="Normal 3 2 2 2 2 11 3" xfId="16649"/>
    <cellStyle name="Normal 3 2 2 2 2 11 3 2" xfId="16650"/>
    <cellStyle name="Normal 3 2 2 2 2 11 4" xfId="16651"/>
    <cellStyle name="Normal 3 2 2 2 2 11 4 2" xfId="16652"/>
    <cellStyle name="Normal 3 2 2 2 2 11 5" xfId="16653"/>
    <cellStyle name="Normal 3 2 2 2 2 11 6" xfId="16654"/>
    <cellStyle name="Normal 3 2 2 2 2 11 7" xfId="16655"/>
    <cellStyle name="Normal 3 2 2 2 2 12" xfId="16656"/>
    <cellStyle name="Normal 3 2 2 2 2 12 2" xfId="16657"/>
    <cellStyle name="Normal 3 2 2 2 2 12 2 2" xfId="16658"/>
    <cellStyle name="Normal 3 2 2 2 2 12 3" xfId="16659"/>
    <cellStyle name="Normal 3 2 2 2 2 12 3 2" xfId="16660"/>
    <cellStyle name="Normal 3 2 2 2 2 12 4" xfId="16661"/>
    <cellStyle name="Normal 3 2 2 2 2 12 4 2" xfId="16662"/>
    <cellStyle name="Normal 3 2 2 2 2 12 5" xfId="16663"/>
    <cellStyle name="Normal 3 2 2 2 2 12 6" xfId="16664"/>
    <cellStyle name="Normal 3 2 2 2 2 13" xfId="16665"/>
    <cellStyle name="Normal 3 2 2 2 2 13 2" xfId="16666"/>
    <cellStyle name="Normal 3 2 2 2 2 13 2 2" xfId="16667"/>
    <cellStyle name="Normal 3 2 2 2 2 13 3" xfId="16668"/>
    <cellStyle name="Normal 3 2 2 2 2 13 3 2" xfId="16669"/>
    <cellStyle name="Normal 3 2 2 2 2 13 4" xfId="16670"/>
    <cellStyle name="Normal 3 2 2 2 2 13 4 2" xfId="16671"/>
    <cellStyle name="Normal 3 2 2 2 2 13 5" xfId="16672"/>
    <cellStyle name="Normal 3 2 2 2 2 13 6" xfId="16673"/>
    <cellStyle name="Normal 3 2 2 2 2 14" xfId="16674"/>
    <cellStyle name="Normal 3 2 2 2 2 14 2" xfId="16675"/>
    <cellStyle name="Normal 3 2 2 2 2 14 2 2" xfId="16676"/>
    <cellStyle name="Normal 3 2 2 2 2 14 3" xfId="16677"/>
    <cellStyle name="Normal 3 2 2 2 2 14 3 2" xfId="16678"/>
    <cellStyle name="Normal 3 2 2 2 2 14 4" xfId="16679"/>
    <cellStyle name="Normal 3 2 2 2 2 14 5" xfId="16680"/>
    <cellStyle name="Normal 3 2 2 2 2 15" xfId="16681"/>
    <cellStyle name="Normal 3 2 2 2 2 15 2" xfId="16682"/>
    <cellStyle name="Normal 3 2 2 2 2 16" xfId="16683"/>
    <cellStyle name="Normal 3 2 2 2 2 16 2" xfId="16684"/>
    <cellStyle name="Normal 3 2 2 2 2 17" xfId="16685"/>
    <cellStyle name="Normal 3 2 2 2 2 17 2" xfId="16686"/>
    <cellStyle name="Normal 3 2 2 2 2 18" xfId="16687"/>
    <cellStyle name="Normal 3 2 2 2 2 19" xfId="16688"/>
    <cellStyle name="Normal 3 2 2 2 2 2" xfId="16689"/>
    <cellStyle name="Normal 3 2 2 2 2 2 10" xfId="16690"/>
    <cellStyle name="Normal 3 2 2 2 2 2 10 2" xfId="16691"/>
    <cellStyle name="Normal 3 2 2 2 2 2 10 2 2" xfId="16692"/>
    <cellStyle name="Normal 3 2 2 2 2 2 10 3" xfId="16693"/>
    <cellStyle name="Normal 3 2 2 2 2 2 10 3 2" xfId="16694"/>
    <cellStyle name="Normal 3 2 2 2 2 2 10 4" xfId="16695"/>
    <cellStyle name="Normal 3 2 2 2 2 2 10 4 2" xfId="16696"/>
    <cellStyle name="Normal 3 2 2 2 2 2 10 5" xfId="16697"/>
    <cellStyle name="Normal 3 2 2 2 2 2 10 6" xfId="16698"/>
    <cellStyle name="Normal 3 2 2 2 2 2 11" xfId="16699"/>
    <cellStyle name="Normal 3 2 2 2 2 2 11 2" xfId="16700"/>
    <cellStyle name="Normal 3 2 2 2 2 2 11 2 2" xfId="16701"/>
    <cellStyle name="Normal 3 2 2 2 2 2 11 3" xfId="16702"/>
    <cellStyle name="Normal 3 2 2 2 2 2 11 3 2" xfId="16703"/>
    <cellStyle name="Normal 3 2 2 2 2 2 11 4" xfId="16704"/>
    <cellStyle name="Normal 3 2 2 2 2 2 11 5" xfId="16705"/>
    <cellStyle name="Normal 3 2 2 2 2 2 12" xfId="16706"/>
    <cellStyle name="Normal 3 2 2 2 2 2 12 2" xfId="16707"/>
    <cellStyle name="Normal 3 2 2 2 2 2 13" xfId="16708"/>
    <cellStyle name="Normal 3 2 2 2 2 2 13 2" xfId="16709"/>
    <cellStyle name="Normal 3 2 2 2 2 2 14" xfId="16710"/>
    <cellStyle name="Normal 3 2 2 2 2 2 14 2" xfId="16711"/>
    <cellStyle name="Normal 3 2 2 2 2 2 15" xfId="16712"/>
    <cellStyle name="Normal 3 2 2 2 2 2 16" xfId="16713"/>
    <cellStyle name="Normal 3 2 2 2 2 2 17" xfId="16714"/>
    <cellStyle name="Normal 3 2 2 2 2 2 2" xfId="16715"/>
    <cellStyle name="Normal 3 2 2 2 2 2 2 10" xfId="16716"/>
    <cellStyle name="Normal 3 2 2 2 2 2 2 10 2" xfId="16717"/>
    <cellStyle name="Normal 3 2 2 2 2 2 2 11" xfId="16718"/>
    <cellStyle name="Normal 3 2 2 2 2 2 2 11 2" xfId="16719"/>
    <cellStyle name="Normal 3 2 2 2 2 2 2 12" xfId="16720"/>
    <cellStyle name="Normal 3 2 2 2 2 2 2 13" xfId="16721"/>
    <cellStyle name="Normal 3 2 2 2 2 2 2 14" xfId="16722"/>
    <cellStyle name="Normal 3 2 2 2 2 2 2 2" xfId="16723"/>
    <cellStyle name="Normal 3 2 2 2 2 2 2 2 10" xfId="16724"/>
    <cellStyle name="Normal 3 2 2 2 2 2 2 2 11" xfId="16725"/>
    <cellStyle name="Normal 3 2 2 2 2 2 2 2 12" xfId="16726"/>
    <cellStyle name="Normal 3 2 2 2 2 2 2 2 2" xfId="16727"/>
    <cellStyle name="Normal 3 2 2 2 2 2 2 2 2 2" xfId="16728"/>
    <cellStyle name="Normal 3 2 2 2 2 2 2 2 2 2 2" xfId="16729"/>
    <cellStyle name="Normal 3 2 2 2 2 2 2 2 2 2 3" xfId="16730"/>
    <cellStyle name="Normal 3 2 2 2 2 2 2 2 2 3" xfId="16731"/>
    <cellStyle name="Normal 3 2 2 2 2 2 2 2 2 3 2" xfId="16732"/>
    <cellStyle name="Normal 3 2 2 2 2 2 2 2 2 3 3" xfId="16733"/>
    <cellStyle name="Normal 3 2 2 2 2 2 2 2 2 4" xfId="16734"/>
    <cellStyle name="Normal 3 2 2 2 2 2 2 2 2 4 2" xfId="16735"/>
    <cellStyle name="Normal 3 2 2 2 2 2 2 2 2 5" xfId="16736"/>
    <cellStyle name="Normal 3 2 2 2 2 2 2 2 2 6" xfId="16737"/>
    <cellStyle name="Normal 3 2 2 2 2 2 2 2 2 7" xfId="16738"/>
    <cellStyle name="Normal 3 2 2 2 2 2 2 2 3" xfId="16739"/>
    <cellStyle name="Normal 3 2 2 2 2 2 2 2 3 2" xfId="16740"/>
    <cellStyle name="Normal 3 2 2 2 2 2 2 2 3 2 2" xfId="16741"/>
    <cellStyle name="Normal 3 2 2 2 2 2 2 2 3 2 3" xfId="16742"/>
    <cellStyle name="Normal 3 2 2 2 2 2 2 2 3 3" xfId="16743"/>
    <cellStyle name="Normal 3 2 2 2 2 2 2 2 3 3 2" xfId="16744"/>
    <cellStyle name="Normal 3 2 2 2 2 2 2 2 3 4" xfId="16745"/>
    <cellStyle name="Normal 3 2 2 2 2 2 2 2 3 4 2" xfId="16746"/>
    <cellStyle name="Normal 3 2 2 2 2 2 2 2 3 5" xfId="16747"/>
    <cellStyle name="Normal 3 2 2 2 2 2 2 2 3 6" xfId="16748"/>
    <cellStyle name="Normal 3 2 2 2 2 2 2 2 3 7" xfId="16749"/>
    <cellStyle name="Normal 3 2 2 2 2 2 2 2 4" xfId="16750"/>
    <cellStyle name="Normal 3 2 2 2 2 2 2 2 4 2" xfId="16751"/>
    <cellStyle name="Normal 3 2 2 2 2 2 2 2 4 2 2" xfId="16752"/>
    <cellStyle name="Normal 3 2 2 2 2 2 2 2 4 2 3" xfId="16753"/>
    <cellStyle name="Normal 3 2 2 2 2 2 2 2 4 3" xfId="16754"/>
    <cellStyle name="Normal 3 2 2 2 2 2 2 2 4 3 2" xfId="16755"/>
    <cellStyle name="Normal 3 2 2 2 2 2 2 2 4 4" xfId="16756"/>
    <cellStyle name="Normal 3 2 2 2 2 2 2 2 4 4 2" xfId="16757"/>
    <cellStyle name="Normal 3 2 2 2 2 2 2 2 4 5" xfId="16758"/>
    <cellStyle name="Normal 3 2 2 2 2 2 2 2 4 6" xfId="16759"/>
    <cellStyle name="Normal 3 2 2 2 2 2 2 2 4 7" xfId="16760"/>
    <cellStyle name="Normal 3 2 2 2 2 2 2 2 5" xfId="16761"/>
    <cellStyle name="Normal 3 2 2 2 2 2 2 2 5 2" xfId="16762"/>
    <cellStyle name="Normal 3 2 2 2 2 2 2 2 5 2 2" xfId="16763"/>
    <cellStyle name="Normal 3 2 2 2 2 2 2 2 5 3" xfId="16764"/>
    <cellStyle name="Normal 3 2 2 2 2 2 2 2 5 3 2" xfId="16765"/>
    <cellStyle name="Normal 3 2 2 2 2 2 2 2 5 4" xfId="16766"/>
    <cellStyle name="Normal 3 2 2 2 2 2 2 2 5 4 2" xfId="16767"/>
    <cellStyle name="Normal 3 2 2 2 2 2 2 2 5 5" xfId="16768"/>
    <cellStyle name="Normal 3 2 2 2 2 2 2 2 5 6" xfId="16769"/>
    <cellStyle name="Normal 3 2 2 2 2 2 2 2 5 7" xfId="16770"/>
    <cellStyle name="Normal 3 2 2 2 2 2 2 2 6" xfId="16771"/>
    <cellStyle name="Normal 3 2 2 2 2 2 2 2 6 2" xfId="16772"/>
    <cellStyle name="Normal 3 2 2 2 2 2 2 2 6 2 2" xfId="16773"/>
    <cellStyle name="Normal 3 2 2 2 2 2 2 2 6 3" xfId="16774"/>
    <cellStyle name="Normal 3 2 2 2 2 2 2 2 6 3 2" xfId="16775"/>
    <cellStyle name="Normal 3 2 2 2 2 2 2 2 6 4" xfId="16776"/>
    <cellStyle name="Normal 3 2 2 2 2 2 2 2 6 5" xfId="16777"/>
    <cellStyle name="Normal 3 2 2 2 2 2 2 2 7" xfId="16778"/>
    <cellStyle name="Normal 3 2 2 2 2 2 2 2 7 2" xfId="16779"/>
    <cellStyle name="Normal 3 2 2 2 2 2 2 2 8" xfId="16780"/>
    <cellStyle name="Normal 3 2 2 2 2 2 2 2 8 2" xfId="16781"/>
    <cellStyle name="Normal 3 2 2 2 2 2 2 2 9" xfId="16782"/>
    <cellStyle name="Normal 3 2 2 2 2 2 2 2 9 2" xfId="16783"/>
    <cellStyle name="Normal 3 2 2 2 2 2 2 3" xfId="16784"/>
    <cellStyle name="Normal 3 2 2 2 2 2 2 3 10" xfId="16785"/>
    <cellStyle name="Normal 3 2 2 2 2 2 2 3 11" xfId="16786"/>
    <cellStyle name="Normal 3 2 2 2 2 2 2 3 2" xfId="16787"/>
    <cellStyle name="Normal 3 2 2 2 2 2 2 3 2 2" xfId="16788"/>
    <cellStyle name="Normal 3 2 2 2 2 2 2 3 2 2 2" xfId="16789"/>
    <cellStyle name="Normal 3 2 2 2 2 2 2 3 2 2 3" xfId="16790"/>
    <cellStyle name="Normal 3 2 2 2 2 2 2 3 2 3" xfId="16791"/>
    <cellStyle name="Normal 3 2 2 2 2 2 2 3 2 3 2" xfId="16792"/>
    <cellStyle name="Normal 3 2 2 2 2 2 2 3 2 4" xfId="16793"/>
    <cellStyle name="Normal 3 2 2 2 2 2 2 3 2 4 2" xfId="16794"/>
    <cellStyle name="Normal 3 2 2 2 2 2 2 3 2 5" xfId="16795"/>
    <cellStyle name="Normal 3 2 2 2 2 2 2 3 2 6" xfId="16796"/>
    <cellStyle name="Normal 3 2 2 2 2 2 2 3 2 7" xfId="16797"/>
    <cellStyle name="Normal 3 2 2 2 2 2 2 3 3" xfId="16798"/>
    <cellStyle name="Normal 3 2 2 2 2 2 2 3 3 2" xfId="16799"/>
    <cellStyle name="Normal 3 2 2 2 2 2 2 3 3 2 2" xfId="16800"/>
    <cellStyle name="Normal 3 2 2 2 2 2 2 3 3 2 3" xfId="16801"/>
    <cellStyle name="Normal 3 2 2 2 2 2 2 3 3 3" xfId="16802"/>
    <cellStyle name="Normal 3 2 2 2 2 2 2 3 3 3 2" xfId="16803"/>
    <cellStyle name="Normal 3 2 2 2 2 2 2 3 3 4" xfId="16804"/>
    <cellStyle name="Normal 3 2 2 2 2 2 2 3 3 4 2" xfId="16805"/>
    <cellStyle name="Normal 3 2 2 2 2 2 2 3 3 5" xfId="16806"/>
    <cellStyle name="Normal 3 2 2 2 2 2 2 3 3 6" xfId="16807"/>
    <cellStyle name="Normal 3 2 2 2 2 2 2 3 3 7" xfId="16808"/>
    <cellStyle name="Normal 3 2 2 2 2 2 2 3 4" xfId="16809"/>
    <cellStyle name="Normal 3 2 2 2 2 2 2 3 4 2" xfId="16810"/>
    <cellStyle name="Normal 3 2 2 2 2 2 2 3 4 2 2" xfId="16811"/>
    <cellStyle name="Normal 3 2 2 2 2 2 2 3 4 3" xfId="16812"/>
    <cellStyle name="Normal 3 2 2 2 2 2 2 3 4 3 2" xfId="16813"/>
    <cellStyle name="Normal 3 2 2 2 2 2 2 3 4 4" xfId="16814"/>
    <cellStyle name="Normal 3 2 2 2 2 2 2 3 4 4 2" xfId="16815"/>
    <cellStyle name="Normal 3 2 2 2 2 2 2 3 4 5" xfId="16816"/>
    <cellStyle name="Normal 3 2 2 2 2 2 2 3 4 6" xfId="16817"/>
    <cellStyle name="Normal 3 2 2 2 2 2 2 3 4 7" xfId="16818"/>
    <cellStyle name="Normal 3 2 2 2 2 2 2 3 5" xfId="16819"/>
    <cellStyle name="Normal 3 2 2 2 2 2 2 3 5 2" xfId="16820"/>
    <cellStyle name="Normal 3 2 2 2 2 2 2 3 5 2 2" xfId="16821"/>
    <cellStyle name="Normal 3 2 2 2 2 2 2 3 5 3" xfId="16822"/>
    <cellStyle name="Normal 3 2 2 2 2 2 2 3 5 3 2" xfId="16823"/>
    <cellStyle name="Normal 3 2 2 2 2 2 2 3 5 4" xfId="16824"/>
    <cellStyle name="Normal 3 2 2 2 2 2 2 3 5 5" xfId="16825"/>
    <cellStyle name="Normal 3 2 2 2 2 2 2 3 6" xfId="16826"/>
    <cellStyle name="Normal 3 2 2 2 2 2 2 3 6 2" xfId="16827"/>
    <cellStyle name="Normal 3 2 2 2 2 2 2 3 7" xfId="16828"/>
    <cellStyle name="Normal 3 2 2 2 2 2 2 3 7 2" xfId="16829"/>
    <cellStyle name="Normal 3 2 2 2 2 2 2 3 8" xfId="16830"/>
    <cellStyle name="Normal 3 2 2 2 2 2 2 3 8 2" xfId="16831"/>
    <cellStyle name="Normal 3 2 2 2 2 2 2 3 9" xfId="16832"/>
    <cellStyle name="Normal 3 2 2 2 2 2 2 4" xfId="16833"/>
    <cellStyle name="Normal 3 2 2 2 2 2 2 4 10" xfId="16834"/>
    <cellStyle name="Normal 3 2 2 2 2 2 2 4 11" xfId="16835"/>
    <cellStyle name="Normal 3 2 2 2 2 2 2 4 2" xfId="16836"/>
    <cellStyle name="Normal 3 2 2 2 2 2 2 4 2 2" xfId="16837"/>
    <cellStyle name="Normal 3 2 2 2 2 2 2 4 2 2 2" xfId="16838"/>
    <cellStyle name="Normal 3 2 2 2 2 2 2 4 2 3" xfId="16839"/>
    <cellStyle name="Normal 3 2 2 2 2 2 2 4 2 3 2" xfId="16840"/>
    <cellStyle name="Normal 3 2 2 2 2 2 2 4 2 4" xfId="16841"/>
    <cellStyle name="Normal 3 2 2 2 2 2 2 4 2 4 2" xfId="16842"/>
    <cellStyle name="Normal 3 2 2 2 2 2 2 4 2 5" xfId="16843"/>
    <cellStyle name="Normal 3 2 2 2 2 2 2 4 2 6" xfId="16844"/>
    <cellStyle name="Normal 3 2 2 2 2 2 2 4 2 7" xfId="16845"/>
    <cellStyle name="Normal 3 2 2 2 2 2 2 4 3" xfId="16846"/>
    <cellStyle name="Normal 3 2 2 2 2 2 2 4 3 2" xfId="16847"/>
    <cellStyle name="Normal 3 2 2 2 2 2 2 4 3 2 2" xfId="16848"/>
    <cellStyle name="Normal 3 2 2 2 2 2 2 4 3 3" xfId="16849"/>
    <cellStyle name="Normal 3 2 2 2 2 2 2 4 3 3 2" xfId="16850"/>
    <cellStyle name="Normal 3 2 2 2 2 2 2 4 3 4" xfId="16851"/>
    <cellStyle name="Normal 3 2 2 2 2 2 2 4 3 4 2" xfId="16852"/>
    <cellStyle name="Normal 3 2 2 2 2 2 2 4 3 5" xfId="16853"/>
    <cellStyle name="Normal 3 2 2 2 2 2 2 4 3 6" xfId="16854"/>
    <cellStyle name="Normal 3 2 2 2 2 2 2 4 3 7" xfId="16855"/>
    <cellStyle name="Normal 3 2 2 2 2 2 2 4 4" xfId="16856"/>
    <cellStyle name="Normal 3 2 2 2 2 2 2 4 4 2" xfId="16857"/>
    <cellStyle name="Normal 3 2 2 2 2 2 2 4 4 2 2" xfId="16858"/>
    <cellStyle name="Normal 3 2 2 2 2 2 2 4 4 3" xfId="16859"/>
    <cellStyle name="Normal 3 2 2 2 2 2 2 4 4 3 2" xfId="16860"/>
    <cellStyle name="Normal 3 2 2 2 2 2 2 4 4 4" xfId="16861"/>
    <cellStyle name="Normal 3 2 2 2 2 2 2 4 4 4 2" xfId="16862"/>
    <cellStyle name="Normal 3 2 2 2 2 2 2 4 4 5" xfId="16863"/>
    <cellStyle name="Normal 3 2 2 2 2 2 2 4 4 6" xfId="16864"/>
    <cellStyle name="Normal 3 2 2 2 2 2 2 4 5" xfId="16865"/>
    <cellStyle name="Normal 3 2 2 2 2 2 2 4 5 2" xfId="16866"/>
    <cellStyle name="Normal 3 2 2 2 2 2 2 4 5 2 2" xfId="16867"/>
    <cellStyle name="Normal 3 2 2 2 2 2 2 4 5 3" xfId="16868"/>
    <cellStyle name="Normal 3 2 2 2 2 2 2 4 5 3 2" xfId="16869"/>
    <cellStyle name="Normal 3 2 2 2 2 2 2 4 5 4" xfId="16870"/>
    <cellStyle name="Normal 3 2 2 2 2 2 2 4 5 5" xfId="16871"/>
    <cellStyle name="Normal 3 2 2 2 2 2 2 4 6" xfId="16872"/>
    <cellStyle name="Normal 3 2 2 2 2 2 2 4 6 2" xfId="16873"/>
    <cellStyle name="Normal 3 2 2 2 2 2 2 4 7" xfId="16874"/>
    <cellStyle name="Normal 3 2 2 2 2 2 2 4 7 2" xfId="16875"/>
    <cellStyle name="Normal 3 2 2 2 2 2 2 4 8" xfId="16876"/>
    <cellStyle name="Normal 3 2 2 2 2 2 2 4 8 2" xfId="16877"/>
    <cellStyle name="Normal 3 2 2 2 2 2 2 4 9" xfId="16878"/>
    <cellStyle name="Normal 3 2 2 2 2 2 2 5" xfId="16879"/>
    <cellStyle name="Normal 3 2 2 2 2 2 2 5 2" xfId="16880"/>
    <cellStyle name="Normal 3 2 2 2 2 2 2 5 2 2" xfId="16881"/>
    <cellStyle name="Normal 3 2 2 2 2 2 2 5 2 3" xfId="16882"/>
    <cellStyle name="Normal 3 2 2 2 2 2 2 5 3" xfId="16883"/>
    <cellStyle name="Normal 3 2 2 2 2 2 2 5 3 2" xfId="16884"/>
    <cellStyle name="Normal 3 2 2 2 2 2 2 5 4" xfId="16885"/>
    <cellStyle name="Normal 3 2 2 2 2 2 2 5 4 2" xfId="16886"/>
    <cellStyle name="Normal 3 2 2 2 2 2 2 5 5" xfId="16887"/>
    <cellStyle name="Normal 3 2 2 2 2 2 2 5 6" xfId="16888"/>
    <cellStyle name="Normal 3 2 2 2 2 2 2 5 7" xfId="16889"/>
    <cellStyle name="Normal 3 2 2 2 2 2 2 6" xfId="16890"/>
    <cellStyle name="Normal 3 2 2 2 2 2 2 6 2" xfId="16891"/>
    <cellStyle name="Normal 3 2 2 2 2 2 2 6 2 2" xfId="16892"/>
    <cellStyle name="Normal 3 2 2 2 2 2 2 6 2 3" xfId="16893"/>
    <cellStyle name="Normal 3 2 2 2 2 2 2 6 3" xfId="16894"/>
    <cellStyle name="Normal 3 2 2 2 2 2 2 6 3 2" xfId="16895"/>
    <cellStyle name="Normal 3 2 2 2 2 2 2 6 4" xfId="16896"/>
    <cellStyle name="Normal 3 2 2 2 2 2 2 6 4 2" xfId="16897"/>
    <cellStyle name="Normal 3 2 2 2 2 2 2 6 5" xfId="16898"/>
    <cellStyle name="Normal 3 2 2 2 2 2 2 6 6" xfId="16899"/>
    <cellStyle name="Normal 3 2 2 2 2 2 2 6 7" xfId="16900"/>
    <cellStyle name="Normal 3 2 2 2 2 2 2 7" xfId="16901"/>
    <cellStyle name="Normal 3 2 2 2 2 2 2 7 2" xfId="16902"/>
    <cellStyle name="Normal 3 2 2 2 2 2 2 7 2 2" xfId="16903"/>
    <cellStyle name="Normal 3 2 2 2 2 2 2 7 3" xfId="16904"/>
    <cellStyle name="Normal 3 2 2 2 2 2 2 7 3 2" xfId="16905"/>
    <cellStyle name="Normal 3 2 2 2 2 2 2 7 4" xfId="16906"/>
    <cellStyle name="Normal 3 2 2 2 2 2 2 7 4 2" xfId="16907"/>
    <cellStyle name="Normal 3 2 2 2 2 2 2 7 5" xfId="16908"/>
    <cellStyle name="Normal 3 2 2 2 2 2 2 7 6" xfId="16909"/>
    <cellStyle name="Normal 3 2 2 2 2 2 2 7 7" xfId="16910"/>
    <cellStyle name="Normal 3 2 2 2 2 2 2 8" xfId="16911"/>
    <cellStyle name="Normal 3 2 2 2 2 2 2 8 2" xfId="16912"/>
    <cellStyle name="Normal 3 2 2 2 2 2 2 8 2 2" xfId="16913"/>
    <cellStyle name="Normal 3 2 2 2 2 2 2 8 3" xfId="16914"/>
    <cellStyle name="Normal 3 2 2 2 2 2 2 8 3 2" xfId="16915"/>
    <cellStyle name="Normal 3 2 2 2 2 2 2 8 4" xfId="16916"/>
    <cellStyle name="Normal 3 2 2 2 2 2 2 8 5" xfId="16917"/>
    <cellStyle name="Normal 3 2 2 2 2 2 2 9" xfId="16918"/>
    <cellStyle name="Normal 3 2 2 2 2 2 2 9 2" xfId="16919"/>
    <cellStyle name="Normal 3 2 2 2 2 2 3" xfId="16920"/>
    <cellStyle name="Normal 3 2 2 2 2 2 3 10" xfId="16921"/>
    <cellStyle name="Normal 3 2 2 2 2 2 3 10 2" xfId="16922"/>
    <cellStyle name="Normal 3 2 2 2 2 2 3 11" xfId="16923"/>
    <cellStyle name="Normal 3 2 2 2 2 2 3 11 2" xfId="16924"/>
    <cellStyle name="Normal 3 2 2 2 2 2 3 12" xfId="16925"/>
    <cellStyle name="Normal 3 2 2 2 2 2 3 13" xfId="16926"/>
    <cellStyle name="Normal 3 2 2 2 2 2 3 14" xfId="16927"/>
    <cellStyle name="Normal 3 2 2 2 2 2 3 2" xfId="16928"/>
    <cellStyle name="Normal 3 2 2 2 2 2 3 2 10" xfId="16929"/>
    <cellStyle name="Normal 3 2 2 2 2 2 3 2 11" xfId="16930"/>
    <cellStyle name="Normal 3 2 2 2 2 2 3 2 12" xfId="16931"/>
    <cellStyle name="Normal 3 2 2 2 2 2 3 2 2" xfId="16932"/>
    <cellStyle name="Normal 3 2 2 2 2 2 3 2 2 2" xfId="16933"/>
    <cellStyle name="Normal 3 2 2 2 2 2 3 2 2 2 2" xfId="16934"/>
    <cellStyle name="Normal 3 2 2 2 2 2 3 2 2 3" xfId="16935"/>
    <cellStyle name="Normal 3 2 2 2 2 2 3 2 2 3 2" xfId="16936"/>
    <cellStyle name="Normal 3 2 2 2 2 2 3 2 2 4" xfId="16937"/>
    <cellStyle name="Normal 3 2 2 2 2 2 3 2 2 4 2" xfId="16938"/>
    <cellStyle name="Normal 3 2 2 2 2 2 3 2 2 5" xfId="16939"/>
    <cellStyle name="Normal 3 2 2 2 2 2 3 2 2 6" xfId="16940"/>
    <cellStyle name="Normal 3 2 2 2 2 2 3 2 2 7" xfId="16941"/>
    <cellStyle name="Normal 3 2 2 2 2 2 3 2 3" xfId="16942"/>
    <cellStyle name="Normal 3 2 2 2 2 2 3 2 3 2" xfId="16943"/>
    <cellStyle name="Normal 3 2 2 2 2 2 3 2 3 2 2" xfId="16944"/>
    <cellStyle name="Normal 3 2 2 2 2 2 3 2 3 3" xfId="16945"/>
    <cellStyle name="Normal 3 2 2 2 2 2 3 2 3 3 2" xfId="16946"/>
    <cellStyle name="Normal 3 2 2 2 2 2 3 2 3 4" xfId="16947"/>
    <cellStyle name="Normal 3 2 2 2 2 2 3 2 3 4 2" xfId="16948"/>
    <cellStyle name="Normal 3 2 2 2 2 2 3 2 3 5" xfId="16949"/>
    <cellStyle name="Normal 3 2 2 2 2 2 3 2 3 6" xfId="16950"/>
    <cellStyle name="Normal 3 2 2 2 2 2 3 2 3 7" xfId="16951"/>
    <cellStyle name="Normal 3 2 2 2 2 2 3 2 4" xfId="16952"/>
    <cellStyle name="Normal 3 2 2 2 2 2 3 2 4 2" xfId="16953"/>
    <cellStyle name="Normal 3 2 2 2 2 2 3 2 4 2 2" xfId="16954"/>
    <cellStyle name="Normal 3 2 2 2 2 2 3 2 4 3" xfId="16955"/>
    <cellStyle name="Normal 3 2 2 2 2 2 3 2 4 3 2" xfId="16956"/>
    <cellStyle name="Normal 3 2 2 2 2 2 3 2 4 4" xfId="16957"/>
    <cellStyle name="Normal 3 2 2 2 2 2 3 2 4 4 2" xfId="16958"/>
    <cellStyle name="Normal 3 2 2 2 2 2 3 2 4 5" xfId="16959"/>
    <cellStyle name="Normal 3 2 2 2 2 2 3 2 4 6" xfId="16960"/>
    <cellStyle name="Normal 3 2 2 2 2 2 3 2 5" xfId="16961"/>
    <cellStyle name="Normal 3 2 2 2 2 2 3 2 5 2" xfId="16962"/>
    <cellStyle name="Normal 3 2 2 2 2 2 3 2 5 2 2" xfId="16963"/>
    <cellStyle name="Normal 3 2 2 2 2 2 3 2 5 3" xfId="16964"/>
    <cellStyle name="Normal 3 2 2 2 2 2 3 2 5 3 2" xfId="16965"/>
    <cellStyle name="Normal 3 2 2 2 2 2 3 2 5 4" xfId="16966"/>
    <cellStyle name="Normal 3 2 2 2 2 2 3 2 5 4 2" xfId="16967"/>
    <cellStyle name="Normal 3 2 2 2 2 2 3 2 5 5" xfId="16968"/>
    <cellStyle name="Normal 3 2 2 2 2 2 3 2 5 6" xfId="16969"/>
    <cellStyle name="Normal 3 2 2 2 2 2 3 2 6" xfId="16970"/>
    <cellStyle name="Normal 3 2 2 2 2 2 3 2 6 2" xfId="16971"/>
    <cellStyle name="Normal 3 2 2 2 2 2 3 2 6 2 2" xfId="16972"/>
    <cellStyle name="Normal 3 2 2 2 2 2 3 2 6 3" xfId="16973"/>
    <cellStyle name="Normal 3 2 2 2 2 2 3 2 6 3 2" xfId="16974"/>
    <cellStyle name="Normal 3 2 2 2 2 2 3 2 6 4" xfId="16975"/>
    <cellStyle name="Normal 3 2 2 2 2 2 3 2 6 5" xfId="16976"/>
    <cellStyle name="Normal 3 2 2 2 2 2 3 2 7" xfId="16977"/>
    <cellStyle name="Normal 3 2 2 2 2 2 3 2 7 2" xfId="16978"/>
    <cellStyle name="Normal 3 2 2 2 2 2 3 2 8" xfId="16979"/>
    <cellStyle name="Normal 3 2 2 2 2 2 3 2 8 2" xfId="16980"/>
    <cellStyle name="Normal 3 2 2 2 2 2 3 2 9" xfId="16981"/>
    <cellStyle name="Normal 3 2 2 2 2 2 3 2 9 2" xfId="16982"/>
    <cellStyle name="Normal 3 2 2 2 2 2 3 3" xfId="16983"/>
    <cellStyle name="Normal 3 2 2 2 2 2 3 3 10" xfId="16984"/>
    <cellStyle name="Normal 3 2 2 2 2 2 3 3 11" xfId="16985"/>
    <cellStyle name="Normal 3 2 2 2 2 2 3 3 2" xfId="16986"/>
    <cellStyle name="Normal 3 2 2 2 2 2 3 3 2 2" xfId="16987"/>
    <cellStyle name="Normal 3 2 2 2 2 2 3 3 2 2 2" xfId="16988"/>
    <cellStyle name="Normal 3 2 2 2 2 2 3 3 2 3" xfId="16989"/>
    <cellStyle name="Normal 3 2 2 2 2 2 3 3 2 3 2" xfId="16990"/>
    <cellStyle name="Normal 3 2 2 2 2 2 3 3 2 4" xfId="16991"/>
    <cellStyle name="Normal 3 2 2 2 2 2 3 3 2 4 2" xfId="16992"/>
    <cellStyle name="Normal 3 2 2 2 2 2 3 3 2 5" xfId="16993"/>
    <cellStyle name="Normal 3 2 2 2 2 2 3 3 2 6" xfId="16994"/>
    <cellStyle name="Normal 3 2 2 2 2 2 3 3 2 7" xfId="16995"/>
    <cellStyle name="Normal 3 2 2 2 2 2 3 3 3" xfId="16996"/>
    <cellStyle name="Normal 3 2 2 2 2 2 3 3 3 2" xfId="16997"/>
    <cellStyle name="Normal 3 2 2 2 2 2 3 3 3 2 2" xfId="16998"/>
    <cellStyle name="Normal 3 2 2 2 2 2 3 3 3 3" xfId="16999"/>
    <cellStyle name="Normal 3 2 2 2 2 2 3 3 3 3 2" xfId="17000"/>
    <cellStyle name="Normal 3 2 2 2 2 2 3 3 3 4" xfId="17001"/>
    <cellStyle name="Normal 3 2 2 2 2 2 3 3 3 4 2" xfId="17002"/>
    <cellStyle name="Normal 3 2 2 2 2 2 3 3 3 5" xfId="17003"/>
    <cellStyle name="Normal 3 2 2 2 2 2 3 3 3 6" xfId="17004"/>
    <cellStyle name="Normal 3 2 2 2 2 2 3 3 4" xfId="17005"/>
    <cellStyle name="Normal 3 2 2 2 2 2 3 3 4 2" xfId="17006"/>
    <cellStyle name="Normal 3 2 2 2 2 2 3 3 4 2 2" xfId="17007"/>
    <cellStyle name="Normal 3 2 2 2 2 2 3 3 4 3" xfId="17008"/>
    <cellStyle name="Normal 3 2 2 2 2 2 3 3 4 3 2" xfId="17009"/>
    <cellStyle name="Normal 3 2 2 2 2 2 3 3 4 4" xfId="17010"/>
    <cellStyle name="Normal 3 2 2 2 2 2 3 3 4 4 2" xfId="17011"/>
    <cellStyle name="Normal 3 2 2 2 2 2 3 3 4 5" xfId="17012"/>
    <cellStyle name="Normal 3 2 2 2 2 2 3 3 4 6" xfId="17013"/>
    <cellStyle name="Normal 3 2 2 2 2 2 3 3 5" xfId="17014"/>
    <cellStyle name="Normal 3 2 2 2 2 2 3 3 5 2" xfId="17015"/>
    <cellStyle name="Normal 3 2 2 2 2 2 3 3 5 2 2" xfId="17016"/>
    <cellStyle name="Normal 3 2 2 2 2 2 3 3 5 3" xfId="17017"/>
    <cellStyle name="Normal 3 2 2 2 2 2 3 3 5 3 2" xfId="17018"/>
    <cellStyle name="Normal 3 2 2 2 2 2 3 3 5 4" xfId="17019"/>
    <cellStyle name="Normal 3 2 2 2 2 2 3 3 5 5" xfId="17020"/>
    <cellStyle name="Normal 3 2 2 2 2 2 3 3 6" xfId="17021"/>
    <cellStyle name="Normal 3 2 2 2 2 2 3 3 6 2" xfId="17022"/>
    <cellStyle name="Normal 3 2 2 2 2 2 3 3 7" xfId="17023"/>
    <cellStyle name="Normal 3 2 2 2 2 2 3 3 7 2" xfId="17024"/>
    <cellStyle name="Normal 3 2 2 2 2 2 3 3 8" xfId="17025"/>
    <cellStyle name="Normal 3 2 2 2 2 2 3 3 8 2" xfId="17026"/>
    <cellStyle name="Normal 3 2 2 2 2 2 3 3 9" xfId="17027"/>
    <cellStyle name="Normal 3 2 2 2 2 2 3 4" xfId="17028"/>
    <cellStyle name="Normal 3 2 2 2 2 2 3 4 10" xfId="17029"/>
    <cellStyle name="Normal 3 2 2 2 2 2 3 4 11" xfId="17030"/>
    <cellStyle name="Normal 3 2 2 2 2 2 3 4 2" xfId="17031"/>
    <cellStyle name="Normal 3 2 2 2 2 2 3 4 2 2" xfId="17032"/>
    <cellStyle name="Normal 3 2 2 2 2 2 3 4 2 2 2" xfId="17033"/>
    <cellStyle name="Normal 3 2 2 2 2 2 3 4 2 3" xfId="17034"/>
    <cellStyle name="Normal 3 2 2 2 2 2 3 4 2 3 2" xfId="17035"/>
    <cellStyle name="Normal 3 2 2 2 2 2 3 4 2 4" xfId="17036"/>
    <cellStyle name="Normal 3 2 2 2 2 2 3 4 2 4 2" xfId="17037"/>
    <cellStyle name="Normal 3 2 2 2 2 2 3 4 2 5" xfId="17038"/>
    <cellStyle name="Normal 3 2 2 2 2 2 3 4 2 6" xfId="17039"/>
    <cellStyle name="Normal 3 2 2 2 2 2 3 4 2 7" xfId="17040"/>
    <cellStyle name="Normal 3 2 2 2 2 2 3 4 3" xfId="17041"/>
    <cellStyle name="Normal 3 2 2 2 2 2 3 4 3 2" xfId="17042"/>
    <cellStyle name="Normal 3 2 2 2 2 2 3 4 3 2 2" xfId="17043"/>
    <cellStyle name="Normal 3 2 2 2 2 2 3 4 3 3" xfId="17044"/>
    <cellStyle name="Normal 3 2 2 2 2 2 3 4 3 3 2" xfId="17045"/>
    <cellStyle name="Normal 3 2 2 2 2 2 3 4 3 4" xfId="17046"/>
    <cellStyle name="Normal 3 2 2 2 2 2 3 4 3 4 2" xfId="17047"/>
    <cellStyle name="Normal 3 2 2 2 2 2 3 4 3 5" xfId="17048"/>
    <cellStyle name="Normal 3 2 2 2 2 2 3 4 3 6" xfId="17049"/>
    <cellStyle name="Normal 3 2 2 2 2 2 3 4 4" xfId="17050"/>
    <cellStyle name="Normal 3 2 2 2 2 2 3 4 4 2" xfId="17051"/>
    <cellStyle name="Normal 3 2 2 2 2 2 3 4 4 2 2" xfId="17052"/>
    <cellStyle name="Normal 3 2 2 2 2 2 3 4 4 3" xfId="17053"/>
    <cellStyle name="Normal 3 2 2 2 2 2 3 4 4 3 2" xfId="17054"/>
    <cellStyle name="Normal 3 2 2 2 2 2 3 4 4 4" xfId="17055"/>
    <cellStyle name="Normal 3 2 2 2 2 2 3 4 4 4 2" xfId="17056"/>
    <cellStyle name="Normal 3 2 2 2 2 2 3 4 4 5" xfId="17057"/>
    <cellStyle name="Normal 3 2 2 2 2 2 3 4 4 6" xfId="17058"/>
    <cellStyle name="Normal 3 2 2 2 2 2 3 4 5" xfId="17059"/>
    <cellStyle name="Normal 3 2 2 2 2 2 3 4 5 2" xfId="17060"/>
    <cellStyle name="Normal 3 2 2 2 2 2 3 4 5 2 2" xfId="17061"/>
    <cellStyle name="Normal 3 2 2 2 2 2 3 4 5 3" xfId="17062"/>
    <cellStyle name="Normal 3 2 2 2 2 2 3 4 5 3 2" xfId="17063"/>
    <cellStyle name="Normal 3 2 2 2 2 2 3 4 5 4" xfId="17064"/>
    <cellStyle name="Normal 3 2 2 2 2 2 3 4 5 5" xfId="17065"/>
    <cellStyle name="Normal 3 2 2 2 2 2 3 4 6" xfId="17066"/>
    <cellStyle name="Normal 3 2 2 2 2 2 3 4 6 2" xfId="17067"/>
    <cellStyle name="Normal 3 2 2 2 2 2 3 4 7" xfId="17068"/>
    <cellStyle name="Normal 3 2 2 2 2 2 3 4 7 2" xfId="17069"/>
    <cellStyle name="Normal 3 2 2 2 2 2 3 4 8" xfId="17070"/>
    <cellStyle name="Normal 3 2 2 2 2 2 3 4 8 2" xfId="17071"/>
    <cellStyle name="Normal 3 2 2 2 2 2 3 4 9" xfId="17072"/>
    <cellStyle name="Normal 3 2 2 2 2 2 3 5" xfId="17073"/>
    <cellStyle name="Normal 3 2 2 2 2 2 3 5 2" xfId="17074"/>
    <cellStyle name="Normal 3 2 2 2 2 2 3 5 2 2" xfId="17075"/>
    <cellStyle name="Normal 3 2 2 2 2 2 3 5 3" xfId="17076"/>
    <cellStyle name="Normal 3 2 2 2 2 2 3 5 3 2" xfId="17077"/>
    <cellStyle name="Normal 3 2 2 2 2 2 3 5 4" xfId="17078"/>
    <cellStyle name="Normal 3 2 2 2 2 2 3 5 4 2" xfId="17079"/>
    <cellStyle name="Normal 3 2 2 2 2 2 3 5 5" xfId="17080"/>
    <cellStyle name="Normal 3 2 2 2 2 2 3 5 6" xfId="17081"/>
    <cellStyle name="Normal 3 2 2 2 2 2 3 5 7" xfId="17082"/>
    <cellStyle name="Normal 3 2 2 2 2 2 3 6" xfId="17083"/>
    <cellStyle name="Normal 3 2 2 2 2 2 3 6 2" xfId="17084"/>
    <cellStyle name="Normal 3 2 2 2 2 2 3 6 2 2" xfId="17085"/>
    <cellStyle name="Normal 3 2 2 2 2 2 3 6 3" xfId="17086"/>
    <cellStyle name="Normal 3 2 2 2 2 2 3 6 3 2" xfId="17087"/>
    <cellStyle name="Normal 3 2 2 2 2 2 3 6 4" xfId="17088"/>
    <cellStyle name="Normal 3 2 2 2 2 2 3 6 4 2" xfId="17089"/>
    <cellStyle name="Normal 3 2 2 2 2 2 3 6 5" xfId="17090"/>
    <cellStyle name="Normal 3 2 2 2 2 2 3 6 6" xfId="17091"/>
    <cellStyle name="Normal 3 2 2 2 2 2 3 7" xfId="17092"/>
    <cellStyle name="Normal 3 2 2 2 2 2 3 7 2" xfId="17093"/>
    <cellStyle name="Normal 3 2 2 2 2 2 3 7 2 2" xfId="17094"/>
    <cellStyle name="Normal 3 2 2 2 2 2 3 7 3" xfId="17095"/>
    <cellStyle name="Normal 3 2 2 2 2 2 3 7 3 2" xfId="17096"/>
    <cellStyle name="Normal 3 2 2 2 2 2 3 7 4" xfId="17097"/>
    <cellStyle name="Normal 3 2 2 2 2 2 3 7 4 2" xfId="17098"/>
    <cellStyle name="Normal 3 2 2 2 2 2 3 7 5" xfId="17099"/>
    <cellStyle name="Normal 3 2 2 2 2 2 3 7 6" xfId="17100"/>
    <cellStyle name="Normal 3 2 2 2 2 2 3 8" xfId="17101"/>
    <cellStyle name="Normal 3 2 2 2 2 2 3 8 2" xfId="17102"/>
    <cellStyle name="Normal 3 2 2 2 2 2 3 8 2 2" xfId="17103"/>
    <cellStyle name="Normal 3 2 2 2 2 2 3 8 3" xfId="17104"/>
    <cellStyle name="Normal 3 2 2 2 2 2 3 8 3 2" xfId="17105"/>
    <cellStyle name="Normal 3 2 2 2 2 2 3 8 4" xfId="17106"/>
    <cellStyle name="Normal 3 2 2 2 2 2 3 8 5" xfId="17107"/>
    <cellStyle name="Normal 3 2 2 2 2 2 3 9" xfId="17108"/>
    <cellStyle name="Normal 3 2 2 2 2 2 3 9 2" xfId="17109"/>
    <cellStyle name="Normal 3 2 2 2 2 2 4" xfId="17110"/>
    <cellStyle name="Normal 3 2 2 2 2 2 4 10" xfId="17111"/>
    <cellStyle name="Normal 3 2 2 2 2 2 4 10 2" xfId="17112"/>
    <cellStyle name="Normal 3 2 2 2 2 2 4 11" xfId="17113"/>
    <cellStyle name="Normal 3 2 2 2 2 2 4 12" xfId="17114"/>
    <cellStyle name="Normal 3 2 2 2 2 2 4 13" xfId="17115"/>
    <cellStyle name="Normal 3 2 2 2 2 2 4 2" xfId="17116"/>
    <cellStyle name="Normal 3 2 2 2 2 2 4 2 10" xfId="17117"/>
    <cellStyle name="Normal 3 2 2 2 2 2 4 2 11" xfId="17118"/>
    <cellStyle name="Normal 3 2 2 2 2 2 4 2 2" xfId="17119"/>
    <cellStyle name="Normal 3 2 2 2 2 2 4 2 2 2" xfId="17120"/>
    <cellStyle name="Normal 3 2 2 2 2 2 4 2 2 2 2" xfId="17121"/>
    <cellStyle name="Normal 3 2 2 2 2 2 4 2 2 3" xfId="17122"/>
    <cellStyle name="Normal 3 2 2 2 2 2 4 2 2 3 2" xfId="17123"/>
    <cellStyle name="Normal 3 2 2 2 2 2 4 2 2 4" xfId="17124"/>
    <cellStyle name="Normal 3 2 2 2 2 2 4 2 2 4 2" xfId="17125"/>
    <cellStyle name="Normal 3 2 2 2 2 2 4 2 2 5" xfId="17126"/>
    <cellStyle name="Normal 3 2 2 2 2 2 4 2 2 6" xfId="17127"/>
    <cellStyle name="Normal 3 2 2 2 2 2 4 2 2 7" xfId="17128"/>
    <cellStyle name="Normal 3 2 2 2 2 2 4 2 3" xfId="17129"/>
    <cellStyle name="Normal 3 2 2 2 2 2 4 2 3 2" xfId="17130"/>
    <cellStyle name="Normal 3 2 2 2 2 2 4 2 3 2 2" xfId="17131"/>
    <cellStyle name="Normal 3 2 2 2 2 2 4 2 3 3" xfId="17132"/>
    <cellStyle name="Normal 3 2 2 2 2 2 4 2 3 3 2" xfId="17133"/>
    <cellStyle name="Normal 3 2 2 2 2 2 4 2 3 4" xfId="17134"/>
    <cellStyle name="Normal 3 2 2 2 2 2 4 2 3 4 2" xfId="17135"/>
    <cellStyle name="Normal 3 2 2 2 2 2 4 2 3 5" xfId="17136"/>
    <cellStyle name="Normal 3 2 2 2 2 2 4 2 3 6" xfId="17137"/>
    <cellStyle name="Normal 3 2 2 2 2 2 4 2 4" xfId="17138"/>
    <cellStyle name="Normal 3 2 2 2 2 2 4 2 4 2" xfId="17139"/>
    <cellStyle name="Normal 3 2 2 2 2 2 4 2 4 2 2" xfId="17140"/>
    <cellStyle name="Normal 3 2 2 2 2 2 4 2 4 3" xfId="17141"/>
    <cellStyle name="Normal 3 2 2 2 2 2 4 2 4 3 2" xfId="17142"/>
    <cellStyle name="Normal 3 2 2 2 2 2 4 2 4 4" xfId="17143"/>
    <cellStyle name="Normal 3 2 2 2 2 2 4 2 4 4 2" xfId="17144"/>
    <cellStyle name="Normal 3 2 2 2 2 2 4 2 4 5" xfId="17145"/>
    <cellStyle name="Normal 3 2 2 2 2 2 4 2 4 6" xfId="17146"/>
    <cellStyle name="Normal 3 2 2 2 2 2 4 2 5" xfId="17147"/>
    <cellStyle name="Normal 3 2 2 2 2 2 4 2 5 2" xfId="17148"/>
    <cellStyle name="Normal 3 2 2 2 2 2 4 2 5 2 2" xfId="17149"/>
    <cellStyle name="Normal 3 2 2 2 2 2 4 2 5 3" xfId="17150"/>
    <cellStyle name="Normal 3 2 2 2 2 2 4 2 5 3 2" xfId="17151"/>
    <cellStyle name="Normal 3 2 2 2 2 2 4 2 5 4" xfId="17152"/>
    <cellStyle name="Normal 3 2 2 2 2 2 4 2 5 5" xfId="17153"/>
    <cellStyle name="Normal 3 2 2 2 2 2 4 2 6" xfId="17154"/>
    <cellStyle name="Normal 3 2 2 2 2 2 4 2 6 2" xfId="17155"/>
    <cellStyle name="Normal 3 2 2 2 2 2 4 2 7" xfId="17156"/>
    <cellStyle name="Normal 3 2 2 2 2 2 4 2 7 2" xfId="17157"/>
    <cellStyle name="Normal 3 2 2 2 2 2 4 2 8" xfId="17158"/>
    <cellStyle name="Normal 3 2 2 2 2 2 4 2 8 2" xfId="17159"/>
    <cellStyle name="Normal 3 2 2 2 2 2 4 2 9" xfId="17160"/>
    <cellStyle name="Normal 3 2 2 2 2 2 4 3" xfId="17161"/>
    <cellStyle name="Normal 3 2 2 2 2 2 4 3 10" xfId="17162"/>
    <cellStyle name="Normal 3 2 2 2 2 2 4 3 11" xfId="17163"/>
    <cellStyle name="Normal 3 2 2 2 2 2 4 3 2" xfId="17164"/>
    <cellStyle name="Normal 3 2 2 2 2 2 4 3 2 2" xfId="17165"/>
    <cellStyle name="Normal 3 2 2 2 2 2 4 3 2 2 2" xfId="17166"/>
    <cellStyle name="Normal 3 2 2 2 2 2 4 3 2 3" xfId="17167"/>
    <cellStyle name="Normal 3 2 2 2 2 2 4 3 2 3 2" xfId="17168"/>
    <cellStyle name="Normal 3 2 2 2 2 2 4 3 2 4" xfId="17169"/>
    <cellStyle name="Normal 3 2 2 2 2 2 4 3 2 4 2" xfId="17170"/>
    <cellStyle name="Normal 3 2 2 2 2 2 4 3 2 5" xfId="17171"/>
    <cellStyle name="Normal 3 2 2 2 2 2 4 3 2 6" xfId="17172"/>
    <cellStyle name="Normal 3 2 2 2 2 2 4 3 2 7" xfId="17173"/>
    <cellStyle name="Normal 3 2 2 2 2 2 4 3 3" xfId="17174"/>
    <cellStyle name="Normal 3 2 2 2 2 2 4 3 3 2" xfId="17175"/>
    <cellStyle name="Normal 3 2 2 2 2 2 4 3 3 2 2" xfId="17176"/>
    <cellStyle name="Normal 3 2 2 2 2 2 4 3 3 3" xfId="17177"/>
    <cellStyle name="Normal 3 2 2 2 2 2 4 3 3 3 2" xfId="17178"/>
    <cellStyle name="Normal 3 2 2 2 2 2 4 3 3 4" xfId="17179"/>
    <cellStyle name="Normal 3 2 2 2 2 2 4 3 3 4 2" xfId="17180"/>
    <cellStyle name="Normal 3 2 2 2 2 2 4 3 3 5" xfId="17181"/>
    <cellStyle name="Normal 3 2 2 2 2 2 4 3 3 6" xfId="17182"/>
    <cellStyle name="Normal 3 2 2 2 2 2 4 3 4" xfId="17183"/>
    <cellStyle name="Normal 3 2 2 2 2 2 4 3 4 2" xfId="17184"/>
    <cellStyle name="Normal 3 2 2 2 2 2 4 3 4 2 2" xfId="17185"/>
    <cellStyle name="Normal 3 2 2 2 2 2 4 3 4 3" xfId="17186"/>
    <cellStyle name="Normal 3 2 2 2 2 2 4 3 4 3 2" xfId="17187"/>
    <cellStyle name="Normal 3 2 2 2 2 2 4 3 4 4" xfId="17188"/>
    <cellStyle name="Normal 3 2 2 2 2 2 4 3 4 4 2" xfId="17189"/>
    <cellStyle name="Normal 3 2 2 2 2 2 4 3 4 5" xfId="17190"/>
    <cellStyle name="Normal 3 2 2 2 2 2 4 3 4 6" xfId="17191"/>
    <cellStyle name="Normal 3 2 2 2 2 2 4 3 5" xfId="17192"/>
    <cellStyle name="Normal 3 2 2 2 2 2 4 3 5 2" xfId="17193"/>
    <cellStyle name="Normal 3 2 2 2 2 2 4 3 5 2 2" xfId="17194"/>
    <cellStyle name="Normal 3 2 2 2 2 2 4 3 5 3" xfId="17195"/>
    <cellStyle name="Normal 3 2 2 2 2 2 4 3 5 3 2" xfId="17196"/>
    <cellStyle name="Normal 3 2 2 2 2 2 4 3 5 4" xfId="17197"/>
    <cellStyle name="Normal 3 2 2 2 2 2 4 3 5 5" xfId="17198"/>
    <cellStyle name="Normal 3 2 2 2 2 2 4 3 6" xfId="17199"/>
    <cellStyle name="Normal 3 2 2 2 2 2 4 3 6 2" xfId="17200"/>
    <cellStyle name="Normal 3 2 2 2 2 2 4 3 7" xfId="17201"/>
    <cellStyle name="Normal 3 2 2 2 2 2 4 3 7 2" xfId="17202"/>
    <cellStyle name="Normal 3 2 2 2 2 2 4 3 8" xfId="17203"/>
    <cellStyle name="Normal 3 2 2 2 2 2 4 3 8 2" xfId="17204"/>
    <cellStyle name="Normal 3 2 2 2 2 2 4 3 9" xfId="17205"/>
    <cellStyle name="Normal 3 2 2 2 2 2 4 4" xfId="17206"/>
    <cellStyle name="Normal 3 2 2 2 2 2 4 4 2" xfId="17207"/>
    <cellStyle name="Normal 3 2 2 2 2 2 4 4 2 2" xfId="17208"/>
    <cellStyle name="Normal 3 2 2 2 2 2 4 4 3" xfId="17209"/>
    <cellStyle name="Normal 3 2 2 2 2 2 4 4 3 2" xfId="17210"/>
    <cellStyle name="Normal 3 2 2 2 2 2 4 4 4" xfId="17211"/>
    <cellStyle name="Normal 3 2 2 2 2 2 4 4 4 2" xfId="17212"/>
    <cellStyle name="Normal 3 2 2 2 2 2 4 4 5" xfId="17213"/>
    <cellStyle name="Normal 3 2 2 2 2 2 4 4 6" xfId="17214"/>
    <cellStyle name="Normal 3 2 2 2 2 2 4 4 7" xfId="17215"/>
    <cellStyle name="Normal 3 2 2 2 2 2 4 5" xfId="17216"/>
    <cellStyle name="Normal 3 2 2 2 2 2 4 5 2" xfId="17217"/>
    <cellStyle name="Normal 3 2 2 2 2 2 4 5 2 2" xfId="17218"/>
    <cellStyle name="Normal 3 2 2 2 2 2 4 5 3" xfId="17219"/>
    <cellStyle name="Normal 3 2 2 2 2 2 4 5 3 2" xfId="17220"/>
    <cellStyle name="Normal 3 2 2 2 2 2 4 5 4" xfId="17221"/>
    <cellStyle name="Normal 3 2 2 2 2 2 4 5 4 2" xfId="17222"/>
    <cellStyle name="Normal 3 2 2 2 2 2 4 5 5" xfId="17223"/>
    <cellStyle name="Normal 3 2 2 2 2 2 4 5 6" xfId="17224"/>
    <cellStyle name="Normal 3 2 2 2 2 2 4 6" xfId="17225"/>
    <cellStyle name="Normal 3 2 2 2 2 2 4 6 2" xfId="17226"/>
    <cellStyle name="Normal 3 2 2 2 2 2 4 6 2 2" xfId="17227"/>
    <cellStyle name="Normal 3 2 2 2 2 2 4 6 3" xfId="17228"/>
    <cellStyle name="Normal 3 2 2 2 2 2 4 6 3 2" xfId="17229"/>
    <cellStyle name="Normal 3 2 2 2 2 2 4 6 4" xfId="17230"/>
    <cellStyle name="Normal 3 2 2 2 2 2 4 6 4 2" xfId="17231"/>
    <cellStyle name="Normal 3 2 2 2 2 2 4 6 5" xfId="17232"/>
    <cellStyle name="Normal 3 2 2 2 2 2 4 6 6" xfId="17233"/>
    <cellStyle name="Normal 3 2 2 2 2 2 4 7" xfId="17234"/>
    <cellStyle name="Normal 3 2 2 2 2 2 4 7 2" xfId="17235"/>
    <cellStyle name="Normal 3 2 2 2 2 2 4 7 2 2" xfId="17236"/>
    <cellStyle name="Normal 3 2 2 2 2 2 4 7 3" xfId="17237"/>
    <cellStyle name="Normal 3 2 2 2 2 2 4 7 3 2" xfId="17238"/>
    <cellStyle name="Normal 3 2 2 2 2 2 4 7 4" xfId="17239"/>
    <cellStyle name="Normal 3 2 2 2 2 2 4 7 5" xfId="17240"/>
    <cellStyle name="Normal 3 2 2 2 2 2 4 8" xfId="17241"/>
    <cellStyle name="Normal 3 2 2 2 2 2 4 8 2" xfId="17242"/>
    <cellStyle name="Normal 3 2 2 2 2 2 4 9" xfId="17243"/>
    <cellStyle name="Normal 3 2 2 2 2 2 4 9 2" xfId="17244"/>
    <cellStyle name="Normal 3 2 2 2 2 2 5" xfId="17245"/>
    <cellStyle name="Normal 3 2 2 2 2 2 5 10" xfId="17246"/>
    <cellStyle name="Normal 3 2 2 2 2 2 5 11" xfId="17247"/>
    <cellStyle name="Normal 3 2 2 2 2 2 5 12" xfId="17248"/>
    <cellStyle name="Normal 3 2 2 2 2 2 5 2" xfId="17249"/>
    <cellStyle name="Normal 3 2 2 2 2 2 5 2 2" xfId="17250"/>
    <cellStyle name="Normal 3 2 2 2 2 2 5 2 2 2" xfId="17251"/>
    <cellStyle name="Normal 3 2 2 2 2 2 5 2 3" xfId="17252"/>
    <cellStyle name="Normal 3 2 2 2 2 2 5 2 3 2" xfId="17253"/>
    <cellStyle name="Normal 3 2 2 2 2 2 5 2 4" xfId="17254"/>
    <cellStyle name="Normal 3 2 2 2 2 2 5 2 4 2" xfId="17255"/>
    <cellStyle name="Normal 3 2 2 2 2 2 5 2 5" xfId="17256"/>
    <cellStyle name="Normal 3 2 2 2 2 2 5 2 6" xfId="17257"/>
    <cellStyle name="Normal 3 2 2 2 2 2 5 2 7" xfId="17258"/>
    <cellStyle name="Normal 3 2 2 2 2 2 5 3" xfId="17259"/>
    <cellStyle name="Normal 3 2 2 2 2 2 5 3 2" xfId="17260"/>
    <cellStyle name="Normal 3 2 2 2 2 2 5 3 2 2" xfId="17261"/>
    <cellStyle name="Normal 3 2 2 2 2 2 5 3 3" xfId="17262"/>
    <cellStyle name="Normal 3 2 2 2 2 2 5 3 3 2" xfId="17263"/>
    <cellStyle name="Normal 3 2 2 2 2 2 5 3 4" xfId="17264"/>
    <cellStyle name="Normal 3 2 2 2 2 2 5 3 4 2" xfId="17265"/>
    <cellStyle name="Normal 3 2 2 2 2 2 5 3 5" xfId="17266"/>
    <cellStyle name="Normal 3 2 2 2 2 2 5 3 6" xfId="17267"/>
    <cellStyle name="Normal 3 2 2 2 2 2 5 3 7" xfId="17268"/>
    <cellStyle name="Normal 3 2 2 2 2 2 5 4" xfId="17269"/>
    <cellStyle name="Normal 3 2 2 2 2 2 5 4 2" xfId="17270"/>
    <cellStyle name="Normal 3 2 2 2 2 2 5 4 2 2" xfId="17271"/>
    <cellStyle name="Normal 3 2 2 2 2 2 5 4 3" xfId="17272"/>
    <cellStyle name="Normal 3 2 2 2 2 2 5 4 3 2" xfId="17273"/>
    <cellStyle name="Normal 3 2 2 2 2 2 5 4 4" xfId="17274"/>
    <cellStyle name="Normal 3 2 2 2 2 2 5 4 4 2" xfId="17275"/>
    <cellStyle name="Normal 3 2 2 2 2 2 5 4 5" xfId="17276"/>
    <cellStyle name="Normal 3 2 2 2 2 2 5 4 6" xfId="17277"/>
    <cellStyle name="Normal 3 2 2 2 2 2 5 5" xfId="17278"/>
    <cellStyle name="Normal 3 2 2 2 2 2 5 5 2" xfId="17279"/>
    <cellStyle name="Normal 3 2 2 2 2 2 5 5 2 2" xfId="17280"/>
    <cellStyle name="Normal 3 2 2 2 2 2 5 5 3" xfId="17281"/>
    <cellStyle name="Normal 3 2 2 2 2 2 5 5 3 2" xfId="17282"/>
    <cellStyle name="Normal 3 2 2 2 2 2 5 5 4" xfId="17283"/>
    <cellStyle name="Normal 3 2 2 2 2 2 5 5 4 2" xfId="17284"/>
    <cellStyle name="Normal 3 2 2 2 2 2 5 5 5" xfId="17285"/>
    <cellStyle name="Normal 3 2 2 2 2 2 5 5 6" xfId="17286"/>
    <cellStyle name="Normal 3 2 2 2 2 2 5 6" xfId="17287"/>
    <cellStyle name="Normal 3 2 2 2 2 2 5 6 2" xfId="17288"/>
    <cellStyle name="Normal 3 2 2 2 2 2 5 6 2 2" xfId="17289"/>
    <cellStyle name="Normal 3 2 2 2 2 2 5 6 3" xfId="17290"/>
    <cellStyle name="Normal 3 2 2 2 2 2 5 6 3 2" xfId="17291"/>
    <cellStyle name="Normal 3 2 2 2 2 2 5 6 4" xfId="17292"/>
    <cellStyle name="Normal 3 2 2 2 2 2 5 6 5" xfId="17293"/>
    <cellStyle name="Normal 3 2 2 2 2 2 5 7" xfId="17294"/>
    <cellStyle name="Normal 3 2 2 2 2 2 5 7 2" xfId="17295"/>
    <cellStyle name="Normal 3 2 2 2 2 2 5 8" xfId="17296"/>
    <cellStyle name="Normal 3 2 2 2 2 2 5 8 2" xfId="17297"/>
    <cellStyle name="Normal 3 2 2 2 2 2 5 9" xfId="17298"/>
    <cellStyle name="Normal 3 2 2 2 2 2 5 9 2" xfId="17299"/>
    <cellStyle name="Normal 3 2 2 2 2 2 6" xfId="17300"/>
    <cellStyle name="Normal 3 2 2 2 2 2 6 10" xfId="17301"/>
    <cellStyle name="Normal 3 2 2 2 2 2 6 11" xfId="17302"/>
    <cellStyle name="Normal 3 2 2 2 2 2 6 2" xfId="17303"/>
    <cellStyle name="Normal 3 2 2 2 2 2 6 2 2" xfId="17304"/>
    <cellStyle name="Normal 3 2 2 2 2 2 6 2 2 2" xfId="17305"/>
    <cellStyle name="Normal 3 2 2 2 2 2 6 2 3" xfId="17306"/>
    <cellStyle name="Normal 3 2 2 2 2 2 6 2 3 2" xfId="17307"/>
    <cellStyle name="Normal 3 2 2 2 2 2 6 2 4" xfId="17308"/>
    <cellStyle name="Normal 3 2 2 2 2 2 6 2 4 2" xfId="17309"/>
    <cellStyle name="Normal 3 2 2 2 2 2 6 2 5" xfId="17310"/>
    <cellStyle name="Normal 3 2 2 2 2 2 6 2 6" xfId="17311"/>
    <cellStyle name="Normal 3 2 2 2 2 2 6 2 7" xfId="17312"/>
    <cellStyle name="Normal 3 2 2 2 2 2 6 3" xfId="17313"/>
    <cellStyle name="Normal 3 2 2 2 2 2 6 3 2" xfId="17314"/>
    <cellStyle name="Normal 3 2 2 2 2 2 6 3 2 2" xfId="17315"/>
    <cellStyle name="Normal 3 2 2 2 2 2 6 3 3" xfId="17316"/>
    <cellStyle name="Normal 3 2 2 2 2 2 6 3 3 2" xfId="17317"/>
    <cellStyle name="Normal 3 2 2 2 2 2 6 3 4" xfId="17318"/>
    <cellStyle name="Normal 3 2 2 2 2 2 6 3 4 2" xfId="17319"/>
    <cellStyle name="Normal 3 2 2 2 2 2 6 3 5" xfId="17320"/>
    <cellStyle name="Normal 3 2 2 2 2 2 6 3 6" xfId="17321"/>
    <cellStyle name="Normal 3 2 2 2 2 2 6 4" xfId="17322"/>
    <cellStyle name="Normal 3 2 2 2 2 2 6 4 2" xfId="17323"/>
    <cellStyle name="Normal 3 2 2 2 2 2 6 4 2 2" xfId="17324"/>
    <cellStyle name="Normal 3 2 2 2 2 2 6 4 3" xfId="17325"/>
    <cellStyle name="Normal 3 2 2 2 2 2 6 4 3 2" xfId="17326"/>
    <cellStyle name="Normal 3 2 2 2 2 2 6 4 4" xfId="17327"/>
    <cellStyle name="Normal 3 2 2 2 2 2 6 4 4 2" xfId="17328"/>
    <cellStyle name="Normal 3 2 2 2 2 2 6 4 5" xfId="17329"/>
    <cellStyle name="Normal 3 2 2 2 2 2 6 4 6" xfId="17330"/>
    <cellStyle name="Normal 3 2 2 2 2 2 6 5" xfId="17331"/>
    <cellStyle name="Normal 3 2 2 2 2 2 6 5 2" xfId="17332"/>
    <cellStyle name="Normal 3 2 2 2 2 2 6 5 2 2" xfId="17333"/>
    <cellStyle name="Normal 3 2 2 2 2 2 6 5 3" xfId="17334"/>
    <cellStyle name="Normal 3 2 2 2 2 2 6 5 3 2" xfId="17335"/>
    <cellStyle name="Normal 3 2 2 2 2 2 6 5 4" xfId="17336"/>
    <cellStyle name="Normal 3 2 2 2 2 2 6 5 5" xfId="17337"/>
    <cellStyle name="Normal 3 2 2 2 2 2 6 6" xfId="17338"/>
    <cellStyle name="Normal 3 2 2 2 2 2 6 6 2" xfId="17339"/>
    <cellStyle name="Normal 3 2 2 2 2 2 6 7" xfId="17340"/>
    <cellStyle name="Normal 3 2 2 2 2 2 6 7 2" xfId="17341"/>
    <cellStyle name="Normal 3 2 2 2 2 2 6 8" xfId="17342"/>
    <cellStyle name="Normal 3 2 2 2 2 2 6 8 2" xfId="17343"/>
    <cellStyle name="Normal 3 2 2 2 2 2 6 9" xfId="17344"/>
    <cellStyle name="Normal 3 2 2 2 2 2 7" xfId="17345"/>
    <cellStyle name="Normal 3 2 2 2 2 2 7 10" xfId="17346"/>
    <cellStyle name="Normal 3 2 2 2 2 2 7 11" xfId="17347"/>
    <cellStyle name="Normal 3 2 2 2 2 2 7 2" xfId="17348"/>
    <cellStyle name="Normal 3 2 2 2 2 2 7 2 2" xfId="17349"/>
    <cellStyle name="Normal 3 2 2 2 2 2 7 2 2 2" xfId="17350"/>
    <cellStyle name="Normal 3 2 2 2 2 2 7 2 3" xfId="17351"/>
    <cellStyle name="Normal 3 2 2 2 2 2 7 2 3 2" xfId="17352"/>
    <cellStyle name="Normal 3 2 2 2 2 2 7 2 4" xfId="17353"/>
    <cellStyle name="Normal 3 2 2 2 2 2 7 2 4 2" xfId="17354"/>
    <cellStyle name="Normal 3 2 2 2 2 2 7 2 5" xfId="17355"/>
    <cellStyle name="Normal 3 2 2 2 2 2 7 2 6" xfId="17356"/>
    <cellStyle name="Normal 3 2 2 2 2 2 7 2 7" xfId="17357"/>
    <cellStyle name="Normal 3 2 2 2 2 2 7 3" xfId="17358"/>
    <cellStyle name="Normal 3 2 2 2 2 2 7 3 2" xfId="17359"/>
    <cellStyle name="Normal 3 2 2 2 2 2 7 3 2 2" xfId="17360"/>
    <cellStyle name="Normal 3 2 2 2 2 2 7 3 3" xfId="17361"/>
    <cellStyle name="Normal 3 2 2 2 2 2 7 3 3 2" xfId="17362"/>
    <cellStyle name="Normal 3 2 2 2 2 2 7 3 4" xfId="17363"/>
    <cellStyle name="Normal 3 2 2 2 2 2 7 3 4 2" xfId="17364"/>
    <cellStyle name="Normal 3 2 2 2 2 2 7 3 5" xfId="17365"/>
    <cellStyle name="Normal 3 2 2 2 2 2 7 3 6" xfId="17366"/>
    <cellStyle name="Normal 3 2 2 2 2 2 7 4" xfId="17367"/>
    <cellStyle name="Normal 3 2 2 2 2 2 7 4 2" xfId="17368"/>
    <cellStyle name="Normal 3 2 2 2 2 2 7 4 2 2" xfId="17369"/>
    <cellStyle name="Normal 3 2 2 2 2 2 7 4 3" xfId="17370"/>
    <cellStyle name="Normal 3 2 2 2 2 2 7 4 3 2" xfId="17371"/>
    <cellStyle name="Normal 3 2 2 2 2 2 7 4 4" xfId="17372"/>
    <cellStyle name="Normal 3 2 2 2 2 2 7 4 4 2" xfId="17373"/>
    <cellStyle name="Normal 3 2 2 2 2 2 7 4 5" xfId="17374"/>
    <cellStyle name="Normal 3 2 2 2 2 2 7 4 6" xfId="17375"/>
    <cellStyle name="Normal 3 2 2 2 2 2 7 5" xfId="17376"/>
    <cellStyle name="Normal 3 2 2 2 2 2 7 5 2" xfId="17377"/>
    <cellStyle name="Normal 3 2 2 2 2 2 7 5 2 2" xfId="17378"/>
    <cellStyle name="Normal 3 2 2 2 2 2 7 5 3" xfId="17379"/>
    <cellStyle name="Normal 3 2 2 2 2 2 7 5 3 2" xfId="17380"/>
    <cellStyle name="Normal 3 2 2 2 2 2 7 5 4" xfId="17381"/>
    <cellStyle name="Normal 3 2 2 2 2 2 7 5 5" xfId="17382"/>
    <cellStyle name="Normal 3 2 2 2 2 2 7 6" xfId="17383"/>
    <cellStyle name="Normal 3 2 2 2 2 2 7 6 2" xfId="17384"/>
    <cellStyle name="Normal 3 2 2 2 2 2 7 7" xfId="17385"/>
    <cellStyle name="Normal 3 2 2 2 2 2 7 7 2" xfId="17386"/>
    <cellStyle name="Normal 3 2 2 2 2 2 7 8" xfId="17387"/>
    <cellStyle name="Normal 3 2 2 2 2 2 7 8 2" xfId="17388"/>
    <cellStyle name="Normal 3 2 2 2 2 2 7 9" xfId="17389"/>
    <cellStyle name="Normal 3 2 2 2 2 2 8" xfId="17390"/>
    <cellStyle name="Normal 3 2 2 2 2 2 8 2" xfId="17391"/>
    <cellStyle name="Normal 3 2 2 2 2 2 8 2 2" xfId="17392"/>
    <cellStyle name="Normal 3 2 2 2 2 2 8 3" xfId="17393"/>
    <cellStyle name="Normal 3 2 2 2 2 2 8 3 2" xfId="17394"/>
    <cellStyle name="Normal 3 2 2 2 2 2 8 4" xfId="17395"/>
    <cellStyle name="Normal 3 2 2 2 2 2 8 4 2" xfId="17396"/>
    <cellStyle name="Normal 3 2 2 2 2 2 8 5" xfId="17397"/>
    <cellStyle name="Normal 3 2 2 2 2 2 8 6" xfId="17398"/>
    <cellStyle name="Normal 3 2 2 2 2 2 8 7" xfId="17399"/>
    <cellStyle name="Normal 3 2 2 2 2 2 9" xfId="17400"/>
    <cellStyle name="Normal 3 2 2 2 2 2 9 2" xfId="17401"/>
    <cellStyle name="Normal 3 2 2 2 2 2 9 2 2" xfId="17402"/>
    <cellStyle name="Normal 3 2 2 2 2 2 9 3" xfId="17403"/>
    <cellStyle name="Normal 3 2 2 2 2 2 9 3 2" xfId="17404"/>
    <cellStyle name="Normal 3 2 2 2 2 2 9 4" xfId="17405"/>
    <cellStyle name="Normal 3 2 2 2 2 2 9 4 2" xfId="17406"/>
    <cellStyle name="Normal 3 2 2 2 2 2 9 5" xfId="17407"/>
    <cellStyle name="Normal 3 2 2 2 2 2 9 6" xfId="17408"/>
    <cellStyle name="Normal 3 2 2 2 2 20" xfId="17409"/>
    <cellStyle name="Normal 3 2 2 2 2 3" xfId="17410"/>
    <cellStyle name="Normal 3 2 2 2 2 3 10" xfId="17411"/>
    <cellStyle name="Normal 3 2 2 2 2 3 10 2" xfId="17412"/>
    <cellStyle name="Normal 3 2 2 2 2 3 10 2 2" xfId="17413"/>
    <cellStyle name="Normal 3 2 2 2 2 3 10 3" xfId="17414"/>
    <cellStyle name="Normal 3 2 2 2 2 3 10 3 2" xfId="17415"/>
    <cellStyle name="Normal 3 2 2 2 2 3 10 4" xfId="17416"/>
    <cellStyle name="Normal 3 2 2 2 2 3 10 4 2" xfId="17417"/>
    <cellStyle name="Normal 3 2 2 2 2 3 10 5" xfId="17418"/>
    <cellStyle name="Normal 3 2 2 2 2 3 10 6" xfId="17419"/>
    <cellStyle name="Normal 3 2 2 2 2 3 11" xfId="17420"/>
    <cellStyle name="Normal 3 2 2 2 2 3 11 2" xfId="17421"/>
    <cellStyle name="Normal 3 2 2 2 2 3 11 2 2" xfId="17422"/>
    <cellStyle name="Normal 3 2 2 2 2 3 11 3" xfId="17423"/>
    <cellStyle name="Normal 3 2 2 2 2 3 11 3 2" xfId="17424"/>
    <cellStyle name="Normal 3 2 2 2 2 3 11 4" xfId="17425"/>
    <cellStyle name="Normal 3 2 2 2 2 3 11 4 2" xfId="17426"/>
    <cellStyle name="Normal 3 2 2 2 2 3 11 5" xfId="17427"/>
    <cellStyle name="Normal 3 2 2 2 2 3 11 6" xfId="17428"/>
    <cellStyle name="Normal 3 2 2 2 2 3 12" xfId="17429"/>
    <cellStyle name="Normal 3 2 2 2 2 3 12 2" xfId="17430"/>
    <cellStyle name="Normal 3 2 2 2 2 3 12 2 2" xfId="17431"/>
    <cellStyle name="Normal 3 2 2 2 2 3 12 3" xfId="17432"/>
    <cellStyle name="Normal 3 2 2 2 2 3 12 3 2" xfId="17433"/>
    <cellStyle name="Normal 3 2 2 2 2 3 12 4" xfId="17434"/>
    <cellStyle name="Normal 3 2 2 2 2 3 12 5" xfId="17435"/>
    <cellStyle name="Normal 3 2 2 2 2 3 13" xfId="17436"/>
    <cellStyle name="Normal 3 2 2 2 2 3 13 2" xfId="17437"/>
    <cellStyle name="Normal 3 2 2 2 2 3 14" xfId="17438"/>
    <cellStyle name="Normal 3 2 2 2 2 3 14 2" xfId="17439"/>
    <cellStyle name="Normal 3 2 2 2 2 3 15" xfId="17440"/>
    <cellStyle name="Normal 3 2 2 2 2 3 15 2" xfId="17441"/>
    <cellStyle name="Normal 3 2 2 2 2 3 16" xfId="17442"/>
    <cellStyle name="Normal 3 2 2 2 2 3 17" xfId="17443"/>
    <cellStyle name="Normal 3 2 2 2 2 3 18" xfId="17444"/>
    <cellStyle name="Normal 3 2 2 2 2 3 2" xfId="17445"/>
    <cellStyle name="Normal 3 2 2 2 2 3 2 10" xfId="17446"/>
    <cellStyle name="Normal 3 2 2 2 2 3 2 10 2" xfId="17447"/>
    <cellStyle name="Normal 3 2 2 2 2 3 2 10 2 2" xfId="17448"/>
    <cellStyle name="Normal 3 2 2 2 2 3 2 10 3" xfId="17449"/>
    <cellStyle name="Normal 3 2 2 2 2 3 2 10 3 2" xfId="17450"/>
    <cellStyle name="Normal 3 2 2 2 2 3 2 10 4" xfId="17451"/>
    <cellStyle name="Normal 3 2 2 2 2 3 2 10 4 2" xfId="17452"/>
    <cellStyle name="Normal 3 2 2 2 2 3 2 10 5" xfId="17453"/>
    <cellStyle name="Normal 3 2 2 2 2 3 2 10 6" xfId="17454"/>
    <cellStyle name="Normal 3 2 2 2 2 3 2 11" xfId="17455"/>
    <cellStyle name="Normal 3 2 2 2 2 3 2 11 2" xfId="17456"/>
    <cellStyle name="Normal 3 2 2 2 2 3 2 11 2 2" xfId="17457"/>
    <cellStyle name="Normal 3 2 2 2 2 3 2 11 3" xfId="17458"/>
    <cellStyle name="Normal 3 2 2 2 2 3 2 11 3 2" xfId="17459"/>
    <cellStyle name="Normal 3 2 2 2 2 3 2 11 4" xfId="17460"/>
    <cellStyle name="Normal 3 2 2 2 2 3 2 11 5" xfId="17461"/>
    <cellStyle name="Normal 3 2 2 2 2 3 2 12" xfId="17462"/>
    <cellStyle name="Normal 3 2 2 2 2 3 2 12 2" xfId="17463"/>
    <cellStyle name="Normal 3 2 2 2 2 3 2 13" xfId="17464"/>
    <cellStyle name="Normal 3 2 2 2 2 3 2 13 2" xfId="17465"/>
    <cellStyle name="Normal 3 2 2 2 2 3 2 14" xfId="17466"/>
    <cellStyle name="Normal 3 2 2 2 2 3 2 14 2" xfId="17467"/>
    <cellStyle name="Normal 3 2 2 2 2 3 2 15" xfId="17468"/>
    <cellStyle name="Normal 3 2 2 2 2 3 2 16" xfId="17469"/>
    <cellStyle name="Normal 3 2 2 2 2 3 2 17" xfId="17470"/>
    <cellStyle name="Normal 3 2 2 2 2 3 2 2" xfId="17471"/>
    <cellStyle name="Normal 3 2 2 2 2 3 2 2 10" xfId="17472"/>
    <cellStyle name="Normal 3 2 2 2 2 3 2 2 10 2" xfId="17473"/>
    <cellStyle name="Normal 3 2 2 2 2 3 2 2 11" xfId="17474"/>
    <cellStyle name="Normal 3 2 2 2 2 3 2 2 11 2" xfId="17475"/>
    <cellStyle name="Normal 3 2 2 2 2 3 2 2 12" xfId="17476"/>
    <cellStyle name="Normal 3 2 2 2 2 3 2 2 13" xfId="17477"/>
    <cellStyle name="Normal 3 2 2 2 2 3 2 2 14" xfId="17478"/>
    <cellStyle name="Normal 3 2 2 2 2 3 2 2 2" xfId="17479"/>
    <cellStyle name="Normal 3 2 2 2 2 3 2 2 2 10" xfId="17480"/>
    <cellStyle name="Normal 3 2 2 2 2 3 2 2 2 11" xfId="17481"/>
    <cellStyle name="Normal 3 2 2 2 2 3 2 2 2 12" xfId="17482"/>
    <cellStyle name="Normal 3 2 2 2 2 3 2 2 2 2" xfId="17483"/>
    <cellStyle name="Normal 3 2 2 2 2 3 2 2 2 2 2" xfId="17484"/>
    <cellStyle name="Normal 3 2 2 2 2 3 2 2 2 2 2 2" xfId="17485"/>
    <cellStyle name="Normal 3 2 2 2 2 3 2 2 2 2 3" xfId="17486"/>
    <cellStyle name="Normal 3 2 2 2 2 3 2 2 2 2 3 2" xfId="17487"/>
    <cellStyle name="Normal 3 2 2 2 2 3 2 2 2 2 4" xfId="17488"/>
    <cellStyle name="Normal 3 2 2 2 2 3 2 2 2 2 4 2" xfId="17489"/>
    <cellStyle name="Normal 3 2 2 2 2 3 2 2 2 2 5" xfId="17490"/>
    <cellStyle name="Normal 3 2 2 2 2 3 2 2 2 2 6" xfId="17491"/>
    <cellStyle name="Normal 3 2 2 2 2 3 2 2 2 3" xfId="17492"/>
    <cellStyle name="Normal 3 2 2 2 2 3 2 2 2 3 2" xfId="17493"/>
    <cellStyle name="Normal 3 2 2 2 2 3 2 2 2 3 2 2" xfId="17494"/>
    <cellStyle name="Normal 3 2 2 2 2 3 2 2 2 3 3" xfId="17495"/>
    <cellStyle name="Normal 3 2 2 2 2 3 2 2 2 3 3 2" xfId="17496"/>
    <cellStyle name="Normal 3 2 2 2 2 3 2 2 2 3 4" xfId="17497"/>
    <cellStyle name="Normal 3 2 2 2 2 3 2 2 2 3 4 2" xfId="17498"/>
    <cellStyle name="Normal 3 2 2 2 2 3 2 2 2 3 5" xfId="17499"/>
    <cellStyle name="Normal 3 2 2 2 2 3 2 2 2 3 6" xfId="17500"/>
    <cellStyle name="Normal 3 2 2 2 2 3 2 2 2 4" xfId="17501"/>
    <cellStyle name="Normal 3 2 2 2 2 3 2 2 2 4 2" xfId="17502"/>
    <cellStyle name="Normal 3 2 2 2 2 3 2 2 2 4 2 2" xfId="17503"/>
    <cellStyle name="Normal 3 2 2 2 2 3 2 2 2 4 3" xfId="17504"/>
    <cellStyle name="Normal 3 2 2 2 2 3 2 2 2 4 3 2" xfId="17505"/>
    <cellStyle name="Normal 3 2 2 2 2 3 2 2 2 4 4" xfId="17506"/>
    <cellStyle name="Normal 3 2 2 2 2 3 2 2 2 4 4 2" xfId="17507"/>
    <cellStyle name="Normal 3 2 2 2 2 3 2 2 2 4 5" xfId="17508"/>
    <cellStyle name="Normal 3 2 2 2 2 3 2 2 2 4 6" xfId="17509"/>
    <cellStyle name="Normal 3 2 2 2 2 3 2 2 2 5" xfId="17510"/>
    <cellStyle name="Normal 3 2 2 2 2 3 2 2 2 5 2" xfId="17511"/>
    <cellStyle name="Normal 3 2 2 2 2 3 2 2 2 5 2 2" xfId="17512"/>
    <cellStyle name="Normal 3 2 2 2 2 3 2 2 2 5 3" xfId="17513"/>
    <cellStyle name="Normal 3 2 2 2 2 3 2 2 2 5 3 2" xfId="17514"/>
    <cellStyle name="Normal 3 2 2 2 2 3 2 2 2 5 4" xfId="17515"/>
    <cellStyle name="Normal 3 2 2 2 2 3 2 2 2 5 4 2" xfId="17516"/>
    <cellStyle name="Normal 3 2 2 2 2 3 2 2 2 5 5" xfId="17517"/>
    <cellStyle name="Normal 3 2 2 2 2 3 2 2 2 5 6" xfId="17518"/>
    <cellStyle name="Normal 3 2 2 2 2 3 2 2 2 6" xfId="17519"/>
    <cellStyle name="Normal 3 2 2 2 2 3 2 2 2 6 2" xfId="17520"/>
    <cellStyle name="Normal 3 2 2 2 2 3 2 2 2 6 2 2" xfId="17521"/>
    <cellStyle name="Normal 3 2 2 2 2 3 2 2 2 6 3" xfId="17522"/>
    <cellStyle name="Normal 3 2 2 2 2 3 2 2 2 6 3 2" xfId="17523"/>
    <cellStyle name="Normal 3 2 2 2 2 3 2 2 2 6 4" xfId="17524"/>
    <cellStyle name="Normal 3 2 2 2 2 3 2 2 2 6 5" xfId="17525"/>
    <cellStyle name="Normal 3 2 2 2 2 3 2 2 2 7" xfId="17526"/>
    <cellStyle name="Normal 3 2 2 2 2 3 2 2 2 7 2" xfId="17527"/>
    <cellStyle name="Normal 3 2 2 2 2 3 2 2 2 8" xfId="17528"/>
    <cellStyle name="Normal 3 2 2 2 2 3 2 2 2 8 2" xfId="17529"/>
    <cellStyle name="Normal 3 2 2 2 2 3 2 2 2 9" xfId="17530"/>
    <cellStyle name="Normal 3 2 2 2 2 3 2 2 2 9 2" xfId="17531"/>
    <cellStyle name="Normal 3 2 2 2 2 3 2 2 3" xfId="17532"/>
    <cellStyle name="Normal 3 2 2 2 2 3 2 2 3 10" xfId="17533"/>
    <cellStyle name="Normal 3 2 2 2 2 3 2 2 3 11" xfId="17534"/>
    <cellStyle name="Normal 3 2 2 2 2 3 2 2 3 2" xfId="17535"/>
    <cellStyle name="Normal 3 2 2 2 2 3 2 2 3 2 2" xfId="17536"/>
    <cellStyle name="Normal 3 2 2 2 2 3 2 2 3 2 2 2" xfId="17537"/>
    <cellStyle name="Normal 3 2 2 2 2 3 2 2 3 2 3" xfId="17538"/>
    <cellStyle name="Normal 3 2 2 2 2 3 2 2 3 2 3 2" xfId="17539"/>
    <cellStyle name="Normal 3 2 2 2 2 3 2 2 3 2 4" xfId="17540"/>
    <cellStyle name="Normal 3 2 2 2 2 3 2 2 3 2 4 2" xfId="17541"/>
    <cellStyle name="Normal 3 2 2 2 2 3 2 2 3 2 5" xfId="17542"/>
    <cellStyle name="Normal 3 2 2 2 2 3 2 2 3 2 6" xfId="17543"/>
    <cellStyle name="Normal 3 2 2 2 2 3 2 2 3 3" xfId="17544"/>
    <cellStyle name="Normal 3 2 2 2 2 3 2 2 3 3 2" xfId="17545"/>
    <cellStyle name="Normal 3 2 2 2 2 3 2 2 3 3 2 2" xfId="17546"/>
    <cellStyle name="Normal 3 2 2 2 2 3 2 2 3 3 3" xfId="17547"/>
    <cellStyle name="Normal 3 2 2 2 2 3 2 2 3 3 3 2" xfId="17548"/>
    <cellStyle name="Normal 3 2 2 2 2 3 2 2 3 3 4" xfId="17549"/>
    <cellStyle name="Normal 3 2 2 2 2 3 2 2 3 3 4 2" xfId="17550"/>
    <cellStyle name="Normal 3 2 2 2 2 3 2 2 3 3 5" xfId="17551"/>
    <cellStyle name="Normal 3 2 2 2 2 3 2 2 3 3 6" xfId="17552"/>
    <cellStyle name="Normal 3 2 2 2 2 3 2 2 3 4" xfId="17553"/>
    <cellStyle name="Normal 3 2 2 2 2 3 2 2 3 4 2" xfId="17554"/>
    <cellStyle name="Normal 3 2 2 2 2 3 2 2 3 4 2 2" xfId="17555"/>
    <cellStyle name="Normal 3 2 2 2 2 3 2 2 3 4 3" xfId="17556"/>
    <cellStyle name="Normal 3 2 2 2 2 3 2 2 3 4 3 2" xfId="17557"/>
    <cellStyle name="Normal 3 2 2 2 2 3 2 2 3 4 4" xfId="17558"/>
    <cellStyle name="Normal 3 2 2 2 2 3 2 2 3 4 4 2" xfId="17559"/>
    <cellStyle name="Normal 3 2 2 2 2 3 2 2 3 4 5" xfId="17560"/>
    <cellStyle name="Normal 3 2 2 2 2 3 2 2 3 4 6" xfId="17561"/>
    <cellStyle name="Normal 3 2 2 2 2 3 2 2 3 5" xfId="17562"/>
    <cellStyle name="Normal 3 2 2 2 2 3 2 2 3 5 2" xfId="17563"/>
    <cellStyle name="Normal 3 2 2 2 2 3 2 2 3 5 2 2" xfId="17564"/>
    <cellStyle name="Normal 3 2 2 2 2 3 2 2 3 5 3" xfId="17565"/>
    <cellStyle name="Normal 3 2 2 2 2 3 2 2 3 5 3 2" xfId="17566"/>
    <cellStyle name="Normal 3 2 2 2 2 3 2 2 3 5 4" xfId="17567"/>
    <cellStyle name="Normal 3 2 2 2 2 3 2 2 3 5 5" xfId="17568"/>
    <cellStyle name="Normal 3 2 2 2 2 3 2 2 3 6" xfId="17569"/>
    <cellStyle name="Normal 3 2 2 2 2 3 2 2 3 6 2" xfId="17570"/>
    <cellStyle name="Normal 3 2 2 2 2 3 2 2 3 7" xfId="17571"/>
    <cellStyle name="Normal 3 2 2 2 2 3 2 2 3 7 2" xfId="17572"/>
    <cellStyle name="Normal 3 2 2 2 2 3 2 2 3 8" xfId="17573"/>
    <cellStyle name="Normal 3 2 2 2 2 3 2 2 3 8 2" xfId="17574"/>
    <cellStyle name="Normal 3 2 2 2 2 3 2 2 3 9" xfId="17575"/>
    <cellStyle name="Normal 3 2 2 2 2 3 2 2 4" xfId="17576"/>
    <cellStyle name="Normal 3 2 2 2 2 3 2 2 4 10" xfId="17577"/>
    <cellStyle name="Normal 3 2 2 2 2 3 2 2 4 2" xfId="17578"/>
    <cellStyle name="Normal 3 2 2 2 2 3 2 2 4 2 2" xfId="17579"/>
    <cellStyle name="Normal 3 2 2 2 2 3 2 2 4 2 2 2" xfId="17580"/>
    <cellStyle name="Normal 3 2 2 2 2 3 2 2 4 2 3" xfId="17581"/>
    <cellStyle name="Normal 3 2 2 2 2 3 2 2 4 2 3 2" xfId="17582"/>
    <cellStyle name="Normal 3 2 2 2 2 3 2 2 4 2 4" xfId="17583"/>
    <cellStyle name="Normal 3 2 2 2 2 3 2 2 4 2 4 2" xfId="17584"/>
    <cellStyle name="Normal 3 2 2 2 2 3 2 2 4 2 5" xfId="17585"/>
    <cellStyle name="Normal 3 2 2 2 2 3 2 2 4 2 6" xfId="17586"/>
    <cellStyle name="Normal 3 2 2 2 2 3 2 2 4 3" xfId="17587"/>
    <cellStyle name="Normal 3 2 2 2 2 3 2 2 4 3 2" xfId="17588"/>
    <cellStyle name="Normal 3 2 2 2 2 3 2 2 4 3 2 2" xfId="17589"/>
    <cellStyle name="Normal 3 2 2 2 2 3 2 2 4 3 3" xfId="17590"/>
    <cellStyle name="Normal 3 2 2 2 2 3 2 2 4 3 3 2" xfId="17591"/>
    <cellStyle name="Normal 3 2 2 2 2 3 2 2 4 3 4" xfId="17592"/>
    <cellStyle name="Normal 3 2 2 2 2 3 2 2 4 3 4 2" xfId="17593"/>
    <cellStyle name="Normal 3 2 2 2 2 3 2 2 4 3 5" xfId="17594"/>
    <cellStyle name="Normal 3 2 2 2 2 3 2 2 4 3 6" xfId="17595"/>
    <cellStyle name="Normal 3 2 2 2 2 3 2 2 4 4" xfId="17596"/>
    <cellStyle name="Normal 3 2 2 2 2 3 2 2 4 4 2" xfId="17597"/>
    <cellStyle name="Normal 3 2 2 2 2 3 2 2 4 4 2 2" xfId="17598"/>
    <cellStyle name="Normal 3 2 2 2 2 3 2 2 4 4 3" xfId="17599"/>
    <cellStyle name="Normal 3 2 2 2 2 3 2 2 4 4 3 2" xfId="17600"/>
    <cellStyle name="Normal 3 2 2 2 2 3 2 2 4 4 4" xfId="17601"/>
    <cellStyle name="Normal 3 2 2 2 2 3 2 2 4 4 4 2" xfId="17602"/>
    <cellStyle name="Normal 3 2 2 2 2 3 2 2 4 4 5" xfId="17603"/>
    <cellStyle name="Normal 3 2 2 2 2 3 2 2 4 4 6" xfId="17604"/>
    <cellStyle name="Normal 3 2 2 2 2 3 2 2 4 5" xfId="17605"/>
    <cellStyle name="Normal 3 2 2 2 2 3 2 2 4 5 2" xfId="17606"/>
    <cellStyle name="Normal 3 2 2 2 2 3 2 2 4 5 2 2" xfId="17607"/>
    <cellStyle name="Normal 3 2 2 2 2 3 2 2 4 5 3" xfId="17608"/>
    <cellStyle name="Normal 3 2 2 2 2 3 2 2 4 5 3 2" xfId="17609"/>
    <cellStyle name="Normal 3 2 2 2 2 3 2 2 4 5 4" xfId="17610"/>
    <cellStyle name="Normal 3 2 2 2 2 3 2 2 4 5 5" xfId="17611"/>
    <cellStyle name="Normal 3 2 2 2 2 3 2 2 4 6" xfId="17612"/>
    <cellStyle name="Normal 3 2 2 2 2 3 2 2 4 6 2" xfId="17613"/>
    <cellStyle name="Normal 3 2 2 2 2 3 2 2 4 7" xfId="17614"/>
    <cellStyle name="Normal 3 2 2 2 2 3 2 2 4 7 2" xfId="17615"/>
    <cellStyle name="Normal 3 2 2 2 2 3 2 2 4 8" xfId="17616"/>
    <cellStyle name="Normal 3 2 2 2 2 3 2 2 4 8 2" xfId="17617"/>
    <cellStyle name="Normal 3 2 2 2 2 3 2 2 4 9" xfId="17618"/>
    <cellStyle name="Normal 3 2 2 2 2 3 2 2 5" xfId="17619"/>
    <cellStyle name="Normal 3 2 2 2 2 3 2 2 5 2" xfId="17620"/>
    <cellStyle name="Normal 3 2 2 2 2 3 2 2 5 2 2" xfId="17621"/>
    <cellStyle name="Normal 3 2 2 2 2 3 2 2 5 3" xfId="17622"/>
    <cellStyle name="Normal 3 2 2 2 2 3 2 2 5 3 2" xfId="17623"/>
    <cellStyle name="Normal 3 2 2 2 2 3 2 2 5 4" xfId="17624"/>
    <cellStyle name="Normal 3 2 2 2 2 3 2 2 5 4 2" xfId="17625"/>
    <cellStyle name="Normal 3 2 2 2 2 3 2 2 5 5" xfId="17626"/>
    <cellStyle name="Normal 3 2 2 2 2 3 2 2 5 6" xfId="17627"/>
    <cellStyle name="Normal 3 2 2 2 2 3 2 2 6" xfId="17628"/>
    <cellStyle name="Normal 3 2 2 2 2 3 2 2 6 2" xfId="17629"/>
    <cellStyle name="Normal 3 2 2 2 2 3 2 2 6 2 2" xfId="17630"/>
    <cellStyle name="Normal 3 2 2 2 2 3 2 2 6 3" xfId="17631"/>
    <cellStyle name="Normal 3 2 2 2 2 3 2 2 6 3 2" xfId="17632"/>
    <cellStyle name="Normal 3 2 2 2 2 3 2 2 6 4" xfId="17633"/>
    <cellStyle name="Normal 3 2 2 2 2 3 2 2 6 4 2" xfId="17634"/>
    <cellStyle name="Normal 3 2 2 2 2 3 2 2 6 5" xfId="17635"/>
    <cellStyle name="Normal 3 2 2 2 2 3 2 2 6 6" xfId="17636"/>
    <cellStyle name="Normal 3 2 2 2 2 3 2 2 7" xfId="17637"/>
    <cellStyle name="Normal 3 2 2 2 2 3 2 2 7 2" xfId="17638"/>
    <cellStyle name="Normal 3 2 2 2 2 3 2 2 7 2 2" xfId="17639"/>
    <cellStyle name="Normal 3 2 2 2 2 3 2 2 7 3" xfId="17640"/>
    <cellStyle name="Normal 3 2 2 2 2 3 2 2 7 3 2" xfId="17641"/>
    <cellStyle name="Normal 3 2 2 2 2 3 2 2 7 4" xfId="17642"/>
    <cellStyle name="Normal 3 2 2 2 2 3 2 2 7 4 2" xfId="17643"/>
    <cellStyle name="Normal 3 2 2 2 2 3 2 2 7 5" xfId="17644"/>
    <cellStyle name="Normal 3 2 2 2 2 3 2 2 7 6" xfId="17645"/>
    <cellStyle name="Normal 3 2 2 2 2 3 2 2 8" xfId="17646"/>
    <cellStyle name="Normal 3 2 2 2 2 3 2 2 8 2" xfId="17647"/>
    <cellStyle name="Normal 3 2 2 2 2 3 2 2 8 2 2" xfId="17648"/>
    <cellStyle name="Normal 3 2 2 2 2 3 2 2 8 3" xfId="17649"/>
    <cellStyle name="Normal 3 2 2 2 2 3 2 2 8 3 2" xfId="17650"/>
    <cellStyle name="Normal 3 2 2 2 2 3 2 2 8 4" xfId="17651"/>
    <cellStyle name="Normal 3 2 2 2 2 3 2 2 8 5" xfId="17652"/>
    <cellStyle name="Normal 3 2 2 2 2 3 2 2 9" xfId="17653"/>
    <cellStyle name="Normal 3 2 2 2 2 3 2 2 9 2" xfId="17654"/>
    <cellStyle name="Normal 3 2 2 2 2 3 2 3" xfId="17655"/>
    <cellStyle name="Normal 3 2 2 2 2 3 2 3 10" xfId="17656"/>
    <cellStyle name="Normal 3 2 2 2 2 3 2 3 10 2" xfId="17657"/>
    <cellStyle name="Normal 3 2 2 2 2 3 2 3 11" xfId="17658"/>
    <cellStyle name="Normal 3 2 2 2 2 3 2 3 11 2" xfId="17659"/>
    <cellStyle name="Normal 3 2 2 2 2 3 2 3 12" xfId="17660"/>
    <cellStyle name="Normal 3 2 2 2 2 3 2 3 13" xfId="17661"/>
    <cellStyle name="Normal 3 2 2 2 2 3 2 3 14" xfId="17662"/>
    <cellStyle name="Normal 3 2 2 2 2 3 2 3 2" xfId="17663"/>
    <cellStyle name="Normal 3 2 2 2 2 3 2 3 2 10" xfId="17664"/>
    <cellStyle name="Normal 3 2 2 2 2 3 2 3 2 11" xfId="17665"/>
    <cellStyle name="Normal 3 2 2 2 2 3 2 3 2 12" xfId="17666"/>
    <cellStyle name="Normal 3 2 2 2 2 3 2 3 2 2" xfId="17667"/>
    <cellStyle name="Normal 3 2 2 2 2 3 2 3 2 2 2" xfId="17668"/>
    <cellStyle name="Normal 3 2 2 2 2 3 2 3 2 2 2 2" xfId="17669"/>
    <cellStyle name="Normal 3 2 2 2 2 3 2 3 2 2 3" xfId="17670"/>
    <cellStyle name="Normal 3 2 2 2 2 3 2 3 2 2 3 2" xfId="17671"/>
    <cellStyle name="Normal 3 2 2 2 2 3 2 3 2 2 4" xfId="17672"/>
    <cellStyle name="Normal 3 2 2 2 2 3 2 3 2 2 4 2" xfId="17673"/>
    <cellStyle name="Normal 3 2 2 2 2 3 2 3 2 2 5" xfId="17674"/>
    <cellStyle name="Normal 3 2 2 2 2 3 2 3 2 2 6" xfId="17675"/>
    <cellStyle name="Normal 3 2 2 2 2 3 2 3 2 3" xfId="17676"/>
    <cellStyle name="Normal 3 2 2 2 2 3 2 3 2 3 2" xfId="17677"/>
    <cellStyle name="Normal 3 2 2 2 2 3 2 3 2 3 2 2" xfId="17678"/>
    <cellStyle name="Normal 3 2 2 2 2 3 2 3 2 3 3" xfId="17679"/>
    <cellStyle name="Normal 3 2 2 2 2 3 2 3 2 3 3 2" xfId="17680"/>
    <cellStyle name="Normal 3 2 2 2 2 3 2 3 2 3 4" xfId="17681"/>
    <cellStyle name="Normal 3 2 2 2 2 3 2 3 2 3 4 2" xfId="17682"/>
    <cellStyle name="Normal 3 2 2 2 2 3 2 3 2 3 5" xfId="17683"/>
    <cellStyle name="Normal 3 2 2 2 2 3 2 3 2 3 6" xfId="17684"/>
    <cellStyle name="Normal 3 2 2 2 2 3 2 3 2 4" xfId="17685"/>
    <cellStyle name="Normal 3 2 2 2 2 3 2 3 2 4 2" xfId="17686"/>
    <cellStyle name="Normal 3 2 2 2 2 3 2 3 2 4 2 2" xfId="17687"/>
    <cellStyle name="Normal 3 2 2 2 2 3 2 3 2 4 3" xfId="17688"/>
    <cellStyle name="Normal 3 2 2 2 2 3 2 3 2 4 3 2" xfId="17689"/>
    <cellStyle name="Normal 3 2 2 2 2 3 2 3 2 4 4" xfId="17690"/>
    <cellStyle name="Normal 3 2 2 2 2 3 2 3 2 4 4 2" xfId="17691"/>
    <cellStyle name="Normal 3 2 2 2 2 3 2 3 2 4 5" xfId="17692"/>
    <cellStyle name="Normal 3 2 2 2 2 3 2 3 2 4 6" xfId="17693"/>
    <cellStyle name="Normal 3 2 2 2 2 3 2 3 2 5" xfId="17694"/>
    <cellStyle name="Normal 3 2 2 2 2 3 2 3 2 5 2" xfId="17695"/>
    <cellStyle name="Normal 3 2 2 2 2 3 2 3 2 5 2 2" xfId="17696"/>
    <cellStyle name="Normal 3 2 2 2 2 3 2 3 2 5 3" xfId="17697"/>
    <cellStyle name="Normal 3 2 2 2 2 3 2 3 2 5 3 2" xfId="17698"/>
    <cellStyle name="Normal 3 2 2 2 2 3 2 3 2 5 4" xfId="17699"/>
    <cellStyle name="Normal 3 2 2 2 2 3 2 3 2 5 4 2" xfId="17700"/>
    <cellStyle name="Normal 3 2 2 2 2 3 2 3 2 5 5" xfId="17701"/>
    <cellStyle name="Normal 3 2 2 2 2 3 2 3 2 5 6" xfId="17702"/>
    <cellStyle name="Normal 3 2 2 2 2 3 2 3 2 6" xfId="17703"/>
    <cellStyle name="Normal 3 2 2 2 2 3 2 3 2 6 2" xfId="17704"/>
    <cellStyle name="Normal 3 2 2 2 2 3 2 3 2 6 2 2" xfId="17705"/>
    <cellStyle name="Normal 3 2 2 2 2 3 2 3 2 6 3" xfId="17706"/>
    <cellStyle name="Normal 3 2 2 2 2 3 2 3 2 6 3 2" xfId="17707"/>
    <cellStyle name="Normal 3 2 2 2 2 3 2 3 2 6 4" xfId="17708"/>
    <cellStyle name="Normal 3 2 2 2 2 3 2 3 2 6 5" xfId="17709"/>
    <cellStyle name="Normal 3 2 2 2 2 3 2 3 2 7" xfId="17710"/>
    <cellStyle name="Normal 3 2 2 2 2 3 2 3 2 7 2" xfId="17711"/>
    <cellStyle name="Normal 3 2 2 2 2 3 2 3 2 8" xfId="17712"/>
    <cellStyle name="Normal 3 2 2 2 2 3 2 3 2 8 2" xfId="17713"/>
    <cellStyle name="Normal 3 2 2 2 2 3 2 3 2 9" xfId="17714"/>
    <cellStyle name="Normal 3 2 2 2 2 3 2 3 2 9 2" xfId="17715"/>
    <cellStyle name="Normal 3 2 2 2 2 3 2 3 3" xfId="17716"/>
    <cellStyle name="Normal 3 2 2 2 2 3 2 3 3 10" xfId="17717"/>
    <cellStyle name="Normal 3 2 2 2 2 3 2 3 3 2" xfId="17718"/>
    <cellStyle name="Normal 3 2 2 2 2 3 2 3 3 2 2" xfId="17719"/>
    <cellStyle name="Normal 3 2 2 2 2 3 2 3 3 2 2 2" xfId="17720"/>
    <cellStyle name="Normal 3 2 2 2 2 3 2 3 3 2 3" xfId="17721"/>
    <cellStyle name="Normal 3 2 2 2 2 3 2 3 3 2 3 2" xfId="17722"/>
    <cellStyle name="Normal 3 2 2 2 2 3 2 3 3 2 4" xfId="17723"/>
    <cellStyle name="Normal 3 2 2 2 2 3 2 3 3 2 4 2" xfId="17724"/>
    <cellStyle name="Normal 3 2 2 2 2 3 2 3 3 2 5" xfId="17725"/>
    <cellStyle name="Normal 3 2 2 2 2 3 2 3 3 2 6" xfId="17726"/>
    <cellStyle name="Normal 3 2 2 2 2 3 2 3 3 3" xfId="17727"/>
    <cellStyle name="Normal 3 2 2 2 2 3 2 3 3 3 2" xfId="17728"/>
    <cellStyle name="Normal 3 2 2 2 2 3 2 3 3 3 2 2" xfId="17729"/>
    <cellStyle name="Normal 3 2 2 2 2 3 2 3 3 3 3" xfId="17730"/>
    <cellStyle name="Normal 3 2 2 2 2 3 2 3 3 3 3 2" xfId="17731"/>
    <cellStyle name="Normal 3 2 2 2 2 3 2 3 3 3 4" xfId="17732"/>
    <cellStyle name="Normal 3 2 2 2 2 3 2 3 3 3 4 2" xfId="17733"/>
    <cellStyle name="Normal 3 2 2 2 2 3 2 3 3 3 5" xfId="17734"/>
    <cellStyle name="Normal 3 2 2 2 2 3 2 3 3 3 6" xfId="17735"/>
    <cellStyle name="Normal 3 2 2 2 2 3 2 3 3 4" xfId="17736"/>
    <cellStyle name="Normal 3 2 2 2 2 3 2 3 3 4 2" xfId="17737"/>
    <cellStyle name="Normal 3 2 2 2 2 3 2 3 3 4 2 2" xfId="17738"/>
    <cellStyle name="Normal 3 2 2 2 2 3 2 3 3 4 3" xfId="17739"/>
    <cellStyle name="Normal 3 2 2 2 2 3 2 3 3 4 3 2" xfId="17740"/>
    <cellStyle name="Normal 3 2 2 2 2 3 2 3 3 4 4" xfId="17741"/>
    <cellStyle name="Normal 3 2 2 2 2 3 2 3 3 4 4 2" xfId="17742"/>
    <cellStyle name="Normal 3 2 2 2 2 3 2 3 3 4 5" xfId="17743"/>
    <cellStyle name="Normal 3 2 2 2 2 3 2 3 3 4 6" xfId="17744"/>
    <cellStyle name="Normal 3 2 2 2 2 3 2 3 3 5" xfId="17745"/>
    <cellStyle name="Normal 3 2 2 2 2 3 2 3 3 5 2" xfId="17746"/>
    <cellStyle name="Normal 3 2 2 2 2 3 2 3 3 5 2 2" xfId="17747"/>
    <cellStyle name="Normal 3 2 2 2 2 3 2 3 3 5 3" xfId="17748"/>
    <cellStyle name="Normal 3 2 2 2 2 3 2 3 3 5 3 2" xfId="17749"/>
    <cellStyle name="Normal 3 2 2 2 2 3 2 3 3 5 4" xfId="17750"/>
    <cellStyle name="Normal 3 2 2 2 2 3 2 3 3 5 5" xfId="17751"/>
    <cellStyle name="Normal 3 2 2 2 2 3 2 3 3 6" xfId="17752"/>
    <cellStyle name="Normal 3 2 2 2 2 3 2 3 3 6 2" xfId="17753"/>
    <cellStyle name="Normal 3 2 2 2 2 3 2 3 3 7" xfId="17754"/>
    <cellStyle name="Normal 3 2 2 2 2 3 2 3 3 7 2" xfId="17755"/>
    <cellStyle name="Normal 3 2 2 2 2 3 2 3 3 8" xfId="17756"/>
    <cellStyle name="Normal 3 2 2 2 2 3 2 3 3 8 2" xfId="17757"/>
    <cellStyle name="Normal 3 2 2 2 2 3 2 3 3 9" xfId="17758"/>
    <cellStyle name="Normal 3 2 2 2 2 3 2 3 4" xfId="17759"/>
    <cellStyle name="Normal 3 2 2 2 2 3 2 3 4 10" xfId="17760"/>
    <cellStyle name="Normal 3 2 2 2 2 3 2 3 4 2" xfId="17761"/>
    <cellStyle name="Normal 3 2 2 2 2 3 2 3 4 2 2" xfId="17762"/>
    <cellStyle name="Normal 3 2 2 2 2 3 2 3 4 2 2 2" xfId="17763"/>
    <cellStyle name="Normal 3 2 2 2 2 3 2 3 4 2 3" xfId="17764"/>
    <cellStyle name="Normal 3 2 2 2 2 3 2 3 4 2 3 2" xfId="17765"/>
    <cellStyle name="Normal 3 2 2 2 2 3 2 3 4 2 4" xfId="17766"/>
    <cellStyle name="Normal 3 2 2 2 2 3 2 3 4 2 4 2" xfId="17767"/>
    <cellStyle name="Normal 3 2 2 2 2 3 2 3 4 2 5" xfId="17768"/>
    <cellStyle name="Normal 3 2 2 2 2 3 2 3 4 2 6" xfId="17769"/>
    <cellStyle name="Normal 3 2 2 2 2 3 2 3 4 3" xfId="17770"/>
    <cellStyle name="Normal 3 2 2 2 2 3 2 3 4 3 2" xfId="17771"/>
    <cellStyle name="Normal 3 2 2 2 2 3 2 3 4 3 2 2" xfId="17772"/>
    <cellStyle name="Normal 3 2 2 2 2 3 2 3 4 3 3" xfId="17773"/>
    <cellStyle name="Normal 3 2 2 2 2 3 2 3 4 3 3 2" xfId="17774"/>
    <cellStyle name="Normal 3 2 2 2 2 3 2 3 4 3 4" xfId="17775"/>
    <cellStyle name="Normal 3 2 2 2 2 3 2 3 4 3 4 2" xfId="17776"/>
    <cellStyle name="Normal 3 2 2 2 2 3 2 3 4 3 5" xfId="17777"/>
    <cellStyle name="Normal 3 2 2 2 2 3 2 3 4 3 6" xfId="17778"/>
    <cellStyle name="Normal 3 2 2 2 2 3 2 3 4 4" xfId="17779"/>
    <cellStyle name="Normal 3 2 2 2 2 3 2 3 4 4 2" xfId="17780"/>
    <cellStyle name="Normal 3 2 2 2 2 3 2 3 4 4 2 2" xfId="17781"/>
    <cellStyle name="Normal 3 2 2 2 2 3 2 3 4 4 3" xfId="17782"/>
    <cellStyle name="Normal 3 2 2 2 2 3 2 3 4 4 3 2" xfId="17783"/>
    <cellStyle name="Normal 3 2 2 2 2 3 2 3 4 4 4" xfId="17784"/>
    <cellStyle name="Normal 3 2 2 2 2 3 2 3 4 4 4 2" xfId="17785"/>
    <cellStyle name="Normal 3 2 2 2 2 3 2 3 4 4 5" xfId="17786"/>
    <cellStyle name="Normal 3 2 2 2 2 3 2 3 4 4 6" xfId="17787"/>
    <cellStyle name="Normal 3 2 2 2 2 3 2 3 4 5" xfId="17788"/>
    <cellStyle name="Normal 3 2 2 2 2 3 2 3 4 5 2" xfId="17789"/>
    <cellStyle name="Normal 3 2 2 2 2 3 2 3 4 5 2 2" xfId="17790"/>
    <cellStyle name="Normal 3 2 2 2 2 3 2 3 4 5 3" xfId="17791"/>
    <cellStyle name="Normal 3 2 2 2 2 3 2 3 4 5 3 2" xfId="17792"/>
    <cellStyle name="Normal 3 2 2 2 2 3 2 3 4 5 4" xfId="17793"/>
    <cellStyle name="Normal 3 2 2 2 2 3 2 3 4 5 5" xfId="17794"/>
    <cellStyle name="Normal 3 2 2 2 2 3 2 3 4 6" xfId="17795"/>
    <cellStyle name="Normal 3 2 2 2 2 3 2 3 4 6 2" xfId="17796"/>
    <cellStyle name="Normal 3 2 2 2 2 3 2 3 4 7" xfId="17797"/>
    <cellStyle name="Normal 3 2 2 2 2 3 2 3 4 7 2" xfId="17798"/>
    <cellStyle name="Normal 3 2 2 2 2 3 2 3 4 8" xfId="17799"/>
    <cellStyle name="Normal 3 2 2 2 2 3 2 3 4 8 2" xfId="17800"/>
    <cellStyle name="Normal 3 2 2 2 2 3 2 3 4 9" xfId="17801"/>
    <cellStyle name="Normal 3 2 2 2 2 3 2 3 5" xfId="17802"/>
    <cellStyle name="Normal 3 2 2 2 2 3 2 3 5 2" xfId="17803"/>
    <cellStyle name="Normal 3 2 2 2 2 3 2 3 5 2 2" xfId="17804"/>
    <cellStyle name="Normal 3 2 2 2 2 3 2 3 5 3" xfId="17805"/>
    <cellStyle name="Normal 3 2 2 2 2 3 2 3 5 3 2" xfId="17806"/>
    <cellStyle name="Normal 3 2 2 2 2 3 2 3 5 4" xfId="17807"/>
    <cellStyle name="Normal 3 2 2 2 2 3 2 3 5 4 2" xfId="17808"/>
    <cellStyle name="Normal 3 2 2 2 2 3 2 3 5 5" xfId="17809"/>
    <cellStyle name="Normal 3 2 2 2 2 3 2 3 5 6" xfId="17810"/>
    <cellStyle name="Normal 3 2 2 2 2 3 2 3 6" xfId="17811"/>
    <cellStyle name="Normal 3 2 2 2 2 3 2 3 6 2" xfId="17812"/>
    <cellStyle name="Normal 3 2 2 2 2 3 2 3 6 2 2" xfId="17813"/>
    <cellStyle name="Normal 3 2 2 2 2 3 2 3 6 3" xfId="17814"/>
    <cellStyle name="Normal 3 2 2 2 2 3 2 3 6 3 2" xfId="17815"/>
    <cellStyle name="Normal 3 2 2 2 2 3 2 3 6 4" xfId="17816"/>
    <cellStyle name="Normal 3 2 2 2 2 3 2 3 6 4 2" xfId="17817"/>
    <cellStyle name="Normal 3 2 2 2 2 3 2 3 6 5" xfId="17818"/>
    <cellStyle name="Normal 3 2 2 2 2 3 2 3 6 6" xfId="17819"/>
    <cellStyle name="Normal 3 2 2 2 2 3 2 3 7" xfId="17820"/>
    <cellStyle name="Normal 3 2 2 2 2 3 2 3 7 2" xfId="17821"/>
    <cellStyle name="Normal 3 2 2 2 2 3 2 3 7 2 2" xfId="17822"/>
    <cellStyle name="Normal 3 2 2 2 2 3 2 3 7 3" xfId="17823"/>
    <cellStyle name="Normal 3 2 2 2 2 3 2 3 7 3 2" xfId="17824"/>
    <cellStyle name="Normal 3 2 2 2 2 3 2 3 7 4" xfId="17825"/>
    <cellStyle name="Normal 3 2 2 2 2 3 2 3 7 4 2" xfId="17826"/>
    <cellStyle name="Normal 3 2 2 2 2 3 2 3 7 5" xfId="17827"/>
    <cellStyle name="Normal 3 2 2 2 2 3 2 3 7 6" xfId="17828"/>
    <cellStyle name="Normal 3 2 2 2 2 3 2 3 8" xfId="17829"/>
    <cellStyle name="Normal 3 2 2 2 2 3 2 3 8 2" xfId="17830"/>
    <cellStyle name="Normal 3 2 2 2 2 3 2 3 8 2 2" xfId="17831"/>
    <cellStyle name="Normal 3 2 2 2 2 3 2 3 8 3" xfId="17832"/>
    <cellStyle name="Normal 3 2 2 2 2 3 2 3 8 3 2" xfId="17833"/>
    <cellStyle name="Normal 3 2 2 2 2 3 2 3 8 4" xfId="17834"/>
    <cellStyle name="Normal 3 2 2 2 2 3 2 3 8 5" xfId="17835"/>
    <cellStyle name="Normal 3 2 2 2 2 3 2 3 9" xfId="17836"/>
    <cellStyle name="Normal 3 2 2 2 2 3 2 3 9 2" xfId="17837"/>
    <cellStyle name="Normal 3 2 2 2 2 3 2 4" xfId="17838"/>
    <cellStyle name="Normal 3 2 2 2 2 3 2 4 10" xfId="17839"/>
    <cellStyle name="Normal 3 2 2 2 2 3 2 4 10 2" xfId="17840"/>
    <cellStyle name="Normal 3 2 2 2 2 3 2 4 11" xfId="17841"/>
    <cellStyle name="Normal 3 2 2 2 2 3 2 4 12" xfId="17842"/>
    <cellStyle name="Normal 3 2 2 2 2 3 2 4 13" xfId="17843"/>
    <cellStyle name="Normal 3 2 2 2 2 3 2 4 2" xfId="17844"/>
    <cellStyle name="Normal 3 2 2 2 2 3 2 4 2 10" xfId="17845"/>
    <cellStyle name="Normal 3 2 2 2 2 3 2 4 2 11" xfId="17846"/>
    <cellStyle name="Normal 3 2 2 2 2 3 2 4 2 2" xfId="17847"/>
    <cellStyle name="Normal 3 2 2 2 2 3 2 4 2 2 2" xfId="17848"/>
    <cellStyle name="Normal 3 2 2 2 2 3 2 4 2 2 2 2" xfId="17849"/>
    <cellStyle name="Normal 3 2 2 2 2 3 2 4 2 2 3" xfId="17850"/>
    <cellStyle name="Normal 3 2 2 2 2 3 2 4 2 2 3 2" xfId="17851"/>
    <cellStyle name="Normal 3 2 2 2 2 3 2 4 2 2 4" xfId="17852"/>
    <cellStyle name="Normal 3 2 2 2 2 3 2 4 2 2 4 2" xfId="17853"/>
    <cellStyle name="Normal 3 2 2 2 2 3 2 4 2 2 5" xfId="17854"/>
    <cellStyle name="Normal 3 2 2 2 2 3 2 4 2 2 6" xfId="17855"/>
    <cellStyle name="Normal 3 2 2 2 2 3 2 4 2 3" xfId="17856"/>
    <cellStyle name="Normal 3 2 2 2 2 3 2 4 2 3 2" xfId="17857"/>
    <cellStyle name="Normal 3 2 2 2 2 3 2 4 2 3 2 2" xfId="17858"/>
    <cellStyle name="Normal 3 2 2 2 2 3 2 4 2 3 3" xfId="17859"/>
    <cellStyle name="Normal 3 2 2 2 2 3 2 4 2 3 3 2" xfId="17860"/>
    <cellStyle name="Normal 3 2 2 2 2 3 2 4 2 3 4" xfId="17861"/>
    <cellStyle name="Normal 3 2 2 2 2 3 2 4 2 3 4 2" xfId="17862"/>
    <cellStyle name="Normal 3 2 2 2 2 3 2 4 2 3 5" xfId="17863"/>
    <cellStyle name="Normal 3 2 2 2 2 3 2 4 2 3 6" xfId="17864"/>
    <cellStyle name="Normal 3 2 2 2 2 3 2 4 2 4" xfId="17865"/>
    <cellStyle name="Normal 3 2 2 2 2 3 2 4 2 4 2" xfId="17866"/>
    <cellStyle name="Normal 3 2 2 2 2 3 2 4 2 4 2 2" xfId="17867"/>
    <cellStyle name="Normal 3 2 2 2 2 3 2 4 2 4 3" xfId="17868"/>
    <cellStyle name="Normal 3 2 2 2 2 3 2 4 2 4 3 2" xfId="17869"/>
    <cellStyle name="Normal 3 2 2 2 2 3 2 4 2 4 4" xfId="17870"/>
    <cellStyle name="Normal 3 2 2 2 2 3 2 4 2 4 4 2" xfId="17871"/>
    <cellStyle name="Normal 3 2 2 2 2 3 2 4 2 4 5" xfId="17872"/>
    <cellStyle name="Normal 3 2 2 2 2 3 2 4 2 4 6" xfId="17873"/>
    <cellStyle name="Normal 3 2 2 2 2 3 2 4 2 5" xfId="17874"/>
    <cellStyle name="Normal 3 2 2 2 2 3 2 4 2 5 2" xfId="17875"/>
    <cellStyle name="Normal 3 2 2 2 2 3 2 4 2 5 2 2" xfId="17876"/>
    <cellStyle name="Normal 3 2 2 2 2 3 2 4 2 5 3" xfId="17877"/>
    <cellStyle name="Normal 3 2 2 2 2 3 2 4 2 5 3 2" xfId="17878"/>
    <cellStyle name="Normal 3 2 2 2 2 3 2 4 2 5 4" xfId="17879"/>
    <cellStyle name="Normal 3 2 2 2 2 3 2 4 2 5 5" xfId="17880"/>
    <cellStyle name="Normal 3 2 2 2 2 3 2 4 2 6" xfId="17881"/>
    <cellStyle name="Normal 3 2 2 2 2 3 2 4 2 6 2" xfId="17882"/>
    <cellStyle name="Normal 3 2 2 2 2 3 2 4 2 7" xfId="17883"/>
    <cellStyle name="Normal 3 2 2 2 2 3 2 4 2 7 2" xfId="17884"/>
    <cellStyle name="Normal 3 2 2 2 2 3 2 4 2 8" xfId="17885"/>
    <cellStyle name="Normal 3 2 2 2 2 3 2 4 2 8 2" xfId="17886"/>
    <cellStyle name="Normal 3 2 2 2 2 3 2 4 2 9" xfId="17887"/>
    <cellStyle name="Normal 3 2 2 2 2 3 2 4 3" xfId="17888"/>
    <cellStyle name="Normal 3 2 2 2 2 3 2 4 3 10" xfId="17889"/>
    <cellStyle name="Normal 3 2 2 2 2 3 2 4 3 2" xfId="17890"/>
    <cellStyle name="Normal 3 2 2 2 2 3 2 4 3 2 2" xfId="17891"/>
    <cellStyle name="Normal 3 2 2 2 2 3 2 4 3 2 2 2" xfId="17892"/>
    <cellStyle name="Normal 3 2 2 2 2 3 2 4 3 2 3" xfId="17893"/>
    <cellStyle name="Normal 3 2 2 2 2 3 2 4 3 2 3 2" xfId="17894"/>
    <cellStyle name="Normal 3 2 2 2 2 3 2 4 3 2 4" xfId="17895"/>
    <cellStyle name="Normal 3 2 2 2 2 3 2 4 3 2 4 2" xfId="17896"/>
    <cellStyle name="Normal 3 2 2 2 2 3 2 4 3 2 5" xfId="17897"/>
    <cellStyle name="Normal 3 2 2 2 2 3 2 4 3 2 6" xfId="17898"/>
    <cellStyle name="Normal 3 2 2 2 2 3 2 4 3 3" xfId="17899"/>
    <cellStyle name="Normal 3 2 2 2 2 3 2 4 3 3 2" xfId="17900"/>
    <cellStyle name="Normal 3 2 2 2 2 3 2 4 3 3 2 2" xfId="17901"/>
    <cellStyle name="Normal 3 2 2 2 2 3 2 4 3 3 3" xfId="17902"/>
    <cellStyle name="Normal 3 2 2 2 2 3 2 4 3 3 3 2" xfId="17903"/>
    <cellStyle name="Normal 3 2 2 2 2 3 2 4 3 3 4" xfId="17904"/>
    <cellStyle name="Normal 3 2 2 2 2 3 2 4 3 3 4 2" xfId="17905"/>
    <cellStyle name="Normal 3 2 2 2 2 3 2 4 3 3 5" xfId="17906"/>
    <cellStyle name="Normal 3 2 2 2 2 3 2 4 3 3 6" xfId="17907"/>
    <cellStyle name="Normal 3 2 2 2 2 3 2 4 3 4" xfId="17908"/>
    <cellStyle name="Normal 3 2 2 2 2 3 2 4 3 4 2" xfId="17909"/>
    <cellStyle name="Normal 3 2 2 2 2 3 2 4 3 4 2 2" xfId="17910"/>
    <cellStyle name="Normal 3 2 2 2 2 3 2 4 3 4 3" xfId="17911"/>
    <cellStyle name="Normal 3 2 2 2 2 3 2 4 3 4 3 2" xfId="17912"/>
    <cellStyle name="Normal 3 2 2 2 2 3 2 4 3 4 4" xfId="17913"/>
    <cellStyle name="Normal 3 2 2 2 2 3 2 4 3 4 4 2" xfId="17914"/>
    <cellStyle name="Normal 3 2 2 2 2 3 2 4 3 4 5" xfId="17915"/>
    <cellStyle name="Normal 3 2 2 2 2 3 2 4 3 4 6" xfId="17916"/>
    <cellStyle name="Normal 3 2 2 2 2 3 2 4 3 5" xfId="17917"/>
    <cellStyle name="Normal 3 2 2 2 2 3 2 4 3 5 2" xfId="17918"/>
    <cellStyle name="Normal 3 2 2 2 2 3 2 4 3 5 2 2" xfId="17919"/>
    <cellStyle name="Normal 3 2 2 2 2 3 2 4 3 5 3" xfId="17920"/>
    <cellStyle name="Normal 3 2 2 2 2 3 2 4 3 5 3 2" xfId="17921"/>
    <cellStyle name="Normal 3 2 2 2 2 3 2 4 3 5 4" xfId="17922"/>
    <cellStyle name="Normal 3 2 2 2 2 3 2 4 3 5 5" xfId="17923"/>
    <cellStyle name="Normal 3 2 2 2 2 3 2 4 3 6" xfId="17924"/>
    <cellStyle name="Normal 3 2 2 2 2 3 2 4 3 6 2" xfId="17925"/>
    <cellStyle name="Normal 3 2 2 2 2 3 2 4 3 7" xfId="17926"/>
    <cellStyle name="Normal 3 2 2 2 2 3 2 4 3 7 2" xfId="17927"/>
    <cellStyle name="Normal 3 2 2 2 2 3 2 4 3 8" xfId="17928"/>
    <cellStyle name="Normal 3 2 2 2 2 3 2 4 3 8 2" xfId="17929"/>
    <cellStyle name="Normal 3 2 2 2 2 3 2 4 3 9" xfId="17930"/>
    <cellStyle name="Normal 3 2 2 2 2 3 2 4 4" xfId="17931"/>
    <cellStyle name="Normal 3 2 2 2 2 3 2 4 4 2" xfId="17932"/>
    <cellStyle name="Normal 3 2 2 2 2 3 2 4 4 2 2" xfId="17933"/>
    <cellStyle name="Normal 3 2 2 2 2 3 2 4 4 3" xfId="17934"/>
    <cellStyle name="Normal 3 2 2 2 2 3 2 4 4 3 2" xfId="17935"/>
    <cellStyle name="Normal 3 2 2 2 2 3 2 4 4 4" xfId="17936"/>
    <cellStyle name="Normal 3 2 2 2 2 3 2 4 4 4 2" xfId="17937"/>
    <cellStyle name="Normal 3 2 2 2 2 3 2 4 4 5" xfId="17938"/>
    <cellStyle name="Normal 3 2 2 2 2 3 2 4 4 6" xfId="17939"/>
    <cellStyle name="Normal 3 2 2 2 2 3 2 4 5" xfId="17940"/>
    <cellStyle name="Normal 3 2 2 2 2 3 2 4 5 2" xfId="17941"/>
    <cellStyle name="Normal 3 2 2 2 2 3 2 4 5 2 2" xfId="17942"/>
    <cellStyle name="Normal 3 2 2 2 2 3 2 4 5 3" xfId="17943"/>
    <cellStyle name="Normal 3 2 2 2 2 3 2 4 5 3 2" xfId="17944"/>
    <cellStyle name="Normal 3 2 2 2 2 3 2 4 5 4" xfId="17945"/>
    <cellStyle name="Normal 3 2 2 2 2 3 2 4 5 4 2" xfId="17946"/>
    <cellStyle name="Normal 3 2 2 2 2 3 2 4 5 5" xfId="17947"/>
    <cellStyle name="Normal 3 2 2 2 2 3 2 4 5 6" xfId="17948"/>
    <cellStyle name="Normal 3 2 2 2 2 3 2 4 6" xfId="17949"/>
    <cellStyle name="Normal 3 2 2 2 2 3 2 4 6 2" xfId="17950"/>
    <cellStyle name="Normal 3 2 2 2 2 3 2 4 6 2 2" xfId="17951"/>
    <cellStyle name="Normal 3 2 2 2 2 3 2 4 6 3" xfId="17952"/>
    <cellStyle name="Normal 3 2 2 2 2 3 2 4 6 3 2" xfId="17953"/>
    <cellStyle name="Normal 3 2 2 2 2 3 2 4 6 4" xfId="17954"/>
    <cellStyle name="Normal 3 2 2 2 2 3 2 4 6 4 2" xfId="17955"/>
    <cellStyle name="Normal 3 2 2 2 2 3 2 4 6 5" xfId="17956"/>
    <cellStyle name="Normal 3 2 2 2 2 3 2 4 6 6" xfId="17957"/>
    <cellStyle name="Normal 3 2 2 2 2 3 2 4 7" xfId="17958"/>
    <cellStyle name="Normal 3 2 2 2 2 3 2 4 7 2" xfId="17959"/>
    <cellStyle name="Normal 3 2 2 2 2 3 2 4 7 2 2" xfId="17960"/>
    <cellStyle name="Normal 3 2 2 2 2 3 2 4 7 3" xfId="17961"/>
    <cellStyle name="Normal 3 2 2 2 2 3 2 4 7 3 2" xfId="17962"/>
    <cellStyle name="Normal 3 2 2 2 2 3 2 4 7 4" xfId="17963"/>
    <cellStyle name="Normal 3 2 2 2 2 3 2 4 7 5" xfId="17964"/>
    <cellStyle name="Normal 3 2 2 2 2 3 2 4 8" xfId="17965"/>
    <cellStyle name="Normal 3 2 2 2 2 3 2 4 8 2" xfId="17966"/>
    <cellStyle name="Normal 3 2 2 2 2 3 2 4 9" xfId="17967"/>
    <cellStyle name="Normal 3 2 2 2 2 3 2 4 9 2" xfId="17968"/>
    <cellStyle name="Normal 3 2 2 2 2 3 2 5" xfId="17969"/>
    <cellStyle name="Normal 3 2 2 2 2 3 2 5 10" xfId="17970"/>
    <cellStyle name="Normal 3 2 2 2 2 3 2 5 11" xfId="17971"/>
    <cellStyle name="Normal 3 2 2 2 2 3 2 5 12" xfId="17972"/>
    <cellStyle name="Normal 3 2 2 2 2 3 2 5 2" xfId="17973"/>
    <cellStyle name="Normal 3 2 2 2 2 3 2 5 2 2" xfId="17974"/>
    <cellStyle name="Normal 3 2 2 2 2 3 2 5 2 2 2" xfId="17975"/>
    <cellStyle name="Normal 3 2 2 2 2 3 2 5 2 3" xfId="17976"/>
    <cellStyle name="Normal 3 2 2 2 2 3 2 5 2 3 2" xfId="17977"/>
    <cellStyle name="Normal 3 2 2 2 2 3 2 5 2 4" xfId="17978"/>
    <cellStyle name="Normal 3 2 2 2 2 3 2 5 2 4 2" xfId="17979"/>
    <cellStyle name="Normal 3 2 2 2 2 3 2 5 2 5" xfId="17980"/>
    <cellStyle name="Normal 3 2 2 2 2 3 2 5 2 6" xfId="17981"/>
    <cellStyle name="Normal 3 2 2 2 2 3 2 5 3" xfId="17982"/>
    <cellStyle name="Normal 3 2 2 2 2 3 2 5 3 2" xfId="17983"/>
    <cellStyle name="Normal 3 2 2 2 2 3 2 5 3 2 2" xfId="17984"/>
    <cellStyle name="Normal 3 2 2 2 2 3 2 5 3 3" xfId="17985"/>
    <cellStyle name="Normal 3 2 2 2 2 3 2 5 3 3 2" xfId="17986"/>
    <cellStyle name="Normal 3 2 2 2 2 3 2 5 3 4" xfId="17987"/>
    <cellStyle name="Normal 3 2 2 2 2 3 2 5 3 4 2" xfId="17988"/>
    <cellStyle name="Normal 3 2 2 2 2 3 2 5 3 5" xfId="17989"/>
    <cellStyle name="Normal 3 2 2 2 2 3 2 5 3 6" xfId="17990"/>
    <cellStyle name="Normal 3 2 2 2 2 3 2 5 4" xfId="17991"/>
    <cellStyle name="Normal 3 2 2 2 2 3 2 5 4 2" xfId="17992"/>
    <cellStyle name="Normal 3 2 2 2 2 3 2 5 4 2 2" xfId="17993"/>
    <cellStyle name="Normal 3 2 2 2 2 3 2 5 4 3" xfId="17994"/>
    <cellStyle name="Normal 3 2 2 2 2 3 2 5 4 3 2" xfId="17995"/>
    <cellStyle name="Normal 3 2 2 2 2 3 2 5 4 4" xfId="17996"/>
    <cellStyle name="Normal 3 2 2 2 2 3 2 5 4 4 2" xfId="17997"/>
    <cellStyle name="Normal 3 2 2 2 2 3 2 5 4 5" xfId="17998"/>
    <cellStyle name="Normal 3 2 2 2 2 3 2 5 4 6" xfId="17999"/>
    <cellStyle name="Normal 3 2 2 2 2 3 2 5 5" xfId="18000"/>
    <cellStyle name="Normal 3 2 2 2 2 3 2 5 5 2" xfId="18001"/>
    <cellStyle name="Normal 3 2 2 2 2 3 2 5 5 2 2" xfId="18002"/>
    <cellStyle name="Normal 3 2 2 2 2 3 2 5 5 3" xfId="18003"/>
    <cellStyle name="Normal 3 2 2 2 2 3 2 5 5 3 2" xfId="18004"/>
    <cellStyle name="Normal 3 2 2 2 2 3 2 5 5 4" xfId="18005"/>
    <cellStyle name="Normal 3 2 2 2 2 3 2 5 5 4 2" xfId="18006"/>
    <cellStyle name="Normal 3 2 2 2 2 3 2 5 5 5" xfId="18007"/>
    <cellStyle name="Normal 3 2 2 2 2 3 2 5 5 6" xfId="18008"/>
    <cellStyle name="Normal 3 2 2 2 2 3 2 5 6" xfId="18009"/>
    <cellStyle name="Normal 3 2 2 2 2 3 2 5 6 2" xfId="18010"/>
    <cellStyle name="Normal 3 2 2 2 2 3 2 5 6 2 2" xfId="18011"/>
    <cellStyle name="Normal 3 2 2 2 2 3 2 5 6 3" xfId="18012"/>
    <cellStyle name="Normal 3 2 2 2 2 3 2 5 6 3 2" xfId="18013"/>
    <cellStyle name="Normal 3 2 2 2 2 3 2 5 6 4" xfId="18014"/>
    <cellStyle name="Normal 3 2 2 2 2 3 2 5 6 5" xfId="18015"/>
    <cellStyle name="Normal 3 2 2 2 2 3 2 5 7" xfId="18016"/>
    <cellStyle name="Normal 3 2 2 2 2 3 2 5 7 2" xfId="18017"/>
    <cellStyle name="Normal 3 2 2 2 2 3 2 5 8" xfId="18018"/>
    <cellStyle name="Normal 3 2 2 2 2 3 2 5 8 2" xfId="18019"/>
    <cellStyle name="Normal 3 2 2 2 2 3 2 5 9" xfId="18020"/>
    <cellStyle name="Normal 3 2 2 2 2 3 2 5 9 2" xfId="18021"/>
    <cellStyle name="Normal 3 2 2 2 2 3 2 6" xfId="18022"/>
    <cellStyle name="Normal 3 2 2 2 2 3 2 6 10" xfId="18023"/>
    <cellStyle name="Normal 3 2 2 2 2 3 2 6 2" xfId="18024"/>
    <cellStyle name="Normal 3 2 2 2 2 3 2 6 2 2" xfId="18025"/>
    <cellStyle name="Normal 3 2 2 2 2 3 2 6 2 2 2" xfId="18026"/>
    <cellStyle name="Normal 3 2 2 2 2 3 2 6 2 3" xfId="18027"/>
    <cellStyle name="Normal 3 2 2 2 2 3 2 6 2 3 2" xfId="18028"/>
    <cellStyle name="Normal 3 2 2 2 2 3 2 6 2 4" xfId="18029"/>
    <cellStyle name="Normal 3 2 2 2 2 3 2 6 2 4 2" xfId="18030"/>
    <cellStyle name="Normal 3 2 2 2 2 3 2 6 2 5" xfId="18031"/>
    <cellStyle name="Normal 3 2 2 2 2 3 2 6 2 6" xfId="18032"/>
    <cellStyle name="Normal 3 2 2 2 2 3 2 6 3" xfId="18033"/>
    <cellStyle name="Normal 3 2 2 2 2 3 2 6 3 2" xfId="18034"/>
    <cellStyle name="Normal 3 2 2 2 2 3 2 6 3 2 2" xfId="18035"/>
    <cellStyle name="Normal 3 2 2 2 2 3 2 6 3 3" xfId="18036"/>
    <cellStyle name="Normal 3 2 2 2 2 3 2 6 3 3 2" xfId="18037"/>
    <cellStyle name="Normal 3 2 2 2 2 3 2 6 3 4" xfId="18038"/>
    <cellStyle name="Normal 3 2 2 2 2 3 2 6 3 4 2" xfId="18039"/>
    <cellStyle name="Normal 3 2 2 2 2 3 2 6 3 5" xfId="18040"/>
    <cellStyle name="Normal 3 2 2 2 2 3 2 6 3 6" xfId="18041"/>
    <cellStyle name="Normal 3 2 2 2 2 3 2 6 4" xfId="18042"/>
    <cellStyle name="Normal 3 2 2 2 2 3 2 6 4 2" xfId="18043"/>
    <cellStyle name="Normal 3 2 2 2 2 3 2 6 4 2 2" xfId="18044"/>
    <cellStyle name="Normal 3 2 2 2 2 3 2 6 4 3" xfId="18045"/>
    <cellStyle name="Normal 3 2 2 2 2 3 2 6 4 3 2" xfId="18046"/>
    <cellStyle name="Normal 3 2 2 2 2 3 2 6 4 4" xfId="18047"/>
    <cellStyle name="Normal 3 2 2 2 2 3 2 6 4 4 2" xfId="18048"/>
    <cellStyle name="Normal 3 2 2 2 2 3 2 6 4 5" xfId="18049"/>
    <cellStyle name="Normal 3 2 2 2 2 3 2 6 4 6" xfId="18050"/>
    <cellStyle name="Normal 3 2 2 2 2 3 2 6 5" xfId="18051"/>
    <cellStyle name="Normal 3 2 2 2 2 3 2 6 5 2" xfId="18052"/>
    <cellStyle name="Normal 3 2 2 2 2 3 2 6 5 2 2" xfId="18053"/>
    <cellStyle name="Normal 3 2 2 2 2 3 2 6 5 3" xfId="18054"/>
    <cellStyle name="Normal 3 2 2 2 2 3 2 6 5 3 2" xfId="18055"/>
    <cellStyle name="Normal 3 2 2 2 2 3 2 6 5 4" xfId="18056"/>
    <cellStyle name="Normal 3 2 2 2 2 3 2 6 5 5" xfId="18057"/>
    <cellStyle name="Normal 3 2 2 2 2 3 2 6 6" xfId="18058"/>
    <cellStyle name="Normal 3 2 2 2 2 3 2 6 6 2" xfId="18059"/>
    <cellStyle name="Normal 3 2 2 2 2 3 2 6 7" xfId="18060"/>
    <cellStyle name="Normal 3 2 2 2 2 3 2 6 7 2" xfId="18061"/>
    <cellStyle name="Normal 3 2 2 2 2 3 2 6 8" xfId="18062"/>
    <cellStyle name="Normal 3 2 2 2 2 3 2 6 8 2" xfId="18063"/>
    <cellStyle name="Normal 3 2 2 2 2 3 2 6 9" xfId="18064"/>
    <cellStyle name="Normal 3 2 2 2 2 3 2 7" xfId="18065"/>
    <cellStyle name="Normal 3 2 2 2 2 3 2 7 10" xfId="18066"/>
    <cellStyle name="Normal 3 2 2 2 2 3 2 7 2" xfId="18067"/>
    <cellStyle name="Normal 3 2 2 2 2 3 2 7 2 2" xfId="18068"/>
    <cellStyle name="Normal 3 2 2 2 2 3 2 7 2 2 2" xfId="18069"/>
    <cellStyle name="Normal 3 2 2 2 2 3 2 7 2 3" xfId="18070"/>
    <cellStyle name="Normal 3 2 2 2 2 3 2 7 2 3 2" xfId="18071"/>
    <cellStyle name="Normal 3 2 2 2 2 3 2 7 2 4" xfId="18072"/>
    <cellStyle name="Normal 3 2 2 2 2 3 2 7 2 4 2" xfId="18073"/>
    <cellStyle name="Normal 3 2 2 2 2 3 2 7 2 5" xfId="18074"/>
    <cellStyle name="Normal 3 2 2 2 2 3 2 7 2 6" xfId="18075"/>
    <cellStyle name="Normal 3 2 2 2 2 3 2 7 3" xfId="18076"/>
    <cellStyle name="Normal 3 2 2 2 2 3 2 7 3 2" xfId="18077"/>
    <cellStyle name="Normal 3 2 2 2 2 3 2 7 3 2 2" xfId="18078"/>
    <cellStyle name="Normal 3 2 2 2 2 3 2 7 3 3" xfId="18079"/>
    <cellStyle name="Normal 3 2 2 2 2 3 2 7 3 3 2" xfId="18080"/>
    <cellStyle name="Normal 3 2 2 2 2 3 2 7 3 4" xfId="18081"/>
    <cellStyle name="Normal 3 2 2 2 2 3 2 7 3 4 2" xfId="18082"/>
    <cellStyle name="Normal 3 2 2 2 2 3 2 7 3 5" xfId="18083"/>
    <cellStyle name="Normal 3 2 2 2 2 3 2 7 3 6" xfId="18084"/>
    <cellStyle name="Normal 3 2 2 2 2 3 2 7 4" xfId="18085"/>
    <cellStyle name="Normal 3 2 2 2 2 3 2 7 4 2" xfId="18086"/>
    <cellStyle name="Normal 3 2 2 2 2 3 2 7 4 2 2" xfId="18087"/>
    <cellStyle name="Normal 3 2 2 2 2 3 2 7 4 3" xfId="18088"/>
    <cellStyle name="Normal 3 2 2 2 2 3 2 7 4 3 2" xfId="18089"/>
    <cellStyle name="Normal 3 2 2 2 2 3 2 7 4 4" xfId="18090"/>
    <cellStyle name="Normal 3 2 2 2 2 3 2 7 4 4 2" xfId="18091"/>
    <cellStyle name="Normal 3 2 2 2 2 3 2 7 4 5" xfId="18092"/>
    <cellStyle name="Normal 3 2 2 2 2 3 2 7 4 6" xfId="18093"/>
    <cellStyle name="Normal 3 2 2 2 2 3 2 7 5" xfId="18094"/>
    <cellStyle name="Normal 3 2 2 2 2 3 2 7 5 2" xfId="18095"/>
    <cellStyle name="Normal 3 2 2 2 2 3 2 7 5 2 2" xfId="18096"/>
    <cellStyle name="Normal 3 2 2 2 2 3 2 7 5 3" xfId="18097"/>
    <cellStyle name="Normal 3 2 2 2 2 3 2 7 5 3 2" xfId="18098"/>
    <cellStyle name="Normal 3 2 2 2 2 3 2 7 5 4" xfId="18099"/>
    <cellStyle name="Normal 3 2 2 2 2 3 2 7 5 5" xfId="18100"/>
    <cellStyle name="Normal 3 2 2 2 2 3 2 7 6" xfId="18101"/>
    <cellStyle name="Normal 3 2 2 2 2 3 2 7 6 2" xfId="18102"/>
    <cellStyle name="Normal 3 2 2 2 2 3 2 7 7" xfId="18103"/>
    <cellStyle name="Normal 3 2 2 2 2 3 2 7 7 2" xfId="18104"/>
    <cellStyle name="Normal 3 2 2 2 2 3 2 7 8" xfId="18105"/>
    <cellStyle name="Normal 3 2 2 2 2 3 2 7 8 2" xfId="18106"/>
    <cellStyle name="Normal 3 2 2 2 2 3 2 7 9" xfId="18107"/>
    <cellStyle name="Normal 3 2 2 2 2 3 2 8" xfId="18108"/>
    <cellStyle name="Normal 3 2 2 2 2 3 2 8 2" xfId="18109"/>
    <cellStyle name="Normal 3 2 2 2 2 3 2 8 2 2" xfId="18110"/>
    <cellStyle name="Normal 3 2 2 2 2 3 2 8 3" xfId="18111"/>
    <cellStyle name="Normal 3 2 2 2 2 3 2 8 3 2" xfId="18112"/>
    <cellStyle name="Normal 3 2 2 2 2 3 2 8 4" xfId="18113"/>
    <cellStyle name="Normal 3 2 2 2 2 3 2 8 4 2" xfId="18114"/>
    <cellStyle name="Normal 3 2 2 2 2 3 2 8 5" xfId="18115"/>
    <cellStyle name="Normal 3 2 2 2 2 3 2 8 6" xfId="18116"/>
    <cellStyle name="Normal 3 2 2 2 2 3 2 9" xfId="18117"/>
    <cellStyle name="Normal 3 2 2 2 2 3 2 9 2" xfId="18118"/>
    <cellStyle name="Normal 3 2 2 2 2 3 2 9 2 2" xfId="18119"/>
    <cellStyle name="Normal 3 2 2 2 2 3 2 9 3" xfId="18120"/>
    <cellStyle name="Normal 3 2 2 2 2 3 2 9 3 2" xfId="18121"/>
    <cellStyle name="Normal 3 2 2 2 2 3 2 9 4" xfId="18122"/>
    <cellStyle name="Normal 3 2 2 2 2 3 2 9 4 2" xfId="18123"/>
    <cellStyle name="Normal 3 2 2 2 2 3 2 9 5" xfId="18124"/>
    <cellStyle name="Normal 3 2 2 2 2 3 2 9 6" xfId="18125"/>
    <cellStyle name="Normal 3 2 2 2 2 3 3" xfId="18126"/>
    <cellStyle name="Normal 3 2 2 2 2 3 3 10" xfId="18127"/>
    <cellStyle name="Normal 3 2 2 2 2 3 3 10 2" xfId="18128"/>
    <cellStyle name="Normal 3 2 2 2 2 3 3 11" xfId="18129"/>
    <cellStyle name="Normal 3 2 2 2 2 3 3 11 2" xfId="18130"/>
    <cellStyle name="Normal 3 2 2 2 2 3 3 12" xfId="18131"/>
    <cellStyle name="Normal 3 2 2 2 2 3 3 13" xfId="18132"/>
    <cellStyle name="Normal 3 2 2 2 2 3 3 14" xfId="18133"/>
    <cellStyle name="Normal 3 2 2 2 2 3 3 2" xfId="18134"/>
    <cellStyle name="Normal 3 2 2 2 2 3 3 2 10" xfId="18135"/>
    <cellStyle name="Normal 3 2 2 2 2 3 3 2 11" xfId="18136"/>
    <cellStyle name="Normal 3 2 2 2 2 3 3 2 12" xfId="18137"/>
    <cellStyle name="Normal 3 2 2 2 2 3 3 2 2" xfId="18138"/>
    <cellStyle name="Normal 3 2 2 2 2 3 3 2 2 2" xfId="18139"/>
    <cellStyle name="Normal 3 2 2 2 2 3 3 2 2 2 2" xfId="18140"/>
    <cellStyle name="Normal 3 2 2 2 2 3 3 2 2 3" xfId="18141"/>
    <cellStyle name="Normal 3 2 2 2 2 3 3 2 2 3 2" xfId="18142"/>
    <cellStyle name="Normal 3 2 2 2 2 3 3 2 2 4" xfId="18143"/>
    <cellStyle name="Normal 3 2 2 2 2 3 3 2 2 4 2" xfId="18144"/>
    <cellStyle name="Normal 3 2 2 2 2 3 3 2 2 5" xfId="18145"/>
    <cellStyle name="Normal 3 2 2 2 2 3 3 2 2 6" xfId="18146"/>
    <cellStyle name="Normal 3 2 2 2 2 3 3 2 2 7" xfId="18147"/>
    <cellStyle name="Normal 3 2 2 2 2 3 3 2 3" xfId="18148"/>
    <cellStyle name="Normal 3 2 2 2 2 3 3 2 3 2" xfId="18149"/>
    <cellStyle name="Normal 3 2 2 2 2 3 3 2 3 2 2" xfId="18150"/>
    <cellStyle name="Normal 3 2 2 2 2 3 3 2 3 3" xfId="18151"/>
    <cellStyle name="Normal 3 2 2 2 2 3 3 2 3 3 2" xfId="18152"/>
    <cellStyle name="Normal 3 2 2 2 2 3 3 2 3 4" xfId="18153"/>
    <cellStyle name="Normal 3 2 2 2 2 3 3 2 3 4 2" xfId="18154"/>
    <cellStyle name="Normal 3 2 2 2 2 3 3 2 3 5" xfId="18155"/>
    <cellStyle name="Normal 3 2 2 2 2 3 3 2 3 6" xfId="18156"/>
    <cellStyle name="Normal 3 2 2 2 2 3 3 2 4" xfId="18157"/>
    <cellStyle name="Normal 3 2 2 2 2 3 3 2 4 2" xfId="18158"/>
    <cellStyle name="Normal 3 2 2 2 2 3 3 2 4 2 2" xfId="18159"/>
    <cellStyle name="Normal 3 2 2 2 2 3 3 2 4 3" xfId="18160"/>
    <cellStyle name="Normal 3 2 2 2 2 3 3 2 4 3 2" xfId="18161"/>
    <cellStyle name="Normal 3 2 2 2 2 3 3 2 4 4" xfId="18162"/>
    <cellStyle name="Normal 3 2 2 2 2 3 3 2 4 4 2" xfId="18163"/>
    <cellStyle name="Normal 3 2 2 2 2 3 3 2 4 5" xfId="18164"/>
    <cellStyle name="Normal 3 2 2 2 2 3 3 2 4 6" xfId="18165"/>
    <cellStyle name="Normal 3 2 2 2 2 3 3 2 5" xfId="18166"/>
    <cellStyle name="Normal 3 2 2 2 2 3 3 2 5 2" xfId="18167"/>
    <cellStyle name="Normal 3 2 2 2 2 3 3 2 5 2 2" xfId="18168"/>
    <cellStyle name="Normal 3 2 2 2 2 3 3 2 5 3" xfId="18169"/>
    <cellStyle name="Normal 3 2 2 2 2 3 3 2 5 3 2" xfId="18170"/>
    <cellStyle name="Normal 3 2 2 2 2 3 3 2 5 4" xfId="18171"/>
    <cellStyle name="Normal 3 2 2 2 2 3 3 2 5 4 2" xfId="18172"/>
    <cellStyle name="Normal 3 2 2 2 2 3 3 2 5 5" xfId="18173"/>
    <cellStyle name="Normal 3 2 2 2 2 3 3 2 5 6" xfId="18174"/>
    <cellStyle name="Normal 3 2 2 2 2 3 3 2 6" xfId="18175"/>
    <cellStyle name="Normal 3 2 2 2 2 3 3 2 6 2" xfId="18176"/>
    <cellStyle name="Normal 3 2 2 2 2 3 3 2 6 2 2" xfId="18177"/>
    <cellStyle name="Normal 3 2 2 2 2 3 3 2 6 3" xfId="18178"/>
    <cellStyle name="Normal 3 2 2 2 2 3 3 2 6 3 2" xfId="18179"/>
    <cellStyle name="Normal 3 2 2 2 2 3 3 2 6 4" xfId="18180"/>
    <cellStyle name="Normal 3 2 2 2 2 3 3 2 6 5" xfId="18181"/>
    <cellStyle name="Normal 3 2 2 2 2 3 3 2 7" xfId="18182"/>
    <cellStyle name="Normal 3 2 2 2 2 3 3 2 7 2" xfId="18183"/>
    <cellStyle name="Normal 3 2 2 2 2 3 3 2 8" xfId="18184"/>
    <cellStyle name="Normal 3 2 2 2 2 3 3 2 8 2" xfId="18185"/>
    <cellStyle name="Normal 3 2 2 2 2 3 3 2 9" xfId="18186"/>
    <cellStyle name="Normal 3 2 2 2 2 3 3 2 9 2" xfId="18187"/>
    <cellStyle name="Normal 3 2 2 2 2 3 3 3" xfId="18188"/>
    <cellStyle name="Normal 3 2 2 2 2 3 3 3 10" xfId="18189"/>
    <cellStyle name="Normal 3 2 2 2 2 3 3 3 11" xfId="18190"/>
    <cellStyle name="Normal 3 2 2 2 2 3 3 3 2" xfId="18191"/>
    <cellStyle name="Normal 3 2 2 2 2 3 3 3 2 2" xfId="18192"/>
    <cellStyle name="Normal 3 2 2 2 2 3 3 3 2 2 2" xfId="18193"/>
    <cellStyle name="Normal 3 2 2 2 2 3 3 3 2 3" xfId="18194"/>
    <cellStyle name="Normal 3 2 2 2 2 3 3 3 2 3 2" xfId="18195"/>
    <cellStyle name="Normal 3 2 2 2 2 3 3 3 2 4" xfId="18196"/>
    <cellStyle name="Normal 3 2 2 2 2 3 3 3 2 4 2" xfId="18197"/>
    <cellStyle name="Normal 3 2 2 2 2 3 3 3 2 5" xfId="18198"/>
    <cellStyle name="Normal 3 2 2 2 2 3 3 3 2 6" xfId="18199"/>
    <cellStyle name="Normal 3 2 2 2 2 3 3 3 2 7" xfId="18200"/>
    <cellStyle name="Normal 3 2 2 2 2 3 3 3 3" xfId="18201"/>
    <cellStyle name="Normal 3 2 2 2 2 3 3 3 3 2" xfId="18202"/>
    <cellStyle name="Normal 3 2 2 2 2 3 3 3 3 2 2" xfId="18203"/>
    <cellStyle name="Normal 3 2 2 2 2 3 3 3 3 3" xfId="18204"/>
    <cellStyle name="Normal 3 2 2 2 2 3 3 3 3 3 2" xfId="18205"/>
    <cellStyle name="Normal 3 2 2 2 2 3 3 3 3 4" xfId="18206"/>
    <cellStyle name="Normal 3 2 2 2 2 3 3 3 3 4 2" xfId="18207"/>
    <cellStyle name="Normal 3 2 2 2 2 3 3 3 3 5" xfId="18208"/>
    <cellStyle name="Normal 3 2 2 2 2 3 3 3 3 6" xfId="18209"/>
    <cellStyle name="Normal 3 2 2 2 2 3 3 3 4" xfId="18210"/>
    <cellStyle name="Normal 3 2 2 2 2 3 3 3 4 2" xfId="18211"/>
    <cellStyle name="Normal 3 2 2 2 2 3 3 3 4 2 2" xfId="18212"/>
    <cellStyle name="Normal 3 2 2 2 2 3 3 3 4 3" xfId="18213"/>
    <cellStyle name="Normal 3 2 2 2 2 3 3 3 4 3 2" xfId="18214"/>
    <cellStyle name="Normal 3 2 2 2 2 3 3 3 4 4" xfId="18215"/>
    <cellStyle name="Normal 3 2 2 2 2 3 3 3 4 4 2" xfId="18216"/>
    <cellStyle name="Normal 3 2 2 2 2 3 3 3 4 5" xfId="18217"/>
    <cellStyle name="Normal 3 2 2 2 2 3 3 3 4 6" xfId="18218"/>
    <cellStyle name="Normal 3 2 2 2 2 3 3 3 5" xfId="18219"/>
    <cellStyle name="Normal 3 2 2 2 2 3 3 3 5 2" xfId="18220"/>
    <cellStyle name="Normal 3 2 2 2 2 3 3 3 5 2 2" xfId="18221"/>
    <cellStyle name="Normal 3 2 2 2 2 3 3 3 5 3" xfId="18222"/>
    <cellStyle name="Normal 3 2 2 2 2 3 3 3 5 3 2" xfId="18223"/>
    <cellStyle name="Normal 3 2 2 2 2 3 3 3 5 4" xfId="18224"/>
    <cellStyle name="Normal 3 2 2 2 2 3 3 3 5 5" xfId="18225"/>
    <cellStyle name="Normal 3 2 2 2 2 3 3 3 6" xfId="18226"/>
    <cellStyle name="Normal 3 2 2 2 2 3 3 3 6 2" xfId="18227"/>
    <cellStyle name="Normal 3 2 2 2 2 3 3 3 7" xfId="18228"/>
    <cellStyle name="Normal 3 2 2 2 2 3 3 3 7 2" xfId="18229"/>
    <cellStyle name="Normal 3 2 2 2 2 3 3 3 8" xfId="18230"/>
    <cellStyle name="Normal 3 2 2 2 2 3 3 3 8 2" xfId="18231"/>
    <cellStyle name="Normal 3 2 2 2 2 3 3 3 9" xfId="18232"/>
    <cellStyle name="Normal 3 2 2 2 2 3 3 4" xfId="18233"/>
    <cellStyle name="Normal 3 2 2 2 2 3 3 4 10" xfId="18234"/>
    <cellStyle name="Normal 3 2 2 2 2 3 3 4 11" xfId="18235"/>
    <cellStyle name="Normal 3 2 2 2 2 3 3 4 2" xfId="18236"/>
    <cellStyle name="Normal 3 2 2 2 2 3 3 4 2 2" xfId="18237"/>
    <cellStyle name="Normal 3 2 2 2 2 3 3 4 2 2 2" xfId="18238"/>
    <cellStyle name="Normal 3 2 2 2 2 3 3 4 2 3" xfId="18239"/>
    <cellStyle name="Normal 3 2 2 2 2 3 3 4 2 3 2" xfId="18240"/>
    <cellStyle name="Normal 3 2 2 2 2 3 3 4 2 4" xfId="18241"/>
    <cellStyle name="Normal 3 2 2 2 2 3 3 4 2 4 2" xfId="18242"/>
    <cellStyle name="Normal 3 2 2 2 2 3 3 4 2 5" xfId="18243"/>
    <cellStyle name="Normal 3 2 2 2 2 3 3 4 2 6" xfId="18244"/>
    <cellStyle name="Normal 3 2 2 2 2 3 3 4 3" xfId="18245"/>
    <cellStyle name="Normal 3 2 2 2 2 3 3 4 3 2" xfId="18246"/>
    <cellStyle name="Normal 3 2 2 2 2 3 3 4 3 2 2" xfId="18247"/>
    <cellStyle name="Normal 3 2 2 2 2 3 3 4 3 3" xfId="18248"/>
    <cellStyle name="Normal 3 2 2 2 2 3 3 4 3 3 2" xfId="18249"/>
    <cellStyle name="Normal 3 2 2 2 2 3 3 4 3 4" xfId="18250"/>
    <cellStyle name="Normal 3 2 2 2 2 3 3 4 3 4 2" xfId="18251"/>
    <cellStyle name="Normal 3 2 2 2 2 3 3 4 3 5" xfId="18252"/>
    <cellStyle name="Normal 3 2 2 2 2 3 3 4 3 6" xfId="18253"/>
    <cellStyle name="Normal 3 2 2 2 2 3 3 4 4" xfId="18254"/>
    <cellStyle name="Normal 3 2 2 2 2 3 3 4 4 2" xfId="18255"/>
    <cellStyle name="Normal 3 2 2 2 2 3 3 4 4 2 2" xfId="18256"/>
    <cellStyle name="Normal 3 2 2 2 2 3 3 4 4 3" xfId="18257"/>
    <cellStyle name="Normal 3 2 2 2 2 3 3 4 4 3 2" xfId="18258"/>
    <cellStyle name="Normal 3 2 2 2 2 3 3 4 4 4" xfId="18259"/>
    <cellStyle name="Normal 3 2 2 2 2 3 3 4 4 4 2" xfId="18260"/>
    <cellStyle name="Normal 3 2 2 2 2 3 3 4 4 5" xfId="18261"/>
    <cellStyle name="Normal 3 2 2 2 2 3 3 4 4 6" xfId="18262"/>
    <cellStyle name="Normal 3 2 2 2 2 3 3 4 5" xfId="18263"/>
    <cellStyle name="Normal 3 2 2 2 2 3 3 4 5 2" xfId="18264"/>
    <cellStyle name="Normal 3 2 2 2 2 3 3 4 5 2 2" xfId="18265"/>
    <cellStyle name="Normal 3 2 2 2 2 3 3 4 5 3" xfId="18266"/>
    <cellStyle name="Normal 3 2 2 2 2 3 3 4 5 3 2" xfId="18267"/>
    <cellStyle name="Normal 3 2 2 2 2 3 3 4 5 4" xfId="18268"/>
    <cellStyle name="Normal 3 2 2 2 2 3 3 4 5 5" xfId="18269"/>
    <cellStyle name="Normal 3 2 2 2 2 3 3 4 6" xfId="18270"/>
    <cellStyle name="Normal 3 2 2 2 2 3 3 4 6 2" xfId="18271"/>
    <cellStyle name="Normal 3 2 2 2 2 3 3 4 7" xfId="18272"/>
    <cellStyle name="Normal 3 2 2 2 2 3 3 4 7 2" xfId="18273"/>
    <cellStyle name="Normal 3 2 2 2 2 3 3 4 8" xfId="18274"/>
    <cellStyle name="Normal 3 2 2 2 2 3 3 4 8 2" xfId="18275"/>
    <cellStyle name="Normal 3 2 2 2 2 3 3 4 9" xfId="18276"/>
    <cellStyle name="Normal 3 2 2 2 2 3 3 5" xfId="18277"/>
    <cellStyle name="Normal 3 2 2 2 2 3 3 5 2" xfId="18278"/>
    <cellStyle name="Normal 3 2 2 2 2 3 3 5 2 2" xfId="18279"/>
    <cellStyle name="Normal 3 2 2 2 2 3 3 5 3" xfId="18280"/>
    <cellStyle name="Normal 3 2 2 2 2 3 3 5 3 2" xfId="18281"/>
    <cellStyle name="Normal 3 2 2 2 2 3 3 5 4" xfId="18282"/>
    <cellStyle name="Normal 3 2 2 2 2 3 3 5 4 2" xfId="18283"/>
    <cellStyle name="Normal 3 2 2 2 2 3 3 5 5" xfId="18284"/>
    <cellStyle name="Normal 3 2 2 2 2 3 3 5 6" xfId="18285"/>
    <cellStyle name="Normal 3 2 2 2 2 3 3 6" xfId="18286"/>
    <cellStyle name="Normal 3 2 2 2 2 3 3 6 2" xfId="18287"/>
    <cellStyle name="Normal 3 2 2 2 2 3 3 6 2 2" xfId="18288"/>
    <cellStyle name="Normal 3 2 2 2 2 3 3 6 3" xfId="18289"/>
    <cellStyle name="Normal 3 2 2 2 2 3 3 6 3 2" xfId="18290"/>
    <cellStyle name="Normal 3 2 2 2 2 3 3 6 4" xfId="18291"/>
    <cellStyle name="Normal 3 2 2 2 2 3 3 6 4 2" xfId="18292"/>
    <cellStyle name="Normal 3 2 2 2 2 3 3 6 5" xfId="18293"/>
    <cellStyle name="Normal 3 2 2 2 2 3 3 6 6" xfId="18294"/>
    <cellStyle name="Normal 3 2 2 2 2 3 3 7" xfId="18295"/>
    <cellStyle name="Normal 3 2 2 2 2 3 3 7 2" xfId="18296"/>
    <cellStyle name="Normal 3 2 2 2 2 3 3 7 2 2" xfId="18297"/>
    <cellStyle name="Normal 3 2 2 2 2 3 3 7 3" xfId="18298"/>
    <cellStyle name="Normal 3 2 2 2 2 3 3 7 3 2" xfId="18299"/>
    <cellStyle name="Normal 3 2 2 2 2 3 3 7 4" xfId="18300"/>
    <cellStyle name="Normal 3 2 2 2 2 3 3 7 4 2" xfId="18301"/>
    <cellStyle name="Normal 3 2 2 2 2 3 3 7 5" xfId="18302"/>
    <cellStyle name="Normal 3 2 2 2 2 3 3 7 6" xfId="18303"/>
    <cellStyle name="Normal 3 2 2 2 2 3 3 8" xfId="18304"/>
    <cellStyle name="Normal 3 2 2 2 2 3 3 8 2" xfId="18305"/>
    <cellStyle name="Normal 3 2 2 2 2 3 3 8 2 2" xfId="18306"/>
    <cellStyle name="Normal 3 2 2 2 2 3 3 8 3" xfId="18307"/>
    <cellStyle name="Normal 3 2 2 2 2 3 3 8 3 2" xfId="18308"/>
    <cellStyle name="Normal 3 2 2 2 2 3 3 8 4" xfId="18309"/>
    <cellStyle name="Normal 3 2 2 2 2 3 3 8 5" xfId="18310"/>
    <cellStyle name="Normal 3 2 2 2 2 3 3 9" xfId="18311"/>
    <cellStyle name="Normal 3 2 2 2 2 3 3 9 2" xfId="18312"/>
    <cellStyle name="Normal 3 2 2 2 2 3 4" xfId="18313"/>
    <cellStyle name="Normal 3 2 2 2 2 3 4 10" xfId="18314"/>
    <cellStyle name="Normal 3 2 2 2 2 3 4 10 2" xfId="18315"/>
    <cellStyle name="Normal 3 2 2 2 2 3 4 11" xfId="18316"/>
    <cellStyle name="Normal 3 2 2 2 2 3 4 11 2" xfId="18317"/>
    <cellStyle name="Normal 3 2 2 2 2 3 4 12" xfId="18318"/>
    <cellStyle name="Normal 3 2 2 2 2 3 4 13" xfId="18319"/>
    <cellStyle name="Normal 3 2 2 2 2 3 4 14" xfId="18320"/>
    <cellStyle name="Normal 3 2 2 2 2 3 4 2" xfId="18321"/>
    <cellStyle name="Normal 3 2 2 2 2 3 4 2 10" xfId="18322"/>
    <cellStyle name="Normal 3 2 2 2 2 3 4 2 11" xfId="18323"/>
    <cellStyle name="Normal 3 2 2 2 2 3 4 2 12" xfId="18324"/>
    <cellStyle name="Normal 3 2 2 2 2 3 4 2 2" xfId="18325"/>
    <cellStyle name="Normal 3 2 2 2 2 3 4 2 2 2" xfId="18326"/>
    <cellStyle name="Normal 3 2 2 2 2 3 4 2 2 2 2" xfId="18327"/>
    <cellStyle name="Normal 3 2 2 2 2 3 4 2 2 3" xfId="18328"/>
    <cellStyle name="Normal 3 2 2 2 2 3 4 2 2 3 2" xfId="18329"/>
    <cellStyle name="Normal 3 2 2 2 2 3 4 2 2 4" xfId="18330"/>
    <cellStyle name="Normal 3 2 2 2 2 3 4 2 2 4 2" xfId="18331"/>
    <cellStyle name="Normal 3 2 2 2 2 3 4 2 2 5" xfId="18332"/>
    <cellStyle name="Normal 3 2 2 2 2 3 4 2 2 6" xfId="18333"/>
    <cellStyle name="Normal 3 2 2 2 2 3 4 2 3" xfId="18334"/>
    <cellStyle name="Normal 3 2 2 2 2 3 4 2 3 2" xfId="18335"/>
    <cellStyle name="Normal 3 2 2 2 2 3 4 2 3 2 2" xfId="18336"/>
    <cellStyle name="Normal 3 2 2 2 2 3 4 2 3 3" xfId="18337"/>
    <cellStyle name="Normal 3 2 2 2 2 3 4 2 3 3 2" xfId="18338"/>
    <cellStyle name="Normal 3 2 2 2 2 3 4 2 3 4" xfId="18339"/>
    <cellStyle name="Normal 3 2 2 2 2 3 4 2 3 4 2" xfId="18340"/>
    <cellStyle name="Normal 3 2 2 2 2 3 4 2 3 5" xfId="18341"/>
    <cellStyle name="Normal 3 2 2 2 2 3 4 2 3 6" xfId="18342"/>
    <cellStyle name="Normal 3 2 2 2 2 3 4 2 4" xfId="18343"/>
    <cellStyle name="Normal 3 2 2 2 2 3 4 2 4 2" xfId="18344"/>
    <cellStyle name="Normal 3 2 2 2 2 3 4 2 4 2 2" xfId="18345"/>
    <cellStyle name="Normal 3 2 2 2 2 3 4 2 4 3" xfId="18346"/>
    <cellStyle name="Normal 3 2 2 2 2 3 4 2 4 3 2" xfId="18347"/>
    <cellStyle name="Normal 3 2 2 2 2 3 4 2 4 4" xfId="18348"/>
    <cellStyle name="Normal 3 2 2 2 2 3 4 2 4 4 2" xfId="18349"/>
    <cellStyle name="Normal 3 2 2 2 2 3 4 2 4 5" xfId="18350"/>
    <cellStyle name="Normal 3 2 2 2 2 3 4 2 4 6" xfId="18351"/>
    <cellStyle name="Normal 3 2 2 2 2 3 4 2 5" xfId="18352"/>
    <cellStyle name="Normal 3 2 2 2 2 3 4 2 5 2" xfId="18353"/>
    <cellStyle name="Normal 3 2 2 2 2 3 4 2 5 2 2" xfId="18354"/>
    <cellStyle name="Normal 3 2 2 2 2 3 4 2 5 3" xfId="18355"/>
    <cellStyle name="Normal 3 2 2 2 2 3 4 2 5 3 2" xfId="18356"/>
    <cellStyle name="Normal 3 2 2 2 2 3 4 2 5 4" xfId="18357"/>
    <cellStyle name="Normal 3 2 2 2 2 3 4 2 5 4 2" xfId="18358"/>
    <cellStyle name="Normal 3 2 2 2 2 3 4 2 5 5" xfId="18359"/>
    <cellStyle name="Normal 3 2 2 2 2 3 4 2 5 6" xfId="18360"/>
    <cellStyle name="Normal 3 2 2 2 2 3 4 2 6" xfId="18361"/>
    <cellStyle name="Normal 3 2 2 2 2 3 4 2 6 2" xfId="18362"/>
    <cellStyle name="Normal 3 2 2 2 2 3 4 2 6 2 2" xfId="18363"/>
    <cellStyle name="Normal 3 2 2 2 2 3 4 2 6 3" xfId="18364"/>
    <cellStyle name="Normal 3 2 2 2 2 3 4 2 6 3 2" xfId="18365"/>
    <cellStyle name="Normal 3 2 2 2 2 3 4 2 6 4" xfId="18366"/>
    <cellStyle name="Normal 3 2 2 2 2 3 4 2 6 5" xfId="18367"/>
    <cellStyle name="Normal 3 2 2 2 2 3 4 2 7" xfId="18368"/>
    <cellStyle name="Normal 3 2 2 2 2 3 4 2 7 2" xfId="18369"/>
    <cellStyle name="Normal 3 2 2 2 2 3 4 2 8" xfId="18370"/>
    <cellStyle name="Normal 3 2 2 2 2 3 4 2 8 2" xfId="18371"/>
    <cellStyle name="Normal 3 2 2 2 2 3 4 2 9" xfId="18372"/>
    <cellStyle name="Normal 3 2 2 2 2 3 4 2 9 2" xfId="18373"/>
    <cellStyle name="Normal 3 2 2 2 2 3 4 3" xfId="18374"/>
    <cellStyle name="Normal 3 2 2 2 2 3 4 3 10" xfId="18375"/>
    <cellStyle name="Normal 3 2 2 2 2 3 4 3 11" xfId="18376"/>
    <cellStyle name="Normal 3 2 2 2 2 3 4 3 2" xfId="18377"/>
    <cellStyle name="Normal 3 2 2 2 2 3 4 3 2 2" xfId="18378"/>
    <cellStyle name="Normal 3 2 2 2 2 3 4 3 2 2 2" xfId="18379"/>
    <cellStyle name="Normal 3 2 2 2 2 3 4 3 2 3" xfId="18380"/>
    <cellStyle name="Normal 3 2 2 2 2 3 4 3 2 3 2" xfId="18381"/>
    <cellStyle name="Normal 3 2 2 2 2 3 4 3 2 4" xfId="18382"/>
    <cellStyle name="Normal 3 2 2 2 2 3 4 3 2 4 2" xfId="18383"/>
    <cellStyle name="Normal 3 2 2 2 2 3 4 3 2 5" xfId="18384"/>
    <cellStyle name="Normal 3 2 2 2 2 3 4 3 2 6" xfId="18385"/>
    <cellStyle name="Normal 3 2 2 2 2 3 4 3 3" xfId="18386"/>
    <cellStyle name="Normal 3 2 2 2 2 3 4 3 3 2" xfId="18387"/>
    <cellStyle name="Normal 3 2 2 2 2 3 4 3 3 2 2" xfId="18388"/>
    <cellStyle name="Normal 3 2 2 2 2 3 4 3 3 3" xfId="18389"/>
    <cellStyle name="Normal 3 2 2 2 2 3 4 3 3 3 2" xfId="18390"/>
    <cellStyle name="Normal 3 2 2 2 2 3 4 3 3 4" xfId="18391"/>
    <cellStyle name="Normal 3 2 2 2 2 3 4 3 3 4 2" xfId="18392"/>
    <cellStyle name="Normal 3 2 2 2 2 3 4 3 3 5" xfId="18393"/>
    <cellStyle name="Normal 3 2 2 2 2 3 4 3 3 6" xfId="18394"/>
    <cellStyle name="Normal 3 2 2 2 2 3 4 3 4" xfId="18395"/>
    <cellStyle name="Normal 3 2 2 2 2 3 4 3 4 2" xfId="18396"/>
    <cellStyle name="Normal 3 2 2 2 2 3 4 3 4 2 2" xfId="18397"/>
    <cellStyle name="Normal 3 2 2 2 2 3 4 3 4 3" xfId="18398"/>
    <cellStyle name="Normal 3 2 2 2 2 3 4 3 4 3 2" xfId="18399"/>
    <cellStyle name="Normal 3 2 2 2 2 3 4 3 4 4" xfId="18400"/>
    <cellStyle name="Normal 3 2 2 2 2 3 4 3 4 4 2" xfId="18401"/>
    <cellStyle name="Normal 3 2 2 2 2 3 4 3 4 5" xfId="18402"/>
    <cellStyle name="Normal 3 2 2 2 2 3 4 3 4 6" xfId="18403"/>
    <cellStyle name="Normal 3 2 2 2 2 3 4 3 5" xfId="18404"/>
    <cellStyle name="Normal 3 2 2 2 2 3 4 3 5 2" xfId="18405"/>
    <cellStyle name="Normal 3 2 2 2 2 3 4 3 5 2 2" xfId="18406"/>
    <cellStyle name="Normal 3 2 2 2 2 3 4 3 5 3" xfId="18407"/>
    <cellStyle name="Normal 3 2 2 2 2 3 4 3 5 3 2" xfId="18408"/>
    <cellStyle name="Normal 3 2 2 2 2 3 4 3 5 4" xfId="18409"/>
    <cellStyle name="Normal 3 2 2 2 2 3 4 3 5 5" xfId="18410"/>
    <cellStyle name="Normal 3 2 2 2 2 3 4 3 6" xfId="18411"/>
    <cellStyle name="Normal 3 2 2 2 2 3 4 3 6 2" xfId="18412"/>
    <cellStyle name="Normal 3 2 2 2 2 3 4 3 7" xfId="18413"/>
    <cellStyle name="Normal 3 2 2 2 2 3 4 3 7 2" xfId="18414"/>
    <cellStyle name="Normal 3 2 2 2 2 3 4 3 8" xfId="18415"/>
    <cellStyle name="Normal 3 2 2 2 2 3 4 3 8 2" xfId="18416"/>
    <cellStyle name="Normal 3 2 2 2 2 3 4 3 9" xfId="18417"/>
    <cellStyle name="Normal 3 2 2 2 2 3 4 4" xfId="18418"/>
    <cellStyle name="Normal 3 2 2 2 2 3 4 4 10" xfId="18419"/>
    <cellStyle name="Normal 3 2 2 2 2 3 4 4 2" xfId="18420"/>
    <cellStyle name="Normal 3 2 2 2 2 3 4 4 2 2" xfId="18421"/>
    <cellStyle name="Normal 3 2 2 2 2 3 4 4 2 2 2" xfId="18422"/>
    <cellStyle name="Normal 3 2 2 2 2 3 4 4 2 3" xfId="18423"/>
    <cellStyle name="Normal 3 2 2 2 2 3 4 4 2 3 2" xfId="18424"/>
    <cellStyle name="Normal 3 2 2 2 2 3 4 4 2 4" xfId="18425"/>
    <cellStyle name="Normal 3 2 2 2 2 3 4 4 2 4 2" xfId="18426"/>
    <cellStyle name="Normal 3 2 2 2 2 3 4 4 2 5" xfId="18427"/>
    <cellStyle name="Normal 3 2 2 2 2 3 4 4 2 6" xfId="18428"/>
    <cellStyle name="Normal 3 2 2 2 2 3 4 4 3" xfId="18429"/>
    <cellStyle name="Normal 3 2 2 2 2 3 4 4 3 2" xfId="18430"/>
    <cellStyle name="Normal 3 2 2 2 2 3 4 4 3 2 2" xfId="18431"/>
    <cellStyle name="Normal 3 2 2 2 2 3 4 4 3 3" xfId="18432"/>
    <cellStyle name="Normal 3 2 2 2 2 3 4 4 3 3 2" xfId="18433"/>
    <cellStyle name="Normal 3 2 2 2 2 3 4 4 3 4" xfId="18434"/>
    <cellStyle name="Normal 3 2 2 2 2 3 4 4 3 4 2" xfId="18435"/>
    <cellStyle name="Normal 3 2 2 2 2 3 4 4 3 5" xfId="18436"/>
    <cellStyle name="Normal 3 2 2 2 2 3 4 4 3 6" xfId="18437"/>
    <cellStyle name="Normal 3 2 2 2 2 3 4 4 4" xfId="18438"/>
    <cellStyle name="Normal 3 2 2 2 2 3 4 4 4 2" xfId="18439"/>
    <cellStyle name="Normal 3 2 2 2 2 3 4 4 4 2 2" xfId="18440"/>
    <cellStyle name="Normal 3 2 2 2 2 3 4 4 4 3" xfId="18441"/>
    <cellStyle name="Normal 3 2 2 2 2 3 4 4 4 3 2" xfId="18442"/>
    <cellStyle name="Normal 3 2 2 2 2 3 4 4 4 4" xfId="18443"/>
    <cellStyle name="Normal 3 2 2 2 2 3 4 4 4 4 2" xfId="18444"/>
    <cellStyle name="Normal 3 2 2 2 2 3 4 4 4 5" xfId="18445"/>
    <cellStyle name="Normal 3 2 2 2 2 3 4 4 4 6" xfId="18446"/>
    <cellStyle name="Normal 3 2 2 2 2 3 4 4 5" xfId="18447"/>
    <cellStyle name="Normal 3 2 2 2 2 3 4 4 5 2" xfId="18448"/>
    <cellStyle name="Normal 3 2 2 2 2 3 4 4 5 2 2" xfId="18449"/>
    <cellStyle name="Normal 3 2 2 2 2 3 4 4 5 3" xfId="18450"/>
    <cellStyle name="Normal 3 2 2 2 2 3 4 4 5 3 2" xfId="18451"/>
    <cellStyle name="Normal 3 2 2 2 2 3 4 4 5 4" xfId="18452"/>
    <cellStyle name="Normal 3 2 2 2 2 3 4 4 5 5" xfId="18453"/>
    <cellStyle name="Normal 3 2 2 2 2 3 4 4 6" xfId="18454"/>
    <cellStyle name="Normal 3 2 2 2 2 3 4 4 6 2" xfId="18455"/>
    <cellStyle name="Normal 3 2 2 2 2 3 4 4 7" xfId="18456"/>
    <cellStyle name="Normal 3 2 2 2 2 3 4 4 7 2" xfId="18457"/>
    <cellStyle name="Normal 3 2 2 2 2 3 4 4 8" xfId="18458"/>
    <cellStyle name="Normal 3 2 2 2 2 3 4 4 8 2" xfId="18459"/>
    <cellStyle name="Normal 3 2 2 2 2 3 4 4 9" xfId="18460"/>
    <cellStyle name="Normal 3 2 2 2 2 3 4 5" xfId="18461"/>
    <cellStyle name="Normal 3 2 2 2 2 3 4 5 2" xfId="18462"/>
    <cellStyle name="Normal 3 2 2 2 2 3 4 5 2 2" xfId="18463"/>
    <cellStyle name="Normal 3 2 2 2 2 3 4 5 3" xfId="18464"/>
    <cellStyle name="Normal 3 2 2 2 2 3 4 5 3 2" xfId="18465"/>
    <cellStyle name="Normal 3 2 2 2 2 3 4 5 4" xfId="18466"/>
    <cellStyle name="Normal 3 2 2 2 2 3 4 5 4 2" xfId="18467"/>
    <cellStyle name="Normal 3 2 2 2 2 3 4 5 5" xfId="18468"/>
    <cellStyle name="Normal 3 2 2 2 2 3 4 5 6" xfId="18469"/>
    <cellStyle name="Normal 3 2 2 2 2 3 4 6" xfId="18470"/>
    <cellStyle name="Normal 3 2 2 2 2 3 4 6 2" xfId="18471"/>
    <cellStyle name="Normal 3 2 2 2 2 3 4 6 2 2" xfId="18472"/>
    <cellStyle name="Normal 3 2 2 2 2 3 4 6 3" xfId="18473"/>
    <cellStyle name="Normal 3 2 2 2 2 3 4 6 3 2" xfId="18474"/>
    <cellStyle name="Normal 3 2 2 2 2 3 4 6 4" xfId="18475"/>
    <cellStyle name="Normal 3 2 2 2 2 3 4 6 4 2" xfId="18476"/>
    <cellStyle name="Normal 3 2 2 2 2 3 4 6 5" xfId="18477"/>
    <cellStyle name="Normal 3 2 2 2 2 3 4 6 6" xfId="18478"/>
    <cellStyle name="Normal 3 2 2 2 2 3 4 7" xfId="18479"/>
    <cellStyle name="Normal 3 2 2 2 2 3 4 7 2" xfId="18480"/>
    <cellStyle name="Normal 3 2 2 2 2 3 4 7 2 2" xfId="18481"/>
    <cellStyle name="Normal 3 2 2 2 2 3 4 7 3" xfId="18482"/>
    <cellStyle name="Normal 3 2 2 2 2 3 4 7 3 2" xfId="18483"/>
    <cellStyle name="Normal 3 2 2 2 2 3 4 7 4" xfId="18484"/>
    <cellStyle name="Normal 3 2 2 2 2 3 4 7 4 2" xfId="18485"/>
    <cellStyle name="Normal 3 2 2 2 2 3 4 7 5" xfId="18486"/>
    <cellStyle name="Normal 3 2 2 2 2 3 4 7 6" xfId="18487"/>
    <cellStyle name="Normal 3 2 2 2 2 3 4 8" xfId="18488"/>
    <cellStyle name="Normal 3 2 2 2 2 3 4 8 2" xfId="18489"/>
    <cellStyle name="Normal 3 2 2 2 2 3 4 8 2 2" xfId="18490"/>
    <cellStyle name="Normal 3 2 2 2 2 3 4 8 3" xfId="18491"/>
    <cellStyle name="Normal 3 2 2 2 2 3 4 8 3 2" xfId="18492"/>
    <cellStyle name="Normal 3 2 2 2 2 3 4 8 4" xfId="18493"/>
    <cellStyle name="Normal 3 2 2 2 2 3 4 8 5" xfId="18494"/>
    <cellStyle name="Normal 3 2 2 2 2 3 4 9" xfId="18495"/>
    <cellStyle name="Normal 3 2 2 2 2 3 4 9 2" xfId="18496"/>
    <cellStyle name="Normal 3 2 2 2 2 3 5" xfId="18497"/>
    <cellStyle name="Normal 3 2 2 2 2 3 5 10" xfId="18498"/>
    <cellStyle name="Normal 3 2 2 2 2 3 5 10 2" xfId="18499"/>
    <cellStyle name="Normal 3 2 2 2 2 3 5 11" xfId="18500"/>
    <cellStyle name="Normal 3 2 2 2 2 3 5 12" xfId="18501"/>
    <cellStyle name="Normal 3 2 2 2 2 3 5 13" xfId="18502"/>
    <cellStyle name="Normal 3 2 2 2 2 3 5 2" xfId="18503"/>
    <cellStyle name="Normal 3 2 2 2 2 3 5 2 10" xfId="18504"/>
    <cellStyle name="Normal 3 2 2 2 2 3 5 2 11" xfId="18505"/>
    <cellStyle name="Normal 3 2 2 2 2 3 5 2 2" xfId="18506"/>
    <cellStyle name="Normal 3 2 2 2 2 3 5 2 2 2" xfId="18507"/>
    <cellStyle name="Normal 3 2 2 2 2 3 5 2 2 2 2" xfId="18508"/>
    <cellStyle name="Normal 3 2 2 2 2 3 5 2 2 3" xfId="18509"/>
    <cellStyle name="Normal 3 2 2 2 2 3 5 2 2 3 2" xfId="18510"/>
    <cellStyle name="Normal 3 2 2 2 2 3 5 2 2 4" xfId="18511"/>
    <cellStyle name="Normal 3 2 2 2 2 3 5 2 2 4 2" xfId="18512"/>
    <cellStyle name="Normal 3 2 2 2 2 3 5 2 2 5" xfId="18513"/>
    <cellStyle name="Normal 3 2 2 2 2 3 5 2 2 6" xfId="18514"/>
    <cellStyle name="Normal 3 2 2 2 2 3 5 2 3" xfId="18515"/>
    <cellStyle name="Normal 3 2 2 2 2 3 5 2 3 2" xfId="18516"/>
    <cellStyle name="Normal 3 2 2 2 2 3 5 2 3 2 2" xfId="18517"/>
    <cellStyle name="Normal 3 2 2 2 2 3 5 2 3 3" xfId="18518"/>
    <cellStyle name="Normal 3 2 2 2 2 3 5 2 3 3 2" xfId="18519"/>
    <cellStyle name="Normal 3 2 2 2 2 3 5 2 3 4" xfId="18520"/>
    <cellStyle name="Normal 3 2 2 2 2 3 5 2 3 4 2" xfId="18521"/>
    <cellStyle name="Normal 3 2 2 2 2 3 5 2 3 5" xfId="18522"/>
    <cellStyle name="Normal 3 2 2 2 2 3 5 2 3 6" xfId="18523"/>
    <cellStyle name="Normal 3 2 2 2 2 3 5 2 4" xfId="18524"/>
    <cellStyle name="Normal 3 2 2 2 2 3 5 2 4 2" xfId="18525"/>
    <cellStyle name="Normal 3 2 2 2 2 3 5 2 4 2 2" xfId="18526"/>
    <cellStyle name="Normal 3 2 2 2 2 3 5 2 4 3" xfId="18527"/>
    <cellStyle name="Normal 3 2 2 2 2 3 5 2 4 3 2" xfId="18528"/>
    <cellStyle name="Normal 3 2 2 2 2 3 5 2 4 4" xfId="18529"/>
    <cellStyle name="Normal 3 2 2 2 2 3 5 2 4 4 2" xfId="18530"/>
    <cellStyle name="Normal 3 2 2 2 2 3 5 2 4 5" xfId="18531"/>
    <cellStyle name="Normal 3 2 2 2 2 3 5 2 4 6" xfId="18532"/>
    <cellStyle name="Normal 3 2 2 2 2 3 5 2 5" xfId="18533"/>
    <cellStyle name="Normal 3 2 2 2 2 3 5 2 5 2" xfId="18534"/>
    <cellStyle name="Normal 3 2 2 2 2 3 5 2 5 2 2" xfId="18535"/>
    <cellStyle name="Normal 3 2 2 2 2 3 5 2 5 3" xfId="18536"/>
    <cellStyle name="Normal 3 2 2 2 2 3 5 2 5 3 2" xfId="18537"/>
    <cellStyle name="Normal 3 2 2 2 2 3 5 2 5 4" xfId="18538"/>
    <cellStyle name="Normal 3 2 2 2 2 3 5 2 5 5" xfId="18539"/>
    <cellStyle name="Normal 3 2 2 2 2 3 5 2 6" xfId="18540"/>
    <cellStyle name="Normal 3 2 2 2 2 3 5 2 6 2" xfId="18541"/>
    <cellStyle name="Normal 3 2 2 2 2 3 5 2 7" xfId="18542"/>
    <cellStyle name="Normal 3 2 2 2 2 3 5 2 7 2" xfId="18543"/>
    <cellStyle name="Normal 3 2 2 2 2 3 5 2 8" xfId="18544"/>
    <cellStyle name="Normal 3 2 2 2 2 3 5 2 8 2" xfId="18545"/>
    <cellStyle name="Normal 3 2 2 2 2 3 5 2 9" xfId="18546"/>
    <cellStyle name="Normal 3 2 2 2 2 3 5 3" xfId="18547"/>
    <cellStyle name="Normal 3 2 2 2 2 3 5 3 10" xfId="18548"/>
    <cellStyle name="Normal 3 2 2 2 2 3 5 3 2" xfId="18549"/>
    <cellStyle name="Normal 3 2 2 2 2 3 5 3 2 2" xfId="18550"/>
    <cellStyle name="Normal 3 2 2 2 2 3 5 3 2 2 2" xfId="18551"/>
    <cellStyle name="Normal 3 2 2 2 2 3 5 3 2 3" xfId="18552"/>
    <cellStyle name="Normal 3 2 2 2 2 3 5 3 2 3 2" xfId="18553"/>
    <cellStyle name="Normal 3 2 2 2 2 3 5 3 2 4" xfId="18554"/>
    <cellStyle name="Normal 3 2 2 2 2 3 5 3 2 4 2" xfId="18555"/>
    <cellStyle name="Normal 3 2 2 2 2 3 5 3 2 5" xfId="18556"/>
    <cellStyle name="Normal 3 2 2 2 2 3 5 3 2 6" xfId="18557"/>
    <cellStyle name="Normal 3 2 2 2 2 3 5 3 3" xfId="18558"/>
    <cellStyle name="Normal 3 2 2 2 2 3 5 3 3 2" xfId="18559"/>
    <cellStyle name="Normal 3 2 2 2 2 3 5 3 3 2 2" xfId="18560"/>
    <cellStyle name="Normal 3 2 2 2 2 3 5 3 3 3" xfId="18561"/>
    <cellStyle name="Normal 3 2 2 2 2 3 5 3 3 3 2" xfId="18562"/>
    <cellStyle name="Normal 3 2 2 2 2 3 5 3 3 4" xfId="18563"/>
    <cellStyle name="Normal 3 2 2 2 2 3 5 3 3 4 2" xfId="18564"/>
    <cellStyle name="Normal 3 2 2 2 2 3 5 3 3 5" xfId="18565"/>
    <cellStyle name="Normal 3 2 2 2 2 3 5 3 3 6" xfId="18566"/>
    <cellStyle name="Normal 3 2 2 2 2 3 5 3 4" xfId="18567"/>
    <cellStyle name="Normal 3 2 2 2 2 3 5 3 4 2" xfId="18568"/>
    <cellStyle name="Normal 3 2 2 2 2 3 5 3 4 2 2" xfId="18569"/>
    <cellStyle name="Normal 3 2 2 2 2 3 5 3 4 3" xfId="18570"/>
    <cellStyle name="Normal 3 2 2 2 2 3 5 3 4 3 2" xfId="18571"/>
    <cellStyle name="Normal 3 2 2 2 2 3 5 3 4 4" xfId="18572"/>
    <cellStyle name="Normal 3 2 2 2 2 3 5 3 4 4 2" xfId="18573"/>
    <cellStyle name="Normal 3 2 2 2 2 3 5 3 4 5" xfId="18574"/>
    <cellStyle name="Normal 3 2 2 2 2 3 5 3 4 6" xfId="18575"/>
    <cellStyle name="Normal 3 2 2 2 2 3 5 3 5" xfId="18576"/>
    <cellStyle name="Normal 3 2 2 2 2 3 5 3 5 2" xfId="18577"/>
    <cellStyle name="Normal 3 2 2 2 2 3 5 3 5 2 2" xfId="18578"/>
    <cellStyle name="Normal 3 2 2 2 2 3 5 3 5 3" xfId="18579"/>
    <cellStyle name="Normal 3 2 2 2 2 3 5 3 5 3 2" xfId="18580"/>
    <cellStyle name="Normal 3 2 2 2 2 3 5 3 5 4" xfId="18581"/>
    <cellStyle name="Normal 3 2 2 2 2 3 5 3 5 5" xfId="18582"/>
    <cellStyle name="Normal 3 2 2 2 2 3 5 3 6" xfId="18583"/>
    <cellStyle name="Normal 3 2 2 2 2 3 5 3 6 2" xfId="18584"/>
    <cellStyle name="Normal 3 2 2 2 2 3 5 3 7" xfId="18585"/>
    <cellStyle name="Normal 3 2 2 2 2 3 5 3 7 2" xfId="18586"/>
    <cellStyle name="Normal 3 2 2 2 2 3 5 3 8" xfId="18587"/>
    <cellStyle name="Normal 3 2 2 2 2 3 5 3 8 2" xfId="18588"/>
    <cellStyle name="Normal 3 2 2 2 2 3 5 3 9" xfId="18589"/>
    <cellStyle name="Normal 3 2 2 2 2 3 5 4" xfId="18590"/>
    <cellStyle name="Normal 3 2 2 2 2 3 5 4 2" xfId="18591"/>
    <cellStyle name="Normal 3 2 2 2 2 3 5 4 2 2" xfId="18592"/>
    <cellStyle name="Normal 3 2 2 2 2 3 5 4 3" xfId="18593"/>
    <cellStyle name="Normal 3 2 2 2 2 3 5 4 3 2" xfId="18594"/>
    <cellStyle name="Normal 3 2 2 2 2 3 5 4 4" xfId="18595"/>
    <cellStyle name="Normal 3 2 2 2 2 3 5 4 4 2" xfId="18596"/>
    <cellStyle name="Normal 3 2 2 2 2 3 5 4 5" xfId="18597"/>
    <cellStyle name="Normal 3 2 2 2 2 3 5 4 6" xfId="18598"/>
    <cellStyle name="Normal 3 2 2 2 2 3 5 5" xfId="18599"/>
    <cellStyle name="Normal 3 2 2 2 2 3 5 5 2" xfId="18600"/>
    <cellStyle name="Normal 3 2 2 2 2 3 5 5 2 2" xfId="18601"/>
    <cellStyle name="Normal 3 2 2 2 2 3 5 5 3" xfId="18602"/>
    <cellStyle name="Normal 3 2 2 2 2 3 5 5 3 2" xfId="18603"/>
    <cellStyle name="Normal 3 2 2 2 2 3 5 5 4" xfId="18604"/>
    <cellStyle name="Normal 3 2 2 2 2 3 5 5 4 2" xfId="18605"/>
    <cellStyle name="Normal 3 2 2 2 2 3 5 5 5" xfId="18606"/>
    <cellStyle name="Normal 3 2 2 2 2 3 5 5 6" xfId="18607"/>
    <cellStyle name="Normal 3 2 2 2 2 3 5 6" xfId="18608"/>
    <cellStyle name="Normal 3 2 2 2 2 3 5 6 2" xfId="18609"/>
    <cellStyle name="Normal 3 2 2 2 2 3 5 6 2 2" xfId="18610"/>
    <cellStyle name="Normal 3 2 2 2 2 3 5 6 3" xfId="18611"/>
    <cellStyle name="Normal 3 2 2 2 2 3 5 6 3 2" xfId="18612"/>
    <cellStyle name="Normal 3 2 2 2 2 3 5 6 4" xfId="18613"/>
    <cellStyle name="Normal 3 2 2 2 2 3 5 6 4 2" xfId="18614"/>
    <cellStyle name="Normal 3 2 2 2 2 3 5 6 5" xfId="18615"/>
    <cellStyle name="Normal 3 2 2 2 2 3 5 6 6" xfId="18616"/>
    <cellStyle name="Normal 3 2 2 2 2 3 5 7" xfId="18617"/>
    <cellStyle name="Normal 3 2 2 2 2 3 5 7 2" xfId="18618"/>
    <cellStyle name="Normal 3 2 2 2 2 3 5 7 2 2" xfId="18619"/>
    <cellStyle name="Normal 3 2 2 2 2 3 5 7 3" xfId="18620"/>
    <cellStyle name="Normal 3 2 2 2 2 3 5 7 3 2" xfId="18621"/>
    <cellStyle name="Normal 3 2 2 2 2 3 5 7 4" xfId="18622"/>
    <cellStyle name="Normal 3 2 2 2 2 3 5 7 5" xfId="18623"/>
    <cellStyle name="Normal 3 2 2 2 2 3 5 8" xfId="18624"/>
    <cellStyle name="Normal 3 2 2 2 2 3 5 8 2" xfId="18625"/>
    <cellStyle name="Normal 3 2 2 2 2 3 5 9" xfId="18626"/>
    <cellStyle name="Normal 3 2 2 2 2 3 5 9 2" xfId="18627"/>
    <cellStyle name="Normal 3 2 2 2 2 3 6" xfId="18628"/>
    <cellStyle name="Normal 3 2 2 2 2 3 6 10" xfId="18629"/>
    <cellStyle name="Normal 3 2 2 2 2 3 6 11" xfId="18630"/>
    <cellStyle name="Normal 3 2 2 2 2 3 6 12" xfId="18631"/>
    <cellStyle name="Normal 3 2 2 2 2 3 6 2" xfId="18632"/>
    <cellStyle name="Normal 3 2 2 2 2 3 6 2 2" xfId="18633"/>
    <cellStyle name="Normal 3 2 2 2 2 3 6 2 2 2" xfId="18634"/>
    <cellStyle name="Normal 3 2 2 2 2 3 6 2 3" xfId="18635"/>
    <cellStyle name="Normal 3 2 2 2 2 3 6 2 3 2" xfId="18636"/>
    <cellStyle name="Normal 3 2 2 2 2 3 6 2 4" xfId="18637"/>
    <cellStyle name="Normal 3 2 2 2 2 3 6 2 4 2" xfId="18638"/>
    <cellStyle name="Normal 3 2 2 2 2 3 6 2 5" xfId="18639"/>
    <cellStyle name="Normal 3 2 2 2 2 3 6 2 6" xfId="18640"/>
    <cellStyle name="Normal 3 2 2 2 2 3 6 2 7" xfId="18641"/>
    <cellStyle name="Normal 3 2 2 2 2 3 6 3" xfId="18642"/>
    <cellStyle name="Normal 3 2 2 2 2 3 6 3 2" xfId="18643"/>
    <cellStyle name="Normal 3 2 2 2 2 3 6 3 2 2" xfId="18644"/>
    <cellStyle name="Normal 3 2 2 2 2 3 6 3 3" xfId="18645"/>
    <cellStyle name="Normal 3 2 2 2 2 3 6 3 3 2" xfId="18646"/>
    <cellStyle name="Normal 3 2 2 2 2 3 6 3 4" xfId="18647"/>
    <cellStyle name="Normal 3 2 2 2 2 3 6 3 4 2" xfId="18648"/>
    <cellStyle name="Normal 3 2 2 2 2 3 6 3 5" xfId="18649"/>
    <cellStyle name="Normal 3 2 2 2 2 3 6 3 6" xfId="18650"/>
    <cellStyle name="Normal 3 2 2 2 2 3 6 4" xfId="18651"/>
    <cellStyle name="Normal 3 2 2 2 2 3 6 4 2" xfId="18652"/>
    <cellStyle name="Normal 3 2 2 2 2 3 6 4 2 2" xfId="18653"/>
    <cellStyle name="Normal 3 2 2 2 2 3 6 4 3" xfId="18654"/>
    <cellStyle name="Normal 3 2 2 2 2 3 6 4 3 2" xfId="18655"/>
    <cellStyle name="Normal 3 2 2 2 2 3 6 4 4" xfId="18656"/>
    <cellStyle name="Normal 3 2 2 2 2 3 6 4 4 2" xfId="18657"/>
    <cellStyle name="Normal 3 2 2 2 2 3 6 4 5" xfId="18658"/>
    <cellStyle name="Normal 3 2 2 2 2 3 6 4 6" xfId="18659"/>
    <cellStyle name="Normal 3 2 2 2 2 3 6 5" xfId="18660"/>
    <cellStyle name="Normal 3 2 2 2 2 3 6 5 2" xfId="18661"/>
    <cellStyle name="Normal 3 2 2 2 2 3 6 5 2 2" xfId="18662"/>
    <cellStyle name="Normal 3 2 2 2 2 3 6 5 3" xfId="18663"/>
    <cellStyle name="Normal 3 2 2 2 2 3 6 5 3 2" xfId="18664"/>
    <cellStyle name="Normal 3 2 2 2 2 3 6 5 4" xfId="18665"/>
    <cellStyle name="Normal 3 2 2 2 2 3 6 5 4 2" xfId="18666"/>
    <cellStyle name="Normal 3 2 2 2 2 3 6 5 5" xfId="18667"/>
    <cellStyle name="Normal 3 2 2 2 2 3 6 5 6" xfId="18668"/>
    <cellStyle name="Normal 3 2 2 2 2 3 6 6" xfId="18669"/>
    <cellStyle name="Normal 3 2 2 2 2 3 6 6 2" xfId="18670"/>
    <cellStyle name="Normal 3 2 2 2 2 3 6 6 2 2" xfId="18671"/>
    <cellStyle name="Normal 3 2 2 2 2 3 6 6 3" xfId="18672"/>
    <cellStyle name="Normal 3 2 2 2 2 3 6 6 3 2" xfId="18673"/>
    <cellStyle name="Normal 3 2 2 2 2 3 6 6 4" xfId="18674"/>
    <cellStyle name="Normal 3 2 2 2 2 3 6 6 5" xfId="18675"/>
    <cellStyle name="Normal 3 2 2 2 2 3 6 7" xfId="18676"/>
    <cellStyle name="Normal 3 2 2 2 2 3 6 7 2" xfId="18677"/>
    <cellStyle name="Normal 3 2 2 2 2 3 6 8" xfId="18678"/>
    <cellStyle name="Normal 3 2 2 2 2 3 6 8 2" xfId="18679"/>
    <cellStyle name="Normal 3 2 2 2 2 3 6 9" xfId="18680"/>
    <cellStyle name="Normal 3 2 2 2 2 3 6 9 2" xfId="18681"/>
    <cellStyle name="Normal 3 2 2 2 2 3 7" xfId="18682"/>
    <cellStyle name="Normal 3 2 2 2 2 3 7 10" xfId="18683"/>
    <cellStyle name="Normal 3 2 2 2 2 3 7 11" xfId="18684"/>
    <cellStyle name="Normal 3 2 2 2 2 3 7 2" xfId="18685"/>
    <cellStyle name="Normal 3 2 2 2 2 3 7 2 2" xfId="18686"/>
    <cellStyle name="Normal 3 2 2 2 2 3 7 2 2 2" xfId="18687"/>
    <cellStyle name="Normal 3 2 2 2 2 3 7 2 3" xfId="18688"/>
    <cellStyle name="Normal 3 2 2 2 2 3 7 2 3 2" xfId="18689"/>
    <cellStyle name="Normal 3 2 2 2 2 3 7 2 4" xfId="18690"/>
    <cellStyle name="Normal 3 2 2 2 2 3 7 2 4 2" xfId="18691"/>
    <cellStyle name="Normal 3 2 2 2 2 3 7 2 5" xfId="18692"/>
    <cellStyle name="Normal 3 2 2 2 2 3 7 2 6" xfId="18693"/>
    <cellStyle name="Normal 3 2 2 2 2 3 7 3" xfId="18694"/>
    <cellStyle name="Normal 3 2 2 2 2 3 7 3 2" xfId="18695"/>
    <cellStyle name="Normal 3 2 2 2 2 3 7 3 2 2" xfId="18696"/>
    <cellStyle name="Normal 3 2 2 2 2 3 7 3 3" xfId="18697"/>
    <cellStyle name="Normal 3 2 2 2 2 3 7 3 3 2" xfId="18698"/>
    <cellStyle name="Normal 3 2 2 2 2 3 7 3 4" xfId="18699"/>
    <cellStyle name="Normal 3 2 2 2 2 3 7 3 4 2" xfId="18700"/>
    <cellStyle name="Normal 3 2 2 2 2 3 7 3 5" xfId="18701"/>
    <cellStyle name="Normal 3 2 2 2 2 3 7 3 6" xfId="18702"/>
    <cellStyle name="Normal 3 2 2 2 2 3 7 4" xfId="18703"/>
    <cellStyle name="Normal 3 2 2 2 2 3 7 4 2" xfId="18704"/>
    <cellStyle name="Normal 3 2 2 2 2 3 7 4 2 2" xfId="18705"/>
    <cellStyle name="Normal 3 2 2 2 2 3 7 4 3" xfId="18706"/>
    <cellStyle name="Normal 3 2 2 2 2 3 7 4 3 2" xfId="18707"/>
    <cellStyle name="Normal 3 2 2 2 2 3 7 4 4" xfId="18708"/>
    <cellStyle name="Normal 3 2 2 2 2 3 7 4 4 2" xfId="18709"/>
    <cellStyle name="Normal 3 2 2 2 2 3 7 4 5" xfId="18710"/>
    <cellStyle name="Normal 3 2 2 2 2 3 7 4 6" xfId="18711"/>
    <cellStyle name="Normal 3 2 2 2 2 3 7 5" xfId="18712"/>
    <cellStyle name="Normal 3 2 2 2 2 3 7 5 2" xfId="18713"/>
    <cellStyle name="Normal 3 2 2 2 2 3 7 5 2 2" xfId="18714"/>
    <cellStyle name="Normal 3 2 2 2 2 3 7 5 3" xfId="18715"/>
    <cellStyle name="Normal 3 2 2 2 2 3 7 5 3 2" xfId="18716"/>
    <cellStyle name="Normal 3 2 2 2 2 3 7 5 4" xfId="18717"/>
    <cellStyle name="Normal 3 2 2 2 2 3 7 5 5" xfId="18718"/>
    <cellStyle name="Normal 3 2 2 2 2 3 7 6" xfId="18719"/>
    <cellStyle name="Normal 3 2 2 2 2 3 7 6 2" xfId="18720"/>
    <cellStyle name="Normal 3 2 2 2 2 3 7 7" xfId="18721"/>
    <cellStyle name="Normal 3 2 2 2 2 3 7 7 2" xfId="18722"/>
    <cellStyle name="Normal 3 2 2 2 2 3 7 8" xfId="18723"/>
    <cellStyle name="Normal 3 2 2 2 2 3 7 8 2" xfId="18724"/>
    <cellStyle name="Normal 3 2 2 2 2 3 7 9" xfId="18725"/>
    <cellStyle name="Normal 3 2 2 2 2 3 8" xfId="18726"/>
    <cellStyle name="Normal 3 2 2 2 2 3 8 10" xfId="18727"/>
    <cellStyle name="Normal 3 2 2 2 2 3 8 2" xfId="18728"/>
    <cellStyle name="Normal 3 2 2 2 2 3 8 2 2" xfId="18729"/>
    <cellStyle name="Normal 3 2 2 2 2 3 8 2 2 2" xfId="18730"/>
    <cellStyle name="Normal 3 2 2 2 2 3 8 2 3" xfId="18731"/>
    <cellStyle name="Normal 3 2 2 2 2 3 8 2 3 2" xfId="18732"/>
    <cellStyle name="Normal 3 2 2 2 2 3 8 2 4" xfId="18733"/>
    <cellStyle name="Normal 3 2 2 2 2 3 8 2 4 2" xfId="18734"/>
    <cellStyle name="Normal 3 2 2 2 2 3 8 2 5" xfId="18735"/>
    <cellStyle name="Normal 3 2 2 2 2 3 8 2 6" xfId="18736"/>
    <cellStyle name="Normal 3 2 2 2 2 3 8 3" xfId="18737"/>
    <cellStyle name="Normal 3 2 2 2 2 3 8 3 2" xfId="18738"/>
    <cellStyle name="Normal 3 2 2 2 2 3 8 3 2 2" xfId="18739"/>
    <cellStyle name="Normal 3 2 2 2 2 3 8 3 3" xfId="18740"/>
    <cellStyle name="Normal 3 2 2 2 2 3 8 3 3 2" xfId="18741"/>
    <cellStyle name="Normal 3 2 2 2 2 3 8 3 4" xfId="18742"/>
    <cellStyle name="Normal 3 2 2 2 2 3 8 3 4 2" xfId="18743"/>
    <cellStyle name="Normal 3 2 2 2 2 3 8 3 5" xfId="18744"/>
    <cellStyle name="Normal 3 2 2 2 2 3 8 3 6" xfId="18745"/>
    <cellStyle name="Normal 3 2 2 2 2 3 8 4" xfId="18746"/>
    <cellStyle name="Normal 3 2 2 2 2 3 8 4 2" xfId="18747"/>
    <cellStyle name="Normal 3 2 2 2 2 3 8 4 2 2" xfId="18748"/>
    <cellStyle name="Normal 3 2 2 2 2 3 8 4 3" xfId="18749"/>
    <cellStyle name="Normal 3 2 2 2 2 3 8 4 3 2" xfId="18750"/>
    <cellStyle name="Normal 3 2 2 2 2 3 8 4 4" xfId="18751"/>
    <cellStyle name="Normal 3 2 2 2 2 3 8 4 4 2" xfId="18752"/>
    <cellStyle name="Normal 3 2 2 2 2 3 8 4 5" xfId="18753"/>
    <cellStyle name="Normal 3 2 2 2 2 3 8 4 6" xfId="18754"/>
    <cellStyle name="Normal 3 2 2 2 2 3 8 5" xfId="18755"/>
    <cellStyle name="Normal 3 2 2 2 2 3 8 5 2" xfId="18756"/>
    <cellStyle name="Normal 3 2 2 2 2 3 8 5 2 2" xfId="18757"/>
    <cellStyle name="Normal 3 2 2 2 2 3 8 5 3" xfId="18758"/>
    <cellStyle name="Normal 3 2 2 2 2 3 8 5 3 2" xfId="18759"/>
    <cellStyle name="Normal 3 2 2 2 2 3 8 5 4" xfId="18760"/>
    <cellStyle name="Normal 3 2 2 2 2 3 8 5 5" xfId="18761"/>
    <cellStyle name="Normal 3 2 2 2 2 3 8 6" xfId="18762"/>
    <cellStyle name="Normal 3 2 2 2 2 3 8 6 2" xfId="18763"/>
    <cellStyle name="Normal 3 2 2 2 2 3 8 7" xfId="18764"/>
    <cellStyle name="Normal 3 2 2 2 2 3 8 7 2" xfId="18765"/>
    <cellStyle name="Normal 3 2 2 2 2 3 8 8" xfId="18766"/>
    <cellStyle name="Normal 3 2 2 2 2 3 8 8 2" xfId="18767"/>
    <cellStyle name="Normal 3 2 2 2 2 3 8 9" xfId="18768"/>
    <cellStyle name="Normal 3 2 2 2 2 3 9" xfId="18769"/>
    <cellStyle name="Normal 3 2 2 2 2 3 9 2" xfId="18770"/>
    <cellStyle name="Normal 3 2 2 2 2 3 9 2 2" xfId="18771"/>
    <cellStyle name="Normal 3 2 2 2 2 3 9 3" xfId="18772"/>
    <cellStyle name="Normal 3 2 2 2 2 3 9 3 2" xfId="18773"/>
    <cellStyle name="Normal 3 2 2 2 2 3 9 4" xfId="18774"/>
    <cellStyle name="Normal 3 2 2 2 2 3 9 4 2" xfId="18775"/>
    <cellStyle name="Normal 3 2 2 2 2 3 9 5" xfId="18776"/>
    <cellStyle name="Normal 3 2 2 2 2 3 9 6" xfId="18777"/>
    <cellStyle name="Normal 3 2 2 2 2 4" xfId="18778"/>
    <cellStyle name="Normal 3 2 2 2 2 4 10" xfId="18779"/>
    <cellStyle name="Normal 3 2 2 2 2 4 10 2" xfId="18780"/>
    <cellStyle name="Normal 3 2 2 2 2 4 10 2 2" xfId="18781"/>
    <cellStyle name="Normal 3 2 2 2 2 4 10 3" xfId="18782"/>
    <cellStyle name="Normal 3 2 2 2 2 4 10 3 2" xfId="18783"/>
    <cellStyle name="Normal 3 2 2 2 2 4 10 4" xfId="18784"/>
    <cellStyle name="Normal 3 2 2 2 2 4 10 4 2" xfId="18785"/>
    <cellStyle name="Normal 3 2 2 2 2 4 10 5" xfId="18786"/>
    <cellStyle name="Normal 3 2 2 2 2 4 10 6" xfId="18787"/>
    <cellStyle name="Normal 3 2 2 2 2 4 11" xfId="18788"/>
    <cellStyle name="Normal 3 2 2 2 2 4 11 2" xfId="18789"/>
    <cellStyle name="Normal 3 2 2 2 2 4 11 2 2" xfId="18790"/>
    <cellStyle name="Normal 3 2 2 2 2 4 11 3" xfId="18791"/>
    <cellStyle name="Normal 3 2 2 2 2 4 11 3 2" xfId="18792"/>
    <cellStyle name="Normal 3 2 2 2 2 4 11 4" xfId="18793"/>
    <cellStyle name="Normal 3 2 2 2 2 4 11 5" xfId="18794"/>
    <cellStyle name="Normal 3 2 2 2 2 4 12" xfId="18795"/>
    <cellStyle name="Normal 3 2 2 2 2 4 12 2" xfId="18796"/>
    <cellStyle name="Normal 3 2 2 2 2 4 13" xfId="18797"/>
    <cellStyle name="Normal 3 2 2 2 2 4 13 2" xfId="18798"/>
    <cellStyle name="Normal 3 2 2 2 2 4 14" xfId="18799"/>
    <cellStyle name="Normal 3 2 2 2 2 4 14 2" xfId="18800"/>
    <cellStyle name="Normal 3 2 2 2 2 4 15" xfId="18801"/>
    <cellStyle name="Normal 3 2 2 2 2 4 16" xfId="18802"/>
    <cellStyle name="Normal 3 2 2 2 2 4 17" xfId="18803"/>
    <cellStyle name="Normal 3 2 2 2 2 4 2" xfId="18804"/>
    <cellStyle name="Normal 3 2 2 2 2 4 2 10" xfId="18805"/>
    <cellStyle name="Normal 3 2 2 2 2 4 2 10 2" xfId="18806"/>
    <cellStyle name="Normal 3 2 2 2 2 4 2 11" xfId="18807"/>
    <cellStyle name="Normal 3 2 2 2 2 4 2 11 2" xfId="18808"/>
    <cellStyle name="Normal 3 2 2 2 2 4 2 12" xfId="18809"/>
    <cellStyle name="Normal 3 2 2 2 2 4 2 13" xfId="18810"/>
    <cellStyle name="Normal 3 2 2 2 2 4 2 14" xfId="18811"/>
    <cellStyle name="Normal 3 2 2 2 2 4 2 2" xfId="18812"/>
    <cellStyle name="Normal 3 2 2 2 2 4 2 2 10" xfId="18813"/>
    <cellStyle name="Normal 3 2 2 2 2 4 2 2 11" xfId="18814"/>
    <cellStyle name="Normal 3 2 2 2 2 4 2 2 12" xfId="18815"/>
    <cellStyle name="Normal 3 2 2 2 2 4 2 2 2" xfId="18816"/>
    <cellStyle name="Normal 3 2 2 2 2 4 2 2 2 2" xfId="18817"/>
    <cellStyle name="Normal 3 2 2 2 2 4 2 2 2 2 2" xfId="18818"/>
    <cellStyle name="Normal 3 2 2 2 2 4 2 2 2 3" xfId="18819"/>
    <cellStyle name="Normal 3 2 2 2 2 4 2 2 2 3 2" xfId="18820"/>
    <cellStyle name="Normal 3 2 2 2 2 4 2 2 2 4" xfId="18821"/>
    <cellStyle name="Normal 3 2 2 2 2 4 2 2 2 4 2" xfId="18822"/>
    <cellStyle name="Normal 3 2 2 2 2 4 2 2 2 5" xfId="18823"/>
    <cellStyle name="Normal 3 2 2 2 2 4 2 2 2 6" xfId="18824"/>
    <cellStyle name="Normal 3 2 2 2 2 4 2 2 2 7" xfId="18825"/>
    <cellStyle name="Normal 3 2 2 2 2 4 2 2 3" xfId="18826"/>
    <cellStyle name="Normal 3 2 2 2 2 4 2 2 3 2" xfId="18827"/>
    <cellStyle name="Normal 3 2 2 2 2 4 2 2 3 2 2" xfId="18828"/>
    <cellStyle name="Normal 3 2 2 2 2 4 2 2 3 3" xfId="18829"/>
    <cellStyle name="Normal 3 2 2 2 2 4 2 2 3 3 2" xfId="18830"/>
    <cellStyle name="Normal 3 2 2 2 2 4 2 2 3 4" xfId="18831"/>
    <cellStyle name="Normal 3 2 2 2 2 4 2 2 3 4 2" xfId="18832"/>
    <cellStyle name="Normal 3 2 2 2 2 4 2 2 3 5" xfId="18833"/>
    <cellStyle name="Normal 3 2 2 2 2 4 2 2 3 6" xfId="18834"/>
    <cellStyle name="Normal 3 2 2 2 2 4 2 2 3 7" xfId="18835"/>
    <cellStyle name="Normal 3 2 2 2 2 4 2 2 4" xfId="18836"/>
    <cellStyle name="Normal 3 2 2 2 2 4 2 2 4 2" xfId="18837"/>
    <cellStyle name="Normal 3 2 2 2 2 4 2 2 4 2 2" xfId="18838"/>
    <cellStyle name="Normal 3 2 2 2 2 4 2 2 4 3" xfId="18839"/>
    <cellStyle name="Normal 3 2 2 2 2 4 2 2 4 3 2" xfId="18840"/>
    <cellStyle name="Normal 3 2 2 2 2 4 2 2 4 4" xfId="18841"/>
    <cellStyle name="Normal 3 2 2 2 2 4 2 2 4 4 2" xfId="18842"/>
    <cellStyle name="Normal 3 2 2 2 2 4 2 2 4 5" xfId="18843"/>
    <cellStyle name="Normal 3 2 2 2 2 4 2 2 4 6" xfId="18844"/>
    <cellStyle name="Normal 3 2 2 2 2 4 2 2 5" xfId="18845"/>
    <cellStyle name="Normal 3 2 2 2 2 4 2 2 5 2" xfId="18846"/>
    <cellStyle name="Normal 3 2 2 2 2 4 2 2 5 2 2" xfId="18847"/>
    <cellStyle name="Normal 3 2 2 2 2 4 2 2 5 3" xfId="18848"/>
    <cellStyle name="Normal 3 2 2 2 2 4 2 2 5 3 2" xfId="18849"/>
    <cellStyle name="Normal 3 2 2 2 2 4 2 2 5 4" xfId="18850"/>
    <cellStyle name="Normal 3 2 2 2 2 4 2 2 5 4 2" xfId="18851"/>
    <cellStyle name="Normal 3 2 2 2 2 4 2 2 5 5" xfId="18852"/>
    <cellStyle name="Normal 3 2 2 2 2 4 2 2 5 6" xfId="18853"/>
    <cellStyle name="Normal 3 2 2 2 2 4 2 2 6" xfId="18854"/>
    <cellStyle name="Normal 3 2 2 2 2 4 2 2 6 2" xfId="18855"/>
    <cellStyle name="Normal 3 2 2 2 2 4 2 2 6 2 2" xfId="18856"/>
    <cellStyle name="Normal 3 2 2 2 2 4 2 2 6 3" xfId="18857"/>
    <cellStyle name="Normal 3 2 2 2 2 4 2 2 6 3 2" xfId="18858"/>
    <cellStyle name="Normal 3 2 2 2 2 4 2 2 6 4" xfId="18859"/>
    <cellStyle name="Normal 3 2 2 2 2 4 2 2 6 5" xfId="18860"/>
    <cellStyle name="Normal 3 2 2 2 2 4 2 2 7" xfId="18861"/>
    <cellStyle name="Normal 3 2 2 2 2 4 2 2 7 2" xfId="18862"/>
    <cellStyle name="Normal 3 2 2 2 2 4 2 2 8" xfId="18863"/>
    <cellStyle name="Normal 3 2 2 2 2 4 2 2 8 2" xfId="18864"/>
    <cellStyle name="Normal 3 2 2 2 2 4 2 2 9" xfId="18865"/>
    <cellStyle name="Normal 3 2 2 2 2 4 2 2 9 2" xfId="18866"/>
    <cellStyle name="Normal 3 2 2 2 2 4 2 3" xfId="18867"/>
    <cellStyle name="Normal 3 2 2 2 2 4 2 3 10" xfId="18868"/>
    <cellStyle name="Normal 3 2 2 2 2 4 2 3 11" xfId="18869"/>
    <cellStyle name="Normal 3 2 2 2 2 4 2 3 2" xfId="18870"/>
    <cellStyle name="Normal 3 2 2 2 2 4 2 3 2 2" xfId="18871"/>
    <cellStyle name="Normal 3 2 2 2 2 4 2 3 2 2 2" xfId="18872"/>
    <cellStyle name="Normal 3 2 2 2 2 4 2 3 2 3" xfId="18873"/>
    <cellStyle name="Normal 3 2 2 2 2 4 2 3 2 3 2" xfId="18874"/>
    <cellStyle name="Normal 3 2 2 2 2 4 2 3 2 4" xfId="18875"/>
    <cellStyle name="Normal 3 2 2 2 2 4 2 3 2 4 2" xfId="18876"/>
    <cellStyle name="Normal 3 2 2 2 2 4 2 3 2 5" xfId="18877"/>
    <cellStyle name="Normal 3 2 2 2 2 4 2 3 2 6" xfId="18878"/>
    <cellStyle name="Normal 3 2 2 2 2 4 2 3 2 7" xfId="18879"/>
    <cellStyle name="Normal 3 2 2 2 2 4 2 3 3" xfId="18880"/>
    <cellStyle name="Normal 3 2 2 2 2 4 2 3 3 2" xfId="18881"/>
    <cellStyle name="Normal 3 2 2 2 2 4 2 3 3 2 2" xfId="18882"/>
    <cellStyle name="Normal 3 2 2 2 2 4 2 3 3 3" xfId="18883"/>
    <cellStyle name="Normal 3 2 2 2 2 4 2 3 3 3 2" xfId="18884"/>
    <cellStyle name="Normal 3 2 2 2 2 4 2 3 3 4" xfId="18885"/>
    <cellStyle name="Normal 3 2 2 2 2 4 2 3 3 4 2" xfId="18886"/>
    <cellStyle name="Normal 3 2 2 2 2 4 2 3 3 5" xfId="18887"/>
    <cellStyle name="Normal 3 2 2 2 2 4 2 3 3 6" xfId="18888"/>
    <cellStyle name="Normal 3 2 2 2 2 4 2 3 4" xfId="18889"/>
    <cellStyle name="Normal 3 2 2 2 2 4 2 3 4 2" xfId="18890"/>
    <cellStyle name="Normal 3 2 2 2 2 4 2 3 4 2 2" xfId="18891"/>
    <cellStyle name="Normal 3 2 2 2 2 4 2 3 4 3" xfId="18892"/>
    <cellStyle name="Normal 3 2 2 2 2 4 2 3 4 3 2" xfId="18893"/>
    <cellStyle name="Normal 3 2 2 2 2 4 2 3 4 4" xfId="18894"/>
    <cellStyle name="Normal 3 2 2 2 2 4 2 3 4 4 2" xfId="18895"/>
    <cellStyle name="Normal 3 2 2 2 2 4 2 3 4 5" xfId="18896"/>
    <cellStyle name="Normal 3 2 2 2 2 4 2 3 4 6" xfId="18897"/>
    <cellStyle name="Normal 3 2 2 2 2 4 2 3 5" xfId="18898"/>
    <cellStyle name="Normal 3 2 2 2 2 4 2 3 5 2" xfId="18899"/>
    <cellStyle name="Normal 3 2 2 2 2 4 2 3 5 2 2" xfId="18900"/>
    <cellStyle name="Normal 3 2 2 2 2 4 2 3 5 3" xfId="18901"/>
    <cellStyle name="Normal 3 2 2 2 2 4 2 3 5 3 2" xfId="18902"/>
    <cellStyle name="Normal 3 2 2 2 2 4 2 3 5 4" xfId="18903"/>
    <cellStyle name="Normal 3 2 2 2 2 4 2 3 5 5" xfId="18904"/>
    <cellStyle name="Normal 3 2 2 2 2 4 2 3 6" xfId="18905"/>
    <cellStyle name="Normal 3 2 2 2 2 4 2 3 6 2" xfId="18906"/>
    <cellStyle name="Normal 3 2 2 2 2 4 2 3 7" xfId="18907"/>
    <cellStyle name="Normal 3 2 2 2 2 4 2 3 7 2" xfId="18908"/>
    <cellStyle name="Normal 3 2 2 2 2 4 2 3 8" xfId="18909"/>
    <cellStyle name="Normal 3 2 2 2 2 4 2 3 8 2" xfId="18910"/>
    <cellStyle name="Normal 3 2 2 2 2 4 2 3 9" xfId="18911"/>
    <cellStyle name="Normal 3 2 2 2 2 4 2 4" xfId="18912"/>
    <cellStyle name="Normal 3 2 2 2 2 4 2 4 10" xfId="18913"/>
    <cellStyle name="Normal 3 2 2 2 2 4 2 4 11" xfId="18914"/>
    <cellStyle name="Normal 3 2 2 2 2 4 2 4 2" xfId="18915"/>
    <cellStyle name="Normal 3 2 2 2 2 4 2 4 2 2" xfId="18916"/>
    <cellStyle name="Normal 3 2 2 2 2 4 2 4 2 2 2" xfId="18917"/>
    <cellStyle name="Normal 3 2 2 2 2 4 2 4 2 3" xfId="18918"/>
    <cellStyle name="Normal 3 2 2 2 2 4 2 4 2 3 2" xfId="18919"/>
    <cellStyle name="Normal 3 2 2 2 2 4 2 4 2 4" xfId="18920"/>
    <cellStyle name="Normal 3 2 2 2 2 4 2 4 2 4 2" xfId="18921"/>
    <cellStyle name="Normal 3 2 2 2 2 4 2 4 2 5" xfId="18922"/>
    <cellStyle name="Normal 3 2 2 2 2 4 2 4 2 6" xfId="18923"/>
    <cellStyle name="Normal 3 2 2 2 2 4 2 4 2 7" xfId="18924"/>
    <cellStyle name="Normal 3 2 2 2 2 4 2 4 3" xfId="18925"/>
    <cellStyle name="Normal 3 2 2 2 2 4 2 4 3 2" xfId="18926"/>
    <cellStyle name="Normal 3 2 2 2 2 4 2 4 3 2 2" xfId="18927"/>
    <cellStyle name="Normal 3 2 2 2 2 4 2 4 3 3" xfId="18928"/>
    <cellStyle name="Normal 3 2 2 2 2 4 2 4 3 3 2" xfId="18929"/>
    <cellStyle name="Normal 3 2 2 2 2 4 2 4 3 4" xfId="18930"/>
    <cellStyle name="Normal 3 2 2 2 2 4 2 4 3 4 2" xfId="18931"/>
    <cellStyle name="Normal 3 2 2 2 2 4 2 4 3 5" xfId="18932"/>
    <cellStyle name="Normal 3 2 2 2 2 4 2 4 3 6" xfId="18933"/>
    <cellStyle name="Normal 3 2 2 2 2 4 2 4 4" xfId="18934"/>
    <cellStyle name="Normal 3 2 2 2 2 4 2 4 4 2" xfId="18935"/>
    <cellStyle name="Normal 3 2 2 2 2 4 2 4 4 2 2" xfId="18936"/>
    <cellStyle name="Normal 3 2 2 2 2 4 2 4 4 3" xfId="18937"/>
    <cellStyle name="Normal 3 2 2 2 2 4 2 4 4 3 2" xfId="18938"/>
    <cellStyle name="Normal 3 2 2 2 2 4 2 4 4 4" xfId="18939"/>
    <cellStyle name="Normal 3 2 2 2 2 4 2 4 4 4 2" xfId="18940"/>
    <cellStyle name="Normal 3 2 2 2 2 4 2 4 4 5" xfId="18941"/>
    <cellStyle name="Normal 3 2 2 2 2 4 2 4 4 6" xfId="18942"/>
    <cellStyle name="Normal 3 2 2 2 2 4 2 4 5" xfId="18943"/>
    <cellStyle name="Normal 3 2 2 2 2 4 2 4 5 2" xfId="18944"/>
    <cellStyle name="Normal 3 2 2 2 2 4 2 4 5 2 2" xfId="18945"/>
    <cellStyle name="Normal 3 2 2 2 2 4 2 4 5 3" xfId="18946"/>
    <cellStyle name="Normal 3 2 2 2 2 4 2 4 5 3 2" xfId="18947"/>
    <cellStyle name="Normal 3 2 2 2 2 4 2 4 5 4" xfId="18948"/>
    <cellStyle name="Normal 3 2 2 2 2 4 2 4 5 5" xfId="18949"/>
    <cellStyle name="Normal 3 2 2 2 2 4 2 4 6" xfId="18950"/>
    <cellStyle name="Normal 3 2 2 2 2 4 2 4 6 2" xfId="18951"/>
    <cellStyle name="Normal 3 2 2 2 2 4 2 4 7" xfId="18952"/>
    <cellStyle name="Normal 3 2 2 2 2 4 2 4 7 2" xfId="18953"/>
    <cellStyle name="Normal 3 2 2 2 2 4 2 4 8" xfId="18954"/>
    <cellStyle name="Normal 3 2 2 2 2 4 2 4 8 2" xfId="18955"/>
    <cellStyle name="Normal 3 2 2 2 2 4 2 4 9" xfId="18956"/>
    <cellStyle name="Normal 3 2 2 2 2 4 2 5" xfId="18957"/>
    <cellStyle name="Normal 3 2 2 2 2 4 2 5 2" xfId="18958"/>
    <cellStyle name="Normal 3 2 2 2 2 4 2 5 2 2" xfId="18959"/>
    <cellStyle name="Normal 3 2 2 2 2 4 2 5 3" xfId="18960"/>
    <cellStyle name="Normal 3 2 2 2 2 4 2 5 3 2" xfId="18961"/>
    <cellStyle name="Normal 3 2 2 2 2 4 2 5 4" xfId="18962"/>
    <cellStyle name="Normal 3 2 2 2 2 4 2 5 4 2" xfId="18963"/>
    <cellStyle name="Normal 3 2 2 2 2 4 2 5 5" xfId="18964"/>
    <cellStyle name="Normal 3 2 2 2 2 4 2 5 6" xfId="18965"/>
    <cellStyle name="Normal 3 2 2 2 2 4 2 5 7" xfId="18966"/>
    <cellStyle name="Normal 3 2 2 2 2 4 2 6" xfId="18967"/>
    <cellStyle name="Normal 3 2 2 2 2 4 2 6 2" xfId="18968"/>
    <cellStyle name="Normal 3 2 2 2 2 4 2 6 2 2" xfId="18969"/>
    <cellStyle name="Normal 3 2 2 2 2 4 2 6 3" xfId="18970"/>
    <cellStyle name="Normal 3 2 2 2 2 4 2 6 3 2" xfId="18971"/>
    <cellStyle name="Normal 3 2 2 2 2 4 2 6 4" xfId="18972"/>
    <cellStyle name="Normal 3 2 2 2 2 4 2 6 4 2" xfId="18973"/>
    <cellStyle name="Normal 3 2 2 2 2 4 2 6 5" xfId="18974"/>
    <cellStyle name="Normal 3 2 2 2 2 4 2 6 6" xfId="18975"/>
    <cellStyle name="Normal 3 2 2 2 2 4 2 7" xfId="18976"/>
    <cellStyle name="Normal 3 2 2 2 2 4 2 7 2" xfId="18977"/>
    <cellStyle name="Normal 3 2 2 2 2 4 2 7 2 2" xfId="18978"/>
    <cellStyle name="Normal 3 2 2 2 2 4 2 7 3" xfId="18979"/>
    <cellStyle name="Normal 3 2 2 2 2 4 2 7 3 2" xfId="18980"/>
    <cellStyle name="Normal 3 2 2 2 2 4 2 7 4" xfId="18981"/>
    <cellStyle name="Normal 3 2 2 2 2 4 2 7 4 2" xfId="18982"/>
    <cellStyle name="Normal 3 2 2 2 2 4 2 7 5" xfId="18983"/>
    <cellStyle name="Normal 3 2 2 2 2 4 2 7 6" xfId="18984"/>
    <cellStyle name="Normal 3 2 2 2 2 4 2 8" xfId="18985"/>
    <cellStyle name="Normal 3 2 2 2 2 4 2 8 2" xfId="18986"/>
    <cellStyle name="Normal 3 2 2 2 2 4 2 8 2 2" xfId="18987"/>
    <cellStyle name="Normal 3 2 2 2 2 4 2 8 3" xfId="18988"/>
    <cellStyle name="Normal 3 2 2 2 2 4 2 8 3 2" xfId="18989"/>
    <cellStyle name="Normal 3 2 2 2 2 4 2 8 4" xfId="18990"/>
    <cellStyle name="Normal 3 2 2 2 2 4 2 8 5" xfId="18991"/>
    <cellStyle name="Normal 3 2 2 2 2 4 2 9" xfId="18992"/>
    <cellStyle name="Normal 3 2 2 2 2 4 2 9 2" xfId="18993"/>
    <cellStyle name="Normal 3 2 2 2 2 4 3" xfId="18994"/>
    <cellStyle name="Normal 3 2 2 2 2 4 3 10" xfId="18995"/>
    <cellStyle name="Normal 3 2 2 2 2 4 3 10 2" xfId="18996"/>
    <cellStyle name="Normal 3 2 2 2 2 4 3 11" xfId="18997"/>
    <cellStyle name="Normal 3 2 2 2 2 4 3 11 2" xfId="18998"/>
    <cellStyle name="Normal 3 2 2 2 2 4 3 12" xfId="18999"/>
    <cellStyle name="Normal 3 2 2 2 2 4 3 13" xfId="19000"/>
    <cellStyle name="Normal 3 2 2 2 2 4 3 14" xfId="19001"/>
    <cellStyle name="Normal 3 2 2 2 2 4 3 2" xfId="19002"/>
    <cellStyle name="Normal 3 2 2 2 2 4 3 2 10" xfId="19003"/>
    <cellStyle name="Normal 3 2 2 2 2 4 3 2 11" xfId="19004"/>
    <cellStyle name="Normal 3 2 2 2 2 4 3 2 12" xfId="19005"/>
    <cellStyle name="Normal 3 2 2 2 2 4 3 2 2" xfId="19006"/>
    <cellStyle name="Normal 3 2 2 2 2 4 3 2 2 2" xfId="19007"/>
    <cellStyle name="Normal 3 2 2 2 2 4 3 2 2 2 2" xfId="19008"/>
    <cellStyle name="Normal 3 2 2 2 2 4 3 2 2 3" xfId="19009"/>
    <cellStyle name="Normal 3 2 2 2 2 4 3 2 2 3 2" xfId="19010"/>
    <cellStyle name="Normal 3 2 2 2 2 4 3 2 2 4" xfId="19011"/>
    <cellStyle name="Normal 3 2 2 2 2 4 3 2 2 4 2" xfId="19012"/>
    <cellStyle name="Normal 3 2 2 2 2 4 3 2 2 5" xfId="19013"/>
    <cellStyle name="Normal 3 2 2 2 2 4 3 2 2 6" xfId="19014"/>
    <cellStyle name="Normal 3 2 2 2 2 4 3 2 2 7" xfId="19015"/>
    <cellStyle name="Normal 3 2 2 2 2 4 3 2 3" xfId="19016"/>
    <cellStyle name="Normal 3 2 2 2 2 4 3 2 3 2" xfId="19017"/>
    <cellStyle name="Normal 3 2 2 2 2 4 3 2 3 2 2" xfId="19018"/>
    <cellStyle name="Normal 3 2 2 2 2 4 3 2 3 3" xfId="19019"/>
    <cellStyle name="Normal 3 2 2 2 2 4 3 2 3 3 2" xfId="19020"/>
    <cellStyle name="Normal 3 2 2 2 2 4 3 2 3 4" xfId="19021"/>
    <cellStyle name="Normal 3 2 2 2 2 4 3 2 3 4 2" xfId="19022"/>
    <cellStyle name="Normal 3 2 2 2 2 4 3 2 3 5" xfId="19023"/>
    <cellStyle name="Normal 3 2 2 2 2 4 3 2 3 6" xfId="19024"/>
    <cellStyle name="Normal 3 2 2 2 2 4 3 2 4" xfId="19025"/>
    <cellStyle name="Normal 3 2 2 2 2 4 3 2 4 2" xfId="19026"/>
    <cellStyle name="Normal 3 2 2 2 2 4 3 2 4 2 2" xfId="19027"/>
    <cellStyle name="Normal 3 2 2 2 2 4 3 2 4 3" xfId="19028"/>
    <cellStyle name="Normal 3 2 2 2 2 4 3 2 4 3 2" xfId="19029"/>
    <cellStyle name="Normal 3 2 2 2 2 4 3 2 4 4" xfId="19030"/>
    <cellStyle name="Normal 3 2 2 2 2 4 3 2 4 4 2" xfId="19031"/>
    <cellStyle name="Normal 3 2 2 2 2 4 3 2 4 5" xfId="19032"/>
    <cellStyle name="Normal 3 2 2 2 2 4 3 2 4 6" xfId="19033"/>
    <cellStyle name="Normal 3 2 2 2 2 4 3 2 5" xfId="19034"/>
    <cellStyle name="Normal 3 2 2 2 2 4 3 2 5 2" xfId="19035"/>
    <cellStyle name="Normal 3 2 2 2 2 4 3 2 5 2 2" xfId="19036"/>
    <cellStyle name="Normal 3 2 2 2 2 4 3 2 5 3" xfId="19037"/>
    <cellStyle name="Normal 3 2 2 2 2 4 3 2 5 3 2" xfId="19038"/>
    <cellStyle name="Normal 3 2 2 2 2 4 3 2 5 4" xfId="19039"/>
    <cellStyle name="Normal 3 2 2 2 2 4 3 2 5 4 2" xfId="19040"/>
    <cellStyle name="Normal 3 2 2 2 2 4 3 2 5 5" xfId="19041"/>
    <cellStyle name="Normal 3 2 2 2 2 4 3 2 5 6" xfId="19042"/>
    <cellStyle name="Normal 3 2 2 2 2 4 3 2 6" xfId="19043"/>
    <cellStyle name="Normal 3 2 2 2 2 4 3 2 6 2" xfId="19044"/>
    <cellStyle name="Normal 3 2 2 2 2 4 3 2 6 2 2" xfId="19045"/>
    <cellStyle name="Normal 3 2 2 2 2 4 3 2 6 3" xfId="19046"/>
    <cellStyle name="Normal 3 2 2 2 2 4 3 2 6 3 2" xfId="19047"/>
    <cellStyle name="Normal 3 2 2 2 2 4 3 2 6 4" xfId="19048"/>
    <cellStyle name="Normal 3 2 2 2 2 4 3 2 6 5" xfId="19049"/>
    <cellStyle name="Normal 3 2 2 2 2 4 3 2 7" xfId="19050"/>
    <cellStyle name="Normal 3 2 2 2 2 4 3 2 7 2" xfId="19051"/>
    <cellStyle name="Normal 3 2 2 2 2 4 3 2 8" xfId="19052"/>
    <cellStyle name="Normal 3 2 2 2 2 4 3 2 8 2" xfId="19053"/>
    <cellStyle name="Normal 3 2 2 2 2 4 3 2 9" xfId="19054"/>
    <cellStyle name="Normal 3 2 2 2 2 4 3 2 9 2" xfId="19055"/>
    <cellStyle name="Normal 3 2 2 2 2 4 3 3" xfId="19056"/>
    <cellStyle name="Normal 3 2 2 2 2 4 3 3 10" xfId="19057"/>
    <cellStyle name="Normal 3 2 2 2 2 4 3 3 11" xfId="19058"/>
    <cellStyle name="Normal 3 2 2 2 2 4 3 3 2" xfId="19059"/>
    <cellStyle name="Normal 3 2 2 2 2 4 3 3 2 2" xfId="19060"/>
    <cellStyle name="Normal 3 2 2 2 2 4 3 3 2 2 2" xfId="19061"/>
    <cellStyle name="Normal 3 2 2 2 2 4 3 3 2 3" xfId="19062"/>
    <cellStyle name="Normal 3 2 2 2 2 4 3 3 2 3 2" xfId="19063"/>
    <cellStyle name="Normal 3 2 2 2 2 4 3 3 2 4" xfId="19064"/>
    <cellStyle name="Normal 3 2 2 2 2 4 3 3 2 4 2" xfId="19065"/>
    <cellStyle name="Normal 3 2 2 2 2 4 3 3 2 5" xfId="19066"/>
    <cellStyle name="Normal 3 2 2 2 2 4 3 3 2 6" xfId="19067"/>
    <cellStyle name="Normal 3 2 2 2 2 4 3 3 2 7" xfId="19068"/>
    <cellStyle name="Normal 3 2 2 2 2 4 3 3 3" xfId="19069"/>
    <cellStyle name="Normal 3 2 2 2 2 4 3 3 3 2" xfId="19070"/>
    <cellStyle name="Normal 3 2 2 2 2 4 3 3 3 2 2" xfId="19071"/>
    <cellStyle name="Normal 3 2 2 2 2 4 3 3 3 3" xfId="19072"/>
    <cellStyle name="Normal 3 2 2 2 2 4 3 3 3 3 2" xfId="19073"/>
    <cellStyle name="Normal 3 2 2 2 2 4 3 3 3 4" xfId="19074"/>
    <cellStyle name="Normal 3 2 2 2 2 4 3 3 3 4 2" xfId="19075"/>
    <cellStyle name="Normal 3 2 2 2 2 4 3 3 3 5" xfId="19076"/>
    <cellStyle name="Normal 3 2 2 2 2 4 3 3 3 6" xfId="19077"/>
    <cellStyle name="Normal 3 2 2 2 2 4 3 3 4" xfId="19078"/>
    <cellStyle name="Normal 3 2 2 2 2 4 3 3 4 2" xfId="19079"/>
    <cellStyle name="Normal 3 2 2 2 2 4 3 3 4 2 2" xfId="19080"/>
    <cellStyle name="Normal 3 2 2 2 2 4 3 3 4 3" xfId="19081"/>
    <cellStyle name="Normal 3 2 2 2 2 4 3 3 4 3 2" xfId="19082"/>
    <cellStyle name="Normal 3 2 2 2 2 4 3 3 4 4" xfId="19083"/>
    <cellStyle name="Normal 3 2 2 2 2 4 3 3 4 4 2" xfId="19084"/>
    <cellStyle name="Normal 3 2 2 2 2 4 3 3 4 5" xfId="19085"/>
    <cellStyle name="Normal 3 2 2 2 2 4 3 3 4 6" xfId="19086"/>
    <cellStyle name="Normal 3 2 2 2 2 4 3 3 5" xfId="19087"/>
    <cellStyle name="Normal 3 2 2 2 2 4 3 3 5 2" xfId="19088"/>
    <cellStyle name="Normal 3 2 2 2 2 4 3 3 5 2 2" xfId="19089"/>
    <cellStyle name="Normal 3 2 2 2 2 4 3 3 5 3" xfId="19090"/>
    <cellStyle name="Normal 3 2 2 2 2 4 3 3 5 3 2" xfId="19091"/>
    <cellStyle name="Normal 3 2 2 2 2 4 3 3 5 4" xfId="19092"/>
    <cellStyle name="Normal 3 2 2 2 2 4 3 3 5 5" xfId="19093"/>
    <cellStyle name="Normal 3 2 2 2 2 4 3 3 6" xfId="19094"/>
    <cellStyle name="Normal 3 2 2 2 2 4 3 3 6 2" xfId="19095"/>
    <cellStyle name="Normal 3 2 2 2 2 4 3 3 7" xfId="19096"/>
    <cellStyle name="Normal 3 2 2 2 2 4 3 3 7 2" xfId="19097"/>
    <cellStyle name="Normal 3 2 2 2 2 4 3 3 8" xfId="19098"/>
    <cellStyle name="Normal 3 2 2 2 2 4 3 3 8 2" xfId="19099"/>
    <cellStyle name="Normal 3 2 2 2 2 4 3 3 9" xfId="19100"/>
    <cellStyle name="Normal 3 2 2 2 2 4 3 4" xfId="19101"/>
    <cellStyle name="Normal 3 2 2 2 2 4 3 4 10" xfId="19102"/>
    <cellStyle name="Normal 3 2 2 2 2 4 3 4 11" xfId="19103"/>
    <cellStyle name="Normal 3 2 2 2 2 4 3 4 2" xfId="19104"/>
    <cellStyle name="Normal 3 2 2 2 2 4 3 4 2 2" xfId="19105"/>
    <cellStyle name="Normal 3 2 2 2 2 4 3 4 2 2 2" xfId="19106"/>
    <cellStyle name="Normal 3 2 2 2 2 4 3 4 2 3" xfId="19107"/>
    <cellStyle name="Normal 3 2 2 2 2 4 3 4 2 3 2" xfId="19108"/>
    <cellStyle name="Normal 3 2 2 2 2 4 3 4 2 4" xfId="19109"/>
    <cellStyle name="Normal 3 2 2 2 2 4 3 4 2 4 2" xfId="19110"/>
    <cellStyle name="Normal 3 2 2 2 2 4 3 4 2 5" xfId="19111"/>
    <cellStyle name="Normal 3 2 2 2 2 4 3 4 2 6" xfId="19112"/>
    <cellStyle name="Normal 3 2 2 2 2 4 3 4 3" xfId="19113"/>
    <cellStyle name="Normal 3 2 2 2 2 4 3 4 3 2" xfId="19114"/>
    <cellStyle name="Normal 3 2 2 2 2 4 3 4 3 2 2" xfId="19115"/>
    <cellStyle name="Normal 3 2 2 2 2 4 3 4 3 3" xfId="19116"/>
    <cellStyle name="Normal 3 2 2 2 2 4 3 4 3 3 2" xfId="19117"/>
    <cellStyle name="Normal 3 2 2 2 2 4 3 4 3 4" xfId="19118"/>
    <cellStyle name="Normal 3 2 2 2 2 4 3 4 3 4 2" xfId="19119"/>
    <cellStyle name="Normal 3 2 2 2 2 4 3 4 3 5" xfId="19120"/>
    <cellStyle name="Normal 3 2 2 2 2 4 3 4 3 6" xfId="19121"/>
    <cellStyle name="Normal 3 2 2 2 2 4 3 4 4" xfId="19122"/>
    <cellStyle name="Normal 3 2 2 2 2 4 3 4 4 2" xfId="19123"/>
    <cellStyle name="Normal 3 2 2 2 2 4 3 4 4 2 2" xfId="19124"/>
    <cellStyle name="Normal 3 2 2 2 2 4 3 4 4 3" xfId="19125"/>
    <cellStyle name="Normal 3 2 2 2 2 4 3 4 4 3 2" xfId="19126"/>
    <cellStyle name="Normal 3 2 2 2 2 4 3 4 4 4" xfId="19127"/>
    <cellStyle name="Normal 3 2 2 2 2 4 3 4 4 4 2" xfId="19128"/>
    <cellStyle name="Normal 3 2 2 2 2 4 3 4 4 5" xfId="19129"/>
    <cellStyle name="Normal 3 2 2 2 2 4 3 4 4 6" xfId="19130"/>
    <cellStyle name="Normal 3 2 2 2 2 4 3 4 5" xfId="19131"/>
    <cellStyle name="Normal 3 2 2 2 2 4 3 4 5 2" xfId="19132"/>
    <cellStyle name="Normal 3 2 2 2 2 4 3 4 5 2 2" xfId="19133"/>
    <cellStyle name="Normal 3 2 2 2 2 4 3 4 5 3" xfId="19134"/>
    <cellStyle name="Normal 3 2 2 2 2 4 3 4 5 3 2" xfId="19135"/>
    <cellStyle name="Normal 3 2 2 2 2 4 3 4 5 4" xfId="19136"/>
    <cellStyle name="Normal 3 2 2 2 2 4 3 4 5 5" xfId="19137"/>
    <cellStyle name="Normal 3 2 2 2 2 4 3 4 6" xfId="19138"/>
    <cellStyle name="Normal 3 2 2 2 2 4 3 4 6 2" xfId="19139"/>
    <cellStyle name="Normal 3 2 2 2 2 4 3 4 7" xfId="19140"/>
    <cellStyle name="Normal 3 2 2 2 2 4 3 4 7 2" xfId="19141"/>
    <cellStyle name="Normal 3 2 2 2 2 4 3 4 8" xfId="19142"/>
    <cellStyle name="Normal 3 2 2 2 2 4 3 4 8 2" xfId="19143"/>
    <cellStyle name="Normal 3 2 2 2 2 4 3 4 9" xfId="19144"/>
    <cellStyle name="Normal 3 2 2 2 2 4 3 5" xfId="19145"/>
    <cellStyle name="Normal 3 2 2 2 2 4 3 5 2" xfId="19146"/>
    <cellStyle name="Normal 3 2 2 2 2 4 3 5 2 2" xfId="19147"/>
    <cellStyle name="Normal 3 2 2 2 2 4 3 5 3" xfId="19148"/>
    <cellStyle name="Normal 3 2 2 2 2 4 3 5 3 2" xfId="19149"/>
    <cellStyle name="Normal 3 2 2 2 2 4 3 5 4" xfId="19150"/>
    <cellStyle name="Normal 3 2 2 2 2 4 3 5 4 2" xfId="19151"/>
    <cellStyle name="Normal 3 2 2 2 2 4 3 5 5" xfId="19152"/>
    <cellStyle name="Normal 3 2 2 2 2 4 3 5 6" xfId="19153"/>
    <cellStyle name="Normal 3 2 2 2 2 4 3 6" xfId="19154"/>
    <cellStyle name="Normal 3 2 2 2 2 4 3 6 2" xfId="19155"/>
    <cellStyle name="Normal 3 2 2 2 2 4 3 6 2 2" xfId="19156"/>
    <cellStyle name="Normal 3 2 2 2 2 4 3 6 3" xfId="19157"/>
    <cellStyle name="Normal 3 2 2 2 2 4 3 6 3 2" xfId="19158"/>
    <cellStyle name="Normal 3 2 2 2 2 4 3 6 4" xfId="19159"/>
    <cellStyle name="Normal 3 2 2 2 2 4 3 6 4 2" xfId="19160"/>
    <cellStyle name="Normal 3 2 2 2 2 4 3 6 5" xfId="19161"/>
    <cellStyle name="Normal 3 2 2 2 2 4 3 6 6" xfId="19162"/>
    <cellStyle name="Normal 3 2 2 2 2 4 3 7" xfId="19163"/>
    <cellStyle name="Normal 3 2 2 2 2 4 3 7 2" xfId="19164"/>
    <cellStyle name="Normal 3 2 2 2 2 4 3 7 2 2" xfId="19165"/>
    <cellStyle name="Normal 3 2 2 2 2 4 3 7 3" xfId="19166"/>
    <cellStyle name="Normal 3 2 2 2 2 4 3 7 3 2" xfId="19167"/>
    <cellStyle name="Normal 3 2 2 2 2 4 3 7 4" xfId="19168"/>
    <cellStyle name="Normal 3 2 2 2 2 4 3 7 4 2" xfId="19169"/>
    <cellStyle name="Normal 3 2 2 2 2 4 3 7 5" xfId="19170"/>
    <cellStyle name="Normal 3 2 2 2 2 4 3 7 6" xfId="19171"/>
    <cellStyle name="Normal 3 2 2 2 2 4 3 8" xfId="19172"/>
    <cellStyle name="Normal 3 2 2 2 2 4 3 8 2" xfId="19173"/>
    <cellStyle name="Normal 3 2 2 2 2 4 3 8 2 2" xfId="19174"/>
    <cellStyle name="Normal 3 2 2 2 2 4 3 8 3" xfId="19175"/>
    <cellStyle name="Normal 3 2 2 2 2 4 3 8 3 2" xfId="19176"/>
    <cellStyle name="Normal 3 2 2 2 2 4 3 8 4" xfId="19177"/>
    <cellStyle name="Normal 3 2 2 2 2 4 3 8 5" xfId="19178"/>
    <cellStyle name="Normal 3 2 2 2 2 4 3 9" xfId="19179"/>
    <cellStyle name="Normal 3 2 2 2 2 4 3 9 2" xfId="19180"/>
    <cellStyle name="Normal 3 2 2 2 2 4 4" xfId="19181"/>
    <cellStyle name="Normal 3 2 2 2 2 4 4 10" xfId="19182"/>
    <cellStyle name="Normal 3 2 2 2 2 4 4 10 2" xfId="19183"/>
    <cellStyle name="Normal 3 2 2 2 2 4 4 11" xfId="19184"/>
    <cellStyle name="Normal 3 2 2 2 2 4 4 12" xfId="19185"/>
    <cellStyle name="Normal 3 2 2 2 2 4 4 13" xfId="19186"/>
    <cellStyle name="Normal 3 2 2 2 2 4 4 2" xfId="19187"/>
    <cellStyle name="Normal 3 2 2 2 2 4 4 2 10" xfId="19188"/>
    <cellStyle name="Normal 3 2 2 2 2 4 4 2 11" xfId="19189"/>
    <cellStyle name="Normal 3 2 2 2 2 4 4 2 2" xfId="19190"/>
    <cellStyle name="Normal 3 2 2 2 2 4 4 2 2 2" xfId="19191"/>
    <cellStyle name="Normal 3 2 2 2 2 4 4 2 2 2 2" xfId="19192"/>
    <cellStyle name="Normal 3 2 2 2 2 4 4 2 2 3" xfId="19193"/>
    <cellStyle name="Normal 3 2 2 2 2 4 4 2 2 3 2" xfId="19194"/>
    <cellStyle name="Normal 3 2 2 2 2 4 4 2 2 4" xfId="19195"/>
    <cellStyle name="Normal 3 2 2 2 2 4 4 2 2 4 2" xfId="19196"/>
    <cellStyle name="Normal 3 2 2 2 2 4 4 2 2 5" xfId="19197"/>
    <cellStyle name="Normal 3 2 2 2 2 4 4 2 2 6" xfId="19198"/>
    <cellStyle name="Normal 3 2 2 2 2 4 4 2 3" xfId="19199"/>
    <cellStyle name="Normal 3 2 2 2 2 4 4 2 3 2" xfId="19200"/>
    <cellStyle name="Normal 3 2 2 2 2 4 4 2 3 2 2" xfId="19201"/>
    <cellStyle name="Normal 3 2 2 2 2 4 4 2 3 3" xfId="19202"/>
    <cellStyle name="Normal 3 2 2 2 2 4 4 2 3 3 2" xfId="19203"/>
    <cellStyle name="Normal 3 2 2 2 2 4 4 2 3 4" xfId="19204"/>
    <cellStyle name="Normal 3 2 2 2 2 4 4 2 3 4 2" xfId="19205"/>
    <cellStyle name="Normal 3 2 2 2 2 4 4 2 3 5" xfId="19206"/>
    <cellStyle name="Normal 3 2 2 2 2 4 4 2 3 6" xfId="19207"/>
    <cellStyle name="Normal 3 2 2 2 2 4 4 2 4" xfId="19208"/>
    <cellStyle name="Normal 3 2 2 2 2 4 4 2 4 2" xfId="19209"/>
    <cellStyle name="Normal 3 2 2 2 2 4 4 2 4 2 2" xfId="19210"/>
    <cellStyle name="Normal 3 2 2 2 2 4 4 2 4 3" xfId="19211"/>
    <cellStyle name="Normal 3 2 2 2 2 4 4 2 4 3 2" xfId="19212"/>
    <cellStyle name="Normal 3 2 2 2 2 4 4 2 4 4" xfId="19213"/>
    <cellStyle name="Normal 3 2 2 2 2 4 4 2 4 4 2" xfId="19214"/>
    <cellStyle name="Normal 3 2 2 2 2 4 4 2 4 5" xfId="19215"/>
    <cellStyle name="Normal 3 2 2 2 2 4 4 2 4 6" xfId="19216"/>
    <cellStyle name="Normal 3 2 2 2 2 4 4 2 5" xfId="19217"/>
    <cellStyle name="Normal 3 2 2 2 2 4 4 2 5 2" xfId="19218"/>
    <cellStyle name="Normal 3 2 2 2 2 4 4 2 5 2 2" xfId="19219"/>
    <cellStyle name="Normal 3 2 2 2 2 4 4 2 5 3" xfId="19220"/>
    <cellStyle name="Normal 3 2 2 2 2 4 4 2 5 3 2" xfId="19221"/>
    <cellStyle name="Normal 3 2 2 2 2 4 4 2 5 4" xfId="19222"/>
    <cellStyle name="Normal 3 2 2 2 2 4 4 2 5 5" xfId="19223"/>
    <cellStyle name="Normal 3 2 2 2 2 4 4 2 6" xfId="19224"/>
    <cellStyle name="Normal 3 2 2 2 2 4 4 2 6 2" xfId="19225"/>
    <cellStyle name="Normal 3 2 2 2 2 4 4 2 7" xfId="19226"/>
    <cellStyle name="Normal 3 2 2 2 2 4 4 2 7 2" xfId="19227"/>
    <cellStyle name="Normal 3 2 2 2 2 4 4 2 8" xfId="19228"/>
    <cellStyle name="Normal 3 2 2 2 2 4 4 2 8 2" xfId="19229"/>
    <cellStyle name="Normal 3 2 2 2 2 4 4 2 9" xfId="19230"/>
    <cellStyle name="Normal 3 2 2 2 2 4 4 3" xfId="19231"/>
    <cellStyle name="Normal 3 2 2 2 2 4 4 3 10" xfId="19232"/>
    <cellStyle name="Normal 3 2 2 2 2 4 4 3 11" xfId="19233"/>
    <cellStyle name="Normal 3 2 2 2 2 4 4 3 2" xfId="19234"/>
    <cellStyle name="Normal 3 2 2 2 2 4 4 3 2 2" xfId="19235"/>
    <cellStyle name="Normal 3 2 2 2 2 4 4 3 2 2 2" xfId="19236"/>
    <cellStyle name="Normal 3 2 2 2 2 4 4 3 2 3" xfId="19237"/>
    <cellStyle name="Normal 3 2 2 2 2 4 4 3 2 3 2" xfId="19238"/>
    <cellStyle name="Normal 3 2 2 2 2 4 4 3 2 4" xfId="19239"/>
    <cellStyle name="Normal 3 2 2 2 2 4 4 3 2 4 2" xfId="19240"/>
    <cellStyle name="Normal 3 2 2 2 2 4 4 3 2 5" xfId="19241"/>
    <cellStyle name="Normal 3 2 2 2 2 4 4 3 2 6" xfId="19242"/>
    <cellStyle name="Normal 3 2 2 2 2 4 4 3 3" xfId="19243"/>
    <cellStyle name="Normal 3 2 2 2 2 4 4 3 3 2" xfId="19244"/>
    <cellStyle name="Normal 3 2 2 2 2 4 4 3 3 2 2" xfId="19245"/>
    <cellStyle name="Normal 3 2 2 2 2 4 4 3 3 3" xfId="19246"/>
    <cellStyle name="Normal 3 2 2 2 2 4 4 3 3 3 2" xfId="19247"/>
    <cellStyle name="Normal 3 2 2 2 2 4 4 3 3 4" xfId="19248"/>
    <cellStyle name="Normal 3 2 2 2 2 4 4 3 3 4 2" xfId="19249"/>
    <cellStyle name="Normal 3 2 2 2 2 4 4 3 3 5" xfId="19250"/>
    <cellStyle name="Normal 3 2 2 2 2 4 4 3 3 6" xfId="19251"/>
    <cellStyle name="Normal 3 2 2 2 2 4 4 3 4" xfId="19252"/>
    <cellStyle name="Normal 3 2 2 2 2 4 4 3 4 2" xfId="19253"/>
    <cellStyle name="Normal 3 2 2 2 2 4 4 3 4 2 2" xfId="19254"/>
    <cellStyle name="Normal 3 2 2 2 2 4 4 3 4 3" xfId="19255"/>
    <cellStyle name="Normal 3 2 2 2 2 4 4 3 4 3 2" xfId="19256"/>
    <cellStyle name="Normal 3 2 2 2 2 4 4 3 4 4" xfId="19257"/>
    <cellStyle name="Normal 3 2 2 2 2 4 4 3 4 4 2" xfId="19258"/>
    <cellStyle name="Normal 3 2 2 2 2 4 4 3 4 5" xfId="19259"/>
    <cellStyle name="Normal 3 2 2 2 2 4 4 3 4 6" xfId="19260"/>
    <cellStyle name="Normal 3 2 2 2 2 4 4 3 5" xfId="19261"/>
    <cellStyle name="Normal 3 2 2 2 2 4 4 3 5 2" xfId="19262"/>
    <cellStyle name="Normal 3 2 2 2 2 4 4 3 5 2 2" xfId="19263"/>
    <cellStyle name="Normal 3 2 2 2 2 4 4 3 5 3" xfId="19264"/>
    <cellStyle name="Normal 3 2 2 2 2 4 4 3 5 3 2" xfId="19265"/>
    <cellStyle name="Normal 3 2 2 2 2 4 4 3 5 4" xfId="19266"/>
    <cellStyle name="Normal 3 2 2 2 2 4 4 3 5 5" xfId="19267"/>
    <cellStyle name="Normal 3 2 2 2 2 4 4 3 6" xfId="19268"/>
    <cellStyle name="Normal 3 2 2 2 2 4 4 3 6 2" xfId="19269"/>
    <cellStyle name="Normal 3 2 2 2 2 4 4 3 7" xfId="19270"/>
    <cellStyle name="Normal 3 2 2 2 2 4 4 3 7 2" xfId="19271"/>
    <cellStyle name="Normal 3 2 2 2 2 4 4 3 8" xfId="19272"/>
    <cellStyle name="Normal 3 2 2 2 2 4 4 3 8 2" xfId="19273"/>
    <cellStyle name="Normal 3 2 2 2 2 4 4 3 9" xfId="19274"/>
    <cellStyle name="Normal 3 2 2 2 2 4 4 4" xfId="19275"/>
    <cellStyle name="Normal 3 2 2 2 2 4 4 4 2" xfId="19276"/>
    <cellStyle name="Normal 3 2 2 2 2 4 4 4 2 2" xfId="19277"/>
    <cellStyle name="Normal 3 2 2 2 2 4 4 4 3" xfId="19278"/>
    <cellStyle name="Normal 3 2 2 2 2 4 4 4 3 2" xfId="19279"/>
    <cellStyle name="Normal 3 2 2 2 2 4 4 4 4" xfId="19280"/>
    <cellStyle name="Normal 3 2 2 2 2 4 4 4 4 2" xfId="19281"/>
    <cellStyle name="Normal 3 2 2 2 2 4 4 4 5" xfId="19282"/>
    <cellStyle name="Normal 3 2 2 2 2 4 4 4 6" xfId="19283"/>
    <cellStyle name="Normal 3 2 2 2 2 4 4 5" xfId="19284"/>
    <cellStyle name="Normal 3 2 2 2 2 4 4 5 2" xfId="19285"/>
    <cellStyle name="Normal 3 2 2 2 2 4 4 5 2 2" xfId="19286"/>
    <cellStyle name="Normal 3 2 2 2 2 4 4 5 3" xfId="19287"/>
    <cellStyle name="Normal 3 2 2 2 2 4 4 5 3 2" xfId="19288"/>
    <cellStyle name="Normal 3 2 2 2 2 4 4 5 4" xfId="19289"/>
    <cellStyle name="Normal 3 2 2 2 2 4 4 5 4 2" xfId="19290"/>
    <cellStyle name="Normal 3 2 2 2 2 4 4 5 5" xfId="19291"/>
    <cellStyle name="Normal 3 2 2 2 2 4 4 5 6" xfId="19292"/>
    <cellStyle name="Normal 3 2 2 2 2 4 4 6" xfId="19293"/>
    <cellStyle name="Normal 3 2 2 2 2 4 4 6 2" xfId="19294"/>
    <cellStyle name="Normal 3 2 2 2 2 4 4 6 2 2" xfId="19295"/>
    <cellStyle name="Normal 3 2 2 2 2 4 4 6 3" xfId="19296"/>
    <cellStyle name="Normal 3 2 2 2 2 4 4 6 3 2" xfId="19297"/>
    <cellStyle name="Normal 3 2 2 2 2 4 4 6 4" xfId="19298"/>
    <cellStyle name="Normal 3 2 2 2 2 4 4 6 4 2" xfId="19299"/>
    <cellStyle name="Normal 3 2 2 2 2 4 4 6 5" xfId="19300"/>
    <cellStyle name="Normal 3 2 2 2 2 4 4 6 6" xfId="19301"/>
    <cellStyle name="Normal 3 2 2 2 2 4 4 7" xfId="19302"/>
    <cellStyle name="Normal 3 2 2 2 2 4 4 7 2" xfId="19303"/>
    <cellStyle name="Normal 3 2 2 2 2 4 4 7 2 2" xfId="19304"/>
    <cellStyle name="Normal 3 2 2 2 2 4 4 7 3" xfId="19305"/>
    <cellStyle name="Normal 3 2 2 2 2 4 4 7 3 2" xfId="19306"/>
    <cellStyle name="Normal 3 2 2 2 2 4 4 7 4" xfId="19307"/>
    <cellStyle name="Normal 3 2 2 2 2 4 4 7 5" xfId="19308"/>
    <cellStyle name="Normal 3 2 2 2 2 4 4 8" xfId="19309"/>
    <cellStyle name="Normal 3 2 2 2 2 4 4 8 2" xfId="19310"/>
    <cellStyle name="Normal 3 2 2 2 2 4 4 9" xfId="19311"/>
    <cellStyle name="Normal 3 2 2 2 2 4 4 9 2" xfId="19312"/>
    <cellStyle name="Normal 3 2 2 2 2 4 5" xfId="19313"/>
    <cellStyle name="Normal 3 2 2 2 2 4 5 10" xfId="19314"/>
    <cellStyle name="Normal 3 2 2 2 2 4 5 11" xfId="19315"/>
    <cellStyle name="Normal 3 2 2 2 2 4 5 12" xfId="19316"/>
    <cellStyle name="Normal 3 2 2 2 2 4 5 2" xfId="19317"/>
    <cellStyle name="Normal 3 2 2 2 2 4 5 2 2" xfId="19318"/>
    <cellStyle name="Normal 3 2 2 2 2 4 5 2 2 2" xfId="19319"/>
    <cellStyle name="Normal 3 2 2 2 2 4 5 2 3" xfId="19320"/>
    <cellStyle name="Normal 3 2 2 2 2 4 5 2 3 2" xfId="19321"/>
    <cellStyle name="Normal 3 2 2 2 2 4 5 2 4" xfId="19322"/>
    <cellStyle name="Normal 3 2 2 2 2 4 5 2 4 2" xfId="19323"/>
    <cellStyle name="Normal 3 2 2 2 2 4 5 2 5" xfId="19324"/>
    <cellStyle name="Normal 3 2 2 2 2 4 5 2 6" xfId="19325"/>
    <cellStyle name="Normal 3 2 2 2 2 4 5 2 7" xfId="19326"/>
    <cellStyle name="Normal 3 2 2 2 2 4 5 3" xfId="19327"/>
    <cellStyle name="Normal 3 2 2 2 2 4 5 3 2" xfId="19328"/>
    <cellStyle name="Normal 3 2 2 2 2 4 5 3 2 2" xfId="19329"/>
    <cellStyle name="Normal 3 2 2 2 2 4 5 3 3" xfId="19330"/>
    <cellStyle name="Normal 3 2 2 2 2 4 5 3 3 2" xfId="19331"/>
    <cellStyle name="Normal 3 2 2 2 2 4 5 3 4" xfId="19332"/>
    <cellStyle name="Normal 3 2 2 2 2 4 5 3 4 2" xfId="19333"/>
    <cellStyle name="Normal 3 2 2 2 2 4 5 3 5" xfId="19334"/>
    <cellStyle name="Normal 3 2 2 2 2 4 5 3 6" xfId="19335"/>
    <cellStyle name="Normal 3 2 2 2 2 4 5 4" xfId="19336"/>
    <cellStyle name="Normal 3 2 2 2 2 4 5 4 2" xfId="19337"/>
    <cellStyle name="Normal 3 2 2 2 2 4 5 4 2 2" xfId="19338"/>
    <cellStyle name="Normal 3 2 2 2 2 4 5 4 3" xfId="19339"/>
    <cellStyle name="Normal 3 2 2 2 2 4 5 4 3 2" xfId="19340"/>
    <cellStyle name="Normal 3 2 2 2 2 4 5 4 4" xfId="19341"/>
    <cellStyle name="Normal 3 2 2 2 2 4 5 4 4 2" xfId="19342"/>
    <cellStyle name="Normal 3 2 2 2 2 4 5 4 5" xfId="19343"/>
    <cellStyle name="Normal 3 2 2 2 2 4 5 4 6" xfId="19344"/>
    <cellStyle name="Normal 3 2 2 2 2 4 5 5" xfId="19345"/>
    <cellStyle name="Normal 3 2 2 2 2 4 5 5 2" xfId="19346"/>
    <cellStyle name="Normal 3 2 2 2 2 4 5 5 2 2" xfId="19347"/>
    <cellStyle name="Normal 3 2 2 2 2 4 5 5 3" xfId="19348"/>
    <cellStyle name="Normal 3 2 2 2 2 4 5 5 3 2" xfId="19349"/>
    <cellStyle name="Normal 3 2 2 2 2 4 5 5 4" xfId="19350"/>
    <cellStyle name="Normal 3 2 2 2 2 4 5 5 4 2" xfId="19351"/>
    <cellStyle name="Normal 3 2 2 2 2 4 5 5 5" xfId="19352"/>
    <cellStyle name="Normal 3 2 2 2 2 4 5 5 6" xfId="19353"/>
    <cellStyle name="Normal 3 2 2 2 2 4 5 6" xfId="19354"/>
    <cellStyle name="Normal 3 2 2 2 2 4 5 6 2" xfId="19355"/>
    <cellStyle name="Normal 3 2 2 2 2 4 5 6 2 2" xfId="19356"/>
    <cellStyle name="Normal 3 2 2 2 2 4 5 6 3" xfId="19357"/>
    <cellStyle name="Normal 3 2 2 2 2 4 5 6 3 2" xfId="19358"/>
    <cellStyle name="Normal 3 2 2 2 2 4 5 6 4" xfId="19359"/>
    <cellStyle name="Normal 3 2 2 2 2 4 5 6 5" xfId="19360"/>
    <cellStyle name="Normal 3 2 2 2 2 4 5 7" xfId="19361"/>
    <cellStyle name="Normal 3 2 2 2 2 4 5 7 2" xfId="19362"/>
    <cellStyle name="Normal 3 2 2 2 2 4 5 8" xfId="19363"/>
    <cellStyle name="Normal 3 2 2 2 2 4 5 8 2" xfId="19364"/>
    <cellStyle name="Normal 3 2 2 2 2 4 5 9" xfId="19365"/>
    <cellStyle name="Normal 3 2 2 2 2 4 5 9 2" xfId="19366"/>
    <cellStyle name="Normal 3 2 2 2 2 4 6" xfId="19367"/>
    <cellStyle name="Normal 3 2 2 2 2 4 6 10" xfId="19368"/>
    <cellStyle name="Normal 3 2 2 2 2 4 6 11" xfId="19369"/>
    <cellStyle name="Normal 3 2 2 2 2 4 6 2" xfId="19370"/>
    <cellStyle name="Normal 3 2 2 2 2 4 6 2 2" xfId="19371"/>
    <cellStyle name="Normal 3 2 2 2 2 4 6 2 2 2" xfId="19372"/>
    <cellStyle name="Normal 3 2 2 2 2 4 6 2 3" xfId="19373"/>
    <cellStyle name="Normal 3 2 2 2 2 4 6 2 3 2" xfId="19374"/>
    <cellStyle name="Normal 3 2 2 2 2 4 6 2 4" xfId="19375"/>
    <cellStyle name="Normal 3 2 2 2 2 4 6 2 4 2" xfId="19376"/>
    <cellStyle name="Normal 3 2 2 2 2 4 6 2 5" xfId="19377"/>
    <cellStyle name="Normal 3 2 2 2 2 4 6 2 6" xfId="19378"/>
    <cellStyle name="Normal 3 2 2 2 2 4 6 2 7" xfId="19379"/>
    <cellStyle name="Normal 3 2 2 2 2 4 6 3" xfId="19380"/>
    <cellStyle name="Normal 3 2 2 2 2 4 6 3 2" xfId="19381"/>
    <cellStyle name="Normal 3 2 2 2 2 4 6 3 2 2" xfId="19382"/>
    <cellStyle name="Normal 3 2 2 2 2 4 6 3 3" xfId="19383"/>
    <cellStyle name="Normal 3 2 2 2 2 4 6 3 3 2" xfId="19384"/>
    <cellStyle name="Normal 3 2 2 2 2 4 6 3 4" xfId="19385"/>
    <cellStyle name="Normal 3 2 2 2 2 4 6 3 4 2" xfId="19386"/>
    <cellStyle name="Normal 3 2 2 2 2 4 6 3 5" xfId="19387"/>
    <cellStyle name="Normal 3 2 2 2 2 4 6 3 6" xfId="19388"/>
    <cellStyle name="Normal 3 2 2 2 2 4 6 4" xfId="19389"/>
    <cellStyle name="Normal 3 2 2 2 2 4 6 4 2" xfId="19390"/>
    <cellStyle name="Normal 3 2 2 2 2 4 6 4 2 2" xfId="19391"/>
    <cellStyle name="Normal 3 2 2 2 2 4 6 4 3" xfId="19392"/>
    <cellStyle name="Normal 3 2 2 2 2 4 6 4 3 2" xfId="19393"/>
    <cellStyle name="Normal 3 2 2 2 2 4 6 4 4" xfId="19394"/>
    <cellStyle name="Normal 3 2 2 2 2 4 6 4 4 2" xfId="19395"/>
    <cellStyle name="Normal 3 2 2 2 2 4 6 4 5" xfId="19396"/>
    <cellStyle name="Normal 3 2 2 2 2 4 6 4 6" xfId="19397"/>
    <cellStyle name="Normal 3 2 2 2 2 4 6 5" xfId="19398"/>
    <cellStyle name="Normal 3 2 2 2 2 4 6 5 2" xfId="19399"/>
    <cellStyle name="Normal 3 2 2 2 2 4 6 5 2 2" xfId="19400"/>
    <cellStyle name="Normal 3 2 2 2 2 4 6 5 3" xfId="19401"/>
    <cellStyle name="Normal 3 2 2 2 2 4 6 5 3 2" xfId="19402"/>
    <cellStyle name="Normal 3 2 2 2 2 4 6 5 4" xfId="19403"/>
    <cellStyle name="Normal 3 2 2 2 2 4 6 5 5" xfId="19404"/>
    <cellStyle name="Normal 3 2 2 2 2 4 6 6" xfId="19405"/>
    <cellStyle name="Normal 3 2 2 2 2 4 6 6 2" xfId="19406"/>
    <cellStyle name="Normal 3 2 2 2 2 4 6 7" xfId="19407"/>
    <cellStyle name="Normal 3 2 2 2 2 4 6 7 2" xfId="19408"/>
    <cellStyle name="Normal 3 2 2 2 2 4 6 8" xfId="19409"/>
    <cellStyle name="Normal 3 2 2 2 2 4 6 8 2" xfId="19410"/>
    <cellStyle name="Normal 3 2 2 2 2 4 6 9" xfId="19411"/>
    <cellStyle name="Normal 3 2 2 2 2 4 7" xfId="19412"/>
    <cellStyle name="Normal 3 2 2 2 2 4 7 10" xfId="19413"/>
    <cellStyle name="Normal 3 2 2 2 2 4 7 11" xfId="19414"/>
    <cellStyle name="Normal 3 2 2 2 2 4 7 2" xfId="19415"/>
    <cellStyle name="Normal 3 2 2 2 2 4 7 2 2" xfId="19416"/>
    <cellStyle name="Normal 3 2 2 2 2 4 7 2 2 2" xfId="19417"/>
    <cellStyle name="Normal 3 2 2 2 2 4 7 2 3" xfId="19418"/>
    <cellStyle name="Normal 3 2 2 2 2 4 7 2 3 2" xfId="19419"/>
    <cellStyle name="Normal 3 2 2 2 2 4 7 2 4" xfId="19420"/>
    <cellStyle name="Normal 3 2 2 2 2 4 7 2 4 2" xfId="19421"/>
    <cellStyle name="Normal 3 2 2 2 2 4 7 2 5" xfId="19422"/>
    <cellStyle name="Normal 3 2 2 2 2 4 7 2 6" xfId="19423"/>
    <cellStyle name="Normal 3 2 2 2 2 4 7 3" xfId="19424"/>
    <cellStyle name="Normal 3 2 2 2 2 4 7 3 2" xfId="19425"/>
    <cellStyle name="Normal 3 2 2 2 2 4 7 3 2 2" xfId="19426"/>
    <cellStyle name="Normal 3 2 2 2 2 4 7 3 3" xfId="19427"/>
    <cellStyle name="Normal 3 2 2 2 2 4 7 3 3 2" xfId="19428"/>
    <cellStyle name="Normal 3 2 2 2 2 4 7 3 4" xfId="19429"/>
    <cellStyle name="Normal 3 2 2 2 2 4 7 3 4 2" xfId="19430"/>
    <cellStyle name="Normal 3 2 2 2 2 4 7 3 5" xfId="19431"/>
    <cellStyle name="Normal 3 2 2 2 2 4 7 3 6" xfId="19432"/>
    <cellStyle name="Normal 3 2 2 2 2 4 7 4" xfId="19433"/>
    <cellStyle name="Normal 3 2 2 2 2 4 7 4 2" xfId="19434"/>
    <cellStyle name="Normal 3 2 2 2 2 4 7 4 2 2" xfId="19435"/>
    <cellStyle name="Normal 3 2 2 2 2 4 7 4 3" xfId="19436"/>
    <cellStyle name="Normal 3 2 2 2 2 4 7 4 3 2" xfId="19437"/>
    <cellStyle name="Normal 3 2 2 2 2 4 7 4 4" xfId="19438"/>
    <cellStyle name="Normal 3 2 2 2 2 4 7 4 4 2" xfId="19439"/>
    <cellStyle name="Normal 3 2 2 2 2 4 7 4 5" xfId="19440"/>
    <cellStyle name="Normal 3 2 2 2 2 4 7 4 6" xfId="19441"/>
    <cellStyle name="Normal 3 2 2 2 2 4 7 5" xfId="19442"/>
    <cellStyle name="Normal 3 2 2 2 2 4 7 5 2" xfId="19443"/>
    <cellStyle name="Normal 3 2 2 2 2 4 7 5 2 2" xfId="19444"/>
    <cellStyle name="Normal 3 2 2 2 2 4 7 5 3" xfId="19445"/>
    <cellStyle name="Normal 3 2 2 2 2 4 7 5 3 2" xfId="19446"/>
    <cellStyle name="Normal 3 2 2 2 2 4 7 5 4" xfId="19447"/>
    <cellStyle name="Normal 3 2 2 2 2 4 7 5 5" xfId="19448"/>
    <cellStyle name="Normal 3 2 2 2 2 4 7 6" xfId="19449"/>
    <cellStyle name="Normal 3 2 2 2 2 4 7 6 2" xfId="19450"/>
    <cellStyle name="Normal 3 2 2 2 2 4 7 7" xfId="19451"/>
    <cellStyle name="Normal 3 2 2 2 2 4 7 7 2" xfId="19452"/>
    <cellStyle name="Normal 3 2 2 2 2 4 7 8" xfId="19453"/>
    <cellStyle name="Normal 3 2 2 2 2 4 7 8 2" xfId="19454"/>
    <cellStyle name="Normal 3 2 2 2 2 4 7 9" xfId="19455"/>
    <cellStyle name="Normal 3 2 2 2 2 4 8" xfId="19456"/>
    <cellStyle name="Normal 3 2 2 2 2 4 8 2" xfId="19457"/>
    <cellStyle name="Normal 3 2 2 2 2 4 8 2 2" xfId="19458"/>
    <cellStyle name="Normal 3 2 2 2 2 4 8 3" xfId="19459"/>
    <cellStyle name="Normal 3 2 2 2 2 4 8 3 2" xfId="19460"/>
    <cellStyle name="Normal 3 2 2 2 2 4 8 4" xfId="19461"/>
    <cellStyle name="Normal 3 2 2 2 2 4 8 4 2" xfId="19462"/>
    <cellStyle name="Normal 3 2 2 2 2 4 8 5" xfId="19463"/>
    <cellStyle name="Normal 3 2 2 2 2 4 8 6" xfId="19464"/>
    <cellStyle name="Normal 3 2 2 2 2 4 9" xfId="19465"/>
    <cellStyle name="Normal 3 2 2 2 2 4 9 2" xfId="19466"/>
    <cellStyle name="Normal 3 2 2 2 2 4 9 2 2" xfId="19467"/>
    <cellStyle name="Normal 3 2 2 2 2 4 9 3" xfId="19468"/>
    <cellStyle name="Normal 3 2 2 2 2 4 9 3 2" xfId="19469"/>
    <cellStyle name="Normal 3 2 2 2 2 4 9 4" xfId="19470"/>
    <cellStyle name="Normal 3 2 2 2 2 4 9 4 2" xfId="19471"/>
    <cellStyle name="Normal 3 2 2 2 2 4 9 5" xfId="19472"/>
    <cellStyle name="Normal 3 2 2 2 2 4 9 6" xfId="19473"/>
    <cellStyle name="Normal 3 2 2 2 2 5" xfId="19474"/>
    <cellStyle name="Normal 3 2 2 2 2 5 10" xfId="19475"/>
    <cellStyle name="Normal 3 2 2 2 2 5 10 2" xfId="19476"/>
    <cellStyle name="Normal 3 2 2 2 2 5 11" xfId="19477"/>
    <cellStyle name="Normal 3 2 2 2 2 5 11 2" xfId="19478"/>
    <cellStyle name="Normal 3 2 2 2 2 5 12" xfId="19479"/>
    <cellStyle name="Normal 3 2 2 2 2 5 13" xfId="19480"/>
    <cellStyle name="Normal 3 2 2 2 2 5 14" xfId="19481"/>
    <cellStyle name="Normal 3 2 2 2 2 5 2" xfId="19482"/>
    <cellStyle name="Normal 3 2 2 2 2 5 2 10" xfId="19483"/>
    <cellStyle name="Normal 3 2 2 2 2 5 2 11" xfId="19484"/>
    <cellStyle name="Normal 3 2 2 2 2 5 2 12" xfId="19485"/>
    <cellStyle name="Normal 3 2 2 2 2 5 2 2" xfId="19486"/>
    <cellStyle name="Normal 3 2 2 2 2 5 2 2 2" xfId="19487"/>
    <cellStyle name="Normal 3 2 2 2 2 5 2 2 2 2" xfId="19488"/>
    <cellStyle name="Normal 3 2 2 2 2 5 2 2 2 3" xfId="19489"/>
    <cellStyle name="Normal 3 2 2 2 2 5 2 2 3" xfId="19490"/>
    <cellStyle name="Normal 3 2 2 2 2 5 2 2 3 2" xfId="19491"/>
    <cellStyle name="Normal 3 2 2 2 2 5 2 2 4" xfId="19492"/>
    <cellStyle name="Normal 3 2 2 2 2 5 2 2 4 2" xfId="19493"/>
    <cellStyle name="Normal 3 2 2 2 2 5 2 2 5" xfId="19494"/>
    <cellStyle name="Normal 3 2 2 2 2 5 2 2 6" xfId="19495"/>
    <cellStyle name="Normal 3 2 2 2 2 5 2 2 7" xfId="19496"/>
    <cellStyle name="Normal 3 2 2 2 2 5 2 3" xfId="19497"/>
    <cellStyle name="Normal 3 2 2 2 2 5 2 3 2" xfId="19498"/>
    <cellStyle name="Normal 3 2 2 2 2 5 2 3 2 2" xfId="19499"/>
    <cellStyle name="Normal 3 2 2 2 2 5 2 3 2 3" xfId="19500"/>
    <cellStyle name="Normal 3 2 2 2 2 5 2 3 3" xfId="19501"/>
    <cellStyle name="Normal 3 2 2 2 2 5 2 3 3 2" xfId="19502"/>
    <cellStyle name="Normal 3 2 2 2 2 5 2 3 4" xfId="19503"/>
    <cellStyle name="Normal 3 2 2 2 2 5 2 3 4 2" xfId="19504"/>
    <cellStyle name="Normal 3 2 2 2 2 5 2 3 5" xfId="19505"/>
    <cellStyle name="Normal 3 2 2 2 2 5 2 3 6" xfId="19506"/>
    <cellStyle name="Normal 3 2 2 2 2 5 2 3 7" xfId="19507"/>
    <cellStyle name="Normal 3 2 2 2 2 5 2 4" xfId="19508"/>
    <cellStyle name="Normal 3 2 2 2 2 5 2 4 2" xfId="19509"/>
    <cellStyle name="Normal 3 2 2 2 2 5 2 4 2 2" xfId="19510"/>
    <cellStyle name="Normal 3 2 2 2 2 5 2 4 3" xfId="19511"/>
    <cellStyle name="Normal 3 2 2 2 2 5 2 4 3 2" xfId="19512"/>
    <cellStyle name="Normal 3 2 2 2 2 5 2 4 4" xfId="19513"/>
    <cellStyle name="Normal 3 2 2 2 2 5 2 4 4 2" xfId="19514"/>
    <cellStyle name="Normal 3 2 2 2 2 5 2 4 5" xfId="19515"/>
    <cellStyle name="Normal 3 2 2 2 2 5 2 4 6" xfId="19516"/>
    <cellStyle name="Normal 3 2 2 2 2 5 2 4 7" xfId="19517"/>
    <cellStyle name="Normal 3 2 2 2 2 5 2 5" xfId="19518"/>
    <cellStyle name="Normal 3 2 2 2 2 5 2 5 2" xfId="19519"/>
    <cellStyle name="Normal 3 2 2 2 2 5 2 5 2 2" xfId="19520"/>
    <cellStyle name="Normal 3 2 2 2 2 5 2 5 3" xfId="19521"/>
    <cellStyle name="Normal 3 2 2 2 2 5 2 5 3 2" xfId="19522"/>
    <cellStyle name="Normal 3 2 2 2 2 5 2 5 4" xfId="19523"/>
    <cellStyle name="Normal 3 2 2 2 2 5 2 5 4 2" xfId="19524"/>
    <cellStyle name="Normal 3 2 2 2 2 5 2 5 5" xfId="19525"/>
    <cellStyle name="Normal 3 2 2 2 2 5 2 5 6" xfId="19526"/>
    <cellStyle name="Normal 3 2 2 2 2 5 2 6" xfId="19527"/>
    <cellStyle name="Normal 3 2 2 2 2 5 2 6 2" xfId="19528"/>
    <cellStyle name="Normal 3 2 2 2 2 5 2 6 2 2" xfId="19529"/>
    <cellStyle name="Normal 3 2 2 2 2 5 2 6 3" xfId="19530"/>
    <cellStyle name="Normal 3 2 2 2 2 5 2 6 3 2" xfId="19531"/>
    <cellStyle name="Normal 3 2 2 2 2 5 2 6 4" xfId="19532"/>
    <cellStyle name="Normal 3 2 2 2 2 5 2 6 5" xfId="19533"/>
    <cellStyle name="Normal 3 2 2 2 2 5 2 7" xfId="19534"/>
    <cellStyle name="Normal 3 2 2 2 2 5 2 7 2" xfId="19535"/>
    <cellStyle name="Normal 3 2 2 2 2 5 2 8" xfId="19536"/>
    <cellStyle name="Normal 3 2 2 2 2 5 2 8 2" xfId="19537"/>
    <cellStyle name="Normal 3 2 2 2 2 5 2 9" xfId="19538"/>
    <cellStyle name="Normal 3 2 2 2 2 5 2 9 2" xfId="19539"/>
    <cellStyle name="Normal 3 2 2 2 2 5 3" xfId="19540"/>
    <cellStyle name="Normal 3 2 2 2 2 5 3 10" xfId="19541"/>
    <cellStyle name="Normal 3 2 2 2 2 5 3 11" xfId="19542"/>
    <cellStyle name="Normal 3 2 2 2 2 5 3 2" xfId="19543"/>
    <cellStyle name="Normal 3 2 2 2 2 5 3 2 2" xfId="19544"/>
    <cellStyle name="Normal 3 2 2 2 2 5 3 2 2 2" xfId="19545"/>
    <cellStyle name="Normal 3 2 2 2 2 5 3 2 3" xfId="19546"/>
    <cellStyle name="Normal 3 2 2 2 2 5 3 2 3 2" xfId="19547"/>
    <cellStyle name="Normal 3 2 2 2 2 5 3 2 4" xfId="19548"/>
    <cellStyle name="Normal 3 2 2 2 2 5 3 2 4 2" xfId="19549"/>
    <cellStyle name="Normal 3 2 2 2 2 5 3 2 5" xfId="19550"/>
    <cellStyle name="Normal 3 2 2 2 2 5 3 2 6" xfId="19551"/>
    <cellStyle name="Normal 3 2 2 2 2 5 3 2 7" xfId="19552"/>
    <cellStyle name="Normal 3 2 2 2 2 5 3 3" xfId="19553"/>
    <cellStyle name="Normal 3 2 2 2 2 5 3 3 2" xfId="19554"/>
    <cellStyle name="Normal 3 2 2 2 2 5 3 3 2 2" xfId="19555"/>
    <cellStyle name="Normal 3 2 2 2 2 5 3 3 3" xfId="19556"/>
    <cellStyle name="Normal 3 2 2 2 2 5 3 3 3 2" xfId="19557"/>
    <cellStyle name="Normal 3 2 2 2 2 5 3 3 4" xfId="19558"/>
    <cellStyle name="Normal 3 2 2 2 2 5 3 3 4 2" xfId="19559"/>
    <cellStyle name="Normal 3 2 2 2 2 5 3 3 5" xfId="19560"/>
    <cellStyle name="Normal 3 2 2 2 2 5 3 3 6" xfId="19561"/>
    <cellStyle name="Normal 3 2 2 2 2 5 3 3 7" xfId="19562"/>
    <cellStyle name="Normal 3 2 2 2 2 5 3 4" xfId="19563"/>
    <cellStyle name="Normal 3 2 2 2 2 5 3 4 2" xfId="19564"/>
    <cellStyle name="Normal 3 2 2 2 2 5 3 4 2 2" xfId="19565"/>
    <cellStyle name="Normal 3 2 2 2 2 5 3 4 3" xfId="19566"/>
    <cellStyle name="Normal 3 2 2 2 2 5 3 4 3 2" xfId="19567"/>
    <cellStyle name="Normal 3 2 2 2 2 5 3 4 4" xfId="19568"/>
    <cellStyle name="Normal 3 2 2 2 2 5 3 4 4 2" xfId="19569"/>
    <cellStyle name="Normal 3 2 2 2 2 5 3 4 5" xfId="19570"/>
    <cellStyle name="Normal 3 2 2 2 2 5 3 4 6" xfId="19571"/>
    <cellStyle name="Normal 3 2 2 2 2 5 3 5" xfId="19572"/>
    <cellStyle name="Normal 3 2 2 2 2 5 3 5 2" xfId="19573"/>
    <cellStyle name="Normal 3 2 2 2 2 5 3 5 2 2" xfId="19574"/>
    <cellStyle name="Normal 3 2 2 2 2 5 3 5 3" xfId="19575"/>
    <cellStyle name="Normal 3 2 2 2 2 5 3 5 3 2" xfId="19576"/>
    <cellStyle name="Normal 3 2 2 2 2 5 3 5 4" xfId="19577"/>
    <cellStyle name="Normal 3 2 2 2 2 5 3 5 5" xfId="19578"/>
    <cellStyle name="Normal 3 2 2 2 2 5 3 6" xfId="19579"/>
    <cellStyle name="Normal 3 2 2 2 2 5 3 6 2" xfId="19580"/>
    <cellStyle name="Normal 3 2 2 2 2 5 3 7" xfId="19581"/>
    <cellStyle name="Normal 3 2 2 2 2 5 3 7 2" xfId="19582"/>
    <cellStyle name="Normal 3 2 2 2 2 5 3 8" xfId="19583"/>
    <cellStyle name="Normal 3 2 2 2 2 5 3 8 2" xfId="19584"/>
    <cellStyle name="Normal 3 2 2 2 2 5 3 9" xfId="19585"/>
    <cellStyle name="Normal 3 2 2 2 2 5 4" xfId="19586"/>
    <cellStyle name="Normal 3 2 2 2 2 5 4 10" xfId="19587"/>
    <cellStyle name="Normal 3 2 2 2 2 5 4 11" xfId="19588"/>
    <cellStyle name="Normal 3 2 2 2 2 5 4 2" xfId="19589"/>
    <cellStyle name="Normal 3 2 2 2 2 5 4 2 2" xfId="19590"/>
    <cellStyle name="Normal 3 2 2 2 2 5 4 2 2 2" xfId="19591"/>
    <cellStyle name="Normal 3 2 2 2 2 5 4 2 3" xfId="19592"/>
    <cellStyle name="Normal 3 2 2 2 2 5 4 2 3 2" xfId="19593"/>
    <cellStyle name="Normal 3 2 2 2 2 5 4 2 4" xfId="19594"/>
    <cellStyle name="Normal 3 2 2 2 2 5 4 2 4 2" xfId="19595"/>
    <cellStyle name="Normal 3 2 2 2 2 5 4 2 5" xfId="19596"/>
    <cellStyle name="Normal 3 2 2 2 2 5 4 2 6" xfId="19597"/>
    <cellStyle name="Normal 3 2 2 2 2 5 4 2 7" xfId="19598"/>
    <cellStyle name="Normal 3 2 2 2 2 5 4 3" xfId="19599"/>
    <cellStyle name="Normal 3 2 2 2 2 5 4 3 2" xfId="19600"/>
    <cellStyle name="Normal 3 2 2 2 2 5 4 3 2 2" xfId="19601"/>
    <cellStyle name="Normal 3 2 2 2 2 5 4 3 3" xfId="19602"/>
    <cellStyle name="Normal 3 2 2 2 2 5 4 3 3 2" xfId="19603"/>
    <cellStyle name="Normal 3 2 2 2 2 5 4 3 4" xfId="19604"/>
    <cellStyle name="Normal 3 2 2 2 2 5 4 3 4 2" xfId="19605"/>
    <cellStyle name="Normal 3 2 2 2 2 5 4 3 5" xfId="19606"/>
    <cellStyle name="Normal 3 2 2 2 2 5 4 3 6" xfId="19607"/>
    <cellStyle name="Normal 3 2 2 2 2 5 4 4" xfId="19608"/>
    <cellStyle name="Normal 3 2 2 2 2 5 4 4 2" xfId="19609"/>
    <cellStyle name="Normal 3 2 2 2 2 5 4 4 2 2" xfId="19610"/>
    <cellStyle name="Normal 3 2 2 2 2 5 4 4 3" xfId="19611"/>
    <cellStyle name="Normal 3 2 2 2 2 5 4 4 3 2" xfId="19612"/>
    <cellStyle name="Normal 3 2 2 2 2 5 4 4 4" xfId="19613"/>
    <cellStyle name="Normal 3 2 2 2 2 5 4 4 4 2" xfId="19614"/>
    <cellStyle name="Normal 3 2 2 2 2 5 4 4 5" xfId="19615"/>
    <cellStyle name="Normal 3 2 2 2 2 5 4 4 6" xfId="19616"/>
    <cellStyle name="Normal 3 2 2 2 2 5 4 5" xfId="19617"/>
    <cellStyle name="Normal 3 2 2 2 2 5 4 5 2" xfId="19618"/>
    <cellStyle name="Normal 3 2 2 2 2 5 4 5 2 2" xfId="19619"/>
    <cellStyle name="Normal 3 2 2 2 2 5 4 5 3" xfId="19620"/>
    <cellStyle name="Normal 3 2 2 2 2 5 4 5 3 2" xfId="19621"/>
    <cellStyle name="Normal 3 2 2 2 2 5 4 5 4" xfId="19622"/>
    <cellStyle name="Normal 3 2 2 2 2 5 4 5 5" xfId="19623"/>
    <cellStyle name="Normal 3 2 2 2 2 5 4 6" xfId="19624"/>
    <cellStyle name="Normal 3 2 2 2 2 5 4 6 2" xfId="19625"/>
    <cellStyle name="Normal 3 2 2 2 2 5 4 7" xfId="19626"/>
    <cellStyle name="Normal 3 2 2 2 2 5 4 7 2" xfId="19627"/>
    <cellStyle name="Normal 3 2 2 2 2 5 4 8" xfId="19628"/>
    <cellStyle name="Normal 3 2 2 2 2 5 4 8 2" xfId="19629"/>
    <cellStyle name="Normal 3 2 2 2 2 5 4 9" xfId="19630"/>
    <cellStyle name="Normal 3 2 2 2 2 5 5" xfId="19631"/>
    <cellStyle name="Normal 3 2 2 2 2 5 5 2" xfId="19632"/>
    <cellStyle name="Normal 3 2 2 2 2 5 5 2 2" xfId="19633"/>
    <cellStyle name="Normal 3 2 2 2 2 5 5 2 3" xfId="19634"/>
    <cellStyle name="Normal 3 2 2 2 2 5 5 3" xfId="19635"/>
    <cellStyle name="Normal 3 2 2 2 2 5 5 3 2" xfId="19636"/>
    <cellStyle name="Normal 3 2 2 2 2 5 5 4" xfId="19637"/>
    <cellStyle name="Normal 3 2 2 2 2 5 5 4 2" xfId="19638"/>
    <cellStyle name="Normal 3 2 2 2 2 5 5 5" xfId="19639"/>
    <cellStyle name="Normal 3 2 2 2 2 5 5 6" xfId="19640"/>
    <cellStyle name="Normal 3 2 2 2 2 5 5 7" xfId="19641"/>
    <cellStyle name="Normal 3 2 2 2 2 5 6" xfId="19642"/>
    <cellStyle name="Normal 3 2 2 2 2 5 6 2" xfId="19643"/>
    <cellStyle name="Normal 3 2 2 2 2 5 6 2 2" xfId="19644"/>
    <cellStyle name="Normal 3 2 2 2 2 5 6 3" xfId="19645"/>
    <cellStyle name="Normal 3 2 2 2 2 5 6 3 2" xfId="19646"/>
    <cellStyle name="Normal 3 2 2 2 2 5 6 4" xfId="19647"/>
    <cellStyle name="Normal 3 2 2 2 2 5 6 4 2" xfId="19648"/>
    <cellStyle name="Normal 3 2 2 2 2 5 6 5" xfId="19649"/>
    <cellStyle name="Normal 3 2 2 2 2 5 6 6" xfId="19650"/>
    <cellStyle name="Normal 3 2 2 2 2 5 6 7" xfId="19651"/>
    <cellStyle name="Normal 3 2 2 2 2 5 7" xfId="19652"/>
    <cellStyle name="Normal 3 2 2 2 2 5 7 2" xfId="19653"/>
    <cellStyle name="Normal 3 2 2 2 2 5 7 2 2" xfId="19654"/>
    <cellStyle name="Normal 3 2 2 2 2 5 7 3" xfId="19655"/>
    <cellStyle name="Normal 3 2 2 2 2 5 7 3 2" xfId="19656"/>
    <cellStyle name="Normal 3 2 2 2 2 5 7 4" xfId="19657"/>
    <cellStyle name="Normal 3 2 2 2 2 5 7 4 2" xfId="19658"/>
    <cellStyle name="Normal 3 2 2 2 2 5 7 5" xfId="19659"/>
    <cellStyle name="Normal 3 2 2 2 2 5 7 6" xfId="19660"/>
    <cellStyle name="Normal 3 2 2 2 2 5 8" xfId="19661"/>
    <cellStyle name="Normal 3 2 2 2 2 5 8 2" xfId="19662"/>
    <cellStyle name="Normal 3 2 2 2 2 5 8 2 2" xfId="19663"/>
    <cellStyle name="Normal 3 2 2 2 2 5 8 3" xfId="19664"/>
    <cellStyle name="Normal 3 2 2 2 2 5 8 3 2" xfId="19665"/>
    <cellStyle name="Normal 3 2 2 2 2 5 8 4" xfId="19666"/>
    <cellStyle name="Normal 3 2 2 2 2 5 8 5" xfId="19667"/>
    <cellStyle name="Normal 3 2 2 2 2 5 9" xfId="19668"/>
    <cellStyle name="Normal 3 2 2 2 2 5 9 2" xfId="19669"/>
    <cellStyle name="Normal 3 2 2 2 2 6" xfId="19670"/>
    <cellStyle name="Normal 3 2 2 2 2 6 10" xfId="19671"/>
    <cellStyle name="Normal 3 2 2 2 2 6 10 2" xfId="19672"/>
    <cellStyle name="Normal 3 2 2 2 2 6 11" xfId="19673"/>
    <cellStyle name="Normal 3 2 2 2 2 6 11 2" xfId="19674"/>
    <cellStyle name="Normal 3 2 2 2 2 6 12" xfId="19675"/>
    <cellStyle name="Normal 3 2 2 2 2 6 13" xfId="19676"/>
    <cellStyle name="Normal 3 2 2 2 2 6 14" xfId="19677"/>
    <cellStyle name="Normal 3 2 2 2 2 6 2" xfId="19678"/>
    <cellStyle name="Normal 3 2 2 2 2 6 2 10" xfId="19679"/>
    <cellStyle name="Normal 3 2 2 2 2 6 2 11" xfId="19680"/>
    <cellStyle name="Normal 3 2 2 2 2 6 2 12" xfId="19681"/>
    <cellStyle name="Normal 3 2 2 2 2 6 2 2" xfId="19682"/>
    <cellStyle name="Normal 3 2 2 2 2 6 2 2 2" xfId="19683"/>
    <cellStyle name="Normal 3 2 2 2 2 6 2 2 2 2" xfId="19684"/>
    <cellStyle name="Normal 3 2 2 2 2 6 2 2 3" xfId="19685"/>
    <cellStyle name="Normal 3 2 2 2 2 6 2 2 3 2" xfId="19686"/>
    <cellStyle name="Normal 3 2 2 2 2 6 2 2 4" xfId="19687"/>
    <cellStyle name="Normal 3 2 2 2 2 6 2 2 4 2" xfId="19688"/>
    <cellStyle name="Normal 3 2 2 2 2 6 2 2 5" xfId="19689"/>
    <cellStyle name="Normal 3 2 2 2 2 6 2 2 6" xfId="19690"/>
    <cellStyle name="Normal 3 2 2 2 2 6 2 2 7" xfId="19691"/>
    <cellStyle name="Normal 3 2 2 2 2 6 2 3" xfId="19692"/>
    <cellStyle name="Normal 3 2 2 2 2 6 2 3 2" xfId="19693"/>
    <cellStyle name="Normal 3 2 2 2 2 6 2 3 2 2" xfId="19694"/>
    <cellStyle name="Normal 3 2 2 2 2 6 2 3 3" xfId="19695"/>
    <cellStyle name="Normal 3 2 2 2 2 6 2 3 3 2" xfId="19696"/>
    <cellStyle name="Normal 3 2 2 2 2 6 2 3 4" xfId="19697"/>
    <cellStyle name="Normal 3 2 2 2 2 6 2 3 4 2" xfId="19698"/>
    <cellStyle name="Normal 3 2 2 2 2 6 2 3 5" xfId="19699"/>
    <cellStyle name="Normal 3 2 2 2 2 6 2 3 6" xfId="19700"/>
    <cellStyle name="Normal 3 2 2 2 2 6 2 4" xfId="19701"/>
    <cellStyle name="Normal 3 2 2 2 2 6 2 4 2" xfId="19702"/>
    <cellStyle name="Normal 3 2 2 2 2 6 2 4 2 2" xfId="19703"/>
    <cellStyle name="Normal 3 2 2 2 2 6 2 4 3" xfId="19704"/>
    <cellStyle name="Normal 3 2 2 2 2 6 2 4 3 2" xfId="19705"/>
    <cellStyle name="Normal 3 2 2 2 2 6 2 4 4" xfId="19706"/>
    <cellStyle name="Normal 3 2 2 2 2 6 2 4 4 2" xfId="19707"/>
    <cellStyle name="Normal 3 2 2 2 2 6 2 4 5" xfId="19708"/>
    <cellStyle name="Normal 3 2 2 2 2 6 2 4 6" xfId="19709"/>
    <cellStyle name="Normal 3 2 2 2 2 6 2 5" xfId="19710"/>
    <cellStyle name="Normal 3 2 2 2 2 6 2 5 2" xfId="19711"/>
    <cellStyle name="Normal 3 2 2 2 2 6 2 5 2 2" xfId="19712"/>
    <cellStyle name="Normal 3 2 2 2 2 6 2 5 3" xfId="19713"/>
    <cellStyle name="Normal 3 2 2 2 2 6 2 5 3 2" xfId="19714"/>
    <cellStyle name="Normal 3 2 2 2 2 6 2 5 4" xfId="19715"/>
    <cellStyle name="Normal 3 2 2 2 2 6 2 5 4 2" xfId="19716"/>
    <cellStyle name="Normal 3 2 2 2 2 6 2 5 5" xfId="19717"/>
    <cellStyle name="Normal 3 2 2 2 2 6 2 5 6" xfId="19718"/>
    <cellStyle name="Normal 3 2 2 2 2 6 2 6" xfId="19719"/>
    <cellStyle name="Normal 3 2 2 2 2 6 2 6 2" xfId="19720"/>
    <cellStyle name="Normal 3 2 2 2 2 6 2 6 2 2" xfId="19721"/>
    <cellStyle name="Normal 3 2 2 2 2 6 2 6 3" xfId="19722"/>
    <cellStyle name="Normal 3 2 2 2 2 6 2 6 3 2" xfId="19723"/>
    <cellStyle name="Normal 3 2 2 2 2 6 2 6 4" xfId="19724"/>
    <cellStyle name="Normal 3 2 2 2 2 6 2 6 5" xfId="19725"/>
    <cellStyle name="Normal 3 2 2 2 2 6 2 7" xfId="19726"/>
    <cellStyle name="Normal 3 2 2 2 2 6 2 7 2" xfId="19727"/>
    <cellStyle name="Normal 3 2 2 2 2 6 2 8" xfId="19728"/>
    <cellStyle name="Normal 3 2 2 2 2 6 2 8 2" xfId="19729"/>
    <cellStyle name="Normal 3 2 2 2 2 6 2 9" xfId="19730"/>
    <cellStyle name="Normal 3 2 2 2 2 6 2 9 2" xfId="19731"/>
    <cellStyle name="Normal 3 2 2 2 2 6 3" xfId="19732"/>
    <cellStyle name="Normal 3 2 2 2 2 6 3 10" xfId="19733"/>
    <cellStyle name="Normal 3 2 2 2 2 6 3 11" xfId="19734"/>
    <cellStyle name="Normal 3 2 2 2 2 6 3 2" xfId="19735"/>
    <cellStyle name="Normal 3 2 2 2 2 6 3 2 2" xfId="19736"/>
    <cellStyle name="Normal 3 2 2 2 2 6 3 2 2 2" xfId="19737"/>
    <cellStyle name="Normal 3 2 2 2 2 6 3 2 3" xfId="19738"/>
    <cellStyle name="Normal 3 2 2 2 2 6 3 2 3 2" xfId="19739"/>
    <cellStyle name="Normal 3 2 2 2 2 6 3 2 4" xfId="19740"/>
    <cellStyle name="Normal 3 2 2 2 2 6 3 2 4 2" xfId="19741"/>
    <cellStyle name="Normal 3 2 2 2 2 6 3 2 5" xfId="19742"/>
    <cellStyle name="Normal 3 2 2 2 2 6 3 2 6" xfId="19743"/>
    <cellStyle name="Normal 3 2 2 2 2 6 3 2 7" xfId="19744"/>
    <cellStyle name="Normal 3 2 2 2 2 6 3 3" xfId="19745"/>
    <cellStyle name="Normal 3 2 2 2 2 6 3 3 2" xfId="19746"/>
    <cellStyle name="Normal 3 2 2 2 2 6 3 3 2 2" xfId="19747"/>
    <cellStyle name="Normal 3 2 2 2 2 6 3 3 3" xfId="19748"/>
    <cellStyle name="Normal 3 2 2 2 2 6 3 3 3 2" xfId="19749"/>
    <cellStyle name="Normal 3 2 2 2 2 6 3 3 4" xfId="19750"/>
    <cellStyle name="Normal 3 2 2 2 2 6 3 3 4 2" xfId="19751"/>
    <cellStyle name="Normal 3 2 2 2 2 6 3 3 5" xfId="19752"/>
    <cellStyle name="Normal 3 2 2 2 2 6 3 3 6" xfId="19753"/>
    <cellStyle name="Normal 3 2 2 2 2 6 3 4" xfId="19754"/>
    <cellStyle name="Normal 3 2 2 2 2 6 3 4 2" xfId="19755"/>
    <cellStyle name="Normal 3 2 2 2 2 6 3 4 2 2" xfId="19756"/>
    <cellStyle name="Normal 3 2 2 2 2 6 3 4 3" xfId="19757"/>
    <cellStyle name="Normal 3 2 2 2 2 6 3 4 3 2" xfId="19758"/>
    <cellStyle name="Normal 3 2 2 2 2 6 3 4 4" xfId="19759"/>
    <cellStyle name="Normal 3 2 2 2 2 6 3 4 4 2" xfId="19760"/>
    <cellStyle name="Normal 3 2 2 2 2 6 3 4 5" xfId="19761"/>
    <cellStyle name="Normal 3 2 2 2 2 6 3 4 6" xfId="19762"/>
    <cellStyle name="Normal 3 2 2 2 2 6 3 5" xfId="19763"/>
    <cellStyle name="Normal 3 2 2 2 2 6 3 5 2" xfId="19764"/>
    <cellStyle name="Normal 3 2 2 2 2 6 3 5 2 2" xfId="19765"/>
    <cellStyle name="Normal 3 2 2 2 2 6 3 5 3" xfId="19766"/>
    <cellStyle name="Normal 3 2 2 2 2 6 3 5 3 2" xfId="19767"/>
    <cellStyle name="Normal 3 2 2 2 2 6 3 5 4" xfId="19768"/>
    <cellStyle name="Normal 3 2 2 2 2 6 3 5 5" xfId="19769"/>
    <cellStyle name="Normal 3 2 2 2 2 6 3 6" xfId="19770"/>
    <cellStyle name="Normal 3 2 2 2 2 6 3 6 2" xfId="19771"/>
    <cellStyle name="Normal 3 2 2 2 2 6 3 7" xfId="19772"/>
    <cellStyle name="Normal 3 2 2 2 2 6 3 7 2" xfId="19773"/>
    <cellStyle name="Normal 3 2 2 2 2 6 3 8" xfId="19774"/>
    <cellStyle name="Normal 3 2 2 2 2 6 3 8 2" xfId="19775"/>
    <cellStyle name="Normal 3 2 2 2 2 6 3 9" xfId="19776"/>
    <cellStyle name="Normal 3 2 2 2 2 6 4" xfId="19777"/>
    <cellStyle name="Normal 3 2 2 2 2 6 4 10" xfId="19778"/>
    <cellStyle name="Normal 3 2 2 2 2 6 4 11" xfId="19779"/>
    <cellStyle name="Normal 3 2 2 2 2 6 4 2" xfId="19780"/>
    <cellStyle name="Normal 3 2 2 2 2 6 4 2 2" xfId="19781"/>
    <cellStyle name="Normal 3 2 2 2 2 6 4 2 2 2" xfId="19782"/>
    <cellStyle name="Normal 3 2 2 2 2 6 4 2 3" xfId="19783"/>
    <cellStyle name="Normal 3 2 2 2 2 6 4 2 3 2" xfId="19784"/>
    <cellStyle name="Normal 3 2 2 2 2 6 4 2 4" xfId="19785"/>
    <cellStyle name="Normal 3 2 2 2 2 6 4 2 4 2" xfId="19786"/>
    <cellStyle name="Normal 3 2 2 2 2 6 4 2 5" xfId="19787"/>
    <cellStyle name="Normal 3 2 2 2 2 6 4 2 6" xfId="19788"/>
    <cellStyle name="Normal 3 2 2 2 2 6 4 3" xfId="19789"/>
    <cellStyle name="Normal 3 2 2 2 2 6 4 3 2" xfId="19790"/>
    <cellStyle name="Normal 3 2 2 2 2 6 4 3 2 2" xfId="19791"/>
    <cellStyle name="Normal 3 2 2 2 2 6 4 3 3" xfId="19792"/>
    <cellStyle name="Normal 3 2 2 2 2 6 4 3 3 2" xfId="19793"/>
    <cellStyle name="Normal 3 2 2 2 2 6 4 3 4" xfId="19794"/>
    <cellStyle name="Normal 3 2 2 2 2 6 4 3 4 2" xfId="19795"/>
    <cellStyle name="Normal 3 2 2 2 2 6 4 3 5" xfId="19796"/>
    <cellStyle name="Normal 3 2 2 2 2 6 4 3 6" xfId="19797"/>
    <cellStyle name="Normal 3 2 2 2 2 6 4 4" xfId="19798"/>
    <cellStyle name="Normal 3 2 2 2 2 6 4 4 2" xfId="19799"/>
    <cellStyle name="Normal 3 2 2 2 2 6 4 4 2 2" xfId="19800"/>
    <cellStyle name="Normal 3 2 2 2 2 6 4 4 3" xfId="19801"/>
    <cellStyle name="Normal 3 2 2 2 2 6 4 4 3 2" xfId="19802"/>
    <cellStyle name="Normal 3 2 2 2 2 6 4 4 4" xfId="19803"/>
    <cellStyle name="Normal 3 2 2 2 2 6 4 4 4 2" xfId="19804"/>
    <cellStyle name="Normal 3 2 2 2 2 6 4 4 5" xfId="19805"/>
    <cellStyle name="Normal 3 2 2 2 2 6 4 4 6" xfId="19806"/>
    <cellStyle name="Normal 3 2 2 2 2 6 4 5" xfId="19807"/>
    <cellStyle name="Normal 3 2 2 2 2 6 4 5 2" xfId="19808"/>
    <cellStyle name="Normal 3 2 2 2 2 6 4 5 2 2" xfId="19809"/>
    <cellStyle name="Normal 3 2 2 2 2 6 4 5 3" xfId="19810"/>
    <cellStyle name="Normal 3 2 2 2 2 6 4 5 3 2" xfId="19811"/>
    <cellStyle name="Normal 3 2 2 2 2 6 4 5 4" xfId="19812"/>
    <cellStyle name="Normal 3 2 2 2 2 6 4 5 5" xfId="19813"/>
    <cellStyle name="Normal 3 2 2 2 2 6 4 6" xfId="19814"/>
    <cellStyle name="Normal 3 2 2 2 2 6 4 6 2" xfId="19815"/>
    <cellStyle name="Normal 3 2 2 2 2 6 4 7" xfId="19816"/>
    <cellStyle name="Normal 3 2 2 2 2 6 4 7 2" xfId="19817"/>
    <cellStyle name="Normal 3 2 2 2 2 6 4 8" xfId="19818"/>
    <cellStyle name="Normal 3 2 2 2 2 6 4 8 2" xfId="19819"/>
    <cellStyle name="Normal 3 2 2 2 2 6 4 9" xfId="19820"/>
    <cellStyle name="Normal 3 2 2 2 2 6 5" xfId="19821"/>
    <cellStyle name="Normal 3 2 2 2 2 6 5 2" xfId="19822"/>
    <cellStyle name="Normal 3 2 2 2 2 6 5 2 2" xfId="19823"/>
    <cellStyle name="Normal 3 2 2 2 2 6 5 3" xfId="19824"/>
    <cellStyle name="Normal 3 2 2 2 2 6 5 3 2" xfId="19825"/>
    <cellStyle name="Normal 3 2 2 2 2 6 5 4" xfId="19826"/>
    <cellStyle name="Normal 3 2 2 2 2 6 5 4 2" xfId="19827"/>
    <cellStyle name="Normal 3 2 2 2 2 6 5 5" xfId="19828"/>
    <cellStyle name="Normal 3 2 2 2 2 6 5 6" xfId="19829"/>
    <cellStyle name="Normal 3 2 2 2 2 6 6" xfId="19830"/>
    <cellStyle name="Normal 3 2 2 2 2 6 6 2" xfId="19831"/>
    <cellStyle name="Normal 3 2 2 2 2 6 6 2 2" xfId="19832"/>
    <cellStyle name="Normal 3 2 2 2 2 6 6 3" xfId="19833"/>
    <cellStyle name="Normal 3 2 2 2 2 6 6 3 2" xfId="19834"/>
    <cellStyle name="Normal 3 2 2 2 2 6 6 4" xfId="19835"/>
    <cellStyle name="Normal 3 2 2 2 2 6 6 4 2" xfId="19836"/>
    <cellStyle name="Normal 3 2 2 2 2 6 6 5" xfId="19837"/>
    <cellStyle name="Normal 3 2 2 2 2 6 6 6" xfId="19838"/>
    <cellStyle name="Normal 3 2 2 2 2 6 7" xfId="19839"/>
    <cellStyle name="Normal 3 2 2 2 2 6 7 2" xfId="19840"/>
    <cellStyle name="Normal 3 2 2 2 2 6 7 2 2" xfId="19841"/>
    <cellStyle name="Normal 3 2 2 2 2 6 7 3" xfId="19842"/>
    <cellStyle name="Normal 3 2 2 2 2 6 7 3 2" xfId="19843"/>
    <cellStyle name="Normal 3 2 2 2 2 6 7 4" xfId="19844"/>
    <cellStyle name="Normal 3 2 2 2 2 6 7 4 2" xfId="19845"/>
    <cellStyle name="Normal 3 2 2 2 2 6 7 5" xfId="19846"/>
    <cellStyle name="Normal 3 2 2 2 2 6 7 6" xfId="19847"/>
    <cellStyle name="Normal 3 2 2 2 2 6 8" xfId="19848"/>
    <cellStyle name="Normal 3 2 2 2 2 6 8 2" xfId="19849"/>
    <cellStyle name="Normal 3 2 2 2 2 6 8 2 2" xfId="19850"/>
    <cellStyle name="Normal 3 2 2 2 2 6 8 3" xfId="19851"/>
    <cellStyle name="Normal 3 2 2 2 2 6 8 3 2" xfId="19852"/>
    <cellStyle name="Normal 3 2 2 2 2 6 8 4" xfId="19853"/>
    <cellStyle name="Normal 3 2 2 2 2 6 8 5" xfId="19854"/>
    <cellStyle name="Normal 3 2 2 2 2 6 9" xfId="19855"/>
    <cellStyle name="Normal 3 2 2 2 2 6 9 2" xfId="19856"/>
    <cellStyle name="Normal 3 2 2 2 2 7" xfId="19857"/>
    <cellStyle name="Normal 3 2 2 2 2 7 10" xfId="19858"/>
    <cellStyle name="Normal 3 2 2 2 2 7 10 2" xfId="19859"/>
    <cellStyle name="Normal 3 2 2 2 2 7 11" xfId="19860"/>
    <cellStyle name="Normal 3 2 2 2 2 7 12" xfId="19861"/>
    <cellStyle name="Normal 3 2 2 2 2 7 13" xfId="19862"/>
    <cellStyle name="Normal 3 2 2 2 2 7 2" xfId="19863"/>
    <cellStyle name="Normal 3 2 2 2 2 7 2 10" xfId="19864"/>
    <cellStyle name="Normal 3 2 2 2 2 7 2 11" xfId="19865"/>
    <cellStyle name="Normal 3 2 2 2 2 7 2 2" xfId="19866"/>
    <cellStyle name="Normal 3 2 2 2 2 7 2 2 2" xfId="19867"/>
    <cellStyle name="Normal 3 2 2 2 2 7 2 2 2 2" xfId="19868"/>
    <cellStyle name="Normal 3 2 2 2 2 7 2 2 3" xfId="19869"/>
    <cellStyle name="Normal 3 2 2 2 2 7 2 2 3 2" xfId="19870"/>
    <cellStyle name="Normal 3 2 2 2 2 7 2 2 4" xfId="19871"/>
    <cellStyle name="Normal 3 2 2 2 2 7 2 2 4 2" xfId="19872"/>
    <cellStyle name="Normal 3 2 2 2 2 7 2 2 5" xfId="19873"/>
    <cellStyle name="Normal 3 2 2 2 2 7 2 2 6" xfId="19874"/>
    <cellStyle name="Normal 3 2 2 2 2 7 2 2 7" xfId="19875"/>
    <cellStyle name="Normal 3 2 2 2 2 7 2 3" xfId="19876"/>
    <cellStyle name="Normal 3 2 2 2 2 7 2 3 2" xfId="19877"/>
    <cellStyle name="Normal 3 2 2 2 2 7 2 3 2 2" xfId="19878"/>
    <cellStyle name="Normal 3 2 2 2 2 7 2 3 3" xfId="19879"/>
    <cellStyle name="Normal 3 2 2 2 2 7 2 3 3 2" xfId="19880"/>
    <cellStyle name="Normal 3 2 2 2 2 7 2 3 4" xfId="19881"/>
    <cellStyle name="Normal 3 2 2 2 2 7 2 3 4 2" xfId="19882"/>
    <cellStyle name="Normal 3 2 2 2 2 7 2 3 5" xfId="19883"/>
    <cellStyle name="Normal 3 2 2 2 2 7 2 3 6" xfId="19884"/>
    <cellStyle name="Normal 3 2 2 2 2 7 2 4" xfId="19885"/>
    <cellStyle name="Normal 3 2 2 2 2 7 2 4 2" xfId="19886"/>
    <cellStyle name="Normal 3 2 2 2 2 7 2 4 2 2" xfId="19887"/>
    <cellStyle name="Normal 3 2 2 2 2 7 2 4 3" xfId="19888"/>
    <cellStyle name="Normal 3 2 2 2 2 7 2 4 3 2" xfId="19889"/>
    <cellStyle name="Normal 3 2 2 2 2 7 2 4 4" xfId="19890"/>
    <cellStyle name="Normal 3 2 2 2 2 7 2 4 4 2" xfId="19891"/>
    <cellStyle name="Normal 3 2 2 2 2 7 2 4 5" xfId="19892"/>
    <cellStyle name="Normal 3 2 2 2 2 7 2 4 6" xfId="19893"/>
    <cellStyle name="Normal 3 2 2 2 2 7 2 5" xfId="19894"/>
    <cellStyle name="Normal 3 2 2 2 2 7 2 5 2" xfId="19895"/>
    <cellStyle name="Normal 3 2 2 2 2 7 2 5 2 2" xfId="19896"/>
    <cellStyle name="Normal 3 2 2 2 2 7 2 5 3" xfId="19897"/>
    <cellStyle name="Normal 3 2 2 2 2 7 2 5 3 2" xfId="19898"/>
    <cellStyle name="Normal 3 2 2 2 2 7 2 5 4" xfId="19899"/>
    <cellStyle name="Normal 3 2 2 2 2 7 2 5 5" xfId="19900"/>
    <cellStyle name="Normal 3 2 2 2 2 7 2 6" xfId="19901"/>
    <cellStyle name="Normal 3 2 2 2 2 7 2 6 2" xfId="19902"/>
    <cellStyle name="Normal 3 2 2 2 2 7 2 7" xfId="19903"/>
    <cellStyle name="Normal 3 2 2 2 2 7 2 7 2" xfId="19904"/>
    <cellStyle name="Normal 3 2 2 2 2 7 2 8" xfId="19905"/>
    <cellStyle name="Normal 3 2 2 2 2 7 2 8 2" xfId="19906"/>
    <cellStyle name="Normal 3 2 2 2 2 7 2 9" xfId="19907"/>
    <cellStyle name="Normal 3 2 2 2 2 7 3" xfId="19908"/>
    <cellStyle name="Normal 3 2 2 2 2 7 3 10" xfId="19909"/>
    <cellStyle name="Normal 3 2 2 2 2 7 3 11" xfId="19910"/>
    <cellStyle name="Normal 3 2 2 2 2 7 3 2" xfId="19911"/>
    <cellStyle name="Normal 3 2 2 2 2 7 3 2 2" xfId="19912"/>
    <cellStyle name="Normal 3 2 2 2 2 7 3 2 2 2" xfId="19913"/>
    <cellStyle name="Normal 3 2 2 2 2 7 3 2 3" xfId="19914"/>
    <cellStyle name="Normal 3 2 2 2 2 7 3 2 3 2" xfId="19915"/>
    <cellStyle name="Normal 3 2 2 2 2 7 3 2 4" xfId="19916"/>
    <cellStyle name="Normal 3 2 2 2 2 7 3 2 4 2" xfId="19917"/>
    <cellStyle name="Normal 3 2 2 2 2 7 3 2 5" xfId="19918"/>
    <cellStyle name="Normal 3 2 2 2 2 7 3 2 6" xfId="19919"/>
    <cellStyle name="Normal 3 2 2 2 2 7 3 2 7" xfId="19920"/>
    <cellStyle name="Normal 3 2 2 2 2 7 3 3" xfId="19921"/>
    <cellStyle name="Normal 3 2 2 2 2 7 3 3 2" xfId="19922"/>
    <cellStyle name="Normal 3 2 2 2 2 7 3 3 2 2" xfId="19923"/>
    <cellStyle name="Normal 3 2 2 2 2 7 3 3 3" xfId="19924"/>
    <cellStyle name="Normal 3 2 2 2 2 7 3 3 3 2" xfId="19925"/>
    <cellStyle name="Normal 3 2 2 2 2 7 3 3 4" xfId="19926"/>
    <cellStyle name="Normal 3 2 2 2 2 7 3 3 4 2" xfId="19927"/>
    <cellStyle name="Normal 3 2 2 2 2 7 3 3 5" xfId="19928"/>
    <cellStyle name="Normal 3 2 2 2 2 7 3 3 6" xfId="19929"/>
    <cellStyle name="Normal 3 2 2 2 2 7 3 4" xfId="19930"/>
    <cellStyle name="Normal 3 2 2 2 2 7 3 4 2" xfId="19931"/>
    <cellStyle name="Normal 3 2 2 2 2 7 3 4 2 2" xfId="19932"/>
    <cellStyle name="Normal 3 2 2 2 2 7 3 4 3" xfId="19933"/>
    <cellStyle name="Normal 3 2 2 2 2 7 3 4 3 2" xfId="19934"/>
    <cellStyle name="Normal 3 2 2 2 2 7 3 4 4" xfId="19935"/>
    <cellStyle name="Normal 3 2 2 2 2 7 3 4 4 2" xfId="19936"/>
    <cellStyle name="Normal 3 2 2 2 2 7 3 4 5" xfId="19937"/>
    <cellStyle name="Normal 3 2 2 2 2 7 3 4 6" xfId="19938"/>
    <cellStyle name="Normal 3 2 2 2 2 7 3 5" xfId="19939"/>
    <cellStyle name="Normal 3 2 2 2 2 7 3 5 2" xfId="19940"/>
    <cellStyle name="Normal 3 2 2 2 2 7 3 5 2 2" xfId="19941"/>
    <cellStyle name="Normal 3 2 2 2 2 7 3 5 3" xfId="19942"/>
    <cellStyle name="Normal 3 2 2 2 2 7 3 5 3 2" xfId="19943"/>
    <cellStyle name="Normal 3 2 2 2 2 7 3 5 4" xfId="19944"/>
    <cellStyle name="Normal 3 2 2 2 2 7 3 5 5" xfId="19945"/>
    <cellStyle name="Normal 3 2 2 2 2 7 3 6" xfId="19946"/>
    <cellStyle name="Normal 3 2 2 2 2 7 3 6 2" xfId="19947"/>
    <cellStyle name="Normal 3 2 2 2 2 7 3 7" xfId="19948"/>
    <cellStyle name="Normal 3 2 2 2 2 7 3 7 2" xfId="19949"/>
    <cellStyle name="Normal 3 2 2 2 2 7 3 8" xfId="19950"/>
    <cellStyle name="Normal 3 2 2 2 2 7 3 8 2" xfId="19951"/>
    <cellStyle name="Normal 3 2 2 2 2 7 3 9" xfId="19952"/>
    <cellStyle name="Normal 3 2 2 2 2 7 4" xfId="19953"/>
    <cellStyle name="Normal 3 2 2 2 2 7 4 2" xfId="19954"/>
    <cellStyle name="Normal 3 2 2 2 2 7 4 2 2" xfId="19955"/>
    <cellStyle name="Normal 3 2 2 2 2 7 4 3" xfId="19956"/>
    <cellStyle name="Normal 3 2 2 2 2 7 4 3 2" xfId="19957"/>
    <cellStyle name="Normal 3 2 2 2 2 7 4 4" xfId="19958"/>
    <cellStyle name="Normal 3 2 2 2 2 7 4 4 2" xfId="19959"/>
    <cellStyle name="Normal 3 2 2 2 2 7 4 5" xfId="19960"/>
    <cellStyle name="Normal 3 2 2 2 2 7 4 6" xfId="19961"/>
    <cellStyle name="Normal 3 2 2 2 2 7 4 7" xfId="19962"/>
    <cellStyle name="Normal 3 2 2 2 2 7 5" xfId="19963"/>
    <cellStyle name="Normal 3 2 2 2 2 7 5 2" xfId="19964"/>
    <cellStyle name="Normal 3 2 2 2 2 7 5 2 2" xfId="19965"/>
    <cellStyle name="Normal 3 2 2 2 2 7 5 3" xfId="19966"/>
    <cellStyle name="Normal 3 2 2 2 2 7 5 3 2" xfId="19967"/>
    <cellStyle name="Normal 3 2 2 2 2 7 5 4" xfId="19968"/>
    <cellStyle name="Normal 3 2 2 2 2 7 5 4 2" xfId="19969"/>
    <cellStyle name="Normal 3 2 2 2 2 7 5 5" xfId="19970"/>
    <cellStyle name="Normal 3 2 2 2 2 7 5 6" xfId="19971"/>
    <cellStyle name="Normal 3 2 2 2 2 7 6" xfId="19972"/>
    <cellStyle name="Normal 3 2 2 2 2 7 6 2" xfId="19973"/>
    <cellStyle name="Normal 3 2 2 2 2 7 6 2 2" xfId="19974"/>
    <cellStyle name="Normal 3 2 2 2 2 7 6 3" xfId="19975"/>
    <cellStyle name="Normal 3 2 2 2 2 7 6 3 2" xfId="19976"/>
    <cellStyle name="Normal 3 2 2 2 2 7 6 4" xfId="19977"/>
    <cellStyle name="Normal 3 2 2 2 2 7 6 4 2" xfId="19978"/>
    <cellStyle name="Normal 3 2 2 2 2 7 6 5" xfId="19979"/>
    <cellStyle name="Normal 3 2 2 2 2 7 6 6" xfId="19980"/>
    <cellStyle name="Normal 3 2 2 2 2 7 7" xfId="19981"/>
    <cellStyle name="Normal 3 2 2 2 2 7 7 2" xfId="19982"/>
    <cellStyle name="Normal 3 2 2 2 2 7 7 2 2" xfId="19983"/>
    <cellStyle name="Normal 3 2 2 2 2 7 7 3" xfId="19984"/>
    <cellStyle name="Normal 3 2 2 2 2 7 7 3 2" xfId="19985"/>
    <cellStyle name="Normal 3 2 2 2 2 7 7 4" xfId="19986"/>
    <cellStyle name="Normal 3 2 2 2 2 7 7 5" xfId="19987"/>
    <cellStyle name="Normal 3 2 2 2 2 7 8" xfId="19988"/>
    <cellStyle name="Normal 3 2 2 2 2 7 8 2" xfId="19989"/>
    <cellStyle name="Normal 3 2 2 2 2 7 9" xfId="19990"/>
    <cellStyle name="Normal 3 2 2 2 2 7 9 2" xfId="19991"/>
    <cellStyle name="Normal 3 2 2 2 2 8" xfId="19992"/>
    <cellStyle name="Normal 3 2 2 2 2 8 10" xfId="19993"/>
    <cellStyle name="Normal 3 2 2 2 2 8 11" xfId="19994"/>
    <cellStyle name="Normal 3 2 2 2 2 8 12" xfId="19995"/>
    <cellStyle name="Normal 3 2 2 2 2 8 2" xfId="19996"/>
    <cellStyle name="Normal 3 2 2 2 2 8 2 2" xfId="19997"/>
    <cellStyle name="Normal 3 2 2 2 2 8 2 2 2" xfId="19998"/>
    <cellStyle name="Normal 3 2 2 2 2 8 2 3" xfId="19999"/>
    <cellStyle name="Normal 3 2 2 2 2 8 2 3 2" xfId="20000"/>
    <cellStyle name="Normal 3 2 2 2 2 8 2 4" xfId="20001"/>
    <cellStyle name="Normal 3 2 2 2 2 8 2 4 2" xfId="20002"/>
    <cellStyle name="Normal 3 2 2 2 2 8 2 5" xfId="20003"/>
    <cellStyle name="Normal 3 2 2 2 2 8 2 6" xfId="20004"/>
    <cellStyle name="Normal 3 2 2 2 2 8 2 7" xfId="20005"/>
    <cellStyle name="Normal 3 2 2 2 2 8 3" xfId="20006"/>
    <cellStyle name="Normal 3 2 2 2 2 8 3 2" xfId="20007"/>
    <cellStyle name="Normal 3 2 2 2 2 8 3 2 2" xfId="20008"/>
    <cellStyle name="Normal 3 2 2 2 2 8 3 3" xfId="20009"/>
    <cellStyle name="Normal 3 2 2 2 2 8 3 3 2" xfId="20010"/>
    <cellStyle name="Normal 3 2 2 2 2 8 3 4" xfId="20011"/>
    <cellStyle name="Normal 3 2 2 2 2 8 3 4 2" xfId="20012"/>
    <cellStyle name="Normal 3 2 2 2 2 8 3 5" xfId="20013"/>
    <cellStyle name="Normal 3 2 2 2 2 8 3 6" xfId="20014"/>
    <cellStyle name="Normal 3 2 2 2 2 8 3 7" xfId="20015"/>
    <cellStyle name="Normal 3 2 2 2 2 8 4" xfId="20016"/>
    <cellStyle name="Normal 3 2 2 2 2 8 4 2" xfId="20017"/>
    <cellStyle name="Normal 3 2 2 2 2 8 4 2 2" xfId="20018"/>
    <cellStyle name="Normal 3 2 2 2 2 8 4 3" xfId="20019"/>
    <cellStyle name="Normal 3 2 2 2 2 8 4 3 2" xfId="20020"/>
    <cellStyle name="Normal 3 2 2 2 2 8 4 4" xfId="20021"/>
    <cellStyle name="Normal 3 2 2 2 2 8 4 4 2" xfId="20022"/>
    <cellStyle name="Normal 3 2 2 2 2 8 4 5" xfId="20023"/>
    <cellStyle name="Normal 3 2 2 2 2 8 4 6" xfId="20024"/>
    <cellStyle name="Normal 3 2 2 2 2 8 5" xfId="20025"/>
    <cellStyle name="Normal 3 2 2 2 2 8 5 2" xfId="20026"/>
    <cellStyle name="Normal 3 2 2 2 2 8 5 2 2" xfId="20027"/>
    <cellStyle name="Normal 3 2 2 2 2 8 5 3" xfId="20028"/>
    <cellStyle name="Normal 3 2 2 2 2 8 5 3 2" xfId="20029"/>
    <cellStyle name="Normal 3 2 2 2 2 8 5 4" xfId="20030"/>
    <cellStyle name="Normal 3 2 2 2 2 8 5 4 2" xfId="20031"/>
    <cellStyle name="Normal 3 2 2 2 2 8 5 5" xfId="20032"/>
    <cellStyle name="Normal 3 2 2 2 2 8 5 6" xfId="20033"/>
    <cellStyle name="Normal 3 2 2 2 2 8 6" xfId="20034"/>
    <cellStyle name="Normal 3 2 2 2 2 8 6 2" xfId="20035"/>
    <cellStyle name="Normal 3 2 2 2 2 8 6 2 2" xfId="20036"/>
    <cellStyle name="Normal 3 2 2 2 2 8 6 3" xfId="20037"/>
    <cellStyle name="Normal 3 2 2 2 2 8 6 3 2" xfId="20038"/>
    <cellStyle name="Normal 3 2 2 2 2 8 6 4" xfId="20039"/>
    <cellStyle name="Normal 3 2 2 2 2 8 6 5" xfId="20040"/>
    <cellStyle name="Normal 3 2 2 2 2 8 7" xfId="20041"/>
    <cellStyle name="Normal 3 2 2 2 2 8 7 2" xfId="20042"/>
    <cellStyle name="Normal 3 2 2 2 2 8 8" xfId="20043"/>
    <cellStyle name="Normal 3 2 2 2 2 8 8 2" xfId="20044"/>
    <cellStyle name="Normal 3 2 2 2 2 8 9" xfId="20045"/>
    <cellStyle name="Normal 3 2 2 2 2 8 9 2" xfId="20046"/>
    <cellStyle name="Normal 3 2 2 2 2 9" xfId="20047"/>
    <cellStyle name="Normal 3 2 2 2 2 9 10" xfId="20048"/>
    <cellStyle name="Normal 3 2 2 2 2 9 11" xfId="20049"/>
    <cellStyle name="Normal 3 2 2 2 2 9 2" xfId="20050"/>
    <cellStyle name="Normal 3 2 2 2 2 9 2 2" xfId="20051"/>
    <cellStyle name="Normal 3 2 2 2 2 9 2 2 2" xfId="20052"/>
    <cellStyle name="Normal 3 2 2 2 2 9 2 3" xfId="20053"/>
    <cellStyle name="Normal 3 2 2 2 2 9 2 3 2" xfId="20054"/>
    <cellStyle name="Normal 3 2 2 2 2 9 2 4" xfId="20055"/>
    <cellStyle name="Normal 3 2 2 2 2 9 2 4 2" xfId="20056"/>
    <cellStyle name="Normal 3 2 2 2 2 9 2 5" xfId="20057"/>
    <cellStyle name="Normal 3 2 2 2 2 9 2 6" xfId="20058"/>
    <cellStyle name="Normal 3 2 2 2 2 9 2 7" xfId="20059"/>
    <cellStyle name="Normal 3 2 2 2 2 9 3" xfId="20060"/>
    <cellStyle name="Normal 3 2 2 2 2 9 3 2" xfId="20061"/>
    <cellStyle name="Normal 3 2 2 2 2 9 3 2 2" xfId="20062"/>
    <cellStyle name="Normal 3 2 2 2 2 9 3 3" xfId="20063"/>
    <cellStyle name="Normal 3 2 2 2 2 9 3 3 2" xfId="20064"/>
    <cellStyle name="Normal 3 2 2 2 2 9 3 4" xfId="20065"/>
    <cellStyle name="Normal 3 2 2 2 2 9 3 4 2" xfId="20066"/>
    <cellStyle name="Normal 3 2 2 2 2 9 3 5" xfId="20067"/>
    <cellStyle name="Normal 3 2 2 2 2 9 3 6" xfId="20068"/>
    <cellStyle name="Normal 3 2 2 2 2 9 4" xfId="20069"/>
    <cellStyle name="Normal 3 2 2 2 2 9 4 2" xfId="20070"/>
    <cellStyle name="Normal 3 2 2 2 2 9 4 2 2" xfId="20071"/>
    <cellStyle name="Normal 3 2 2 2 2 9 4 3" xfId="20072"/>
    <cellStyle name="Normal 3 2 2 2 2 9 4 3 2" xfId="20073"/>
    <cellStyle name="Normal 3 2 2 2 2 9 4 4" xfId="20074"/>
    <cellStyle name="Normal 3 2 2 2 2 9 4 4 2" xfId="20075"/>
    <cellStyle name="Normal 3 2 2 2 2 9 4 5" xfId="20076"/>
    <cellStyle name="Normal 3 2 2 2 2 9 4 6" xfId="20077"/>
    <cellStyle name="Normal 3 2 2 2 2 9 5" xfId="20078"/>
    <cellStyle name="Normal 3 2 2 2 2 9 5 2" xfId="20079"/>
    <cellStyle name="Normal 3 2 2 2 2 9 5 2 2" xfId="20080"/>
    <cellStyle name="Normal 3 2 2 2 2 9 5 3" xfId="20081"/>
    <cellStyle name="Normal 3 2 2 2 2 9 5 3 2" xfId="20082"/>
    <cellStyle name="Normal 3 2 2 2 2 9 5 4" xfId="20083"/>
    <cellStyle name="Normal 3 2 2 2 2 9 5 5" xfId="20084"/>
    <cellStyle name="Normal 3 2 2 2 2 9 6" xfId="20085"/>
    <cellStyle name="Normal 3 2 2 2 2 9 6 2" xfId="20086"/>
    <cellStyle name="Normal 3 2 2 2 2 9 7" xfId="20087"/>
    <cellStyle name="Normal 3 2 2 2 2 9 7 2" xfId="20088"/>
    <cellStyle name="Normal 3 2 2 2 2 9 8" xfId="20089"/>
    <cellStyle name="Normal 3 2 2 2 2 9 8 2" xfId="20090"/>
    <cellStyle name="Normal 3 2 2 2 2 9 9" xfId="20091"/>
    <cellStyle name="Normal 3 2 2 2 3" xfId="20092"/>
    <cellStyle name="Normal 3 2 2 2 3 10" xfId="20093"/>
    <cellStyle name="Normal 3 2 2 2 3 10 2" xfId="20094"/>
    <cellStyle name="Normal 3 2 2 2 3 10 3" xfId="20095"/>
    <cellStyle name="Normal 3 2 2 2 3 11" xfId="20096"/>
    <cellStyle name="Normal 3 2 2 2 3 11 2" xfId="20097"/>
    <cellStyle name="Normal 3 2 2 2 3 12" xfId="20098"/>
    <cellStyle name="Normal 3 2 2 2 3 13" xfId="20099"/>
    <cellStyle name="Normal 3 2 2 2 3 14" xfId="20100"/>
    <cellStyle name="Normal 3 2 2 2 3 2" xfId="20101"/>
    <cellStyle name="Normal 3 2 2 2 3 2 10" xfId="20102"/>
    <cellStyle name="Normal 3 2 2 2 3 2 11" xfId="20103"/>
    <cellStyle name="Normal 3 2 2 2 3 2 12" xfId="20104"/>
    <cellStyle name="Normal 3 2 2 2 3 2 2" xfId="20105"/>
    <cellStyle name="Normal 3 2 2 2 3 2 2 2" xfId="20106"/>
    <cellStyle name="Normal 3 2 2 2 3 2 2 2 2" xfId="20107"/>
    <cellStyle name="Normal 3 2 2 2 3 2 2 2 2 2" xfId="20108"/>
    <cellStyle name="Normal 3 2 2 2 3 2 2 2 3" xfId="20109"/>
    <cellStyle name="Normal 3 2 2 2 3 2 2 2 4" xfId="20110"/>
    <cellStyle name="Normal 3 2 2 2 3 2 2 3" xfId="20111"/>
    <cellStyle name="Normal 3 2 2 2 3 2 2 3 2" xfId="20112"/>
    <cellStyle name="Normal 3 2 2 2 3 2 2 3 2 2" xfId="20113"/>
    <cellStyle name="Normal 3 2 2 2 3 2 2 3 3" xfId="20114"/>
    <cellStyle name="Normal 3 2 2 2 3 2 2 4" xfId="20115"/>
    <cellStyle name="Normal 3 2 2 2 3 2 2 4 2" xfId="20116"/>
    <cellStyle name="Normal 3 2 2 2 3 2 2 4 2 2" xfId="20117"/>
    <cellStyle name="Normal 3 2 2 2 3 2 2 4 3" xfId="20118"/>
    <cellStyle name="Normal 3 2 2 2 3 2 2 5" xfId="20119"/>
    <cellStyle name="Normal 3 2 2 2 3 2 2 5 2" xfId="20120"/>
    <cellStyle name="Normal 3 2 2 2 3 2 2 6" xfId="20121"/>
    <cellStyle name="Normal 3 2 2 2 3 2 2 7" xfId="20122"/>
    <cellStyle name="Normal 3 2 2 2 3 2 3" xfId="20123"/>
    <cellStyle name="Normal 3 2 2 2 3 2 3 2" xfId="20124"/>
    <cellStyle name="Normal 3 2 2 2 3 2 3 2 2" xfId="20125"/>
    <cellStyle name="Normal 3 2 2 2 3 2 3 2 2 2" xfId="20126"/>
    <cellStyle name="Normal 3 2 2 2 3 2 3 2 3" xfId="20127"/>
    <cellStyle name="Normal 3 2 2 2 3 2 3 3" xfId="20128"/>
    <cellStyle name="Normal 3 2 2 2 3 2 3 3 2" xfId="20129"/>
    <cellStyle name="Normal 3 2 2 2 3 2 3 3 2 2" xfId="20130"/>
    <cellStyle name="Normal 3 2 2 2 3 2 3 3 3" xfId="20131"/>
    <cellStyle name="Normal 3 2 2 2 3 2 3 4" xfId="20132"/>
    <cellStyle name="Normal 3 2 2 2 3 2 3 4 2" xfId="20133"/>
    <cellStyle name="Normal 3 2 2 2 3 2 3 4 3" xfId="20134"/>
    <cellStyle name="Normal 3 2 2 2 3 2 3 5" xfId="20135"/>
    <cellStyle name="Normal 3 2 2 2 3 2 3 6" xfId="20136"/>
    <cellStyle name="Normal 3 2 2 2 3 2 3 7" xfId="20137"/>
    <cellStyle name="Normal 3 2 2 2 3 2 4" xfId="20138"/>
    <cellStyle name="Normal 3 2 2 2 3 2 4 2" xfId="20139"/>
    <cellStyle name="Normal 3 2 2 2 3 2 4 2 2" xfId="20140"/>
    <cellStyle name="Normal 3 2 2 2 3 2 4 2 3" xfId="20141"/>
    <cellStyle name="Normal 3 2 2 2 3 2 4 3" xfId="20142"/>
    <cellStyle name="Normal 3 2 2 2 3 2 4 3 2" xfId="20143"/>
    <cellStyle name="Normal 3 2 2 2 3 2 4 3 3" xfId="20144"/>
    <cellStyle name="Normal 3 2 2 2 3 2 4 4" xfId="20145"/>
    <cellStyle name="Normal 3 2 2 2 3 2 4 4 2" xfId="20146"/>
    <cellStyle name="Normal 3 2 2 2 3 2 4 5" xfId="20147"/>
    <cellStyle name="Normal 3 2 2 2 3 2 4 6" xfId="20148"/>
    <cellStyle name="Normal 3 2 2 2 3 2 4 7" xfId="20149"/>
    <cellStyle name="Normal 3 2 2 2 3 2 5" xfId="20150"/>
    <cellStyle name="Normal 3 2 2 2 3 2 5 2" xfId="20151"/>
    <cellStyle name="Normal 3 2 2 2 3 2 5 2 2" xfId="20152"/>
    <cellStyle name="Normal 3 2 2 2 3 2 5 2 3" xfId="20153"/>
    <cellStyle name="Normal 3 2 2 2 3 2 5 3" xfId="20154"/>
    <cellStyle name="Normal 3 2 2 2 3 2 5 3 2" xfId="20155"/>
    <cellStyle name="Normal 3 2 2 2 3 2 5 4" xfId="20156"/>
    <cellStyle name="Normal 3 2 2 2 3 2 5 4 2" xfId="20157"/>
    <cellStyle name="Normal 3 2 2 2 3 2 5 5" xfId="20158"/>
    <cellStyle name="Normal 3 2 2 2 3 2 5 6" xfId="20159"/>
    <cellStyle name="Normal 3 2 2 2 3 2 5 7" xfId="20160"/>
    <cellStyle name="Normal 3 2 2 2 3 2 6" xfId="20161"/>
    <cellStyle name="Normal 3 2 2 2 3 2 6 2" xfId="20162"/>
    <cellStyle name="Normal 3 2 2 2 3 2 6 2 2" xfId="20163"/>
    <cellStyle name="Normal 3 2 2 2 3 2 6 2 3" xfId="20164"/>
    <cellStyle name="Normal 3 2 2 2 3 2 6 3" xfId="20165"/>
    <cellStyle name="Normal 3 2 2 2 3 2 6 3 2" xfId="20166"/>
    <cellStyle name="Normal 3 2 2 2 3 2 6 4" xfId="20167"/>
    <cellStyle name="Normal 3 2 2 2 3 2 6 5" xfId="20168"/>
    <cellStyle name="Normal 3 2 2 2 3 2 6 6" xfId="20169"/>
    <cellStyle name="Normal 3 2 2 2 3 2 7" xfId="20170"/>
    <cellStyle name="Normal 3 2 2 2 3 2 7 2" xfId="20171"/>
    <cellStyle name="Normal 3 2 2 2 3 2 7 3" xfId="20172"/>
    <cellStyle name="Normal 3 2 2 2 3 2 8" xfId="20173"/>
    <cellStyle name="Normal 3 2 2 2 3 2 8 2" xfId="20174"/>
    <cellStyle name="Normal 3 2 2 2 3 2 9" xfId="20175"/>
    <cellStyle name="Normal 3 2 2 2 3 2 9 2" xfId="20176"/>
    <cellStyle name="Normal 3 2 2 2 3 3" xfId="20177"/>
    <cellStyle name="Normal 3 2 2 2 3 3 10" xfId="20178"/>
    <cellStyle name="Normal 3 2 2 2 3 3 11" xfId="20179"/>
    <cellStyle name="Normal 3 2 2 2 3 3 2" xfId="20180"/>
    <cellStyle name="Normal 3 2 2 2 3 3 2 2" xfId="20181"/>
    <cellStyle name="Normal 3 2 2 2 3 3 2 2 2" xfId="20182"/>
    <cellStyle name="Normal 3 2 2 2 3 3 2 2 2 2" xfId="20183"/>
    <cellStyle name="Normal 3 2 2 2 3 3 2 2 3" xfId="20184"/>
    <cellStyle name="Normal 3 2 2 2 3 3 2 2 4" xfId="20185"/>
    <cellStyle name="Normal 3 2 2 2 3 3 2 3" xfId="20186"/>
    <cellStyle name="Normal 3 2 2 2 3 3 2 3 2" xfId="20187"/>
    <cellStyle name="Normal 3 2 2 2 3 3 2 3 2 2" xfId="20188"/>
    <cellStyle name="Normal 3 2 2 2 3 3 2 3 3" xfId="20189"/>
    <cellStyle name="Normal 3 2 2 2 3 3 2 4" xfId="20190"/>
    <cellStyle name="Normal 3 2 2 2 3 3 2 4 2" xfId="20191"/>
    <cellStyle name="Normal 3 2 2 2 3 3 2 4 2 2" xfId="20192"/>
    <cellStyle name="Normal 3 2 2 2 3 3 2 4 3" xfId="20193"/>
    <cellStyle name="Normal 3 2 2 2 3 3 2 5" xfId="20194"/>
    <cellStyle name="Normal 3 2 2 2 3 3 2 5 2" xfId="20195"/>
    <cellStyle name="Normal 3 2 2 2 3 3 2 6" xfId="20196"/>
    <cellStyle name="Normal 3 2 2 2 3 3 2 7" xfId="20197"/>
    <cellStyle name="Normal 3 2 2 2 3 3 3" xfId="20198"/>
    <cellStyle name="Normal 3 2 2 2 3 3 3 2" xfId="20199"/>
    <cellStyle name="Normal 3 2 2 2 3 3 3 2 2" xfId="20200"/>
    <cellStyle name="Normal 3 2 2 2 3 3 3 2 2 2" xfId="20201"/>
    <cellStyle name="Normal 3 2 2 2 3 3 3 2 3" xfId="20202"/>
    <cellStyle name="Normal 3 2 2 2 3 3 3 3" xfId="20203"/>
    <cellStyle name="Normal 3 2 2 2 3 3 3 3 2" xfId="20204"/>
    <cellStyle name="Normal 3 2 2 2 3 3 3 3 2 2" xfId="20205"/>
    <cellStyle name="Normal 3 2 2 2 3 3 3 3 3" xfId="20206"/>
    <cellStyle name="Normal 3 2 2 2 3 3 3 4" xfId="20207"/>
    <cellStyle name="Normal 3 2 2 2 3 3 3 4 2" xfId="20208"/>
    <cellStyle name="Normal 3 2 2 2 3 3 3 4 3" xfId="20209"/>
    <cellStyle name="Normal 3 2 2 2 3 3 3 5" xfId="20210"/>
    <cellStyle name="Normal 3 2 2 2 3 3 3 6" xfId="20211"/>
    <cellStyle name="Normal 3 2 2 2 3 3 3 7" xfId="20212"/>
    <cellStyle name="Normal 3 2 2 2 3 3 4" xfId="20213"/>
    <cellStyle name="Normal 3 2 2 2 3 3 4 2" xfId="20214"/>
    <cellStyle name="Normal 3 2 2 2 3 3 4 2 2" xfId="20215"/>
    <cellStyle name="Normal 3 2 2 2 3 3 4 2 3" xfId="20216"/>
    <cellStyle name="Normal 3 2 2 2 3 3 4 3" xfId="20217"/>
    <cellStyle name="Normal 3 2 2 2 3 3 4 3 2" xfId="20218"/>
    <cellStyle name="Normal 3 2 2 2 3 3 4 3 3" xfId="20219"/>
    <cellStyle name="Normal 3 2 2 2 3 3 4 4" xfId="20220"/>
    <cellStyle name="Normal 3 2 2 2 3 3 4 4 2" xfId="20221"/>
    <cellStyle name="Normal 3 2 2 2 3 3 4 5" xfId="20222"/>
    <cellStyle name="Normal 3 2 2 2 3 3 4 6" xfId="20223"/>
    <cellStyle name="Normal 3 2 2 2 3 3 4 7" xfId="20224"/>
    <cellStyle name="Normal 3 2 2 2 3 3 5" xfId="20225"/>
    <cellStyle name="Normal 3 2 2 2 3 3 5 2" xfId="20226"/>
    <cellStyle name="Normal 3 2 2 2 3 3 5 2 2" xfId="20227"/>
    <cellStyle name="Normal 3 2 2 2 3 3 5 2 3" xfId="20228"/>
    <cellStyle name="Normal 3 2 2 2 3 3 5 3" xfId="20229"/>
    <cellStyle name="Normal 3 2 2 2 3 3 5 3 2" xfId="20230"/>
    <cellStyle name="Normal 3 2 2 2 3 3 5 4" xfId="20231"/>
    <cellStyle name="Normal 3 2 2 2 3 3 5 5" xfId="20232"/>
    <cellStyle name="Normal 3 2 2 2 3 3 5 6" xfId="20233"/>
    <cellStyle name="Normal 3 2 2 2 3 3 6" xfId="20234"/>
    <cellStyle name="Normal 3 2 2 2 3 3 6 2" xfId="20235"/>
    <cellStyle name="Normal 3 2 2 2 3 3 6 2 2" xfId="20236"/>
    <cellStyle name="Normal 3 2 2 2 3 3 6 3" xfId="20237"/>
    <cellStyle name="Normal 3 2 2 2 3 3 7" xfId="20238"/>
    <cellStyle name="Normal 3 2 2 2 3 3 7 2" xfId="20239"/>
    <cellStyle name="Normal 3 2 2 2 3 3 7 3" xfId="20240"/>
    <cellStyle name="Normal 3 2 2 2 3 3 8" xfId="20241"/>
    <cellStyle name="Normal 3 2 2 2 3 3 8 2" xfId="20242"/>
    <cellStyle name="Normal 3 2 2 2 3 3 9" xfId="20243"/>
    <cellStyle name="Normal 3 2 2 2 3 4" xfId="20244"/>
    <cellStyle name="Normal 3 2 2 2 3 4 10" xfId="20245"/>
    <cellStyle name="Normal 3 2 2 2 3 4 11" xfId="20246"/>
    <cellStyle name="Normal 3 2 2 2 3 4 2" xfId="20247"/>
    <cellStyle name="Normal 3 2 2 2 3 4 2 2" xfId="20248"/>
    <cellStyle name="Normal 3 2 2 2 3 4 2 2 2" xfId="20249"/>
    <cellStyle name="Normal 3 2 2 2 3 4 2 2 2 2" xfId="20250"/>
    <cellStyle name="Normal 3 2 2 2 3 4 2 2 3" xfId="20251"/>
    <cellStyle name="Normal 3 2 2 2 3 4 2 3" xfId="20252"/>
    <cellStyle name="Normal 3 2 2 2 3 4 2 3 2" xfId="20253"/>
    <cellStyle name="Normal 3 2 2 2 3 4 2 3 2 2" xfId="20254"/>
    <cellStyle name="Normal 3 2 2 2 3 4 2 3 3" xfId="20255"/>
    <cellStyle name="Normal 3 2 2 2 3 4 2 4" xfId="20256"/>
    <cellStyle name="Normal 3 2 2 2 3 4 2 4 2" xfId="20257"/>
    <cellStyle name="Normal 3 2 2 2 3 4 2 4 3" xfId="20258"/>
    <cellStyle name="Normal 3 2 2 2 3 4 2 5" xfId="20259"/>
    <cellStyle name="Normal 3 2 2 2 3 4 2 6" xfId="20260"/>
    <cellStyle name="Normal 3 2 2 2 3 4 2 7" xfId="20261"/>
    <cellStyle name="Normal 3 2 2 2 3 4 3" xfId="20262"/>
    <cellStyle name="Normal 3 2 2 2 3 4 3 2" xfId="20263"/>
    <cellStyle name="Normal 3 2 2 2 3 4 3 2 2" xfId="20264"/>
    <cellStyle name="Normal 3 2 2 2 3 4 3 2 3" xfId="20265"/>
    <cellStyle name="Normal 3 2 2 2 3 4 3 3" xfId="20266"/>
    <cellStyle name="Normal 3 2 2 2 3 4 3 3 2" xfId="20267"/>
    <cellStyle name="Normal 3 2 2 2 3 4 3 3 3" xfId="20268"/>
    <cellStyle name="Normal 3 2 2 2 3 4 3 4" xfId="20269"/>
    <cellStyle name="Normal 3 2 2 2 3 4 3 4 2" xfId="20270"/>
    <cellStyle name="Normal 3 2 2 2 3 4 3 5" xfId="20271"/>
    <cellStyle name="Normal 3 2 2 2 3 4 3 6" xfId="20272"/>
    <cellStyle name="Normal 3 2 2 2 3 4 3 7" xfId="20273"/>
    <cellStyle name="Normal 3 2 2 2 3 4 4" xfId="20274"/>
    <cellStyle name="Normal 3 2 2 2 3 4 4 2" xfId="20275"/>
    <cellStyle name="Normal 3 2 2 2 3 4 4 2 2" xfId="20276"/>
    <cellStyle name="Normal 3 2 2 2 3 4 4 2 3" xfId="20277"/>
    <cellStyle name="Normal 3 2 2 2 3 4 4 3" xfId="20278"/>
    <cellStyle name="Normal 3 2 2 2 3 4 4 3 2" xfId="20279"/>
    <cellStyle name="Normal 3 2 2 2 3 4 4 4" xfId="20280"/>
    <cellStyle name="Normal 3 2 2 2 3 4 4 4 2" xfId="20281"/>
    <cellStyle name="Normal 3 2 2 2 3 4 4 5" xfId="20282"/>
    <cellStyle name="Normal 3 2 2 2 3 4 4 6" xfId="20283"/>
    <cellStyle name="Normal 3 2 2 2 3 4 4 7" xfId="20284"/>
    <cellStyle name="Normal 3 2 2 2 3 4 5" xfId="20285"/>
    <cellStyle name="Normal 3 2 2 2 3 4 5 2" xfId="20286"/>
    <cellStyle name="Normal 3 2 2 2 3 4 5 2 2" xfId="20287"/>
    <cellStyle name="Normal 3 2 2 2 3 4 5 2 3" xfId="20288"/>
    <cellStyle name="Normal 3 2 2 2 3 4 5 3" xfId="20289"/>
    <cellStyle name="Normal 3 2 2 2 3 4 5 3 2" xfId="20290"/>
    <cellStyle name="Normal 3 2 2 2 3 4 5 4" xfId="20291"/>
    <cellStyle name="Normal 3 2 2 2 3 4 5 5" xfId="20292"/>
    <cellStyle name="Normal 3 2 2 2 3 4 5 6" xfId="20293"/>
    <cellStyle name="Normal 3 2 2 2 3 4 6" xfId="20294"/>
    <cellStyle name="Normal 3 2 2 2 3 4 6 2" xfId="20295"/>
    <cellStyle name="Normal 3 2 2 2 3 4 6 3" xfId="20296"/>
    <cellStyle name="Normal 3 2 2 2 3 4 7" xfId="20297"/>
    <cellStyle name="Normal 3 2 2 2 3 4 7 2" xfId="20298"/>
    <cellStyle name="Normal 3 2 2 2 3 4 8" xfId="20299"/>
    <cellStyle name="Normal 3 2 2 2 3 4 8 2" xfId="20300"/>
    <cellStyle name="Normal 3 2 2 2 3 4 9" xfId="20301"/>
    <cellStyle name="Normal 3 2 2 2 3 5" xfId="20302"/>
    <cellStyle name="Normal 3 2 2 2 3 5 2" xfId="20303"/>
    <cellStyle name="Normal 3 2 2 2 3 5 2 2" xfId="20304"/>
    <cellStyle name="Normal 3 2 2 2 3 5 2 2 2" xfId="20305"/>
    <cellStyle name="Normal 3 2 2 2 3 5 2 3" xfId="20306"/>
    <cellStyle name="Normal 3 2 2 2 3 5 3" xfId="20307"/>
    <cellStyle name="Normal 3 2 2 2 3 5 3 2" xfId="20308"/>
    <cellStyle name="Normal 3 2 2 2 3 5 3 2 2" xfId="20309"/>
    <cellStyle name="Normal 3 2 2 2 3 5 3 3" xfId="20310"/>
    <cellStyle name="Normal 3 2 2 2 3 5 4" xfId="20311"/>
    <cellStyle name="Normal 3 2 2 2 3 5 4 2" xfId="20312"/>
    <cellStyle name="Normal 3 2 2 2 3 5 4 3" xfId="20313"/>
    <cellStyle name="Normal 3 2 2 2 3 5 5" xfId="20314"/>
    <cellStyle name="Normal 3 2 2 2 3 5 6" xfId="20315"/>
    <cellStyle name="Normal 3 2 2 2 3 5 7" xfId="20316"/>
    <cellStyle name="Normal 3 2 2 2 3 6" xfId="20317"/>
    <cellStyle name="Normal 3 2 2 2 3 6 2" xfId="20318"/>
    <cellStyle name="Normal 3 2 2 2 3 6 2 2" xfId="20319"/>
    <cellStyle name="Normal 3 2 2 2 3 6 2 2 2" xfId="20320"/>
    <cellStyle name="Normal 3 2 2 2 3 6 2 3" xfId="20321"/>
    <cellStyle name="Normal 3 2 2 2 3 6 3" xfId="20322"/>
    <cellStyle name="Normal 3 2 2 2 3 6 3 2" xfId="20323"/>
    <cellStyle name="Normal 3 2 2 2 3 6 3 2 2" xfId="20324"/>
    <cellStyle name="Normal 3 2 2 2 3 6 3 3" xfId="20325"/>
    <cellStyle name="Normal 3 2 2 2 3 6 4" xfId="20326"/>
    <cellStyle name="Normal 3 2 2 2 3 6 4 2" xfId="20327"/>
    <cellStyle name="Normal 3 2 2 2 3 6 4 3" xfId="20328"/>
    <cellStyle name="Normal 3 2 2 2 3 6 5" xfId="20329"/>
    <cellStyle name="Normal 3 2 2 2 3 6 6" xfId="20330"/>
    <cellStyle name="Normal 3 2 2 2 3 6 7" xfId="20331"/>
    <cellStyle name="Normal 3 2 2 2 3 7" xfId="20332"/>
    <cellStyle name="Normal 3 2 2 2 3 7 2" xfId="20333"/>
    <cellStyle name="Normal 3 2 2 2 3 7 2 2" xfId="20334"/>
    <cellStyle name="Normal 3 2 2 2 3 7 2 3" xfId="20335"/>
    <cellStyle name="Normal 3 2 2 2 3 7 3" xfId="20336"/>
    <cellStyle name="Normal 3 2 2 2 3 7 3 2" xfId="20337"/>
    <cellStyle name="Normal 3 2 2 2 3 7 3 3" xfId="20338"/>
    <cellStyle name="Normal 3 2 2 2 3 7 4" xfId="20339"/>
    <cellStyle name="Normal 3 2 2 2 3 7 4 2" xfId="20340"/>
    <cellStyle name="Normal 3 2 2 2 3 7 5" xfId="20341"/>
    <cellStyle name="Normal 3 2 2 2 3 7 6" xfId="20342"/>
    <cellStyle name="Normal 3 2 2 2 3 7 7" xfId="20343"/>
    <cellStyle name="Normal 3 2 2 2 3 8" xfId="20344"/>
    <cellStyle name="Normal 3 2 2 2 3 8 2" xfId="20345"/>
    <cellStyle name="Normal 3 2 2 2 3 8 2 2" xfId="20346"/>
    <cellStyle name="Normal 3 2 2 2 3 8 2 3" xfId="20347"/>
    <cellStyle name="Normal 3 2 2 2 3 8 3" xfId="20348"/>
    <cellStyle name="Normal 3 2 2 2 3 8 3 2" xfId="20349"/>
    <cellStyle name="Normal 3 2 2 2 3 8 4" xfId="20350"/>
    <cellStyle name="Normal 3 2 2 2 3 8 5" xfId="20351"/>
    <cellStyle name="Normal 3 2 2 2 3 8 6" xfId="20352"/>
    <cellStyle name="Normal 3 2 2 2 3 9" xfId="20353"/>
    <cellStyle name="Normal 3 2 2 2 3 9 2" xfId="20354"/>
    <cellStyle name="Normal 3 2 2 2 3 9 2 2" xfId="20355"/>
    <cellStyle name="Normal 3 2 2 2 3 9 3" xfId="20356"/>
    <cellStyle name="Normal 3 2 2 2 4" xfId="20357"/>
    <cellStyle name="Normal 3 2 2 2 4 10" xfId="20358"/>
    <cellStyle name="Normal 3 2 2 2 4 10 2" xfId="20359"/>
    <cellStyle name="Normal 3 2 2 2 4 11" xfId="20360"/>
    <cellStyle name="Normal 3 2 2 2 4 11 2" xfId="20361"/>
    <cellStyle name="Normal 3 2 2 2 4 12" xfId="20362"/>
    <cellStyle name="Normal 3 2 2 2 4 13" xfId="20363"/>
    <cellStyle name="Normal 3 2 2 2 4 14" xfId="20364"/>
    <cellStyle name="Normal 3 2 2 2 4 2" xfId="20365"/>
    <cellStyle name="Normal 3 2 2 2 4 2 10" xfId="20366"/>
    <cellStyle name="Normal 3 2 2 2 4 2 11" xfId="20367"/>
    <cellStyle name="Normal 3 2 2 2 4 2 12" xfId="20368"/>
    <cellStyle name="Normal 3 2 2 2 4 2 2" xfId="20369"/>
    <cellStyle name="Normal 3 2 2 2 4 2 2 2" xfId="20370"/>
    <cellStyle name="Normal 3 2 2 2 4 2 2 2 2" xfId="20371"/>
    <cellStyle name="Normal 3 2 2 2 4 2 2 2 2 2" xfId="20372"/>
    <cellStyle name="Normal 3 2 2 2 4 2 2 2 3" xfId="20373"/>
    <cellStyle name="Normal 3 2 2 2 4 2 2 2 4" xfId="20374"/>
    <cellStyle name="Normal 3 2 2 2 4 2 2 3" xfId="20375"/>
    <cellStyle name="Normal 3 2 2 2 4 2 2 3 2" xfId="20376"/>
    <cellStyle name="Normal 3 2 2 2 4 2 2 3 2 2" xfId="20377"/>
    <cellStyle name="Normal 3 2 2 2 4 2 2 3 3" xfId="20378"/>
    <cellStyle name="Normal 3 2 2 2 4 2 2 4" xfId="20379"/>
    <cellStyle name="Normal 3 2 2 2 4 2 2 4 2" xfId="20380"/>
    <cellStyle name="Normal 3 2 2 2 4 2 2 4 2 2" xfId="20381"/>
    <cellStyle name="Normal 3 2 2 2 4 2 2 4 3" xfId="20382"/>
    <cellStyle name="Normal 3 2 2 2 4 2 2 5" xfId="20383"/>
    <cellStyle name="Normal 3 2 2 2 4 2 2 5 2" xfId="20384"/>
    <cellStyle name="Normal 3 2 2 2 4 2 2 6" xfId="20385"/>
    <cellStyle name="Normal 3 2 2 2 4 2 2 7" xfId="20386"/>
    <cellStyle name="Normal 3 2 2 2 4 2 3" xfId="20387"/>
    <cellStyle name="Normal 3 2 2 2 4 2 3 2" xfId="20388"/>
    <cellStyle name="Normal 3 2 2 2 4 2 3 2 2" xfId="20389"/>
    <cellStyle name="Normal 3 2 2 2 4 2 3 2 2 2" xfId="20390"/>
    <cellStyle name="Normal 3 2 2 2 4 2 3 2 3" xfId="20391"/>
    <cellStyle name="Normal 3 2 2 2 4 2 3 3" xfId="20392"/>
    <cellStyle name="Normal 3 2 2 2 4 2 3 3 2" xfId="20393"/>
    <cellStyle name="Normal 3 2 2 2 4 2 3 3 2 2" xfId="20394"/>
    <cellStyle name="Normal 3 2 2 2 4 2 3 3 3" xfId="20395"/>
    <cellStyle name="Normal 3 2 2 2 4 2 3 4" xfId="20396"/>
    <cellStyle name="Normal 3 2 2 2 4 2 3 4 2" xfId="20397"/>
    <cellStyle name="Normal 3 2 2 2 4 2 3 4 3" xfId="20398"/>
    <cellStyle name="Normal 3 2 2 2 4 2 3 5" xfId="20399"/>
    <cellStyle name="Normal 3 2 2 2 4 2 3 6" xfId="20400"/>
    <cellStyle name="Normal 3 2 2 2 4 2 3 7" xfId="20401"/>
    <cellStyle name="Normal 3 2 2 2 4 2 4" xfId="20402"/>
    <cellStyle name="Normal 3 2 2 2 4 2 4 2" xfId="20403"/>
    <cellStyle name="Normal 3 2 2 2 4 2 4 2 2" xfId="20404"/>
    <cellStyle name="Normal 3 2 2 2 4 2 4 2 3" xfId="20405"/>
    <cellStyle name="Normal 3 2 2 2 4 2 4 3" xfId="20406"/>
    <cellStyle name="Normal 3 2 2 2 4 2 4 3 2" xfId="20407"/>
    <cellStyle name="Normal 3 2 2 2 4 2 4 3 3" xfId="20408"/>
    <cellStyle name="Normal 3 2 2 2 4 2 4 4" xfId="20409"/>
    <cellStyle name="Normal 3 2 2 2 4 2 4 4 2" xfId="20410"/>
    <cellStyle name="Normal 3 2 2 2 4 2 4 5" xfId="20411"/>
    <cellStyle name="Normal 3 2 2 2 4 2 4 6" xfId="20412"/>
    <cellStyle name="Normal 3 2 2 2 4 2 4 7" xfId="20413"/>
    <cellStyle name="Normal 3 2 2 2 4 2 5" xfId="20414"/>
    <cellStyle name="Normal 3 2 2 2 4 2 5 2" xfId="20415"/>
    <cellStyle name="Normal 3 2 2 2 4 2 5 2 2" xfId="20416"/>
    <cellStyle name="Normal 3 2 2 2 4 2 5 2 3" xfId="20417"/>
    <cellStyle name="Normal 3 2 2 2 4 2 5 3" xfId="20418"/>
    <cellStyle name="Normal 3 2 2 2 4 2 5 3 2" xfId="20419"/>
    <cellStyle name="Normal 3 2 2 2 4 2 5 4" xfId="20420"/>
    <cellStyle name="Normal 3 2 2 2 4 2 5 4 2" xfId="20421"/>
    <cellStyle name="Normal 3 2 2 2 4 2 5 5" xfId="20422"/>
    <cellStyle name="Normal 3 2 2 2 4 2 5 6" xfId="20423"/>
    <cellStyle name="Normal 3 2 2 2 4 2 5 7" xfId="20424"/>
    <cellStyle name="Normal 3 2 2 2 4 2 6" xfId="20425"/>
    <cellStyle name="Normal 3 2 2 2 4 2 6 2" xfId="20426"/>
    <cellStyle name="Normal 3 2 2 2 4 2 6 2 2" xfId="20427"/>
    <cellStyle name="Normal 3 2 2 2 4 2 6 2 3" xfId="20428"/>
    <cellStyle name="Normal 3 2 2 2 4 2 6 3" xfId="20429"/>
    <cellStyle name="Normal 3 2 2 2 4 2 6 3 2" xfId="20430"/>
    <cellStyle name="Normal 3 2 2 2 4 2 6 4" xfId="20431"/>
    <cellStyle name="Normal 3 2 2 2 4 2 6 5" xfId="20432"/>
    <cellStyle name="Normal 3 2 2 2 4 2 6 6" xfId="20433"/>
    <cellStyle name="Normal 3 2 2 2 4 2 7" xfId="20434"/>
    <cellStyle name="Normal 3 2 2 2 4 2 7 2" xfId="20435"/>
    <cellStyle name="Normal 3 2 2 2 4 2 7 3" xfId="20436"/>
    <cellStyle name="Normal 3 2 2 2 4 2 8" xfId="20437"/>
    <cellStyle name="Normal 3 2 2 2 4 2 8 2" xfId="20438"/>
    <cellStyle name="Normal 3 2 2 2 4 2 9" xfId="20439"/>
    <cellStyle name="Normal 3 2 2 2 4 2 9 2" xfId="20440"/>
    <cellStyle name="Normal 3 2 2 2 4 3" xfId="20441"/>
    <cellStyle name="Normal 3 2 2 2 4 3 10" xfId="20442"/>
    <cellStyle name="Normal 3 2 2 2 4 3 11" xfId="20443"/>
    <cellStyle name="Normal 3 2 2 2 4 3 2" xfId="20444"/>
    <cellStyle name="Normal 3 2 2 2 4 3 2 2" xfId="20445"/>
    <cellStyle name="Normal 3 2 2 2 4 3 2 2 2" xfId="20446"/>
    <cellStyle name="Normal 3 2 2 2 4 3 2 2 3" xfId="20447"/>
    <cellStyle name="Normal 3 2 2 2 4 3 2 3" xfId="20448"/>
    <cellStyle name="Normal 3 2 2 2 4 3 2 3 2" xfId="20449"/>
    <cellStyle name="Normal 3 2 2 2 4 3 2 3 3" xfId="20450"/>
    <cellStyle name="Normal 3 2 2 2 4 3 2 4" xfId="20451"/>
    <cellStyle name="Normal 3 2 2 2 4 3 2 4 2" xfId="20452"/>
    <cellStyle name="Normal 3 2 2 2 4 3 2 5" xfId="20453"/>
    <cellStyle name="Normal 3 2 2 2 4 3 2 6" xfId="20454"/>
    <cellStyle name="Normal 3 2 2 2 4 3 2 7" xfId="20455"/>
    <cellStyle name="Normal 3 2 2 2 4 3 3" xfId="20456"/>
    <cellStyle name="Normal 3 2 2 2 4 3 3 2" xfId="20457"/>
    <cellStyle name="Normal 3 2 2 2 4 3 3 2 2" xfId="20458"/>
    <cellStyle name="Normal 3 2 2 2 4 3 3 2 3" xfId="20459"/>
    <cellStyle name="Normal 3 2 2 2 4 3 3 3" xfId="20460"/>
    <cellStyle name="Normal 3 2 2 2 4 3 3 3 2" xfId="20461"/>
    <cellStyle name="Normal 3 2 2 2 4 3 3 4" xfId="20462"/>
    <cellStyle name="Normal 3 2 2 2 4 3 3 4 2" xfId="20463"/>
    <cellStyle name="Normal 3 2 2 2 4 3 3 5" xfId="20464"/>
    <cellStyle name="Normal 3 2 2 2 4 3 3 6" xfId="20465"/>
    <cellStyle name="Normal 3 2 2 2 4 3 3 7" xfId="20466"/>
    <cellStyle name="Normal 3 2 2 2 4 3 4" xfId="20467"/>
    <cellStyle name="Normal 3 2 2 2 4 3 4 2" xfId="20468"/>
    <cellStyle name="Normal 3 2 2 2 4 3 4 2 2" xfId="20469"/>
    <cellStyle name="Normal 3 2 2 2 4 3 4 2 3" xfId="20470"/>
    <cellStyle name="Normal 3 2 2 2 4 3 4 3" xfId="20471"/>
    <cellStyle name="Normal 3 2 2 2 4 3 4 3 2" xfId="20472"/>
    <cellStyle name="Normal 3 2 2 2 4 3 4 4" xfId="20473"/>
    <cellStyle name="Normal 3 2 2 2 4 3 4 4 2" xfId="20474"/>
    <cellStyle name="Normal 3 2 2 2 4 3 4 5" xfId="20475"/>
    <cellStyle name="Normal 3 2 2 2 4 3 4 6" xfId="20476"/>
    <cellStyle name="Normal 3 2 2 2 4 3 4 7" xfId="20477"/>
    <cellStyle name="Normal 3 2 2 2 4 3 5" xfId="20478"/>
    <cellStyle name="Normal 3 2 2 2 4 3 5 2" xfId="20479"/>
    <cellStyle name="Normal 3 2 2 2 4 3 5 2 2" xfId="20480"/>
    <cellStyle name="Normal 3 2 2 2 4 3 5 3" xfId="20481"/>
    <cellStyle name="Normal 3 2 2 2 4 3 5 3 2" xfId="20482"/>
    <cellStyle name="Normal 3 2 2 2 4 3 5 4" xfId="20483"/>
    <cellStyle name="Normal 3 2 2 2 4 3 5 5" xfId="20484"/>
    <cellStyle name="Normal 3 2 2 2 4 3 5 6" xfId="20485"/>
    <cellStyle name="Normal 3 2 2 2 4 3 6" xfId="20486"/>
    <cellStyle name="Normal 3 2 2 2 4 3 6 2" xfId="20487"/>
    <cellStyle name="Normal 3 2 2 2 4 3 7" xfId="20488"/>
    <cellStyle name="Normal 3 2 2 2 4 3 7 2" xfId="20489"/>
    <cellStyle name="Normal 3 2 2 2 4 3 8" xfId="20490"/>
    <cellStyle name="Normal 3 2 2 2 4 3 8 2" xfId="20491"/>
    <cellStyle name="Normal 3 2 2 2 4 3 9" xfId="20492"/>
    <cellStyle name="Normal 3 2 2 2 4 4" xfId="20493"/>
    <cellStyle name="Normal 3 2 2 2 4 4 10" xfId="20494"/>
    <cellStyle name="Normal 3 2 2 2 4 4 11" xfId="20495"/>
    <cellStyle name="Normal 3 2 2 2 4 4 2" xfId="20496"/>
    <cellStyle name="Normal 3 2 2 2 4 4 2 2" xfId="20497"/>
    <cellStyle name="Normal 3 2 2 2 4 4 2 2 2" xfId="20498"/>
    <cellStyle name="Normal 3 2 2 2 4 4 2 2 3" xfId="20499"/>
    <cellStyle name="Normal 3 2 2 2 4 4 2 3" xfId="20500"/>
    <cellStyle name="Normal 3 2 2 2 4 4 2 3 2" xfId="20501"/>
    <cellStyle name="Normal 3 2 2 2 4 4 2 4" xfId="20502"/>
    <cellStyle name="Normal 3 2 2 2 4 4 2 4 2" xfId="20503"/>
    <cellStyle name="Normal 3 2 2 2 4 4 2 5" xfId="20504"/>
    <cellStyle name="Normal 3 2 2 2 4 4 2 6" xfId="20505"/>
    <cellStyle name="Normal 3 2 2 2 4 4 2 7" xfId="20506"/>
    <cellStyle name="Normal 3 2 2 2 4 4 3" xfId="20507"/>
    <cellStyle name="Normal 3 2 2 2 4 4 3 2" xfId="20508"/>
    <cellStyle name="Normal 3 2 2 2 4 4 3 2 2" xfId="20509"/>
    <cellStyle name="Normal 3 2 2 2 4 4 3 2 3" xfId="20510"/>
    <cellStyle name="Normal 3 2 2 2 4 4 3 3" xfId="20511"/>
    <cellStyle name="Normal 3 2 2 2 4 4 3 3 2" xfId="20512"/>
    <cellStyle name="Normal 3 2 2 2 4 4 3 4" xfId="20513"/>
    <cellStyle name="Normal 3 2 2 2 4 4 3 4 2" xfId="20514"/>
    <cellStyle name="Normal 3 2 2 2 4 4 3 5" xfId="20515"/>
    <cellStyle name="Normal 3 2 2 2 4 4 3 6" xfId="20516"/>
    <cellStyle name="Normal 3 2 2 2 4 4 3 7" xfId="20517"/>
    <cellStyle name="Normal 3 2 2 2 4 4 4" xfId="20518"/>
    <cellStyle name="Normal 3 2 2 2 4 4 4 2" xfId="20519"/>
    <cellStyle name="Normal 3 2 2 2 4 4 4 2 2" xfId="20520"/>
    <cellStyle name="Normal 3 2 2 2 4 4 4 3" xfId="20521"/>
    <cellStyle name="Normal 3 2 2 2 4 4 4 3 2" xfId="20522"/>
    <cellStyle name="Normal 3 2 2 2 4 4 4 4" xfId="20523"/>
    <cellStyle name="Normal 3 2 2 2 4 4 4 4 2" xfId="20524"/>
    <cellStyle name="Normal 3 2 2 2 4 4 4 5" xfId="20525"/>
    <cellStyle name="Normal 3 2 2 2 4 4 4 6" xfId="20526"/>
    <cellStyle name="Normal 3 2 2 2 4 4 4 7" xfId="20527"/>
    <cellStyle name="Normal 3 2 2 2 4 4 5" xfId="20528"/>
    <cellStyle name="Normal 3 2 2 2 4 4 5 2" xfId="20529"/>
    <cellStyle name="Normal 3 2 2 2 4 4 5 2 2" xfId="20530"/>
    <cellStyle name="Normal 3 2 2 2 4 4 5 3" xfId="20531"/>
    <cellStyle name="Normal 3 2 2 2 4 4 5 3 2" xfId="20532"/>
    <cellStyle name="Normal 3 2 2 2 4 4 5 4" xfId="20533"/>
    <cellStyle name="Normal 3 2 2 2 4 4 5 5" xfId="20534"/>
    <cellStyle name="Normal 3 2 2 2 4 4 6" xfId="20535"/>
    <cellStyle name="Normal 3 2 2 2 4 4 6 2" xfId="20536"/>
    <cellStyle name="Normal 3 2 2 2 4 4 7" xfId="20537"/>
    <cellStyle name="Normal 3 2 2 2 4 4 7 2" xfId="20538"/>
    <cellStyle name="Normal 3 2 2 2 4 4 8" xfId="20539"/>
    <cellStyle name="Normal 3 2 2 2 4 4 8 2" xfId="20540"/>
    <cellStyle name="Normal 3 2 2 2 4 4 9" xfId="20541"/>
    <cellStyle name="Normal 3 2 2 2 4 5" xfId="20542"/>
    <cellStyle name="Normal 3 2 2 2 4 5 2" xfId="20543"/>
    <cellStyle name="Normal 3 2 2 2 4 5 2 2" xfId="20544"/>
    <cellStyle name="Normal 3 2 2 2 4 5 2 3" xfId="20545"/>
    <cellStyle name="Normal 3 2 2 2 4 5 3" xfId="20546"/>
    <cellStyle name="Normal 3 2 2 2 4 5 3 2" xfId="20547"/>
    <cellStyle name="Normal 3 2 2 2 4 5 3 3" xfId="20548"/>
    <cellStyle name="Normal 3 2 2 2 4 5 4" xfId="20549"/>
    <cellStyle name="Normal 3 2 2 2 4 5 4 2" xfId="20550"/>
    <cellStyle name="Normal 3 2 2 2 4 5 5" xfId="20551"/>
    <cellStyle name="Normal 3 2 2 2 4 5 6" xfId="20552"/>
    <cellStyle name="Normal 3 2 2 2 4 5 7" xfId="20553"/>
    <cellStyle name="Normal 3 2 2 2 4 6" xfId="20554"/>
    <cellStyle name="Normal 3 2 2 2 4 6 2" xfId="20555"/>
    <cellStyle name="Normal 3 2 2 2 4 6 2 2" xfId="20556"/>
    <cellStyle name="Normal 3 2 2 2 4 6 2 3" xfId="20557"/>
    <cellStyle name="Normal 3 2 2 2 4 6 3" xfId="20558"/>
    <cellStyle name="Normal 3 2 2 2 4 6 3 2" xfId="20559"/>
    <cellStyle name="Normal 3 2 2 2 4 6 4" xfId="20560"/>
    <cellStyle name="Normal 3 2 2 2 4 6 4 2" xfId="20561"/>
    <cellStyle name="Normal 3 2 2 2 4 6 5" xfId="20562"/>
    <cellStyle name="Normal 3 2 2 2 4 6 6" xfId="20563"/>
    <cellStyle name="Normal 3 2 2 2 4 6 7" xfId="20564"/>
    <cellStyle name="Normal 3 2 2 2 4 7" xfId="20565"/>
    <cellStyle name="Normal 3 2 2 2 4 7 2" xfId="20566"/>
    <cellStyle name="Normal 3 2 2 2 4 7 2 2" xfId="20567"/>
    <cellStyle name="Normal 3 2 2 2 4 7 2 3" xfId="20568"/>
    <cellStyle name="Normal 3 2 2 2 4 7 3" xfId="20569"/>
    <cellStyle name="Normal 3 2 2 2 4 7 3 2" xfId="20570"/>
    <cellStyle name="Normal 3 2 2 2 4 7 4" xfId="20571"/>
    <cellStyle name="Normal 3 2 2 2 4 7 4 2" xfId="20572"/>
    <cellStyle name="Normal 3 2 2 2 4 7 5" xfId="20573"/>
    <cellStyle name="Normal 3 2 2 2 4 7 6" xfId="20574"/>
    <cellStyle name="Normal 3 2 2 2 4 7 7" xfId="20575"/>
    <cellStyle name="Normal 3 2 2 2 4 8" xfId="20576"/>
    <cellStyle name="Normal 3 2 2 2 4 8 2" xfId="20577"/>
    <cellStyle name="Normal 3 2 2 2 4 8 2 2" xfId="20578"/>
    <cellStyle name="Normal 3 2 2 2 4 8 3" xfId="20579"/>
    <cellStyle name="Normal 3 2 2 2 4 8 3 2" xfId="20580"/>
    <cellStyle name="Normal 3 2 2 2 4 8 4" xfId="20581"/>
    <cellStyle name="Normal 3 2 2 2 4 8 5" xfId="20582"/>
    <cellStyle name="Normal 3 2 2 2 4 8 6" xfId="20583"/>
    <cellStyle name="Normal 3 2 2 2 4 9" xfId="20584"/>
    <cellStyle name="Normal 3 2 2 2 4 9 2" xfId="20585"/>
    <cellStyle name="Normal 3 2 2 2 5" xfId="20586"/>
    <cellStyle name="Normal 3 2 2 2 5 10" xfId="20587"/>
    <cellStyle name="Normal 3 2 2 2 5 10 2" xfId="20588"/>
    <cellStyle name="Normal 3 2 2 2 5 11" xfId="20589"/>
    <cellStyle name="Normal 3 2 2 2 5 12" xfId="20590"/>
    <cellStyle name="Normal 3 2 2 2 5 13" xfId="20591"/>
    <cellStyle name="Normal 3 2 2 2 5 2" xfId="20592"/>
    <cellStyle name="Normal 3 2 2 2 5 2 10" xfId="20593"/>
    <cellStyle name="Normal 3 2 2 2 5 2 11" xfId="20594"/>
    <cellStyle name="Normal 3 2 2 2 5 2 2" xfId="20595"/>
    <cellStyle name="Normal 3 2 2 2 5 2 2 2" xfId="20596"/>
    <cellStyle name="Normal 3 2 2 2 5 2 2 2 2" xfId="20597"/>
    <cellStyle name="Normal 3 2 2 2 5 2 2 2 3" xfId="20598"/>
    <cellStyle name="Normal 3 2 2 2 5 2 2 3" xfId="20599"/>
    <cellStyle name="Normal 3 2 2 2 5 2 2 3 2" xfId="20600"/>
    <cellStyle name="Normal 3 2 2 2 5 2 2 3 3" xfId="20601"/>
    <cellStyle name="Normal 3 2 2 2 5 2 2 4" xfId="20602"/>
    <cellStyle name="Normal 3 2 2 2 5 2 2 4 2" xfId="20603"/>
    <cellStyle name="Normal 3 2 2 2 5 2 2 5" xfId="20604"/>
    <cellStyle name="Normal 3 2 2 2 5 2 2 6" xfId="20605"/>
    <cellStyle name="Normal 3 2 2 2 5 2 2 7" xfId="20606"/>
    <cellStyle name="Normal 3 2 2 2 5 2 3" xfId="20607"/>
    <cellStyle name="Normal 3 2 2 2 5 2 3 2" xfId="20608"/>
    <cellStyle name="Normal 3 2 2 2 5 2 3 2 2" xfId="20609"/>
    <cellStyle name="Normal 3 2 2 2 5 2 3 2 3" xfId="20610"/>
    <cellStyle name="Normal 3 2 2 2 5 2 3 3" xfId="20611"/>
    <cellStyle name="Normal 3 2 2 2 5 2 3 3 2" xfId="20612"/>
    <cellStyle name="Normal 3 2 2 2 5 2 3 4" xfId="20613"/>
    <cellStyle name="Normal 3 2 2 2 5 2 3 4 2" xfId="20614"/>
    <cellStyle name="Normal 3 2 2 2 5 2 3 5" xfId="20615"/>
    <cellStyle name="Normal 3 2 2 2 5 2 3 6" xfId="20616"/>
    <cellStyle name="Normal 3 2 2 2 5 2 3 7" xfId="20617"/>
    <cellStyle name="Normal 3 2 2 2 5 2 4" xfId="20618"/>
    <cellStyle name="Normal 3 2 2 2 5 2 4 2" xfId="20619"/>
    <cellStyle name="Normal 3 2 2 2 5 2 4 2 2" xfId="20620"/>
    <cellStyle name="Normal 3 2 2 2 5 2 4 2 3" xfId="20621"/>
    <cellStyle name="Normal 3 2 2 2 5 2 4 3" xfId="20622"/>
    <cellStyle name="Normal 3 2 2 2 5 2 4 3 2" xfId="20623"/>
    <cellStyle name="Normal 3 2 2 2 5 2 4 4" xfId="20624"/>
    <cellStyle name="Normal 3 2 2 2 5 2 4 4 2" xfId="20625"/>
    <cellStyle name="Normal 3 2 2 2 5 2 4 5" xfId="20626"/>
    <cellStyle name="Normal 3 2 2 2 5 2 4 6" xfId="20627"/>
    <cellStyle name="Normal 3 2 2 2 5 2 4 7" xfId="20628"/>
    <cellStyle name="Normal 3 2 2 2 5 2 5" xfId="20629"/>
    <cellStyle name="Normal 3 2 2 2 5 2 5 2" xfId="20630"/>
    <cellStyle name="Normal 3 2 2 2 5 2 5 2 2" xfId="20631"/>
    <cellStyle name="Normal 3 2 2 2 5 2 5 3" xfId="20632"/>
    <cellStyle name="Normal 3 2 2 2 5 2 5 3 2" xfId="20633"/>
    <cellStyle name="Normal 3 2 2 2 5 2 5 4" xfId="20634"/>
    <cellStyle name="Normal 3 2 2 2 5 2 5 5" xfId="20635"/>
    <cellStyle name="Normal 3 2 2 2 5 2 5 6" xfId="20636"/>
    <cellStyle name="Normal 3 2 2 2 5 2 6" xfId="20637"/>
    <cellStyle name="Normal 3 2 2 2 5 2 6 2" xfId="20638"/>
    <cellStyle name="Normal 3 2 2 2 5 2 7" xfId="20639"/>
    <cellStyle name="Normal 3 2 2 2 5 2 7 2" xfId="20640"/>
    <cellStyle name="Normal 3 2 2 2 5 2 8" xfId="20641"/>
    <cellStyle name="Normal 3 2 2 2 5 2 8 2" xfId="20642"/>
    <cellStyle name="Normal 3 2 2 2 5 2 9" xfId="20643"/>
    <cellStyle name="Normal 3 2 2 2 5 3" xfId="20644"/>
    <cellStyle name="Normal 3 2 2 2 5 3 10" xfId="20645"/>
    <cellStyle name="Normal 3 2 2 2 5 3 11" xfId="20646"/>
    <cellStyle name="Normal 3 2 2 2 5 3 2" xfId="20647"/>
    <cellStyle name="Normal 3 2 2 2 5 3 2 2" xfId="20648"/>
    <cellStyle name="Normal 3 2 2 2 5 3 2 2 2" xfId="20649"/>
    <cellStyle name="Normal 3 2 2 2 5 3 2 2 3" xfId="20650"/>
    <cellStyle name="Normal 3 2 2 2 5 3 2 3" xfId="20651"/>
    <cellStyle name="Normal 3 2 2 2 5 3 2 3 2" xfId="20652"/>
    <cellStyle name="Normal 3 2 2 2 5 3 2 4" xfId="20653"/>
    <cellStyle name="Normal 3 2 2 2 5 3 2 4 2" xfId="20654"/>
    <cellStyle name="Normal 3 2 2 2 5 3 2 5" xfId="20655"/>
    <cellStyle name="Normal 3 2 2 2 5 3 2 6" xfId="20656"/>
    <cellStyle name="Normal 3 2 2 2 5 3 2 7" xfId="20657"/>
    <cellStyle name="Normal 3 2 2 2 5 3 3" xfId="20658"/>
    <cellStyle name="Normal 3 2 2 2 5 3 3 2" xfId="20659"/>
    <cellStyle name="Normal 3 2 2 2 5 3 3 2 2" xfId="20660"/>
    <cellStyle name="Normal 3 2 2 2 5 3 3 2 3" xfId="20661"/>
    <cellStyle name="Normal 3 2 2 2 5 3 3 3" xfId="20662"/>
    <cellStyle name="Normal 3 2 2 2 5 3 3 3 2" xfId="20663"/>
    <cellStyle name="Normal 3 2 2 2 5 3 3 4" xfId="20664"/>
    <cellStyle name="Normal 3 2 2 2 5 3 3 4 2" xfId="20665"/>
    <cellStyle name="Normal 3 2 2 2 5 3 3 5" xfId="20666"/>
    <cellStyle name="Normal 3 2 2 2 5 3 3 6" xfId="20667"/>
    <cellStyle name="Normal 3 2 2 2 5 3 3 7" xfId="20668"/>
    <cellStyle name="Normal 3 2 2 2 5 3 4" xfId="20669"/>
    <cellStyle name="Normal 3 2 2 2 5 3 4 2" xfId="20670"/>
    <cellStyle name="Normal 3 2 2 2 5 3 4 2 2" xfId="20671"/>
    <cellStyle name="Normal 3 2 2 2 5 3 4 3" xfId="20672"/>
    <cellStyle name="Normal 3 2 2 2 5 3 4 3 2" xfId="20673"/>
    <cellStyle name="Normal 3 2 2 2 5 3 4 4" xfId="20674"/>
    <cellStyle name="Normal 3 2 2 2 5 3 4 4 2" xfId="20675"/>
    <cellStyle name="Normal 3 2 2 2 5 3 4 5" xfId="20676"/>
    <cellStyle name="Normal 3 2 2 2 5 3 4 6" xfId="20677"/>
    <cellStyle name="Normal 3 2 2 2 5 3 4 7" xfId="20678"/>
    <cellStyle name="Normal 3 2 2 2 5 3 5" xfId="20679"/>
    <cellStyle name="Normal 3 2 2 2 5 3 5 2" xfId="20680"/>
    <cellStyle name="Normal 3 2 2 2 5 3 5 2 2" xfId="20681"/>
    <cellStyle name="Normal 3 2 2 2 5 3 5 3" xfId="20682"/>
    <cellStyle name="Normal 3 2 2 2 5 3 5 3 2" xfId="20683"/>
    <cellStyle name="Normal 3 2 2 2 5 3 5 4" xfId="20684"/>
    <cellStyle name="Normal 3 2 2 2 5 3 5 5" xfId="20685"/>
    <cellStyle name="Normal 3 2 2 2 5 3 6" xfId="20686"/>
    <cellStyle name="Normal 3 2 2 2 5 3 6 2" xfId="20687"/>
    <cellStyle name="Normal 3 2 2 2 5 3 7" xfId="20688"/>
    <cellStyle name="Normal 3 2 2 2 5 3 7 2" xfId="20689"/>
    <cellStyle name="Normal 3 2 2 2 5 3 8" xfId="20690"/>
    <cellStyle name="Normal 3 2 2 2 5 3 8 2" xfId="20691"/>
    <cellStyle name="Normal 3 2 2 2 5 3 9" xfId="20692"/>
    <cellStyle name="Normal 3 2 2 2 5 4" xfId="20693"/>
    <cellStyle name="Normal 3 2 2 2 5 4 2" xfId="20694"/>
    <cellStyle name="Normal 3 2 2 2 5 4 2 2" xfId="20695"/>
    <cellStyle name="Normal 3 2 2 2 5 4 2 3" xfId="20696"/>
    <cellStyle name="Normal 3 2 2 2 5 4 3" xfId="20697"/>
    <cellStyle name="Normal 3 2 2 2 5 4 3 2" xfId="20698"/>
    <cellStyle name="Normal 3 2 2 2 5 4 3 3" xfId="20699"/>
    <cellStyle name="Normal 3 2 2 2 5 4 4" xfId="20700"/>
    <cellStyle name="Normal 3 2 2 2 5 4 4 2" xfId="20701"/>
    <cellStyle name="Normal 3 2 2 2 5 4 5" xfId="20702"/>
    <cellStyle name="Normal 3 2 2 2 5 4 6" xfId="20703"/>
    <cellStyle name="Normal 3 2 2 2 5 4 7" xfId="20704"/>
    <cellStyle name="Normal 3 2 2 2 5 5" xfId="20705"/>
    <cellStyle name="Normal 3 2 2 2 5 5 2" xfId="20706"/>
    <cellStyle name="Normal 3 2 2 2 5 5 2 2" xfId="20707"/>
    <cellStyle name="Normal 3 2 2 2 5 5 2 3" xfId="20708"/>
    <cellStyle name="Normal 3 2 2 2 5 5 3" xfId="20709"/>
    <cellStyle name="Normal 3 2 2 2 5 5 3 2" xfId="20710"/>
    <cellStyle name="Normal 3 2 2 2 5 5 4" xfId="20711"/>
    <cellStyle name="Normal 3 2 2 2 5 5 4 2" xfId="20712"/>
    <cellStyle name="Normal 3 2 2 2 5 5 5" xfId="20713"/>
    <cellStyle name="Normal 3 2 2 2 5 5 6" xfId="20714"/>
    <cellStyle name="Normal 3 2 2 2 5 5 7" xfId="20715"/>
    <cellStyle name="Normal 3 2 2 2 5 6" xfId="20716"/>
    <cellStyle name="Normal 3 2 2 2 5 6 2" xfId="20717"/>
    <cellStyle name="Normal 3 2 2 2 5 6 2 2" xfId="20718"/>
    <cellStyle name="Normal 3 2 2 2 5 6 2 3" xfId="20719"/>
    <cellStyle name="Normal 3 2 2 2 5 6 3" xfId="20720"/>
    <cellStyle name="Normal 3 2 2 2 5 6 3 2" xfId="20721"/>
    <cellStyle name="Normal 3 2 2 2 5 6 4" xfId="20722"/>
    <cellStyle name="Normal 3 2 2 2 5 6 4 2" xfId="20723"/>
    <cellStyle name="Normal 3 2 2 2 5 6 5" xfId="20724"/>
    <cellStyle name="Normal 3 2 2 2 5 6 6" xfId="20725"/>
    <cellStyle name="Normal 3 2 2 2 5 6 7" xfId="20726"/>
    <cellStyle name="Normal 3 2 2 2 5 7" xfId="20727"/>
    <cellStyle name="Normal 3 2 2 2 5 7 2" xfId="20728"/>
    <cellStyle name="Normal 3 2 2 2 5 7 2 2" xfId="20729"/>
    <cellStyle name="Normal 3 2 2 2 5 7 3" xfId="20730"/>
    <cellStyle name="Normal 3 2 2 2 5 7 3 2" xfId="20731"/>
    <cellStyle name="Normal 3 2 2 2 5 7 4" xfId="20732"/>
    <cellStyle name="Normal 3 2 2 2 5 7 5" xfId="20733"/>
    <cellStyle name="Normal 3 2 2 2 5 7 6" xfId="20734"/>
    <cellStyle name="Normal 3 2 2 2 5 8" xfId="20735"/>
    <cellStyle name="Normal 3 2 2 2 5 8 2" xfId="20736"/>
    <cellStyle name="Normal 3 2 2 2 5 9" xfId="20737"/>
    <cellStyle name="Normal 3 2 2 2 5 9 2" xfId="20738"/>
    <cellStyle name="Normal 3 2 2 2 6" xfId="20739"/>
    <cellStyle name="Normal 3 2 2 2 6 10" xfId="20740"/>
    <cellStyle name="Normal 3 2 2 2 6 11" xfId="20741"/>
    <cellStyle name="Normal 3 2 2 2 6 12" xfId="20742"/>
    <cellStyle name="Normal 3 2 2 2 6 2" xfId="20743"/>
    <cellStyle name="Normal 3 2 2 2 6 2 2" xfId="20744"/>
    <cellStyle name="Normal 3 2 2 2 6 2 2 2" xfId="20745"/>
    <cellStyle name="Normal 3 2 2 2 6 2 2 2 2" xfId="20746"/>
    <cellStyle name="Normal 3 2 2 2 6 2 2 3" xfId="20747"/>
    <cellStyle name="Normal 3 2 2 2 6 2 2 4" xfId="20748"/>
    <cellStyle name="Normal 3 2 2 2 6 2 3" xfId="20749"/>
    <cellStyle name="Normal 3 2 2 2 6 2 3 2" xfId="20750"/>
    <cellStyle name="Normal 3 2 2 2 6 2 3 2 2" xfId="20751"/>
    <cellStyle name="Normal 3 2 2 2 6 2 3 3" xfId="20752"/>
    <cellStyle name="Normal 3 2 2 2 6 2 4" xfId="20753"/>
    <cellStyle name="Normal 3 2 2 2 6 2 4 2" xfId="20754"/>
    <cellStyle name="Normal 3 2 2 2 6 2 4 2 2" xfId="20755"/>
    <cellStyle name="Normal 3 2 2 2 6 2 4 3" xfId="20756"/>
    <cellStyle name="Normal 3 2 2 2 6 2 5" xfId="20757"/>
    <cellStyle name="Normal 3 2 2 2 6 2 5 2" xfId="20758"/>
    <cellStyle name="Normal 3 2 2 2 6 2 6" xfId="20759"/>
    <cellStyle name="Normal 3 2 2 2 6 2 7" xfId="20760"/>
    <cellStyle name="Normal 3 2 2 2 6 3" xfId="20761"/>
    <cellStyle name="Normal 3 2 2 2 6 3 2" xfId="20762"/>
    <cellStyle name="Normal 3 2 2 2 6 3 2 2" xfId="20763"/>
    <cellStyle name="Normal 3 2 2 2 6 3 2 2 2" xfId="20764"/>
    <cellStyle name="Normal 3 2 2 2 6 3 2 3" xfId="20765"/>
    <cellStyle name="Normal 3 2 2 2 6 3 3" xfId="20766"/>
    <cellStyle name="Normal 3 2 2 2 6 3 3 2" xfId="20767"/>
    <cellStyle name="Normal 3 2 2 2 6 3 3 2 2" xfId="20768"/>
    <cellStyle name="Normal 3 2 2 2 6 3 3 3" xfId="20769"/>
    <cellStyle name="Normal 3 2 2 2 6 3 4" xfId="20770"/>
    <cellStyle name="Normal 3 2 2 2 6 3 4 2" xfId="20771"/>
    <cellStyle name="Normal 3 2 2 2 6 3 4 3" xfId="20772"/>
    <cellStyle name="Normal 3 2 2 2 6 3 5" xfId="20773"/>
    <cellStyle name="Normal 3 2 2 2 6 3 6" xfId="20774"/>
    <cellStyle name="Normal 3 2 2 2 6 3 7" xfId="20775"/>
    <cellStyle name="Normal 3 2 2 2 6 4" xfId="20776"/>
    <cellStyle name="Normal 3 2 2 2 6 4 2" xfId="20777"/>
    <cellStyle name="Normal 3 2 2 2 6 4 2 2" xfId="20778"/>
    <cellStyle name="Normal 3 2 2 2 6 4 2 3" xfId="20779"/>
    <cellStyle name="Normal 3 2 2 2 6 4 3" xfId="20780"/>
    <cellStyle name="Normal 3 2 2 2 6 4 3 2" xfId="20781"/>
    <cellStyle name="Normal 3 2 2 2 6 4 3 3" xfId="20782"/>
    <cellStyle name="Normal 3 2 2 2 6 4 4" xfId="20783"/>
    <cellStyle name="Normal 3 2 2 2 6 4 4 2" xfId="20784"/>
    <cellStyle name="Normal 3 2 2 2 6 4 5" xfId="20785"/>
    <cellStyle name="Normal 3 2 2 2 6 4 6" xfId="20786"/>
    <cellStyle name="Normal 3 2 2 2 6 4 7" xfId="20787"/>
    <cellStyle name="Normal 3 2 2 2 6 5" xfId="20788"/>
    <cellStyle name="Normal 3 2 2 2 6 5 2" xfId="20789"/>
    <cellStyle name="Normal 3 2 2 2 6 5 2 2" xfId="20790"/>
    <cellStyle name="Normal 3 2 2 2 6 5 2 3" xfId="20791"/>
    <cellStyle name="Normal 3 2 2 2 6 5 3" xfId="20792"/>
    <cellStyle name="Normal 3 2 2 2 6 5 3 2" xfId="20793"/>
    <cellStyle name="Normal 3 2 2 2 6 5 4" xfId="20794"/>
    <cellStyle name="Normal 3 2 2 2 6 5 4 2" xfId="20795"/>
    <cellStyle name="Normal 3 2 2 2 6 5 5" xfId="20796"/>
    <cellStyle name="Normal 3 2 2 2 6 5 6" xfId="20797"/>
    <cellStyle name="Normal 3 2 2 2 6 5 7" xfId="20798"/>
    <cellStyle name="Normal 3 2 2 2 6 6" xfId="20799"/>
    <cellStyle name="Normal 3 2 2 2 6 6 2" xfId="20800"/>
    <cellStyle name="Normal 3 2 2 2 6 6 2 2" xfId="20801"/>
    <cellStyle name="Normal 3 2 2 2 6 6 2 3" xfId="20802"/>
    <cellStyle name="Normal 3 2 2 2 6 6 3" xfId="20803"/>
    <cellStyle name="Normal 3 2 2 2 6 6 3 2" xfId="20804"/>
    <cellStyle name="Normal 3 2 2 2 6 6 4" xfId="20805"/>
    <cellStyle name="Normal 3 2 2 2 6 6 5" xfId="20806"/>
    <cellStyle name="Normal 3 2 2 2 6 6 6" xfId="20807"/>
    <cellStyle name="Normal 3 2 2 2 6 7" xfId="20808"/>
    <cellStyle name="Normal 3 2 2 2 6 7 2" xfId="20809"/>
    <cellStyle name="Normal 3 2 2 2 6 7 3" xfId="20810"/>
    <cellStyle name="Normal 3 2 2 2 6 8" xfId="20811"/>
    <cellStyle name="Normal 3 2 2 2 6 8 2" xfId="20812"/>
    <cellStyle name="Normal 3 2 2 2 6 9" xfId="20813"/>
    <cellStyle name="Normal 3 2 2 2 6 9 2" xfId="20814"/>
    <cellStyle name="Normal 3 2 2 2 7" xfId="20815"/>
    <cellStyle name="Normal 3 2 2 2 7 10" xfId="20816"/>
    <cellStyle name="Normal 3 2 2 2 7 11" xfId="20817"/>
    <cellStyle name="Normal 3 2 2 2 7 2" xfId="20818"/>
    <cellStyle name="Normal 3 2 2 2 7 2 2" xfId="20819"/>
    <cellStyle name="Normal 3 2 2 2 7 2 2 2" xfId="20820"/>
    <cellStyle name="Normal 3 2 2 2 7 2 2 2 2" xfId="20821"/>
    <cellStyle name="Normal 3 2 2 2 7 2 2 3" xfId="20822"/>
    <cellStyle name="Normal 3 2 2 2 7 2 3" xfId="20823"/>
    <cellStyle name="Normal 3 2 2 2 7 2 3 2" xfId="20824"/>
    <cellStyle name="Normal 3 2 2 2 7 2 3 2 2" xfId="20825"/>
    <cellStyle name="Normal 3 2 2 2 7 2 3 3" xfId="20826"/>
    <cellStyle name="Normal 3 2 2 2 7 2 4" xfId="20827"/>
    <cellStyle name="Normal 3 2 2 2 7 2 4 2" xfId="20828"/>
    <cellStyle name="Normal 3 2 2 2 7 2 4 3" xfId="20829"/>
    <cellStyle name="Normal 3 2 2 2 7 2 5" xfId="20830"/>
    <cellStyle name="Normal 3 2 2 2 7 2 6" xfId="20831"/>
    <cellStyle name="Normal 3 2 2 2 7 2 7" xfId="20832"/>
    <cellStyle name="Normal 3 2 2 2 7 3" xfId="20833"/>
    <cellStyle name="Normal 3 2 2 2 7 3 2" xfId="20834"/>
    <cellStyle name="Normal 3 2 2 2 7 3 2 2" xfId="20835"/>
    <cellStyle name="Normal 3 2 2 2 7 3 2 3" xfId="20836"/>
    <cellStyle name="Normal 3 2 2 2 7 3 3" xfId="20837"/>
    <cellStyle name="Normal 3 2 2 2 7 3 3 2" xfId="20838"/>
    <cellStyle name="Normal 3 2 2 2 7 3 3 3" xfId="20839"/>
    <cellStyle name="Normal 3 2 2 2 7 3 4" xfId="20840"/>
    <cellStyle name="Normal 3 2 2 2 7 3 4 2" xfId="20841"/>
    <cellStyle name="Normal 3 2 2 2 7 3 5" xfId="20842"/>
    <cellStyle name="Normal 3 2 2 2 7 3 6" xfId="20843"/>
    <cellStyle name="Normal 3 2 2 2 7 3 7" xfId="20844"/>
    <cellStyle name="Normal 3 2 2 2 7 4" xfId="20845"/>
    <cellStyle name="Normal 3 2 2 2 7 4 2" xfId="20846"/>
    <cellStyle name="Normal 3 2 2 2 7 4 2 2" xfId="20847"/>
    <cellStyle name="Normal 3 2 2 2 7 4 2 3" xfId="20848"/>
    <cellStyle name="Normal 3 2 2 2 7 4 3" xfId="20849"/>
    <cellStyle name="Normal 3 2 2 2 7 4 3 2" xfId="20850"/>
    <cellStyle name="Normal 3 2 2 2 7 4 4" xfId="20851"/>
    <cellStyle name="Normal 3 2 2 2 7 4 4 2" xfId="20852"/>
    <cellStyle name="Normal 3 2 2 2 7 4 5" xfId="20853"/>
    <cellStyle name="Normal 3 2 2 2 7 4 6" xfId="20854"/>
    <cellStyle name="Normal 3 2 2 2 7 4 7" xfId="20855"/>
    <cellStyle name="Normal 3 2 2 2 7 5" xfId="20856"/>
    <cellStyle name="Normal 3 2 2 2 7 5 2" xfId="20857"/>
    <cellStyle name="Normal 3 2 2 2 7 5 2 2" xfId="20858"/>
    <cellStyle name="Normal 3 2 2 2 7 5 2 3" xfId="20859"/>
    <cellStyle name="Normal 3 2 2 2 7 5 3" xfId="20860"/>
    <cellStyle name="Normal 3 2 2 2 7 5 3 2" xfId="20861"/>
    <cellStyle name="Normal 3 2 2 2 7 5 4" xfId="20862"/>
    <cellStyle name="Normal 3 2 2 2 7 5 5" xfId="20863"/>
    <cellStyle name="Normal 3 2 2 2 7 5 6" xfId="20864"/>
    <cellStyle name="Normal 3 2 2 2 7 6" xfId="20865"/>
    <cellStyle name="Normal 3 2 2 2 7 6 2" xfId="20866"/>
    <cellStyle name="Normal 3 2 2 2 7 6 3" xfId="20867"/>
    <cellStyle name="Normal 3 2 2 2 7 7" xfId="20868"/>
    <cellStyle name="Normal 3 2 2 2 7 7 2" xfId="20869"/>
    <cellStyle name="Normal 3 2 2 2 7 8" xfId="20870"/>
    <cellStyle name="Normal 3 2 2 2 7 8 2" xfId="20871"/>
    <cellStyle name="Normal 3 2 2 2 7 9" xfId="20872"/>
    <cellStyle name="Normal 3 2 2 2 8" xfId="20873"/>
    <cellStyle name="Normal 3 2 2 2 8 10" xfId="20874"/>
    <cellStyle name="Normal 3 2 2 2 8 11" xfId="20875"/>
    <cellStyle name="Normal 3 2 2 2 8 2" xfId="20876"/>
    <cellStyle name="Normal 3 2 2 2 8 2 2" xfId="20877"/>
    <cellStyle name="Normal 3 2 2 2 8 2 2 2" xfId="20878"/>
    <cellStyle name="Normal 3 2 2 2 8 2 2 3" xfId="20879"/>
    <cellStyle name="Normal 3 2 2 2 8 2 3" xfId="20880"/>
    <cellStyle name="Normal 3 2 2 2 8 2 3 2" xfId="20881"/>
    <cellStyle name="Normal 3 2 2 2 8 2 4" xfId="20882"/>
    <cellStyle name="Normal 3 2 2 2 8 2 4 2" xfId="20883"/>
    <cellStyle name="Normal 3 2 2 2 8 2 5" xfId="20884"/>
    <cellStyle name="Normal 3 2 2 2 8 2 6" xfId="20885"/>
    <cellStyle name="Normal 3 2 2 2 8 2 7" xfId="20886"/>
    <cellStyle name="Normal 3 2 2 2 8 3" xfId="20887"/>
    <cellStyle name="Normal 3 2 2 2 8 3 2" xfId="20888"/>
    <cellStyle name="Normal 3 2 2 2 8 3 2 2" xfId="20889"/>
    <cellStyle name="Normal 3 2 2 2 8 3 2 3" xfId="20890"/>
    <cellStyle name="Normal 3 2 2 2 8 3 3" xfId="20891"/>
    <cellStyle name="Normal 3 2 2 2 8 3 3 2" xfId="20892"/>
    <cellStyle name="Normal 3 2 2 2 8 3 4" xfId="20893"/>
    <cellStyle name="Normal 3 2 2 2 8 3 4 2" xfId="20894"/>
    <cellStyle name="Normal 3 2 2 2 8 3 5" xfId="20895"/>
    <cellStyle name="Normal 3 2 2 2 8 3 6" xfId="20896"/>
    <cellStyle name="Normal 3 2 2 2 8 3 7" xfId="20897"/>
    <cellStyle name="Normal 3 2 2 2 8 4" xfId="20898"/>
    <cellStyle name="Normal 3 2 2 2 8 4 2" xfId="20899"/>
    <cellStyle name="Normal 3 2 2 2 8 4 2 2" xfId="20900"/>
    <cellStyle name="Normal 3 2 2 2 8 4 3" xfId="20901"/>
    <cellStyle name="Normal 3 2 2 2 8 4 3 2" xfId="20902"/>
    <cellStyle name="Normal 3 2 2 2 8 4 4" xfId="20903"/>
    <cellStyle name="Normal 3 2 2 2 8 4 4 2" xfId="20904"/>
    <cellStyle name="Normal 3 2 2 2 8 4 5" xfId="20905"/>
    <cellStyle name="Normal 3 2 2 2 8 4 6" xfId="20906"/>
    <cellStyle name="Normal 3 2 2 2 8 4 7" xfId="20907"/>
    <cellStyle name="Normal 3 2 2 2 8 5" xfId="20908"/>
    <cellStyle name="Normal 3 2 2 2 8 5 2" xfId="20909"/>
    <cellStyle name="Normal 3 2 2 2 8 5 2 2" xfId="20910"/>
    <cellStyle name="Normal 3 2 2 2 8 5 3" xfId="20911"/>
    <cellStyle name="Normal 3 2 2 2 8 5 3 2" xfId="20912"/>
    <cellStyle name="Normal 3 2 2 2 8 5 4" xfId="20913"/>
    <cellStyle name="Normal 3 2 2 2 8 5 5" xfId="20914"/>
    <cellStyle name="Normal 3 2 2 2 8 6" xfId="20915"/>
    <cellStyle name="Normal 3 2 2 2 8 6 2" xfId="20916"/>
    <cellStyle name="Normal 3 2 2 2 8 7" xfId="20917"/>
    <cellStyle name="Normal 3 2 2 2 8 7 2" xfId="20918"/>
    <cellStyle name="Normal 3 2 2 2 8 8" xfId="20919"/>
    <cellStyle name="Normal 3 2 2 2 8 8 2" xfId="20920"/>
    <cellStyle name="Normal 3 2 2 2 8 9" xfId="20921"/>
    <cellStyle name="Normal 3 2 2 2 9" xfId="20922"/>
    <cellStyle name="Normal 3 2 2 2 9 2" xfId="20923"/>
    <cellStyle name="Normal 3 2 2 2 9 2 2" xfId="20924"/>
    <cellStyle name="Normal 3 2 2 2 9 2 2 2" xfId="20925"/>
    <cellStyle name="Normal 3 2 2 2 9 2 3" xfId="20926"/>
    <cellStyle name="Normal 3 2 2 2 9 3" xfId="20927"/>
    <cellStyle name="Normal 3 2 2 2 9 3 2" xfId="20928"/>
    <cellStyle name="Normal 3 2 2 2 9 3 2 2" xfId="20929"/>
    <cellStyle name="Normal 3 2 2 2 9 3 3" xfId="20930"/>
    <cellStyle name="Normal 3 2 2 2 9 4" xfId="20931"/>
    <cellStyle name="Normal 3 2 2 2 9 4 2" xfId="20932"/>
    <cellStyle name="Normal 3 2 2 2 9 4 3" xfId="20933"/>
    <cellStyle name="Normal 3 2 2 2 9 5" xfId="20934"/>
    <cellStyle name="Normal 3 2 2 2 9 6" xfId="20935"/>
    <cellStyle name="Normal 3 2 2 2 9 7" xfId="20936"/>
    <cellStyle name="Normal 3 2 2 3" xfId="20937"/>
    <cellStyle name="Normal 3 2 2 3 10" xfId="20938"/>
    <cellStyle name="Normal 3 2 2 3 10 2" xfId="20939"/>
    <cellStyle name="Normal 3 2 2 3 10 2 2" xfId="20940"/>
    <cellStyle name="Normal 3 2 2 3 10 3" xfId="20941"/>
    <cellStyle name="Normal 3 2 2 3 11" xfId="20942"/>
    <cellStyle name="Normal 3 2 2 3 11 2" xfId="20943"/>
    <cellStyle name="Normal 3 2 2 3 11 3" xfId="20944"/>
    <cellStyle name="Normal 3 2 2 3 12" xfId="20945"/>
    <cellStyle name="Normal 3 2 2 3 13" xfId="20946"/>
    <cellStyle name="Normal 3 2 2 3 14" xfId="20947"/>
    <cellStyle name="Normal 3 2 2 3 2" xfId="20948"/>
    <cellStyle name="Normal 3 2 2 3 2 10" xfId="20949"/>
    <cellStyle name="Normal 3 2 2 3 2 11" xfId="20950"/>
    <cellStyle name="Normal 3 2 2 3 2 12" xfId="20951"/>
    <cellStyle name="Normal 3 2 2 3 2 2" xfId="20952"/>
    <cellStyle name="Normal 3 2 2 3 2 2 2" xfId="20953"/>
    <cellStyle name="Normal 3 2 2 3 2 2 2 2" xfId="20954"/>
    <cellStyle name="Normal 3 2 2 3 2 2 2 2 2" xfId="20955"/>
    <cellStyle name="Normal 3 2 2 3 2 2 2 2 3" xfId="20956"/>
    <cellStyle name="Normal 3 2 2 3 2 2 2 2 4" xfId="20957"/>
    <cellStyle name="Normal 3 2 2 3 2 2 2 3" xfId="20958"/>
    <cellStyle name="Normal 3 2 2 3 2 2 2 3 2" xfId="20959"/>
    <cellStyle name="Normal 3 2 2 3 2 2 2 4" xfId="20960"/>
    <cellStyle name="Normal 3 2 2 3 2 2 2 4 2" xfId="20961"/>
    <cellStyle name="Normal 3 2 2 3 2 2 2 5" xfId="20962"/>
    <cellStyle name="Normal 3 2 2 3 2 2 2 6" xfId="20963"/>
    <cellStyle name="Normal 3 2 2 3 2 2 3" xfId="20964"/>
    <cellStyle name="Normal 3 2 2 3 2 2 3 2" xfId="20965"/>
    <cellStyle name="Normal 3 2 2 3 2 2 3 2 2" xfId="20966"/>
    <cellStyle name="Normal 3 2 2 3 2 2 3 2 3" xfId="20967"/>
    <cellStyle name="Normal 3 2 2 3 2 2 3 3" xfId="20968"/>
    <cellStyle name="Normal 3 2 2 3 2 2 3 3 2" xfId="20969"/>
    <cellStyle name="Normal 3 2 2 3 2 2 3 4" xfId="20970"/>
    <cellStyle name="Normal 3 2 2 3 2 2 3 5" xfId="20971"/>
    <cellStyle name="Normal 3 2 2 3 2 2 4" xfId="20972"/>
    <cellStyle name="Normal 3 2 2 3 2 2 4 2" xfId="20973"/>
    <cellStyle name="Normal 3 2 2 3 2 2 4 2 2" xfId="20974"/>
    <cellStyle name="Normal 3 2 2 3 2 2 4 3" xfId="20975"/>
    <cellStyle name="Normal 3 2 2 3 2 2 4 4" xfId="20976"/>
    <cellStyle name="Normal 3 2 2 3 2 2 5" xfId="20977"/>
    <cellStyle name="Normal 3 2 2 3 2 2 5 2" xfId="20978"/>
    <cellStyle name="Normal 3 2 2 3 2 2 5 3" xfId="20979"/>
    <cellStyle name="Normal 3 2 2 3 2 2 6" xfId="20980"/>
    <cellStyle name="Normal 3 2 2 3 2 2 6 2" xfId="20981"/>
    <cellStyle name="Normal 3 2 2 3 2 2 6 3" xfId="20982"/>
    <cellStyle name="Normal 3 2 2 3 2 2 7" xfId="20983"/>
    <cellStyle name="Normal 3 2 2 3 2 2 8" xfId="20984"/>
    <cellStyle name="Normal 3 2 2 3 2 3" xfId="20985"/>
    <cellStyle name="Normal 3 2 2 3 2 3 2" xfId="20986"/>
    <cellStyle name="Normal 3 2 2 3 2 3 2 2" xfId="20987"/>
    <cellStyle name="Normal 3 2 2 3 2 3 2 2 2" xfId="20988"/>
    <cellStyle name="Normal 3 2 2 3 2 3 2 3" xfId="20989"/>
    <cellStyle name="Normal 3 2 2 3 2 3 2 4" xfId="20990"/>
    <cellStyle name="Normal 3 2 2 3 2 3 3" xfId="20991"/>
    <cellStyle name="Normal 3 2 2 3 2 3 3 2" xfId="20992"/>
    <cellStyle name="Normal 3 2 2 3 2 3 3 2 2" xfId="20993"/>
    <cellStyle name="Normal 3 2 2 3 2 3 3 3" xfId="20994"/>
    <cellStyle name="Normal 3 2 2 3 2 3 4" xfId="20995"/>
    <cellStyle name="Normal 3 2 2 3 2 3 4 2" xfId="20996"/>
    <cellStyle name="Normal 3 2 2 3 2 3 4 2 2" xfId="20997"/>
    <cellStyle name="Normal 3 2 2 3 2 3 4 3" xfId="20998"/>
    <cellStyle name="Normal 3 2 2 3 2 3 5" xfId="20999"/>
    <cellStyle name="Normal 3 2 2 3 2 3 5 2" xfId="21000"/>
    <cellStyle name="Normal 3 2 2 3 2 3 6" xfId="21001"/>
    <cellStyle name="Normal 3 2 2 3 2 3 7" xfId="21002"/>
    <cellStyle name="Normal 3 2 2 3 2 4" xfId="21003"/>
    <cellStyle name="Normal 3 2 2 3 2 4 2" xfId="21004"/>
    <cellStyle name="Normal 3 2 2 3 2 4 2 2" xfId="21005"/>
    <cellStyle name="Normal 3 2 2 3 2 4 2 2 2" xfId="21006"/>
    <cellStyle name="Normal 3 2 2 3 2 4 2 3" xfId="21007"/>
    <cellStyle name="Normal 3 2 2 3 2 4 3" xfId="21008"/>
    <cellStyle name="Normal 3 2 2 3 2 4 3 2" xfId="21009"/>
    <cellStyle name="Normal 3 2 2 3 2 4 3 2 2" xfId="21010"/>
    <cellStyle name="Normal 3 2 2 3 2 4 3 3" xfId="21011"/>
    <cellStyle name="Normal 3 2 2 3 2 4 4" xfId="21012"/>
    <cellStyle name="Normal 3 2 2 3 2 4 4 2" xfId="21013"/>
    <cellStyle name="Normal 3 2 2 3 2 4 4 3" xfId="21014"/>
    <cellStyle name="Normal 3 2 2 3 2 4 5" xfId="21015"/>
    <cellStyle name="Normal 3 2 2 3 2 4 6" xfId="21016"/>
    <cellStyle name="Normal 3 2 2 3 2 4 7" xfId="21017"/>
    <cellStyle name="Normal 3 2 2 3 2 5" xfId="21018"/>
    <cellStyle name="Normal 3 2 2 3 2 5 2" xfId="21019"/>
    <cellStyle name="Normal 3 2 2 3 2 5 2 2" xfId="21020"/>
    <cellStyle name="Normal 3 2 2 3 2 5 2 3" xfId="21021"/>
    <cellStyle name="Normal 3 2 2 3 2 5 3" xfId="21022"/>
    <cellStyle name="Normal 3 2 2 3 2 5 3 2" xfId="21023"/>
    <cellStyle name="Normal 3 2 2 3 2 5 3 3" xfId="21024"/>
    <cellStyle name="Normal 3 2 2 3 2 5 4" xfId="21025"/>
    <cellStyle name="Normal 3 2 2 3 2 5 4 2" xfId="21026"/>
    <cellStyle name="Normal 3 2 2 3 2 5 5" xfId="21027"/>
    <cellStyle name="Normal 3 2 2 3 2 5 6" xfId="21028"/>
    <cellStyle name="Normal 3 2 2 3 2 5 7" xfId="21029"/>
    <cellStyle name="Normal 3 2 2 3 2 6" xfId="21030"/>
    <cellStyle name="Normal 3 2 2 3 2 6 2" xfId="21031"/>
    <cellStyle name="Normal 3 2 2 3 2 6 2 2" xfId="21032"/>
    <cellStyle name="Normal 3 2 2 3 2 6 2 3" xfId="21033"/>
    <cellStyle name="Normal 3 2 2 3 2 6 3" xfId="21034"/>
    <cellStyle name="Normal 3 2 2 3 2 6 3 2" xfId="21035"/>
    <cellStyle name="Normal 3 2 2 3 2 6 4" xfId="21036"/>
    <cellStyle name="Normal 3 2 2 3 2 6 5" xfId="21037"/>
    <cellStyle name="Normal 3 2 2 3 2 6 6" xfId="21038"/>
    <cellStyle name="Normal 3 2 2 3 2 7" xfId="21039"/>
    <cellStyle name="Normal 3 2 2 3 2 7 2" xfId="21040"/>
    <cellStyle name="Normal 3 2 2 3 2 7 2 2" xfId="21041"/>
    <cellStyle name="Normal 3 2 2 3 2 7 3" xfId="21042"/>
    <cellStyle name="Normal 3 2 2 3 2 8" xfId="21043"/>
    <cellStyle name="Normal 3 2 2 3 2 8 2" xfId="21044"/>
    <cellStyle name="Normal 3 2 2 3 2 8 3" xfId="21045"/>
    <cellStyle name="Normal 3 2 2 3 2 9" xfId="21046"/>
    <cellStyle name="Normal 3 2 2 3 2 9 2" xfId="21047"/>
    <cellStyle name="Normal 3 2 2 3 3" xfId="21048"/>
    <cellStyle name="Normal 3 2 2 3 3 10" xfId="21049"/>
    <cellStyle name="Normal 3 2 2 3 3 11" xfId="21050"/>
    <cellStyle name="Normal 3 2 2 3 3 2" xfId="21051"/>
    <cellStyle name="Normal 3 2 2 3 3 2 2" xfId="21052"/>
    <cellStyle name="Normal 3 2 2 3 3 2 2 2" xfId="21053"/>
    <cellStyle name="Normal 3 2 2 3 3 2 2 2 2" xfId="21054"/>
    <cellStyle name="Normal 3 2 2 3 3 2 2 3" xfId="21055"/>
    <cellStyle name="Normal 3 2 2 3 3 2 2 4" xfId="21056"/>
    <cellStyle name="Normal 3 2 2 3 3 2 3" xfId="21057"/>
    <cellStyle name="Normal 3 2 2 3 3 2 3 2" xfId="21058"/>
    <cellStyle name="Normal 3 2 2 3 3 2 3 2 2" xfId="21059"/>
    <cellStyle name="Normal 3 2 2 3 3 2 3 3" xfId="21060"/>
    <cellStyle name="Normal 3 2 2 3 3 2 4" xfId="21061"/>
    <cellStyle name="Normal 3 2 2 3 3 2 4 2" xfId="21062"/>
    <cellStyle name="Normal 3 2 2 3 3 2 4 2 2" xfId="21063"/>
    <cellStyle name="Normal 3 2 2 3 3 2 4 3" xfId="21064"/>
    <cellStyle name="Normal 3 2 2 3 3 2 5" xfId="21065"/>
    <cellStyle name="Normal 3 2 2 3 3 2 5 2" xfId="21066"/>
    <cellStyle name="Normal 3 2 2 3 3 2 6" xfId="21067"/>
    <cellStyle name="Normal 3 2 2 3 3 2 7" xfId="21068"/>
    <cellStyle name="Normal 3 2 2 3 3 3" xfId="21069"/>
    <cellStyle name="Normal 3 2 2 3 3 3 2" xfId="21070"/>
    <cellStyle name="Normal 3 2 2 3 3 3 2 2" xfId="21071"/>
    <cellStyle name="Normal 3 2 2 3 3 3 2 2 2" xfId="21072"/>
    <cellStyle name="Normal 3 2 2 3 3 3 2 3" xfId="21073"/>
    <cellStyle name="Normal 3 2 2 3 3 3 3" xfId="21074"/>
    <cellStyle name="Normal 3 2 2 3 3 3 3 2" xfId="21075"/>
    <cellStyle name="Normal 3 2 2 3 3 3 3 2 2" xfId="21076"/>
    <cellStyle name="Normal 3 2 2 3 3 3 3 3" xfId="21077"/>
    <cellStyle name="Normal 3 2 2 3 3 3 4" xfId="21078"/>
    <cellStyle name="Normal 3 2 2 3 3 3 4 2" xfId="21079"/>
    <cellStyle name="Normal 3 2 2 3 3 3 4 3" xfId="21080"/>
    <cellStyle name="Normal 3 2 2 3 3 3 5" xfId="21081"/>
    <cellStyle name="Normal 3 2 2 3 3 3 6" xfId="21082"/>
    <cellStyle name="Normal 3 2 2 3 3 3 7" xfId="21083"/>
    <cellStyle name="Normal 3 2 2 3 3 4" xfId="21084"/>
    <cellStyle name="Normal 3 2 2 3 3 4 2" xfId="21085"/>
    <cellStyle name="Normal 3 2 2 3 3 4 2 2" xfId="21086"/>
    <cellStyle name="Normal 3 2 2 3 3 4 2 3" xfId="21087"/>
    <cellStyle name="Normal 3 2 2 3 3 4 3" xfId="21088"/>
    <cellStyle name="Normal 3 2 2 3 3 4 3 2" xfId="21089"/>
    <cellStyle name="Normal 3 2 2 3 3 4 3 3" xfId="21090"/>
    <cellStyle name="Normal 3 2 2 3 3 4 4" xfId="21091"/>
    <cellStyle name="Normal 3 2 2 3 3 4 4 2" xfId="21092"/>
    <cellStyle name="Normal 3 2 2 3 3 4 5" xfId="21093"/>
    <cellStyle name="Normal 3 2 2 3 3 4 6" xfId="21094"/>
    <cellStyle name="Normal 3 2 2 3 3 4 7" xfId="21095"/>
    <cellStyle name="Normal 3 2 2 3 3 5" xfId="21096"/>
    <cellStyle name="Normal 3 2 2 3 3 5 2" xfId="21097"/>
    <cellStyle name="Normal 3 2 2 3 3 5 2 2" xfId="21098"/>
    <cellStyle name="Normal 3 2 2 3 3 5 2 3" xfId="21099"/>
    <cellStyle name="Normal 3 2 2 3 3 5 3" xfId="21100"/>
    <cellStyle name="Normal 3 2 2 3 3 5 3 2" xfId="21101"/>
    <cellStyle name="Normal 3 2 2 3 3 5 4" xfId="21102"/>
    <cellStyle name="Normal 3 2 2 3 3 5 5" xfId="21103"/>
    <cellStyle name="Normal 3 2 2 3 3 5 6" xfId="21104"/>
    <cellStyle name="Normal 3 2 2 3 3 6" xfId="21105"/>
    <cellStyle name="Normal 3 2 2 3 3 6 2" xfId="21106"/>
    <cellStyle name="Normal 3 2 2 3 3 6 2 2" xfId="21107"/>
    <cellStyle name="Normal 3 2 2 3 3 6 3" xfId="21108"/>
    <cellStyle name="Normal 3 2 2 3 3 7" xfId="21109"/>
    <cellStyle name="Normal 3 2 2 3 3 7 2" xfId="21110"/>
    <cellStyle name="Normal 3 2 2 3 3 7 3" xfId="21111"/>
    <cellStyle name="Normal 3 2 2 3 3 8" xfId="21112"/>
    <cellStyle name="Normal 3 2 2 3 3 8 2" xfId="21113"/>
    <cellStyle name="Normal 3 2 2 3 3 9" xfId="21114"/>
    <cellStyle name="Normal 3 2 2 3 4" xfId="21115"/>
    <cellStyle name="Normal 3 2 2 3 4 10" xfId="21116"/>
    <cellStyle name="Normal 3 2 2 3 4 11" xfId="21117"/>
    <cellStyle name="Normal 3 2 2 3 4 2" xfId="21118"/>
    <cellStyle name="Normal 3 2 2 3 4 2 2" xfId="21119"/>
    <cellStyle name="Normal 3 2 2 3 4 2 2 2" xfId="21120"/>
    <cellStyle name="Normal 3 2 2 3 4 2 2 2 2" xfId="21121"/>
    <cellStyle name="Normal 3 2 2 3 4 2 2 3" xfId="21122"/>
    <cellStyle name="Normal 3 2 2 3 4 2 2 4" xfId="21123"/>
    <cellStyle name="Normal 3 2 2 3 4 2 3" xfId="21124"/>
    <cellStyle name="Normal 3 2 2 3 4 2 3 2" xfId="21125"/>
    <cellStyle name="Normal 3 2 2 3 4 2 3 2 2" xfId="21126"/>
    <cellStyle name="Normal 3 2 2 3 4 2 3 3" xfId="21127"/>
    <cellStyle name="Normal 3 2 2 3 4 2 4" xfId="21128"/>
    <cellStyle name="Normal 3 2 2 3 4 2 4 2" xfId="21129"/>
    <cellStyle name="Normal 3 2 2 3 4 2 4 2 2" xfId="21130"/>
    <cellStyle name="Normal 3 2 2 3 4 2 4 3" xfId="21131"/>
    <cellStyle name="Normal 3 2 2 3 4 2 5" xfId="21132"/>
    <cellStyle name="Normal 3 2 2 3 4 2 5 2" xfId="21133"/>
    <cellStyle name="Normal 3 2 2 3 4 2 6" xfId="21134"/>
    <cellStyle name="Normal 3 2 2 3 4 2 7" xfId="21135"/>
    <cellStyle name="Normal 3 2 2 3 4 3" xfId="21136"/>
    <cellStyle name="Normal 3 2 2 3 4 3 2" xfId="21137"/>
    <cellStyle name="Normal 3 2 2 3 4 3 2 2" xfId="21138"/>
    <cellStyle name="Normal 3 2 2 3 4 3 2 2 2" xfId="21139"/>
    <cellStyle name="Normal 3 2 2 3 4 3 2 3" xfId="21140"/>
    <cellStyle name="Normal 3 2 2 3 4 3 3" xfId="21141"/>
    <cellStyle name="Normal 3 2 2 3 4 3 3 2" xfId="21142"/>
    <cellStyle name="Normal 3 2 2 3 4 3 3 2 2" xfId="21143"/>
    <cellStyle name="Normal 3 2 2 3 4 3 3 3" xfId="21144"/>
    <cellStyle name="Normal 3 2 2 3 4 3 4" xfId="21145"/>
    <cellStyle name="Normal 3 2 2 3 4 3 4 2" xfId="21146"/>
    <cellStyle name="Normal 3 2 2 3 4 3 4 3" xfId="21147"/>
    <cellStyle name="Normal 3 2 2 3 4 3 5" xfId="21148"/>
    <cellStyle name="Normal 3 2 2 3 4 3 6" xfId="21149"/>
    <cellStyle name="Normal 3 2 2 3 4 3 7" xfId="21150"/>
    <cellStyle name="Normal 3 2 2 3 4 4" xfId="21151"/>
    <cellStyle name="Normal 3 2 2 3 4 4 2" xfId="21152"/>
    <cellStyle name="Normal 3 2 2 3 4 4 2 2" xfId="21153"/>
    <cellStyle name="Normal 3 2 2 3 4 4 2 3" xfId="21154"/>
    <cellStyle name="Normal 3 2 2 3 4 4 3" xfId="21155"/>
    <cellStyle name="Normal 3 2 2 3 4 4 3 2" xfId="21156"/>
    <cellStyle name="Normal 3 2 2 3 4 4 3 3" xfId="21157"/>
    <cellStyle name="Normal 3 2 2 3 4 4 4" xfId="21158"/>
    <cellStyle name="Normal 3 2 2 3 4 4 4 2" xfId="21159"/>
    <cellStyle name="Normal 3 2 2 3 4 4 5" xfId="21160"/>
    <cellStyle name="Normal 3 2 2 3 4 4 6" xfId="21161"/>
    <cellStyle name="Normal 3 2 2 3 4 4 7" xfId="21162"/>
    <cellStyle name="Normal 3 2 2 3 4 5" xfId="21163"/>
    <cellStyle name="Normal 3 2 2 3 4 5 2" xfId="21164"/>
    <cellStyle name="Normal 3 2 2 3 4 5 2 2" xfId="21165"/>
    <cellStyle name="Normal 3 2 2 3 4 5 2 3" xfId="21166"/>
    <cellStyle name="Normal 3 2 2 3 4 5 3" xfId="21167"/>
    <cellStyle name="Normal 3 2 2 3 4 5 3 2" xfId="21168"/>
    <cellStyle name="Normal 3 2 2 3 4 5 4" xfId="21169"/>
    <cellStyle name="Normal 3 2 2 3 4 5 5" xfId="21170"/>
    <cellStyle name="Normal 3 2 2 3 4 5 6" xfId="21171"/>
    <cellStyle name="Normal 3 2 2 3 4 6" xfId="21172"/>
    <cellStyle name="Normal 3 2 2 3 4 6 2" xfId="21173"/>
    <cellStyle name="Normal 3 2 2 3 4 6 2 2" xfId="21174"/>
    <cellStyle name="Normal 3 2 2 3 4 6 3" xfId="21175"/>
    <cellStyle name="Normal 3 2 2 3 4 7" xfId="21176"/>
    <cellStyle name="Normal 3 2 2 3 4 7 2" xfId="21177"/>
    <cellStyle name="Normal 3 2 2 3 4 7 3" xfId="21178"/>
    <cellStyle name="Normal 3 2 2 3 4 8" xfId="21179"/>
    <cellStyle name="Normal 3 2 2 3 4 8 2" xfId="21180"/>
    <cellStyle name="Normal 3 2 2 3 4 9" xfId="21181"/>
    <cellStyle name="Normal 3 2 2 3 5" xfId="21182"/>
    <cellStyle name="Normal 3 2 2 3 5 2" xfId="21183"/>
    <cellStyle name="Normal 3 2 2 3 5 2 2" xfId="21184"/>
    <cellStyle name="Normal 3 2 2 3 5 2 2 2" xfId="21185"/>
    <cellStyle name="Normal 3 2 2 3 5 2 2 3" xfId="21186"/>
    <cellStyle name="Normal 3 2 2 3 5 2 3" xfId="21187"/>
    <cellStyle name="Normal 3 2 2 3 5 2 3 2" xfId="21188"/>
    <cellStyle name="Normal 3 2 2 3 5 2 4" xfId="21189"/>
    <cellStyle name="Normal 3 2 2 3 5 2 5" xfId="21190"/>
    <cellStyle name="Normal 3 2 2 3 5 3" xfId="21191"/>
    <cellStyle name="Normal 3 2 2 3 5 3 2" xfId="21192"/>
    <cellStyle name="Normal 3 2 2 3 5 3 2 2" xfId="21193"/>
    <cellStyle name="Normal 3 2 2 3 5 3 3" xfId="21194"/>
    <cellStyle name="Normal 3 2 2 3 5 3 4" xfId="21195"/>
    <cellStyle name="Normal 3 2 2 3 5 4" xfId="21196"/>
    <cellStyle name="Normal 3 2 2 3 5 4 2" xfId="21197"/>
    <cellStyle name="Normal 3 2 2 3 5 4 2 2" xfId="21198"/>
    <cellStyle name="Normal 3 2 2 3 5 4 3" xfId="21199"/>
    <cellStyle name="Normal 3 2 2 3 5 5" xfId="21200"/>
    <cellStyle name="Normal 3 2 2 3 5 5 2" xfId="21201"/>
    <cellStyle name="Normal 3 2 2 3 5 5 3" xfId="21202"/>
    <cellStyle name="Normal 3 2 2 3 5 6" xfId="21203"/>
    <cellStyle name="Normal 3 2 2 3 5 6 2" xfId="21204"/>
    <cellStyle name="Normal 3 2 2 3 5 7" xfId="21205"/>
    <cellStyle name="Normal 3 2 2 3 6" xfId="21206"/>
    <cellStyle name="Normal 3 2 2 3 6 2" xfId="21207"/>
    <cellStyle name="Normal 3 2 2 3 6 2 2" xfId="21208"/>
    <cellStyle name="Normal 3 2 2 3 6 2 2 2" xfId="21209"/>
    <cellStyle name="Normal 3 2 2 3 6 2 3" xfId="21210"/>
    <cellStyle name="Normal 3 2 2 3 6 3" xfId="21211"/>
    <cellStyle name="Normal 3 2 2 3 6 3 2" xfId="21212"/>
    <cellStyle name="Normal 3 2 2 3 6 3 2 2" xfId="21213"/>
    <cellStyle name="Normal 3 2 2 3 6 3 3" xfId="21214"/>
    <cellStyle name="Normal 3 2 2 3 6 4" xfId="21215"/>
    <cellStyle name="Normal 3 2 2 3 6 4 2" xfId="21216"/>
    <cellStyle name="Normal 3 2 2 3 6 4 3" xfId="21217"/>
    <cellStyle name="Normal 3 2 2 3 6 5" xfId="21218"/>
    <cellStyle name="Normal 3 2 2 3 6 6" xfId="21219"/>
    <cellStyle name="Normal 3 2 2 3 6 7" xfId="21220"/>
    <cellStyle name="Normal 3 2 2 3 7" xfId="21221"/>
    <cellStyle name="Normal 3 2 2 3 7 2" xfId="21222"/>
    <cellStyle name="Normal 3 2 2 3 7 2 2" xfId="21223"/>
    <cellStyle name="Normal 3 2 2 3 7 2 2 2" xfId="21224"/>
    <cellStyle name="Normal 3 2 2 3 7 2 3" xfId="21225"/>
    <cellStyle name="Normal 3 2 2 3 7 3" xfId="21226"/>
    <cellStyle name="Normal 3 2 2 3 7 3 2" xfId="21227"/>
    <cellStyle name="Normal 3 2 2 3 7 3 2 2" xfId="21228"/>
    <cellStyle name="Normal 3 2 2 3 7 3 3" xfId="21229"/>
    <cellStyle name="Normal 3 2 2 3 7 4" xfId="21230"/>
    <cellStyle name="Normal 3 2 2 3 7 4 2" xfId="21231"/>
    <cellStyle name="Normal 3 2 2 3 7 4 3" xfId="21232"/>
    <cellStyle name="Normal 3 2 2 3 7 5" xfId="21233"/>
    <cellStyle name="Normal 3 2 2 3 7 6" xfId="21234"/>
    <cellStyle name="Normal 3 2 2 3 7 7" xfId="21235"/>
    <cellStyle name="Normal 3 2 2 3 8" xfId="21236"/>
    <cellStyle name="Normal 3 2 2 3 8 2" xfId="21237"/>
    <cellStyle name="Normal 3 2 2 3 8 2 2" xfId="21238"/>
    <cellStyle name="Normal 3 2 2 3 8 2 3" xfId="21239"/>
    <cellStyle name="Normal 3 2 2 3 8 3" xfId="21240"/>
    <cellStyle name="Normal 3 2 2 3 8 3 2" xfId="21241"/>
    <cellStyle name="Normal 3 2 2 3 8 3 3" xfId="21242"/>
    <cellStyle name="Normal 3 2 2 3 8 4" xfId="21243"/>
    <cellStyle name="Normal 3 2 2 3 8 5" xfId="21244"/>
    <cellStyle name="Normal 3 2 2 3 8 6" xfId="21245"/>
    <cellStyle name="Normal 3 2 2 3 9" xfId="21246"/>
    <cellStyle name="Normal 3 2 2 3 9 2" xfId="21247"/>
    <cellStyle name="Normal 3 2 2 3 9 2 2" xfId="21248"/>
    <cellStyle name="Normal 3 2 2 3 9 3" xfId="21249"/>
    <cellStyle name="Normal 3 2 2 4" xfId="21250"/>
    <cellStyle name="Normal 3 2 2 4 10" xfId="21251"/>
    <cellStyle name="Normal 3 2 2 4 10 2" xfId="21252"/>
    <cellStyle name="Normal 3 2 2 4 10 2 2" xfId="21253"/>
    <cellStyle name="Normal 3 2 2 4 10 3" xfId="21254"/>
    <cellStyle name="Normal 3 2 2 4 11" xfId="21255"/>
    <cellStyle name="Normal 3 2 2 4 11 2" xfId="21256"/>
    <cellStyle name="Normal 3 2 2 4 11 3" xfId="21257"/>
    <cellStyle name="Normal 3 2 2 4 12" xfId="21258"/>
    <cellStyle name="Normal 3 2 2 4 13" xfId="21259"/>
    <cellStyle name="Normal 3 2 2 4 14" xfId="21260"/>
    <cellStyle name="Normal 3 2 2 4 2" xfId="21261"/>
    <cellStyle name="Normal 3 2 2 4 2 10" xfId="21262"/>
    <cellStyle name="Normal 3 2 2 4 2 11" xfId="21263"/>
    <cellStyle name="Normal 3 2 2 4 2 12" xfId="21264"/>
    <cellStyle name="Normal 3 2 2 4 2 2" xfId="21265"/>
    <cellStyle name="Normal 3 2 2 4 2 2 2" xfId="21266"/>
    <cellStyle name="Normal 3 2 2 4 2 2 2 2" xfId="21267"/>
    <cellStyle name="Normal 3 2 2 4 2 2 2 2 2" xfId="21268"/>
    <cellStyle name="Normal 3 2 2 4 2 2 2 2 3" xfId="21269"/>
    <cellStyle name="Normal 3 2 2 4 2 2 2 2 4" xfId="21270"/>
    <cellStyle name="Normal 3 2 2 4 2 2 2 3" xfId="21271"/>
    <cellStyle name="Normal 3 2 2 4 2 2 2 3 2" xfId="21272"/>
    <cellStyle name="Normal 3 2 2 4 2 2 2 4" xfId="21273"/>
    <cellStyle name="Normal 3 2 2 4 2 2 2 4 2" xfId="21274"/>
    <cellStyle name="Normal 3 2 2 4 2 2 2 5" xfId="21275"/>
    <cellStyle name="Normal 3 2 2 4 2 2 2 6" xfId="21276"/>
    <cellStyle name="Normal 3 2 2 4 2 2 3" xfId="21277"/>
    <cellStyle name="Normal 3 2 2 4 2 2 3 2" xfId="21278"/>
    <cellStyle name="Normal 3 2 2 4 2 2 3 2 2" xfId="21279"/>
    <cellStyle name="Normal 3 2 2 4 2 2 3 2 3" xfId="21280"/>
    <cellStyle name="Normal 3 2 2 4 2 2 3 3" xfId="21281"/>
    <cellStyle name="Normal 3 2 2 4 2 2 3 3 2" xfId="21282"/>
    <cellStyle name="Normal 3 2 2 4 2 2 3 4" xfId="21283"/>
    <cellStyle name="Normal 3 2 2 4 2 2 3 5" xfId="21284"/>
    <cellStyle name="Normal 3 2 2 4 2 2 4" xfId="21285"/>
    <cellStyle name="Normal 3 2 2 4 2 2 4 2" xfId="21286"/>
    <cellStyle name="Normal 3 2 2 4 2 2 4 2 2" xfId="21287"/>
    <cellStyle name="Normal 3 2 2 4 2 2 4 3" xfId="21288"/>
    <cellStyle name="Normal 3 2 2 4 2 2 4 4" xfId="21289"/>
    <cellStyle name="Normal 3 2 2 4 2 2 5" xfId="21290"/>
    <cellStyle name="Normal 3 2 2 4 2 2 5 2" xfId="21291"/>
    <cellStyle name="Normal 3 2 2 4 2 2 5 3" xfId="21292"/>
    <cellStyle name="Normal 3 2 2 4 2 2 6" xfId="21293"/>
    <cellStyle name="Normal 3 2 2 4 2 2 6 2" xfId="21294"/>
    <cellStyle name="Normal 3 2 2 4 2 2 6 3" xfId="21295"/>
    <cellStyle name="Normal 3 2 2 4 2 2 7" xfId="21296"/>
    <cellStyle name="Normal 3 2 2 4 2 2 8" xfId="21297"/>
    <cellStyle name="Normal 3 2 2 4 2 3" xfId="21298"/>
    <cellStyle name="Normal 3 2 2 4 2 3 2" xfId="21299"/>
    <cellStyle name="Normal 3 2 2 4 2 3 2 2" xfId="21300"/>
    <cellStyle name="Normal 3 2 2 4 2 3 2 2 2" xfId="21301"/>
    <cellStyle name="Normal 3 2 2 4 2 3 2 3" xfId="21302"/>
    <cellStyle name="Normal 3 2 2 4 2 3 2 4" xfId="21303"/>
    <cellStyle name="Normal 3 2 2 4 2 3 3" xfId="21304"/>
    <cellStyle name="Normal 3 2 2 4 2 3 3 2" xfId="21305"/>
    <cellStyle name="Normal 3 2 2 4 2 3 3 2 2" xfId="21306"/>
    <cellStyle name="Normal 3 2 2 4 2 3 3 3" xfId="21307"/>
    <cellStyle name="Normal 3 2 2 4 2 3 4" xfId="21308"/>
    <cellStyle name="Normal 3 2 2 4 2 3 4 2" xfId="21309"/>
    <cellStyle name="Normal 3 2 2 4 2 3 4 2 2" xfId="21310"/>
    <cellStyle name="Normal 3 2 2 4 2 3 4 3" xfId="21311"/>
    <cellStyle name="Normal 3 2 2 4 2 3 5" xfId="21312"/>
    <cellStyle name="Normal 3 2 2 4 2 3 5 2" xfId="21313"/>
    <cellStyle name="Normal 3 2 2 4 2 3 6" xfId="21314"/>
    <cellStyle name="Normal 3 2 2 4 2 3 7" xfId="21315"/>
    <cellStyle name="Normal 3 2 2 4 2 4" xfId="21316"/>
    <cellStyle name="Normal 3 2 2 4 2 4 2" xfId="21317"/>
    <cellStyle name="Normal 3 2 2 4 2 4 2 2" xfId="21318"/>
    <cellStyle name="Normal 3 2 2 4 2 4 2 2 2" xfId="21319"/>
    <cellStyle name="Normal 3 2 2 4 2 4 2 3" xfId="21320"/>
    <cellStyle name="Normal 3 2 2 4 2 4 3" xfId="21321"/>
    <cellStyle name="Normal 3 2 2 4 2 4 3 2" xfId="21322"/>
    <cellStyle name="Normal 3 2 2 4 2 4 3 2 2" xfId="21323"/>
    <cellStyle name="Normal 3 2 2 4 2 4 3 3" xfId="21324"/>
    <cellStyle name="Normal 3 2 2 4 2 4 4" xfId="21325"/>
    <cellStyle name="Normal 3 2 2 4 2 4 4 2" xfId="21326"/>
    <cellStyle name="Normal 3 2 2 4 2 4 4 3" xfId="21327"/>
    <cellStyle name="Normal 3 2 2 4 2 4 5" xfId="21328"/>
    <cellStyle name="Normal 3 2 2 4 2 4 6" xfId="21329"/>
    <cellStyle name="Normal 3 2 2 4 2 4 7" xfId="21330"/>
    <cellStyle name="Normal 3 2 2 4 2 5" xfId="21331"/>
    <cellStyle name="Normal 3 2 2 4 2 5 2" xfId="21332"/>
    <cellStyle name="Normal 3 2 2 4 2 5 2 2" xfId="21333"/>
    <cellStyle name="Normal 3 2 2 4 2 5 2 3" xfId="21334"/>
    <cellStyle name="Normal 3 2 2 4 2 5 3" xfId="21335"/>
    <cellStyle name="Normal 3 2 2 4 2 5 3 2" xfId="21336"/>
    <cellStyle name="Normal 3 2 2 4 2 5 3 3" xfId="21337"/>
    <cellStyle name="Normal 3 2 2 4 2 5 4" xfId="21338"/>
    <cellStyle name="Normal 3 2 2 4 2 5 4 2" xfId="21339"/>
    <cellStyle name="Normal 3 2 2 4 2 5 5" xfId="21340"/>
    <cellStyle name="Normal 3 2 2 4 2 5 6" xfId="21341"/>
    <cellStyle name="Normal 3 2 2 4 2 5 7" xfId="21342"/>
    <cellStyle name="Normal 3 2 2 4 2 6" xfId="21343"/>
    <cellStyle name="Normal 3 2 2 4 2 6 2" xfId="21344"/>
    <cellStyle name="Normal 3 2 2 4 2 6 2 2" xfId="21345"/>
    <cellStyle name="Normal 3 2 2 4 2 6 2 3" xfId="21346"/>
    <cellStyle name="Normal 3 2 2 4 2 6 3" xfId="21347"/>
    <cellStyle name="Normal 3 2 2 4 2 6 3 2" xfId="21348"/>
    <cellStyle name="Normal 3 2 2 4 2 6 4" xfId="21349"/>
    <cellStyle name="Normal 3 2 2 4 2 6 5" xfId="21350"/>
    <cellStyle name="Normal 3 2 2 4 2 6 6" xfId="21351"/>
    <cellStyle name="Normal 3 2 2 4 2 7" xfId="21352"/>
    <cellStyle name="Normal 3 2 2 4 2 7 2" xfId="21353"/>
    <cellStyle name="Normal 3 2 2 4 2 7 2 2" xfId="21354"/>
    <cellStyle name="Normal 3 2 2 4 2 7 3" xfId="21355"/>
    <cellStyle name="Normal 3 2 2 4 2 8" xfId="21356"/>
    <cellStyle name="Normal 3 2 2 4 2 8 2" xfId="21357"/>
    <cellStyle name="Normal 3 2 2 4 2 8 3" xfId="21358"/>
    <cellStyle name="Normal 3 2 2 4 2 9" xfId="21359"/>
    <cellStyle name="Normal 3 2 2 4 2 9 2" xfId="21360"/>
    <cellStyle name="Normal 3 2 2 4 3" xfId="21361"/>
    <cellStyle name="Normal 3 2 2 4 3 10" xfId="21362"/>
    <cellStyle name="Normal 3 2 2 4 3 11" xfId="21363"/>
    <cellStyle name="Normal 3 2 2 4 3 2" xfId="21364"/>
    <cellStyle name="Normal 3 2 2 4 3 2 2" xfId="21365"/>
    <cellStyle name="Normal 3 2 2 4 3 2 2 2" xfId="21366"/>
    <cellStyle name="Normal 3 2 2 4 3 2 2 2 2" xfId="21367"/>
    <cellStyle name="Normal 3 2 2 4 3 2 2 3" xfId="21368"/>
    <cellStyle name="Normal 3 2 2 4 3 2 2 4" xfId="21369"/>
    <cellStyle name="Normal 3 2 2 4 3 2 3" xfId="21370"/>
    <cellStyle name="Normal 3 2 2 4 3 2 3 2" xfId="21371"/>
    <cellStyle name="Normal 3 2 2 4 3 2 3 2 2" xfId="21372"/>
    <cellStyle name="Normal 3 2 2 4 3 2 3 3" xfId="21373"/>
    <cellStyle name="Normal 3 2 2 4 3 2 4" xfId="21374"/>
    <cellStyle name="Normal 3 2 2 4 3 2 4 2" xfId="21375"/>
    <cellStyle name="Normal 3 2 2 4 3 2 4 2 2" xfId="21376"/>
    <cellStyle name="Normal 3 2 2 4 3 2 4 3" xfId="21377"/>
    <cellStyle name="Normal 3 2 2 4 3 2 5" xfId="21378"/>
    <cellStyle name="Normal 3 2 2 4 3 2 5 2" xfId="21379"/>
    <cellStyle name="Normal 3 2 2 4 3 2 6" xfId="21380"/>
    <cellStyle name="Normal 3 2 2 4 3 2 7" xfId="21381"/>
    <cellStyle name="Normal 3 2 2 4 3 3" xfId="21382"/>
    <cellStyle name="Normal 3 2 2 4 3 3 2" xfId="21383"/>
    <cellStyle name="Normal 3 2 2 4 3 3 2 2" xfId="21384"/>
    <cellStyle name="Normal 3 2 2 4 3 3 2 2 2" xfId="21385"/>
    <cellStyle name="Normal 3 2 2 4 3 3 2 3" xfId="21386"/>
    <cellStyle name="Normal 3 2 2 4 3 3 3" xfId="21387"/>
    <cellStyle name="Normal 3 2 2 4 3 3 3 2" xfId="21388"/>
    <cellStyle name="Normal 3 2 2 4 3 3 3 2 2" xfId="21389"/>
    <cellStyle name="Normal 3 2 2 4 3 3 3 3" xfId="21390"/>
    <cellStyle name="Normal 3 2 2 4 3 3 4" xfId="21391"/>
    <cellStyle name="Normal 3 2 2 4 3 3 4 2" xfId="21392"/>
    <cellStyle name="Normal 3 2 2 4 3 3 4 3" xfId="21393"/>
    <cellStyle name="Normal 3 2 2 4 3 3 5" xfId="21394"/>
    <cellStyle name="Normal 3 2 2 4 3 3 6" xfId="21395"/>
    <cellStyle name="Normal 3 2 2 4 3 3 7" xfId="21396"/>
    <cellStyle name="Normal 3 2 2 4 3 4" xfId="21397"/>
    <cellStyle name="Normal 3 2 2 4 3 4 2" xfId="21398"/>
    <cellStyle name="Normal 3 2 2 4 3 4 2 2" xfId="21399"/>
    <cellStyle name="Normal 3 2 2 4 3 4 2 3" xfId="21400"/>
    <cellStyle name="Normal 3 2 2 4 3 4 3" xfId="21401"/>
    <cellStyle name="Normal 3 2 2 4 3 4 3 2" xfId="21402"/>
    <cellStyle name="Normal 3 2 2 4 3 4 3 3" xfId="21403"/>
    <cellStyle name="Normal 3 2 2 4 3 4 4" xfId="21404"/>
    <cellStyle name="Normal 3 2 2 4 3 4 4 2" xfId="21405"/>
    <cellStyle name="Normal 3 2 2 4 3 4 5" xfId="21406"/>
    <cellStyle name="Normal 3 2 2 4 3 4 6" xfId="21407"/>
    <cellStyle name="Normal 3 2 2 4 3 4 7" xfId="21408"/>
    <cellStyle name="Normal 3 2 2 4 3 5" xfId="21409"/>
    <cellStyle name="Normal 3 2 2 4 3 5 2" xfId="21410"/>
    <cellStyle name="Normal 3 2 2 4 3 5 2 2" xfId="21411"/>
    <cellStyle name="Normal 3 2 2 4 3 5 2 3" xfId="21412"/>
    <cellStyle name="Normal 3 2 2 4 3 5 3" xfId="21413"/>
    <cellStyle name="Normal 3 2 2 4 3 5 3 2" xfId="21414"/>
    <cellStyle name="Normal 3 2 2 4 3 5 4" xfId="21415"/>
    <cellStyle name="Normal 3 2 2 4 3 5 5" xfId="21416"/>
    <cellStyle name="Normal 3 2 2 4 3 5 6" xfId="21417"/>
    <cellStyle name="Normal 3 2 2 4 3 6" xfId="21418"/>
    <cellStyle name="Normal 3 2 2 4 3 6 2" xfId="21419"/>
    <cellStyle name="Normal 3 2 2 4 3 6 2 2" xfId="21420"/>
    <cellStyle name="Normal 3 2 2 4 3 6 3" xfId="21421"/>
    <cellStyle name="Normal 3 2 2 4 3 7" xfId="21422"/>
    <cellStyle name="Normal 3 2 2 4 3 7 2" xfId="21423"/>
    <cellStyle name="Normal 3 2 2 4 3 7 3" xfId="21424"/>
    <cellStyle name="Normal 3 2 2 4 3 8" xfId="21425"/>
    <cellStyle name="Normal 3 2 2 4 3 8 2" xfId="21426"/>
    <cellStyle name="Normal 3 2 2 4 3 9" xfId="21427"/>
    <cellStyle name="Normal 3 2 2 4 4" xfId="21428"/>
    <cellStyle name="Normal 3 2 2 4 4 10" xfId="21429"/>
    <cellStyle name="Normal 3 2 2 4 4 11" xfId="21430"/>
    <cellStyle name="Normal 3 2 2 4 4 2" xfId="21431"/>
    <cellStyle name="Normal 3 2 2 4 4 2 2" xfId="21432"/>
    <cellStyle name="Normal 3 2 2 4 4 2 2 2" xfId="21433"/>
    <cellStyle name="Normal 3 2 2 4 4 2 2 2 2" xfId="21434"/>
    <cellStyle name="Normal 3 2 2 4 4 2 2 3" xfId="21435"/>
    <cellStyle name="Normal 3 2 2 4 4 2 2 4" xfId="21436"/>
    <cellStyle name="Normal 3 2 2 4 4 2 3" xfId="21437"/>
    <cellStyle name="Normal 3 2 2 4 4 2 3 2" xfId="21438"/>
    <cellStyle name="Normal 3 2 2 4 4 2 3 2 2" xfId="21439"/>
    <cellStyle name="Normal 3 2 2 4 4 2 3 3" xfId="21440"/>
    <cellStyle name="Normal 3 2 2 4 4 2 4" xfId="21441"/>
    <cellStyle name="Normal 3 2 2 4 4 2 4 2" xfId="21442"/>
    <cellStyle name="Normal 3 2 2 4 4 2 4 2 2" xfId="21443"/>
    <cellStyle name="Normal 3 2 2 4 4 2 4 3" xfId="21444"/>
    <cellStyle name="Normal 3 2 2 4 4 2 5" xfId="21445"/>
    <cellStyle name="Normal 3 2 2 4 4 2 5 2" xfId="21446"/>
    <cellStyle name="Normal 3 2 2 4 4 2 6" xfId="21447"/>
    <cellStyle name="Normal 3 2 2 4 4 2 7" xfId="21448"/>
    <cellStyle name="Normal 3 2 2 4 4 3" xfId="21449"/>
    <cellStyle name="Normal 3 2 2 4 4 3 2" xfId="21450"/>
    <cellStyle name="Normal 3 2 2 4 4 3 2 2" xfId="21451"/>
    <cellStyle name="Normal 3 2 2 4 4 3 2 2 2" xfId="21452"/>
    <cellStyle name="Normal 3 2 2 4 4 3 2 3" xfId="21453"/>
    <cellStyle name="Normal 3 2 2 4 4 3 3" xfId="21454"/>
    <cellStyle name="Normal 3 2 2 4 4 3 3 2" xfId="21455"/>
    <cellStyle name="Normal 3 2 2 4 4 3 3 2 2" xfId="21456"/>
    <cellStyle name="Normal 3 2 2 4 4 3 3 3" xfId="21457"/>
    <cellStyle name="Normal 3 2 2 4 4 3 4" xfId="21458"/>
    <cellStyle name="Normal 3 2 2 4 4 3 4 2" xfId="21459"/>
    <cellStyle name="Normal 3 2 2 4 4 3 4 3" xfId="21460"/>
    <cellStyle name="Normal 3 2 2 4 4 3 5" xfId="21461"/>
    <cellStyle name="Normal 3 2 2 4 4 3 6" xfId="21462"/>
    <cellStyle name="Normal 3 2 2 4 4 3 7" xfId="21463"/>
    <cellStyle name="Normal 3 2 2 4 4 4" xfId="21464"/>
    <cellStyle name="Normal 3 2 2 4 4 4 2" xfId="21465"/>
    <cellStyle name="Normal 3 2 2 4 4 4 2 2" xfId="21466"/>
    <cellStyle name="Normal 3 2 2 4 4 4 2 3" xfId="21467"/>
    <cellStyle name="Normal 3 2 2 4 4 4 3" xfId="21468"/>
    <cellStyle name="Normal 3 2 2 4 4 4 3 2" xfId="21469"/>
    <cellStyle name="Normal 3 2 2 4 4 4 3 3" xfId="21470"/>
    <cellStyle name="Normal 3 2 2 4 4 4 4" xfId="21471"/>
    <cellStyle name="Normal 3 2 2 4 4 4 4 2" xfId="21472"/>
    <cellStyle name="Normal 3 2 2 4 4 4 5" xfId="21473"/>
    <cellStyle name="Normal 3 2 2 4 4 4 6" xfId="21474"/>
    <cellStyle name="Normal 3 2 2 4 4 4 7" xfId="21475"/>
    <cellStyle name="Normal 3 2 2 4 4 5" xfId="21476"/>
    <cellStyle name="Normal 3 2 2 4 4 5 2" xfId="21477"/>
    <cellStyle name="Normal 3 2 2 4 4 5 2 2" xfId="21478"/>
    <cellStyle name="Normal 3 2 2 4 4 5 2 3" xfId="21479"/>
    <cellStyle name="Normal 3 2 2 4 4 5 3" xfId="21480"/>
    <cellStyle name="Normal 3 2 2 4 4 5 3 2" xfId="21481"/>
    <cellStyle name="Normal 3 2 2 4 4 5 4" xfId="21482"/>
    <cellStyle name="Normal 3 2 2 4 4 5 5" xfId="21483"/>
    <cellStyle name="Normal 3 2 2 4 4 5 6" xfId="21484"/>
    <cellStyle name="Normal 3 2 2 4 4 6" xfId="21485"/>
    <cellStyle name="Normal 3 2 2 4 4 6 2" xfId="21486"/>
    <cellStyle name="Normal 3 2 2 4 4 6 2 2" xfId="21487"/>
    <cellStyle name="Normal 3 2 2 4 4 6 3" xfId="21488"/>
    <cellStyle name="Normal 3 2 2 4 4 7" xfId="21489"/>
    <cellStyle name="Normal 3 2 2 4 4 7 2" xfId="21490"/>
    <cellStyle name="Normal 3 2 2 4 4 7 3" xfId="21491"/>
    <cellStyle name="Normal 3 2 2 4 4 8" xfId="21492"/>
    <cellStyle name="Normal 3 2 2 4 4 8 2" xfId="21493"/>
    <cellStyle name="Normal 3 2 2 4 4 9" xfId="21494"/>
    <cellStyle name="Normal 3 2 2 4 5" xfId="21495"/>
    <cellStyle name="Normal 3 2 2 4 5 2" xfId="21496"/>
    <cellStyle name="Normal 3 2 2 4 5 2 2" xfId="21497"/>
    <cellStyle name="Normal 3 2 2 4 5 2 2 2" xfId="21498"/>
    <cellStyle name="Normal 3 2 2 4 5 2 2 3" xfId="21499"/>
    <cellStyle name="Normal 3 2 2 4 5 2 3" xfId="21500"/>
    <cellStyle name="Normal 3 2 2 4 5 2 3 2" xfId="21501"/>
    <cellStyle name="Normal 3 2 2 4 5 2 4" xfId="21502"/>
    <cellStyle name="Normal 3 2 2 4 5 2 5" xfId="21503"/>
    <cellStyle name="Normal 3 2 2 4 5 3" xfId="21504"/>
    <cellStyle name="Normal 3 2 2 4 5 3 2" xfId="21505"/>
    <cellStyle name="Normal 3 2 2 4 5 3 2 2" xfId="21506"/>
    <cellStyle name="Normal 3 2 2 4 5 3 3" xfId="21507"/>
    <cellStyle name="Normal 3 2 2 4 5 3 4" xfId="21508"/>
    <cellStyle name="Normal 3 2 2 4 5 4" xfId="21509"/>
    <cellStyle name="Normal 3 2 2 4 5 4 2" xfId="21510"/>
    <cellStyle name="Normal 3 2 2 4 5 4 2 2" xfId="21511"/>
    <cellStyle name="Normal 3 2 2 4 5 4 3" xfId="21512"/>
    <cellStyle name="Normal 3 2 2 4 5 5" xfId="21513"/>
    <cellStyle name="Normal 3 2 2 4 5 5 2" xfId="21514"/>
    <cellStyle name="Normal 3 2 2 4 5 5 3" xfId="21515"/>
    <cellStyle name="Normal 3 2 2 4 5 6" xfId="21516"/>
    <cellStyle name="Normal 3 2 2 4 5 6 2" xfId="21517"/>
    <cellStyle name="Normal 3 2 2 4 5 7" xfId="21518"/>
    <cellStyle name="Normal 3 2 2 4 6" xfId="21519"/>
    <cellStyle name="Normal 3 2 2 4 6 2" xfId="21520"/>
    <cellStyle name="Normal 3 2 2 4 6 2 2" xfId="21521"/>
    <cellStyle name="Normal 3 2 2 4 6 2 2 2" xfId="21522"/>
    <cellStyle name="Normal 3 2 2 4 6 2 3" xfId="21523"/>
    <cellStyle name="Normal 3 2 2 4 6 3" xfId="21524"/>
    <cellStyle name="Normal 3 2 2 4 6 3 2" xfId="21525"/>
    <cellStyle name="Normal 3 2 2 4 6 3 2 2" xfId="21526"/>
    <cellStyle name="Normal 3 2 2 4 6 3 3" xfId="21527"/>
    <cellStyle name="Normal 3 2 2 4 6 4" xfId="21528"/>
    <cellStyle name="Normal 3 2 2 4 6 4 2" xfId="21529"/>
    <cellStyle name="Normal 3 2 2 4 6 4 3" xfId="21530"/>
    <cellStyle name="Normal 3 2 2 4 6 5" xfId="21531"/>
    <cellStyle name="Normal 3 2 2 4 6 6" xfId="21532"/>
    <cellStyle name="Normal 3 2 2 4 6 7" xfId="21533"/>
    <cellStyle name="Normal 3 2 2 4 7" xfId="21534"/>
    <cellStyle name="Normal 3 2 2 4 7 2" xfId="21535"/>
    <cellStyle name="Normal 3 2 2 4 7 2 2" xfId="21536"/>
    <cellStyle name="Normal 3 2 2 4 7 2 2 2" xfId="21537"/>
    <cellStyle name="Normal 3 2 2 4 7 2 3" xfId="21538"/>
    <cellStyle name="Normal 3 2 2 4 7 3" xfId="21539"/>
    <cellStyle name="Normal 3 2 2 4 7 3 2" xfId="21540"/>
    <cellStyle name="Normal 3 2 2 4 7 3 2 2" xfId="21541"/>
    <cellStyle name="Normal 3 2 2 4 7 3 3" xfId="21542"/>
    <cellStyle name="Normal 3 2 2 4 7 4" xfId="21543"/>
    <cellStyle name="Normal 3 2 2 4 7 4 2" xfId="21544"/>
    <cellStyle name="Normal 3 2 2 4 7 4 3" xfId="21545"/>
    <cellStyle name="Normal 3 2 2 4 7 5" xfId="21546"/>
    <cellStyle name="Normal 3 2 2 4 7 6" xfId="21547"/>
    <cellStyle name="Normal 3 2 2 4 7 7" xfId="21548"/>
    <cellStyle name="Normal 3 2 2 4 8" xfId="21549"/>
    <cellStyle name="Normal 3 2 2 4 8 2" xfId="21550"/>
    <cellStyle name="Normal 3 2 2 4 8 2 2" xfId="21551"/>
    <cellStyle name="Normal 3 2 2 4 8 2 3" xfId="21552"/>
    <cellStyle name="Normal 3 2 2 4 8 3" xfId="21553"/>
    <cellStyle name="Normal 3 2 2 4 8 3 2" xfId="21554"/>
    <cellStyle name="Normal 3 2 2 4 8 3 3" xfId="21555"/>
    <cellStyle name="Normal 3 2 2 4 8 4" xfId="21556"/>
    <cellStyle name="Normal 3 2 2 4 8 5" xfId="21557"/>
    <cellStyle name="Normal 3 2 2 4 8 6" xfId="21558"/>
    <cellStyle name="Normal 3 2 2 4 9" xfId="21559"/>
    <cellStyle name="Normal 3 2 2 4 9 2" xfId="21560"/>
    <cellStyle name="Normal 3 2 2 4 9 2 2" xfId="21561"/>
    <cellStyle name="Normal 3 2 2 4 9 3" xfId="21562"/>
    <cellStyle name="Normal 3 2 2 5" xfId="21563"/>
    <cellStyle name="Normal 3 2 2 5 10" xfId="21564"/>
    <cellStyle name="Normal 3 2 2 5 10 2" xfId="21565"/>
    <cellStyle name="Normal 3 2 2 5 10 3" xfId="21566"/>
    <cellStyle name="Normal 3 2 2 5 11" xfId="21567"/>
    <cellStyle name="Normal 3 2 2 5 12" xfId="21568"/>
    <cellStyle name="Normal 3 2 2 5 13" xfId="21569"/>
    <cellStyle name="Normal 3 2 2 5 2" xfId="21570"/>
    <cellStyle name="Normal 3 2 2 5 2 10" xfId="21571"/>
    <cellStyle name="Normal 3 2 2 5 2 11" xfId="21572"/>
    <cellStyle name="Normal 3 2 2 5 2 2" xfId="21573"/>
    <cellStyle name="Normal 3 2 2 5 2 2 2" xfId="21574"/>
    <cellStyle name="Normal 3 2 2 5 2 2 2 2" xfId="21575"/>
    <cellStyle name="Normal 3 2 2 5 2 2 2 2 2" xfId="21576"/>
    <cellStyle name="Normal 3 2 2 5 2 2 2 3" xfId="21577"/>
    <cellStyle name="Normal 3 2 2 5 2 2 2 4" xfId="21578"/>
    <cellStyle name="Normal 3 2 2 5 2 2 3" xfId="21579"/>
    <cellStyle name="Normal 3 2 2 5 2 2 3 2" xfId="21580"/>
    <cellStyle name="Normal 3 2 2 5 2 2 3 2 2" xfId="21581"/>
    <cellStyle name="Normal 3 2 2 5 2 2 3 3" xfId="21582"/>
    <cellStyle name="Normal 3 2 2 5 2 2 4" xfId="21583"/>
    <cellStyle name="Normal 3 2 2 5 2 2 4 2" xfId="21584"/>
    <cellStyle name="Normal 3 2 2 5 2 2 4 2 2" xfId="21585"/>
    <cellStyle name="Normal 3 2 2 5 2 2 4 3" xfId="21586"/>
    <cellStyle name="Normal 3 2 2 5 2 2 5" xfId="21587"/>
    <cellStyle name="Normal 3 2 2 5 2 2 5 2" xfId="21588"/>
    <cellStyle name="Normal 3 2 2 5 2 2 6" xfId="21589"/>
    <cellStyle name="Normal 3 2 2 5 2 2 7" xfId="21590"/>
    <cellStyle name="Normal 3 2 2 5 2 3" xfId="21591"/>
    <cellStyle name="Normal 3 2 2 5 2 3 2" xfId="21592"/>
    <cellStyle name="Normal 3 2 2 5 2 3 2 2" xfId="21593"/>
    <cellStyle name="Normal 3 2 2 5 2 3 2 2 2" xfId="21594"/>
    <cellStyle name="Normal 3 2 2 5 2 3 2 3" xfId="21595"/>
    <cellStyle name="Normal 3 2 2 5 2 3 3" xfId="21596"/>
    <cellStyle name="Normal 3 2 2 5 2 3 3 2" xfId="21597"/>
    <cellStyle name="Normal 3 2 2 5 2 3 3 2 2" xfId="21598"/>
    <cellStyle name="Normal 3 2 2 5 2 3 3 3" xfId="21599"/>
    <cellStyle name="Normal 3 2 2 5 2 3 4" xfId="21600"/>
    <cellStyle name="Normal 3 2 2 5 2 3 4 2" xfId="21601"/>
    <cellStyle name="Normal 3 2 2 5 2 3 4 3" xfId="21602"/>
    <cellStyle name="Normal 3 2 2 5 2 3 5" xfId="21603"/>
    <cellStyle name="Normal 3 2 2 5 2 3 6" xfId="21604"/>
    <cellStyle name="Normal 3 2 2 5 2 3 7" xfId="21605"/>
    <cellStyle name="Normal 3 2 2 5 2 4" xfId="21606"/>
    <cellStyle name="Normal 3 2 2 5 2 4 2" xfId="21607"/>
    <cellStyle name="Normal 3 2 2 5 2 4 2 2" xfId="21608"/>
    <cellStyle name="Normal 3 2 2 5 2 4 2 3" xfId="21609"/>
    <cellStyle name="Normal 3 2 2 5 2 4 3" xfId="21610"/>
    <cellStyle name="Normal 3 2 2 5 2 4 3 2" xfId="21611"/>
    <cellStyle name="Normal 3 2 2 5 2 4 3 3" xfId="21612"/>
    <cellStyle name="Normal 3 2 2 5 2 4 4" xfId="21613"/>
    <cellStyle name="Normal 3 2 2 5 2 4 4 2" xfId="21614"/>
    <cellStyle name="Normal 3 2 2 5 2 4 5" xfId="21615"/>
    <cellStyle name="Normal 3 2 2 5 2 4 6" xfId="21616"/>
    <cellStyle name="Normal 3 2 2 5 2 4 7" xfId="21617"/>
    <cellStyle name="Normal 3 2 2 5 2 5" xfId="21618"/>
    <cellStyle name="Normal 3 2 2 5 2 5 2" xfId="21619"/>
    <cellStyle name="Normal 3 2 2 5 2 5 2 2" xfId="21620"/>
    <cellStyle name="Normal 3 2 2 5 2 5 2 3" xfId="21621"/>
    <cellStyle name="Normal 3 2 2 5 2 5 3" xfId="21622"/>
    <cellStyle name="Normal 3 2 2 5 2 5 3 2" xfId="21623"/>
    <cellStyle name="Normal 3 2 2 5 2 5 4" xfId="21624"/>
    <cellStyle name="Normal 3 2 2 5 2 5 5" xfId="21625"/>
    <cellStyle name="Normal 3 2 2 5 2 5 6" xfId="21626"/>
    <cellStyle name="Normal 3 2 2 5 2 6" xfId="21627"/>
    <cellStyle name="Normal 3 2 2 5 2 6 2" xfId="21628"/>
    <cellStyle name="Normal 3 2 2 5 2 6 2 2" xfId="21629"/>
    <cellStyle name="Normal 3 2 2 5 2 6 3" xfId="21630"/>
    <cellStyle name="Normal 3 2 2 5 2 7" xfId="21631"/>
    <cellStyle name="Normal 3 2 2 5 2 7 2" xfId="21632"/>
    <cellStyle name="Normal 3 2 2 5 2 7 3" xfId="21633"/>
    <cellStyle name="Normal 3 2 2 5 2 8" xfId="21634"/>
    <cellStyle name="Normal 3 2 2 5 2 8 2" xfId="21635"/>
    <cellStyle name="Normal 3 2 2 5 2 9" xfId="21636"/>
    <cellStyle name="Normal 3 2 2 5 3" xfId="21637"/>
    <cellStyle name="Normal 3 2 2 5 3 10" xfId="21638"/>
    <cellStyle name="Normal 3 2 2 5 3 11" xfId="21639"/>
    <cellStyle name="Normal 3 2 2 5 3 2" xfId="21640"/>
    <cellStyle name="Normal 3 2 2 5 3 2 2" xfId="21641"/>
    <cellStyle name="Normal 3 2 2 5 3 2 2 2" xfId="21642"/>
    <cellStyle name="Normal 3 2 2 5 3 2 2 2 2" xfId="21643"/>
    <cellStyle name="Normal 3 2 2 5 3 2 2 3" xfId="21644"/>
    <cellStyle name="Normal 3 2 2 5 3 2 2 4" xfId="21645"/>
    <cellStyle name="Normal 3 2 2 5 3 2 3" xfId="21646"/>
    <cellStyle name="Normal 3 2 2 5 3 2 3 2" xfId="21647"/>
    <cellStyle name="Normal 3 2 2 5 3 2 3 2 2" xfId="21648"/>
    <cellStyle name="Normal 3 2 2 5 3 2 3 3" xfId="21649"/>
    <cellStyle name="Normal 3 2 2 5 3 2 4" xfId="21650"/>
    <cellStyle name="Normal 3 2 2 5 3 2 4 2" xfId="21651"/>
    <cellStyle name="Normal 3 2 2 5 3 2 4 2 2" xfId="21652"/>
    <cellStyle name="Normal 3 2 2 5 3 2 4 3" xfId="21653"/>
    <cellStyle name="Normal 3 2 2 5 3 2 5" xfId="21654"/>
    <cellStyle name="Normal 3 2 2 5 3 2 5 2" xfId="21655"/>
    <cellStyle name="Normal 3 2 2 5 3 2 6" xfId="21656"/>
    <cellStyle name="Normal 3 2 2 5 3 2 7" xfId="21657"/>
    <cellStyle name="Normal 3 2 2 5 3 3" xfId="21658"/>
    <cellStyle name="Normal 3 2 2 5 3 3 2" xfId="21659"/>
    <cellStyle name="Normal 3 2 2 5 3 3 2 2" xfId="21660"/>
    <cellStyle name="Normal 3 2 2 5 3 3 2 2 2" xfId="21661"/>
    <cellStyle name="Normal 3 2 2 5 3 3 2 3" xfId="21662"/>
    <cellStyle name="Normal 3 2 2 5 3 3 3" xfId="21663"/>
    <cellStyle name="Normal 3 2 2 5 3 3 3 2" xfId="21664"/>
    <cellStyle name="Normal 3 2 2 5 3 3 3 2 2" xfId="21665"/>
    <cellStyle name="Normal 3 2 2 5 3 3 3 3" xfId="21666"/>
    <cellStyle name="Normal 3 2 2 5 3 3 4" xfId="21667"/>
    <cellStyle name="Normal 3 2 2 5 3 3 4 2" xfId="21668"/>
    <cellStyle name="Normal 3 2 2 5 3 3 4 3" xfId="21669"/>
    <cellStyle name="Normal 3 2 2 5 3 3 5" xfId="21670"/>
    <cellStyle name="Normal 3 2 2 5 3 3 6" xfId="21671"/>
    <cellStyle name="Normal 3 2 2 5 3 3 7" xfId="21672"/>
    <cellStyle name="Normal 3 2 2 5 3 4" xfId="21673"/>
    <cellStyle name="Normal 3 2 2 5 3 4 2" xfId="21674"/>
    <cellStyle name="Normal 3 2 2 5 3 4 2 2" xfId="21675"/>
    <cellStyle name="Normal 3 2 2 5 3 4 2 3" xfId="21676"/>
    <cellStyle name="Normal 3 2 2 5 3 4 3" xfId="21677"/>
    <cellStyle name="Normal 3 2 2 5 3 4 3 2" xfId="21678"/>
    <cellStyle name="Normal 3 2 2 5 3 4 3 3" xfId="21679"/>
    <cellStyle name="Normal 3 2 2 5 3 4 4" xfId="21680"/>
    <cellStyle name="Normal 3 2 2 5 3 4 4 2" xfId="21681"/>
    <cellStyle name="Normal 3 2 2 5 3 4 5" xfId="21682"/>
    <cellStyle name="Normal 3 2 2 5 3 4 6" xfId="21683"/>
    <cellStyle name="Normal 3 2 2 5 3 4 7" xfId="21684"/>
    <cellStyle name="Normal 3 2 2 5 3 5" xfId="21685"/>
    <cellStyle name="Normal 3 2 2 5 3 5 2" xfId="21686"/>
    <cellStyle name="Normal 3 2 2 5 3 5 2 2" xfId="21687"/>
    <cellStyle name="Normal 3 2 2 5 3 5 2 3" xfId="21688"/>
    <cellStyle name="Normal 3 2 2 5 3 5 3" xfId="21689"/>
    <cellStyle name="Normal 3 2 2 5 3 5 3 2" xfId="21690"/>
    <cellStyle name="Normal 3 2 2 5 3 5 4" xfId="21691"/>
    <cellStyle name="Normal 3 2 2 5 3 5 5" xfId="21692"/>
    <cellStyle name="Normal 3 2 2 5 3 5 6" xfId="21693"/>
    <cellStyle name="Normal 3 2 2 5 3 6" xfId="21694"/>
    <cellStyle name="Normal 3 2 2 5 3 6 2" xfId="21695"/>
    <cellStyle name="Normal 3 2 2 5 3 6 2 2" xfId="21696"/>
    <cellStyle name="Normal 3 2 2 5 3 6 3" xfId="21697"/>
    <cellStyle name="Normal 3 2 2 5 3 7" xfId="21698"/>
    <cellStyle name="Normal 3 2 2 5 3 7 2" xfId="21699"/>
    <cellStyle name="Normal 3 2 2 5 3 7 3" xfId="21700"/>
    <cellStyle name="Normal 3 2 2 5 3 8" xfId="21701"/>
    <cellStyle name="Normal 3 2 2 5 3 8 2" xfId="21702"/>
    <cellStyle name="Normal 3 2 2 5 3 9" xfId="21703"/>
    <cellStyle name="Normal 3 2 2 5 4" xfId="21704"/>
    <cellStyle name="Normal 3 2 2 5 4 2" xfId="21705"/>
    <cellStyle name="Normal 3 2 2 5 4 2 2" xfId="21706"/>
    <cellStyle name="Normal 3 2 2 5 4 2 2 2" xfId="21707"/>
    <cellStyle name="Normal 3 2 2 5 4 2 2 3" xfId="21708"/>
    <cellStyle name="Normal 3 2 2 5 4 2 3" xfId="21709"/>
    <cellStyle name="Normal 3 2 2 5 4 2 3 2" xfId="21710"/>
    <cellStyle name="Normal 3 2 2 5 4 2 4" xfId="21711"/>
    <cellStyle name="Normal 3 2 2 5 4 2 5" xfId="21712"/>
    <cellStyle name="Normal 3 2 2 5 4 3" xfId="21713"/>
    <cellStyle name="Normal 3 2 2 5 4 3 2" xfId="21714"/>
    <cellStyle name="Normal 3 2 2 5 4 3 2 2" xfId="21715"/>
    <cellStyle name="Normal 3 2 2 5 4 3 3" xfId="21716"/>
    <cellStyle name="Normal 3 2 2 5 4 3 4" xfId="21717"/>
    <cellStyle name="Normal 3 2 2 5 4 4" xfId="21718"/>
    <cellStyle name="Normal 3 2 2 5 4 4 2" xfId="21719"/>
    <cellStyle name="Normal 3 2 2 5 4 4 2 2" xfId="21720"/>
    <cellStyle name="Normal 3 2 2 5 4 4 3" xfId="21721"/>
    <cellStyle name="Normal 3 2 2 5 4 5" xfId="21722"/>
    <cellStyle name="Normal 3 2 2 5 4 5 2" xfId="21723"/>
    <cellStyle name="Normal 3 2 2 5 4 5 3" xfId="21724"/>
    <cellStyle name="Normal 3 2 2 5 4 6" xfId="21725"/>
    <cellStyle name="Normal 3 2 2 5 4 6 2" xfId="21726"/>
    <cellStyle name="Normal 3 2 2 5 4 7" xfId="21727"/>
    <cellStyle name="Normal 3 2 2 5 5" xfId="21728"/>
    <cellStyle name="Normal 3 2 2 5 5 2" xfId="21729"/>
    <cellStyle name="Normal 3 2 2 5 5 2 2" xfId="21730"/>
    <cellStyle name="Normal 3 2 2 5 5 2 2 2" xfId="21731"/>
    <cellStyle name="Normal 3 2 2 5 5 2 3" xfId="21732"/>
    <cellStyle name="Normal 3 2 2 5 5 3" xfId="21733"/>
    <cellStyle name="Normal 3 2 2 5 5 3 2" xfId="21734"/>
    <cellStyle name="Normal 3 2 2 5 5 3 2 2" xfId="21735"/>
    <cellStyle name="Normal 3 2 2 5 5 3 3" xfId="21736"/>
    <cellStyle name="Normal 3 2 2 5 5 4" xfId="21737"/>
    <cellStyle name="Normal 3 2 2 5 5 4 2" xfId="21738"/>
    <cellStyle name="Normal 3 2 2 5 5 4 3" xfId="21739"/>
    <cellStyle name="Normal 3 2 2 5 5 5" xfId="21740"/>
    <cellStyle name="Normal 3 2 2 5 5 6" xfId="21741"/>
    <cellStyle name="Normal 3 2 2 5 5 7" xfId="21742"/>
    <cellStyle name="Normal 3 2 2 5 6" xfId="21743"/>
    <cellStyle name="Normal 3 2 2 5 6 2" xfId="21744"/>
    <cellStyle name="Normal 3 2 2 5 6 2 2" xfId="21745"/>
    <cellStyle name="Normal 3 2 2 5 6 2 2 2" xfId="21746"/>
    <cellStyle name="Normal 3 2 2 5 6 2 3" xfId="21747"/>
    <cellStyle name="Normal 3 2 2 5 6 3" xfId="21748"/>
    <cellStyle name="Normal 3 2 2 5 6 3 2" xfId="21749"/>
    <cellStyle name="Normal 3 2 2 5 6 3 2 2" xfId="21750"/>
    <cellStyle name="Normal 3 2 2 5 6 3 3" xfId="21751"/>
    <cellStyle name="Normal 3 2 2 5 6 4" xfId="21752"/>
    <cellStyle name="Normal 3 2 2 5 6 4 2" xfId="21753"/>
    <cellStyle name="Normal 3 2 2 5 6 4 3" xfId="21754"/>
    <cellStyle name="Normal 3 2 2 5 6 5" xfId="21755"/>
    <cellStyle name="Normal 3 2 2 5 6 6" xfId="21756"/>
    <cellStyle name="Normal 3 2 2 5 6 7" xfId="21757"/>
    <cellStyle name="Normal 3 2 2 5 7" xfId="21758"/>
    <cellStyle name="Normal 3 2 2 5 7 2" xfId="21759"/>
    <cellStyle name="Normal 3 2 2 5 7 2 2" xfId="21760"/>
    <cellStyle name="Normal 3 2 2 5 7 2 3" xfId="21761"/>
    <cellStyle name="Normal 3 2 2 5 7 3" xfId="21762"/>
    <cellStyle name="Normal 3 2 2 5 7 3 2" xfId="21763"/>
    <cellStyle name="Normal 3 2 2 5 7 3 3" xfId="21764"/>
    <cellStyle name="Normal 3 2 2 5 7 4" xfId="21765"/>
    <cellStyle name="Normal 3 2 2 5 7 5" xfId="21766"/>
    <cellStyle name="Normal 3 2 2 5 7 6" xfId="21767"/>
    <cellStyle name="Normal 3 2 2 5 8" xfId="21768"/>
    <cellStyle name="Normal 3 2 2 5 8 2" xfId="21769"/>
    <cellStyle name="Normal 3 2 2 5 8 2 2" xfId="21770"/>
    <cellStyle name="Normal 3 2 2 5 8 3" xfId="21771"/>
    <cellStyle name="Normal 3 2 2 5 9" xfId="21772"/>
    <cellStyle name="Normal 3 2 2 5 9 2" xfId="21773"/>
    <cellStyle name="Normal 3 2 2 5 9 2 2" xfId="21774"/>
    <cellStyle name="Normal 3 2 2 5 9 3" xfId="21775"/>
    <cellStyle name="Normal 3 2 2 6" xfId="21776"/>
    <cellStyle name="Normal 3 2 2 6 10" xfId="21777"/>
    <cellStyle name="Normal 3 2 2 6 11" xfId="21778"/>
    <cellStyle name="Normal 3 2 2 6 12" xfId="21779"/>
    <cellStyle name="Normal 3 2 2 6 2" xfId="21780"/>
    <cellStyle name="Normal 3 2 2 6 2 2" xfId="21781"/>
    <cellStyle name="Normal 3 2 2 6 2 2 2" xfId="21782"/>
    <cellStyle name="Normal 3 2 2 6 2 2 2 2" xfId="21783"/>
    <cellStyle name="Normal 3 2 2 6 2 2 2 3" xfId="21784"/>
    <cellStyle name="Normal 3 2 2 6 2 2 2 4" xfId="21785"/>
    <cellStyle name="Normal 3 2 2 6 2 2 3" xfId="21786"/>
    <cellStyle name="Normal 3 2 2 6 2 2 3 2" xfId="21787"/>
    <cellStyle name="Normal 3 2 2 6 2 2 4" xfId="21788"/>
    <cellStyle name="Normal 3 2 2 6 2 2 4 2" xfId="21789"/>
    <cellStyle name="Normal 3 2 2 6 2 2 5" xfId="21790"/>
    <cellStyle name="Normal 3 2 2 6 2 2 6" xfId="21791"/>
    <cellStyle name="Normal 3 2 2 6 2 3" xfId="21792"/>
    <cellStyle name="Normal 3 2 2 6 2 3 2" xfId="21793"/>
    <cellStyle name="Normal 3 2 2 6 2 3 2 2" xfId="21794"/>
    <cellStyle name="Normal 3 2 2 6 2 3 2 3" xfId="21795"/>
    <cellStyle name="Normal 3 2 2 6 2 3 3" xfId="21796"/>
    <cellStyle name="Normal 3 2 2 6 2 3 3 2" xfId="21797"/>
    <cellStyle name="Normal 3 2 2 6 2 3 4" xfId="21798"/>
    <cellStyle name="Normal 3 2 2 6 2 3 5" xfId="21799"/>
    <cellStyle name="Normal 3 2 2 6 2 4" xfId="21800"/>
    <cellStyle name="Normal 3 2 2 6 2 4 2" xfId="21801"/>
    <cellStyle name="Normal 3 2 2 6 2 4 2 2" xfId="21802"/>
    <cellStyle name="Normal 3 2 2 6 2 4 3" xfId="21803"/>
    <cellStyle name="Normal 3 2 2 6 2 4 4" xfId="21804"/>
    <cellStyle name="Normal 3 2 2 6 2 5" xfId="21805"/>
    <cellStyle name="Normal 3 2 2 6 2 5 2" xfId="21806"/>
    <cellStyle name="Normal 3 2 2 6 2 5 3" xfId="21807"/>
    <cellStyle name="Normal 3 2 2 6 2 6" xfId="21808"/>
    <cellStyle name="Normal 3 2 2 6 2 6 2" xfId="21809"/>
    <cellStyle name="Normal 3 2 2 6 2 6 3" xfId="21810"/>
    <cellStyle name="Normal 3 2 2 6 2 7" xfId="21811"/>
    <cellStyle name="Normal 3 2 2 6 2 8" xfId="21812"/>
    <cellStyle name="Normal 3 2 2 6 3" xfId="21813"/>
    <cellStyle name="Normal 3 2 2 6 3 2" xfId="21814"/>
    <cellStyle name="Normal 3 2 2 6 3 2 2" xfId="21815"/>
    <cellStyle name="Normal 3 2 2 6 3 2 2 2" xfId="21816"/>
    <cellStyle name="Normal 3 2 2 6 3 2 3" xfId="21817"/>
    <cellStyle name="Normal 3 2 2 6 3 2 4" xfId="21818"/>
    <cellStyle name="Normal 3 2 2 6 3 3" xfId="21819"/>
    <cellStyle name="Normal 3 2 2 6 3 3 2" xfId="21820"/>
    <cellStyle name="Normal 3 2 2 6 3 3 2 2" xfId="21821"/>
    <cellStyle name="Normal 3 2 2 6 3 3 3" xfId="21822"/>
    <cellStyle name="Normal 3 2 2 6 3 4" xfId="21823"/>
    <cellStyle name="Normal 3 2 2 6 3 4 2" xfId="21824"/>
    <cellStyle name="Normal 3 2 2 6 3 4 2 2" xfId="21825"/>
    <cellStyle name="Normal 3 2 2 6 3 4 3" xfId="21826"/>
    <cellStyle name="Normal 3 2 2 6 3 5" xfId="21827"/>
    <cellStyle name="Normal 3 2 2 6 3 5 2" xfId="21828"/>
    <cellStyle name="Normal 3 2 2 6 3 6" xfId="21829"/>
    <cellStyle name="Normal 3 2 2 6 3 7" xfId="21830"/>
    <cellStyle name="Normal 3 2 2 6 4" xfId="21831"/>
    <cellStyle name="Normal 3 2 2 6 4 2" xfId="21832"/>
    <cellStyle name="Normal 3 2 2 6 4 2 2" xfId="21833"/>
    <cellStyle name="Normal 3 2 2 6 4 2 2 2" xfId="21834"/>
    <cellStyle name="Normal 3 2 2 6 4 2 3" xfId="21835"/>
    <cellStyle name="Normal 3 2 2 6 4 3" xfId="21836"/>
    <cellStyle name="Normal 3 2 2 6 4 3 2" xfId="21837"/>
    <cellStyle name="Normal 3 2 2 6 4 3 2 2" xfId="21838"/>
    <cellStyle name="Normal 3 2 2 6 4 3 3" xfId="21839"/>
    <cellStyle name="Normal 3 2 2 6 4 4" xfId="21840"/>
    <cellStyle name="Normal 3 2 2 6 4 4 2" xfId="21841"/>
    <cellStyle name="Normal 3 2 2 6 4 4 3" xfId="21842"/>
    <cellStyle name="Normal 3 2 2 6 4 5" xfId="21843"/>
    <cellStyle name="Normal 3 2 2 6 4 6" xfId="21844"/>
    <cellStyle name="Normal 3 2 2 6 4 7" xfId="21845"/>
    <cellStyle name="Normal 3 2 2 6 5" xfId="21846"/>
    <cellStyle name="Normal 3 2 2 6 5 2" xfId="21847"/>
    <cellStyle name="Normal 3 2 2 6 5 2 2" xfId="21848"/>
    <cellStyle name="Normal 3 2 2 6 5 2 3" xfId="21849"/>
    <cellStyle name="Normal 3 2 2 6 5 3" xfId="21850"/>
    <cellStyle name="Normal 3 2 2 6 5 3 2" xfId="21851"/>
    <cellStyle name="Normal 3 2 2 6 5 3 3" xfId="21852"/>
    <cellStyle name="Normal 3 2 2 6 5 4" xfId="21853"/>
    <cellStyle name="Normal 3 2 2 6 5 4 2" xfId="21854"/>
    <cellStyle name="Normal 3 2 2 6 5 5" xfId="21855"/>
    <cellStyle name="Normal 3 2 2 6 5 6" xfId="21856"/>
    <cellStyle name="Normal 3 2 2 6 5 7" xfId="21857"/>
    <cellStyle name="Normal 3 2 2 6 6" xfId="21858"/>
    <cellStyle name="Normal 3 2 2 6 6 2" xfId="21859"/>
    <cellStyle name="Normal 3 2 2 6 6 2 2" xfId="21860"/>
    <cellStyle name="Normal 3 2 2 6 6 2 3" xfId="21861"/>
    <cellStyle name="Normal 3 2 2 6 6 3" xfId="21862"/>
    <cellStyle name="Normal 3 2 2 6 6 3 2" xfId="21863"/>
    <cellStyle name="Normal 3 2 2 6 6 4" xfId="21864"/>
    <cellStyle name="Normal 3 2 2 6 6 5" xfId="21865"/>
    <cellStyle name="Normal 3 2 2 6 6 6" xfId="21866"/>
    <cellStyle name="Normal 3 2 2 6 7" xfId="21867"/>
    <cellStyle name="Normal 3 2 2 6 7 2" xfId="21868"/>
    <cellStyle name="Normal 3 2 2 6 7 2 2" xfId="21869"/>
    <cellStyle name="Normal 3 2 2 6 7 3" xfId="21870"/>
    <cellStyle name="Normal 3 2 2 6 8" xfId="21871"/>
    <cellStyle name="Normal 3 2 2 6 8 2" xfId="21872"/>
    <cellStyle name="Normal 3 2 2 6 8 3" xfId="21873"/>
    <cellStyle name="Normal 3 2 2 6 9" xfId="21874"/>
    <cellStyle name="Normal 3 2 2 6 9 2" xfId="21875"/>
    <cellStyle name="Normal 3 2 2 7" xfId="21876"/>
    <cellStyle name="Normal 3 2 2 7 10" xfId="21877"/>
    <cellStyle name="Normal 3 2 2 7 11" xfId="21878"/>
    <cellStyle name="Normal 3 2 2 7 2" xfId="21879"/>
    <cellStyle name="Normal 3 2 2 7 2 2" xfId="21880"/>
    <cellStyle name="Normal 3 2 2 7 2 2 2" xfId="21881"/>
    <cellStyle name="Normal 3 2 2 7 2 2 2 2" xfId="21882"/>
    <cellStyle name="Normal 3 2 2 7 2 2 3" xfId="21883"/>
    <cellStyle name="Normal 3 2 2 7 2 2 4" xfId="21884"/>
    <cellStyle name="Normal 3 2 2 7 2 3" xfId="21885"/>
    <cellStyle name="Normal 3 2 2 7 2 3 2" xfId="21886"/>
    <cellStyle name="Normal 3 2 2 7 2 3 2 2" xfId="21887"/>
    <cellStyle name="Normal 3 2 2 7 2 3 3" xfId="21888"/>
    <cellStyle name="Normal 3 2 2 7 2 4" xfId="21889"/>
    <cellStyle name="Normal 3 2 2 7 2 4 2" xfId="21890"/>
    <cellStyle name="Normal 3 2 2 7 2 4 2 2" xfId="21891"/>
    <cellStyle name="Normal 3 2 2 7 2 4 3" xfId="21892"/>
    <cellStyle name="Normal 3 2 2 7 2 5" xfId="21893"/>
    <cellStyle name="Normal 3 2 2 7 2 5 2" xfId="21894"/>
    <cellStyle name="Normal 3 2 2 7 2 6" xfId="21895"/>
    <cellStyle name="Normal 3 2 2 7 2 7" xfId="21896"/>
    <cellStyle name="Normal 3 2 2 7 3" xfId="21897"/>
    <cellStyle name="Normal 3 2 2 7 3 2" xfId="21898"/>
    <cellStyle name="Normal 3 2 2 7 3 2 2" xfId="21899"/>
    <cellStyle name="Normal 3 2 2 7 3 2 2 2" xfId="21900"/>
    <cellStyle name="Normal 3 2 2 7 3 2 3" xfId="21901"/>
    <cellStyle name="Normal 3 2 2 7 3 3" xfId="21902"/>
    <cellStyle name="Normal 3 2 2 7 3 3 2" xfId="21903"/>
    <cellStyle name="Normal 3 2 2 7 3 3 2 2" xfId="21904"/>
    <cellStyle name="Normal 3 2 2 7 3 3 3" xfId="21905"/>
    <cellStyle name="Normal 3 2 2 7 3 4" xfId="21906"/>
    <cellStyle name="Normal 3 2 2 7 3 4 2" xfId="21907"/>
    <cellStyle name="Normal 3 2 2 7 3 4 3" xfId="21908"/>
    <cellStyle name="Normal 3 2 2 7 3 5" xfId="21909"/>
    <cellStyle name="Normal 3 2 2 7 3 6" xfId="21910"/>
    <cellStyle name="Normal 3 2 2 7 3 7" xfId="21911"/>
    <cellStyle name="Normal 3 2 2 7 4" xfId="21912"/>
    <cellStyle name="Normal 3 2 2 7 4 2" xfId="21913"/>
    <cellStyle name="Normal 3 2 2 7 4 2 2" xfId="21914"/>
    <cellStyle name="Normal 3 2 2 7 4 2 3" xfId="21915"/>
    <cellStyle name="Normal 3 2 2 7 4 3" xfId="21916"/>
    <cellStyle name="Normal 3 2 2 7 4 3 2" xfId="21917"/>
    <cellStyle name="Normal 3 2 2 7 4 3 3" xfId="21918"/>
    <cellStyle name="Normal 3 2 2 7 4 4" xfId="21919"/>
    <cellStyle name="Normal 3 2 2 7 4 4 2" xfId="21920"/>
    <cellStyle name="Normal 3 2 2 7 4 5" xfId="21921"/>
    <cellStyle name="Normal 3 2 2 7 4 6" xfId="21922"/>
    <cellStyle name="Normal 3 2 2 7 4 7" xfId="21923"/>
    <cellStyle name="Normal 3 2 2 7 5" xfId="21924"/>
    <cellStyle name="Normal 3 2 2 7 5 2" xfId="21925"/>
    <cellStyle name="Normal 3 2 2 7 5 2 2" xfId="21926"/>
    <cellStyle name="Normal 3 2 2 7 5 2 3" xfId="21927"/>
    <cellStyle name="Normal 3 2 2 7 5 3" xfId="21928"/>
    <cellStyle name="Normal 3 2 2 7 5 3 2" xfId="21929"/>
    <cellStyle name="Normal 3 2 2 7 5 4" xfId="21930"/>
    <cellStyle name="Normal 3 2 2 7 5 5" xfId="21931"/>
    <cellStyle name="Normal 3 2 2 7 5 6" xfId="21932"/>
    <cellStyle name="Normal 3 2 2 7 6" xfId="21933"/>
    <cellStyle name="Normal 3 2 2 7 6 2" xfId="21934"/>
    <cellStyle name="Normal 3 2 2 7 6 2 2" xfId="21935"/>
    <cellStyle name="Normal 3 2 2 7 6 3" xfId="21936"/>
    <cellStyle name="Normal 3 2 2 7 7" xfId="21937"/>
    <cellStyle name="Normal 3 2 2 7 7 2" xfId="21938"/>
    <cellStyle name="Normal 3 2 2 7 7 3" xfId="21939"/>
    <cellStyle name="Normal 3 2 2 7 8" xfId="21940"/>
    <cellStyle name="Normal 3 2 2 7 8 2" xfId="21941"/>
    <cellStyle name="Normal 3 2 2 7 9" xfId="21942"/>
    <cellStyle name="Normal 3 2 2 8" xfId="21943"/>
    <cellStyle name="Normal 3 2 2 8 10" xfId="21944"/>
    <cellStyle name="Normal 3 2 2 8 11" xfId="21945"/>
    <cellStyle name="Normal 3 2 2 8 2" xfId="21946"/>
    <cellStyle name="Normal 3 2 2 8 2 2" xfId="21947"/>
    <cellStyle name="Normal 3 2 2 8 2 2 2" xfId="21948"/>
    <cellStyle name="Normal 3 2 2 8 2 2 2 2" xfId="21949"/>
    <cellStyle name="Normal 3 2 2 8 2 2 3" xfId="21950"/>
    <cellStyle name="Normal 3 2 2 8 2 2 4" xfId="21951"/>
    <cellStyle name="Normal 3 2 2 8 2 3" xfId="21952"/>
    <cellStyle name="Normal 3 2 2 8 2 3 2" xfId="21953"/>
    <cellStyle name="Normal 3 2 2 8 2 3 2 2" xfId="21954"/>
    <cellStyle name="Normal 3 2 2 8 2 3 3" xfId="21955"/>
    <cellStyle name="Normal 3 2 2 8 2 4" xfId="21956"/>
    <cellStyle name="Normal 3 2 2 8 2 4 2" xfId="21957"/>
    <cellStyle name="Normal 3 2 2 8 2 4 2 2" xfId="21958"/>
    <cellStyle name="Normal 3 2 2 8 2 4 3" xfId="21959"/>
    <cellStyle name="Normal 3 2 2 8 2 5" xfId="21960"/>
    <cellStyle name="Normal 3 2 2 8 2 5 2" xfId="21961"/>
    <cellStyle name="Normal 3 2 2 8 2 6" xfId="21962"/>
    <cellStyle name="Normal 3 2 2 8 2 7" xfId="21963"/>
    <cellStyle name="Normal 3 2 2 8 3" xfId="21964"/>
    <cellStyle name="Normal 3 2 2 8 3 2" xfId="21965"/>
    <cellStyle name="Normal 3 2 2 8 3 2 2" xfId="21966"/>
    <cellStyle name="Normal 3 2 2 8 3 2 2 2" xfId="21967"/>
    <cellStyle name="Normal 3 2 2 8 3 2 3" xfId="21968"/>
    <cellStyle name="Normal 3 2 2 8 3 3" xfId="21969"/>
    <cellStyle name="Normal 3 2 2 8 3 3 2" xfId="21970"/>
    <cellStyle name="Normal 3 2 2 8 3 3 2 2" xfId="21971"/>
    <cellStyle name="Normal 3 2 2 8 3 3 3" xfId="21972"/>
    <cellStyle name="Normal 3 2 2 8 3 4" xfId="21973"/>
    <cellStyle name="Normal 3 2 2 8 3 4 2" xfId="21974"/>
    <cellStyle name="Normal 3 2 2 8 3 4 3" xfId="21975"/>
    <cellStyle name="Normal 3 2 2 8 3 5" xfId="21976"/>
    <cellStyle name="Normal 3 2 2 8 3 6" xfId="21977"/>
    <cellStyle name="Normal 3 2 2 8 3 7" xfId="21978"/>
    <cellStyle name="Normal 3 2 2 8 4" xfId="21979"/>
    <cellStyle name="Normal 3 2 2 8 4 2" xfId="21980"/>
    <cellStyle name="Normal 3 2 2 8 4 2 2" xfId="21981"/>
    <cellStyle name="Normal 3 2 2 8 4 2 3" xfId="21982"/>
    <cellStyle name="Normal 3 2 2 8 4 3" xfId="21983"/>
    <cellStyle name="Normal 3 2 2 8 4 3 2" xfId="21984"/>
    <cellStyle name="Normal 3 2 2 8 4 3 3" xfId="21985"/>
    <cellStyle name="Normal 3 2 2 8 4 4" xfId="21986"/>
    <cellStyle name="Normal 3 2 2 8 4 4 2" xfId="21987"/>
    <cellStyle name="Normal 3 2 2 8 4 5" xfId="21988"/>
    <cellStyle name="Normal 3 2 2 8 4 6" xfId="21989"/>
    <cellStyle name="Normal 3 2 2 8 4 7" xfId="21990"/>
    <cellStyle name="Normal 3 2 2 8 5" xfId="21991"/>
    <cellStyle name="Normal 3 2 2 8 5 2" xfId="21992"/>
    <cellStyle name="Normal 3 2 2 8 5 2 2" xfId="21993"/>
    <cellStyle name="Normal 3 2 2 8 5 2 3" xfId="21994"/>
    <cellStyle name="Normal 3 2 2 8 5 3" xfId="21995"/>
    <cellStyle name="Normal 3 2 2 8 5 3 2" xfId="21996"/>
    <cellStyle name="Normal 3 2 2 8 5 4" xfId="21997"/>
    <cellStyle name="Normal 3 2 2 8 5 5" xfId="21998"/>
    <cellStyle name="Normal 3 2 2 8 5 6" xfId="21999"/>
    <cellStyle name="Normal 3 2 2 8 6" xfId="22000"/>
    <cellStyle name="Normal 3 2 2 8 6 2" xfId="22001"/>
    <cellStyle name="Normal 3 2 2 8 6 2 2" xfId="22002"/>
    <cellStyle name="Normal 3 2 2 8 6 3" xfId="22003"/>
    <cellStyle name="Normal 3 2 2 8 7" xfId="22004"/>
    <cellStyle name="Normal 3 2 2 8 7 2" xfId="22005"/>
    <cellStyle name="Normal 3 2 2 8 7 3" xfId="22006"/>
    <cellStyle name="Normal 3 2 2 8 8" xfId="22007"/>
    <cellStyle name="Normal 3 2 2 8 8 2" xfId="22008"/>
    <cellStyle name="Normal 3 2 2 8 9" xfId="22009"/>
    <cellStyle name="Normal 3 2 2 9" xfId="22010"/>
    <cellStyle name="Normal 3 2 2 9 2" xfId="22011"/>
    <cellStyle name="Normal 3 2 2 9 2 2" xfId="22012"/>
    <cellStyle name="Normal 3 2 2 9 2 2 2" xfId="22013"/>
    <cellStyle name="Normal 3 2 2 9 2 2 3" xfId="22014"/>
    <cellStyle name="Normal 3 2 2 9 2 3" xfId="22015"/>
    <cellStyle name="Normal 3 2 2 9 2 3 2" xfId="22016"/>
    <cellStyle name="Normal 3 2 2 9 2 4" xfId="22017"/>
    <cellStyle name="Normal 3 2 2 9 2 5" xfId="22018"/>
    <cellStyle name="Normal 3 2 2 9 3" xfId="22019"/>
    <cellStyle name="Normal 3 2 2 9 3 2" xfId="22020"/>
    <cellStyle name="Normal 3 2 2 9 3 2 2" xfId="22021"/>
    <cellStyle name="Normal 3 2 2 9 3 3" xfId="22022"/>
    <cellStyle name="Normal 3 2 2 9 3 4" xfId="22023"/>
    <cellStyle name="Normal 3 2 2 9 4" xfId="22024"/>
    <cellStyle name="Normal 3 2 2 9 4 2" xfId="22025"/>
    <cellStyle name="Normal 3 2 2 9 4 2 2" xfId="22026"/>
    <cellStyle name="Normal 3 2 2 9 4 3" xfId="22027"/>
    <cellStyle name="Normal 3 2 2 9 5" xfId="22028"/>
    <cellStyle name="Normal 3 2 2 9 5 2" xfId="22029"/>
    <cellStyle name="Normal 3 2 2 9 5 3" xfId="22030"/>
    <cellStyle name="Normal 3 2 2 9 6" xfId="22031"/>
    <cellStyle name="Normal 3 2 2 9 6 2" xfId="22032"/>
    <cellStyle name="Normal 3 2 2 9 7" xfId="22033"/>
    <cellStyle name="Normal 3 2 20" xfId="22034"/>
    <cellStyle name="Normal 3 2 3" xfId="22035"/>
    <cellStyle name="Normal 3 2 3 10" xfId="22036"/>
    <cellStyle name="Normal 3 2 3 10 2" xfId="22037"/>
    <cellStyle name="Normal 3 2 3 10 2 2" xfId="22038"/>
    <cellStyle name="Normal 3 2 3 10 2 2 2" xfId="22039"/>
    <cellStyle name="Normal 3 2 3 10 2 3" xfId="22040"/>
    <cellStyle name="Normal 3 2 3 10 3" xfId="22041"/>
    <cellStyle name="Normal 3 2 3 10 3 2" xfId="22042"/>
    <cellStyle name="Normal 3 2 3 10 3 2 2" xfId="22043"/>
    <cellStyle name="Normal 3 2 3 10 3 3" xfId="22044"/>
    <cellStyle name="Normal 3 2 3 10 4" xfId="22045"/>
    <cellStyle name="Normal 3 2 3 10 4 2" xfId="22046"/>
    <cellStyle name="Normal 3 2 3 10 4 3" xfId="22047"/>
    <cellStyle name="Normal 3 2 3 10 5" xfId="22048"/>
    <cellStyle name="Normal 3 2 3 10 6" xfId="22049"/>
    <cellStyle name="Normal 3 2 3 10 7" xfId="22050"/>
    <cellStyle name="Normal 3 2 3 11" xfId="22051"/>
    <cellStyle name="Normal 3 2 3 11 2" xfId="22052"/>
    <cellStyle name="Normal 3 2 3 11 2 2" xfId="22053"/>
    <cellStyle name="Normal 3 2 3 11 2 3" xfId="22054"/>
    <cellStyle name="Normal 3 2 3 11 3" xfId="22055"/>
    <cellStyle name="Normal 3 2 3 11 3 2" xfId="22056"/>
    <cellStyle name="Normal 3 2 3 11 3 3" xfId="22057"/>
    <cellStyle name="Normal 3 2 3 11 4" xfId="22058"/>
    <cellStyle name="Normal 3 2 3 11 5" xfId="22059"/>
    <cellStyle name="Normal 3 2 3 11 6" xfId="22060"/>
    <cellStyle name="Normal 3 2 3 12" xfId="22061"/>
    <cellStyle name="Normal 3 2 3 12 2" xfId="22062"/>
    <cellStyle name="Normal 3 2 3 12 2 2" xfId="22063"/>
    <cellStyle name="Normal 3 2 3 12 3" xfId="22064"/>
    <cellStyle name="Normal 3 2 3 13" xfId="22065"/>
    <cellStyle name="Normal 3 2 3 13 2" xfId="22066"/>
    <cellStyle name="Normal 3 2 3 13 2 2" xfId="22067"/>
    <cellStyle name="Normal 3 2 3 13 3" xfId="22068"/>
    <cellStyle name="Normal 3 2 3 14" xfId="22069"/>
    <cellStyle name="Normal 3 2 3 14 2" xfId="22070"/>
    <cellStyle name="Normal 3 2 3 14 3" xfId="22071"/>
    <cellStyle name="Normal 3 2 3 15" xfId="22072"/>
    <cellStyle name="Normal 3 2 3 16" xfId="22073"/>
    <cellStyle name="Normal 3 2 3 17" xfId="22074"/>
    <cellStyle name="Normal 3 2 3 2" xfId="22075"/>
    <cellStyle name="Normal 3 2 3 2 10" xfId="22076"/>
    <cellStyle name="Normal 3 2 3 2 10 2" xfId="22077"/>
    <cellStyle name="Normal 3 2 3 2 10 2 2" xfId="22078"/>
    <cellStyle name="Normal 3 2 3 2 10 3" xfId="22079"/>
    <cellStyle name="Normal 3 2 3 2 11" xfId="22080"/>
    <cellStyle name="Normal 3 2 3 2 11 2" xfId="22081"/>
    <cellStyle name="Normal 3 2 3 2 11 2 2" xfId="22082"/>
    <cellStyle name="Normal 3 2 3 2 11 3" xfId="22083"/>
    <cellStyle name="Normal 3 2 3 2 12" xfId="22084"/>
    <cellStyle name="Normal 3 2 3 2 12 2" xfId="22085"/>
    <cellStyle name="Normal 3 2 3 2 13" xfId="22086"/>
    <cellStyle name="Normal 3 2 3 2 14" xfId="22087"/>
    <cellStyle name="Normal 3 2 3 2 2" xfId="22088"/>
    <cellStyle name="Normal 3 2 3 2 2 10" xfId="22089"/>
    <cellStyle name="Normal 3 2 3 2 2 10 2" xfId="22090"/>
    <cellStyle name="Normal 3 2 3 2 2 11" xfId="22091"/>
    <cellStyle name="Normal 3 2 3 2 2 12" xfId="22092"/>
    <cellStyle name="Normal 3 2 3 2 2 2" xfId="22093"/>
    <cellStyle name="Normal 3 2 3 2 2 2 2" xfId="22094"/>
    <cellStyle name="Normal 3 2 3 2 2 2 2 2" xfId="22095"/>
    <cellStyle name="Normal 3 2 3 2 2 2 2 2 2" xfId="22096"/>
    <cellStyle name="Normal 3 2 3 2 2 2 2 2 3" xfId="22097"/>
    <cellStyle name="Normal 3 2 3 2 2 2 2 2 4" xfId="22098"/>
    <cellStyle name="Normal 3 2 3 2 2 2 2 3" xfId="22099"/>
    <cellStyle name="Normal 3 2 3 2 2 2 2 3 2" xfId="22100"/>
    <cellStyle name="Normal 3 2 3 2 2 2 2 4" xfId="22101"/>
    <cellStyle name="Normal 3 2 3 2 2 2 2 4 2" xfId="22102"/>
    <cellStyle name="Normal 3 2 3 2 2 2 2 5" xfId="22103"/>
    <cellStyle name="Normal 3 2 3 2 2 2 2 6" xfId="22104"/>
    <cellStyle name="Normal 3 2 3 2 2 2 3" xfId="22105"/>
    <cellStyle name="Normal 3 2 3 2 2 2 3 2" xfId="22106"/>
    <cellStyle name="Normal 3 2 3 2 2 2 3 2 2" xfId="22107"/>
    <cellStyle name="Normal 3 2 3 2 2 2 3 2 3" xfId="22108"/>
    <cellStyle name="Normal 3 2 3 2 2 2 3 3" xfId="22109"/>
    <cellStyle name="Normal 3 2 3 2 2 2 3 3 2" xfId="22110"/>
    <cellStyle name="Normal 3 2 3 2 2 2 3 4" xfId="22111"/>
    <cellStyle name="Normal 3 2 3 2 2 2 3 5" xfId="22112"/>
    <cellStyle name="Normal 3 2 3 2 2 2 4" xfId="22113"/>
    <cellStyle name="Normal 3 2 3 2 2 2 4 2" xfId="22114"/>
    <cellStyle name="Normal 3 2 3 2 2 2 4 2 2" xfId="22115"/>
    <cellStyle name="Normal 3 2 3 2 2 2 4 3" xfId="22116"/>
    <cellStyle name="Normal 3 2 3 2 2 2 4 4" xfId="22117"/>
    <cellStyle name="Normal 3 2 3 2 2 2 5" xfId="22118"/>
    <cellStyle name="Normal 3 2 3 2 2 2 5 2" xfId="22119"/>
    <cellStyle name="Normal 3 2 3 2 2 2 5 3" xfId="22120"/>
    <cellStyle name="Normal 3 2 3 2 2 2 6" xfId="22121"/>
    <cellStyle name="Normal 3 2 3 2 2 2 6 2" xfId="22122"/>
    <cellStyle name="Normal 3 2 3 2 2 2 6 3" xfId="22123"/>
    <cellStyle name="Normal 3 2 3 2 2 2 7" xfId="22124"/>
    <cellStyle name="Normal 3 2 3 2 2 2 8" xfId="22125"/>
    <cellStyle name="Normal 3 2 3 2 2 3" xfId="22126"/>
    <cellStyle name="Normal 3 2 3 2 2 3 2" xfId="22127"/>
    <cellStyle name="Normal 3 2 3 2 2 3 2 2" xfId="22128"/>
    <cellStyle name="Normal 3 2 3 2 2 3 2 2 2" xfId="22129"/>
    <cellStyle name="Normal 3 2 3 2 2 3 2 2 3" xfId="22130"/>
    <cellStyle name="Normal 3 2 3 2 2 3 2 2 4" xfId="22131"/>
    <cellStyle name="Normal 3 2 3 2 2 3 2 3" xfId="22132"/>
    <cellStyle name="Normal 3 2 3 2 2 3 2 3 2" xfId="22133"/>
    <cellStyle name="Normal 3 2 3 2 2 3 2 4" xfId="22134"/>
    <cellStyle name="Normal 3 2 3 2 2 3 2 4 2" xfId="22135"/>
    <cellStyle name="Normal 3 2 3 2 2 3 2 5" xfId="22136"/>
    <cellStyle name="Normal 3 2 3 2 2 3 2 6" xfId="22137"/>
    <cellStyle name="Normal 3 2 3 2 2 3 3" xfId="22138"/>
    <cellStyle name="Normal 3 2 3 2 2 3 3 2" xfId="22139"/>
    <cellStyle name="Normal 3 2 3 2 2 3 3 2 2" xfId="22140"/>
    <cellStyle name="Normal 3 2 3 2 2 3 3 2 3" xfId="22141"/>
    <cellStyle name="Normal 3 2 3 2 2 3 3 3" xfId="22142"/>
    <cellStyle name="Normal 3 2 3 2 2 3 3 3 2" xfId="22143"/>
    <cellStyle name="Normal 3 2 3 2 2 3 3 4" xfId="22144"/>
    <cellStyle name="Normal 3 2 3 2 2 3 3 5" xfId="22145"/>
    <cellStyle name="Normal 3 2 3 2 2 3 4" xfId="22146"/>
    <cellStyle name="Normal 3 2 3 2 2 3 4 2" xfId="22147"/>
    <cellStyle name="Normal 3 2 3 2 2 3 4 2 2" xfId="22148"/>
    <cellStyle name="Normal 3 2 3 2 2 3 4 3" xfId="22149"/>
    <cellStyle name="Normal 3 2 3 2 2 3 4 4" xfId="22150"/>
    <cellStyle name="Normal 3 2 3 2 2 3 5" xfId="22151"/>
    <cellStyle name="Normal 3 2 3 2 2 3 5 2" xfId="22152"/>
    <cellStyle name="Normal 3 2 3 2 2 3 5 3" xfId="22153"/>
    <cellStyle name="Normal 3 2 3 2 2 3 6" xfId="22154"/>
    <cellStyle name="Normal 3 2 3 2 2 3 6 2" xfId="22155"/>
    <cellStyle name="Normal 3 2 3 2 2 3 6 3" xfId="22156"/>
    <cellStyle name="Normal 3 2 3 2 2 3 7" xfId="22157"/>
    <cellStyle name="Normal 3 2 3 2 2 3 8" xfId="22158"/>
    <cellStyle name="Normal 3 2 3 2 2 4" xfId="22159"/>
    <cellStyle name="Normal 3 2 3 2 2 4 2" xfId="22160"/>
    <cellStyle name="Normal 3 2 3 2 2 4 2 2" xfId="22161"/>
    <cellStyle name="Normal 3 2 3 2 2 4 2 2 2" xfId="22162"/>
    <cellStyle name="Normal 3 2 3 2 2 4 2 2 3" xfId="22163"/>
    <cellStyle name="Normal 3 2 3 2 2 4 2 3" xfId="22164"/>
    <cellStyle name="Normal 3 2 3 2 2 4 2 3 2" xfId="22165"/>
    <cellStyle name="Normal 3 2 3 2 2 4 2 4" xfId="22166"/>
    <cellStyle name="Normal 3 2 3 2 2 4 2 5" xfId="22167"/>
    <cellStyle name="Normal 3 2 3 2 2 4 3" xfId="22168"/>
    <cellStyle name="Normal 3 2 3 2 2 4 3 2" xfId="22169"/>
    <cellStyle name="Normal 3 2 3 2 2 4 3 2 2" xfId="22170"/>
    <cellStyle name="Normal 3 2 3 2 2 4 3 3" xfId="22171"/>
    <cellStyle name="Normal 3 2 3 2 2 4 3 4" xfId="22172"/>
    <cellStyle name="Normal 3 2 3 2 2 4 4" xfId="22173"/>
    <cellStyle name="Normal 3 2 3 2 2 4 4 2" xfId="22174"/>
    <cellStyle name="Normal 3 2 3 2 2 4 4 2 2" xfId="22175"/>
    <cellStyle name="Normal 3 2 3 2 2 4 4 3" xfId="22176"/>
    <cellStyle name="Normal 3 2 3 2 2 4 5" xfId="22177"/>
    <cellStyle name="Normal 3 2 3 2 2 4 5 2" xfId="22178"/>
    <cellStyle name="Normal 3 2 3 2 2 4 5 3" xfId="22179"/>
    <cellStyle name="Normal 3 2 3 2 2 4 6" xfId="22180"/>
    <cellStyle name="Normal 3 2 3 2 2 4 6 2" xfId="22181"/>
    <cellStyle name="Normal 3 2 3 2 2 4 7" xfId="22182"/>
    <cellStyle name="Normal 3 2 3 2 2 5" xfId="22183"/>
    <cellStyle name="Normal 3 2 3 2 2 5 2" xfId="22184"/>
    <cellStyle name="Normal 3 2 3 2 2 5 2 2" xfId="22185"/>
    <cellStyle name="Normal 3 2 3 2 2 5 2 2 2" xfId="22186"/>
    <cellStyle name="Normal 3 2 3 2 2 5 2 3" xfId="22187"/>
    <cellStyle name="Normal 3 2 3 2 2 5 3" xfId="22188"/>
    <cellStyle name="Normal 3 2 3 2 2 5 3 2" xfId="22189"/>
    <cellStyle name="Normal 3 2 3 2 2 5 3 2 2" xfId="22190"/>
    <cellStyle name="Normal 3 2 3 2 2 5 3 3" xfId="22191"/>
    <cellStyle name="Normal 3 2 3 2 2 5 4" xfId="22192"/>
    <cellStyle name="Normal 3 2 3 2 2 5 4 2" xfId="22193"/>
    <cellStyle name="Normal 3 2 3 2 2 5 4 3" xfId="22194"/>
    <cellStyle name="Normal 3 2 3 2 2 5 5" xfId="22195"/>
    <cellStyle name="Normal 3 2 3 2 2 5 6" xfId="22196"/>
    <cellStyle name="Normal 3 2 3 2 2 5 7" xfId="22197"/>
    <cellStyle name="Normal 3 2 3 2 2 6" xfId="22198"/>
    <cellStyle name="Normal 3 2 3 2 2 6 2" xfId="22199"/>
    <cellStyle name="Normal 3 2 3 2 2 6 2 2" xfId="22200"/>
    <cellStyle name="Normal 3 2 3 2 2 6 2 2 2" xfId="22201"/>
    <cellStyle name="Normal 3 2 3 2 2 6 2 3" xfId="22202"/>
    <cellStyle name="Normal 3 2 3 2 2 6 3" xfId="22203"/>
    <cellStyle name="Normal 3 2 3 2 2 6 3 2" xfId="22204"/>
    <cellStyle name="Normal 3 2 3 2 2 6 3 2 2" xfId="22205"/>
    <cellStyle name="Normal 3 2 3 2 2 6 3 3" xfId="22206"/>
    <cellStyle name="Normal 3 2 3 2 2 6 4" xfId="22207"/>
    <cellStyle name="Normal 3 2 3 2 2 6 4 2" xfId="22208"/>
    <cellStyle name="Normal 3 2 3 2 2 6 5" xfId="22209"/>
    <cellStyle name="Normal 3 2 3 2 2 6 6" xfId="22210"/>
    <cellStyle name="Normal 3 2 3 2 2 7" xfId="22211"/>
    <cellStyle name="Normal 3 2 3 2 2 7 2" xfId="22212"/>
    <cellStyle name="Normal 3 2 3 2 2 7 2 2" xfId="22213"/>
    <cellStyle name="Normal 3 2 3 2 2 7 3" xfId="22214"/>
    <cellStyle name="Normal 3 2 3 2 2 7 4" xfId="22215"/>
    <cellStyle name="Normal 3 2 3 2 2 8" xfId="22216"/>
    <cellStyle name="Normal 3 2 3 2 2 8 2" xfId="22217"/>
    <cellStyle name="Normal 3 2 3 2 2 8 2 2" xfId="22218"/>
    <cellStyle name="Normal 3 2 3 2 2 8 3" xfId="22219"/>
    <cellStyle name="Normal 3 2 3 2 2 9" xfId="22220"/>
    <cellStyle name="Normal 3 2 3 2 2 9 2" xfId="22221"/>
    <cellStyle name="Normal 3 2 3 2 2 9 2 2" xfId="22222"/>
    <cellStyle name="Normal 3 2 3 2 2 9 3" xfId="22223"/>
    <cellStyle name="Normal 3 2 3 2 3" xfId="22224"/>
    <cellStyle name="Normal 3 2 3 2 3 10" xfId="22225"/>
    <cellStyle name="Normal 3 2 3 2 3 11" xfId="22226"/>
    <cellStyle name="Normal 3 2 3 2 3 2" xfId="22227"/>
    <cellStyle name="Normal 3 2 3 2 3 2 2" xfId="22228"/>
    <cellStyle name="Normal 3 2 3 2 3 2 2 2" xfId="22229"/>
    <cellStyle name="Normal 3 2 3 2 3 2 2 2 2" xfId="22230"/>
    <cellStyle name="Normal 3 2 3 2 3 2 2 2 3" xfId="22231"/>
    <cellStyle name="Normal 3 2 3 2 3 2 2 2 4" xfId="22232"/>
    <cellStyle name="Normal 3 2 3 2 3 2 2 3" xfId="22233"/>
    <cellStyle name="Normal 3 2 3 2 3 2 2 3 2" xfId="22234"/>
    <cellStyle name="Normal 3 2 3 2 3 2 2 4" xfId="22235"/>
    <cellStyle name="Normal 3 2 3 2 3 2 2 4 2" xfId="22236"/>
    <cellStyle name="Normal 3 2 3 2 3 2 2 5" xfId="22237"/>
    <cellStyle name="Normal 3 2 3 2 3 2 2 6" xfId="22238"/>
    <cellStyle name="Normal 3 2 3 2 3 2 3" xfId="22239"/>
    <cellStyle name="Normal 3 2 3 2 3 2 3 2" xfId="22240"/>
    <cellStyle name="Normal 3 2 3 2 3 2 3 2 2" xfId="22241"/>
    <cellStyle name="Normal 3 2 3 2 3 2 3 2 3" xfId="22242"/>
    <cellStyle name="Normal 3 2 3 2 3 2 3 3" xfId="22243"/>
    <cellStyle name="Normal 3 2 3 2 3 2 3 3 2" xfId="22244"/>
    <cellStyle name="Normal 3 2 3 2 3 2 3 4" xfId="22245"/>
    <cellStyle name="Normal 3 2 3 2 3 2 3 5" xfId="22246"/>
    <cellStyle name="Normal 3 2 3 2 3 2 4" xfId="22247"/>
    <cellStyle name="Normal 3 2 3 2 3 2 4 2" xfId="22248"/>
    <cellStyle name="Normal 3 2 3 2 3 2 4 2 2" xfId="22249"/>
    <cellStyle name="Normal 3 2 3 2 3 2 4 3" xfId="22250"/>
    <cellStyle name="Normal 3 2 3 2 3 2 4 4" xfId="22251"/>
    <cellStyle name="Normal 3 2 3 2 3 2 5" xfId="22252"/>
    <cellStyle name="Normal 3 2 3 2 3 2 5 2" xfId="22253"/>
    <cellStyle name="Normal 3 2 3 2 3 2 5 3" xfId="22254"/>
    <cellStyle name="Normal 3 2 3 2 3 2 6" xfId="22255"/>
    <cellStyle name="Normal 3 2 3 2 3 2 6 2" xfId="22256"/>
    <cellStyle name="Normal 3 2 3 2 3 2 6 3" xfId="22257"/>
    <cellStyle name="Normal 3 2 3 2 3 2 7" xfId="22258"/>
    <cellStyle name="Normal 3 2 3 2 3 2 8" xfId="22259"/>
    <cellStyle name="Normal 3 2 3 2 3 3" xfId="22260"/>
    <cellStyle name="Normal 3 2 3 2 3 3 2" xfId="22261"/>
    <cellStyle name="Normal 3 2 3 2 3 3 2 2" xfId="22262"/>
    <cellStyle name="Normal 3 2 3 2 3 3 2 2 2" xfId="22263"/>
    <cellStyle name="Normal 3 2 3 2 3 3 2 3" xfId="22264"/>
    <cellStyle name="Normal 3 2 3 2 3 3 2 4" xfId="22265"/>
    <cellStyle name="Normal 3 2 3 2 3 3 3" xfId="22266"/>
    <cellStyle name="Normal 3 2 3 2 3 3 3 2" xfId="22267"/>
    <cellStyle name="Normal 3 2 3 2 3 3 3 2 2" xfId="22268"/>
    <cellStyle name="Normal 3 2 3 2 3 3 3 3" xfId="22269"/>
    <cellStyle name="Normal 3 2 3 2 3 3 4" xfId="22270"/>
    <cellStyle name="Normal 3 2 3 2 3 3 4 2" xfId="22271"/>
    <cellStyle name="Normal 3 2 3 2 3 3 4 2 2" xfId="22272"/>
    <cellStyle name="Normal 3 2 3 2 3 3 4 3" xfId="22273"/>
    <cellStyle name="Normal 3 2 3 2 3 3 5" xfId="22274"/>
    <cellStyle name="Normal 3 2 3 2 3 3 5 2" xfId="22275"/>
    <cellStyle name="Normal 3 2 3 2 3 3 6" xfId="22276"/>
    <cellStyle name="Normal 3 2 3 2 3 3 7" xfId="22277"/>
    <cellStyle name="Normal 3 2 3 2 3 4" xfId="22278"/>
    <cellStyle name="Normal 3 2 3 2 3 4 2" xfId="22279"/>
    <cellStyle name="Normal 3 2 3 2 3 4 2 2" xfId="22280"/>
    <cellStyle name="Normal 3 2 3 2 3 4 2 2 2" xfId="22281"/>
    <cellStyle name="Normal 3 2 3 2 3 4 2 3" xfId="22282"/>
    <cellStyle name="Normal 3 2 3 2 3 4 3" xfId="22283"/>
    <cellStyle name="Normal 3 2 3 2 3 4 3 2" xfId="22284"/>
    <cellStyle name="Normal 3 2 3 2 3 4 3 2 2" xfId="22285"/>
    <cellStyle name="Normal 3 2 3 2 3 4 3 3" xfId="22286"/>
    <cellStyle name="Normal 3 2 3 2 3 4 4" xfId="22287"/>
    <cellStyle name="Normal 3 2 3 2 3 4 4 2" xfId="22288"/>
    <cellStyle name="Normal 3 2 3 2 3 4 4 3" xfId="22289"/>
    <cellStyle name="Normal 3 2 3 2 3 4 5" xfId="22290"/>
    <cellStyle name="Normal 3 2 3 2 3 4 6" xfId="22291"/>
    <cellStyle name="Normal 3 2 3 2 3 4 7" xfId="22292"/>
    <cellStyle name="Normal 3 2 3 2 3 5" xfId="22293"/>
    <cellStyle name="Normal 3 2 3 2 3 5 2" xfId="22294"/>
    <cellStyle name="Normal 3 2 3 2 3 5 2 2" xfId="22295"/>
    <cellStyle name="Normal 3 2 3 2 3 5 2 3" xfId="22296"/>
    <cellStyle name="Normal 3 2 3 2 3 5 3" xfId="22297"/>
    <cellStyle name="Normal 3 2 3 2 3 5 3 2" xfId="22298"/>
    <cellStyle name="Normal 3 2 3 2 3 5 3 3" xfId="22299"/>
    <cellStyle name="Normal 3 2 3 2 3 5 4" xfId="22300"/>
    <cellStyle name="Normal 3 2 3 2 3 5 5" xfId="22301"/>
    <cellStyle name="Normal 3 2 3 2 3 5 6" xfId="22302"/>
    <cellStyle name="Normal 3 2 3 2 3 6" xfId="22303"/>
    <cellStyle name="Normal 3 2 3 2 3 6 2" xfId="22304"/>
    <cellStyle name="Normal 3 2 3 2 3 6 2 2" xfId="22305"/>
    <cellStyle name="Normal 3 2 3 2 3 6 3" xfId="22306"/>
    <cellStyle name="Normal 3 2 3 2 3 7" xfId="22307"/>
    <cellStyle name="Normal 3 2 3 2 3 7 2" xfId="22308"/>
    <cellStyle name="Normal 3 2 3 2 3 7 2 2" xfId="22309"/>
    <cellStyle name="Normal 3 2 3 2 3 7 3" xfId="22310"/>
    <cellStyle name="Normal 3 2 3 2 3 8" xfId="22311"/>
    <cellStyle name="Normal 3 2 3 2 3 8 2" xfId="22312"/>
    <cellStyle name="Normal 3 2 3 2 3 8 3" xfId="22313"/>
    <cellStyle name="Normal 3 2 3 2 3 9" xfId="22314"/>
    <cellStyle name="Normal 3 2 3 2 4" xfId="22315"/>
    <cellStyle name="Normal 3 2 3 2 4 10" xfId="22316"/>
    <cellStyle name="Normal 3 2 3 2 4 11" xfId="22317"/>
    <cellStyle name="Normal 3 2 3 2 4 2" xfId="22318"/>
    <cellStyle name="Normal 3 2 3 2 4 2 2" xfId="22319"/>
    <cellStyle name="Normal 3 2 3 2 4 2 2 2" xfId="22320"/>
    <cellStyle name="Normal 3 2 3 2 4 2 2 2 2" xfId="22321"/>
    <cellStyle name="Normal 3 2 3 2 4 2 2 3" xfId="22322"/>
    <cellStyle name="Normal 3 2 3 2 4 2 2 4" xfId="22323"/>
    <cellStyle name="Normal 3 2 3 2 4 2 3" xfId="22324"/>
    <cellStyle name="Normal 3 2 3 2 4 2 3 2" xfId="22325"/>
    <cellStyle name="Normal 3 2 3 2 4 2 3 2 2" xfId="22326"/>
    <cellStyle name="Normal 3 2 3 2 4 2 3 3" xfId="22327"/>
    <cellStyle name="Normal 3 2 3 2 4 2 4" xfId="22328"/>
    <cellStyle name="Normal 3 2 3 2 4 2 4 2" xfId="22329"/>
    <cellStyle name="Normal 3 2 3 2 4 2 4 2 2" xfId="22330"/>
    <cellStyle name="Normal 3 2 3 2 4 2 4 3" xfId="22331"/>
    <cellStyle name="Normal 3 2 3 2 4 2 5" xfId="22332"/>
    <cellStyle name="Normal 3 2 3 2 4 2 5 2" xfId="22333"/>
    <cellStyle name="Normal 3 2 3 2 4 2 6" xfId="22334"/>
    <cellStyle name="Normal 3 2 3 2 4 2 7" xfId="22335"/>
    <cellStyle name="Normal 3 2 3 2 4 3" xfId="22336"/>
    <cellStyle name="Normal 3 2 3 2 4 3 2" xfId="22337"/>
    <cellStyle name="Normal 3 2 3 2 4 3 2 2" xfId="22338"/>
    <cellStyle name="Normal 3 2 3 2 4 3 2 2 2" xfId="22339"/>
    <cellStyle name="Normal 3 2 3 2 4 3 2 3" xfId="22340"/>
    <cellStyle name="Normal 3 2 3 2 4 3 3" xfId="22341"/>
    <cellStyle name="Normal 3 2 3 2 4 3 3 2" xfId="22342"/>
    <cellStyle name="Normal 3 2 3 2 4 3 3 2 2" xfId="22343"/>
    <cellStyle name="Normal 3 2 3 2 4 3 3 3" xfId="22344"/>
    <cellStyle name="Normal 3 2 3 2 4 3 4" xfId="22345"/>
    <cellStyle name="Normal 3 2 3 2 4 3 4 2" xfId="22346"/>
    <cellStyle name="Normal 3 2 3 2 4 3 4 3" xfId="22347"/>
    <cellStyle name="Normal 3 2 3 2 4 3 5" xfId="22348"/>
    <cellStyle name="Normal 3 2 3 2 4 3 6" xfId="22349"/>
    <cellStyle name="Normal 3 2 3 2 4 3 7" xfId="22350"/>
    <cellStyle name="Normal 3 2 3 2 4 4" xfId="22351"/>
    <cellStyle name="Normal 3 2 3 2 4 4 2" xfId="22352"/>
    <cellStyle name="Normal 3 2 3 2 4 4 2 2" xfId="22353"/>
    <cellStyle name="Normal 3 2 3 2 4 4 2 3" xfId="22354"/>
    <cellStyle name="Normal 3 2 3 2 4 4 3" xfId="22355"/>
    <cellStyle name="Normal 3 2 3 2 4 4 3 2" xfId="22356"/>
    <cellStyle name="Normal 3 2 3 2 4 4 3 3" xfId="22357"/>
    <cellStyle name="Normal 3 2 3 2 4 4 4" xfId="22358"/>
    <cellStyle name="Normal 3 2 3 2 4 4 4 2" xfId="22359"/>
    <cellStyle name="Normal 3 2 3 2 4 4 5" xfId="22360"/>
    <cellStyle name="Normal 3 2 3 2 4 4 6" xfId="22361"/>
    <cellStyle name="Normal 3 2 3 2 4 4 7" xfId="22362"/>
    <cellStyle name="Normal 3 2 3 2 4 5" xfId="22363"/>
    <cellStyle name="Normal 3 2 3 2 4 5 2" xfId="22364"/>
    <cellStyle name="Normal 3 2 3 2 4 5 2 2" xfId="22365"/>
    <cellStyle name="Normal 3 2 3 2 4 5 2 3" xfId="22366"/>
    <cellStyle name="Normal 3 2 3 2 4 5 3" xfId="22367"/>
    <cellStyle name="Normal 3 2 3 2 4 5 3 2" xfId="22368"/>
    <cellStyle name="Normal 3 2 3 2 4 5 4" xfId="22369"/>
    <cellStyle name="Normal 3 2 3 2 4 5 5" xfId="22370"/>
    <cellStyle name="Normal 3 2 3 2 4 5 6" xfId="22371"/>
    <cellStyle name="Normal 3 2 3 2 4 6" xfId="22372"/>
    <cellStyle name="Normal 3 2 3 2 4 6 2" xfId="22373"/>
    <cellStyle name="Normal 3 2 3 2 4 6 2 2" xfId="22374"/>
    <cellStyle name="Normal 3 2 3 2 4 6 3" xfId="22375"/>
    <cellStyle name="Normal 3 2 3 2 4 7" xfId="22376"/>
    <cellStyle name="Normal 3 2 3 2 4 7 2" xfId="22377"/>
    <cellStyle name="Normal 3 2 3 2 4 7 3" xfId="22378"/>
    <cellStyle name="Normal 3 2 3 2 4 8" xfId="22379"/>
    <cellStyle name="Normal 3 2 3 2 4 8 2" xfId="22380"/>
    <cellStyle name="Normal 3 2 3 2 4 9" xfId="22381"/>
    <cellStyle name="Normal 3 2 3 2 5" xfId="22382"/>
    <cellStyle name="Normal 3 2 3 2 5 2" xfId="22383"/>
    <cellStyle name="Normal 3 2 3 2 5 2 2" xfId="22384"/>
    <cellStyle name="Normal 3 2 3 2 5 2 2 2" xfId="22385"/>
    <cellStyle name="Normal 3 2 3 2 5 2 2 3" xfId="22386"/>
    <cellStyle name="Normal 3 2 3 2 5 2 2 4" xfId="22387"/>
    <cellStyle name="Normal 3 2 3 2 5 2 3" xfId="22388"/>
    <cellStyle name="Normal 3 2 3 2 5 2 3 2" xfId="22389"/>
    <cellStyle name="Normal 3 2 3 2 5 2 4" xfId="22390"/>
    <cellStyle name="Normal 3 2 3 2 5 2 4 2" xfId="22391"/>
    <cellStyle name="Normal 3 2 3 2 5 2 5" xfId="22392"/>
    <cellStyle name="Normal 3 2 3 2 5 2 6" xfId="22393"/>
    <cellStyle name="Normal 3 2 3 2 5 3" xfId="22394"/>
    <cellStyle name="Normal 3 2 3 2 5 3 2" xfId="22395"/>
    <cellStyle name="Normal 3 2 3 2 5 3 2 2" xfId="22396"/>
    <cellStyle name="Normal 3 2 3 2 5 3 2 3" xfId="22397"/>
    <cellStyle name="Normal 3 2 3 2 5 3 3" xfId="22398"/>
    <cellStyle name="Normal 3 2 3 2 5 3 3 2" xfId="22399"/>
    <cellStyle name="Normal 3 2 3 2 5 3 4" xfId="22400"/>
    <cellStyle name="Normal 3 2 3 2 5 3 5" xfId="22401"/>
    <cellStyle name="Normal 3 2 3 2 5 4" xfId="22402"/>
    <cellStyle name="Normal 3 2 3 2 5 4 2" xfId="22403"/>
    <cellStyle name="Normal 3 2 3 2 5 4 2 2" xfId="22404"/>
    <cellStyle name="Normal 3 2 3 2 5 4 3" xfId="22405"/>
    <cellStyle name="Normal 3 2 3 2 5 4 4" xfId="22406"/>
    <cellStyle name="Normal 3 2 3 2 5 5" xfId="22407"/>
    <cellStyle name="Normal 3 2 3 2 5 5 2" xfId="22408"/>
    <cellStyle name="Normal 3 2 3 2 5 5 3" xfId="22409"/>
    <cellStyle name="Normal 3 2 3 2 5 6" xfId="22410"/>
    <cellStyle name="Normal 3 2 3 2 5 6 2" xfId="22411"/>
    <cellStyle name="Normal 3 2 3 2 5 6 3" xfId="22412"/>
    <cellStyle name="Normal 3 2 3 2 5 7" xfId="22413"/>
    <cellStyle name="Normal 3 2 3 2 5 8" xfId="22414"/>
    <cellStyle name="Normal 3 2 3 2 6" xfId="22415"/>
    <cellStyle name="Normal 3 2 3 2 6 2" xfId="22416"/>
    <cellStyle name="Normal 3 2 3 2 6 2 2" xfId="22417"/>
    <cellStyle name="Normal 3 2 3 2 6 2 2 2" xfId="22418"/>
    <cellStyle name="Normal 3 2 3 2 6 2 2 3" xfId="22419"/>
    <cellStyle name="Normal 3 2 3 2 6 2 3" xfId="22420"/>
    <cellStyle name="Normal 3 2 3 2 6 2 3 2" xfId="22421"/>
    <cellStyle name="Normal 3 2 3 2 6 2 4" xfId="22422"/>
    <cellStyle name="Normal 3 2 3 2 6 2 5" xfId="22423"/>
    <cellStyle name="Normal 3 2 3 2 6 3" xfId="22424"/>
    <cellStyle name="Normal 3 2 3 2 6 3 2" xfId="22425"/>
    <cellStyle name="Normal 3 2 3 2 6 3 2 2" xfId="22426"/>
    <cellStyle name="Normal 3 2 3 2 6 3 3" xfId="22427"/>
    <cellStyle name="Normal 3 2 3 2 6 3 4" xfId="22428"/>
    <cellStyle name="Normal 3 2 3 2 6 4" xfId="22429"/>
    <cellStyle name="Normal 3 2 3 2 6 4 2" xfId="22430"/>
    <cellStyle name="Normal 3 2 3 2 6 4 2 2" xfId="22431"/>
    <cellStyle name="Normal 3 2 3 2 6 4 3" xfId="22432"/>
    <cellStyle name="Normal 3 2 3 2 6 5" xfId="22433"/>
    <cellStyle name="Normal 3 2 3 2 6 5 2" xfId="22434"/>
    <cellStyle name="Normal 3 2 3 2 6 5 3" xfId="22435"/>
    <cellStyle name="Normal 3 2 3 2 6 6" xfId="22436"/>
    <cellStyle name="Normal 3 2 3 2 6 6 2" xfId="22437"/>
    <cellStyle name="Normal 3 2 3 2 6 7" xfId="22438"/>
    <cellStyle name="Normal 3 2 3 2 7" xfId="22439"/>
    <cellStyle name="Normal 3 2 3 2 7 2" xfId="22440"/>
    <cellStyle name="Normal 3 2 3 2 7 2 2" xfId="22441"/>
    <cellStyle name="Normal 3 2 3 2 7 2 2 2" xfId="22442"/>
    <cellStyle name="Normal 3 2 3 2 7 2 3" xfId="22443"/>
    <cellStyle name="Normal 3 2 3 2 7 3" xfId="22444"/>
    <cellStyle name="Normal 3 2 3 2 7 3 2" xfId="22445"/>
    <cellStyle name="Normal 3 2 3 2 7 3 2 2" xfId="22446"/>
    <cellStyle name="Normal 3 2 3 2 7 3 3" xfId="22447"/>
    <cellStyle name="Normal 3 2 3 2 7 4" xfId="22448"/>
    <cellStyle name="Normal 3 2 3 2 7 4 2" xfId="22449"/>
    <cellStyle name="Normal 3 2 3 2 7 4 3" xfId="22450"/>
    <cellStyle name="Normal 3 2 3 2 7 5" xfId="22451"/>
    <cellStyle name="Normal 3 2 3 2 7 6" xfId="22452"/>
    <cellStyle name="Normal 3 2 3 2 7 7" xfId="22453"/>
    <cellStyle name="Normal 3 2 3 2 8" xfId="22454"/>
    <cellStyle name="Normal 3 2 3 2 8 2" xfId="22455"/>
    <cellStyle name="Normal 3 2 3 2 8 2 2" xfId="22456"/>
    <cellStyle name="Normal 3 2 3 2 8 2 2 2" xfId="22457"/>
    <cellStyle name="Normal 3 2 3 2 8 2 3" xfId="22458"/>
    <cellStyle name="Normal 3 2 3 2 8 3" xfId="22459"/>
    <cellStyle name="Normal 3 2 3 2 8 3 2" xfId="22460"/>
    <cellStyle name="Normal 3 2 3 2 8 3 2 2" xfId="22461"/>
    <cellStyle name="Normal 3 2 3 2 8 3 3" xfId="22462"/>
    <cellStyle name="Normal 3 2 3 2 8 4" xfId="22463"/>
    <cellStyle name="Normal 3 2 3 2 8 4 2" xfId="22464"/>
    <cellStyle name="Normal 3 2 3 2 8 5" xfId="22465"/>
    <cellStyle name="Normal 3 2 3 2 8 6" xfId="22466"/>
    <cellStyle name="Normal 3 2 3 2 9" xfId="22467"/>
    <cellStyle name="Normal 3 2 3 2 9 2" xfId="22468"/>
    <cellStyle name="Normal 3 2 3 2 9 2 2" xfId="22469"/>
    <cellStyle name="Normal 3 2 3 2 9 3" xfId="22470"/>
    <cellStyle name="Normal 3 2 3 2 9 4" xfId="22471"/>
    <cellStyle name="Normal 3 2 3 3" xfId="22472"/>
    <cellStyle name="Normal 3 2 3 3 10" xfId="22473"/>
    <cellStyle name="Normal 3 2 3 3 10 2" xfId="22474"/>
    <cellStyle name="Normal 3 2 3 3 10 2 2" xfId="22475"/>
    <cellStyle name="Normal 3 2 3 3 10 3" xfId="22476"/>
    <cellStyle name="Normal 3 2 3 3 11" xfId="22477"/>
    <cellStyle name="Normal 3 2 3 3 11 2" xfId="22478"/>
    <cellStyle name="Normal 3 2 3 3 11 3" xfId="22479"/>
    <cellStyle name="Normal 3 2 3 3 12" xfId="22480"/>
    <cellStyle name="Normal 3 2 3 3 13" xfId="22481"/>
    <cellStyle name="Normal 3 2 3 3 14" xfId="22482"/>
    <cellStyle name="Normal 3 2 3 3 2" xfId="22483"/>
    <cellStyle name="Normal 3 2 3 3 2 10" xfId="22484"/>
    <cellStyle name="Normal 3 2 3 3 2 11" xfId="22485"/>
    <cellStyle name="Normal 3 2 3 3 2 12" xfId="22486"/>
    <cellStyle name="Normal 3 2 3 3 2 2" xfId="22487"/>
    <cellStyle name="Normal 3 2 3 3 2 2 2" xfId="22488"/>
    <cellStyle name="Normal 3 2 3 3 2 2 2 2" xfId="22489"/>
    <cellStyle name="Normal 3 2 3 3 2 2 2 2 2" xfId="22490"/>
    <cellStyle name="Normal 3 2 3 3 2 2 2 2 3" xfId="22491"/>
    <cellStyle name="Normal 3 2 3 3 2 2 2 2 4" xfId="22492"/>
    <cellStyle name="Normal 3 2 3 3 2 2 2 3" xfId="22493"/>
    <cellStyle name="Normal 3 2 3 3 2 2 2 3 2" xfId="22494"/>
    <cellStyle name="Normal 3 2 3 3 2 2 2 4" xfId="22495"/>
    <cellStyle name="Normal 3 2 3 3 2 2 2 4 2" xfId="22496"/>
    <cellStyle name="Normal 3 2 3 3 2 2 2 5" xfId="22497"/>
    <cellStyle name="Normal 3 2 3 3 2 2 2 6" xfId="22498"/>
    <cellStyle name="Normal 3 2 3 3 2 2 3" xfId="22499"/>
    <cellStyle name="Normal 3 2 3 3 2 2 3 2" xfId="22500"/>
    <cellStyle name="Normal 3 2 3 3 2 2 3 2 2" xfId="22501"/>
    <cellStyle name="Normal 3 2 3 3 2 2 3 2 3" xfId="22502"/>
    <cellStyle name="Normal 3 2 3 3 2 2 3 3" xfId="22503"/>
    <cellStyle name="Normal 3 2 3 3 2 2 3 3 2" xfId="22504"/>
    <cellStyle name="Normal 3 2 3 3 2 2 3 4" xfId="22505"/>
    <cellStyle name="Normal 3 2 3 3 2 2 3 5" xfId="22506"/>
    <cellStyle name="Normal 3 2 3 3 2 2 4" xfId="22507"/>
    <cellStyle name="Normal 3 2 3 3 2 2 4 2" xfId="22508"/>
    <cellStyle name="Normal 3 2 3 3 2 2 4 2 2" xfId="22509"/>
    <cellStyle name="Normal 3 2 3 3 2 2 4 3" xfId="22510"/>
    <cellStyle name="Normal 3 2 3 3 2 2 4 4" xfId="22511"/>
    <cellStyle name="Normal 3 2 3 3 2 2 5" xfId="22512"/>
    <cellStyle name="Normal 3 2 3 3 2 2 5 2" xfId="22513"/>
    <cellStyle name="Normal 3 2 3 3 2 2 5 3" xfId="22514"/>
    <cellStyle name="Normal 3 2 3 3 2 2 6" xfId="22515"/>
    <cellStyle name="Normal 3 2 3 3 2 2 6 2" xfId="22516"/>
    <cellStyle name="Normal 3 2 3 3 2 2 6 3" xfId="22517"/>
    <cellStyle name="Normal 3 2 3 3 2 2 7" xfId="22518"/>
    <cellStyle name="Normal 3 2 3 3 2 2 8" xfId="22519"/>
    <cellStyle name="Normal 3 2 3 3 2 3" xfId="22520"/>
    <cellStyle name="Normal 3 2 3 3 2 3 2" xfId="22521"/>
    <cellStyle name="Normal 3 2 3 3 2 3 2 2" xfId="22522"/>
    <cellStyle name="Normal 3 2 3 3 2 3 2 2 2" xfId="22523"/>
    <cellStyle name="Normal 3 2 3 3 2 3 2 3" xfId="22524"/>
    <cellStyle name="Normal 3 2 3 3 2 3 2 4" xfId="22525"/>
    <cellStyle name="Normal 3 2 3 3 2 3 3" xfId="22526"/>
    <cellStyle name="Normal 3 2 3 3 2 3 3 2" xfId="22527"/>
    <cellStyle name="Normal 3 2 3 3 2 3 3 2 2" xfId="22528"/>
    <cellStyle name="Normal 3 2 3 3 2 3 3 3" xfId="22529"/>
    <cellStyle name="Normal 3 2 3 3 2 3 4" xfId="22530"/>
    <cellStyle name="Normal 3 2 3 3 2 3 4 2" xfId="22531"/>
    <cellStyle name="Normal 3 2 3 3 2 3 4 2 2" xfId="22532"/>
    <cellStyle name="Normal 3 2 3 3 2 3 4 3" xfId="22533"/>
    <cellStyle name="Normal 3 2 3 3 2 3 5" xfId="22534"/>
    <cellStyle name="Normal 3 2 3 3 2 3 5 2" xfId="22535"/>
    <cellStyle name="Normal 3 2 3 3 2 3 6" xfId="22536"/>
    <cellStyle name="Normal 3 2 3 3 2 3 7" xfId="22537"/>
    <cellStyle name="Normal 3 2 3 3 2 4" xfId="22538"/>
    <cellStyle name="Normal 3 2 3 3 2 4 2" xfId="22539"/>
    <cellStyle name="Normal 3 2 3 3 2 4 2 2" xfId="22540"/>
    <cellStyle name="Normal 3 2 3 3 2 4 2 2 2" xfId="22541"/>
    <cellStyle name="Normal 3 2 3 3 2 4 2 3" xfId="22542"/>
    <cellStyle name="Normal 3 2 3 3 2 4 3" xfId="22543"/>
    <cellStyle name="Normal 3 2 3 3 2 4 3 2" xfId="22544"/>
    <cellStyle name="Normal 3 2 3 3 2 4 3 2 2" xfId="22545"/>
    <cellStyle name="Normal 3 2 3 3 2 4 3 3" xfId="22546"/>
    <cellStyle name="Normal 3 2 3 3 2 4 4" xfId="22547"/>
    <cellStyle name="Normal 3 2 3 3 2 4 4 2" xfId="22548"/>
    <cellStyle name="Normal 3 2 3 3 2 4 4 3" xfId="22549"/>
    <cellStyle name="Normal 3 2 3 3 2 4 5" xfId="22550"/>
    <cellStyle name="Normal 3 2 3 3 2 4 6" xfId="22551"/>
    <cellStyle name="Normal 3 2 3 3 2 4 7" xfId="22552"/>
    <cellStyle name="Normal 3 2 3 3 2 5" xfId="22553"/>
    <cellStyle name="Normal 3 2 3 3 2 5 2" xfId="22554"/>
    <cellStyle name="Normal 3 2 3 3 2 5 2 2" xfId="22555"/>
    <cellStyle name="Normal 3 2 3 3 2 5 2 3" xfId="22556"/>
    <cellStyle name="Normal 3 2 3 3 2 5 3" xfId="22557"/>
    <cellStyle name="Normal 3 2 3 3 2 5 3 2" xfId="22558"/>
    <cellStyle name="Normal 3 2 3 3 2 5 3 3" xfId="22559"/>
    <cellStyle name="Normal 3 2 3 3 2 5 4" xfId="22560"/>
    <cellStyle name="Normal 3 2 3 3 2 5 4 2" xfId="22561"/>
    <cellStyle name="Normal 3 2 3 3 2 5 5" xfId="22562"/>
    <cellStyle name="Normal 3 2 3 3 2 5 6" xfId="22563"/>
    <cellStyle name="Normal 3 2 3 3 2 5 7" xfId="22564"/>
    <cellStyle name="Normal 3 2 3 3 2 6" xfId="22565"/>
    <cellStyle name="Normal 3 2 3 3 2 6 2" xfId="22566"/>
    <cellStyle name="Normal 3 2 3 3 2 6 2 2" xfId="22567"/>
    <cellStyle name="Normal 3 2 3 3 2 6 2 3" xfId="22568"/>
    <cellStyle name="Normal 3 2 3 3 2 6 3" xfId="22569"/>
    <cellStyle name="Normal 3 2 3 3 2 6 3 2" xfId="22570"/>
    <cellStyle name="Normal 3 2 3 3 2 6 4" xfId="22571"/>
    <cellStyle name="Normal 3 2 3 3 2 6 5" xfId="22572"/>
    <cellStyle name="Normal 3 2 3 3 2 6 6" xfId="22573"/>
    <cellStyle name="Normal 3 2 3 3 2 7" xfId="22574"/>
    <cellStyle name="Normal 3 2 3 3 2 7 2" xfId="22575"/>
    <cellStyle name="Normal 3 2 3 3 2 7 2 2" xfId="22576"/>
    <cellStyle name="Normal 3 2 3 3 2 7 3" xfId="22577"/>
    <cellStyle name="Normal 3 2 3 3 2 8" xfId="22578"/>
    <cellStyle name="Normal 3 2 3 3 2 8 2" xfId="22579"/>
    <cellStyle name="Normal 3 2 3 3 2 8 3" xfId="22580"/>
    <cellStyle name="Normal 3 2 3 3 2 9" xfId="22581"/>
    <cellStyle name="Normal 3 2 3 3 2 9 2" xfId="22582"/>
    <cellStyle name="Normal 3 2 3 3 3" xfId="22583"/>
    <cellStyle name="Normal 3 2 3 3 3 10" xfId="22584"/>
    <cellStyle name="Normal 3 2 3 3 3 11" xfId="22585"/>
    <cellStyle name="Normal 3 2 3 3 3 2" xfId="22586"/>
    <cellStyle name="Normal 3 2 3 3 3 2 2" xfId="22587"/>
    <cellStyle name="Normal 3 2 3 3 3 2 2 2" xfId="22588"/>
    <cellStyle name="Normal 3 2 3 3 3 2 2 2 2" xfId="22589"/>
    <cellStyle name="Normal 3 2 3 3 3 2 2 3" xfId="22590"/>
    <cellStyle name="Normal 3 2 3 3 3 2 2 4" xfId="22591"/>
    <cellStyle name="Normal 3 2 3 3 3 2 3" xfId="22592"/>
    <cellStyle name="Normal 3 2 3 3 3 2 3 2" xfId="22593"/>
    <cellStyle name="Normal 3 2 3 3 3 2 3 2 2" xfId="22594"/>
    <cellStyle name="Normal 3 2 3 3 3 2 3 3" xfId="22595"/>
    <cellStyle name="Normal 3 2 3 3 3 2 4" xfId="22596"/>
    <cellStyle name="Normal 3 2 3 3 3 2 4 2" xfId="22597"/>
    <cellStyle name="Normal 3 2 3 3 3 2 4 2 2" xfId="22598"/>
    <cellStyle name="Normal 3 2 3 3 3 2 4 3" xfId="22599"/>
    <cellStyle name="Normal 3 2 3 3 3 2 5" xfId="22600"/>
    <cellStyle name="Normal 3 2 3 3 3 2 5 2" xfId="22601"/>
    <cellStyle name="Normal 3 2 3 3 3 2 6" xfId="22602"/>
    <cellStyle name="Normal 3 2 3 3 3 2 7" xfId="22603"/>
    <cellStyle name="Normal 3 2 3 3 3 3" xfId="22604"/>
    <cellStyle name="Normal 3 2 3 3 3 3 2" xfId="22605"/>
    <cellStyle name="Normal 3 2 3 3 3 3 2 2" xfId="22606"/>
    <cellStyle name="Normal 3 2 3 3 3 3 2 2 2" xfId="22607"/>
    <cellStyle name="Normal 3 2 3 3 3 3 2 3" xfId="22608"/>
    <cellStyle name="Normal 3 2 3 3 3 3 3" xfId="22609"/>
    <cellStyle name="Normal 3 2 3 3 3 3 3 2" xfId="22610"/>
    <cellStyle name="Normal 3 2 3 3 3 3 3 2 2" xfId="22611"/>
    <cellStyle name="Normal 3 2 3 3 3 3 3 3" xfId="22612"/>
    <cellStyle name="Normal 3 2 3 3 3 3 4" xfId="22613"/>
    <cellStyle name="Normal 3 2 3 3 3 3 4 2" xfId="22614"/>
    <cellStyle name="Normal 3 2 3 3 3 3 4 3" xfId="22615"/>
    <cellStyle name="Normal 3 2 3 3 3 3 5" xfId="22616"/>
    <cellStyle name="Normal 3 2 3 3 3 3 6" xfId="22617"/>
    <cellStyle name="Normal 3 2 3 3 3 3 7" xfId="22618"/>
    <cellStyle name="Normal 3 2 3 3 3 4" xfId="22619"/>
    <cellStyle name="Normal 3 2 3 3 3 4 2" xfId="22620"/>
    <cellStyle name="Normal 3 2 3 3 3 4 2 2" xfId="22621"/>
    <cellStyle name="Normal 3 2 3 3 3 4 2 3" xfId="22622"/>
    <cellStyle name="Normal 3 2 3 3 3 4 3" xfId="22623"/>
    <cellStyle name="Normal 3 2 3 3 3 4 3 2" xfId="22624"/>
    <cellStyle name="Normal 3 2 3 3 3 4 3 3" xfId="22625"/>
    <cellStyle name="Normal 3 2 3 3 3 4 4" xfId="22626"/>
    <cellStyle name="Normal 3 2 3 3 3 4 4 2" xfId="22627"/>
    <cellStyle name="Normal 3 2 3 3 3 4 5" xfId="22628"/>
    <cellStyle name="Normal 3 2 3 3 3 4 6" xfId="22629"/>
    <cellStyle name="Normal 3 2 3 3 3 4 7" xfId="22630"/>
    <cellStyle name="Normal 3 2 3 3 3 5" xfId="22631"/>
    <cellStyle name="Normal 3 2 3 3 3 5 2" xfId="22632"/>
    <cellStyle name="Normal 3 2 3 3 3 5 2 2" xfId="22633"/>
    <cellStyle name="Normal 3 2 3 3 3 5 2 3" xfId="22634"/>
    <cellStyle name="Normal 3 2 3 3 3 5 3" xfId="22635"/>
    <cellStyle name="Normal 3 2 3 3 3 5 3 2" xfId="22636"/>
    <cellStyle name="Normal 3 2 3 3 3 5 4" xfId="22637"/>
    <cellStyle name="Normal 3 2 3 3 3 5 5" xfId="22638"/>
    <cellStyle name="Normal 3 2 3 3 3 5 6" xfId="22639"/>
    <cellStyle name="Normal 3 2 3 3 3 6" xfId="22640"/>
    <cellStyle name="Normal 3 2 3 3 3 6 2" xfId="22641"/>
    <cellStyle name="Normal 3 2 3 3 3 6 2 2" xfId="22642"/>
    <cellStyle name="Normal 3 2 3 3 3 6 3" xfId="22643"/>
    <cellStyle name="Normal 3 2 3 3 3 7" xfId="22644"/>
    <cellStyle name="Normal 3 2 3 3 3 7 2" xfId="22645"/>
    <cellStyle name="Normal 3 2 3 3 3 7 3" xfId="22646"/>
    <cellStyle name="Normal 3 2 3 3 3 8" xfId="22647"/>
    <cellStyle name="Normal 3 2 3 3 3 8 2" xfId="22648"/>
    <cellStyle name="Normal 3 2 3 3 3 9" xfId="22649"/>
    <cellStyle name="Normal 3 2 3 3 4" xfId="22650"/>
    <cellStyle name="Normal 3 2 3 3 4 10" xfId="22651"/>
    <cellStyle name="Normal 3 2 3 3 4 11" xfId="22652"/>
    <cellStyle name="Normal 3 2 3 3 4 2" xfId="22653"/>
    <cellStyle name="Normal 3 2 3 3 4 2 2" xfId="22654"/>
    <cellStyle name="Normal 3 2 3 3 4 2 2 2" xfId="22655"/>
    <cellStyle name="Normal 3 2 3 3 4 2 2 2 2" xfId="22656"/>
    <cellStyle name="Normal 3 2 3 3 4 2 2 3" xfId="22657"/>
    <cellStyle name="Normal 3 2 3 3 4 2 2 4" xfId="22658"/>
    <cellStyle name="Normal 3 2 3 3 4 2 3" xfId="22659"/>
    <cellStyle name="Normal 3 2 3 3 4 2 3 2" xfId="22660"/>
    <cellStyle name="Normal 3 2 3 3 4 2 3 2 2" xfId="22661"/>
    <cellStyle name="Normal 3 2 3 3 4 2 3 3" xfId="22662"/>
    <cellStyle name="Normal 3 2 3 3 4 2 4" xfId="22663"/>
    <cellStyle name="Normal 3 2 3 3 4 2 4 2" xfId="22664"/>
    <cellStyle name="Normal 3 2 3 3 4 2 4 2 2" xfId="22665"/>
    <cellStyle name="Normal 3 2 3 3 4 2 4 3" xfId="22666"/>
    <cellStyle name="Normal 3 2 3 3 4 2 5" xfId="22667"/>
    <cellStyle name="Normal 3 2 3 3 4 2 5 2" xfId="22668"/>
    <cellStyle name="Normal 3 2 3 3 4 2 6" xfId="22669"/>
    <cellStyle name="Normal 3 2 3 3 4 2 7" xfId="22670"/>
    <cellStyle name="Normal 3 2 3 3 4 3" xfId="22671"/>
    <cellStyle name="Normal 3 2 3 3 4 3 2" xfId="22672"/>
    <cellStyle name="Normal 3 2 3 3 4 3 2 2" xfId="22673"/>
    <cellStyle name="Normal 3 2 3 3 4 3 2 2 2" xfId="22674"/>
    <cellStyle name="Normal 3 2 3 3 4 3 2 3" xfId="22675"/>
    <cellStyle name="Normal 3 2 3 3 4 3 3" xfId="22676"/>
    <cellStyle name="Normal 3 2 3 3 4 3 3 2" xfId="22677"/>
    <cellStyle name="Normal 3 2 3 3 4 3 3 2 2" xfId="22678"/>
    <cellStyle name="Normal 3 2 3 3 4 3 3 3" xfId="22679"/>
    <cellStyle name="Normal 3 2 3 3 4 3 4" xfId="22680"/>
    <cellStyle name="Normal 3 2 3 3 4 3 4 2" xfId="22681"/>
    <cellStyle name="Normal 3 2 3 3 4 3 4 3" xfId="22682"/>
    <cellStyle name="Normal 3 2 3 3 4 3 5" xfId="22683"/>
    <cellStyle name="Normal 3 2 3 3 4 3 6" xfId="22684"/>
    <cellStyle name="Normal 3 2 3 3 4 3 7" xfId="22685"/>
    <cellStyle name="Normal 3 2 3 3 4 4" xfId="22686"/>
    <cellStyle name="Normal 3 2 3 3 4 4 2" xfId="22687"/>
    <cellStyle name="Normal 3 2 3 3 4 4 2 2" xfId="22688"/>
    <cellStyle name="Normal 3 2 3 3 4 4 2 3" xfId="22689"/>
    <cellStyle name="Normal 3 2 3 3 4 4 3" xfId="22690"/>
    <cellStyle name="Normal 3 2 3 3 4 4 3 2" xfId="22691"/>
    <cellStyle name="Normal 3 2 3 3 4 4 3 3" xfId="22692"/>
    <cellStyle name="Normal 3 2 3 3 4 4 4" xfId="22693"/>
    <cellStyle name="Normal 3 2 3 3 4 4 4 2" xfId="22694"/>
    <cellStyle name="Normal 3 2 3 3 4 4 5" xfId="22695"/>
    <cellStyle name="Normal 3 2 3 3 4 4 6" xfId="22696"/>
    <cellStyle name="Normal 3 2 3 3 4 4 7" xfId="22697"/>
    <cellStyle name="Normal 3 2 3 3 4 5" xfId="22698"/>
    <cellStyle name="Normal 3 2 3 3 4 5 2" xfId="22699"/>
    <cellStyle name="Normal 3 2 3 3 4 5 2 2" xfId="22700"/>
    <cellStyle name="Normal 3 2 3 3 4 5 2 3" xfId="22701"/>
    <cellStyle name="Normal 3 2 3 3 4 5 3" xfId="22702"/>
    <cellStyle name="Normal 3 2 3 3 4 5 3 2" xfId="22703"/>
    <cellStyle name="Normal 3 2 3 3 4 5 4" xfId="22704"/>
    <cellStyle name="Normal 3 2 3 3 4 5 5" xfId="22705"/>
    <cellStyle name="Normal 3 2 3 3 4 5 6" xfId="22706"/>
    <cellStyle name="Normal 3 2 3 3 4 6" xfId="22707"/>
    <cellStyle name="Normal 3 2 3 3 4 6 2" xfId="22708"/>
    <cellStyle name="Normal 3 2 3 3 4 6 2 2" xfId="22709"/>
    <cellStyle name="Normal 3 2 3 3 4 6 3" xfId="22710"/>
    <cellStyle name="Normal 3 2 3 3 4 7" xfId="22711"/>
    <cellStyle name="Normal 3 2 3 3 4 7 2" xfId="22712"/>
    <cellStyle name="Normal 3 2 3 3 4 7 3" xfId="22713"/>
    <cellStyle name="Normal 3 2 3 3 4 8" xfId="22714"/>
    <cellStyle name="Normal 3 2 3 3 4 8 2" xfId="22715"/>
    <cellStyle name="Normal 3 2 3 3 4 9" xfId="22716"/>
    <cellStyle name="Normal 3 2 3 3 5" xfId="22717"/>
    <cellStyle name="Normal 3 2 3 3 5 2" xfId="22718"/>
    <cellStyle name="Normal 3 2 3 3 5 2 2" xfId="22719"/>
    <cellStyle name="Normal 3 2 3 3 5 2 2 2" xfId="22720"/>
    <cellStyle name="Normal 3 2 3 3 5 2 2 3" xfId="22721"/>
    <cellStyle name="Normal 3 2 3 3 5 2 3" xfId="22722"/>
    <cellStyle name="Normal 3 2 3 3 5 2 3 2" xfId="22723"/>
    <cellStyle name="Normal 3 2 3 3 5 2 4" xfId="22724"/>
    <cellStyle name="Normal 3 2 3 3 5 2 5" xfId="22725"/>
    <cellStyle name="Normal 3 2 3 3 5 3" xfId="22726"/>
    <cellStyle name="Normal 3 2 3 3 5 3 2" xfId="22727"/>
    <cellStyle name="Normal 3 2 3 3 5 3 2 2" xfId="22728"/>
    <cellStyle name="Normal 3 2 3 3 5 3 3" xfId="22729"/>
    <cellStyle name="Normal 3 2 3 3 5 3 4" xfId="22730"/>
    <cellStyle name="Normal 3 2 3 3 5 4" xfId="22731"/>
    <cellStyle name="Normal 3 2 3 3 5 4 2" xfId="22732"/>
    <cellStyle name="Normal 3 2 3 3 5 4 2 2" xfId="22733"/>
    <cellStyle name="Normal 3 2 3 3 5 4 3" xfId="22734"/>
    <cellStyle name="Normal 3 2 3 3 5 5" xfId="22735"/>
    <cellStyle name="Normal 3 2 3 3 5 5 2" xfId="22736"/>
    <cellStyle name="Normal 3 2 3 3 5 5 3" xfId="22737"/>
    <cellStyle name="Normal 3 2 3 3 5 6" xfId="22738"/>
    <cellStyle name="Normal 3 2 3 3 5 6 2" xfId="22739"/>
    <cellStyle name="Normal 3 2 3 3 5 7" xfId="22740"/>
    <cellStyle name="Normal 3 2 3 3 6" xfId="22741"/>
    <cellStyle name="Normal 3 2 3 3 6 2" xfId="22742"/>
    <cellStyle name="Normal 3 2 3 3 6 2 2" xfId="22743"/>
    <cellStyle name="Normal 3 2 3 3 6 2 2 2" xfId="22744"/>
    <cellStyle name="Normal 3 2 3 3 6 2 3" xfId="22745"/>
    <cellStyle name="Normal 3 2 3 3 6 3" xfId="22746"/>
    <cellStyle name="Normal 3 2 3 3 6 3 2" xfId="22747"/>
    <cellStyle name="Normal 3 2 3 3 6 3 2 2" xfId="22748"/>
    <cellStyle name="Normal 3 2 3 3 6 3 3" xfId="22749"/>
    <cellStyle name="Normal 3 2 3 3 6 4" xfId="22750"/>
    <cellStyle name="Normal 3 2 3 3 6 4 2" xfId="22751"/>
    <cellStyle name="Normal 3 2 3 3 6 4 3" xfId="22752"/>
    <cellStyle name="Normal 3 2 3 3 6 5" xfId="22753"/>
    <cellStyle name="Normal 3 2 3 3 6 6" xfId="22754"/>
    <cellStyle name="Normal 3 2 3 3 6 7" xfId="22755"/>
    <cellStyle name="Normal 3 2 3 3 7" xfId="22756"/>
    <cellStyle name="Normal 3 2 3 3 7 2" xfId="22757"/>
    <cellStyle name="Normal 3 2 3 3 7 2 2" xfId="22758"/>
    <cellStyle name="Normal 3 2 3 3 7 2 2 2" xfId="22759"/>
    <cellStyle name="Normal 3 2 3 3 7 2 3" xfId="22760"/>
    <cellStyle name="Normal 3 2 3 3 7 3" xfId="22761"/>
    <cellStyle name="Normal 3 2 3 3 7 3 2" xfId="22762"/>
    <cellStyle name="Normal 3 2 3 3 7 3 2 2" xfId="22763"/>
    <cellStyle name="Normal 3 2 3 3 7 3 3" xfId="22764"/>
    <cellStyle name="Normal 3 2 3 3 7 4" xfId="22765"/>
    <cellStyle name="Normal 3 2 3 3 7 4 2" xfId="22766"/>
    <cellStyle name="Normal 3 2 3 3 7 4 3" xfId="22767"/>
    <cellStyle name="Normal 3 2 3 3 7 5" xfId="22768"/>
    <cellStyle name="Normal 3 2 3 3 7 6" xfId="22769"/>
    <cellStyle name="Normal 3 2 3 3 7 7" xfId="22770"/>
    <cellStyle name="Normal 3 2 3 3 8" xfId="22771"/>
    <cellStyle name="Normal 3 2 3 3 8 2" xfId="22772"/>
    <cellStyle name="Normal 3 2 3 3 8 2 2" xfId="22773"/>
    <cellStyle name="Normal 3 2 3 3 8 2 3" xfId="22774"/>
    <cellStyle name="Normal 3 2 3 3 8 3" xfId="22775"/>
    <cellStyle name="Normal 3 2 3 3 8 3 2" xfId="22776"/>
    <cellStyle name="Normal 3 2 3 3 8 3 3" xfId="22777"/>
    <cellStyle name="Normal 3 2 3 3 8 4" xfId="22778"/>
    <cellStyle name="Normal 3 2 3 3 8 5" xfId="22779"/>
    <cellStyle name="Normal 3 2 3 3 8 6" xfId="22780"/>
    <cellStyle name="Normal 3 2 3 3 9" xfId="22781"/>
    <cellStyle name="Normal 3 2 3 3 9 2" xfId="22782"/>
    <cellStyle name="Normal 3 2 3 3 9 2 2" xfId="22783"/>
    <cellStyle name="Normal 3 2 3 3 9 3" xfId="22784"/>
    <cellStyle name="Normal 3 2 3 4" xfId="22785"/>
    <cellStyle name="Normal 3 2 3 4 10" xfId="22786"/>
    <cellStyle name="Normal 3 2 3 4 10 2" xfId="22787"/>
    <cellStyle name="Normal 3 2 3 4 10 3" xfId="22788"/>
    <cellStyle name="Normal 3 2 3 4 11" xfId="22789"/>
    <cellStyle name="Normal 3 2 3 4 12" xfId="22790"/>
    <cellStyle name="Normal 3 2 3 4 13" xfId="22791"/>
    <cellStyle name="Normal 3 2 3 4 2" xfId="22792"/>
    <cellStyle name="Normal 3 2 3 4 2 10" xfId="22793"/>
    <cellStyle name="Normal 3 2 3 4 2 11" xfId="22794"/>
    <cellStyle name="Normal 3 2 3 4 2 2" xfId="22795"/>
    <cellStyle name="Normal 3 2 3 4 2 2 2" xfId="22796"/>
    <cellStyle name="Normal 3 2 3 4 2 2 2 2" xfId="22797"/>
    <cellStyle name="Normal 3 2 3 4 2 2 2 2 2" xfId="22798"/>
    <cellStyle name="Normal 3 2 3 4 2 2 2 3" xfId="22799"/>
    <cellStyle name="Normal 3 2 3 4 2 2 2 4" xfId="22800"/>
    <cellStyle name="Normal 3 2 3 4 2 2 3" xfId="22801"/>
    <cellStyle name="Normal 3 2 3 4 2 2 3 2" xfId="22802"/>
    <cellStyle name="Normal 3 2 3 4 2 2 3 2 2" xfId="22803"/>
    <cellStyle name="Normal 3 2 3 4 2 2 3 3" xfId="22804"/>
    <cellStyle name="Normal 3 2 3 4 2 2 4" xfId="22805"/>
    <cellStyle name="Normal 3 2 3 4 2 2 4 2" xfId="22806"/>
    <cellStyle name="Normal 3 2 3 4 2 2 4 2 2" xfId="22807"/>
    <cellStyle name="Normal 3 2 3 4 2 2 4 3" xfId="22808"/>
    <cellStyle name="Normal 3 2 3 4 2 2 5" xfId="22809"/>
    <cellStyle name="Normal 3 2 3 4 2 2 5 2" xfId="22810"/>
    <cellStyle name="Normal 3 2 3 4 2 2 6" xfId="22811"/>
    <cellStyle name="Normal 3 2 3 4 2 2 7" xfId="22812"/>
    <cellStyle name="Normal 3 2 3 4 2 3" xfId="22813"/>
    <cellStyle name="Normal 3 2 3 4 2 3 2" xfId="22814"/>
    <cellStyle name="Normal 3 2 3 4 2 3 2 2" xfId="22815"/>
    <cellStyle name="Normal 3 2 3 4 2 3 2 2 2" xfId="22816"/>
    <cellStyle name="Normal 3 2 3 4 2 3 2 3" xfId="22817"/>
    <cellStyle name="Normal 3 2 3 4 2 3 3" xfId="22818"/>
    <cellStyle name="Normal 3 2 3 4 2 3 3 2" xfId="22819"/>
    <cellStyle name="Normal 3 2 3 4 2 3 3 2 2" xfId="22820"/>
    <cellStyle name="Normal 3 2 3 4 2 3 3 3" xfId="22821"/>
    <cellStyle name="Normal 3 2 3 4 2 3 4" xfId="22822"/>
    <cellStyle name="Normal 3 2 3 4 2 3 4 2" xfId="22823"/>
    <cellStyle name="Normal 3 2 3 4 2 3 4 3" xfId="22824"/>
    <cellStyle name="Normal 3 2 3 4 2 3 5" xfId="22825"/>
    <cellStyle name="Normal 3 2 3 4 2 3 6" xfId="22826"/>
    <cellStyle name="Normal 3 2 3 4 2 3 7" xfId="22827"/>
    <cellStyle name="Normal 3 2 3 4 2 4" xfId="22828"/>
    <cellStyle name="Normal 3 2 3 4 2 4 2" xfId="22829"/>
    <cellStyle name="Normal 3 2 3 4 2 4 2 2" xfId="22830"/>
    <cellStyle name="Normal 3 2 3 4 2 4 2 3" xfId="22831"/>
    <cellStyle name="Normal 3 2 3 4 2 4 3" xfId="22832"/>
    <cellStyle name="Normal 3 2 3 4 2 4 3 2" xfId="22833"/>
    <cellStyle name="Normal 3 2 3 4 2 4 3 3" xfId="22834"/>
    <cellStyle name="Normal 3 2 3 4 2 4 4" xfId="22835"/>
    <cellStyle name="Normal 3 2 3 4 2 4 4 2" xfId="22836"/>
    <cellStyle name="Normal 3 2 3 4 2 4 5" xfId="22837"/>
    <cellStyle name="Normal 3 2 3 4 2 4 6" xfId="22838"/>
    <cellStyle name="Normal 3 2 3 4 2 4 7" xfId="22839"/>
    <cellStyle name="Normal 3 2 3 4 2 5" xfId="22840"/>
    <cellStyle name="Normal 3 2 3 4 2 5 2" xfId="22841"/>
    <cellStyle name="Normal 3 2 3 4 2 5 2 2" xfId="22842"/>
    <cellStyle name="Normal 3 2 3 4 2 5 2 3" xfId="22843"/>
    <cellStyle name="Normal 3 2 3 4 2 5 3" xfId="22844"/>
    <cellStyle name="Normal 3 2 3 4 2 5 3 2" xfId="22845"/>
    <cellStyle name="Normal 3 2 3 4 2 5 4" xfId="22846"/>
    <cellStyle name="Normal 3 2 3 4 2 5 5" xfId="22847"/>
    <cellStyle name="Normal 3 2 3 4 2 5 6" xfId="22848"/>
    <cellStyle name="Normal 3 2 3 4 2 6" xfId="22849"/>
    <cellStyle name="Normal 3 2 3 4 2 6 2" xfId="22850"/>
    <cellStyle name="Normal 3 2 3 4 2 6 2 2" xfId="22851"/>
    <cellStyle name="Normal 3 2 3 4 2 6 3" xfId="22852"/>
    <cellStyle name="Normal 3 2 3 4 2 7" xfId="22853"/>
    <cellStyle name="Normal 3 2 3 4 2 7 2" xfId="22854"/>
    <cellStyle name="Normal 3 2 3 4 2 7 3" xfId="22855"/>
    <cellStyle name="Normal 3 2 3 4 2 8" xfId="22856"/>
    <cellStyle name="Normal 3 2 3 4 2 8 2" xfId="22857"/>
    <cellStyle name="Normal 3 2 3 4 2 9" xfId="22858"/>
    <cellStyle name="Normal 3 2 3 4 3" xfId="22859"/>
    <cellStyle name="Normal 3 2 3 4 3 10" xfId="22860"/>
    <cellStyle name="Normal 3 2 3 4 3 11" xfId="22861"/>
    <cellStyle name="Normal 3 2 3 4 3 2" xfId="22862"/>
    <cellStyle name="Normal 3 2 3 4 3 2 2" xfId="22863"/>
    <cellStyle name="Normal 3 2 3 4 3 2 2 2" xfId="22864"/>
    <cellStyle name="Normal 3 2 3 4 3 2 2 2 2" xfId="22865"/>
    <cellStyle name="Normal 3 2 3 4 3 2 2 3" xfId="22866"/>
    <cellStyle name="Normal 3 2 3 4 3 2 2 4" xfId="22867"/>
    <cellStyle name="Normal 3 2 3 4 3 2 3" xfId="22868"/>
    <cellStyle name="Normal 3 2 3 4 3 2 3 2" xfId="22869"/>
    <cellStyle name="Normal 3 2 3 4 3 2 3 2 2" xfId="22870"/>
    <cellStyle name="Normal 3 2 3 4 3 2 3 3" xfId="22871"/>
    <cellStyle name="Normal 3 2 3 4 3 2 4" xfId="22872"/>
    <cellStyle name="Normal 3 2 3 4 3 2 4 2" xfId="22873"/>
    <cellStyle name="Normal 3 2 3 4 3 2 4 2 2" xfId="22874"/>
    <cellStyle name="Normal 3 2 3 4 3 2 4 3" xfId="22875"/>
    <cellStyle name="Normal 3 2 3 4 3 2 5" xfId="22876"/>
    <cellStyle name="Normal 3 2 3 4 3 2 5 2" xfId="22877"/>
    <cellStyle name="Normal 3 2 3 4 3 2 6" xfId="22878"/>
    <cellStyle name="Normal 3 2 3 4 3 2 7" xfId="22879"/>
    <cellStyle name="Normal 3 2 3 4 3 3" xfId="22880"/>
    <cellStyle name="Normal 3 2 3 4 3 3 2" xfId="22881"/>
    <cellStyle name="Normal 3 2 3 4 3 3 2 2" xfId="22882"/>
    <cellStyle name="Normal 3 2 3 4 3 3 2 2 2" xfId="22883"/>
    <cellStyle name="Normal 3 2 3 4 3 3 2 3" xfId="22884"/>
    <cellStyle name="Normal 3 2 3 4 3 3 3" xfId="22885"/>
    <cellStyle name="Normal 3 2 3 4 3 3 3 2" xfId="22886"/>
    <cellStyle name="Normal 3 2 3 4 3 3 3 2 2" xfId="22887"/>
    <cellStyle name="Normal 3 2 3 4 3 3 3 3" xfId="22888"/>
    <cellStyle name="Normal 3 2 3 4 3 3 4" xfId="22889"/>
    <cellStyle name="Normal 3 2 3 4 3 3 4 2" xfId="22890"/>
    <cellStyle name="Normal 3 2 3 4 3 3 4 3" xfId="22891"/>
    <cellStyle name="Normal 3 2 3 4 3 3 5" xfId="22892"/>
    <cellStyle name="Normal 3 2 3 4 3 3 6" xfId="22893"/>
    <cellStyle name="Normal 3 2 3 4 3 3 7" xfId="22894"/>
    <cellStyle name="Normal 3 2 3 4 3 4" xfId="22895"/>
    <cellStyle name="Normal 3 2 3 4 3 4 2" xfId="22896"/>
    <cellStyle name="Normal 3 2 3 4 3 4 2 2" xfId="22897"/>
    <cellStyle name="Normal 3 2 3 4 3 4 2 3" xfId="22898"/>
    <cellStyle name="Normal 3 2 3 4 3 4 3" xfId="22899"/>
    <cellStyle name="Normal 3 2 3 4 3 4 3 2" xfId="22900"/>
    <cellStyle name="Normal 3 2 3 4 3 4 3 3" xfId="22901"/>
    <cellStyle name="Normal 3 2 3 4 3 4 4" xfId="22902"/>
    <cellStyle name="Normal 3 2 3 4 3 4 4 2" xfId="22903"/>
    <cellStyle name="Normal 3 2 3 4 3 4 5" xfId="22904"/>
    <cellStyle name="Normal 3 2 3 4 3 4 6" xfId="22905"/>
    <cellStyle name="Normal 3 2 3 4 3 4 7" xfId="22906"/>
    <cellStyle name="Normal 3 2 3 4 3 5" xfId="22907"/>
    <cellStyle name="Normal 3 2 3 4 3 5 2" xfId="22908"/>
    <cellStyle name="Normal 3 2 3 4 3 5 2 2" xfId="22909"/>
    <cellStyle name="Normal 3 2 3 4 3 5 2 3" xfId="22910"/>
    <cellStyle name="Normal 3 2 3 4 3 5 3" xfId="22911"/>
    <cellStyle name="Normal 3 2 3 4 3 5 3 2" xfId="22912"/>
    <cellStyle name="Normal 3 2 3 4 3 5 4" xfId="22913"/>
    <cellStyle name="Normal 3 2 3 4 3 5 5" xfId="22914"/>
    <cellStyle name="Normal 3 2 3 4 3 5 6" xfId="22915"/>
    <cellStyle name="Normal 3 2 3 4 3 6" xfId="22916"/>
    <cellStyle name="Normal 3 2 3 4 3 6 2" xfId="22917"/>
    <cellStyle name="Normal 3 2 3 4 3 6 2 2" xfId="22918"/>
    <cellStyle name="Normal 3 2 3 4 3 6 3" xfId="22919"/>
    <cellStyle name="Normal 3 2 3 4 3 7" xfId="22920"/>
    <cellStyle name="Normal 3 2 3 4 3 7 2" xfId="22921"/>
    <cellStyle name="Normal 3 2 3 4 3 7 3" xfId="22922"/>
    <cellStyle name="Normal 3 2 3 4 3 8" xfId="22923"/>
    <cellStyle name="Normal 3 2 3 4 3 8 2" xfId="22924"/>
    <cellStyle name="Normal 3 2 3 4 3 9" xfId="22925"/>
    <cellStyle name="Normal 3 2 3 4 4" xfId="22926"/>
    <cellStyle name="Normal 3 2 3 4 4 2" xfId="22927"/>
    <cellStyle name="Normal 3 2 3 4 4 2 2" xfId="22928"/>
    <cellStyle name="Normal 3 2 3 4 4 2 2 2" xfId="22929"/>
    <cellStyle name="Normal 3 2 3 4 4 2 2 3" xfId="22930"/>
    <cellStyle name="Normal 3 2 3 4 4 2 3" xfId="22931"/>
    <cellStyle name="Normal 3 2 3 4 4 2 3 2" xfId="22932"/>
    <cellStyle name="Normal 3 2 3 4 4 2 4" xfId="22933"/>
    <cellStyle name="Normal 3 2 3 4 4 2 5" xfId="22934"/>
    <cellStyle name="Normal 3 2 3 4 4 3" xfId="22935"/>
    <cellStyle name="Normal 3 2 3 4 4 3 2" xfId="22936"/>
    <cellStyle name="Normal 3 2 3 4 4 3 2 2" xfId="22937"/>
    <cellStyle name="Normal 3 2 3 4 4 3 3" xfId="22938"/>
    <cellStyle name="Normal 3 2 3 4 4 3 4" xfId="22939"/>
    <cellStyle name="Normal 3 2 3 4 4 4" xfId="22940"/>
    <cellStyle name="Normal 3 2 3 4 4 4 2" xfId="22941"/>
    <cellStyle name="Normal 3 2 3 4 4 4 2 2" xfId="22942"/>
    <cellStyle name="Normal 3 2 3 4 4 4 3" xfId="22943"/>
    <cellStyle name="Normal 3 2 3 4 4 5" xfId="22944"/>
    <cellStyle name="Normal 3 2 3 4 4 5 2" xfId="22945"/>
    <cellStyle name="Normal 3 2 3 4 4 5 3" xfId="22946"/>
    <cellStyle name="Normal 3 2 3 4 4 6" xfId="22947"/>
    <cellStyle name="Normal 3 2 3 4 4 6 2" xfId="22948"/>
    <cellStyle name="Normal 3 2 3 4 4 7" xfId="22949"/>
    <cellStyle name="Normal 3 2 3 4 5" xfId="22950"/>
    <cellStyle name="Normal 3 2 3 4 5 2" xfId="22951"/>
    <cellStyle name="Normal 3 2 3 4 5 2 2" xfId="22952"/>
    <cellStyle name="Normal 3 2 3 4 5 2 2 2" xfId="22953"/>
    <cellStyle name="Normal 3 2 3 4 5 2 3" xfId="22954"/>
    <cellStyle name="Normal 3 2 3 4 5 3" xfId="22955"/>
    <cellStyle name="Normal 3 2 3 4 5 3 2" xfId="22956"/>
    <cellStyle name="Normal 3 2 3 4 5 3 2 2" xfId="22957"/>
    <cellStyle name="Normal 3 2 3 4 5 3 3" xfId="22958"/>
    <cellStyle name="Normal 3 2 3 4 5 4" xfId="22959"/>
    <cellStyle name="Normal 3 2 3 4 5 4 2" xfId="22960"/>
    <cellStyle name="Normal 3 2 3 4 5 4 3" xfId="22961"/>
    <cellStyle name="Normal 3 2 3 4 5 5" xfId="22962"/>
    <cellStyle name="Normal 3 2 3 4 5 6" xfId="22963"/>
    <cellStyle name="Normal 3 2 3 4 5 7" xfId="22964"/>
    <cellStyle name="Normal 3 2 3 4 6" xfId="22965"/>
    <cellStyle name="Normal 3 2 3 4 6 2" xfId="22966"/>
    <cellStyle name="Normal 3 2 3 4 6 2 2" xfId="22967"/>
    <cellStyle name="Normal 3 2 3 4 6 2 2 2" xfId="22968"/>
    <cellStyle name="Normal 3 2 3 4 6 2 3" xfId="22969"/>
    <cellStyle name="Normal 3 2 3 4 6 3" xfId="22970"/>
    <cellStyle name="Normal 3 2 3 4 6 3 2" xfId="22971"/>
    <cellStyle name="Normal 3 2 3 4 6 3 2 2" xfId="22972"/>
    <cellStyle name="Normal 3 2 3 4 6 3 3" xfId="22973"/>
    <cellStyle name="Normal 3 2 3 4 6 4" xfId="22974"/>
    <cellStyle name="Normal 3 2 3 4 6 4 2" xfId="22975"/>
    <cellStyle name="Normal 3 2 3 4 6 4 3" xfId="22976"/>
    <cellStyle name="Normal 3 2 3 4 6 5" xfId="22977"/>
    <cellStyle name="Normal 3 2 3 4 6 6" xfId="22978"/>
    <cellStyle name="Normal 3 2 3 4 6 7" xfId="22979"/>
    <cellStyle name="Normal 3 2 3 4 7" xfId="22980"/>
    <cellStyle name="Normal 3 2 3 4 7 2" xfId="22981"/>
    <cellStyle name="Normal 3 2 3 4 7 2 2" xfId="22982"/>
    <cellStyle name="Normal 3 2 3 4 7 2 3" xfId="22983"/>
    <cellStyle name="Normal 3 2 3 4 7 3" xfId="22984"/>
    <cellStyle name="Normal 3 2 3 4 7 3 2" xfId="22985"/>
    <cellStyle name="Normal 3 2 3 4 7 3 3" xfId="22986"/>
    <cellStyle name="Normal 3 2 3 4 7 4" xfId="22987"/>
    <cellStyle name="Normal 3 2 3 4 7 5" xfId="22988"/>
    <cellStyle name="Normal 3 2 3 4 7 6" xfId="22989"/>
    <cellStyle name="Normal 3 2 3 4 8" xfId="22990"/>
    <cellStyle name="Normal 3 2 3 4 8 2" xfId="22991"/>
    <cellStyle name="Normal 3 2 3 4 8 2 2" xfId="22992"/>
    <cellStyle name="Normal 3 2 3 4 8 3" xfId="22993"/>
    <cellStyle name="Normal 3 2 3 4 9" xfId="22994"/>
    <cellStyle name="Normal 3 2 3 4 9 2" xfId="22995"/>
    <cellStyle name="Normal 3 2 3 4 9 2 2" xfId="22996"/>
    <cellStyle name="Normal 3 2 3 4 9 3" xfId="22997"/>
    <cellStyle name="Normal 3 2 3 5" xfId="22998"/>
    <cellStyle name="Normal 3 2 3 5 10" xfId="22999"/>
    <cellStyle name="Normal 3 2 3 5 11" xfId="23000"/>
    <cellStyle name="Normal 3 2 3 5 12" xfId="23001"/>
    <cellStyle name="Normal 3 2 3 5 2" xfId="23002"/>
    <cellStyle name="Normal 3 2 3 5 2 2" xfId="23003"/>
    <cellStyle name="Normal 3 2 3 5 2 2 2" xfId="23004"/>
    <cellStyle name="Normal 3 2 3 5 2 2 2 2" xfId="23005"/>
    <cellStyle name="Normal 3 2 3 5 2 2 2 3" xfId="23006"/>
    <cellStyle name="Normal 3 2 3 5 2 2 2 4" xfId="23007"/>
    <cellStyle name="Normal 3 2 3 5 2 2 3" xfId="23008"/>
    <cellStyle name="Normal 3 2 3 5 2 2 3 2" xfId="23009"/>
    <cellStyle name="Normal 3 2 3 5 2 2 4" xfId="23010"/>
    <cellStyle name="Normal 3 2 3 5 2 2 4 2" xfId="23011"/>
    <cellStyle name="Normal 3 2 3 5 2 2 5" xfId="23012"/>
    <cellStyle name="Normal 3 2 3 5 2 2 6" xfId="23013"/>
    <cellStyle name="Normal 3 2 3 5 2 3" xfId="23014"/>
    <cellStyle name="Normal 3 2 3 5 2 3 2" xfId="23015"/>
    <cellStyle name="Normal 3 2 3 5 2 3 2 2" xfId="23016"/>
    <cellStyle name="Normal 3 2 3 5 2 3 2 3" xfId="23017"/>
    <cellStyle name="Normal 3 2 3 5 2 3 3" xfId="23018"/>
    <cellStyle name="Normal 3 2 3 5 2 3 3 2" xfId="23019"/>
    <cellStyle name="Normal 3 2 3 5 2 3 4" xfId="23020"/>
    <cellStyle name="Normal 3 2 3 5 2 3 5" xfId="23021"/>
    <cellStyle name="Normal 3 2 3 5 2 4" xfId="23022"/>
    <cellStyle name="Normal 3 2 3 5 2 4 2" xfId="23023"/>
    <cellStyle name="Normal 3 2 3 5 2 4 2 2" xfId="23024"/>
    <cellStyle name="Normal 3 2 3 5 2 4 3" xfId="23025"/>
    <cellStyle name="Normal 3 2 3 5 2 4 4" xfId="23026"/>
    <cellStyle name="Normal 3 2 3 5 2 5" xfId="23027"/>
    <cellStyle name="Normal 3 2 3 5 2 5 2" xfId="23028"/>
    <cellStyle name="Normal 3 2 3 5 2 5 3" xfId="23029"/>
    <cellStyle name="Normal 3 2 3 5 2 6" xfId="23030"/>
    <cellStyle name="Normal 3 2 3 5 2 6 2" xfId="23031"/>
    <cellStyle name="Normal 3 2 3 5 2 6 3" xfId="23032"/>
    <cellStyle name="Normal 3 2 3 5 2 7" xfId="23033"/>
    <cellStyle name="Normal 3 2 3 5 2 8" xfId="23034"/>
    <cellStyle name="Normal 3 2 3 5 3" xfId="23035"/>
    <cellStyle name="Normal 3 2 3 5 3 2" xfId="23036"/>
    <cellStyle name="Normal 3 2 3 5 3 2 2" xfId="23037"/>
    <cellStyle name="Normal 3 2 3 5 3 2 2 2" xfId="23038"/>
    <cellStyle name="Normal 3 2 3 5 3 2 3" xfId="23039"/>
    <cellStyle name="Normal 3 2 3 5 3 2 4" xfId="23040"/>
    <cellStyle name="Normal 3 2 3 5 3 3" xfId="23041"/>
    <cellStyle name="Normal 3 2 3 5 3 3 2" xfId="23042"/>
    <cellStyle name="Normal 3 2 3 5 3 3 2 2" xfId="23043"/>
    <cellStyle name="Normal 3 2 3 5 3 3 3" xfId="23044"/>
    <cellStyle name="Normal 3 2 3 5 3 4" xfId="23045"/>
    <cellStyle name="Normal 3 2 3 5 3 4 2" xfId="23046"/>
    <cellStyle name="Normal 3 2 3 5 3 4 2 2" xfId="23047"/>
    <cellStyle name="Normal 3 2 3 5 3 4 3" xfId="23048"/>
    <cellStyle name="Normal 3 2 3 5 3 5" xfId="23049"/>
    <cellStyle name="Normal 3 2 3 5 3 5 2" xfId="23050"/>
    <cellStyle name="Normal 3 2 3 5 3 6" xfId="23051"/>
    <cellStyle name="Normal 3 2 3 5 3 7" xfId="23052"/>
    <cellStyle name="Normal 3 2 3 5 4" xfId="23053"/>
    <cellStyle name="Normal 3 2 3 5 4 2" xfId="23054"/>
    <cellStyle name="Normal 3 2 3 5 4 2 2" xfId="23055"/>
    <cellStyle name="Normal 3 2 3 5 4 2 2 2" xfId="23056"/>
    <cellStyle name="Normal 3 2 3 5 4 2 3" xfId="23057"/>
    <cellStyle name="Normal 3 2 3 5 4 3" xfId="23058"/>
    <cellStyle name="Normal 3 2 3 5 4 3 2" xfId="23059"/>
    <cellStyle name="Normal 3 2 3 5 4 3 2 2" xfId="23060"/>
    <cellStyle name="Normal 3 2 3 5 4 3 3" xfId="23061"/>
    <cellStyle name="Normal 3 2 3 5 4 4" xfId="23062"/>
    <cellStyle name="Normal 3 2 3 5 4 4 2" xfId="23063"/>
    <cellStyle name="Normal 3 2 3 5 4 4 3" xfId="23064"/>
    <cellStyle name="Normal 3 2 3 5 4 5" xfId="23065"/>
    <cellStyle name="Normal 3 2 3 5 4 6" xfId="23066"/>
    <cellStyle name="Normal 3 2 3 5 4 7" xfId="23067"/>
    <cellStyle name="Normal 3 2 3 5 5" xfId="23068"/>
    <cellStyle name="Normal 3 2 3 5 5 2" xfId="23069"/>
    <cellStyle name="Normal 3 2 3 5 5 2 2" xfId="23070"/>
    <cellStyle name="Normal 3 2 3 5 5 2 3" xfId="23071"/>
    <cellStyle name="Normal 3 2 3 5 5 3" xfId="23072"/>
    <cellStyle name="Normal 3 2 3 5 5 3 2" xfId="23073"/>
    <cellStyle name="Normal 3 2 3 5 5 3 3" xfId="23074"/>
    <cellStyle name="Normal 3 2 3 5 5 4" xfId="23075"/>
    <cellStyle name="Normal 3 2 3 5 5 4 2" xfId="23076"/>
    <cellStyle name="Normal 3 2 3 5 5 5" xfId="23077"/>
    <cellStyle name="Normal 3 2 3 5 5 6" xfId="23078"/>
    <cellStyle name="Normal 3 2 3 5 5 7" xfId="23079"/>
    <cellStyle name="Normal 3 2 3 5 6" xfId="23080"/>
    <cellStyle name="Normal 3 2 3 5 6 2" xfId="23081"/>
    <cellStyle name="Normal 3 2 3 5 6 2 2" xfId="23082"/>
    <cellStyle name="Normal 3 2 3 5 6 2 3" xfId="23083"/>
    <cellStyle name="Normal 3 2 3 5 6 3" xfId="23084"/>
    <cellStyle name="Normal 3 2 3 5 6 3 2" xfId="23085"/>
    <cellStyle name="Normal 3 2 3 5 6 4" xfId="23086"/>
    <cellStyle name="Normal 3 2 3 5 6 5" xfId="23087"/>
    <cellStyle name="Normal 3 2 3 5 6 6" xfId="23088"/>
    <cellStyle name="Normal 3 2 3 5 7" xfId="23089"/>
    <cellStyle name="Normal 3 2 3 5 7 2" xfId="23090"/>
    <cellStyle name="Normal 3 2 3 5 7 2 2" xfId="23091"/>
    <cellStyle name="Normal 3 2 3 5 7 3" xfId="23092"/>
    <cellStyle name="Normal 3 2 3 5 8" xfId="23093"/>
    <cellStyle name="Normal 3 2 3 5 8 2" xfId="23094"/>
    <cellStyle name="Normal 3 2 3 5 8 3" xfId="23095"/>
    <cellStyle name="Normal 3 2 3 5 9" xfId="23096"/>
    <cellStyle name="Normal 3 2 3 5 9 2" xfId="23097"/>
    <cellStyle name="Normal 3 2 3 6" xfId="23098"/>
    <cellStyle name="Normal 3 2 3 6 10" xfId="23099"/>
    <cellStyle name="Normal 3 2 3 6 11" xfId="23100"/>
    <cellStyle name="Normal 3 2 3 6 2" xfId="23101"/>
    <cellStyle name="Normal 3 2 3 6 2 2" xfId="23102"/>
    <cellStyle name="Normal 3 2 3 6 2 2 2" xfId="23103"/>
    <cellStyle name="Normal 3 2 3 6 2 2 2 2" xfId="23104"/>
    <cellStyle name="Normal 3 2 3 6 2 2 3" xfId="23105"/>
    <cellStyle name="Normal 3 2 3 6 2 2 4" xfId="23106"/>
    <cellStyle name="Normal 3 2 3 6 2 3" xfId="23107"/>
    <cellStyle name="Normal 3 2 3 6 2 3 2" xfId="23108"/>
    <cellStyle name="Normal 3 2 3 6 2 3 2 2" xfId="23109"/>
    <cellStyle name="Normal 3 2 3 6 2 3 3" xfId="23110"/>
    <cellStyle name="Normal 3 2 3 6 2 4" xfId="23111"/>
    <cellStyle name="Normal 3 2 3 6 2 4 2" xfId="23112"/>
    <cellStyle name="Normal 3 2 3 6 2 4 2 2" xfId="23113"/>
    <cellStyle name="Normal 3 2 3 6 2 4 3" xfId="23114"/>
    <cellStyle name="Normal 3 2 3 6 2 5" xfId="23115"/>
    <cellStyle name="Normal 3 2 3 6 2 5 2" xfId="23116"/>
    <cellStyle name="Normal 3 2 3 6 2 6" xfId="23117"/>
    <cellStyle name="Normal 3 2 3 6 2 7" xfId="23118"/>
    <cellStyle name="Normal 3 2 3 6 3" xfId="23119"/>
    <cellStyle name="Normal 3 2 3 6 3 2" xfId="23120"/>
    <cellStyle name="Normal 3 2 3 6 3 2 2" xfId="23121"/>
    <cellStyle name="Normal 3 2 3 6 3 2 2 2" xfId="23122"/>
    <cellStyle name="Normal 3 2 3 6 3 2 3" xfId="23123"/>
    <cellStyle name="Normal 3 2 3 6 3 3" xfId="23124"/>
    <cellStyle name="Normal 3 2 3 6 3 3 2" xfId="23125"/>
    <cellStyle name="Normal 3 2 3 6 3 3 2 2" xfId="23126"/>
    <cellStyle name="Normal 3 2 3 6 3 3 3" xfId="23127"/>
    <cellStyle name="Normal 3 2 3 6 3 4" xfId="23128"/>
    <cellStyle name="Normal 3 2 3 6 3 4 2" xfId="23129"/>
    <cellStyle name="Normal 3 2 3 6 3 4 3" xfId="23130"/>
    <cellStyle name="Normal 3 2 3 6 3 5" xfId="23131"/>
    <cellStyle name="Normal 3 2 3 6 3 6" xfId="23132"/>
    <cellStyle name="Normal 3 2 3 6 3 7" xfId="23133"/>
    <cellStyle name="Normal 3 2 3 6 4" xfId="23134"/>
    <cellStyle name="Normal 3 2 3 6 4 2" xfId="23135"/>
    <cellStyle name="Normal 3 2 3 6 4 2 2" xfId="23136"/>
    <cellStyle name="Normal 3 2 3 6 4 2 3" xfId="23137"/>
    <cellStyle name="Normal 3 2 3 6 4 3" xfId="23138"/>
    <cellStyle name="Normal 3 2 3 6 4 3 2" xfId="23139"/>
    <cellStyle name="Normal 3 2 3 6 4 3 3" xfId="23140"/>
    <cellStyle name="Normal 3 2 3 6 4 4" xfId="23141"/>
    <cellStyle name="Normal 3 2 3 6 4 4 2" xfId="23142"/>
    <cellStyle name="Normal 3 2 3 6 4 5" xfId="23143"/>
    <cellStyle name="Normal 3 2 3 6 4 6" xfId="23144"/>
    <cellStyle name="Normal 3 2 3 6 4 7" xfId="23145"/>
    <cellStyle name="Normal 3 2 3 6 5" xfId="23146"/>
    <cellStyle name="Normal 3 2 3 6 5 2" xfId="23147"/>
    <cellStyle name="Normal 3 2 3 6 5 2 2" xfId="23148"/>
    <cellStyle name="Normal 3 2 3 6 5 2 3" xfId="23149"/>
    <cellStyle name="Normal 3 2 3 6 5 3" xfId="23150"/>
    <cellStyle name="Normal 3 2 3 6 5 3 2" xfId="23151"/>
    <cellStyle name="Normal 3 2 3 6 5 4" xfId="23152"/>
    <cellStyle name="Normal 3 2 3 6 5 5" xfId="23153"/>
    <cellStyle name="Normal 3 2 3 6 5 6" xfId="23154"/>
    <cellStyle name="Normal 3 2 3 6 6" xfId="23155"/>
    <cellStyle name="Normal 3 2 3 6 6 2" xfId="23156"/>
    <cellStyle name="Normal 3 2 3 6 6 2 2" xfId="23157"/>
    <cellStyle name="Normal 3 2 3 6 6 3" xfId="23158"/>
    <cellStyle name="Normal 3 2 3 6 7" xfId="23159"/>
    <cellStyle name="Normal 3 2 3 6 7 2" xfId="23160"/>
    <cellStyle name="Normal 3 2 3 6 7 3" xfId="23161"/>
    <cellStyle name="Normal 3 2 3 6 8" xfId="23162"/>
    <cellStyle name="Normal 3 2 3 6 8 2" xfId="23163"/>
    <cellStyle name="Normal 3 2 3 6 9" xfId="23164"/>
    <cellStyle name="Normal 3 2 3 7" xfId="23165"/>
    <cellStyle name="Normal 3 2 3 7 10" xfId="23166"/>
    <cellStyle name="Normal 3 2 3 7 11" xfId="23167"/>
    <cellStyle name="Normal 3 2 3 7 2" xfId="23168"/>
    <cellStyle name="Normal 3 2 3 7 2 2" xfId="23169"/>
    <cellStyle name="Normal 3 2 3 7 2 2 2" xfId="23170"/>
    <cellStyle name="Normal 3 2 3 7 2 2 2 2" xfId="23171"/>
    <cellStyle name="Normal 3 2 3 7 2 2 3" xfId="23172"/>
    <cellStyle name="Normal 3 2 3 7 2 2 4" xfId="23173"/>
    <cellStyle name="Normal 3 2 3 7 2 3" xfId="23174"/>
    <cellStyle name="Normal 3 2 3 7 2 3 2" xfId="23175"/>
    <cellStyle name="Normal 3 2 3 7 2 3 2 2" xfId="23176"/>
    <cellStyle name="Normal 3 2 3 7 2 3 3" xfId="23177"/>
    <cellStyle name="Normal 3 2 3 7 2 4" xfId="23178"/>
    <cellStyle name="Normal 3 2 3 7 2 4 2" xfId="23179"/>
    <cellStyle name="Normal 3 2 3 7 2 4 2 2" xfId="23180"/>
    <cellStyle name="Normal 3 2 3 7 2 4 3" xfId="23181"/>
    <cellStyle name="Normal 3 2 3 7 2 5" xfId="23182"/>
    <cellStyle name="Normal 3 2 3 7 2 5 2" xfId="23183"/>
    <cellStyle name="Normal 3 2 3 7 2 6" xfId="23184"/>
    <cellStyle name="Normal 3 2 3 7 2 7" xfId="23185"/>
    <cellStyle name="Normal 3 2 3 7 3" xfId="23186"/>
    <cellStyle name="Normal 3 2 3 7 3 2" xfId="23187"/>
    <cellStyle name="Normal 3 2 3 7 3 2 2" xfId="23188"/>
    <cellStyle name="Normal 3 2 3 7 3 2 2 2" xfId="23189"/>
    <cellStyle name="Normal 3 2 3 7 3 2 3" xfId="23190"/>
    <cellStyle name="Normal 3 2 3 7 3 3" xfId="23191"/>
    <cellStyle name="Normal 3 2 3 7 3 3 2" xfId="23192"/>
    <cellStyle name="Normal 3 2 3 7 3 3 2 2" xfId="23193"/>
    <cellStyle name="Normal 3 2 3 7 3 3 3" xfId="23194"/>
    <cellStyle name="Normal 3 2 3 7 3 4" xfId="23195"/>
    <cellStyle name="Normal 3 2 3 7 3 4 2" xfId="23196"/>
    <cellStyle name="Normal 3 2 3 7 3 4 3" xfId="23197"/>
    <cellStyle name="Normal 3 2 3 7 3 5" xfId="23198"/>
    <cellStyle name="Normal 3 2 3 7 3 6" xfId="23199"/>
    <cellStyle name="Normal 3 2 3 7 3 7" xfId="23200"/>
    <cellStyle name="Normal 3 2 3 7 4" xfId="23201"/>
    <cellStyle name="Normal 3 2 3 7 4 2" xfId="23202"/>
    <cellStyle name="Normal 3 2 3 7 4 2 2" xfId="23203"/>
    <cellStyle name="Normal 3 2 3 7 4 2 3" xfId="23204"/>
    <cellStyle name="Normal 3 2 3 7 4 3" xfId="23205"/>
    <cellStyle name="Normal 3 2 3 7 4 3 2" xfId="23206"/>
    <cellStyle name="Normal 3 2 3 7 4 3 3" xfId="23207"/>
    <cellStyle name="Normal 3 2 3 7 4 4" xfId="23208"/>
    <cellStyle name="Normal 3 2 3 7 4 4 2" xfId="23209"/>
    <cellStyle name="Normal 3 2 3 7 4 5" xfId="23210"/>
    <cellStyle name="Normal 3 2 3 7 4 6" xfId="23211"/>
    <cellStyle name="Normal 3 2 3 7 4 7" xfId="23212"/>
    <cellStyle name="Normal 3 2 3 7 5" xfId="23213"/>
    <cellStyle name="Normal 3 2 3 7 5 2" xfId="23214"/>
    <cellStyle name="Normal 3 2 3 7 5 2 2" xfId="23215"/>
    <cellStyle name="Normal 3 2 3 7 5 2 3" xfId="23216"/>
    <cellStyle name="Normal 3 2 3 7 5 3" xfId="23217"/>
    <cellStyle name="Normal 3 2 3 7 5 3 2" xfId="23218"/>
    <cellStyle name="Normal 3 2 3 7 5 4" xfId="23219"/>
    <cellStyle name="Normal 3 2 3 7 5 5" xfId="23220"/>
    <cellStyle name="Normal 3 2 3 7 5 6" xfId="23221"/>
    <cellStyle name="Normal 3 2 3 7 6" xfId="23222"/>
    <cellStyle name="Normal 3 2 3 7 6 2" xfId="23223"/>
    <cellStyle name="Normal 3 2 3 7 6 2 2" xfId="23224"/>
    <cellStyle name="Normal 3 2 3 7 6 3" xfId="23225"/>
    <cellStyle name="Normal 3 2 3 7 7" xfId="23226"/>
    <cellStyle name="Normal 3 2 3 7 7 2" xfId="23227"/>
    <cellStyle name="Normal 3 2 3 7 7 3" xfId="23228"/>
    <cellStyle name="Normal 3 2 3 7 8" xfId="23229"/>
    <cellStyle name="Normal 3 2 3 7 8 2" xfId="23230"/>
    <cellStyle name="Normal 3 2 3 7 9" xfId="23231"/>
    <cellStyle name="Normal 3 2 3 8" xfId="23232"/>
    <cellStyle name="Normal 3 2 3 8 2" xfId="23233"/>
    <cellStyle name="Normal 3 2 3 8 2 2" xfId="23234"/>
    <cellStyle name="Normal 3 2 3 8 2 2 2" xfId="23235"/>
    <cellStyle name="Normal 3 2 3 8 2 2 3" xfId="23236"/>
    <cellStyle name="Normal 3 2 3 8 2 3" xfId="23237"/>
    <cellStyle name="Normal 3 2 3 8 2 3 2" xfId="23238"/>
    <cellStyle name="Normal 3 2 3 8 2 4" xfId="23239"/>
    <cellStyle name="Normal 3 2 3 8 2 5" xfId="23240"/>
    <cellStyle name="Normal 3 2 3 8 3" xfId="23241"/>
    <cellStyle name="Normal 3 2 3 8 3 2" xfId="23242"/>
    <cellStyle name="Normal 3 2 3 8 3 2 2" xfId="23243"/>
    <cellStyle name="Normal 3 2 3 8 3 3" xfId="23244"/>
    <cellStyle name="Normal 3 2 3 8 3 4" xfId="23245"/>
    <cellStyle name="Normal 3 2 3 8 4" xfId="23246"/>
    <cellStyle name="Normal 3 2 3 8 4 2" xfId="23247"/>
    <cellStyle name="Normal 3 2 3 8 4 2 2" xfId="23248"/>
    <cellStyle name="Normal 3 2 3 8 4 3" xfId="23249"/>
    <cellStyle name="Normal 3 2 3 8 5" xfId="23250"/>
    <cellStyle name="Normal 3 2 3 8 5 2" xfId="23251"/>
    <cellStyle name="Normal 3 2 3 8 5 3" xfId="23252"/>
    <cellStyle name="Normal 3 2 3 8 6" xfId="23253"/>
    <cellStyle name="Normal 3 2 3 8 6 2" xfId="23254"/>
    <cellStyle name="Normal 3 2 3 8 7" xfId="23255"/>
    <cellStyle name="Normal 3 2 3 9" xfId="23256"/>
    <cellStyle name="Normal 3 2 3 9 2" xfId="23257"/>
    <cellStyle name="Normal 3 2 3 9 2 2" xfId="23258"/>
    <cellStyle name="Normal 3 2 3 9 2 2 2" xfId="23259"/>
    <cellStyle name="Normal 3 2 3 9 2 3" xfId="23260"/>
    <cellStyle name="Normal 3 2 3 9 3" xfId="23261"/>
    <cellStyle name="Normal 3 2 3 9 3 2" xfId="23262"/>
    <cellStyle name="Normal 3 2 3 9 3 2 2" xfId="23263"/>
    <cellStyle name="Normal 3 2 3 9 3 3" xfId="23264"/>
    <cellStyle name="Normal 3 2 3 9 4" xfId="23265"/>
    <cellStyle name="Normal 3 2 3 9 4 2" xfId="23266"/>
    <cellStyle name="Normal 3 2 3 9 4 3" xfId="23267"/>
    <cellStyle name="Normal 3 2 3 9 5" xfId="23268"/>
    <cellStyle name="Normal 3 2 3 9 6" xfId="23269"/>
    <cellStyle name="Normal 3 2 3 9 7" xfId="23270"/>
    <cellStyle name="Normal 3 2 4" xfId="23271"/>
    <cellStyle name="Normal 3 2 4 10" xfId="23272"/>
    <cellStyle name="Normal 3 2 4 10 2" xfId="23273"/>
    <cellStyle name="Normal 3 2 4 10 2 2" xfId="23274"/>
    <cellStyle name="Normal 3 2 4 10 3" xfId="23275"/>
    <cellStyle name="Normal 3 2 4 10 4" xfId="23276"/>
    <cellStyle name="Normal 3 2 4 11" xfId="23277"/>
    <cellStyle name="Normal 3 2 4 11 2" xfId="23278"/>
    <cellStyle name="Normal 3 2 4 11 2 2" xfId="23279"/>
    <cellStyle name="Normal 3 2 4 11 3" xfId="23280"/>
    <cellStyle name="Normal 3 2 4 12" xfId="23281"/>
    <cellStyle name="Normal 3 2 4 12 2" xfId="23282"/>
    <cellStyle name="Normal 3 2 4 12 3" xfId="23283"/>
    <cellStyle name="Normal 3 2 4 13" xfId="23284"/>
    <cellStyle name="Normal 3 2 4 13 2" xfId="23285"/>
    <cellStyle name="Normal 3 2 4 14" xfId="23286"/>
    <cellStyle name="Normal 3 2 4 2" xfId="23287"/>
    <cellStyle name="Normal 3 2 4 2 10" xfId="23288"/>
    <cellStyle name="Normal 3 2 4 2 10 2" xfId="23289"/>
    <cellStyle name="Normal 3 2 4 2 10 3" xfId="23290"/>
    <cellStyle name="Normal 3 2 4 2 11" xfId="23291"/>
    <cellStyle name="Normal 3 2 4 2 11 2" xfId="23292"/>
    <cellStyle name="Normal 3 2 4 2 12" xfId="23293"/>
    <cellStyle name="Normal 3 2 4 2 2" xfId="23294"/>
    <cellStyle name="Normal 3 2 4 2 2 2" xfId="23295"/>
    <cellStyle name="Normal 3 2 4 2 2 2 2" xfId="23296"/>
    <cellStyle name="Normal 3 2 4 2 2 2 2 2" xfId="23297"/>
    <cellStyle name="Normal 3 2 4 2 2 2 2 2 2" xfId="23298"/>
    <cellStyle name="Normal 3 2 4 2 2 2 2 2 3" xfId="23299"/>
    <cellStyle name="Normal 3 2 4 2 2 2 2 3" xfId="23300"/>
    <cellStyle name="Normal 3 2 4 2 2 2 2 3 2" xfId="23301"/>
    <cellStyle name="Normal 3 2 4 2 2 2 2 4" xfId="23302"/>
    <cellStyle name="Normal 3 2 4 2 2 2 2 4 2" xfId="23303"/>
    <cellStyle name="Normal 3 2 4 2 2 2 2 5" xfId="23304"/>
    <cellStyle name="Normal 3 2 4 2 2 2 2 6" xfId="23305"/>
    <cellStyle name="Normal 3 2 4 2 2 2 3" xfId="23306"/>
    <cellStyle name="Normal 3 2 4 2 2 2 3 2" xfId="23307"/>
    <cellStyle name="Normal 3 2 4 2 2 2 3 2 2" xfId="23308"/>
    <cellStyle name="Normal 3 2 4 2 2 2 3 3" xfId="23309"/>
    <cellStyle name="Normal 3 2 4 2 2 2 3 3 2" xfId="23310"/>
    <cellStyle name="Normal 3 2 4 2 2 2 3 4" xfId="23311"/>
    <cellStyle name="Normal 3 2 4 2 2 2 4" xfId="23312"/>
    <cellStyle name="Normal 3 2 4 2 2 2 4 2" xfId="23313"/>
    <cellStyle name="Normal 3 2 4 2 2 2 4 3" xfId="23314"/>
    <cellStyle name="Normal 3 2 4 2 2 2 5" xfId="23315"/>
    <cellStyle name="Normal 3 2 4 2 2 2 5 2" xfId="23316"/>
    <cellStyle name="Normal 3 2 4 2 2 2 6" xfId="23317"/>
    <cellStyle name="Normal 3 2 4 2 2 2 6 2" xfId="23318"/>
    <cellStyle name="Normal 3 2 4 2 2 2 7" xfId="23319"/>
    <cellStyle name="Normal 3 2 4 2 2 2 8" xfId="23320"/>
    <cellStyle name="Normal 3 2 4 2 2 3" xfId="23321"/>
    <cellStyle name="Normal 3 2 4 2 2 3 2" xfId="23322"/>
    <cellStyle name="Normal 3 2 4 2 2 3 2 2" xfId="23323"/>
    <cellStyle name="Normal 3 2 4 2 2 3 2 3" xfId="23324"/>
    <cellStyle name="Normal 3 2 4 2 2 3 2 4" xfId="23325"/>
    <cellStyle name="Normal 3 2 4 2 2 3 3" xfId="23326"/>
    <cellStyle name="Normal 3 2 4 2 2 3 3 2" xfId="23327"/>
    <cellStyle name="Normal 3 2 4 2 2 3 4" xfId="23328"/>
    <cellStyle name="Normal 3 2 4 2 2 3 4 2" xfId="23329"/>
    <cellStyle name="Normal 3 2 4 2 2 3 5" xfId="23330"/>
    <cellStyle name="Normal 3 2 4 2 2 3 6" xfId="23331"/>
    <cellStyle name="Normal 3 2 4 2 2 4" xfId="23332"/>
    <cellStyle name="Normal 3 2 4 2 2 4 2" xfId="23333"/>
    <cellStyle name="Normal 3 2 4 2 2 4 2 2" xfId="23334"/>
    <cellStyle name="Normal 3 2 4 2 2 4 2 3" xfId="23335"/>
    <cellStyle name="Normal 3 2 4 2 2 4 3" xfId="23336"/>
    <cellStyle name="Normal 3 2 4 2 2 4 3 2" xfId="23337"/>
    <cellStyle name="Normal 3 2 4 2 2 4 4" xfId="23338"/>
    <cellStyle name="Normal 3 2 4 2 2 4 5" xfId="23339"/>
    <cellStyle name="Normal 3 2 4 2 2 5" xfId="23340"/>
    <cellStyle name="Normal 3 2 4 2 2 5 2" xfId="23341"/>
    <cellStyle name="Normal 3 2 4 2 2 5 3" xfId="23342"/>
    <cellStyle name="Normal 3 2 4 2 2 5 4" xfId="23343"/>
    <cellStyle name="Normal 3 2 4 2 2 6" xfId="23344"/>
    <cellStyle name="Normal 3 2 4 2 2 6 2" xfId="23345"/>
    <cellStyle name="Normal 3 2 4 2 2 6 3" xfId="23346"/>
    <cellStyle name="Normal 3 2 4 2 2 7" xfId="23347"/>
    <cellStyle name="Normal 3 2 4 2 2 7 2" xfId="23348"/>
    <cellStyle name="Normal 3 2 4 2 2 8" xfId="23349"/>
    <cellStyle name="Normal 3 2 4 2 2 9" xfId="23350"/>
    <cellStyle name="Normal 3 2 4 2 3" xfId="23351"/>
    <cellStyle name="Normal 3 2 4 2 3 2" xfId="23352"/>
    <cellStyle name="Normal 3 2 4 2 3 2 2" xfId="23353"/>
    <cellStyle name="Normal 3 2 4 2 3 2 2 2" xfId="23354"/>
    <cellStyle name="Normal 3 2 4 2 3 2 2 3" xfId="23355"/>
    <cellStyle name="Normal 3 2 4 2 3 2 2 4" xfId="23356"/>
    <cellStyle name="Normal 3 2 4 2 3 2 3" xfId="23357"/>
    <cellStyle name="Normal 3 2 4 2 3 2 3 2" xfId="23358"/>
    <cellStyle name="Normal 3 2 4 2 3 2 4" xfId="23359"/>
    <cellStyle name="Normal 3 2 4 2 3 2 4 2" xfId="23360"/>
    <cellStyle name="Normal 3 2 4 2 3 2 5" xfId="23361"/>
    <cellStyle name="Normal 3 2 4 2 3 2 6" xfId="23362"/>
    <cellStyle name="Normal 3 2 4 2 3 3" xfId="23363"/>
    <cellStyle name="Normal 3 2 4 2 3 3 2" xfId="23364"/>
    <cellStyle name="Normal 3 2 4 2 3 3 2 2" xfId="23365"/>
    <cellStyle name="Normal 3 2 4 2 3 3 2 3" xfId="23366"/>
    <cellStyle name="Normal 3 2 4 2 3 3 3" xfId="23367"/>
    <cellStyle name="Normal 3 2 4 2 3 3 3 2" xfId="23368"/>
    <cellStyle name="Normal 3 2 4 2 3 3 4" xfId="23369"/>
    <cellStyle name="Normal 3 2 4 2 3 3 5" xfId="23370"/>
    <cellStyle name="Normal 3 2 4 2 3 4" xfId="23371"/>
    <cellStyle name="Normal 3 2 4 2 3 4 2" xfId="23372"/>
    <cellStyle name="Normal 3 2 4 2 3 4 2 2" xfId="23373"/>
    <cellStyle name="Normal 3 2 4 2 3 4 3" xfId="23374"/>
    <cellStyle name="Normal 3 2 4 2 3 4 4" xfId="23375"/>
    <cellStyle name="Normal 3 2 4 2 3 5" xfId="23376"/>
    <cellStyle name="Normal 3 2 4 2 3 5 2" xfId="23377"/>
    <cellStyle name="Normal 3 2 4 2 3 5 3" xfId="23378"/>
    <cellStyle name="Normal 3 2 4 2 3 6" xfId="23379"/>
    <cellStyle name="Normal 3 2 4 2 3 6 2" xfId="23380"/>
    <cellStyle name="Normal 3 2 4 2 3 6 3" xfId="23381"/>
    <cellStyle name="Normal 3 2 4 2 3 7" xfId="23382"/>
    <cellStyle name="Normal 3 2 4 2 3 8" xfId="23383"/>
    <cellStyle name="Normal 3 2 4 2 4" xfId="23384"/>
    <cellStyle name="Normal 3 2 4 2 4 2" xfId="23385"/>
    <cellStyle name="Normal 3 2 4 2 4 2 2" xfId="23386"/>
    <cellStyle name="Normal 3 2 4 2 4 2 2 2" xfId="23387"/>
    <cellStyle name="Normal 3 2 4 2 4 2 2 3" xfId="23388"/>
    <cellStyle name="Normal 3 2 4 2 4 2 2 4" xfId="23389"/>
    <cellStyle name="Normal 3 2 4 2 4 2 3" xfId="23390"/>
    <cellStyle name="Normal 3 2 4 2 4 2 3 2" xfId="23391"/>
    <cellStyle name="Normal 3 2 4 2 4 2 4" xfId="23392"/>
    <cellStyle name="Normal 3 2 4 2 4 2 4 2" xfId="23393"/>
    <cellStyle name="Normal 3 2 4 2 4 2 5" xfId="23394"/>
    <cellStyle name="Normal 3 2 4 2 4 2 6" xfId="23395"/>
    <cellStyle name="Normal 3 2 4 2 4 3" xfId="23396"/>
    <cellStyle name="Normal 3 2 4 2 4 3 2" xfId="23397"/>
    <cellStyle name="Normal 3 2 4 2 4 3 2 2" xfId="23398"/>
    <cellStyle name="Normal 3 2 4 2 4 3 2 3" xfId="23399"/>
    <cellStyle name="Normal 3 2 4 2 4 3 3" xfId="23400"/>
    <cellStyle name="Normal 3 2 4 2 4 3 3 2" xfId="23401"/>
    <cellStyle name="Normal 3 2 4 2 4 3 4" xfId="23402"/>
    <cellStyle name="Normal 3 2 4 2 4 3 5" xfId="23403"/>
    <cellStyle name="Normal 3 2 4 2 4 4" xfId="23404"/>
    <cellStyle name="Normal 3 2 4 2 4 4 2" xfId="23405"/>
    <cellStyle name="Normal 3 2 4 2 4 4 2 2" xfId="23406"/>
    <cellStyle name="Normal 3 2 4 2 4 4 3" xfId="23407"/>
    <cellStyle name="Normal 3 2 4 2 4 4 4" xfId="23408"/>
    <cellStyle name="Normal 3 2 4 2 4 5" xfId="23409"/>
    <cellStyle name="Normal 3 2 4 2 4 5 2" xfId="23410"/>
    <cellStyle name="Normal 3 2 4 2 4 5 3" xfId="23411"/>
    <cellStyle name="Normal 3 2 4 2 4 6" xfId="23412"/>
    <cellStyle name="Normal 3 2 4 2 4 6 2" xfId="23413"/>
    <cellStyle name="Normal 3 2 4 2 4 6 3" xfId="23414"/>
    <cellStyle name="Normal 3 2 4 2 4 7" xfId="23415"/>
    <cellStyle name="Normal 3 2 4 2 4 8" xfId="23416"/>
    <cellStyle name="Normal 3 2 4 2 5" xfId="23417"/>
    <cellStyle name="Normal 3 2 4 2 5 2" xfId="23418"/>
    <cellStyle name="Normal 3 2 4 2 5 2 2" xfId="23419"/>
    <cellStyle name="Normal 3 2 4 2 5 2 2 2" xfId="23420"/>
    <cellStyle name="Normal 3 2 4 2 5 2 2 3" xfId="23421"/>
    <cellStyle name="Normal 3 2 4 2 5 2 3" xfId="23422"/>
    <cellStyle name="Normal 3 2 4 2 5 2 3 2" xfId="23423"/>
    <cellStyle name="Normal 3 2 4 2 5 2 4" xfId="23424"/>
    <cellStyle name="Normal 3 2 4 2 5 2 5" xfId="23425"/>
    <cellStyle name="Normal 3 2 4 2 5 3" xfId="23426"/>
    <cellStyle name="Normal 3 2 4 2 5 3 2" xfId="23427"/>
    <cellStyle name="Normal 3 2 4 2 5 3 2 2" xfId="23428"/>
    <cellStyle name="Normal 3 2 4 2 5 3 3" xfId="23429"/>
    <cellStyle name="Normal 3 2 4 2 5 3 4" xfId="23430"/>
    <cellStyle name="Normal 3 2 4 2 5 4" xfId="23431"/>
    <cellStyle name="Normal 3 2 4 2 5 4 2" xfId="23432"/>
    <cellStyle name="Normal 3 2 4 2 5 4 2 2" xfId="23433"/>
    <cellStyle name="Normal 3 2 4 2 5 4 3" xfId="23434"/>
    <cellStyle name="Normal 3 2 4 2 5 5" xfId="23435"/>
    <cellStyle name="Normal 3 2 4 2 5 5 2" xfId="23436"/>
    <cellStyle name="Normal 3 2 4 2 5 5 3" xfId="23437"/>
    <cellStyle name="Normal 3 2 4 2 5 6" xfId="23438"/>
    <cellStyle name="Normal 3 2 4 2 5 6 2" xfId="23439"/>
    <cellStyle name="Normal 3 2 4 2 5 7" xfId="23440"/>
    <cellStyle name="Normal 3 2 4 2 6" xfId="23441"/>
    <cellStyle name="Normal 3 2 4 2 6 2" xfId="23442"/>
    <cellStyle name="Normal 3 2 4 2 6 2 2" xfId="23443"/>
    <cellStyle name="Normal 3 2 4 2 6 2 2 2" xfId="23444"/>
    <cellStyle name="Normal 3 2 4 2 6 2 3" xfId="23445"/>
    <cellStyle name="Normal 3 2 4 2 6 3" xfId="23446"/>
    <cellStyle name="Normal 3 2 4 2 6 3 2" xfId="23447"/>
    <cellStyle name="Normal 3 2 4 2 6 3 2 2" xfId="23448"/>
    <cellStyle name="Normal 3 2 4 2 6 3 3" xfId="23449"/>
    <cellStyle name="Normal 3 2 4 2 6 4" xfId="23450"/>
    <cellStyle name="Normal 3 2 4 2 6 4 2" xfId="23451"/>
    <cellStyle name="Normal 3 2 4 2 6 5" xfId="23452"/>
    <cellStyle name="Normal 3 2 4 2 6 6" xfId="23453"/>
    <cellStyle name="Normal 3 2 4 2 7" xfId="23454"/>
    <cellStyle name="Normal 3 2 4 2 7 2" xfId="23455"/>
    <cellStyle name="Normal 3 2 4 2 7 2 2" xfId="23456"/>
    <cellStyle name="Normal 3 2 4 2 7 2 3" xfId="23457"/>
    <cellStyle name="Normal 3 2 4 2 7 3" xfId="23458"/>
    <cellStyle name="Normal 3 2 4 2 7 3 2" xfId="23459"/>
    <cellStyle name="Normal 3 2 4 2 7 4" xfId="23460"/>
    <cellStyle name="Normal 3 2 4 2 7 5" xfId="23461"/>
    <cellStyle name="Normal 3 2 4 2 8" xfId="23462"/>
    <cellStyle name="Normal 3 2 4 2 8 2" xfId="23463"/>
    <cellStyle name="Normal 3 2 4 2 8 2 2" xfId="23464"/>
    <cellStyle name="Normal 3 2 4 2 8 3" xfId="23465"/>
    <cellStyle name="Normal 3 2 4 2 8 4" xfId="23466"/>
    <cellStyle name="Normal 3 2 4 2 9" xfId="23467"/>
    <cellStyle name="Normal 3 2 4 2 9 2" xfId="23468"/>
    <cellStyle name="Normal 3 2 4 2 9 2 2" xfId="23469"/>
    <cellStyle name="Normal 3 2 4 2 9 3" xfId="23470"/>
    <cellStyle name="Normal 3 2 4 3" xfId="23471"/>
    <cellStyle name="Normal 3 2 4 3 10" xfId="23472"/>
    <cellStyle name="Normal 3 2 4 3 10 2" xfId="23473"/>
    <cellStyle name="Normal 3 2 4 3 11" xfId="23474"/>
    <cellStyle name="Normal 3 2 4 3 2" xfId="23475"/>
    <cellStyle name="Normal 3 2 4 3 2 2" xfId="23476"/>
    <cellStyle name="Normal 3 2 4 3 2 2 2" xfId="23477"/>
    <cellStyle name="Normal 3 2 4 3 2 2 2 2" xfId="23478"/>
    <cellStyle name="Normal 3 2 4 3 2 2 2 3" xfId="23479"/>
    <cellStyle name="Normal 3 2 4 3 2 2 2 4" xfId="23480"/>
    <cellStyle name="Normal 3 2 4 3 2 2 3" xfId="23481"/>
    <cellStyle name="Normal 3 2 4 3 2 2 3 2" xfId="23482"/>
    <cellStyle name="Normal 3 2 4 3 2 2 4" xfId="23483"/>
    <cellStyle name="Normal 3 2 4 3 2 2 4 2" xfId="23484"/>
    <cellStyle name="Normal 3 2 4 3 2 2 5" xfId="23485"/>
    <cellStyle name="Normal 3 2 4 3 2 2 6" xfId="23486"/>
    <cellStyle name="Normal 3 2 4 3 2 3" xfId="23487"/>
    <cellStyle name="Normal 3 2 4 3 2 3 2" xfId="23488"/>
    <cellStyle name="Normal 3 2 4 3 2 3 2 2" xfId="23489"/>
    <cellStyle name="Normal 3 2 4 3 2 3 2 3" xfId="23490"/>
    <cellStyle name="Normal 3 2 4 3 2 3 3" xfId="23491"/>
    <cellStyle name="Normal 3 2 4 3 2 3 3 2" xfId="23492"/>
    <cellStyle name="Normal 3 2 4 3 2 3 4" xfId="23493"/>
    <cellStyle name="Normal 3 2 4 3 2 3 5" xfId="23494"/>
    <cellStyle name="Normal 3 2 4 3 2 4" xfId="23495"/>
    <cellStyle name="Normal 3 2 4 3 2 4 2" xfId="23496"/>
    <cellStyle name="Normal 3 2 4 3 2 4 2 2" xfId="23497"/>
    <cellStyle name="Normal 3 2 4 3 2 4 3" xfId="23498"/>
    <cellStyle name="Normal 3 2 4 3 2 4 4" xfId="23499"/>
    <cellStyle name="Normal 3 2 4 3 2 5" xfId="23500"/>
    <cellStyle name="Normal 3 2 4 3 2 5 2" xfId="23501"/>
    <cellStyle name="Normal 3 2 4 3 2 5 3" xfId="23502"/>
    <cellStyle name="Normal 3 2 4 3 2 6" xfId="23503"/>
    <cellStyle name="Normal 3 2 4 3 2 6 2" xfId="23504"/>
    <cellStyle name="Normal 3 2 4 3 2 6 3" xfId="23505"/>
    <cellStyle name="Normal 3 2 4 3 2 7" xfId="23506"/>
    <cellStyle name="Normal 3 2 4 3 2 8" xfId="23507"/>
    <cellStyle name="Normal 3 2 4 3 3" xfId="23508"/>
    <cellStyle name="Normal 3 2 4 3 3 2" xfId="23509"/>
    <cellStyle name="Normal 3 2 4 3 3 2 2" xfId="23510"/>
    <cellStyle name="Normal 3 2 4 3 3 2 2 2" xfId="23511"/>
    <cellStyle name="Normal 3 2 4 3 3 2 2 3" xfId="23512"/>
    <cellStyle name="Normal 3 2 4 3 3 2 2 4" xfId="23513"/>
    <cellStyle name="Normal 3 2 4 3 3 2 3" xfId="23514"/>
    <cellStyle name="Normal 3 2 4 3 3 2 3 2" xfId="23515"/>
    <cellStyle name="Normal 3 2 4 3 3 2 4" xfId="23516"/>
    <cellStyle name="Normal 3 2 4 3 3 2 4 2" xfId="23517"/>
    <cellStyle name="Normal 3 2 4 3 3 2 5" xfId="23518"/>
    <cellStyle name="Normal 3 2 4 3 3 2 6" xfId="23519"/>
    <cellStyle name="Normal 3 2 4 3 3 3" xfId="23520"/>
    <cellStyle name="Normal 3 2 4 3 3 3 2" xfId="23521"/>
    <cellStyle name="Normal 3 2 4 3 3 3 2 2" xfId="23522"/>
    <cellStyle name="Normal 3 2 4 3 3 3 2 3" xfId="23523"/>
    <cellStyle name="Normal 3 2 4 3 3 3 3" xfId="23524"/>
    <cellStyle name="Normal 3 2 4 3 3 3 3 2" xfId="23525"/>
    <cellStyle name="Normal 3 2 4 3 3 3 4" xfId="23526"/>
    <cellStyle name="Normal 3 2 4 3 3 3 5" xfId="23527"/>
    <cellStyle name="Normal 3 2 4 3 3 4" xfId="23528"/>
    <cellStyle name="Normal 3 2 4 3 3 4 2" xfId="23529"/>
    <cellStyle name="Normal 3 2 4 3 3 4 2 2" xfId="23530"/>
    <cellStyle name="Normal 3 2 4 3 3 4 3" xfId="23531"/>
    <cellStyle name="Normal 3 2 4 3 3 4 4" xfId="23532"/>
    <cellStyle name="Normal 3 2 4 3 3 5" xfId="23533"/>
    <cellStyle name="Normal 3 2 4 3 3 5 2" xfId="23534"/>
    <cellStyle name="Normal 3 2 4 3 3 5 3" xfId="23535"/>
    <cellStyle name="Normal 3 2 4 3 3 6" xfId="23536"/>
    <cellStyle name="Normal 3 2 4 3 3 6 2" xfId="23537"/>
    <cellStyle name="Normal 3 2 4 3 3 6 3" xfId="23538"/>
    <cellStyle name="Normal 3 2 4 3 3 7" xfId="23539"/>
    <cellStyle name="Normal 3 2 4 3 3 8" xfId="23540"/>
    <cellStyle name="Normal 3 2 4 3 4" xfId="23541"/>
    <cellStyle name="Normal 3 2 4 3 4 2" xfId="23542"/>
    <cellStyle name="Normal 3 2 4 3 4 2 2" xfId="23543"/>
    <cellStyle name="Normal 3 2 4 3 4 2 2 2" xfId="23544"/>
    <cellStyle name="Normal 3 2 4 3 4 2 2 3" xfId="23545"/>
    <cellStyle name="Normal 3 2 4 3 4 2 3" xfId="23546"/>
    <cellStyle name="Normal 3 2 4 3 4 2 3 2" xfId="23547"/>
    <cellStyle name="Normal 3 2 4 3 4 2 4" xfId="23548"/>
    <cellStyle name="Normal 3 2 4 3 4 2 5" xfId="23549"/>
    <cellStyle name="Normal 3 2 4 3 4 3" xfId="23550"/>
    <cellStyle name="Normal 3 2 4 3 4 3 2" xfId="23551"/>
    <cellStyle name="Normal 3 2 4 3 4 3 2 2" xfId="23552"/>
    <cellStyle name="Normal 3 2 4 3 4 3 3" xfId="23553"/>
    <cellStyle name="Normal 3 2 4 3 4 3 4" xfId="23554"/>
    <cellStyle name="Normal 3 2 4 3 4 4" xfId="23555"/>
    <cellStyle name="Normal 3 2 4 3 4 4 2" xfId="23556"/>
    <cellStyle name="Normal 3 2 4 3 4 4 2 2" xfId="23557"/>
    <cellStyle name="Normal 3 2 4 3 4 4 3" xfId="23558"/>
    <cellStyle name="Normal 3 2 4 3 4 5" xfId="23559"/>
    <cellStyle name="Normal 3 2 4 3 4 5 2" xfId="23560"/>
    <cellStyle name="Normal 3 2 4 3 4 5 3" xfId="23561"/>
    <cellStyle name="Normal 3 2 4 3 4 6" xfId="23562"/>
    <cellStyle name="Normal 3 2 4 3 4 6 2" xfId="23563"/>
    <cellStyle name="Normal 3 2 4 3 4 7" xfId="23564"/>
    <cellStyle name="Normal 3 2 4 3 5" xfId="23565"/>
    <cellStyle name="Normal 3 2 4 3 5 2" xfId="23566"/>
    <cellStyle name="Normal 3 2 4 3 5 2 2" xfId="23567"/>
    <cellStyle name="Normal 3 2 4 3 5 2 2 2" xfId="23568"/>
    <cellStyle name="Normal 3 2 4 3 5 2 3" xfId="23569"/>
    <cellStyle name="Normal 3 2 4 3 5 3" xfId="23570"/>
    <cellStyle name="Normal 3 2 4 3 5 3 2" xfId="23571"/>
    <cellStyle name="Normal 3 2 4 3 5 3 2 2" xfId="23572"/>
    <cellStyle name="Normal 3 2 4 3 5 3 3" xfId="23573"/>
    <cellStyle name="Normal 3 2 4 3 5 4" xfId="23574"/>
    <cellStyle name="Normal 3 2 4 3 5 4 2" xfId="23575"/>
    <cellStyle name="Normal 3 2 4 3 5 5" xfId="23576"/>
    <cellStyle name="Normal 3 2 4 3 5 6" xfId="23577"/>
    <cellStyle name="Normal 3 2 4 3 6" xfId="23578"/>
    <cellStyle name="Normal 3 2 4 3 6 2" xfId="23579"/>
    <cellStyle name="Normal 3 2 4 3 6 2 2" xfId="23580"/>
    <cellStyle name="Normal 3 2 4 3 6 2 3" xfId="23581"/>
    <cellStyle name="Normal 3 2 4 3 6 3" xfId="23582"/>
    <cellStyle name="Normal 3 2 4 3 6 3 2" xfId="23583"/>
    <cellStyle name="Normal 3 2 4 3 6 4" xfId="23584"/>
    <cellStyle name="Normal 3 2 4 3 6 5" xfId="23585"/>
    <cellStyle name="Normal 3 2 4 3 7" xfId="23586"/>
    <cellStyle name="Normal 3 2 4 3 7 2" xfId="23587"/>
    <cellStyle name="Normal 3 2 4 3 7 2 2" xfId="23588"/>
    <cellStyle name="Normal 3 2 4 3 7 3" xfId="23589"/>
    <cellStyle name="Normal 3 2 4 3 7 4" xfId="23590"/>
    <cellStyle name="Normal 3 2 4 3 8" xfId="23591"/>
    <cellStyle name="Normal 3 2 4 3 8 2" xfId="23592"/>
    <cellStyle name="Normal 3 2 4 3 8 2 2" xfId="23593"/>
    <cellStyle name="Normal 3 2 4 3 8 3" xfId="23594"/>
    <cellStyle name="Normal 3 2 4 3 9" xfId="23595"/>
    <cellStyle name="Normal 3 2 4 3 9 2" xfId="23596"/>
    <cellStyle name="Normal 3 2 4 3 9 3" xfId="23597"/>
    <cellStyle name="Normal 3 2 4 4" xfId="23598"/>
    <cellStyle name="Normal 3 2 4 4 10" xfId="23599"/>
    <cellStyle name="Normal 3 2 4 4 11" xfId="23600"/>
    <cellStyle name="Normal 3 2 4 4 2" xfId="23601"/>
    <cellStyle name="Normal 3 2 4 4 2 2" xfId="23602"/>
    <cellStyle name="Normal 3 2 4 4 2 2 2" xfId="23603"/>
    <cellStyle name="Normal 3 2 4 4 2 2 2 2" xfId="23604"/>
    <cellStyle name="Normal 3 2 4 4 2 2 2 3" xfId="23605"/>
    <cellStyle name="Normal 3 2 4 4 2 2 2 4" xfId="23606"/>
    <cellStyle name="Normal 3 2 4 4 2 2 3" xfId="23607"/>
    <cellStyle name="Normal 3 2 4 4 2 2 3 2" xfId="23608"/>
    <cellStyle name="Normal 3 2 4 4 2 2 4" xfId="23609"/>
    <cellStyle name="Normal 3 2 4 4 2 2 4 2" xfId="23610"/>
    <cellStyle name="Normal 3 2 4 4 2 2 5" xfId="23611"/>
    <cellStyle name="Normal 3 2 4 4 2 2 6" xfId="23612"/>
    <cellStyle name="Normal 3 2 4 4 2 3" xfId="23613"/>
    <cellStyle name="Normal 3 2 4 4 2 3 2" xfId="23614"/>
    <cellStyle name="Normal 3 2 4 4 2 3 2 2" xfId="23615"/>
    <cellStyle name="Normal 3 2 4 4 2 3 2 3" xfId="23616"/>
    <cellStyle name="Normal 3 2 4 4 2 3 3" xfId="23617"/>
    <cellStyle name="Normal 3 2 4 4 2 3 3 2" xfId="23618"/>
    <cellStyle name="Normal 3 2 4 4 2 3 4" xfId="23619"/>
    <cellStyle name="Normal 3 2 4 4 2 3 5" xfId="23620"/>
    <cellStyle name="Normal 3 2 4 4 2 4" xfId="23621"/>
    <cellStyle name="Normal 3 2 4 4 2 4 2" xfId="23622"/>
    <cellStyle name="Normal 3 2 4 4 2 4 2 2" xfId="23623"/>
    <cellStyle name="Normal 3 2 4 4 2 4 3" xfId="23624"/>
    <cellStyle name="Normal 3 2 4 4 2 4 4" xfId="23625"/>
    <cellStyle name="Normal 3 2 4 4 2 5" xfId="23626"/>
    <cellStyle name="Normal 3 2 4 4 2 5 2" xfId="23627"/>
    <cellStyle name="Normal 3 2 4 4 2 5 3" xfId="23628"/>
    <cellStyle name="Normal 3 2 4 4 2 6" xfId="23629"/>
    <cellStyle name="Normal 3 2 4 4 2 6 2" xfId="23630"/>
    <cellStyle name="Normal 3 2 4 4 2 6 3" xfId="23631"/>
    <cellStyle name="Normal 3 2 4 4 2 7" xfId="23632"/>
    <cellStyle name="Normal 3 2 4 4 2 8" xfId="23633"/>
    <cellStyle name="Normal 3 2 4 4 3" xfId="23634"/>
    <cellStyle name="Normal 3 2 4 4 3 2" xfId="23635"/>
    <cellStyle name="Normal 3 2 4 4 3 2 2" xfId="23636"/>
    <cellStyle name="Normal 3 2 4 4 3 2 2 2" xfId="23637"/>
    <cellStyle name="Normal 3 2 4 4 3 2 3" xfId="23638"/>
    <cellStyle name="Normal 3 2 4 4 3 2 4" xfId="23639"/>
    <cellStyle name="Normal 3 2 4 4 3 3" xfId="23640"/>
    <cellStyle name="Normal 3 2 4 4 3 3 2" xfId="23641"/>
    <cellStyle name="Normal 3 2 4 4 3 3 2 2" xfId="23642"/>
    <cellStyle name="Normal 3 2 4 4 3 3 3" xfId="23643"/>
    <cellStyle name="Normal 3 2 4 4 3 4" xfId="23644"/>
    <cellStyle name="Normal 3 2 4 4 3 4 2" xfId="23645"/>
    <cellStyle name="Normal 3 2 4 4 3 4 2 2" xfId="23646"/>
    <cellStyle name="Normal 3 2 4 4 3 4 3" xfId="23647"/>
    <cellStyle name="Normal 3 2 4 4 3 5" xfId="23648"/>
    <cellStyle name="Normal 3 2 4 4 3 5 2" xfId="23649"/>
    <cellStyle name="Normal 3 2 4 4 3 6" xfId="23650"/>
    <cellStyle name="Normal 3 2 4 4 3 7" xfId="23651"/>
    <cellStyle name="Normal 3 2 4 4 4" xfId="23652"/>
    <cellStyle name="Normal 3 2 4 4 4 2" xfId="23653"/>
    <cellStyle name="Normal 3 2 4 4 4 2 2" xfId="23654"/>
    <cellStyle name="Normal 3 2 4 4 4 2 2 2" xfId="23655"/>
    <cellStyle name="Normal 3 2 4 4 4 2 3" xfId="23656"/>
    <cellStyle name="Normal 3 2 4 4 4 3" xfId="23657"/>
    <cellStyle name="Normal 3 2 4 4 4 3 2" xfId="23658"/>
    <cellStyle name="Normal 3 2 4 4 4 3 2 2" xfId="23659"/>
    <cellStyle name="Normal 3 2 4 4 4 3 3" xfId="23660"/>
    <cellStyle name="Normal 3 2 4 4 4 4" xfId="23661"/>
    <cellStyle name="Normal 3 2 4 4 4 4 2" xfId="23662"/>
    <cellStyle name="Normal 3 2 4 4 4 4 3" xfId="23663"/>
    <cellStyle name="Normal 3 2 4 4 4 5" xfId="23664"/>
    <cellStyle name="Normal 3 2 4 4 4 6" xfId="23665"/>
    <cellStyle name="Normal 3 2 4 4 4 7" xfId="23666"/>
    <cellStyle name="Normal 3 2 4 4 5" xfId="23667"/>
    <cellStyle name="Normal 3 2 4 4 5 2" xfId="23668"/>
    <cellStyle name="Normal 3 2 4 4 5 2 2" xfId="23669"/>
    <cellStyle name="Normal 3 2 4 4 5 2 3" xfId="23670"/>
    <cellStyle name="Normal 3 2 4 4 5 3" xfId="23671"/>
    <cellStyle name="Normal 3 2 4 4 5 3 2" xfId="23672"/>
    <cellStyle name="Normal 3 2 4 4 5 3 3" xfId="23673"/>
    <cellStyle name="Normal 3 2 4 4 5 4" xfId="23674"/>
    <cellStyle name="Normal 3 2 4 4 5 5" xfId="23675"/>
    <cellStyle name="Normal 3 2 4 4 5 6" xfId="23676"/>
    <cellStyle name="Normal 3 2 4 4 6" xfId="23677"/>
    <cellStyle name="Normal 3 2 4 4 6 2" xfId="23678"/>
    <cellStyle name="Normal 3 2 4 4 6 2 2" xfId="23679"/>
    <cellStyle name="Normal 3 2 4 4 6 3" xfId="23680"/>
    <cellStyle name="Normal 3 2 4 4 7" xfId="23681"/>
    <cellStyle name="Normal 3 2 4 4 7 2" xfId="23682"/>
    <cellStyle name="Normal 3 2 4 4 7 2 2" xfId="23683"/>
    <cellStyle name="Normal 3 2 4 4 7 3" xfId="23684"/>
    <cellStyle name="Normal 3 2 4 4 8" xfId="23685"/>
    <cellStyle name="Normal 3 2 4 4 8 2" xfId="23686"/>
    <cellStyle name="Normal 3 2 4 4 8 3" xfId="23687"/>
    <cellStyle name="Normal 3 2 4 4 9" xfId="23688"/>
    <cellStyle name="Normal 3 2 4 5" xfId="23689"/>
    <cellStyle name="Normal 3 2 4 5 2" xfId="23690"/>
    <cellStyle name="Normal 3 2 4 5 2 2" xfId="23691"/>
    <cellStyle name="Normal 3 2 4 5 2 2 2" xfId="23692"/>
    <cellStyle name="Normal 3 2 4 5 2 2 3" xfId="23693"/>
    <cellStyle name="Normal 3 2 4 5 2 2 4" xfId="23694"/>
    <cellStyle name="Normal 3 2 4 5 2 3" xfId="23695"/>
    <cellStyle name="Normal 3 2 4 5 2 3 2" xfId="23696"/>
    <cellStyle name="Normal 3 2 4 5 2 4" xfId="23697"/>
    <cellStyle name="Normal 3 2 4 5 2 4 2" xfId="23698"/>
    <cellStyle name="Normal 3 2 4 5 2 5" xfId="23699"/>
    <cellStyle name="Normal 3 2 4 5 2 6" xfId="23700"/>
    <cellStyle name="Normal 3 2 4 5 3" xfId="23701"/>
    <cellStyle name="Normal 3 2 4 5 3 2" xfId="23702"/>
    <cellStyle name="Normal 3 2 4 5 3 2 2" xfId="23703"/>
    <cellStyle name="Normal 3 2 4 5 3 2 3" xfId="23704"/>
    <cellStyle name="Normal 3 2 4 5 3 3" xfId="23705"/>
    <cellStyle name="Normal 3 2 4 5 3 3 2" xfId="23706"/>
    <cellStyle name="Normal 3 2 4 5 3 4" xfId="23707"/>
    <cellStyle name="Normal 3 2 4 5 3 5" xfId="23708"/>
    <cellStyle name="Normal 3 2 4 5 4" xfId="23709"/>
    <cellStyle name="Normal 3 2 4 5 4 2" xfId="23710"/>
    <cellStyle name="Normal 3 2 4 5 4 2 2" xfId="23711"/>
    <cellStyle name="Normal 3 2 4 5 4 3" xfId="23712"/>
    <cellStyle name="Normal 3 2 4 5 4 4" xfId="23713"/>
    <cellStyle name="Normal 3 2 4 5 5" xfId="23714"/>
    <cellStyle name="Normal 3 2 4 5 5 2" xfId="23715"/>
    <cellStyle name="Normal 3 2 4 5 5 3" xfId="23716"/>
    <cellStyle name="Normal 3 2 4 5 6" xfId="23717"/>
    <cellStyle name="Normal 3 2 4 5 6 2" xfId="23718"/>
    <cellStyle name="Normal 3 2 4 5 6 3" xfId="23719"/>
    <cellStyle name="Normal 3 2 4 5 7" xfId="23720"/>
    <cellStyle name="Normal 3 2 4 5 8" xfId="23721"/>
    <cellStyle name="Normal 3 2 4 6" xfId="23722"/>
    <cellStyle name="Normal 3 2 4 6 2" xfId="23723"/>
    <cellStyle name="Normal 3 2 4 6 2 2" xfId="23724"/>
    <cellStyle name="Normal 3 2 4 6 2 2 2" xfId="23725"/>
    <cellStyle name="Normal 3 2 4 6 2 2 3" xfId="23726"/>
    <cellStyle name="Normal 3 2 4 6 2 2 4" xfId="23727"/>
    <cellStyle name="Normal 3 2 4 6 2 3" xfId="23728"/>
    <cellStyle name="Normal 3 2 4 6 2 3 2" xfId="23729"/>
    <cellStyle name="Normal 3 2 4 6 2 4" xfId="23730"/>
    <cellStyle name="Normal 3 2 4 6 2 4 2" xfId="23731"/>
    <cellStyle name="Normal 3 2 4 6 2 5" xfId="23732"/>
    <cellStyle name="Normal 3 2 4 6 2 6" xfId="23733"/>
    <cellStyle name="Normal 3 2 4 6 3" xfId="23734"/>
    <cellStyle name="Normal 3 2 4 6 3 2" xfId="23735"/>
    <cellStyle name="Normal 3 2 4 6 3 2 2" xfId="23736"/>
    <cellStyle name="Normal 3 2 4 6 3 2 3" xfId="23737"/>
    <cellStyle name="Normal 3 2 4 6 3 3" xfId="23738"/>
    <cellStyle name="Normal 3 2 4 6 3 3 2" xfId="23739"/>
    <cellStyle name="Normal 3 2 4 6 3 4" xfId="23740"/>
    <cellStyle name="Normal 3 2 4 6 3 5" xfId="23741"/>
    <cellStyle name="Normal 3 2 4 6 4" xfId="23742"/>
    <cellStyle name="Normal 3 2 4 6 4 2" xfId="23743"/>
    <cellStyle name="Normal 3 2 4 6 4 2 2" xfId="23744"/>
    <cellStyle name="Normal 3 2 4 6 4 3" xfId="23745"/>
    <cellStyle name="Normal 3 2 4 6 4 4" xfId="23746"/>
    <cellStyle name="Normal 3 2 4 6 5" xfId="23747"/>
    <cellStyle name="Normal 3 2 4 6 5 2" xfId="23748"/>
    <cellStyle name="Normal 3 2 4 6 5 3" xfId="23749"/>
    <cellStyle name="Normal 3 2 4 6 6" xfId="23750"/>
    <cellStyle name="Normal 3 2 4 6 6 2" xfId="23751"/>
    <cellStyle name="Normal 3 2 4 6 6 3" xfId="23752"/>
    <cellStyle name="Normal 3 2 4 6 7" xfId="23753"/>
    <cellStyle name="Normal 3 2 4 6 8" xfId="23754"/>
    <cellStyle name="Normal 3 2 4 7" xfId="23755"/>
    <cellStyle name="Normal 3 2 4 7 2" xfId="23756"/>
    <cellStyle name="Normal 3 2 4 7 2 2" xfId="23757"/>
    <cellStyle name="Normal 3 2 4 7 2 2 2" xfId="23758"/>
    <cellStyle name="Normal 3 2 4 7 2 2 3" xfId="23759"/>
    <cellStyle name="Normal 3 2 4 7 2 3" xfId="23760"/>
    <cellStyle name="Normal 3 2 4 7 2 3 2" xfId="23761"/>
    <cellStyle name="Normal 3 2 4 7 2 4" xfId="23762"/>
    <cellStyle name="Normal 3 2 4 7 2 5" xfId="23763"/>
    <cellStyle name="Normal 3 2 4 7 3" xfId="23764"/>
    <cellStyle name="Normal 3 2 4 7 3 2" xfId="23765"/>
    <cellStyle name="Normal 3 2 4 7 3 2 2" xfId="23766"/>
    <cellStyle name="Normal 3 2 4 7 3 3" xfId="23767"/>
    <cellStyle name="Normal 3 2 4 7 3 4" xfId="23768"/>
    <cellStyle name="Normal 3 2 4 7 4" xfId="23769"/>
    <cellStyle name="Normal 3 2 4 7 4 2" xfId="23770"/>
    <cellStyle name="Normal 3 2 4 7 4 2 2" xfId="23771"/>
    <cellStyle name="Normal 3 2 4 7 4 3" xfId="23772"/>
    <cellStyle name="Normal 3 2 4 7 5" xfId="23773"/>
    <cellStyle name="Normal 3 2 4 7 5 2" xfId="23774"/>
    <cellStyle name="Normal 3 2 4 7 5 3" xfId="23775"/>
    <cellStyle name="Normal 3 2 4 7 6" xfId="23776"/>
    <cellStyle name="Normal 3 2 4 7 6 2" xfId="23777"/>
    <cellStyle name="Normal 3 2 4 7 7" xfId="23778"/>
    <cellStyle name="Normal 3 2 4 8" xfId="23779"/>
    <cellStyle name="Normal 3 2 4 8 2" xfId="23780"/>
    <cellStyle name="Normal 3 2 4 8 2 2" xfId="23781"/>
    <cellStyle name="Normal 3 2 4 8 2 2 2" xfId="23782"/>
    <cellStyle name="Normal 3 2 4 8 2 3" xfId="23783"/>
    <cellStyle name="Normal 3 2 4 8 3" xfId="23784"/>
    <cellStyle name="Normal 3 2 4 8 3 2" xfId="23785"/>
    <cellStyle name="Normal 3 2 4 8 3 2 2" xfId="23786"/>
    <cellStyle name="Normal 3 2 4 8 3 3" xfId="23787"/>
    <cellStyle name="Normal 3 2 4 8 4" xfId="23788"/>
    <cellStyle name="Normal 3 2 4 8 4 2" xfId="23789"/>
    <cellStyle name="Normal 3 2 4 8 5" xfId="23790"/>
    <cellStyle name="Normal 3 2 4 8 6" xfId="23791"/>
    <cellStyle name="Normal 3 2 4 9" xfId="23792"/>
    <cellStyle name="Normal 3 2 4 9 2" xfId="23793"/>
    <cellStyle name="Normal 3 2 4 9 2 2" xfId="23794"/>
    <cellStyle name="Normal 3 2 4 9 2 3" xfId="23795"/>
    <cellStyle name="Normal 3 2 4 9 3" xfId="23796"/>
    <cellStyle name="Normal 3 2 4 9 3 2" xfId="23797"/>
    <cellStyle name="Normal 3 2 4 9 4" xfId="23798"/>
    <cellStyle name="Normal 3 2 4 9 5" xfId="23799"/>
    <cellStyle name="Normal 3 2 5" xfId="23800"/>
    <cellStyle name="Normal 3 2 5 10" xfId="23801"/>
    <cellStyle name="Normal 3 2 5 10 2" xfId="23802"/>
    <cellStyle name="Normal 3 2 5 10 2 2" xfId="23803"/>
    <cellStyle name="Normal 3 2 5 10 3" xfId="23804"/>
    <cellStyle name="Normal 3 2 5 11" xfId="23805"/>
    <cellStyle name="Normal 3 2 5 11 2" xfId="23806"/>
    <cellStyle name="Normal 3 2 5 11 3" xfId="23807"/>
    <cellStyle name="Normal 3 2 5 12" xfId="23808"/>
    <cellStyle name="Normal 3 2 5 13" xfId="23809"/>
    <cellStyle name="Normal 3 2 5 14" xfId="23810"/>
    <cellStyle name="Normal 3 2 5 2" xfId="23811"/>
    <cellStyle name="Normal 3 2 5 2 10" xfId="23812"/>
    <cellStyle name="Normal 3 2 5 2 11" xfId="23813"/>
    <cellStyle name="Normal 3 2 5 2 12" xfId="23814"/>
    <cellStyle name="Normal 3 2 5 2 2" xfId="23815"/>
    <cellStyle name="Normal 3 2 5 2 2 2" xfId="23816"/>
    <cellStyle name="Normal 3 2 5 2 2 2 2" xfId="23817"/>
    <cellStyle name="Normal 3 2 5 2 2 2 2 2" xfId="23818"/>
    <cellStyle name="Normal 3 2 5 2 2 2 2 3" xfId="23819"/>
    <cellStyle name="Normal 3 2 5 2 2 2 2 4" xfId="23820"/>
    <cellStyle name="Normal 3 2 5 2 2 2 3" xfId="23821"/>
    <cellStyle name="Normal 3 2 5 2 2 2 3 2" xfId="23822"/>
    <cellStyle name="Normal 3 2 5 2 2 2 4" xfId="23823"/>
    <cellStyle name="Normal 3 2 5 2 2 2 4 2" xfId="23824"/>
    <cellStyle name="Normal 3 2 5 2 2 2 5" xfId="23825"/>
    <cellStyle name="Normal 3 2 5 2 2 2 6" xfId="23826"/>
    <cellStyle name="Normal 3 2 5 2 2 3" xfId="23827"/>
    <cellStyle name="Normal 3 2 5 2 2 3 2" xfId="23828"/>
    <cellStyle name="Normal 3 2 5 2 2 3 2 2" xfId="23829"/>
    <cellStyle name="Normal 3 2 5 2 2 3 2 3" xfId="23830"/>
    <cellStyle name="Normal 3 2 5 2 2 3 3" xfId="23831"/>
    <cellStyle name="Normal 3 2 5 2 2 3 3 2" xfId="23832"/>
    <cellStyle name="Normal 3 2 5 2 2 3 4" xfId="23833"/>
    <cellStyle name="Normal 3 2 5 2 2 3 5" xfId="23834"/>
    <cellStyle name="Normal 3 2 5 2 2 4" xfId="23835"/>
    <cellStyle name="Normal 3 2 5 2 2 4 2" xfId="23836"/>
    <cellStyle name="Normal 3 2 5 2 2 4 2 2" xfId="23837"/>
    <cellStyle name="Normal 3 2 5 2 2 4 3" xfId="23838"/>
    <cellStyle name="Normal 3 2 5 2 2 4 4" xfId="23839"/>
    <cellStyle name="Normal 3 2 5 2 2 5" xfId="23840"/>
    <cellStyle name="Normal 3 2 5 2 2 5 2" xfId="23841"/>
    <cellStyle name="Normal 3 2 5 2 2 5 3" xfId="23842"/>
    <cellStyle name="Normal 3 2 5 2 2 6" xfId="23843"/>
    <cellStyle name="Normal 3 2 5 2 2 6 2" xfId="23844"/>
    <cellStyle name="Normal 3 2 5 2 2 6 3" xfId="23845"/>
    <cellStyle name="Normal 3 2 5 2 2 7" xfId="23846"/>
    <cellStyle name="Normal 3 2 5 2 2 8" xfId="23847"/>
    <cellStyle name="Normal 3 2 5 2 3" xfId="23848"/>
    <cellStyle name="Normal 3 2 5 2 3 2" xfId="23849"/>
    <cellStyle name="Normal 3 2 5 2 3 2 2" xfId="23850"/>
    <cellStyle name="Normal 3 2 5 2 3 2 2 2" xfId="23851"/>
    <cellStyle name="Normal 3 2 5 2 3 2 3" xfId="23852"/>
    <cellStyle name="Normal 3 2 5 2 3 2 4" xfId="23853"/>
    <cellStyle name="Normal 3 2 5 2 3 3" xfId="23854"/>
    <cellStyle name="Normal 3 2 5 2 3 3 2" xfId="23855"/>
    <cellStyle name="Normal 3 2 5 2 3 3 2 2" xfId="23856"/>
    <cellStyle name="Normal 3 2 5 2 3 3 3" xfId="23857"/>
    <cellStyle name="Normal 3 2 5 2 3 4" xfId="23858"/>
    <cellStyle name="Normal 3 2 5 2 3 4 2" xfId="23859"/>
    <cellStyle name="Normal 3 2 5 2 3 4 2 2" xfId="23860"/>
    <cellStyle name="Normal 3 2 5 2 3 4 3" xfId="23861"/>
    <cellStyle name="Normal 3 2 5 2 3 5" xfId="23862"/>
    <cellStyle name="Normal 3 2 5 2 3 5 2" xfId="23863"/>
    <cellStyle name="Normal 3 2 5 2 3 6" xfId="23864"/>
    <cellStyle name="Normal 3 2 5 2 3 7" xfId="23865"/>
    <cellStyle name="Normal 3 2 5 2 4" xfId="23866"/>
    <cellStyle name="Normal 3 2 5 2 4 2" xfId="23867"/>
    <cellStyle name="Normal 3 2 5 2 4 2 2" xfId="23868"/>
    <cellStyle name="Normal 3 2 5 2 4 2 2 2" xfId="23869"/>
    <cellStyle name="Normal 3 2 5 2 4 2 3" xfId="23870"/>
    <cellStyle name="Normal 3 2 5 2 4 3" xfId="23871"/>
    <cellStyle name="Normal 3 2 5 2 4 3 2" xfId="23872"/>
    <cellStyle name="Normal 3 2 5 2 4 3 2 2" xfId="23873"/>
    <cellStyle name="Normal 3 2 5 2 4 3 3" xfId="23874"/>
    <cellStyle name="Normal 3 2 5 2 4 4" xfId="23875"/>
    <cellStyle name="Normal 3 2 5 2 4 4 2" xfId="23876"/>
    <cellStyle name="Normal 3 2 5 2 4 4 3" xfId="23877"/>
    <cellStyle name="Normal 3 2 5 2 4 5" xfId="23878"/>
    <cellStyle name="Normal 3 2 5 2 4 6" xfId="23879"/>
    <cellStyle name="Normal 3 2 5 2 4 7" xfId="23880"/>
    <cellStyle name="Normal 3 2 5 2 5" xfId="23881"/>
    <cellStyle name="Normal 3 2 5 2 5 2" xfId="23882"/>
    <cellStyle name="Normal 3 2 5 2 5 2 2" xfId="23883"/>
    <cellStyle name="Normal 3 2 5 2 5 2 3" xfId="23884"/>
    <cellStyle name="Normal 3 2 5 2 5 3" xfId="23885"/>
    <cellStyle name="Normal 3 2 5 2 5 3 2" xfId="23886"/>
    <cellStyle name="Normal 3 2 5 2 5 3 3" xfId="23887"/>
    <cellStyle name="Normal 3 2 5 2 5 4" xfId="23888"/>
    <cellStyle name="Normal 3 2 5 2 5 4 2" xfId="23889"/>
    <cellStyle name="Normal 3 2 5 2 5 5" xfId="23890"/>
    <cellStyle name="Normal 3 2 5 2 5 6" xfId="23891"/>
    <cellStyle name="Normal 3 2 5 2 5 7" xfId="23892"/>
    <cellStyle name="Normal 3 2 5 2 6" xfId="23893"/>
    <cellStyle name="Normal 3 2 5 2 6 2" xfId="23894"/>
    <cellStyle name="Normal 3 2 5 2 6 2 2" xfId="23895"/>
    <cellStyle name="Normal 3 2 5 2 6 2 3" xfId="23896"/>
    <cellStyle name="Normal 3 2 5 2 6 3" xfId="23897"/>
    <cellStyle name="Normal 3 2 5 2 6 3 2" xfId="23898"/>
    <cellStyle name="Normal 3 2 5 2 6 4" xfId="23899"/>
    <cellStyle name="Normal 3 2 5 2 6 5" xfId="23900"/>
    <cellStyle name="Normal 3 2 5 2 6 6" xfId="23901"/>
    <cellStyle name="Normal 3 2 5 2 7" xfId="23902"/>
    <cellStyle name="Normal 3 2 5 2 7 2" xfId="23903"/>
    <cellStyle name="Normal 3 2 5 2 7 2 2" xfId="23904"/>
    <cellStyle name="Normal 3 2 5 2 7 3" xfId="23905"/>
    <cellStyle name="Normal 3 2 5 2 8" xfId="23906"/>
    <cellStyle name="Normal 3 2 5 2 8 2" xfId="23907"/>
    <cellStyle name="Normal 3 2 5 2 8 3" xfId="23908"/>
    <cellStyle name="Normal 3 2 5 2 9" xfId="23909"/>
    <cellStyle name="Normal 3 2 5 2 9 2" xfId="23910"/>
    <cellStyle name="Normal 3 2 5 3" xfId="23911"/>
    <cellStyle name="Normal 3 2 5 3 10" xfId="23912"/>
    <cellStyle name="Normal 3 2 5 3 11" xfId="23913"/>
    <cellStyle name="Normal 3 2 5 3 2" xfId="23914"/>
    <cellStyle name="Normal 3 2 5 3 2 2" xfId="23915"/>
    <cellStyle name="Normal 3 2 5 3 2 2 2" xfId="23916"/>
    <cellStyle name="Normal 3 2 5 3 2 2 2 2" xfId="23917"/>
    <cellStyle name="Normal 3 2 5 3 2 2 3" xfId="23918"/>
    <cellStyle name="Normal 3 2 5 3 2 2 4" xfId="23919"/>
    <cellStyle name="Normal 3 2 5 3 2 3" xfId="23920"/>
    <cellStyle name="Normal 3 2 5 3 2 3 2" xfId="23921"/>
    <cellStyle name="Normal 3 2 5 3 2 3 2 2" xfId="23922"/>
    <cellStyle name="Normal 3 2 5 3 2 3 3" xfId="23923"/>
    <cellStyle name="Normal 3 2 5 3 2 4" xfId="23924"/>
    <cellStyle name="Normal 3 2 5 3 2 4 2" xfId="23925"/>
    <cellStyle name="Normal 3 2 5 3 2 4 2 2" xfId="23926"/>
    <cellStyle name="Normal 3 2 5 3 2 4 3" xfId="23927"/>
    <cellStyle name="Normal 3 2 5 3 2 5" xfId="23928"/>
    <cellStyle name="Normal 3 2 5 3 2 5 2" xfId="23929"/>
    <cellStyle name="Normal 3 2 5 3 2 6" xfId="23930"/>
    <cellStyle name="Normal 3 2 5 3 2 7" xfId="23931"/>
    <cellStyle name="Normal 3 2 5 3 3" xfId="23932"/>
    <cellStyle name="Normal 3 2 5 3 3 2" xfId="23933"/>
    <cellStyle name="Normal 3 2 5 3 3 2 2" xfId="23934"/>
    <cellStyle name="Normal 3 2 5 3 3 2 2 2" xfId="23935"/>
    <cellStyle name="Normal 3 2 5 3 3 2 3" xfId="23936"/>
    <cellStyle name="Normal 3 2 5 3 3 3" xfId="23937"/>
    <cellStyle name="Normal 3 2 5 3 3 3 2" xfId="23938"/>
    <cellStyle name="Normal 3 2 5 3 3 3 2 2" xfId="23939"/>
    <cellStyle name="Normal 3 2 5 3 3 3 3" xfId="23940"/>
    <cellStyle name="Normal 3 2 5 3 3 4" xfId="23941"/>
    <cellStyle name="Normal 3 2 5 3 3 4 2" xfId="23942"/>
    <cellStyle name="Normal 3 2 5 3 3 4 3" xfId="23943"/>
    <cellStyle name="Normal 3 2 5 3 3 5" xfId="23944"/>
    <cellStyle name="Normal 3 2 5 3 3 6" xfId="23945"/>
    <cellStyle name="Normal 3 2 5 3 3 7" xfId="23946"/>
    <cellStyle name="Normal 3 2 5 3 4" xfId="23947"/>
    <cellStyle name="Normal 3 2 5 3 4 2" xfId="23948"/>
    <cellStyle name="Normal 3 2 5 3 4 2 2" xfId="23949"/>
    <cellStyle name="Normal 3 2 5 3 4 2 3" xfId="23950"/>
    <cellStyle name="Normal 3 2 5 3 4 3" xfId="23951"/>
    <cellStyle name="Normal 3 2 5 3 4 3 2" xfId="23952"/>
    <cellStyle name="Normal 3 2 5 3 4 3 3" xfId="23953"/>
    <cellStyle name="Normal 3 2 5 3 4 4" xfId="23954"/>
    <cellStyle name="Normal 3 2 5 3 4 4 2" xfId="23955"/>
    <cellStyle name="Normal 3 2 5 3 4 5" xfId="23956"/>
    <cellStyle name="Normal 3 2 5 3 4 6" xfId="23957"/>
    <cellStyle name="Normal 3 2 5 3 4 7" xfId="23958"/>
    <cellStyle name="Normal 3 2 5 3 5" xfId="23959"/>
    <cellStyle name="Normal 3 2 5 3 5 2" xfId="23960"/>
    <cellStyle name="Normal 3 2 5 3 5 2 2" xfId="23961"/>
    <cellStyle name="Normal 3 2 5 3 5 2 3" xfId="23962"/>
    <cellStyle name="Normal 3 2 5 3 5 3" xfId="23963"/>
    <cellStyle name="Normal 3 2 5 3 5 3 2" xfId="23964"/>
    <cellStyle name="Normal 3 2 5 3 5 4" xfId="23965"/>
    <cellStyle name="Normal 3 2 5 3 5 5" xfId="23966"/>
    <cellStyle name="Normal 3 2 5 3 5 6" xfId="23967"/>
    <cellStyle name="Normal 3 2 5 3 6" xfId="23968"/>
    <cellStyle name="Normal 3 2 5 3 6 2" xfId="23969"/>
    <cellStyle name="Normal 3 2 5 3 6 2 2" xfId="23970"/>
    <cellStyle name="Normal 3 2 5 3 6 3" xfId="23971"/>
    <cellStyle name="Normal 3 2 5 3 7" xfId="23972"/>
    <cellStyle name="Normal 3 2 5 3 7 2" xfId="23973"/>
    <cellStyle name="Normal 3 2 5 3 7 3" xfId="23974"/>
    <cellStyle name="Normal 3 2 5 3 8" xfId="23975"/>
    <cellStyle name="Normal 3 2 5 3 8 2" xfId="23976"/>
    <cellStyle name="Normal 3 2 5 3 9" xfId="23977"/>
    <cellStyle name="Normal 3 2 5 4" xfId="23978"/>
    <cellStyle name="Normal 3 2 5 4 10" xfId="23979"/>
    <cellStyle name="Normal 3 2 5 4 11" xfId="23980"/>
    <cellStyle name="Normal 3 2 5 4 2" xfId="23981"/>
    <cellStyle name="Normal 3 2 5 4 2 2" xfId="23982"/>
    <cellStyle name="Normal 3 2 5 4 2 2 2" xfId="23983"/>
    <cellStyle name="Normal 3 2 5 4 2 2 2 2" xfId="23984"/>
    <cellStyle name="Normal 3 2 5 4 2 2 3" xfId="23985"/>
    <cellStyle name="Normal 3 2 5 4 2 2 4" xfId="23986"/>
    <cellStyle name="Normal 3 2 5 4 2 3" xfId="23987"/>
    <cellStyle name="Normal 3 2 5 4 2 3 2" xfId="23988"/>
    <cellStyle name="Normal 3 2 5 4 2 3 2 2" xfId="23989"/>
    <cellStyle name="Normal 3 2 5 4 2 3 3" xfId="23990"/>
    <cellStyle name="Normal 3 2 5 4 2 4" xfId="23991"/>
    <cellStyle name="Normal 3 2 5 4 2 4 2" xfId="23992"/>
    <cellStyle name="Normal 3 2 5 4 2 4 2 2" xfId="23993"/>
    <cellStyle name="Normal 3 2 5 4 2 4 3" xfId="23994"/>
    <cellStyle name="Normal 3 2 5 4 2 5" xfId="23995"/>
    <cellStyle name="Normal 3 2 5 4 2 5 2" xfId="23996"/>
    <cellStyle name="Normal 3 2 5 4 2 6" xfId="23997"/>
    <cellStyle name="Normal 3 2 5 4 2 7" xfId="23998"/>
    <cellStyle name="Normal 3 2 5 4 3" xfId="23999"/>
    <cellStyle name="Normal 3 2 5 4 3 2" xfId="24000"/>
    <cellStyle name="Normal 3 2 5 4 3 2 2" xfId="24001"/>
    <cellStyle name="Normal 3 2 5 4 3 2 2 2" xfId="24002"/>
    <cellStyle name="Normal 3 2 5 4 3 2 3" xfId="24003"/>
    <cellStyle name="Normal 3 2 5 4 3 3" xfId="24004"/>
    <cellStyle name="Normal 3 2 5 4 3 3 2" xfId="24005"/>
    <cellStyle name="Normal 3 2 5 4 3 3 2 2" xfId="24006"/>
    <cellStyle name="Normal 3 2 5 4 3 3 3" xfId="24007"/>
    <cellStyle name="Normal 3 2 5 4 3 4" xfId="24008"/>
    <cellStyle name="Normal 3 2 5 4 3 4 2" xfId="24009"/>
    <cellStyle name="Normal 3 2 5 4 3 4 3" xfId="24010"/>
    <cellStyle name="Normal 3 2 5 4 3 5" xfId="24011"/>
    <cellStyle name="Normal 3 2 5 4 3 6" xfId="24012"/>
    <cellStyle name="Normal 3 2 5 4 3 7" xfId="24013"/>
    <cellStyle name="Normal 3 2 5 4 4" xfId="24014"/>
    <cellStyle name="Normal 3 2 5 4 4 2" xfId="24015"/>
    <cellStyle name="Normal 3 2 5 4 4 2 2" xfId="24016"/>
    <cellStyle name="Normal 3 2 5 4 4 2 3" xfId="24017"/>
    <cellStyle name="Normal 3 2 5 4 4 3" xfId="24018"/>
    <cellStyle name="Normal 3 2 5 4 4 3 2" xfId="24019"/>
    <cellStyle name="Normal 3 2 5 4 4 3 3" xfId="24020"/>
    <cellStyle name="Normal 3 2 5 4 4 4" xfId="24021"/>
    <cellStyle name="Normal 3 2 5 4 4 4 2" xfId="24022"/>
    <cellStyle name="Normal 3 2 5 4 4 5" xfId="24023"/>
    <cellStyle name="Normal 3 2 5 4 4 6" xfId="24024"/>
    <cellStyle name="Normal 3 2 5 4 4 7" xfId="24025"/>
    <cellStyle name="Normal 3 2 5 4 5" xfId="24026"/>
    <cellStyle name="Normal 3 2 5 4 5 2" xfId="24027"/>
    <cellStyle name="Normal 3 2 5 4 5 2 2" xfId="24028"/>
    <cellStyle name="Normal 3 2 5 4 5 2 3" xfId="24029"/>
    <cellStyle name="Normal 3 2 5 4 5 3" xfId="24030"/>
    <cellStyle name="Normal 3 2 5 4 5 3 2" xfId="24031"/>
    <cellStyle name="Normal 3 2 5 4 5 4" xfId="24032"/>
    <cellStyle name="Normal 3 2 5 4 5 5" xfId="24033"/>
    <cellStyle name="Normal 3 2 5 4 5 6" xfId="24034"/>
    <cellStyle name="Normal 3 2 5 4 6" xfId="24035"/>
    <cellStyle name="Normal 3 2 5 4 6 2" xfId="24036"/>
    <cellStyle name="Normal 3 2 5 4 6 2 2" xfId="24037"/>
    <cellStyle name="Normal 3 2 5 4 6 3" xfId="24038"/>
    <cellStyle name="Normal 3 2 5 4 7" xfId="24039"/>
    <cellStyle name="Normal 3 2 5 4 7 2" xfId="24040"/>
    <cellStyle name="Normal 3 2 5 4 7 3" xfId="24041"/>
    <cellStyle name="Normal 3 2 5 4 8" xfId="24042"/>
    <cellStyle name="Normal 3 2 5 4 8 2" xfId="24043"/>
    <cellStyle name="Normal 3 2 5 4 9" xfId="24044"/>
    <cellStyle name="Normal 3 2 5 5" xfId="24045"/>
    <cellStyle name="Normal 3 2 5 5 2" xfId="24046"/>
    <cellStyle name="Normal 3 2 5 5 2 2" xfId="24047"/>
    <cellStyle name="Normal 3 2 5 5 2 2 2" xfId="24048"/>
    <cellStyle name="Normal 3 2 5 5 2 2 3" xfId="24049"/>
    <cellStyle name="Normal 3 2 5 5 2 3" xfId="24050"/>
    <cellStyle name="Normal 3 2 5 5 2 3 2" xfId="24051"/>
    <cellStyle name="Normal 3 2 5 5 2 4" xfId="24052"/>
    <cellStyle name="Normal 3 2 5 5 2 5" xfId="24053"/>
    <cellStyle name="Normal 3 2 5 5 3" xfId="24054"/>
    <cellStyle name="Normal 3 2 5 5 3 2" xfId="24055"/>
    <cellStyle name="Normal 3 2 5 5 3 2 2" xfId="24056"/>
    <cellStyle name="Normal 3 2 5 5 3 3" xfId="24057"/>
    <cellStyle name="Normal 3 2 5 5 3 4" xfId="24058"/>
    <cellStyle name="Normal 3 2 5 5 4" xfId="24059"/>
    <cellStyle name="Normal 3 2 5 5 4 2" xfId="24060"/>
    <cellStyle name="Normal 3 2 5 5 4 2 2" xfId="24061"/>
    <cellStyle name="Normal 3 2 5 5 4 3" xfId="24062"/>
    <cellStyle name="Normal 3 2 5 5 5" xfId="24063"/>
    <cellStyle name="Normal 3 2 5 5 5 2" xfId="24064"/>
    <cellStyle name="Normal 3 2 5 5 5 3" xfId="24065"/>
    <cellStyle name="Normal 3 2 5 5 6" xfId="24066"/>
    <cellStyle name="Normal 3 2 5 5 6 2" xfId="24067"/>
    <cellStyle name="Normal 3 2 5 5 7" xfId="24068"/>
    <cellStyle name="Normal 3 2 5 6" xfId="24069"/>
    <cellStyle name="Normal 3 2 5 6 2" xfId="24070"/>
    <cellStyle name="Normal 3 2 5 6 2 2" xfId="24071"/>
    <cellStyle name="Normal 3 2 5 6 2 2 2" xfId="24072"/>
    <cellStyle name="Normal 3 2 5 6 2 3" xfId="24073"/>
    <cellStyle name="Normal 3 2 5 6 3" xfId="24074"/>
    <cellStyle name="Normal 3 2 5 6 3 2" xfId="24075"/>
    <cellStyle name="Normal 3 2 5 6 3 2 2" xfId="24076"/>
    <cellStyle name="Normal 3 2 5 6 3 3" xfId="24077"/>
    <cellStyle name="Normal 3 2 5 6 4" xfId="24078"/>
    <cellStyle name="Normal 3 2 5 6 4 2" xfId="24079"/>
    <cellStyle name="Normal 3 2 5 6 4 3" xfId="24080"/>
    <cellStyle name="Normal 3 2 5 6 5" xfId="24081"/>
    <cellStyle name="Normal 3 2 5 6 6" xfId="24082"/>
    <cellStyle name="Normal 3 2 5 6 7" xfId="24083"/>
    <cellStyle name="Normal 3 2 5 7" xfId="24084"/>
    <cellStyle name="Normal 3 2 5 7 2" xfId="24085"/>
    <cellStyle name="Normal 3 2 5 7 2 2" xfId="24086"/>
    <cellStyle name="Normal 3 2 5 7 2 2 2" xfId="24087"/>
    <cellStyle name="Normal 3 2 5 7 2 3" xfId="24088"/>
    <cellStyle name="Normal 3 2 5 7 3" xfId="24089"/>
    <cellStyle name="Normal 3 2 5 7 3 2" xfId="24090"/>
    <cellStyle name="Normal 3 2 5 7 3 2 2" xfId="24091"/>
    <cellStyle name="Normal 3 2 5 7 3 3" xfId="24092"/>
    <cellStyle name="Normal 3 2 5 7 4" xfId="24093"/>
    <cellStyle name="Normal 3 2 5 7 4 2" xfId="24094"/>
    <cellStyle name="Normal 3 2 5 7 4 3" xfId="24095"/>
    <cellStyle name="Normal 3 2 5 7 5" xfId="24096"/>
    <cellStyle name="Normal 3 2 5 7 6" xfId="24097"/>
    <cellStyle name="Normal 3 2 5 7 7" xfId="24098"/>
    <cellStyle name="Normal 3 2 5 8" xfId="24099"/>
    <cellStyle name="Normal 3 2 5 8 2" xfId="24100"/>
    <cellStyle name="Normal 3 2 5 8 2 2" xfId="24101"/>
    <cellStyle name="Normal 3 2 5 8 2 3" xfId="24102"/>
    <cellStyle name="Normal 3 2 5 8 3" xfId="24103"/>
    <cellStyle name="Normal 3 2 5 8 3 2" xfId="24104"/>
    <cellStyle name="Normal 3 2 5 8 3 3" xfId="24105"/>
    <cellStyle name="Normal 3 2 5 8 4" xfId="24106"/>
    <cellStyle name="Normal 3 2 5 8 5" xfId="24107"/>
    <cellStyle name="Normal 3 2 5 8 6" xfId="24108"/>
    <cellStyle name="Normal 3 2 5 9" xfId="24109"/>
    <cellStyle name="Normal 3 2 5 9 2" xfId="24110"/>
    <cellStyle name="Normal 3 2 5 9 2 2" xfId="24111"/>
    <cellStyle name="Normal 3 2 5 9 3" xfId="24112"/>
    <cellStyle name="Normal 3 2 6" xfId="24113"/>
    <cellStyle name="Normal 3 2 6 10" xfId="24114"/>
    <cellStyle name="Normal 3 2 6 10 2" xfId="24115"/>
    <cellStyle name="Normal 3 2 6 10 2 2" xfId="24116"/>
    <cellStyle name="Normal 3 2 6 10 3" xfId="24117"/>
    <cellStyle name="Normal 3 2 6 11" xfId="24118"/>
    <cellStyle name="Normal 3 2 6 11 2" xfId="24119"/>
    <cellStyle name="Normal 3 2 6 12" xfId="24120"/>
    <cellStyle name="Normal 3 2 6 13" xfId="24121"/>
    <cellStyle name="Normal 3 2 6 2" xfId="24122"/>
    <cellStyle name="Normal 3 2 6 2 10" xfId="24123"/>
    <cellStyle name="Normal 3 2 6 2 11" xfId="24124"/>
    <cellStyle name="Normal 3 2 6 2 2" xfId="24125"/>
    <cellStyle name="Normal 3 2 6 2 2 2" xfId="24126"/>
    <cellStyle name="Normal 3 2 6 2 2 2 2" xfId="24127"/>
    <cellStyle name="Normal 3 2 6 2 2 2 2 2" xfId="24128"/>
    <cellStyle name="Normal 3 2 6 2 2 2 2 3" xfId="24129"/>
    <cellStyle name="Normal 3 2 6 2 2 2 2 4" xfId="24130"/>
    <cellStyle name="Normal 3 2 6 2 2 2 3" xfId="24131"/>
    <cellStyle name="Normal 3 2 6 2 2 2 3 2" xfId="24132"/>
    <cellStyle name="Normal 3 2 6 2 2 2 4" xfId="24133"/>
    <cellStyle name="Normal 3 2 6 2 2 2 4 2" xfId="24134"/>
    <cellStyle name="Normal 3 2 6 2 2 2 5" xfId="24135"/>
    <cellStyle name="Normal 3 2 6 2 2 2 6" xfId="24136"/>
    <cellStyle name="Normal 3 2 6 2 2 3" xfId="24137"/>
    <cellStyle name="Normal 3 2 6 2 2 3 2" xfId="24138"/>
    <cellStyle name="Normal 3 2 6 2 2 3 2 2" xfId="24139"/>
    <cellStyle name="Normal 3 2 6 2 2 3 2 3" xfId="24140"/>
    <cellStyle name="Normal 3 2 6 2 2 3 3" xfId="24141"/>
    <cellStyle name="Normal 3 2 6 2 2 3 3 2" xfId="24142"/>
    <cellStyle name="Normal 3 2 6 2 2 3 4" xfId="24143"/>
    <cellStyle name="Normal 3 2 6 2 2 3 5" xfId="24144"/>
    <cellStyle name="Normal 3 2 6 2 2 4" xfId="24145"/>
    <cellStyle name="Normal 3 2 6 2 2 4 2" xfId="24146"/>
    <cellStyle name="Normal 3 2 6 2 2 4 2 2" xfId="24147"/>
    <cellStyle name="Normal 3 2 6 2 2 4 3" xfId="24148"/>
    <cellStyle name="Normal 3 2 6 2 2 4 4" xfId="24149"/>
    <cellStyle name="Normal 3 2 6 2 2 5" xfId="24150"/>
    <cellStyle name="Normal 3 2 6 2 2 5 2" xfId="24151"/>
    <cellStyle name="Normal 3 2 6 2 2 5 3" xfId="24152"/>
    <cellStyle name="Normal 3 2 6 2 2 6" xfId="24153"/>
    <cellStyle name="Normal 3 2 6 2 2 6 2" xfId="24154"/>
    <cellStyle name="Normal 3 2 6 2 2 6 3" xfId="24155"/>
    <cellStyle name="Normal 3 2 6 2 2 7" xfId="24156"/>
    <cellStyle name="Normal 3 2 6 2 2 8" xfId="24157"/>
    <cellStyle name="Normal 3 2 6 2 3" xfId="24158"/>
    <cellStyle name="Normal 3 2 6 2 3 2" xfId="24159"/>
    <cellStyle name="Normal 3 2 6 2 3 2 2" xfId="24160"/>
    <cellStyle name="Normal 3 2 6 2 3 2 2 2" xfId="24161"/>
    <cellStyle name="Normal 3 2 6 2 3 2 3" xfId="24162"/>
    <cellStyle name="Normal 3 2 6 2 3 2 4" xfId="24163"/>
    <cellStyle name="Normal 3 2 6 2 3 3" xfId="24164"/>
    <cellStyle name="Normal 3 2 6 2 3 3 2" xfId="24165"/>
    <cellStyle name="Normal 3 2 6 2 3 3 2 2" xfId="24166"/>
    <cellStyle name="Normal 3 2 6 2 3 3 3" xfId="24167"/>
    <cellStyle name="Normal 3 2 6 2 3 4" xfId="24168"/>
    <cellStyle name="Normal 3 2 6 2 3 4 2" xfId="24169"/>
    <cellStyle name="Normal 3 2 6 2 3 4 2 2" xfId="24170"/>
    <cellStyle name="Normal 3 2 6 2 3 4 3" xfId="24171"/>
    <cellStyle name="Normal 3 2 6 2 3 5" xfId="24172"/>
    <cellStyle name="Normal 3 2 6 2 3 5 2" xfId="24173"/>
    <cellStyle name="Normal 3 2 6 2 3 6" xfId="24174"/>
    <cellStyle name="Normal 3 2 6 2 3 7" xfId="24175"/>
    <cellStyle name="Normal 3 2 6 2 4" xfId="24176"/>
    <cellStyle name="Normal 3 2 6 2 4 2" xfId="24177"/>
    <cellStyle name="Normal 3 2 6 2 4 2 2" xfId="24178"/>
    <cellStyle name="Normal 3 2 6 2 4 2 2 2" xfId="24179"/>
    <cellStyle name="Normal 3 2 6 2 4 2 3" xfId="24180"/>
    <cellStyle name="Normal 3 2 6 2 4 3" xfId="24181"/>
    <cellStyle name="Normal 3 2 6 2 4 3 2" xfId="24182"/>
    <cellStyle name="Normal 3 2 6 2 4 3 2 2" xfId="24183"/>
    <cellStyle name="Normal 3 2 6 2 4 3 3" xfId="24184"/>
    <cellStyle name="Normal 3 2 6 2 4 4" xfId="24185"/>
    <cellStyle name="Normal 3 2 6 2 4 4 2" xfId="24186"/>
    <cellStyle name="Normal 3 2 6 2 4 4 3" xfId="24187"/>
    <cellStyle name="Normal 3 2 6 2 4 5" xfId="24188"/>
    <cellStyle name="Normal 3 2 6 2 4 6" xfId="24189"/>
    <cellStyle name="Normal 3 2 6 2 4 7" xfId="24190"/>
    <cellStyle name="Normal 3 2 6 2 5" xfId="24191"/>
    <cellStyle name="Normal 3 2 6 2 5 2" xfId="24192"/>
    <cellStyle name="Normal 3 2 6 2 5 2 2" xfId="24193"/>
    <cellStyle name="Normal 3 2 6 2 5 2 3" xfId="24194"/>
    <cellStyle name="Normal 3 2 6 2 5 3" xfId="24195"/>
    <cellStyle name="Normal 3 2 6 2 5 3 2" xfId="24196"/>
    <cellStyle name="Normal 3 2 6 2 5 3 3" xfId="24197"/>
    <cellStyle name="Normal 3 2 6 2 5 4" xfId="24198"/>
    <cellStyle name="Normal 3 2 6 2 5 5" xfId="24199"/>
    <cellStyle name="Normal 3 2 6 2 5 6" xfId="24200"/>
    <cellStyle name="Normal 3 2 6 2 6" xfId="24201"/>
    <cellStyle name="Normal 3 2 6 2 6 2" xfId="24202"/>
    <cellStyle name="Normal 3 2 6 2 6 2 2" xfId="24203"/>
    <cellStyle name="Normal 3 2 6 2 6 3" xfId="24204"/>
    <cellStyle name="Normal 3 2 6 2 7" xfId="24205"/>
    <cellStyle name="Normal 3 2 6 2 7 2" xfId="24206"/>
    <cellStyle name="Normal 3 2 6 2 7 2 2" xfId="24207"/>
    <cellStyle name="Normal 3 2 6 2 7 3" xfId="24208"/>
    <cellStyle name="Normal 3 2 6 2 8" xfId="24209"/>
    <cellStyle name="Normal 3 2 6 2 8 2" xfId="24210"/>
    <cellStyle name="Normal 3 2 6 2 8 3" xfId="24211"/>
    <cellStyle name="Normal 3 2 6 2 9" xfId="24212"/>
    <cellStyle name="Normal 3 2 6 3" xfId="24213"/>
    <cellStyle name="Normal 3 2 6 3 10" xfId="24214"/>
    <cellStyle name="Normal 3 2 6 3 11" xfId="24215"/>
    <cellStyle name="Normal 3 2 6 3 2" xfId="24216"/>
    <cellStyle name="Normal 3 2 6 3 2 2" xfId="24217"/>
    <cellStyle name="Normal 3 2 6 3 2 2 2" xfId="24218"/>
    <cellStyle name="Normal 3 2 6 3 2 2 2 2" xfId="24219"/>
    <cellStyle name="Normal 3 2 6 3 2 2 3" xfId="24220"/>
    <cellStyle name="Normal 3 2 6 3 2 2 4" xfId="24221"/>
    <cellStyle name="Normal 3 2 6 3 2 3" xfId="24222"/>
    <cellStyle name="Normal 3 2 6 3 2 3 2" xfId="24223"/>
    <cellStyle name="Normal 3 2 6 3 2 3 2 2" xfId="24224"/>
    <cellStyle name="Normal 3 2 6 3 2 3 3" xfId="24225"/>
    <cellStyle name="Normal 3 2 6 3 2 4" xfId="24226"/>
    <cellStyle name="Normal 3 2 6 3 2 4 2" xfId="24227"/>
    <cellStyle name="Normal 3 2 6 3 2 4 2 2" xfId="24228"/>
    <cellStyle name="Normal 3 2 6 3 2 4 3" xfId="24229"/>
    <cellStyle name="Normal 3 2 6 3 2 5" xfId="24230"/>
    <cellStyle name="Normal 3 2 6 3 2 5 2" xfId="24231"/>
    <cellStyle name="Normal 3 2 6 3 2 6" xfId="24232"/>
    <cellStyle name="Normal 3 2 6 3 2 7" xfId="24233"/>
    <cellStyle name="Normal 3 2 6 3 3" xfId="24234"/>
    <cellStyle name="Normal 3 2 6 3 3 2" xfId="24235"/>
    <cellStyle name="Normal 3 2 6 3 3 2 2" xfId="24236"/>
    <cellStyle name="Normal 3 2 6 3 3 2 2 2" xfId="24237"/>
    <cellStyle name="Normal 3 2 6 3 3 2 3" xfId="24238"/>
    <cellStyle name="Normal 3 2 6 3 3 3" xfId="24239"/>
    <cellStyle name="Normal 3 2 6 3 3 3 2" xfId="24240"/>
    <cellStyle name="Normal 3 2 6 3 3 3 2 2" xfId="24241"/>
    <cellStyle name="Normal 3 2 6 3 3 3 3" xfId="24242"/>
    <cellStyle name="Normal 3 2 6 3 3 4" xfId="24243"/>
    <cellStyle name="Normal 3 2 6 3 3 4 2" xfId="24244"/>
    <cellStyle name="Normal 3 2 6 3 3 4 3" xfId="24245"/>
    <cellStyle name="Normal 3 2 6 3 3 5" xfId="24246"/>
    <cellStyle name="Normal 3 2 6 3 3 6" xfId="24247"/>
    <cellStyle name="Normal 3 2 6 3 3 7" xfId="24248"/>
    <cellStyle name="Normal 3 2 6 3 4" xfId="24249"/>
    <cellStyle name="Normal 3 2 6 3 4 2" xfId="24250"/>
    <cellStyle name="Normal 3 2 6 3 4 2 2" xfId="24251"/>
    <cellStyle name="Normal 3 2 6 3 4 2 3" xfId="24252"/>
    <cellStyle name="Normal 3 2 6 3 4 3" xfId="24253"/>
    <cellStyle name="Normal 3 2 6 3 4 3 2" xfId="24254"/>
    <cellStyle name="Normal 3 2 6 3 4 3 3" xfId="24255"/>
    <cellStyle name="Normal 3 2 6 3 4 4" xfId="24256"/>
    <cellStyle name="Normal 3 2 6 3 4 4 2" xfId="24257"/>
    <cellStyle name="Normal 3 2 6 3 4 5" xfId="24258"/>
    <cellStyle name="Normal 3 2 6 3 4 6" xfId="24259"/>
    <cellStyle name="Normal 3 2 6 3 4 7" xfId="24260"/>
    <cellStyle name="Normal 3 2 6 3 5" xfId="24261"/>
    <cellStyle name="Normal 3 2 6 3 5 2" xfId="24262"/>
    <cellStyle name="Normal 3 2 6 3 5 2 2" xfId="24263"/>
    <cellStyle name="Normal 3 2 6 3 5 2 3" xfId="24264"/>
    <cellStyle name="Normal 3 2 6 3 5 3" xfId="24265"/>
    <cellStyle name="Normal 3 2 6 3 5 3 2" xfId="24266"/>
    <cellStyle name="Normal 3 2 6 3 5 4" xfId="24267"/>
    <cellStyle name="Normal 3 2 6 3 5 5" xfId="24268"/>
    <cellStyle name="Normal 3 2 6 3 5 6" xfId="24269"/>
    <cellStyle name="Normal 3 2 6 3 6" xfId="24270"/>
    <cellStyle name="Normal 3 2 6 3 6 2" xfId="24271"/>
    <cellStyle name="Normal 3 2 6 3 6 2 2" xfId="24272"/>
    <cellStyle name="Normal 3 2 6 3 6 3" xfId="24273"/>
    <cellStyle name="Normal 3 2 6 3 7" xfId="24274"/>
    <cellStyle name="Normal 3 2 6 3 7 2" xfId="24275"/>
    <cellStyle name="Normal 3 2 6 3 7 3" xfId="24276"/>
    <cellStyle name="Normal 3 2 6 3 8" xfId="24277"/>
    <cellStyle name="Normal 3 2 6 3 8 2" xfId="24278"/>
    <cellStyle name="Normal 3 2 6 3 9" xfId="24279"/>
    <cellStyle name="Normal 3 2 6 4" xfId="24280"/>
    <cellStyle name="Normal 3 2 6 4 2" xfId="24281"/>
    <cellStyle name="Normal 3 2 6 4 2 2" xfId="24282"/>
    <cellStyle name="Normal 3 2 6 4 2 2 2" xfId="24283"/>
    <cellStyle name="Normal 3 2 6 4 2 2 3" xfId="24284"/>
    <cellStyle name="Normal 3 2 6 4 2 2 4" xfId="24285"/>
    <cellStyle name="Normal 3 2 6 4 2 3" xfId="24286"/>
    <cellStyle name="Normal 3 2 6 4 2 3 2" xfId="24287"/>
    <cellStyle name="Normal 3 2 6 4 2 4" xfId="24288"/>
    <cellStyle name="Normal 3 2 6 4 2 4 2" xfId="24289"/>
    <cellStyle name="Normal 3 2 6 4 2 5" xfId="24290"/>
    <cellStyle name="Normal 3 2 6 4 2 6" xfId="24291"/>
    <cellStyle name="Normal 3 2 6 4 3" xfId="24292"/>
    <cellStyle name="Normal 3 2 6 4 3 2" xfId="24293"/>
    <cellStyle name="Normal 3 2 6 4 3 2 2" xfId="24294"/>
    <cellStyle name="Normal 3 2 6 4 3 2 3" xfId="24295"/>
    <cellStyle name="Normal 3 2 6 4 3 3" xfId="24296"/>
    <cellStyle name="Normal 3 2 6 4 3 3 2" xfId="24297"/>
    <cellStyle name="Normal 3 2 6 4 3 4" xfId="24298"/>
    <cellStyle name="Normal 3 2 6 4 3 5" xfId="24299"/>
    <cellStyle name="Normal 3 2 6 4 4" xfId="24300"/>
    <cellStyle name="Normal 3 2 6 4 4 2" xfId="24301"/>
    <cellStyle name="Normal 3 2 6 4 4 2 2" xfId="24302"/>
    <cellStyle name="Normal 3 2 6 4 4 3" xfId="24303"/>
    <cellStyle name="Normal 3 2 6 4 4 4" xfId="24304"/>
    <cellStyle name="Normal 3 2 6 4 5" xfId="24305"/>
    <cellStyle name="Normal 3 2 6 4 5 2" xfId="24306"/>
    <cellStyle name="Normal 3 2 6 4 5 3" xfId="24307"/>
    <cellStyle name="Normal 3 2 6 4 6" xfId="24308"/>
    <cellStyle name="Normal 3 2 6 4 6 2" xfId="24309"/>
    <cellStyle name="Normal 3 2 6 4 6 3" xfId="24310"/>
    <cellStyle name="Normal 3 2 6 4 7" xfId="24311"/>
    <cellStyle name="Normal 3 2 6 4 8" xfId="24312"/>
    <cellStyle name="Normal 3 2 6 5" xfId="24313"/>
    <cellStyle name="Normal 3 2 6 5 2" xfId="24314"/>
    <cellStyle name="Normal 3 2 6 5 2 2" xfId="24315"/>
    <cellStyle name="Normal 3 2 6 5 2 2 2" xfId="24316"/>
    <cellStyle name="Normal 3 2 6 5 2 2 3" xfId="24317"/>
    <cellStyle name="Normal 3 2 6 5 2 3" xfId="24318"/>
    <cellStyle name="Normal 3 2 6 5 2 3 2" xfId="24319"/>
    <cellStyle name="Normal 3 2 6 5 2 4" xfId="24320"/>
    <cellStyle name="Normal 3 2 6 5 2 5" xfId="24321"/>
    <cellStyle name="Normal 3 2 6 5 3" xfId="24322"/>
    <cellStyle name="Normal 3 2 6 5 3 2" xfId="24323"/>
    <cellStyle name="Normal 3 2 6 5 3 2 2" xfId="24324"/>
    <cellStyle name="Normal 3 2 6 5 3 3" xfId="24325"/>
    <cellStyle name="Normal 3 2 6 5 3 4" xfId="24326"/>
    <cellStyle name="Normal 3 2 6 5 4" xfId="24327"/>
    <cellStyle name="Normal 3 2 6 5 4 2" xfId="24328"/>
    <cellStyle name="Normal 3 2 6 5 4 2 2" xfId="24329"/>
    <cellStyle name="Normal 3 2 6 5 4 3" xfId="24330"/>
    <cellStyle name="Normal 3 2 6 5 5" xfId="24331"/>
    <cellStyle name="Normal 3 2 6 5 5 2" xfId="24332"/>
    <cellStyle name="Normal 3 2 6 5 5 3" xfId="24333"/>
    <cellStyle name="Normal 3 2 6 5 6" xfId="24334"/>
    <cellStyle name="Normal 3 2 6 5 6 2" xfId="24335"/>
    <cellStyle name="Normal 3 2 6 5 7" xfId="24336"/>
    <cellStyle name="Normal 3 2 6 6" xfId="24337"/>
    <cellStyle name="Normal 3 2 6 6 2" xfId="24338"/>
    <cellStyle name="Normal 3 2 6 6 2 2" xfId="24339"/>
    <cellStyle name="Normal 3 2 6 6 2 2 2" xfId="24340"/>
    <cellStyle name="Normal 3 2 6 6 2 3" xfId="24341"/>
    <cellStyle name="Normal 3 2 6 6 3" xfId="24342"/>
    <cellStyle name="Normal 3 2 6 6 3 2" xfId="24343"/>
    <cellStyle name="Normal 3 2 6 6 3 2 2" xfId="24344"/>
    <cellStyle name="Normal 3 2 6 6 3 3" xfId="24345"/>
    <cellStyle name="Normal 3 2 6 6 4" xfId="24346"/>
    <cellStyle name="Normal 3 2 6 6 4 2" xfId="24347"/>
    <cellStyle name="Normal 3 2 6 6 4 3" xfId="24348"/>
    <cellStyle name="Normal 3 2 6 6 5" xfId="24349"/>
    <cellStyle name="Normal 3 2 6 6 6" xfId="24350"/>
    <cellStyle name="Normal 3 2 6 6 7" xfId="24351"/>
    <cellStyle name="Normal 3 2 6 7" xfId="24352"/>
    <cellStyle name="Normal 3 2 6 7 2" xfId="24353"/>
    <cellStyle name="Normal 3 2 6 7 2 2" xfId="24354"/>
    <cellStyle name="Normal 3 2 6 7 2 2 2" xfId="24355"/>
    <cellStyle name="Normal 3 2 6 7 2 3" xfId="24356"/>
    <cellStyle name="Normal 3 2 6 7 3" xfId="24357"/>
    <cellStyle name="Normal 3 2 6 7 3 2" xfId="24358"/>
    <cellStyle name="Normal 3 2 6 7 3 2 2" xfId="24359"/>
    <cellStyle name="Normal 3 2 6 7 3 3" xfId="24360"/>
    <cellStyle name="Normal 3 2 6 7 4" xfId="24361"/>
    <cellStyle name="Normal 3 2 6 7 4 2" xfId="24362"/>
    <cellStyle name="Normal 3 2 6 7 5" xfId="24363"/>
    <cellStyle name="Normal 3 2 6 7 6" xfId="24364"/>
    <cellStyle name="Normal 3 2 6 8" xfId="24365"/>
    <cellStyle name="Normal 3 2 6 8 2" xfId="24366"/>
    <cellStyle name="Normal 3 2 6 8 2 2" xfId="24367"/>
    <cellStyle name="Normal 3 2 6 8 3" xfId="24368"/>
    <cellStyle name="Normal 3 2 6 8 4" xfId="24369"/>
    <cellStyle name="Normal 3 2 6 9" xfId="24370"/>
    <cellStyle name="Normal 3 2 6 9 2" xfId="24371"/>
    <cellStyle name="Normal 3 2 6 9 2 2" xfId="24372"/>
    <cellStyle name="Normal 3 2 6 9 3" xfId="24373"/>
    <cellStyle name="Normal 3 2 7" xfId="24374"/>
    <cellStyle name="Normal 3 2 7 10" xfId="24375"/>
    <cellStyle name="Normal 3 2 7 10 2" xfId="24376"/>
    <cellStyle name="Normal 3 2 7 11" xfId="24377"/>
    <cellStyle name="Normal 3 2 7 12" xfId="24378"/>
    <cellStyle name="Normal 3 2 7 2" xfId="24379"/>
    <cellStyle name="Normal 3 2 7 2 2" xfId="24380"/>
    <cellStyle name="Normal 3 2 7 2 2 2" xfId="24381"/>
    <cellStyle name="Normal 3 2 7 2 2 2 2" xfId="24382"/>
    <cellStyle name="Normal 3 2 7 2 2 2 3" xfId="24383"/>
    <cellStyle name="Normal 3 2 7 2 2 2 4" xfId="24384"/>
    <cellStyle name="Normal 3 2 7 2 2 3" xfId="24385"/>
    <cellStyle name="Normal 3 2 7 2 2 3 2" xfId="24386"/>
    <cellStyle name="Normal 3 2 7 2 2 4" xfId="24387"/>
    <cellStyle name="Normal 3 2 7 2 2 4 2" xfId="24388"/>
    <cellStyle name="Normal 3 2 7 2 2 5" xfId="24389"/>
    <cellStyle name="Normal 3 2 7 2 2 6" xfId="24390"/>
    <cellStyle name="Normal 3 2 7 2 3" xfId="24391"/>
    <cellStyle name="Normal 3 2 7 2 3 2" xfId="24392"/>
    <cellStyle name="Normal 3 2 7 2 3 2 2" xfId="24393"/>
    <cellStyle name="Normal 3 2 7 2 3 2 3" xfId="24394"/>
    <cellStyle name="Normal 3 2 7 2 3 3" xfId="24395"/>
    <cellStyle name="Normal 3 2 7 2 3 3 2" xfId="24396"/>
    <cellStyle name="Normal 3 2 7 2 3 4" xfId="24397"/>
    <cellStyle name="Normal 3 2 7 2 3 5" xfId="24398"/>
    <cellStyle name="Normal 3 2 7 2 4" xfId="24399"/>
    <cellStyle name="Normal 3 2 7 2 4 2" xfId="24400"/>
    <cellStyle name="Normal 3 2 7 2 4 2 2" xfId="24401"/>
    <cellStyle name="Normal 3 2 7 2 4 3" xfId="24402"/>
    <cellStyle name="Normal 3 2 7 2 4 4" xfId="24403"/>
    <cellStyle name="Normal 3 2 7 2 5" xfId="24404"/>
    <cellStyle name="Normal 3 2 7 2 5 2" xfId="24405"/>
    <cellStyle name="Normal 3 2 7 2 5 3" xfId="24406"/>
    <cellStyle name="Normal 3 2 7 2 6" xfId="24407"/>
    <cellStyle name="Normal 3 2 7 2 6 2" xfId="24408"/>
    <cellStyle name="Normal 3 2 7 2 6 3" xfId="24409"/>
    <cellStyle name="Normal 3 2 7 2 7" xfId="24410"/>
    <cellStyle name="Normal 3 2 7 2 8" xfId="24411"/>
    <cellStyle name="Normal 3 2 7 3" xfId="24412"/>
    <cellStyle name="Normal 3 2 7 3 2" xfId="24413"/>
    <cellStyle name="Normal 3 2 7 3 2 2" xfId="24414"/>
    <cellStyle name="Normal 3 2 7 3 2 2 2" xfId="24415"/>
    <cellStyle name="Normal 3 2 7 3 2 2 3" xfId="24416"/>
    <cellStyle name="Normal 3 2 7 3 2 2 4" xfId="24417"/>
    <cellStyle name="Normal 3 2 7 3 2 3" xfId="24418"/>
    <cellStyle name="Normal 3 2 7 3 2 3 2" xfId="24419"/>
    <cellStyle name="Normal 3 2 7 3 2 4" xfId="24420"/>
    <cellStyle name="Normal 3 2 7 3 2 4 2" xfId="24421"/>
    <cellStyle name="Normal 3 2 7 3 2 5" xfId="24422"/>
    <cellStyle name="Normal 3 2 7 3 2 6" xfId="24423"/>
    <cellStyle name="Normal 3 2 7 3 3" xfId="24424"/>
    <cellStyle name="Normal 3 2 7 3 3 2" xfId="24425"/>
    <cellStyle name="Normal 3 2 7 3 3 2 2" xfId="24426"/>
    <cellStyle name="Normal 3 2 7 3 3 2 3" xfId="24427"/>
    <cellStyle name="Normal 3 2 7 3 3 3" xfId="24428"/>
    <cellStyle name="Normal 3 2 7 3 3 3 2" xfId="24429"/>
    <cellStyle name="Normal 3 2 7 3 3 4" xfId="24430"/>
    <cellStyle name="Normal 3 2 7 3 3 5" xfId="24431"/>
    <cellStyle name="Normal 3 2 7 3 4" xfId="24432"/>
    <cellStyle name="Normal 3 2 7 3 4 2" xfId="24433"/>
    <cellStyle name="Normal 3 2 7 3 4 2 2" xfId="24434"/>
    <cellStyle name="Normal 3 2 7 3 4 3" xfId="24435"/>
    <cellStyle name="Normal 3 2 7 3 4 4" xfId="24436"/>
    <cellStyle name="Normal 3 2 7 3 5" xfId="24437"/>
    <cellStyle name="Normal 3 2 7 3 5 2" xfId="24438"/>
    <cellStyle name="Normal 3 2 7 3 5 3" xfId="24439"/>
    <cellStyle name="Normal 3 2 7 3 6" xfId="24440"/>
    <cellStyle name="Normal 3 2 7 3 6 2" xfId="24441"/>
    <cellStyle name="Normal 3 2 7 3 6 3" xfId="24442"/>
    <cellStyle name="Normal 3 2 7 3 7" xfId="24443"/>
    <cellStyle name="Normal 3 2 7 3 8" xfId="24444"/>
    <cellStyle name="Normal 3 2 7 4" xfId="24445"/>
    <cellStyle name="Normal 3 2 7 4 2" xfId="24446"/>
    <cellStyle name="Normal 3 2 7 4 2 2" xfId="24447"/>
    <cellStyle name="Normal 3 2 7 4 2 2 2" xfId="24448"/>
    <cellStyle name="Normal 3 2 7 4 2 2 3" xfId="24449"/>
    <cellStyle name="Normal 3 2 7 4 2 3" xfId="24450"/>
    <cellStyle name="Normal 3 2 7 4 2 3 2" xfId="24451"/>
    <cellStyle name="Normal 3 2 7 4 2 4" xfId="24452"/>
    <cellStyle name="Normal 3 2 7 4 2 5" xfId="24453"/>
    <cellStyle name="Normal 3 2 7 4 3" xfId="24454"/>
    <cellStyle name="Normal 3 2 7 4 3 2" xfId="24455"/>
    <cellStyle name="Normal 3 2 7 4 3 2 2" xfId="24456"/>
    <cellStyle name="Normal 3 2 7 4 3 3" xfId="24457"/>
    <cellStyle name="Normal 3 2 7 4 3 4" xfId="24458"/>
    <cellStyle name="Normal 3 2 7 4 4" xfId="24459"/>
    <cellStyle name="Normal 3 2 7 4 4 2" xfId="24460"/>
    <cellStyle name="Normal 3 2 7 4 4 2 2" xfId="24461"/>
    <cellStyle name="Normal 3 2 7 4 4 3" xfId="24462"/>
    <cellStyle name="Normal 3 2 7 4 5" xfId="24463"/>
    <cellStyle name="Normal 3 2 7 4 5 2" xfId="24464"/>
    <cellStyle name="Normal 3 2 7 4 5 3" xfId="24465"/>
    <cellStyle name="Normal 3 2 7 4 6" xfId="24466"/>
    <cellStyle name="Normal 3 2 7 4 6 2" xfId="24467"/>
    <cellStyle name="Normal 3 2 7 4 7" xfId="24468"/>
    <cellStyle name="Normal 3 2 7 5" xfId="24469"/>
    <cellStyle name="Normal 3 2 7 5 2" xfId="24470"/>
    <cellStyle name="Normal 3 2 7 5 2 2" xfId="24471"/>
    <cellStyle name="Normal 3 2 7 5 2 2 2" xfId="24472"/>
    <cellStyle name="Normal 3 2 7 5 2 3" xfId="24473"/>
    <cellStyle name="Normal 3 2 7 5 3" xfId="24474"/>
    <cellStyle name="Normal 3 2 7 5 3 2" xfId="24475"/>
    <cellStyle name="Normal 3 2 7 5 3 2 2" xfId="24476"/>
    <cellStyle name="Normal 3 2 7 5 3 3" xfId="24477"/>
    <cellStyle name="Normal 3 2 7 5 4" xfId="24478"/>
    <cellStyle name="Normal 3 2 7 5 4 2" xfId="24479"/>
    <cellStyle name="Normal 3 2 7 5 4 3" xfId="24480"/>
    <cellStyle name="Normal 3 2 7 5 5" xfId="24481"/>
    <cellStyle name="Normal 3 2 7 5 6" xfId="24482"/>
    <cellStyle name="Normal 3 2 7 5 7" xfId="24483"/>
    <cellStyle name="Normal 3 2 7 6" xfId="24484"/>
    <cellStyle name="Normal 3 2 7 6 2" xfId="24485"/>
    <cellStyle name="Normal 3 2 7 6 2 2" xfId="24486"/>
    <cellStyle name="Normal 3 2 7 6 2 2 2" xfId="24487"/>
    <cellStyle name="Normal 3 2 7 6 2 3" xfId="24488"/>
    <cellStyle name="Normal 3 2 7 6 3" xfId="24489"/>
    <cellStyle name="Normal 3 2 7 6 3 2" xfId="24490"/>
    <cellStyle name="Normal 3 2 7 6 3 2 2" xfId="24491"/>
    <cellStyle name="Normal 3 2 7 6 3 3" xfId="24492"/>
    <cellStyle name="Normal 3 2 7 6 4" xfId="24493"/>
    <cellStyle name="Normal 3 2 7 6 4 2" xfId="24494"/>
    <cellStyle name="Normal 3 2 7 6 5" xfId="24495"/>
    <cellStyle name="Normal 3 2 7 6 6" xfId="24496"/>
    <cellStyle name="Normal 3 2 7 7" xfId="24497"/>
    <cellStyle name="Normal 3 2 7 7 2" xfId="24498"/>
    <cellStyle name="Normal 3 2 7 7 2 2" xfId="24499"/>
    <cellStyle name="Normal 3 2 7 7 3" xfId="24500"/>
    <cellStyle name="Normal 3 2 7 7 4" xfId="24501"/>
    <cellStyle name="Normal 3 2 7 8" xfId="24502"/>
    <cellStyle name="Normal 3 2 7 8 2" xfId="24503"/>
    <cellStyle name="Normal 3 2 7 8 2 2" xfId="24504"/>
    <cellStyle name="Normal 3 2 7 8 3" xfId="24505"/>
    <cellStyle name="Normal 3 2 7 9" xfId="24506"/>
    <cellStyle name="Normal 3 2 7 9 2" xfId="24507"/>
    <cellStyle name="Normal 3 2 7 9 2 2" xfId="24508"/>
    <cellStyle name="Normal 3 2 7 9 3" xfId="24509"/>
    <cellStyle name="Normal 3 2 8" xfId="24510"/>
    <cellStyle name="Normal 3 2 8 10" xfId="24511"/>
    <cellStyle name="Normal 3 2 8 11" xfId="24512"/>
    <cellStyle name="Normal 3 2 8 2" xfId="24513"/>
    <cellStyle name="Normal 3 2 8 2 2" xfId="24514"/>
    <cellStyle name="Normal 3 2 8 2 2 2" xfId="24515"/>
    <cellStyle name="Normal 3 2 8 2 2 2 2" xfId="24516"/>
    <cellStyle name="Normal 3 2 8 2 2 2 3" xfId="24517"/>
    <cellStyle name="Normal 3 2 8 2 2 2 4" xfId="24518"/>
    <cellStyle name="Normal 3 2 8 2 2 3" xfId="24519"/>
    <cellStyle name="Normal 3 2 8 2 2 3 2" xfId="24520"/>
    <cellStyle name="Normal 3 2 8 2 2 4" xfId="24521"/>
    <cellStyle name="Normal 3 2 8 2 2 4 2" xfId="24522"/>
    <cellStyle name="Normal 3 2 8 2 2 5" xfId="24523"/>
    <cellStyle name="Normal 3 2 8 2 2 6" xfId="24524"/>
    <cellStyle name="Normal 3 2 8 2 3" xfId="24525"/>
    <cellStyle name="Normal 3 2 8 2 3 2" xfId="24526"/>
    <cellStyle name="Normal 3 2 8 2 3 2 2" xfId="24527"/>
    <cellStyle name="Normal 3 2 8 2 3 2 3" xfId="24528"/>
    <cellStyle name="Normal 3 2 8 2 3 3" xfId="24529"/>
    <cellStyle name="Normal 3 2 8 2 3 3 2" xfId="24530"/>
    <cellStyle name="Normal 3 2 8 2 3 4" xfId="24531"/>
    <cellStyle name="Normal 3 2 8 2 3 5" xfId="24532"/>
    <cellStyle name="Normal 3 2 8 2 4" xfId="24533"/>
    <cellStyle name="Normal 3 2 8 2 4 2" xfId="24534"/>
    <cellStyle name="Normal 3 2 8 2 4 2 2" xfId="24535"/>
    <cellStyle name="Normal 3 2 8 2 4 3" xfId="24536"/>
    <cellStyle name="Normal 3 2 8 2 4 4" xfId="24537"/>
    <cellStyle name="Normal 3 2 8 2 5" xfId="24538"/>
    <cellStyle name="Normal 3 2 8 2 5 2" xfId="24539"/>
    <cellStyle name="Normal 3 2 8 2 5 3" xfId="24540"/>
    <cellStyle name="Normal 3 2 8 2 6" xfId="24541"/>
    <cellStyle name="Normal 3 2 8 2 6 2" xfId="24542"/>
    <cellStyle name="Normal 3 2 8 2 6 3" xfId="24543"/>
    <cellStyle name="Normal 3 2 8 2 7" xfId="24544"/>
    <cellStyle name="Normal 3 2 8 2 8" xfId="24545"/>
    <cellStyle name="Normal 3 2 8 3" xfId="24546"/>
    <cellStyle name="Normal 3 2 8 3 2" xfId="24547"/>
    <cellStyle name="Normal 3 2 8 3 2 2" xfId="24548"/>
    <cellStyle name="Normal 3 2 8 3 2 2 2" xfId="24549"/>
    <cellStyle name="Normal 3 2 8 3 2 3" xfId="24550"/>
    <cellStyle name="Normal 3 2 8 3 2 4" xfId="24551"/>
    <cellStyle name="Normal 3 2 8 3 3" xfId="24552"/>
    <cellStyle name="Normal 3 2 8 3 3 2" xfId="24553"/>
    <cellStyle name="Normal 3 2 8 3 3 2 2" xfId="24554"/>
    <cellStyle name="Normal 3 2 8 3 3 3" xfId="24555"/>
    <cellStyle name="Normal 3 2 8 3 4" xfId="24556"/>
    <cellStyle name="Normal 3 2 8 3 4 2" xfId="24557"/>
    <cellStyle name="Normal 3 2 8 3 4 2 2" xfId="24558"/>
    <cellStyle name="Normal 3 2 8 3 4 3" xfId="24559"/>
    <cellStyle name="Normal 3 2 8 3 5" xfId="24560"/>
    <cellStyle name="Normal 3 2 8 3 5 2" xfId="24561"/>
    <cellStyle name="Normal 3 2 8 3 6" xfId="24562"/>
    <cellStyle name="Normal 3 2 8 3 7" xfId="24563"/>
    <cellStyle name="Normal 3 2 8 4" xfId="24564"/>
    <cellStyle name="Normal 3 2 8 4 2" xfId="24565"/>
    <cellStyle name="Normal 3 2 8 4 2 2" xfId="24566"/>
    <cellStyle name="Normal 3 2 8 4 2 2 2" xfId="24567"/>
    <cellStyle name="Normal 3 2 8 4 2 3" xfId="24568"/>
    <cellStyle name="Normal 3 2 8 4 3" xfId="24569"/>
    <cellStyle name="Normal 3 2 8 4 3 2" xfId="24570"/>
    <cellStyle name="Normal 3 2 8 4 3 2 2" xfId="24571"/>
    <cellStyle name="Normal 3 2 8 4 3 3" xfId="24572"/>
    <cellStyle name="Normal 3 2 8 4 4" xfId="24573"/>
    <cellStyle name="Normal 3 2 8 4 4 2" xfId="24574"/>
    <cellStyle name="Normal 3 2 8 4 4 3" xfId="24575"/>
    <cellStyle name="Normal 3 2 8 4 5" xfId="24576"/>
    <cellStyle name="Normal 3 2 8 4 6" xfId="24577"/>
    <cellStyle name="Normal 3 2 8 4 7" xfId="24578"/>
    <cellStyle name="Normal 3 2 8 5" xfId="24579"/>
    <cellStyle name="Normal 3 2 8 5 2" xfId="24580"/>
    <cellStyle name="Normal 3 2 8 5 2 2" xfId="24581"/>
    <cellStyle name="Normal 3 2 8 5 2 3" xfId="24582"/>
    <cellStyle name="Normal 3 2 8 5 3" xfId="24583"/>
    <cellStyle name="Normal 3 2 8 5 3 2" xfId="24584"/>
    <cellStyle name="Normal 3 2 8 5 3 3" xfId="24585"/>
    <cellStyle name="Normal 3 2 8 5 4" xfId="24586"/>
    <cellStyle name="Normal 3 2 8 5 5" xfId="24587"/>
    <cellStyle name="Normal 3 2 8 5 6" xfId="24588"/>
    <cellStyle name="Normal 3 2 8 6" xfId="24589"/>
    <cellStyle name="Normal 3 2 8 6 2" xfId="24590"/>
    <cellStyle name="Normal 3 2 8 6 2 2" xfId="24591"/>
    <cellStyle name="Normal 3 2 8 6 3" xfId="24592"/>
    <cellStyle name="Normal 3 2 8 7" xfId="24593"/>
    <cellStyle name="Normal 3 2 8 7 2" xfId="24594"/>
    <cellStyle name="Normal 3 2 8 7 2 2" xfId="24595"/>
    <cellStyle name="Normal 3 2 8 7 3" xfId="24596"/>
    <cellStyle name="Normal 3 2 8 8" xfId="24597"/>
    <cellStyle name="Normal 3 2 8 8 2" xfId="24598"/>
    <cellStyle name="Normal 3 2 8 8 3" xfId="24599"/>
    <cellStyle name="Normal 3 2 8 9" xfId="24600"/>
    <cellStyle name="Normal 3 2 9" xfId="24601"/>
    <cellStyle name="Normal 3 2 9 10" xfId="24602"/>
    <cellStyle name="Normal 3 2 9 11" xfId="24603"/>
    <cellStyle name="Normal 3 2 9 2" xfId="24604"/>
    <cellStyle name="Normal 3 2 9 2 2" xfId="24605"/>
    <cellStyle name="Normal 3 2 9 2 2 2" xfId="24606"/>
    <cellStyle name="Normal 3 2 9 2 2 2 2" xfId="24607"/>
    <cellStyle name="Normal 3 2 9 2 2 3" xfId="24608"/>
    <cellStyle name="Normal 3 2 9 2 2 4" xfId="24609"/>
    <cellStyle name="Normal 3 2 9 2 3" xfId="24610"/>
    <cellStyle name="Normal 3 2 9 2 3 2" xfId="24611"/>
    <cellStyle name="Normal 3 2 9 2 3 2 2" xfId="24612"/>
    <cellStyle name="Normal 3 2 9 2 3 3" xfId="24613"/>
    <cellStyle name="Normal 3 2 9 2 4" xfId="24614"/>
    <cellStyle name="Normal 3 2 9 2 4 2" xfId="24615"/>
    <cellStyle name="Normal 3 2 9 2 4 2 2" xfId="24616"/>
    <cellStyle name="Normal 3 2 9 2 4 3" xfId="24617"/>
    <cellStyle name="Normal 3 2 9 2 5" xfId="24618"/>
    <cellStyle name="Normal 3 2 9 2 5 2" xfId="24619"/>
    <cellStyle name="Normal 3 2 9 2 6" xfId="24620"/>
    <cellStyle name="Normal 3 2 9 2 7" xfId="24621"/>
    <cellStyle name="Normal 3 2 9 3" xfId="24622"/>
    <cellStyle name="Normal 3 2 9 3 2" xfId="24623"/>
    <cellStyle name="Normal 3 2 9 3 2 2" xfId="24624"/>
    <cellStyle name="Normal 3 2 9 3 2 2 2" xfId="24625"/>
    <cellStyle name="Normal 3 2 9 3 2 3" xfId="24626"/>
    <cellStyle name="Normal 3 2 9 3 3" xfId="24627"/>
    <cellStyle name="Normal 3 2 9 3 3 2" xfId="24628"/>
    <cellStyle name="Normal 3 2 9 3 3 2 2" xfId="24629"/>
    <cellStyle name="Normal 3 2 9 3 3 3" xfId="24630"/>
    <cellStyle name="Normal 3 2 9 3 4" xfId="24631"/>
    <cellStyle name="Normal 3 2 9 3 4 2" xfId="24632"/>
    <cellStyle name="Normal 3 2 9 3 4 3" xfId="24633"/>
    <cellStyle name="Normal 3 2 9 3 5" xfId="24634"/>
    <cellStyle name="Normal 3 2 9 3 6" xfId="24635"/>
    <cellStyle name="Normal 3 2 9 3 7" xfId="24636"/>
    <cellStyle name="Normal 3 2 9 4" xfId="24637"/>
    <cellStyle name="Normal 3 2 9 4 2" xfId="24638"/>
    <cellStyle name="Normal 3 2 9 4 2 2" xfId="24639"/>
    <cellStyle name="Normal 3 2 9 4 2 3" xfId="24640"/>
    <cellStyle name="Normal 3 2 9 4 3" xfId="24641"/>
    <cellStyle name="Normal 3 2 9 4 3 2" xfId="24642"/>
    <cellStyle name="Normal 3 2 9 4 3 3" xfId="24643"/>
    <cellStyle name="Normal 3 2 9 4 4" xfId="24644"/>
    <cellStyle name="Normal 3 2 9 4 4 2" xfId="24645"/>
    <cellStyle name="Normal 3 2 9 4 5" xfId="24646"/>
    <cellStyle name="Normal 3 2 9 4 6" xfId="24647"/>
    <cellStyle name="Normal 3 2 9 4 7" xfId="24648"/>
    <cellStyle name="Normal 3 2 9 5" xfId="24649"/>
    <cellStyle name="Normal 3 2 9 5 2" xfId="24650"/>
    <cellStyle name="Normal 3 2 9 5 2 2" xfId="24651"/>
    <cellStyle name="Normal 3 2 9 5 2 3" xfId="24652"/>
    <cellStyle name="Normal 3 2 9 5 3" xfId="24653"/>
    <cellStyle name="Normal 3 2 9 5 3 2" xfId="24654"/>
    <cellStyle name="Normal 3 2 9 5 4" xfId="24655"/>
    <cellStyle name="Normal 3 2 9 5 5" xfId="24656"/>
    <cellStyle name="Normal 3 2 9 5 6" xfId="24657"/>
    <cellStyle name="Normal 3 2 9 6" xfId="24658"/>
    <cellStyle name="Normal 3 2 9 6 2" xfId="24659"/>
    <cellStyle name="Normal 3 2 9 6 2 2" xfId="24660"/>
    <cellStyle name="Normal 3 2 9 6 3" xfId="24661"/>
    <cellStyle name="Normal 3 2 9 7" xfId="24662"/>
    <cellStyle name="Normal 3 2 9 7 2" xfId="24663"/>
    <cellStyle name="Normal 3 2 9 7 3" xfId="24664"/>
    <cellStyle name="Normal 3 2 9 8" xfId="24665"/>
    <cellStyle name="Normal 3 2 9 8 2" xfId="24666"/>
    <cellStyle name="Normal 3 2 9 9" xfId="24667"/>
    <cellStyle name="Normal 3 3" xfId="24668"/>
    <cellStyle name="Normal 3 3 10" xfId="24669"/>
    <cellStyle name="Normal 3 3 10 2" xfId="24670"/>
    <cellStyle name="Normal 3 3 10 2 2" xfId="24671"/>
    <cellStyle name="Normal 3 3 10 2 2 2" xfId="24672"/>
    <cellStyle name="Normal 3 3 10 2 2 3" xfId="24673"/>
    <cellStyle name="Normal 3 3 10 2 3" xfId="24674"/>
    <cellStyle name="Normal 3 3 10 2 3 2" xfId="24675"/>
    <cellStyle name="Normal 3 3 10 2 4" xfId="24676"/>
    <cellStyle name="Normal 3 3 10 2 5" xfId="24677"/>
    <cellStyle name="Normal 3 3 10 3" xfId="24678"/>
    <cellStyle name="Normal 3 3 10 3 2" xfId="24679"/>
    <cellStyle name="Normal 3 3 10 3 2 2" xfId="24680"/>
    <cellStyle name="Normal 3 3 10 3 3" xfId="24681"/>
    <cellStyle name="Normal 3 3 10 3 4" xfId="24682"/>
    <cellStyle name="Normal 3 3 10 4" xfId="24683"/>
    <cellStyle name="Normal 3 3 10 4 2" xfId="24684"/>
    <cellStyle name="Normal 3 3 10 4 2 2" xfId="24685"/>
    <cellStyle name="Normal 3 3 10 4 3" xfId="24686"/>
    <cellStyle name="Normal 3 3 10 5" xfId="24687"/>
    <cellStyle name="Normal 3 3 10 5 2" xfId="24688"/>
    <cellStyle name="Normal 3 3 10 5 3" xfId="24689"/>
    <cellStyle name="Normal 3 3 10 6" xfId="24690"/>
    <cellStyle name="Normal 3 3 10 6 2" xfId="24691"/>
    <cellStyle name="Normal 3 3 10 7" xfId="24692"/>
    <cellStyle name="Normal 3 3 11" xfId="24693"/>
    <cellStyle name="Normal 3 3 11 2" xfId="24694"/>
    <cellStyle name="Normal 3 3 11 2 2" xfId="24695"/>
    <cellStyle name="Normal 3 3 11 2 2 2" xfId="24696"/>
    <cellStyle name="Normal 3 3 11 2 3" xfId="24697"/>
    <cellStyle name="Normal 3 3 11 3" xfId="24698"/>
    <cellStyle name="Normal 3 3 11 3 2" xfId="24699"/>
    <cellStyle name="Normal 3 3 11 3 2 2" xfId="24700"/>
    <cellStyle name="Normal 3 3 11 3 3" xfId="24701"/>
    <cellStyle name="Normal 3 3 11 4" xfId="24702"/>
    <cellStyle name="Normal 3 3 11 4 2" xfId="24703"/>
    <cellStyle name="Normal 3 3 11 4 3" xfId="24704"/>
    <cellStyle name="Normal 3 3 11 5" xfId="24705"/>
    <cellStyle name="Normal 3 3 11 6" xfId="24706"/>
    <cellStyle name="Normal 3 3 11 7" xfId="24707"/>
    <cellStyle name="Normal 3 3 12" xfId="24708"/>
    <cellStyle name="Normal 3 3 12 2" xfId="24709"/>
    <cellStyle name="Normal 3 3 12 2 2" xfId="24710"/>
    <cellStyle name="Normal 3 3 12 2 2 2" xfId="24711"/>
    <cellStyle name="Normal 3 3 12 2 3" xfId="24712"/>
    <cellStyle name="Normal 3 3 12 3" xfId="24713"/>
    <cellStyle name="Normal 3 3 12 3 2" xfId="24714"/>
    <cellStyle name="Normal 3 3 12 3 2 2" xfId="24715"/>
    <cellStyle name="Normal 3 3 12 3 3" xfId="24716"/>
    <cellStyle name="Normal 3 3 12 4" xfId="24717"/>
    <cellStyle name="Normal 3 3 12 4 2" xfId="24718"/>
    <cellStyle name="Normal 3 3 12 5" xfId="24719"/>
    <cellStyle name="Normal 3 3 12 6" xfId="24720"/>
    <cellStyle name="Normal 3 3 13" xfId="24721"/>
    <cellStyle name="Normal 3 3 13 2" xfId="24722"/>
    <cellStyle name="Normal 3 3 13 2 2" xfId="24723"/>
    <cellStyle name="Normal 3 3 13 3" xfId="24724"/>
    <cellStyle name="Normal 3 3 13 4" xfId="24725"/>
    <cellStyle name="Normal 3 3 14" xfId="24726"/>
    <cellStyle name="Normal 3 3 14 2" xfId="24727"/>
    <cellStyle name="Normal 3 3 14 2 2" xfId="24728"/>
    <cellStyle name="Normal 3 3 14 3" xfId="24729"/>
    <cellStyle name="Normal 3 3 15" xfId="24730"/>
    <cellStyle name="Normal 3 3 15 2" xfId="24731"/>
    <cellStyle name="Normal 3 3 15 2 2" xfId="24732"/>
    <cellStyle name="Normal 3 3 15 3" xfId="24733"/>
    <cellStyle name="Normal 3 3 16" xfId="24734"/>
    <cellStyle name="Normal 3 3 16 2" xfId="24735"/>
    <cellStyle name="Normal 3 3 17" xfId="24736"/>
    <cellStyle name="Normal 3 3 18" xfId="24737"/>
    <cellStyle name="Normal 3 3 19" xfId="24738"/>
    <cellStyle name="Normal 3 3 2" xfId="24739"/>
    <cellStyle name="Normal 3 3 2 10" xfId="24740"/>
    <cellStyle name="Normal 3 3 2 10 2" xfId="24741"/>
    <cellStyle name="Normal 3 3 2 10 2 2" xfId="24742"/>
    <cellStyle name="Normal 3 3 2 10 2 2 2" xfId="24743"/>
    <cellStyle name="Normal 3 3 2 10 2 3" xfId="24744"/>
    <cellStyle name="Normal 3 3 2 10 3" xfId="24745"/>
    <cellStyle name="Normal 3 3 2 10 3 2" xfId="24746"/>
    <cellStyle name="Normal 3 3 2 10 3 2 2" xfId="24747"/>
    <cellStyle name="Normal 3 3 2 10 3 3" xfId="24748"/>
    <cellStyle name="Normal 3 3 2 10 4" xfId="24749"/>
    <cellStyle name="Normal 3 3 2 10 4 2" xfId="24750"/>
    <cellStyle name="Normal 3 3 2 10 4 3" xfId="24751"/>
    <cellStyle name="Normal 3 3 2 10 5" xfId="24752"/>
    <cellStyle name="Normal 3 3 2 10 6" xfId="24753"/>
    <cellStyle name="Normal 3 3 2 10 7" xfId="24754"/>
    <cellStyle name="Normal 3 3 2 11" xfId="24755"/>
    <cellStyle name="Normal 3 3 2 11 2" xfId="24756"/>
    <cellStyle name="Normal 3 3 2 11 2 2" xfId="24757"/>
    <cellStyle name="Normal 3 3 2 11 2 3" xfId="24758"/>
    <cellStyle name="Normal 3 3 2 11 3" xfId="24759"/>
    <cellStyle name="Normal 3 3 2 11 3 2" xfId="24760"/>
    <cellStyle name="Normal 3 3 2 11 3 3" xfId="24761"/>
    <cellStyle name="Normal 3 3 2 11 4" xfId="24762"/>
    <cellStyle name="Normal 3 3 2 11 4 2" xfId="24763"/>
    <cellStyle name="Normal 3 3 2 11 5" xfId="24764"/>
    <cellStyle name="Normal 3 3 2 11 6" xfId="24765"/>
    <cellStyle name="Normal 3 3 2 11 7" xfId="24766"/>
    <cellStyle name="Normal 3 3 2 12" xfId="24767"/>
    <cellStyle name="Normal 3 3 2 12 2" xfId="24768"/>
    <cellStyle name="Normal 3 3 2 12 2 2" xfId="24769"/>
    <cellStyle name="Normal 3 3 2 12 2 3" xfId="24770"/>
    <cellStyle name="Normal 3 3 2 12 3" xfId="24771"/>
    <cellStyle name="Normal 3 3 2 12 3 2" xfId="24772"/>
    <cellStyle name="Normal 3 3 2 12 4" xfId="24773"/>
    <cellStyle name="Normal 3 3 2 12 5" xfId="24774"/>
    <cellStyle name="Normal 3 3 2 12 6" xfId="24775"/>
    <cellStyle name="Normal 3 3 2 13" xfId="24776"/>
    <cellStyle name="Normal 3 3 2 13 2" xfId="24777"/>
    <cellStyle name="Normal 3 3 2 13 2 2" xfId="24778"/>
    <cellStyle name="Normal 3 3 2 13 3" xfId="24779"/>
    <cellStyle name="Normal 3 3 2 14" xfId="24780"/>
    <cellStyle name="Normal 3 3 2 14 2" xfId="24781"/>
    <cellStyle name="Normal 3 3 2 14 3" xfId="24782"/>
    <cellStyle name="Normal 3 3 2 15" xfId="24783"/>
    <cellStyle name="Normal 3 3 2 15 2" xfId="24784"/>
    <cellStyle name="Normal 3 3 2 16" xfId="24785"/>
    <cellStyle name="Normal 3 3 2 17" xfId="24786"/>
    <cellStyle name="Normal 3 3 2 18" xfId="24787"/>
    <cellStyle name="Normal 3 3 2 19" xfId="24788"/>
    <cellStyle name="Normal 3 3 2 2" xfId="24789"/>
    <cellStyle name="Normal 3 3 2 2 10" xfId="24790"/>
    <cellStyle name="Normal 3 3 2 2 10 2" xfId="24791"/>
    <cellStyle name="Normal 3 3 2 2 10 2 2" xfId="24792"/>
    <cellStyle name="Normal 3 3 2 2 10 2 3" xfId="24793"/>
    <cellStyle name="Normal 3 3 2 2 10 3" xfId="24794"/>
    <cellStyle name="Normal 3 3 2 2 10 3 2" xfId="24795"/>
    <cellStyle name="Normal 3 3 2 2 10 4" xfId="24796"/>
    <cellStyle name="Normal 3 3 2 2 10 4 2" xfId="24797"/>
    <cellStyle name="Normal 3 3 2 2 10 5" xfId="24798"/>
    <cellStyle name="Normal 3 3 2 2 10 6" xfId="24799"/>
    <cellStyle name="Normal 3 3 2 2 10 7" xfId="24800"/>
    <cellStyle name="Normal 3 3 2 2 11" xfId="24801"/>
    <cellStyle name="Normal 3 3 2 2 11 2" xfId="24802"/>
    <cellStyle name="Normal 3 3 2 2 11 2 2" xfId="24803"/>
    <cellStyle name="Normal 3 3 2 2 11 2 3" xfId="24804"/>
    <cellStyle name="Normal 3 3 2 2 11 3" xfId="24805"/>
    <cellStyle name="Normal 3 3 2 2 11 3 2" xfId="24806"/>
    <cellStyle name="Normal 3 3 2 2 11 4" xfId="24807"/>
    <cellStyle name="Normal 3 3 2 2 11 5" xfId="24808"/>
    <cellStyle name="Normal 3 3 2 2 11 6" xfId="24809"/>
    <cellStyle name="Normal 3 3 2 2 12" xfId="24810"/>
    <cellStyle name="Normal 3 3 2 2 12 2" xfId="24811"/>
    <cellStyle name="Normal 3 3 2 2 12 3" xfId="24812"/>
    <cellStyle name="Normal 3 3 2 2 13" xfId="24813"/>
    <cellStyle name="Normal 3 3 2 2 13 2" xfId="24814"/>
    <cellStyle name="Normal 3 3 2 2 14" xfId="24815"/>
    <cellStyle name="Normal 3 3 2 2 14 2" xfId="24816"/>
    <cellStyle name="Normal 3 3 2 2 15" xfId="24817"/>
    <cellStyle name="Normal 3 3 2 2 16" xfId="24818"/>
    <cellStyle name="Normal 3 3 2 2 17" xfId="24819"/>
    <cellStyle name="Normal 3 3 2 2 2" xfId="24820"/>
    <cellStyle name="Normal 3 3 2 2 2 10" xfId="24821"/>
    <cellStyle name="Normal 3 3 2 2 2 10 2" xfId="24822"/>
    <cellStyle name="Normal 3 3 2 2 2 10 3" xfId="24823"/>
    <cellStyle name="Normal 3 3 2 2 2 11" xfId="24824"/>
    <cellStyle name="Normal 3 3 2 2 2 11 2" xfId="24825"/>
    <cellStyle name="Normal 3 3 2 2 2 12" xfId="24826"/>
    <cellStyle name="Normal 3 3 2 2 2 13" xfId="24827"/>
    <cellStyle name="Normal 3 3 2 2 2 14" xfId="24828"/>
    <cellStyle name="Normal 3 3 2 2 2 2" xfId="24829"/>
    <cellStyle name="Normal 3 3 2 2 2 2 10" xfId="24830"/>
    <cellStyle name="Normal 3 3 2 2 2 2 11" xfId="24831"/>
    <cellStyle name="Normal 3 3 2 2 2 2 12" xfId="24832"/>
    <cellStyle name="Normal 3 3 2 2 2 2 2" xfId="24833"/>
    <cellStyle name="Normal 3 3 2 2 2 2 2 2" xfId="24834"/>
    <cellStyle name="Normal 3 3 2 2 2 2 2 2 2" xfId="24835"/>
    <cellStyle name="Normal 3 3 2 2 2 2 2 2 2 2" xfId="24836"/>
    <cellStyle name="Normal 3 3 2 2 2 2 2 2 3" xfId="24837"/>
    <cellStyle name="Normal 3 3 2 2 2 2 2 2 4" xfId="24838"/>
    <cellStyle name="Normal 3 3 2 2 2 2 2 3" xfId="24839"/>
    <cellStyle name="Normal 3 3 2 2 2 2 2 3 2" xfId="24840"/>
    <cellStyle name="Normal 3 3 2 2 2 2 2 3 2 2" xfId="24841"/>
    <cellStyle name="Normal 3 3 2 2 2 2 2 3 3" xfId="24842"/>
    <cellStyle name="Normal 3 3 2 2 2 2 2 4" xfId="24843"/>
    <cellStyle name="Normal 3 3 2 2 2 2 2 4 2" xfId="24844"/>
    <cellStyle name="Normal 3 3 2 2 2 2 2 4 2 2" xfId="24845"/>
    <cellStyle name="Normal 3 3 2 2 2 2 2 4 3" xfId="24846"/>
    <cellStyle name="Normal 3 3 2 2 2 2 2 5" xfId="24847"/>
    <cellStyle name="Normal 3 3 2 2 2 2 2 5 2" xfId="24848"/>
    <cellStyle name="Normal 3 3 2 2 2 2 2 6" xfId="24849"/>
    <cellStyle name="Normal 3 3 2 2 2 2 2 7" xfId="24850"/>
    <cellStyle name="Normal 3 3 2 2 2 2 3" xfId="24851"/>
    <cellStyle name="Normal 3 3 2 2 2 2 3 2" xfId="24852"/>
    <cellStyle name="Normal 3 3 2 2 2 2 3 2 2" xfId="24853"/>
    <cellStyle name="Normal 3 3 2 2 2 2 3 2 2 2" xfId="24854"/>
    <cellStyle name="Normal 3 3 2 2 2 2 3 2 3" xfId="24855"/>
    <cellStyle name="Normal 3 3 2 2 2 2 3 3" xfId="24856"/>
    <cellStyle name="Normal 3 3 2 2 2 2 3 3 2" xfId="24857"/>
    <cellStyle name="Normal 3 3 2 2 2 2 3 3 2 2" xfId="24858"/>
    <cellStyle name="Normal 3 3 2 2 2 2 3 3 3" xfId="24859"/>
    <cellStyle name="Normal 3 3 2 2 2 2 3 4" xfId="24860"/>
    <cellStyle name="Normal 3 3 2 2 2 2 3 4 2" xfId="24861"/>
    <cellStyle name="Normal 3 3 2 2 2 2 3 4 3" xfId="24862"/>
    <cellStyle name="Normal 3 3 2 2 2 2 3 5" xfId="24863"/>
    <cellStyle name="Normal 3 3 2 2 2 2 3 6" xfId="24864"/>
    <cellStyle name="Normal 3 3 2 2 2 2 3 7" xfId="24865"/>
    <cellStyle name="Normal 3 3 2 2 2 2 4" xfId="24866"/>
    <cellStyle name="Normal 3 3 2 2 2 2 4 2" xfId="24867"/>
    <cellStyle name="Normal 3 3 2 2 2 2 4 2 2" xfId="24868"/>
    <cellStyle name="Normal 3 3 2 2 2 2 4 2 3" xfId="24869"/>
    <cellStyle name="Normal 3 3 2 2 2 2 4 3" xfId="24870"/>
    <cellStyle name="Normal 3 3 2 2 2 2 4 3 2" xfId="24871"/>
    <cellStyle name="Normal 3 3 2 2 2 2 4 3 3" xfId="24872"/>
    <cellStyle name="Normal 3 3 2 2 2 2 4 4" xfId="24873"/>
    <cellStyle name="Normal 3 3 2 2 2 2 4 4 2" xfId="24874"/>
    <cellStyle name="Normal 3 3 2 2 2 2 4 5" xfId="24875"/>
    <cellStyle name="Normal 3 3 2 2 2 2 4 6" xfId="24876"/>
    <cellStyle name="Normal 3 3 2 2 2 2 4 7" xfId="24877"/>
    <cellStyle name="Normal 3 3 2 2 2 2 5" xfId="24878"/>
    <cellStyle name="Normal 3 3 2 2 2 2 5 2" xfId="24879"/>
    <cellStyle name="Normal 3 3 2 2 2 2 5 2 2" xfId="24880"/>
    <cellStyle name="Normal 3 3 2 2 2 2 5 2 3" xfId="24881"/>
    <cellStyle name="Normal 3 3 2 2 2 2 5 3" xfId="24882"/>
    <cellStyle name="Normal 3 3 2 2 2 2 5 3 2" xfId="24883"/>
    <cellStyle name="Normal 3 3 2 2 2 2 5 4" xfId="24884"/>
    <cellStyle name="Normal 3 3 2 2 2 2 5 4 2" xfId="24885"/>
    <cellStyle name="Normal 3 3 2 2 2 2 5 5" xfId="24886"/>
    <cellStyle name="Normal 3 3 2 2 2 2 5 6" xfId="24887"/>
    <cellStyle name="Normal 3 3 2 2 2 2 5 7" xfId="24888"/>
    <cellStyle name="Normal 3 3 2 2 2 2 6" xfId="24889"/>
    <cellStyle name="Normal 3 3 2 2 2 2 6 2" xfId="24890"/>
    <cellStyle name="Normal 3 3 2 2 2 2 6 2 2" xfId="24891"/>
    <cellStyle name="Normal 3 3 2 2 2 2 6 2 3" xfId="24892"/>
    <cellStyle name="Normal 3 3 2 2 2 2 6 3" xfId="24893"/>
    <cellStyle name="Normal 3 3 2 2 2 2 6 3 2" xfId="24894"/>
    <cellStyle name="Normal 3 3 2 2 2 2 6 4" xfId="24895"/>
    <cellStyle name="Normal 3 3 2 2 2 2 6 5" xfId="24896"/>
    <cellStyle name="Normal 3 3 2 2 2 2 6 6" xfId="24897"/>
    <cellStyle name="Normal 3 3 2 2 2 2 7" xfId="24898"/>
    <cellStyle name="Normal 3 3 2 2 2 2 7 2" xfId="24899"/>
    <cellStyle name="Normal 3 3 2 2 2 2 7 3" xfId="24900"/>
    <cellStyle name="Normal 3 3 2 2 2 2 8" xfId="24901"/>
    <cellStyle name="Normal 3 3 2 2 2 2 8 2" xfId="24902"/>
    <cellStyle name="Normal 3 3 2 2 2 2 9" xfId="24903"/>
    <cellStyle name="Normal 3 3 2 2 2 2 9 2" xfId="24904"/>
    <cellStyle name="Normal 3 3 2 2 2 3" xfId="24905"/>
    <cellStyle name="Normal 3 3 2 2 2 3 10" xfId="24906"/>
    <cellStyle name="Normal 3 3 2 2 2 3 11" xfId="24907"/>
    <cellStyle name="Normal 3 3 2 2 2 3 2" xfId="24908"/>
    <cellStyle name="Normal 3 3 2 2 2 3 2 2" xfId="24909"/>
    <cellStyle name="Normal 3 3 2 2 2 3 2 2 2" xfId="24910"/>
    <cellStyle name="Normal 3 3 2 2 2 3 2 2 2 2" xfId="24911"/>
    <cellStyle name="Normal 3 3 2 2 2 3 2 2 3" xfId="24912"/>
    <cellStyle name="Normal 3 3 2 2 2 3 2 2 4" xfId="24913"/>
    <cellStyle name="Normal 3 3 2 2 2 3 2 3" xfId="24914"/>
    <cellStyle name="Normal 3 3 2 2 2 3 2 3 2" xfId="24915"/>
    <cellStyle name="Normal 3 3 2 2 2 3 2 3 2 2" xfId="24916"/>
    <cellStyle name="Normal 3 3 2 2 2 3 2 3 3" xfId="24917"/>
    <cellStyle name="Normal 3 3 2 2 2 3 2 4" xfId="24918"/>
    <cellStyle name="Normal 3 3 2 2 2 3 2 4 2" xfId="24919"/>
    <cellStyle name="Normal 3 3 2 2 2 3 2 4 2 2" xfId="24920"/>
    <cellStyle name="Normal 3 3 2 2 2 3 2 4 3" xfId="24921"/>
    <cellStyle name="Normal 3 3 2 2 2 3 2 5" xfId="24922"/>
    <cellStyle name="Normal 3 3 2 2 2 3 2 5 2" xfId="24923"/>
    <cellStyle name="Normal 3 3 2 2 2 3 2 6" xfId="24924"/>
    <cellStyle name="Normal 3 3 2 2 2 3 2 7" xfId="24925"/>
    <cellStyle name="Normal 3 3 2 2 2 3 3" xfId="24926"/>
    <cellStyle name="Normal 3 3 2 2 2 3 3 2" xfId="24927"/>
    <cellStyle name="Normal 3 3 2 2 2 3 3 2 2" xfId="24928"/>
    <cellStyle name="Normal 3 3 2 2 2 3 3 2 2 2" xfId="24929"/>
    <cellStyle name="Normal 3 3 2 2 2 3 3 2 3" xfId="24930"/>
    <cellStyle name="Normal 3 3 2 2 2 3 3 3" xfId="24931"/>
    <cellStyle name="Normal 3 3 2 2 2 3 3 3 2" xfId="24932"/>
    <cellStyle name="Normal 3 3 2 2 2 3 3 3 2 2" xfId="24933"/>
    <cellStyle name="Normal 3 3 2 2 2 3 3 3 3" xfId="24934"/>
    <cellStyle name="Normal 3 3 2 2 2 3 3 4" xfId="24935"/>
    <cellStyle name="Normal 3 3 2 2 2 3 3 4 2" xfId="24936"/>
    <cellStyle name="Normal 3 3 2 2 2 3 3 4 3" xfId="24937"/>
    <cellStyle name="Normal 3 3 2 2 2 3 3 5" xfId="24938"/>
    <cellStyle name="Normal 3 3 2 2 2 3 3 6" xfId="24939"/>
    <cellStyle name="Normal 3 3 2 2 2 3 3 7" xfId="24940"/>
    <cellStyle name="Normal 3 3 2 2 2 3 4" xfId="24941"/>
    <cellStyle name="Normal 3 3 2 2 2 3 4 2" xfId="24942"/>
    <cellStyle name="Normal 3 3 2 2 2 3 4 2 2" xfId="24943"/>
    <cellStyle name="Normal 3 3 2 2 2 3 4 2 3" xfId="24944"/>
    <cellStyle name="Normal 3 3 2 2 2 3 4 3" xfId="24945"/>
    <cellStyle name="Normal 3 3 2 2 2 3 4 3 2" xfId="24946"/>
    <cellStyle name="Normal 3 3 2 2 2 3 4 3 3" xfId="24947"/>
    <cellStyle name="Normal 3 3 2 2 2 3 4 4" xfId="24948"/>
    <cellStyle name="Normal 3 3 2 2 2 3 4 4 2" xfId="24949"/>
    <cellStyle name="Normal 3 3 2 2 2 3 4 5" xfId="24950"/>
    <cellStyle name="Normal 3 3 2 2 2 3 4 6" xfId="24951"/>
    <cellStyle name="Normal 3 3 2 2 2 3 4 7" xfId="24952"/>
    <cellStyle name="Normal 3 3 2 2 2 3 5" xfId="24953"/>
    <cellStyle name="Normal 3 3 2 2 2 3 5 2" xfId="24954"/>
    <cellStyle name="Normal 3 3 2 2 2 3 5 2 2" xfId="24955"/>
    <cellStyle name="Normal 3 3 2 2 2 3 5 2 3" xfId="24956"/>
    <cellStyle name="Normal 3 3 2 2 2 3 5 3" xfId="24957"/>
    <cellStyle name="Normal 3 3 2 2 2 3 5 3 2" xfId="24958"/>
    <cellStyle name="Normal 3 3 2 2 2 3 5 4" xfId="24959"/>
    <cellStyle name="Normal 3 3 2 2 2 3 5 5" xfId="24960"/>
    <cellStyle name="Normal 3 3 2 2 2 3 5 6" xfId="24961"/>
    <cellStyle name="Normal 3 3 2 2 2 3 6" xfId="24962"/>
    <cellStyle name="Normal 3 3 2 2 2 3 6 2" xfId="24963"/>
    <cellStyle name="Normal 3 3 2 2 2 3 6 2 2" xfId="24964"/>
    <cellStyle name="Normal 3 3 2 2 2 3 6 3" xfId="24965"/>
    <cellStyle name="Normal 3 3 2 2 2 3 7" xfId="24966"/>
    <cellStyle name="Normal 3 3 2 2 2 3 7 2" xfId="24967"/>
    <cellStyle name="Normal 3 3 2 2 2 3 7 3" xfId="24968"/>
    <cellStyle name="Normal 3 3 2 2 2 3 8" xfId="24969"/>
    <cellStyle name="Normal 3 3 2 2 2 3 8 2" xfId="24970"/>
    <cellStyle name="Normal 3 3 2 2 2 3 9" xfId="24971"/>
    <cellStyle name="Normal 3 3 2 2 2 4" xfId="24972"/>
    <cellStyle name="Normal 3 3 2 2 2 4 10" xfId="24973"/>
    <cellStyle name="Normal 3 3 2 2 2 4 11" xfId="24974"/>
    <cellStyle name="Normal 3 3 2 2 2 4 2" xfId="24975"/>
    <cellStyle name="Normal 3 3 2 2 2 4 2 2" xfId="24976"/>
    <cellStyle name="Normal 3 3 2 2 2 4 2 2 2" xfId="24977"/>
    <cellStyle name="Normal 3 3 2 2 2 4 2 2 2 2" xfId="24978"/>
    <cellStyle name="Normal 3 3 2 2 2 4 2 2 3" xfId="24979"/>
    <cellStyle name="Normal 3 3 2 2 2 4 2 3" xfId="24980"/>
    <cellStyle name="Normal 3 3 2 2 2 4 2 3 2" xfId="24981"/>
    <cellStyle name="Normal 3 3 2 2 2 4 2 3 2 2" xfId="24982"/>
    <cellStyle name="Normal 3 3 2 2 2 4 2 3 3" xfId="24983"/>
    <cellStyle name="Normal 3 3 2 2 2 4 2 4" xfId="24984"/>
    <cellStyle name="Normal 3 3 2 2 2 4 2 4 2" xfId="24985"/>
    <cellStyle name="Normal 3 3 2 2 2 4 2 4 3" xfId="24986"/>
    <cellStyle name="Normal 3 3 2 2 2 4 2 5" xfId="24987"/>
    <cellStyle name="Normal 3 3 2 2 2 4 2 6" xfId="24988"/>
    <cellStyle name="Normal 3 3 2 2 2 4 2 7" xfId="24989"/>
    <cellStyle name="Normal 3 3 2 2 2 4 3" xfId="24990"/>
    <cellStyle name="Normal 3 3 2 2 2 4 3 2" xfId="24991"/>
    <cellStyle name="Normal 3 3 2 2 2 4 3 2 2" xfId="24992"/>
    <cellStyle name="Normal 3 3 2 2 2 4 3 2 3" xfId="24993"/>
    <cellStyle name="Normal 3 3 2 2 2 4 3 3" xfId="24994"/>
    <cellStyle name="Normal 3 3 2 2 2 4 3 3 2" xfId="24995"/>
    <cellStyle name="Normal 3 3 2 2 2 4 3 3 3" xfId="24996"/>
    <cellStyle name="Normal 3 3 2 2 2 4 3 4" xfId="24997"/>
    <cellStyle name="Normal 3 3 2 2 2 4 3 4 2" xfId="24998"/>
    <cellStyle name="Normal 3 3 2 2 2 4 3 5" xfId="24999"/>
    <cellStyle name="Normal 3 3 2 2 2 4 3 6" xfId="25000"/>
    <cellStyle name="Normal 3 3 2 2 2 4 3 7" xfId="25001"/>
    <cellStyle name="Normal 3 3 2 2 2 4 4" xfId="25002"/>
    <cellStyle name="Normal 3 3 2 2 2 4 4 2" xfId="25003"/>
    <cellStyle name="Normal 3 3 2 2 2 4 4 2 2" xfId="25004"/>
    <cellStyle name="Normal 3 3 2 2 2 4 4 2 3" xfId="25005"/>
    <cellStyle name="Normal 3 3 2 2 2 4 4 3" xfId="25006"/>
    <cellStyle name="Normal 3 3 2 2 2 4 4 3 2" xfId="25007"/>
    <cellStyle name="Normal 3 3 2 2 2 4 4 4" xfId="25008"/>
    <cellStyle name="Normal 3 3 2 2 2 4 4 4 2" xfId="25009"/>
    <cellStyle name="Normal 3 3 2 2 2 4 4 5" xfId="25010"/>
    <cellStyle name="Normal 3 3 2 2 2 4 4 6" xfId="25011"/>
    <cellStyle name="Normal 3 3 2 2 2 4 4 7" xfId="25012"/>
    <cellStyle name="Normal 3 3 2 2 2 4 5" xfId="25013"/>
    <cellStyle name="Normal 3 3 2 2 2 4 5 2" xfId="25014"/>
    <cellStyle name="Normal 3 3 2 2 2 4 5 2 2" xfId="25015"/>
    <cellStyle name="Normal 3 3 2 2 2 4 5 2 3" xfId="25016"/>
    <cellStyle name="Normal 3 3 2 2 2 4 5 3" xfId="25017"/>
    <cellStyle name="Normal 3 3 2 2 2 4 5 3 2" xfId="25018"/>
    <cellStyle name="Normal 3 3 2 2 2 4 5 4" xfId="25019"/>
    <cellStyle name="Normal 3 3 2 2 2 4 5 5" xfId="25020"/>
    <cellStyle name="Normal 3 3 2 2 2 4 5 6" xfId="25021"/>
    <cellStyle name="Normal 3 3 2 2 2 4 6" xfId="25022"/>
    <cellStyle name="Normal 3 3 2 2 2 4 6 2" xfId="25023"/>
    <cellStyle name="Normal 3 3 2 2 2 4 6 3" xfId="25024"/>
    <cellStyle name="Normal 3 3 2 2 2 4 7" xfId="25025"/>
    <cellStyle name="Normal 3 3 2 2 2 4 7 2" xfId="25026"/>
    <cellStyle name="Normal 3 3 2 2 2 4 8" xfId="25027"/>
    <cellStyle name="Normal 3 3 2 2 2 4 8 2" xfId="25028"/>
    <cellStyle name="Normal 3 3 2 2 2 4 9" xfId="25029"/>
    <cellStyle name="Normal 3 3 2 2 2 5" xfId="25030"/>
    <cellStyle name="Normal 3 3 2 2 2 5 2" xfId="25031"/>
    <cellStyle name="Normal 3 3 2 2 2 5 2 2" xfId="25032"/>
    <cellStyle name="Normal 3 3 2 2 2 5 2 2 2" xfId="25033"/>
    <cellStyle name="Normal 3 3 2 2 2 5 2 3" xfId="25034"/>
    <cellStyle name="Normal 3 3 2 2 2 5 3" xfId="25035"/>
    <cellStyle name="Normal 3 3 2 2 2 5 3 2" xfId="25036"/>
    <cellStyle name="Normal 3 3 2 2 2 5 3 2 2" xfId="25037"/>
    <cellStyle name="Normal 3 3 2 2 2 5 3 3" xfId="25038"/>
    <cellStyle name="Normal 3 3 2 2 2 5 4" xfId="25039"/>
    <cellStyle name="Normal 3 3 2 2 2 5 4 2" xfId="25040"/>
    <cellStyle name="Normal 3 3 2 2 2 5 4 3" xfId="25041"/>
    <cellStyle name="Normal 3 3 2 2 2 5 5" xfId="25042"/>
    <cellStyle name="Normal 3 3 2 2 2 5 6" xfId="25043"/>
    <cellStyle name="Normal 3 3 2 2 2 5 7" xfId="25044"/>
    <cellStyle name="Normal 3 3 2 2 2 6" xfId="25045"/>
    <cellStyle name="Normal 3 3 2 2 2 6 2" xfId="25046"/>
    <cellStyle name="Normal 3 3 2 2 2 6 2 2" xfId="25047"/>
    <cellStyle name="Normal 3 3 2 2 2 6 2 2 2" xfId="25048"/>
    <cellStyle name="Normal 3 3 2 2 2 6 2 3" xfId="25049"/>
    <cellStyle name="Normal 3 3 2 2 2 6 3" xfId="25050"/>
    <cellStyle name="Normal 3 3 2 2 2 6 3 2" xfId="25051"/>
    <cellStyle name="Normal 3 3 2 2 2 6 3 2 2" xfId="25052"/>
    <cellStyle name="Normal 3 3 2 2 2 6 3 3" xfId="25053"/>
    <cellStyle name="Normal 3 3 2 2 2 6 4" xfId="25054"/>
    <cellStyle name="Normal 3 3 2 2 2 6 4 2" xfId="25055"/>
    <cellStyle name="Normal 3 3 2 2 2 6 4 3" xfId="25056"/>
    <cellStyle name="Normal 3 3 2 2 2 6 5" xfId="25057"/>
    <cellStyle name="Normal 3 3 2 2 2 6 6" xfId="25058"/>
    <cellStyle name="Normal 3 3 2 2 2 6 7" xfId="25059"/>
    <cellStyle name="Normal 3 3 2 2 2 7" xfId="25060"/>
    <cellStyle name="Normal 3 3 2 2 2 7 2" xfId="25061"/>
    <cellStyle name="Normal 3 3 2 2 2 7 2 2" xfId="25062"/>
    <cellStyle name="Normal 3 3 2 2 2 7 2 3" xfId="25063"/>
    <cellStyle name="Normal 3 3 2 2 2 7 3" xfId="25064"/>
    <cellStyle name="Normal 3 3 2 2 2 7 3 2" xfId="25065"/>
    <cellStyle name="Normal 3 3 2 2 2 7 3 3" xfId="25066"/>
    <cellStyle name="Normal 3 3 2 2 2 7 4" xfId="25067"/>
    <cellStyle name="Normal 3 3 2 2 2 7 4 2" xfId="25068"/>
    <cellStyle name="Normal 3 3 2 2 2 7 5" xfId="25069"/>
    <cellStyle name="Normal 3 3 2 2 2 7 6" xfId="25070"/>
    <cellStyle name="Normal 3 3 2 2 2 7 7" xfId="25071"/>
    <cellStyle name="Normal 3 3 2 2 2 8" xfId="25072"/>
    <cellStyle name="Normal 3 3 2 2 2 8 2" xfId="25073"/>
    <cellStyle name="Normal 3 3 2 2 2 8 2 2" xfId="25074"/>
    <cellStyle name="Normal 3 3 2 2 2 8 2 3" xfId="25075"/>
    <cellStyle name="Normal 3 3 2 2 2 8 3" xfId="25076"/>
    <cellStyle name="Normal 3 3 2 2 2 8 3 2" xfId="25077"/>
    <cellStyle name="Normal 3 3 2 2 2 8 4" xfId="25078"/>
    <cellStyle name="Normal 3 3 2 2 2 8 5" xfId="25079"/>
    <cellStyle name="Normal 3 3 2 2 2 8 6" xfId="25080"/>
    <cellStyle name="Normal 3 3 2 2 2 9" xfId="25081"/>
    <cellStyle name="Normal 3 3 2 2 2 9 2" xfId="25082"/>
    <cellStyle name="Normal 3 3 2 2 2 9 2 2" xfId="25083"/>
    <cellStyle name="Normal 3 3 2 2 2 9 3" xfId="25084"/>
    <cellStyle name="Normal 3 3 2 2 3" xfId="25085"/>
    <cellStyle name="Normal 3 3 2 2 3 10" xfId="25086"/>
    <cellStyle name="Normal 3 3 2 2 3 10 2" xfId="25087"/>
    <cellStyle name="Normal 3 3 2 2 3 11" xfId="25088"/>
    <cellStyle name="Normal 3 3 2 2 3 11 2" xfId="25089"/>
    <cellStyle name="Normal 3 3 2 2 3 12" xfId="25090"/>
    <cellStyle name="Normal 3 3 2 2 3 13" xfId="25091"/>
    <cellStyle name="Normal 3 3 2 2 3 14" xfId="25092"/>
    <cellStyle name="Normal 3 3 2 2 3 2" xfId="25093"/>
    <cellStyle name="Normal 3 3 2 2 3 2 10" xfId="25094"/>
    <cellStyle name="Normal 3 3 2 2 3 2 11" xfId="25095"/>
    <cellStyle name="Normal 3 3 2 2 3 2 12" xfId="25096"/>
    <cellStyle name="Normal 3 3 2 2 3 2 2" xfId="25097"/>
    <cellStyle name="Normal 3 3 2 2 3 2 2 2" xfId="25098"/>
    <cellStyle name="Normal 3 3 2 2 3 2 2 2 2" xfId="25099"/>
    <cellStyle name="Normal 3 3 2 2 3 2 2 2 2 2" xfId="25100"/>
    <cellStyle name="Normal 3 3 2 2 3 2 2 2 3" xfId="25101"/>
    <cellStyle name="Normal 3 3 2 2 3 2 2 2 4" xfId="25102"/>
    <cellStyle name="Normal 3 3 2 2 3 2 2 3" xfId="25103"/>
    <cellStyle name="Normal 3 3 2 2 3 2 2 3 2" xfId="25104"/>
    <cellStyle name="Normal 3 3 2 2 3 2 2 3 2 2" xfId="25105"/>
    <cellStyle name="Normal 3 3 2 2 3 2 2 3 3" xfId="25106"/>
    <cellStyle name="Normal 3 3 2 2 3 2 2 4" xfId="25107"/>
    <cellStyle name="Normal 3 3 2 2 3 2 2 4 2" xfId="25108"/>
    <cellStyle name="Normal 3 3 2 2 3 2 2 4 2 2" xfId="25109"/>
    <cellStyle name="Normal 3 3 2 2 3 2 2 4 3" xfId="25110"/>
    <cellStyle name="Normal 3 3 2 2 3 2 2 5" xfId="25111"/>
    <cellStyle name="Normal 3 3 2 2 3 2 2 5 2" xfId="25112"/>
    <cellStyle name="Normal 3 3 2 2 3 2 2 6" xfId="25113"/>
    <cellStyle name="Normal 3 3 2 2 3 2 2 7" xfId="25114"/>
    <cellStyle name="Normal 3 3 2 2 3 2 3" xfId="25115"/>
    <cellStyle name="Normal 3 3 2 2 3 2 3 2" xfId="25116"/>
    <cellStyle name="Normal 3 3 2 2 3 2 3 2 2" xfId="25117"/>
    <cellStyle name="Normal 3 3 2 2 3 2 3 2 2 2" xfId="25118"/>
    <cellStyle name="Normal 3 3 2 2 3 2 3 2 3" xfId="25119"/>
    <cellStyle name="Normal 3 3 2 2 3 2 3 3" xfId="25120"/>
    <cellStyle name="Normal 3 3 2 2 3 2 3 3 2" xfId="25121"/>
    <cellStyle name="Normal 3 3 2 2 3 2 3 3 2 2" xfId="25122"/>
    <cellStyle name="Normal 3 3 2 2 3 2 3 3 3" xfId="25123"/>
    <cellStyle name="Normal 3 3 2 2 3 2 3 4" xfId="25124"/>
    <cellStyle name="Normal 3 3 2 2 3 2 3 4 2" xfId="25125"/>
    <cellStyle name="Normal 3 3 2 2 3 2 3 4 3" xfId="25126"/>
    <cellStyle name="Normal 3 3 2 2 3 2 3 5" xfId="25127"/>
    <cellStyle name="Normal 3 3 2 2 3 2 3 6" xfId="25128"/>
    <cellStyle name="Normal 3 3 2 2 3 2 3 7" xfId="25129"/>
    <cellStyle name="Normal 3 3 2 2 3 2 4" xfId="25130"/>
    <cellStyle name="Normal 3 3 2 2 3 2 4 2" xfId="25131"/>
    <cellStyle name="Normal 3 3 2 2 3 2 4 2 2" xfId="25132"/>
    <cellStyle name="Normal 3 3 2 2 3 2 4 2 3" xfId="25133"/>
    <cellStyle name="Normal 3 3 2 2 3 2 4 3" xfId="25134"/>
    <cellStyle name="Normal 3 3 2 2 3 2 4 3 2" xfId="25135"/>
    <cellStyle name="Normal 3 3 2 2 3 2 4 3 3" xfId="25136"/>
    <cellStyle name="Normal 3 3 2 2 3 2 4 4" xfId="25137"/>
    <cellStyle name="Normal 3 3 2 2 3 2 4 4 2" xfId="25138"/>
    <cellStyle name="Normal 3 3 2 2 3 2 4 5" xfId="25139"/>
    <cellStyle name="Normal 3 3 2 2 3 2 4 6" xfId="25140"/>
    <cellStyle name="Normal 3 3 2 2 3 2 4 7" xfId="25141"/>
    <cellStyle name="Normal 3 3 2 2 3 2 5" xfId="25142"/>
    <cellStyle name="Normal 3 3 2 2 3 2 5 2" xfId="25143"/>
    <cellStyle name="Normal 3 3 2 2 3 2 5 2 2" xfId="25144"/>
    <cellStyle name="Normal 3 3 2 2 3 2 5 2 3" xfId="25145"/>
    <cellStyle name="Normal 3 3 2 2 3 2 5 3" xfId="25146"/>
    <cellStyle name="Normal 3 3 2 2 3 2 5 3 2" xfId="25147"/>
    <cellStyle name="Normal 3 3 2 2 3 2 5 4" xfId="25148"/>
    <cellStyle name="Normal 3 3 2 2 3 2 5 4 2" xfId="25149"/>
    <cellStyle name="Normal 3 3 2 2 3 2 5 5" xfId="25150"/>
    <cellStyle name="Normal 3 3 2 2 3 2 5 6" xfId="25151"/>
    <cellStyle name="Normal 3 3 2 2 3 2 5 7" xfId="25152"/>
    <cellStyle name="Normal 3 3 2 2 3 2 6" xfId="25153"/>
    <cellStyle name="Normal 3 3 2 2 3 2 6 2" xfId="25154"/>
    <cellStyle name="Normal 3 3 2 2 3 2 6 2 2" xfId="25155"/>
    <cellStyle name="Normal 3 3 2 2 3 2 6 2 3" xfId="25156"/>
    <cellStyle name="Normal 3 3 2 2 3 2 6 3" xfId="25157"/>
    <cellStyle name="Normal 3 3 2 2 3 2 6 3 2" xfId="25158"/>
    <cellStyle name="Normal 3 3 2 2 3 2 6 4" xfId="25159"/>
    <cellStyle name="Normal 3 3 2 2 3 2 6 5" xfId="25160"/>
    <cellStyle name="Normal 3 3 2 2 3 2 6 6" xfId="25161"/>
    <cellStyle name="Normal 3 3 2 2 3 2 7" xfId="25162"/>
    <cellStyle name="Normal 3 3 2 2 3 2 7 2" xfId="25163"/>
    <cellStyle name="Normal 3 3 2 2 3 2 7 3" xfId="25164"/>
    <cellStyle name="Normal 3 3 2 2 3 2 8" xfId="25165"/>
    <cellStyle name="Normal 3 3 2 2 3 2 8 2" xfId="25166"/>
    <cellStyle name="Normal 3 3 2 2 3 2 9" xfId="25167"/>
    <cellStyle name="Normal 3 3 2 2 3 2 9 2" xfId="25168"/>
    <cellStyle name="Normal 3 3 2 2 3 3" xfId="25169"/>
    <cellStyle name="Normal 3 3 2 2 3 3 10" xfId="25170"/>
    <cellStyle name="Normal 3 3 2 2 3 3 11" xfId="25171"/>
    <cellStyle name="Normal 3 3 2 2 3 3 2" xfId="25172"/>
    <cellStyle name="Normal 3 3 2 2 3 3 2 2" xfId="25173"/>
    <cellStyle name="Normal 3 3 2 2 3 3 2 2 2" xfId="25174"/>
    <cellStyle name="Normal 3 3 2 2 3 3 2 2 3" xfId="25175"/>
    <cellStyle name="Normal 3 3 2 2 3 3 2 3" xfId="25176"/>
    <cellStyle name="Normal 3 3 2 2 3 3 2 3 2" xfId="25177"/>
    <cellStyle name="Normal 3 3 2 2 3 3 2 3 3" xfId="25178"/>
    <cellStyle name="Normal 3 3 2 2 3 3 2 4" xfId="25179"/>
    <cellStyle name="Normal 3 3 2 2 3 3 2 4 2" xfId="25180"/>
    <cellStyle name="Normal 3 3 2 2 3 3 2 5" xfId="25181"/>
    <cellStyle name="Normal 3 3 2 2 3 3 2 6" xfId="25182"/>
    <cellStyle name="Normal 3 3 2 2 3 3 2 7" xfId="25183"/>
    <cellStyle name="Normal 3 3 2 2 3 3 3" xfId="25184"/>
    <cellStyle name="Normal 3 3 2 2 3 3 3 2" xfId="25185"/>
    <cellStyle name="Normal 3 3 2 2 3 3 3 2 2" xfId="25186"/>
    <cellStyle name="Normal 3 3 2 2 3 3 3 2 3" xfId="25187"/>
    <cellStyle name="Normal 3 3 2 2 3 3 3 3" xfId="25188"/>
    <cellStyle name="Normal 3 3 2 2 3 3 3 3 2" xfId="25189"/>
    <cellStyle name="Normal 3 3 2 2 3 3 3 4" xfId="25190"/>
    <cellStyle name="Normal 3 3 2 2 3 3 3 4 2" xfId="25191"/>
    <cellStyle name="Normal 3 3 2 2 3 3 3 5" xfId="25192"/>
    <cellStyle name="Normal 3 3 2 2 3 3 3 6" xfId="25193"/>
    <cellStyle name="Normal 3 3 2 2 3 3 3 7" xfId="25194"/>
    <cellStyle name="Normal 3 3 2 2 3 3 4" xfId="25195"/>
    <cellStyle name="Normal 3 3 2 2 3 3 4 2" xfId="25196"/>
    <cellStyle name="Normal 3 3 2 2 3 3 4 2 2" xfId="25197"/>
    <cellStyle name="Normal 3 3 2 2 3 3 4 2 3" xfId="25198"/>
    <cellStyle name="Normal 3 3 2 2 3 3 4 3" xfId="25199"/>
    <cellStyle name="Normal 3 3 2 2 3 3 4 3 2" xfId="25200"/>
    <cellStyle name="Normal 3 3 2 2 3 3 4 4" xfId="25201"/>
    <cellStyle name="Normal 3 3 2 2 3 3 4 4 2" xfId="25202"/>
    <cellStyle name="Normal 3 3 2 2 3 3 4 5" xfId="25203"/>
    <cellStyle name="Normal 3 3 2 2 3 3 4 6" xfId="25204"/>
    <cellStyle name="Normal 3 3 2 2 3 3 4 7" xfId="25205"/>
    <cellStyle name="Normal 3 3 2 2 3 3 5" xfId="25206"/>
    <cellStyle name="Normal 3 3 2 2 3 3 5 2" xfId="25207"/>
    <cellStyle name="Normal 3 3 2 2 3 3 5 2 2" xfId="25208"/>
    <cellStyle name="Normal 3 3 2 2 3 3 5 3" xfId="25209"/>
    <cellStyle name="Normal 3 3 2 2 3 3 5 3 2" xfId="25210"/>
    <cellStyle name="Normal 3 3 2 2 3 3 5 4" xfId="25211"/>
    <cellStyle name="Normal 3 3 2 2 3 3 5 5" xfId="25212"/>
    <cellStyle name="Normal 3 3 2 2 3 3 5 6" xfId="25213"/>
    <cellStyle name="Normal 3 3 2 2 3 3 6" xfId="25214"/>
    <cellStyle name="Normal 3 3 2 2 3 3 6 2" xfId="25215"/>
    <cellStyle name="Normal 3 3 2 2 3 3 7" xfId="25216"/>
    <cellStyle name="Normal 3 3 2 2 3 3 7 2" xfId="25217"/>
    <cellStyle name="Normal 3 3 2 2 3 3 8" xfId="25218"/>
    <cellStyle name="Normal 3 3 2 2 3 3 8 2" xfId="25219"/>
    <cellStyle name="Normal 3 3 2 2 3 3 9" xfId="25220"/>
    <cellStyle name="Normal 3 3 2 2 3 4" xfId="25221"/>
    <cellStyle name="Normal 3 3 2 2 3 4 10" xfId="25222"/>
    <cellStyle name="Normal 3 3 2 2 3 4 11" xfId="25223"/>
    <cellStyle name="Normal 3 3 2 2 3 4 2" xfId="25224"/>
    <cellStyle name="Normal 3 3 2 2 3 4 2 2" xfId="25225"/>
    <cellStyle name="Normal 3 3 2 2 3 4 2 2 2" xfId="25226"/>
    <cellStyle name="Normal 3 3 2 2 3 4 2 2 3" xfId="25227"/>
    <cellStyle name="Normal 3 3 2 2 3 4 2 3" xfId="25228"/>
    <cellStyle name="Normal 3 3 2 2 3 4 2 3 2" xfId="25229"/>
    <cellStyle name="Normal 3 3 2 2 3 4 2 4" xfId="25230"/>
    <cellStyle name="Normal 3 3 2 2 3 4 2 4 2" xfId="25231"/>
    <cellStyle name="Normal 3 3 2 2 3 4 2 5" xfId="25232"/>
    <cellStyle name="Normal 3 3 2 2 3 4 2 6" xfId="25233"/>
    <cellStyle name="Normal 3 3 2 2 3 4 2 7" xfId="25234"/>
    <cellStyle name="Normal 3 3 2 2 3 4 3" xfId="25235"/>
    <cellStyle name="Normal 3 3 2 2 3 4 3 2" xfId="25236"/>
    <cellStyle name="Normal 3 3 2 2 3 4 3 2 2" xfId="25237"/>
    <cellStyle name="Normal 3 3 2 2 3 4 3 2 3" xfId="25238"/>
    <cellStyle name="Normal 3 3 2 2 3 4 3 3" xfId="25239"/>
    <cellStyle name="Normal 3 3 2 2 3 4 3 3 2" xfId="25240"/>
    <cellStyle name="Normal 3 3 2 2 3 4 3 4" xfId="25241"/>
    <cellStyle name="Normal 3 3 2 2 3 4 3 4 2" xfId="25242"/>
    <cellStyle name="Normal 3 3 2 2 3 4 3 5" xfId="25243"/>
    <cellStyle name="Normal 3 3 2 2 3 4 3 6" xfId="25244"/>
    <cellStyle name="Normal 3 3 2 2 3 4 3 7" xfId="25245"/>
    <cellStyle name="Normal 3 3 2 2 3 4 4" xfId="25246"/>
    <cellStyle name="Normal 3 3 2 2 3 4 4 2" xfId="25247"/>
    <cellStyle name="Normal 3 3 2 2 3 4 4 2 2" xfId="25248"/>
    <cellStyle name="Normal 3 3 2 2 3 4 4 3" xfId="25249"/>
    <cellStyle name="Normal 3 3 2 2 3 4 4 3 2" xfId="25250"/>
    <cellStyle name="Normal 3 3 2 2 3 4 4 4" xfId="25251"/>
    <cellStyle name="Normal 3 3 2 2 3 4 4 4 2" xfId="25252"/>
    <cellStyle name="Normal 3 3 2 2 3 4 4 5" xfId="25253"/>
    <cellStyle name="Normal 3 3 2 2 3 4 4 6" xfId="25254"/>
    <cellStyle name="Normal 3 3 2 2 3 4 4 7" xfId="25255"/>
    <cellStyle name="Normal 3 3 2 2 3 4 5" xfId="25256"/>
    <cellStyle name="Normal 3 3 2 2 3 4 5 2" xfId="25257"/>
    <cellStyle name="Normal 3 3 2 2 3 4 5 2 2" xfId="25258"/>
    <cellStyle name="Normal 3 3 2 2 3 4 5 3" xfId="25259"/>
    <cellStyle name="Normal 3 3 2 2 3 4 5 3 2" xfId="25260"/>
    <cellStyle name="Normal 3 3 2 2 3 4 5 4" xfId="25261"/>
    <cellStyle name="Normal 3 3 2 2 3 4 5 5" xfId="25262"/>
    <cellStyle name="Normal 3 3 2 2 3 4 6" xfId="25263"/>
    <cellStyle name="Normal 3 3 2 2 3 4 6 2" xfId="25264"/>
    <cellStyle name="Normal 3 3 2 2 3 4 7" xfId="25265"/>
    <cellStyle name="Normal 3 3 2 2 3 4 7 2" xfId="25266"/>
    <cellStyle name="Normal 3 3 2 2 3 4 8" xfId="25267"/>
    <cellStyle name="Normal 3 3 2 2 3 4 8 2" xfId="25268"/>
    <cellStyle name="Normal 3 3 2 2 3 4 9" xfId="25269"/>
    <cellStyle name="Normal 3 3 2 2 3 5" xfId="25270"/>
    <cellStyle name="Normal 3 3 2 2 3 5 2" xfId="25271"/>
    <cellStyle name="Normal 3 3 2 2 3 5 2 2" xfId="25272"/>
    <cellStyle name="Normal 3 3 2 2 3 5 2 3" xfId="25273"/>
    <cellStyle name="Normal 3 3 2 2 3 5 3" xfId="25274"/>
    <cellStyle name="Normal 3 3 2 2 3 5 3 2" xfId="25275"/>
    <cellStyle name="Normal 3 3 2 2 3 5 3 3" xfId="25276"/>
    <cellStyle name="Normal 3 3 2 2 3 5 4" xfId="25277"/>
    <cellStyle name="Normal 3 3 2 2 3 5 4 2" xfId="25278"/>
    <cellStyle name="Normal 3 3 2 2 3 5 5" xfId="25279"/>
    <cellStyle name="Normal 3 3 2 2 3 5 6" xfId="25280"/>
    <cellStyle name="Normal 3 3 2 2 3 5 7" xfId="25281"/>
    <cellStyle name="Normal 3 3 2 2 3 6" xfId="25282"/>
    <cellStyle name="Normal 3 3 2 2 3 6 2" xfId="25283"/>
    <cellStyle name="Normal 3 3 2 2 3 6 2 2" xfId="25284"/>
    <cellStyle name="Normal 3 3 2 2 3 6 2 3" xfId="25285"/>
    <cellStyle name="Normal 3 3 2 2 3 6 3" xfId="25286"/>
    <cellStyle name="Normal 3 3 2 2 3 6 3 2" xfId="25287"/>
    <cellStyle name="Normal 3 3 2 2 3 6 4" xfId="25288"/>
    <cellStyle name="Normal 3 3 2 2 3 6 4 2" xfId="25289"/>
    <cellStyle name="Normal 3 3 2 2 3 6 5" xfId="25290"/>
    <cellStyle name="Normal 3 3 2 2 3 6 6" xfId="25291"/>
    <cellStyle name="Normal 3 3 2 2 3 6 7" xfId="25292"/>
    <cellStyle name="Normal 3 3 2 2 3 7" xfId="25293"/>
    <cellStyle name="Normal 3 3 2 2 3 7 2" xfId="25294"/>
    <cellStyle name="Normal 3 3 2 2 3 7 2 2" xfId="25295"/>
    <cellStyle name="Normal 3 3 2 2 3 7 2 3" xfId="25296"/>
    <cellStyle name="Normal 3 3 2 2 3 7 3" xfId="25297"/>
    <cellStyle name="Normal 3 3 2 2 3 7 3 2" xfId="25298"/>
    <cellStyle name="Normal 3 3 2 2 3 7 4" xfId="25299"/>
    <cellStyle name="Normal 3 3 2 2 3 7 4 2" xfId="25300"/>
    <cellStyle name="Normal 3 3 2 2 3 7 5" xfId="25301"/>
    <cellStyle name="Normal 3 3 2 2 3 7 6" xfId="25302"/>
    <cellStyle name="Normal 3 3 2 2 3 7 7" xfId="25303"/>
    <cellStyle name="Normal 3 3 2 2 3 8" xfId="25304"/>
    <cellStyle name="Normal 3 3 2 2 3 8 2" xfId="25305"/>
    <cellStyle name="Normal 3 3 2 2 3 8 2 2" xfId="25306"/>
    <cellStyle name="Normal 3 3 2 2 3 8 3" xfId="25307"/>
    <cellStyle name="Normal 3 3 2 2 3 8 3 2" xfId="25308"/>
    <cellStyle name="Normal 3 3 2 2 3 8 4" xfId="25309"/>
    <cellStyle name="Normal 3 3 2 2 3 8 5" xfId="25310"/>
    <cellStyle name="Normal 3 3 2 2 3 8 6" xfId="25311"/>
    <cellStyle name="Normal 3 3 2 2 3 9" xfId="25312"/>
    <cellStyle name="Normal 3 3 2 2 3 9 2" xfId="25313"/>
    <cellStyle name="Normal 3 3 2 2 4" xfId="25314"/>
    <cellStyle name="Normal 3 3 2 2 4 10" xfId="25315"/>
    <cellStyle name="Normal 3 3 2 2 4 10 2" xfId="25316"/>
    <cellStyle name="Normal 3 3 2 2 4 11" xfId="25317"/>
    <cellStyle name="Normal 3 3 2 2 4 12" xfId="25318"/>
    <cellStyle name="Normal 3 3 2 2 4 13" xfId="25319"/>
    <cellStyle name="Normal 3 3 2 2 4 2" xfId="25320"/>
    <cellStyle name="Normal 3 3 2 2 4 2 10" xfId="25321"/>
    <cellStyle name="Normal 3 3 2 2 4 2 11" xfId="25322"/>
    <cellStyle name="Normal 3 3 2 2 4 2 2" xfId="25323"/>
    <cellStyle name="Normal 3 3 2 2 4 2 2 2" xfId="25324"/>
    <cellStyle name="Normal 3 3 2 2 4 2 2 2 2" xfId="25325"/>
    <cellStyle name="Normal 3 3 2 2 4 2 2 2 3" xfId="25326"/>
    <cellStyle name="Normal 3 3 2 2 4 2 2 3" xfId="25327"/>
    <cellStyle name="Normal 3 3 2 2 4 2 2 3 2" xfId="25328"/>
    <cellStyle name="Normal 3 3 2 2 4 2 2 3 3" xfId="25329"/>
    <cellStyle name="Normal 3 3 2 2 4 2 2 4" xfId="25330"/>
    <cellStyle name="Normal 3 3 2 2 4 2 2 4 2" xfId="25331"/>
    <cellStyle name="Normal 3 3 2 2 4 2 2 5" xfId="25332"/>
    <cellStyle name="Normal 3 3 2 2 4 2 2 6" xfId="25333"/>
    <cellStyle name="Normal 3 3 2 2 4 2 2 7" xfId="25334"/>
    <cellStyle name="Normal 3 3 2 2 4 2 3" xfId="25335"/>
    <cellStyle name="Normal 3 3 2 2 4 2 3 2" xfId="25336"/>
    <cellStyle name="Normal 3 3 2 2 4 2 3 2 2" xfId="25337"/>
    <cellStyle name="Normal 3 3 2 2 4 2 3 2 3" xfId="25338"/>
    <cellStyle name="Normal 3 3 2 2 4 2 3 3" xfId="25339"/>
    <cellStyle name="Normal 3 3 2 2 4 2 3 3 2" xfId="25340"/>
    <cellStyle name="Normal 3 3 2 2 4 2 3 4" xfId="25341"/>
    <cellStyle name="Normal 3 3 2 2 4 2 3 4 2" xfId="25342"/>
    <cellStyle name="Normal 3 3 2 2 4 2 3 5" xfId="25343"/>
    <cellStyle name="Normal 3 3 2 2 4 2 3 6" xfId="25344"/>
    <cellStyle name="Normal 3 3 2 2 4 2 3 7" xfId="25345"/>
    <cellStyle name="Normal 3 3 2 2 4 2 4" xfId="25346"/>
    <cellStyle name="Normal 3 3 2 2 4 2 4 2" xfId="25347"/>
    <cellStyle name="Normal 3 3 2 2 4 2 4 2 2" xfId="25348"/>
    <cellStyle name="Normal 3 3 2 2 4 2 4 2 3" xfId="25349"/>
    <cellStyle name="Normal 3 3 2 2 4 2 4 3" xfId="25350"/>
    <cellStyle name="Normal 3 3 2 2 4 2 4 3 2" xfId="25351"/>
    <cellStyle name="Normal 3 3 2 2 4 2 4 4" xfId="25352"/>
    <cellStyle name="Normal 3 3 2 2 4 2 4 4 2" xfId="25353"/>
    <cellStyle name="Normal 3 3 2 2 4 2 4 5" xfId="25354"/>
    <cellStyle name="Normal 3 3 2 2 4 2 4 6" xfId="25355"/>
    <cellStyle name="Normal 3 3 2 2 4 2 4 7" xfId="25356"/>
    <cellStyle name="Normal 3 3 2 2 4 2 5" xfId="25357"/>
    <cellStyle name="Normal 3 3 2 2 4 2 5 2" xfId="25358"/>
    <cellStyle name="Normal 3 3 2 2 4 2 5 2 2" xfId="25359"/>
    <cellStyle name="Normal 3 3 2 2 4 2 5 3" xfId="25360"/>
    <cellStyle name="Normal 3 3 2 2 4 2 5 3 2" xfId="25361"/>
    <cellStyle name="Normal 3 3 2 2 4 2 5 4" xfId="25362"/>
    <cellStyle name="Normal 3 3 2 2 4 2 5 5" xfId="25363"/>
    <cellStyle name="Normal 3 3 2 2 4 2 5 6" xfId="25364"/>
    <cellStyle name="Normal 3 3 2 2 4 2 6" xfId="25365"/>
    <cellStyle name="Normal 3 3 2 2 4 2 6 2" xfId="25366"/>
    <cellStyle name="Normal 3 3 2 2 4 2 7" xfId="25367"/>
    <cellStyle name="Normal 3 3 2 2 4 2 7 2" xfId="25368"/>
    <cellStyle name="Normal 3 3 2 2 4 2 8" xfId="25369"/>
    <cellStyle name="Normal 3 3 2 2 4 2 8 2" xfId="25370"/>
    <cellStyle name="Normal 3 3 2 2 4 2 9" xfId="25371"/>
    <cellStyle name="Normal 3 3 2 2 4 3" xfId="25372"/>
    <cellStyle name="Normal 3 3 2 2 4 3 10" xfId="25373"/>
    <cellStyle name="Normal 3 3 2 2 4 3 11" xfId="25374"/>
    <cellStyle name="Normal 3 3 2 2 4 3 2" xfId="25375"/>
    <cellStyle name="Normal 3 3 2 2 4 3 2 2" xfId="25376"/>
    <cellStyle name="Normal 3 3 2 2 4 3 2 2 2" xfId="25377"/>
    <cellStyle name="Normal 3 3 2 2 4 3 2 2 3" xfId="25378"/>
    <cellStyle name="Normal 3 3 2 2 4 3 2 3" xfId="25379"/>
    <cellStyle name="Normal 3 3 2 2 4 3 2 3 2" xfId="25380"/>
    <cellStyle name="Normal 3 3 2 2 4 3 2 4" xfId="25381"/>
    <cellStyle name="Normal 3 3 2 2 4 3 2 4 2" xfId="25382"/>
    <cellStyle name="Normal 3 3 2 2 4 3 2 5" xfId="25383"/>
    <cellStyle name="Normal 3 3 2 2 4 3 2 6" xfId="25384"/>
    <cellStyle name="Normal 3 3 2 2 4 3 2 7" xfId="25385"/>
    <cellStyle name="Normal 3 3 2 2 4 3 3" xfId="25386"/>
    <cellStyle name="Normal 3 3 2 2 4 3 3 2" xfId="25387"/>
    <cellStyle name="Normal 3 3 2 2 4 3 3 2 2" xfId="25388"/>
    <cellStyle name="Normal 3 3 2 2 4 3 3 2 3" xfId="25389"/>
    <cellStyle name="Normal 3 3 2 2 4 3 3 3" xfId="25390"/>
    <cellStyle name="Normal 3 3 2 2 4 3 3 3 2" xfId="25391"/>
    <cellStyle name="Normal 3 3 2 2 4 3 3 4" xfId="25392"/>
    <cellStyle name="Normal 3 3 2 2 4 3 3 4 2" xfId="25393"/>
    <cellStyle name="Normal 3 3 2 2 4 3 3 5" xfId="25394"/>
    <cellStyle name="Normal 3 3 2 2 4 3 3 6" xfId="25395"/>
    <cellStyle name="Normal 3 3 2 2 4 3 3 7" xfId="25396"/>
    <cellStyle name="Normal 3 3 2 2 4 3 4" xfId="25397"/>
    <cellStyle name="Normal 3 3 2 2 4 3 4 2" xfId="25398"/>
    <cellStyle name="Normal 3 3 2 2 4 3 4 2 2" xfId="25399"/>
    <cellStyle name="Normal 3 3 2 2 4 3 4 3" xfId="25400"/>
    <cellStyle name="Normal 3 3 2 2 4 3 4 3 2" xfId="25401"/>
    <cellStyle name="Normal 3 3 2 2 4 3 4 4" xfId="25402"/>
    <cellStyle name="Normal 3 3 2 2 4 3 4 4 2" xfId="25403"/>
    <cellStyle name="Normal 3 3 2 2 4 3 4 5" xfId="25404"/>
    <cellStyle name="Normal 3 3 2 2 4 3 4 6" xfId="25405"/>
    <cellStyle name="Normal 3 3 2 2 4 3 4 7" xfId="25406"/>
    <cellStyle name="Normal 3 3 2 2 4 3 5" xfId="25407"/>
    <cellStyle name="Normal 3 3 2 2 4 3 5 2" xfId="25408"/>
    <cellStyle name="Normal 3 3 2 2 4 3 5 2 2" xfId="25409"/>
    <cellStyle name="Normal 3 3 2 2 4 3 5 3" xfId="25410"/>
    <cellStyle name="Normal 3 3 2 2 4 3 5 3 2" xfId="25411"/>
    <cellStyle name="Normal 3 3 2 2 4 3 5 4" xfId="25412"/>
    <cellStyle name="Normal 3 3 2 2 4 3 5 5" xfId="25413"/>
    <cellStyle name="Normal 3 3 2 2 4 3 6" xfId="25414"/>
    <cellStyle name="Normal 3 3 2 2 4 3 6 2" xfId="25415"/>
    <cellStyle name="Normal 3 3 2 2 4 3 7" xfId="25416"/>
    <cellStyle name="Normal 3 3 2 2 4 3 7 2" xfId="25417"/>
    <cellStyle name="Normal 3 3 2 2 4 3 8" xfId="25418"/>
    <cellStyle name="Normal 3 3 2 2 4 3 8 2" xfId="25419"/>
    <cellStyle name="Normal 3 3 2 2 4 3 9" xfId="25420"/>
    <cellStyle name="Normal 3 3 2 2 4 4" xfId="25421"/>
    <cellStyle name="Normal 3 3 2 2 4 4 2" xfId="25422"/>
    <cellStyle name="Normal 3 3 2 2 4 4 2 2" xfId="25423"/>
    <cellStyle name="Normal 3 3 2 2 4 4 2 3" xfId="25424"/>
    <cellStyle name="Normal 3 3 2 2 4 4 3" xfId="25425"/>
    <cellStyle name="Normal 3 3 2 2 4 4 3 2" xfId="25426"/>
    <cellStyle name="Normal 3 3 2 2 4 4 3 3" xfId="25427"/>
    <cellStyle name="Normal 3 3 2 2 4 4 4" xfId="25428"/>
    <cellStyle name="Normal 3 3 2 2 4 4 4 2" xfId="25429"/>
    <cellStyle name="Normal 3 3 2 2 4 4 5" xfId="25430"/>
    <cellStyle name="Normal 3 3 2 2 4 4 6" xfId="25431"/>
    <cellStyle name="Normal 3 3 2 2 4 4 7" xfId="25432"/>
    <cellStyle name="Normal 3 3 2 2 4 5" xfId="25433"/>
    <cellStyle name="Normal 3 3 2 2 4 5 2" xfId="25434"/>
    <cellStyle name="Normal 3 3 2 2 4 5 2 2" xfId="25435"/>
    <cellStyle name="Normal 3 3 2 2 4 5 2 3" xfId="25436"/>
    <cellStyle name="Normal 3 3 2 2 4 5 3" xfId="25437"/>
    <cellStyle name="Normal 3 3 2 2 4 5 3 2" xfId="25438"/>
    <cellStyle name="Normal 3 3 2 2 4 5 4" xfId="25439"/>
    <cellStyle name="Normal 3 3 2 2 4 5 4 2" xfId="25440"/>
    <cellStyle name="Normal 3 3 2 2 4 5 5" xfId="25441"/>
    <cellStyle name="Normal 3 3 2 2 4 5 6" xfId="25442"/>
    <cellStyle name="Normal 3 3 2 2 4 5 7" xfId="25443"/>
    <cellStyle name="Normal 3 3 2 2 4 6" xfId="25444"/>
    <cellStyle name="Normal 3 3 2 2 4 6 2" xfId="25445"/>
    <cellStyle name="Normal 3 3 2 2 4 6 2 2" xfId="25446"/>
    <cellStyle name="Normal 3 3 2 2 4 6 2 3" xfId="25447"/>
    <cellStyle name="Normal 3 3 2 2 4 6 3" xfId="25448"/>
    <cellStyle name="Normal 3 3 2 2 4 6 3 2" xfId="25449"/>
    <cellStyle name="Normal 3 3 2 2 4 6 4" xfId="25450"/>
    <cellStyle name="Normal 3 3 2 2 4 6 4 2" xfId="25451"/>
    <cellStyle name="Normal 3 3 2 2 4 6 5" xfId="25452"/>
    <cellStyle name="Normal 3 3 2 2 4 6 6" xfId="25453"/>
    <cellStyle name="Normal 3 3 2 2 4 6 7" xfId="25454"/>
    <cellStyle name="Normal 3 3 2 2 4 7" xfId="25455"/>
    <cellStyle name="Normal 3 3 2 2 4 7 2" xfId="25456"/>
    <cellStyle name="Normal 3 3 2 2 4 7 2 2" xfId="25457"/>
    <cellStyle name="Normal 3 3 2 2 4 7 3" xfId="25458"/>
    <cellStyle name="Normal 3 3 2 2 4 7 3 2" xfId="25459"/>
    <cellStyle name="Normal 3 3 2 2 4 7 4" xfId="25460"/>
    <cellStyle name="Normal 3 3 2 2 4 7 5" xfId="25461"/>
    <cellStyle name="Normal 3 3 2 2 4 7 6" xfId="25462"/>
    <cellStyle name="Normal 3 3 2 2 4 8" xfId="25463"/>
    <cellStyle name="Normal 3 3 2 2 4 8 2" xfId="25464"/>
    <cellStyle name="Normal 3 3 2 2 4 9" xfId="25465"/>
    <cellStyle name="Normal 3 3 2 2 4 9 2" xfId="25466"/>
    <cellStyle name="Normal 3 3 2 2 5" xfId="25467"/>
    <cellStyle name="Normal 3 3 2 2 5 10" xfId="25468"/>
    <cellStyle name="Normal 3 3 2 2 5 11" xfId="25469"/>
    <cellStyle name="Normal 3 3 2 2 5 12" xfId="25470"/>
    <cellStyle name="Normal 3 3 2 2 5 2" xfId="25471"/>
    <cellStyle name="Normal 3 3 2 2 5 2 2" xfId="25472"/>
    <cellStyle name="Normal 3 3 2 2 5 2 2 2" xfId="25473"/>
    <cellStyle name="Normal 3 3 2 2 5 2 2 2 2" xfId="25474"/>
    <cellStyle name="Normal 3 3 2 2 5 2 2 3" xfId="25475"/>
    <cellStyle name="Normal 3 3 2 2 5 2 2 4" xfId="25476"/>
    <cellStyle name="Normal 3 3 2 2 5 2 3" xfId="25477"/>
    <cellStyle name="Normal 3 3 2 2 5 2 3 2" xfId="25478"/>
    <cellStyle name="Normal 3 3 2 2 5 2 3 2 2" xfId="25479"/>
    <cellStyle name="Normal 3 3 2 2 5 2 3 3" xfId="25480"/>
    <cellStyle name="Normal 3 3 2 2 5 2 4" xfId="25481"/>
    <cellStyle name="Normal 3 3 2 2 5 2 4 2" xfId="25482"/>
    <cellStyle name="Normal 3 3 2 2 5 2 4 2 2" xfId="25483"/>
    <cellStyle name="Normal 3 3 2 2 5 2 4 3" xfId="25484"/>
    <cellStyle name="Normal 3 3 2 2 5 2 5" xfId="25485"/>
    <cellStyle name="Normal 3 3 2 2 5 2 5 2" xfId="25486"/>
    <cellStyle name="Normal 3 3 2 2 5 2 6" xfId="25487"/>
    <cellStyle name="Normal 3 3 2 2 5 2 7" xfId="25488"/>
    <cellStyle name="Normal 3 3 2 2 5 3" xfId="25489"/>
    <cellStyle name="Normal 3 3 2 2 5 3 2" xfId="25490"/>
    <cellStyle name="Normal 3 3 2 2 5 3 2 2" xfId="25491"/>
    <cellStyle name="Normal 3 3 2 2 5 3 2 2 2" xfId="25492"/>
    <cellStyle name="Normal 3 3 2 2 5 3 2 3" xfId="25493"/>
    <cellStyle name="Normal 3 3 2 2 5 3 3" xfId="25494"/>
    <cellStyle name="Normal 3 3 2 2 5 3 3 2" xfId="25495"/>
    <cellStyle name="Normal 3 3 2 2 5 3 3 2 2" xfId="25496"/>
    <cellStyle name="Normal 3 3 2 2 5 3 3 3" xfId="25497"/>
    <cellStyle name="Normal 3 3 2 2 5 3 4" xfId="25498"/>
    <cellStyle name="Normal 3 3 2 2 5 3 4 2" xfId="25499"/>
    <cellStyle name="Normal 3 3 2 2 5 3 4 3" xfId="25500"/>
    <cellStyle name="Normal 3 3 2 2 5 3 5" xfId="25501"/>
    <cellStyle name="Normal 3 3 2 2 5 3 6" xfId="25502"/>
    <cellStyle name="Normal 3 3 2 2 5 3 7" xfId="25503"/>
    <cellStyle name="Normal 3 3 2 2 5 4" xfId="25504"/>
    <cellStyle name="Normal 3 3 2 2 5 4 2" xfId="25505"/>
    <cellStyle name="Normal 3 3 2 2 5 4 2 2" xfId="25506"/>
    <cellStyle name="Normal 3 3 2 2 5 4 2 3" xfId="25507"/>
    <cellStyle name="Normal 3 3 2 2 5 4 3" xfId="25508"/>
    <cellStyle name="Normal 3 3 2 2 5 4 3 2" xfId="25509"/>
    <cellStyle name="Normal 3 3 2 2 5 4 3 3" xfId="25510"/>
    <cellStyle name="Normal 3 3 2 2 5 4 4" xfId="25511"/>
    <cellStyle name="Normal 3 3 2 2 5 4 4 2" xfId="25512"/>
    <cellStyle name="Normal 3 3 2 2 5 4 5" xfId="25513"/>
    <cellStyle name="Normal 3 3 2 2 5 4 6" xfId="25514"/>
    <cellStyle name="Normal 3 3 2 2 5 4 7" xfId="25515"/>
    <cellStyle name="Normal 3 3 2 2 5 5" xfId="25516"/>
    <cellStyle name="Normal 3 3 2 2 5 5 2" xfId="25517"/>
    <cellStyle name="Normal 3 3 2 2 5 5 2 2" xfId="25518"/>
    <cellStyle name="Normal 3 3 2 2 5 5 2 3" xfId="25519"/>
    <cellStyle name="Normal 3 3 2 2 5 5 3" xfId="25520"/>
    <cellStyle name="Normal 3 3 2 2 5 5 3 2" xfId="25521"/>
    <cellStyle name="Normal 3 3 2 2 5 5 4" xfId="25522"/>
    <cellStyle name="Normal 3 3 2 2 5 5 4 2" xfId="25523"/>
    <cellStyle name="Normal 3 3 2 2 5 5 5" xfId="25524"/>
    <cellStyle name="Normal 3 3 2 2 5 5 6" xfId="25525"/>
    <cellStyle name="Normal 3 3 2 2 5 5 7" xfId="25526"/>
    <cellStyle name="Normal 3 3 2 2 5 6" xfId="25527"/>
    <cellStyle name="Normal 3 3 2 2 5 6 2" xfId="25528"/>
    <cellStyle name="Normal 3 3 2 2 5 6 2 2" xfId="25529"/>
    <cellStyle name="Normal 3 3 2 2 5 6 2 3" xfId="25530"/>
    <cellStyle name="Normal 3 3 2 2 5 6 3" xfId="25531"/>
    <cellStyle name="Normal 3 3 2 2 5 6 3 2" xfId="25532"/>
    <cellStyle name="Normal 3 3 2 2 5 6 4" xfId="25533"/>
    <cellStyle name="Normal 3 3 2 2 5 6 5" xfId="25534"/>
    <cellStyle name="Normal 3 3 2 2 5 6 6" xfId="25535"/>
    <cellStyle name="Normal 3 3 2 2 5 7" xfId="25536"/>
    <cellStyle name="Normal 3 3 2 2 5 7 2" xfId="25537"/>
    <cellStyle name="Normal 3 3 2 2 5 7 3" xfId="25538"/>
    <cellStyle name="Normal 3 3 2 2 5 8" xfId="25539"/>
    <cellStyle name="Normal 3 3 2 2 5 8 2" xfId="25540"/>
    <cellStyle name="Normal 3 3 2 2 5 9" xfId="25541"/>
    <cellStyle name="Normal 3 3 2 2 5 9 2" xfId="25542"/>
    <cellStyle name="Normal 3 3 2 2 6" xfId="25543"/>
    <cellStyle name="Normal 3 3 2 2 6 10" xfId="25544"/>
    <cellStyle name="Normal 3 3 2 2 6 11" xfId="25545"/>
    <cellStyle name="Normal 3 3 2 2 6 2" xfId="25546"/>
    <cellStyle name="Normal 3 3 2 2 6 2 2" xfId="25547"/>
    <cellStyle name="Normal 3 3 2 2 6 2 2 2" xfId="25548"/>
    <cellStyle name="Normal 3 3 2 2 6 2 2 2 2" xfId="25549"/>
    <cellStyle name="Normal 3 3 2 2 6 2 2 3" xfId="25550"/>
    <cellStyle name="Normal 3 3 2 2 6 2 3" xfId="25551"/>
    <cellStyle name="Normal 3 3 2 2 6 2 3 2" xfId="25552"/>
    <cellStyle name="Normal 3 3 2 2 6 2 3 2 2" xfId="25553"/>
    <cellStyle name="Normal 3 3 2 2 6 2 3 3" xfId="25554"/>
    <cellStyle name="Normal 3 3 2 2 6 2 4" xfId="25555"/>
    <cellStyle name="Normal 3 3 2 2 6 2 4 2" xfId="25556"/>
    <cellStyle name="Normal 3 3 2 2 6 2 4 3" xfId="25557"/>
    <cellStyle name="Normal 3 3 2 2 6 2 5" xfId="25558"/>
    <cellStyle name="Normal 3 3 2 2 6 2 6" xfId="25559"/>
    <cellStyle name="Normal 3 3 2 2 6 2 7" xfId="25560"/>
    <cellStyle name="Normal 3 3 2 2 6 3" xfId="25561"/>
    <cellStyle name="Normal 3 3 2 2 6 3 2" xfId="25562"/>
    <cellStyle name="Normal 3 3 2 2 6 3 2 2" xfId="25563"/>
    <cellStyle name="Normal 3 3 2 2 6 3 2 3" xfId="25564"/>
    <cellStyle name="Normal 3 3 2 2 6 3 3" xfId="25565"/>
    <cellStyle name="Normal 3 3 2 2 6 3 3 2" xfId="25566"/>
    <cellStyle name="Normal 3 3 2 2 6 3 3 3" xfId="25567"/>
    <cellStyle name="Normal 3 3 2 2 6 3 4" xfId="25568"/>
    <cellStyle name="Normal 3 3 2 2 6 3 4 2" xfId="25569"/>
    <cellStyle name="Normal 3 3 2 2 6 3 5" xfId="25570"/>
    <cellStyle name="Normal 3 3 2 2 6 3 6" xfId="25571"/>
    <cellStyle name="Normal 3 3 2 2 6 3 7" xfId="25572"/>
    <cellStyle name="Normal 3 3 2 2 6 4" xfId="25573"/>
    <cellStyle name="Normal 3 3 2 2 6 4 2" xfId="25574"/>
    <cellStyle name="Normal 3 3 2 2 6 4 2 2" xfId="25575"/>
    <cellStyle name="Normal 3 3 2 2 6 4 2 3" xfId="25576"/>
    <cellStyle name="Normal 3 3 2 2 6 4 3" xfId="25577"/>
    <cellStyle name="Normal 3 3 2 2 6 4 3 2" xfId="25578"/>
    <cellStyle name="Normal 3 3 2 2 6 4 4" xfId="25579"/>
    <cellStyle name="Normal 3 3 2 2 6 4 4 2" xfId="25580"/>
    <cellStyle name="Normal 3 3 2 2 6 4 5" xfId="25581"/>
    <cellStyle name="Normal 3 3 2 2 6 4 6" xfId="25582"/>
    <cellStyle name="Normal 3 3 2 2 6 4 7" xfId="25583"/>
    <cellStyle name="Normal 3 3 2 2 6 5" xfId="25584"/>
    <cellStyle name="Normal 3 3 2 2 6 5 2" xfId="25585"/>
    <cellStyle name="Normal 3 3 2 2 6 5 2 2" xfId="25586"/>
    <cellStyle name="Normal 3 3 2 2 6 5 2 3" xfId="25587"/>
    <cellStyle name="Normal 3 3 2 2 6 5 3" xfId="25588"/>
    <cellStyle name="Normal 3 3 2 2 6 5 3 2" xfId="25589"/>
    <cellStyle name="Normal 3 3 2 2 6 5 4" xfId="25590"/>
    <cellStyle name="Normal 3 3 2 2 6 5 5" xfId="25591"/>
    <cellStyle name="Normal 3 3 2 2 6 5 6" xfId="25592"/>
    <cellStyle name="Normal 3 3 2 2 6 6" xfId="25593"/>
    <cellStyle name="Normal 3 3 2 2 6 6 2" xfId="25594"/>
    <cellStyle name="Normal 3 3 2 2 6 6 3" xfId="25595"/>
    <cellStyle name="Normal 3 3 2 2 6 7" xfId="25596"/>
    <cellStyle name="Normal 3 3 2 2 6 7 2" xfId="25597"/>
    <cellStyle name="Normal 3 3 2 2 6 8" xfId="25598"/>
    <cellStyle name="Normal 3 3 2 2 6 8 2" xfId="25599"/>
    <cellStyle name="Normal 3 3 2 2 6 9" xfId="25600"/>
    <cellStyle name="Normal 3 3 2 2 7" xfId="25601"/>
    <cellStyle name="Normal 3 3 2 2 7 10" xfId="25602"/>
    <cellStyle name="Normal 3 3 2 2 7 11" xfId="25603"/>
    <cellStyle name="Normal 3 3 2 2 7 2" xfId="25604"/>
    <cellStyle name="Normal 3 3 2 2 7 2 2" xfId="25605"/>
    <cellStyle name="Normal 3 3 2 2 7 2 2 2" xfId="25606"/>
    <cellStyle name="Normal 3 3 2 2 7 2 2 3" xfId="25607"/>
    <cellStyle name="Normal 3 3 2 2 7 2 3" xfId="25608"/>
    <cellStyle name="Normal 3 3 2 2 7 2 3 2" xfId="25609"/>
    <cellStyle name="Normal 3 3 2 2 7 2 4" xfId="25610"/>
    <cellStyle name="Normal 3 3 2 2 7 2 4 2" xfId="25611"/>
    <cellStyle name="Normal 3 3 2 2 7 2 5" xfId="25612"/>
    <cellStyle name="Normal 3 3 2 2 7 2 6" xfId="25613"/>
    <cellStyle name="Normal 3 3 2 2 7 2 7" xfId="25614"/>
    <cellStyle name="Normal 3 3 2 2 7 3" xfId="25615"/>
    <cellStyle name="Normal 3 3 2 2 7 3 2" xfId="25616"/>
    <cellStyle name="Normal 3 3 2 2 7 3 2 2" xfId="25617"/>
    <cellStyle name="Normal 3 3 2 2 7 3 2 3" xfId="25618"/>
    <cellStyle name="Normal 3 3 2 2 7 3 3" xfId="25619"/>
    <cellStyle name="Normal 3 3 2 2 7 3 3 2" xfId="25620"/>
    <cellStyle name="Normal 3 3 2 2 7 3 4" xfId="25621"/>
    <cellStyle name="Normal 3 3 2 2 7 3 4 2" xfId="25622"/>
    <cellStyle name="Normal 3 3 2 2 7 3 5" xfId="25623"/>
    <cellStyle name="Normal 3 3 2 2 7 3 6" xfId="25624"/>
    <cellStyle name="Normal 3 3 2 2 7 3 7" xfId="25625"/>
    <cellStyle name="Normal 3 3 2 2 7 4" xfId="25626"/>
    <cellStyle name="Normal 3 3 2 2 7 4 2" xfId="25627"/>
    <cellStyle name="Normal 3 3 2 2 7 4 2 2" xfId="25628"/>
    <cellStyle name="Normal 3 3 2 2 7 4 3" xfId="25629"/>
    <cellStyle name="Normal 3 3 2 2 7 4 3 2" xfId="25630"/>
    <cellStyle name="Normal 3 3 2 2 7 4 4" xfId="25631"/>
    <cellStyle name="Normal 3 3 2 2 7 4 4 2" xfId="25632"/>
    <cellStyle name="Normal 3 3 2 2 7 4 5" xfId="25633"/>
    <cellStyle name="Normal 3 3 2 2 7 4 6" xfId="25634"/>
    <cellStyle name="Normal 3 3 2 2 7 4 7" xfId="25635"/>
    <cellStyle name="Normal 3 3 2 2 7 5" xfId="25636"/>
    <cellStyle name="Normal 3 3 2 2 7 5 2" xfId="25637"/>
    <cellStyle name="Normal 3 3 2 2 7 5 2 2" xfId="25638"/>
    <cellStyle name="Normal 3 3 2 2 7 5 3" xfId="25639"/>
    <cellStyle name="Normal 3 3 2 2 7 5 3 2" xfId="25640"/>
    <cellStyle name="Normal 3 3 2 2 7 5 4" xfId="25641"/>
    <cellStyle name="Normal 3 3 2 2 7 5 5" xfId="25642"/>
    <cellStyle name="Normal 3 3 2 2 7 6" xfId="25643"/>
    <cellStyle name="Normal 3 3 2 2 7 6 2" xfId="25644"/>
    <cellStyle name="Normal 3 3 2 2 7 7" xfId="25645"/>
    <cellStyle name="Normal 3 3 2 2 7 7 2" xfId="25646"/>
    <cellStyle name="Normal 3 3 2 2 7 8" xfId="25647"/>
    <cellStyle name="Normal 3 3 2 2 7 8 2" xfId="25648"/>
    <cellStyle name="Normal 3 3 2 2 7 9" xfId="25649"/>
    <cellStyle name="Normal 3 3 2 2 8" xfId="25650"/>
    <cellStyle name="Normal 3 3 2 2 8 2" xfId="25651"/>
    <cellStyle name="Normal 3 3 2 2 8 2 2" xfId="25652"/>
    <cellStyle name="Normal 3 3 2 2 8 2 2 2" xfId="25653"/>
    <cellStyle name="Normal 3 3 2 2 8 2 3" xfId="25654"/>
    <cellStyle name="Normal 3 3 2 2 8 3" xfId="25655"/>
    <cellStyle name="Normal 3 3 2 2 8 3 2" xfId="25656"/>
    <cellStyle name="Normal 3 3 2 2 8 3 2 2" xfId="25657"/>
    <cellStyle name="Normal 3 3 2 2 8 3 3" xfId="25658"/>
    <cellStyle name="Normal 3 3 2 2 8 4" xfId="25659"/>
    <cellStyle name="Normal 3 3 2 2 8 4 2" xfId="25660"/>
    <cellStyle name="Normal 3 3 2 2 8 4 3" xfId="25661"/>
    <cellStyle name="Normal 3 3 2 2 8 5" xfId="25662"/>
    <cellStyle name="Normal 3 3 2 2 8 6" xfId="25663"/>
    <cellStyle name="Normal 3 3 2 2 8 7" xfId="25664"/>
    <cellStyle name="Normal 3 3 2 2 9" xfId="25665"/>
    <cellStyle name="Normal 3 3 2 2 9 2" xfId="25666"/>
    <cellStyle name="Normal 3 3 2 2 9 2 2" xfId="25667"/>
    <cellStyle name="Normal 3 3 2 2 9 2 3" xfId="25668"/>
    <cellStyle name="Normal 3 3 2 2 9 3" xfId="25669"/>
    <cellStyle name="Normal 3 3 2 2 9 3 2" xfId="25670"/>
    <cellStyle name="Normal 3 3 2 2 9 3 3" xfId="25671"/>
    <cellStyle name="Normal 3 3 2 2 9 4" xfId="25672"/>
    <cellStyle name="Normal 3 3 2 2 9 4 2" xfId="25673"/>
    <cellStyle name="Normal 3 3 2 2 9 5" xfId="25674"/>
    <cellStyle name="Normal 3 3 2 2 9 6" xfId="25675"/>
    <cellStyle name="Normal 3 3 2 2 9 7" xfId="25676"/>
    <cellStyle name="Normal 3 3 2 3" xfId="25677"/>
    <cellStyle name="Normal 3 3 2 3 10" xfId="25678"/>
    <cellStyle name="Normal 3 3 2 3 10 2" xfId="25679"/>
    <cellStyle name="Normal 3 3 2 3 10 2 2" xfId="25680"/>
    <cellStyle name="Normal 3 3 2 3 10 3" xfId="25681"/>
    <cellStyle name="Normal 3 3 2 3 11" xfId="25682"/>
    <cellStyle name="Normal 3 3 2 3 11 2" xfId="25683"/>
    <cellStyle name="Normal 3 3 2 3 11 3" xfId="25684"/>
    <cellStyle name="Normal 3 3 2 3 12" xfId="25685"/>
    <cellStyle name="Normal 3 3 2 3 13" xfId="25686"/>
    <cellStyle name="Normal 3 3 2 3 14" xfId="25687"/>
    <cellStyle name="Normal 3 3 2 3 2" xfId="25688"/>
    <cellStyle name="Normal 3 3 2 3 2 10" xfId="25689"/>
    <cellStyle name="Normal 3 3 2 3 2 11" xfId="25690"/>
    <cellStyle name="Normal 3 3 2 3 2 12" xfId="25691"/>
    <cellStyle name="Normal 3 3 2 3 2 2" xfId="25692"/>
    <cellStyle name="Normal 3 3 2 3 2 2 2" xfId="25693"/>
    <cellStyle name="Normal 3 3 2 3 2 2 2 2" xfId="25694"/>
    <cellStyle name="Normal 3 3 2 3 2 2 2 2 2" xfId="25695"/>
    <cellStyle name="Normal 3 3 2 3 2 2 2 2 3" xfId="25696"/>
    <cellStyle name="Normal 3 3 2 3 2 2 2 2 4" xfId="25697"/>
    <cellStyle name="Normal 3 3 2 3 2 2 2 3" xfId="25698"/>
    <cellStyle name="Normal 3 3 2 3 2 2 2 3 2" xfId="25699"/>
    <cellStyle name="Normal 3 3 2 3 2 2 2 4" xfId="25700"/>
    <cellStyle name="Normal 3 3 2 3 2 2 2 4 2" xfId="25701"/>
    <cellStyle name="Normal 3 3 2 3 2 2 2 5" xfId="25702"/>
    <cellStyle name="Normal 3 3 2 3 2 2 2 6" xfId="25703"/>
    <cellStyle name="Normal 3 3 2 3 2 2 3" xfId="25704"/>
    <cellStyle name="Normal 3 3 2 3 2 2 3 2" xfId="25705"/>
    <cellStyle name="Normal 3 3 2 3 2 2 3 2 2" xfId="25706"/>
    <cellStyle name="Normal 3 3 2 3 2 2 3 2 3" xfId="25707"/>
    <cellStyle name="Normal 3 3 2 3 2 2 3 3" xfId="25708"/>
    <cellStyle name="Normal 3 3 2 3 2 2 3 3 2" xfId="25709"/>
    <cellStyle name="Normal 3 3 2 3 2 2 3 4" xfId="25710"/>
    <cellStyle name="Normal 3 3 2 3 2 2 3 5" xfId="25711"/>
    <cellStyle name="Normal 3 3 2 3 2 2 4" xfId="25712"/>
    <cellStyle name="Normal 3 3 2 3 2 2 4 2" xfId="25713"/>
    <cellStyle name="Normal 3 3 2 3 2 2 4 2 2" xfId="25714"/>
    <cellStyle name="Normal 3 3 2 3 2 2 4 3" xfId="25715"/>
    <cellStyle name="Normal 3 3 2 3 2 2 4 4" xfId="25716"/>
    <cellStyle name="Normal 3 3 2 3 2 2 5" xfId="25717"/>
    <cellStyle name="Normal 3 3 2 3 2 2 5 2" xfId="25718"/>
    <cellStyle name="Normal 3 3 2 3 2 2 5 3" xfId="25719"/>
    <cellStyle name="Normal 3 3 2 3 2 2 6" xfId="25720"/>
    <cellStyle name="Normal 3 3 2 3 2 2 6 2" xfId="25721"/>
    <cellStyle name="Normal 3 3 2 3 2 2 6 3" xfId="25722"/>
    <cellStyle name="Normal 3 3 2 3 2 2 7" xfId="25723"/>
    <cellStyle name="Normal 3 3 2 3 2 2 8" xfId="25724"/>
    <cellStyle name="Normal 3 3 2 3 2 3" xfId="25725"/>
    <cellStyle name="Normal 3 3 2 3 2 3 2" xfId="25726"/>
    <cellStyle name="Normal 3 3 2 3 2 3 2 2" xfId="25727"/>
    <cellStyle name="Normal 3 3 2 3 2 3 2 2 2" xfId="25728"/>
    <cellStyle name="Normal 3 3 2 3 2 3 2 3" xfId="25729"/>
    <cellStyle name="Normal 3 3 2 3 2 3 2 4" xfId="25730"/>
    <cellStyle name="Normal 3 3 2 3 2 3 3" xfId="25731"/>
    <cellStyle name="Normal 3 3 2 3 2 3 3 2" xfId="25732"/>
    <cellStyle name="Normal 3 3 2 3 2 3 3 2 2" xfId="25733"/>
    <cellStyle name="Normal 3 3 2 3 2 3 3 3" xfId="25734"/>
    <cellStyle name="Normal 3 3 2 3 2 3 4" xfId="25735"/>
    <cellStyle name="Normal 3 3 2 3 2 3 4 2" xfId="25736"/>
    <cellStyle name="Normal 3 3 2 3 2 3 4 2 2" xfId="25737"/>
    <cellStyle name="Normal 3 3 2 3 2 3 4 3" xfId="25738"/>
    <cellStyle name="Normal 3 3 2 3 2 3 5" xfId="25739"/>
    <cellStyle name="Normal 3 3 2 3 2 3 5 2" xfId="25740"/>
    <cellStyle name="Normal 3 3 2 3 2 3 6" xfId="25741"/>
    <cellStyle name="Normal 3 3 2 3 2 3 7" xfId="25742"/>
    <cellStyle name="Normal 3 3 2 3 2 4" xfId="25743"/>
    <cellStyle name="Normal 3 3 2 3 2 4 2" xfId="25744"/>
    <cellStyle name="Normal 3 3 2 3 2 4 2 2" xfId="25745"/>
    <cellStyle name="Normal 3 3 2 3 2 4 2 2 2" xfId="25746"/>
    <cellStyle name="Normal 3 3 2 3 2 4 2 3" xfId="25747"/>
    <cellStyle name="Normal 3 3 2 3 2 4 3" xfId="25748"/>
    <cellStyle name="Normal 3 3 2 3 2 4 3 2" xfId="25749"/>
    <cellStyle name="Normal 3 3 2 3 2 4 3 2 2" xfId="25750"/>
    <cellStyle name="Normal 3 3 2 3 2 4 3 3" xfId="25751"/>
    <cellStyle name="Normal 3 3 2 3 2 4 4" xfId="25752"/>
    <cellStyle name="Normal 3 3 2 3 2 4 4 2" xfId="25753"/>
    <cellStyle name="Normal 3 3 2 3 2 4 4 3" xfId="25754"/>
    <cellStyle name="Normal 3 3 2 3 2 4 5" xfId="25755"/>
    <cellStyle name="Normal 3 3 2 3 2 4 6" xfId="25756"/>
    <cellStyle name="Normal 3 3 2 3 2 4 7" xfId="25757"/>
    <cellStyle name="Normal 3 3 2 3 2 5" xfId="25758"/>
    <cellStyle name="Normal 3 3 2 3 2 5 2" xfId="25759"/>
    <cellStyle name="Normal 3 3 2 3 2 5 2 2" xfId="25760"/>
    <cellStyle name="Normal 3 3 2 3 2 5 2 3" xfId="25761"/>
    <cellStyle name="Normal 3 3 2 3 2 5 3" xfId="25762"/>
    <cellStyle name="Normal 3 3 2 3 2 5 3 2" xfId="25763"/>
    <cellStyle name="Normal 3 3 2 3 2 5 3 3" xfId="25764"/>
    <cellStyle name="Normal 3 3 2 3 2 5 4" xfId="25765"/>
    <cellStyle name="Normal 3 3 2 3 2 5 4 2" xfId="25766"/>
    <cellStyle name="Normal 3 3 2 3 2 5 5" xfId="25767"/>
    <cellStyle name="Normal 3 3 2 3 2 5 6" xfId="25768"/>
    <cellStyle name="Normal 3 3 2 3 2 5 7" xfId="25769"/>
    <cellStyle name="Normal 3 3 2 3 2 6" xfId="25770"/>
    <cellStyle name="Normal 3 3 2 3 2 6 2" xfId="25771"/>
    <cellStyle name="Normal 3 3 2 3 2 6 2 2" xfId="25772"/>
    <cellStyle name="Normal 3 3 2 3 2 6 2 3" xfId="25773"/>
    <cellStyle name="Normal 3 3 2 3 2 6 3" xfId="25774"/>
    <cellStyle name="Normal 3 3 2 3 2 6 3 2" xfId="25775"/>
    <cellStyle name="Normal 3 3 2 3 2 6 4" xfId="25776"/>
    <cellStyle name="Normal 3 3 2 3 2 6 5" xfId="25777"/>
    <cellStyle name="Normal 3 3 2 3 2 6 6" xfId="25778"/>
    <cellStyle name="Normal 3 3 2 3 2 7" xfId="25779"/>
    <cellStyle name="Normal 3 3 2 3 2 7 2" xfId="25780"/>
    <cellStyle name="Normal 3 3 2 3 2 7 2 2" xfId="25781"/>
    <cellStyle name="Normal 3 3 2 3 2 7 3" xfId="25782"/>
    <cellStyle name="Normal 3 3 2 3 2 8" xfId="25783"/>
    <cellStyle name="Normal 3 3 2 3 2 8 2" xfId="25784"/>
    <cellStyle name="Normal 3 3 2 3 2 8 3" xfId="25785"/>
    <cellStyle name="Normal 3 3 2 3 2 9" xfId="25786"/>
    <cellStyle name="Normal 3 3 2 3 2 9 2" xfId="25787"/>
    <cellStyle name="Normal 3 3 2 3 3" xfId="25788"/>
    <cellStyle name="Normal 3 3 2 3 3 10" xfId="25789"/>
    <cellStyle name="Normal 3 3 2 3 3 11" xfId="25790"/>
    <cellStyle name="Normal 3 3 2 3 3 2" xfId="25791"/>
    <cellStyle name="Normal 3 3 2 3 3 2 2" xfId="25792"/>
    <cellStyle name="Normal 3 3 2 3 3 2 2 2" xfId="25793"/>
    <cellStyle name="Normal 3 3 2 3 3 2 2 2 2" xfId="25794"/>
    <cellStyle name="Normal 3 3 2 3 3 2 2 3" xfId="25795"/>
    <cellStyle name="Normal 3 3 2 3 3 2 2 4" xfId="25796"/>
    <cellStyle name="Normal 3 3 2 3 3 2 3" xfId="25797"/>
    <cellStyle name="Normal 3 3 2 3 3 2 3 2" xfId="25798"/>
    <cellStyle name="Normal 3 3 2 3 3 2 3 2 2" xfId="25799"/>
    <cellStyle name="Normal 3 3 2 3 3 2 3 3" xfId="25800"/>
    <cellStyle name="Normal 3 3 2 3 3 2 4" xfId="25801"/>
    <cellStyle name="Normal 3 3 2 3 3 2 4 2" xfId="25802"/>
    <cellStyle name="Normal 3 3 2 3 3 2 4 2 2" xfId="25803"/>
    <cellStyle name="Normal 3 3 2 3 3 2 4 3" xfId="25804"/>
    <cellStyle name="Normal 3 3 2 3 3 2 5" xfId="25805"/>
    <cellStyle name="Normal 3 3 2 3 3 2 5 2" xfId="25806"/>
    <cellStyle name="Normal 3 3 2 3 3 2 6" xfId="25807"/>
    <cellStyle name="Normal 3 3 2 3 3 2 7" xfId="25808"/>
    <cellStyle name="Normal 3 3 2 3 3 3" xfId="25809"/>
    <cellStyle name="Normal 3 3 2 3 3 3 2" xfId="25810"/>
    <cellStyle name="Normal 3 3 2 3 3 3 2 2" xfId="25811"/>
    <cellStyle name="Normal 3 3 2 3 3 3 2 2 2" xfId="25812"/>
    <cellStyle name="Normal 3 3 2 3 3 3 2 3" xfId="25813"/>
    <cellStyle name="Normal 3 3 2 3 3 3 3" xfId="25814"/>
    <cellStyle name="Normal 3 3 2 3 3 3 3 2" xfId="25815"/>
    <cellStyle name="Normal 3 3 2 3 3 3 3 2 2" xfId="25816"/>
    <cellStyle name="Normal 3 3 2 3 3 3 3 3" xfId="25817"/>
    <cellStyle name="Normal 3 3 2 3 3 3 4" xfId="25818"/>
    <cellStyle name="Normal 3 3 2 3 3 3 4 2" xfId="25819"/>
    <cellStyle name="Normal 3 3 2 3 3 3 4 3" xfId="25820"/>
    <cellStyle name="Normal 3 3 2 3 3 3 5" xfId="25821"/>
    <cellStyle name="Normal 3 3 2 3 3 3 6" xfId="25822"/>
    <cellStyle name="Normal 3 3 2 3 3 3 7" xfId="25823"/>
    <cellStyle name="Normal 3 3 2 3 3 4" xfId="25824"/>
    <cellStyle name="Normal 3 3 2 3 3 4 2" xfId="25825"/>
    <cellStyle name="Normal 3 3 2 3 3 4 2 2" xfId="25826"/>
    <cellStyle name="Normal 3 3 2 3 3 4 2 3" xfId="25827"/>
    <cellStyle name="Normal 3 3 2 3 3 4 3" xfId="25828"/>
    <cellStyle name="Normal 3 3 2 3 3 4 3 2" xfId="25829"/>
    <cellStyle name="Normal 3 3 2 3 3 4 3 3" xfId="25830"/>
    <cellStyle name="Normal 3 3 2 3 3 4 4" xfId="25831"/>
    <cellStyle name="Normal 3 3 2 3 3 4 4 2" xfId="25832"/>
    <cellStyle name="Normal 3 3 2 3 3 4 5" xfId="25833"/>
    <cellStyle name="Normal 3 3 2 3 3 4 6" xfId="25834"/>
    <cellStyle name="Normal 3 3 2 3 3 4 7" xfId="25835"/>
    <cellStyle name="Normal 3 3 2 3 3 5" xfId="25836"/>
    <cellStyle name="Normal 3 3 2 3 3 5 2" xfId="25837"/>
    <cellStyle name="Normal 3 3 2 3 3 5 2 2" xfId="25838"/>
    <cellStyle name="Normal 3 3 2 3 3 5 2 3" xfId="25839"/>
    <cellStyle name="Normal 3 3 2 3 3 5 3" xfId="25840"/>
    <cellStyle name="Normal 3 3 2 3 3 5 3 2" xfId="25841"/>
    <cellStyle name="Normal 3 3 2 3 3 5 4" xfId="25842"/>
    <cellStyle name="Normal 3 3 2 3 3 5 5" xfId="25843"/>
    <cellStyle name="Normal 3 3 2 3 3 5 6" xfId="25844"/>
    <cellStyle name="Normal 3 3 2 3 3 6" xfId="25845"/>
    <cellStyle name="Normal 3 3 2 3 3 6 2" xfId="25846"/>
    <cellStyle name="Normal 3 3 2 3 3 6 2 2" xfId="25847"/>
    <cellStyle name="Normal 3 3 2 3 3 6 3" xfId="25848"/>
    <cellStyle name="Normal 3 3 2 3 3 7" xfId="25849"/>
    <cellStyle name="Normal 3 3 2 3 3 7 2" xfId="25850"/>
    <cellStyle name="Normal 3 3 2 3 3 7 3" xfId="25851"/>
    <cellStyle name="Normal 3 3 2 3 3 8" xfId="25852"/>
    <cellStyle name="Normal 3 3 2 3 3 8 2" xfId="25853"/>
    <cellStyle name="Normal 3 3 2 3 3 9" xfId="25854"/>
    <cellStyle name="Normal 3 3 2 3 4" xfId="25855"/>
    <cellStyle name="Normal 3 3 2 3 4 10" xfId="25856"/>
    <cellStyle name="Normal 3 3 2 3 4 11" xfId="25857"/>
    <cellStyle name="Normal 3 3 2 3 4 2" xfId="25858"/>
    <cellStyle name="Normal 3 3 2 3 4 2 2" xfId="25859"/>
    <cellStyle name="Normal 3 3 2 3 4 2 2 2" xfId="25860"/>
    <cellStyle name="Normal 3 3 2 3 4 2 2 2 2" xfId="25861"/>
    <cellStyle name="Normal 3 3 2 3 4 2 2 3" xfId="25862"/>
    <cellStyle name="Normal 3 3 2 3 4 2 2 4" xfId="25863"/>
    <cellStyle name="Normal 3 3 2 3 4 2 3" xfId="25864"/>
    <cellStyle name="Normal 3 3 2 3 4 2 3 2" xfId="25865"/>
    <cellStyle name="Normal 3 3 2 3 4 2 3 2 2" xfId="25866"/>
    <cellStyle name="Normal 3 3 2 3 4 2 3 3" xfId="25867"/>
    <cellStyle name="Normal 3 3 2 3 4 2 4" xfId="25868"/>
    <cellStyle name="Normal 3 3 2 3 4 2 4 2" xfId="25869"/>
    <cellStyle name="Normal 3 3 2 3 4 2 4 2 2" xfId="25870"/>
    <cellStyle name="Normal 3 3 2 3 4 2 4 3" xfId="25871"/>
    <cellStyle name="Normal 3 3 2 3 4 2 5" xfId="25872"/>
    <cellStyle name="Normal 3 3 2 3 4 2 5 2" xfId="25873"/>
    <cellStyle name="Normal 3 3 2 3 4 2 6" xfId="25874"/>
    <cellStyle name="Normal 3 3 2 3 4 2 7" xfId="25875"/>
    <cellStyle name="Normal 3 3 2 3 4 3" xfId="25876"/>
    <cellStyle name="Normal 3 3 2 3 4 3 2" xfId="25877"/>
    <cellStyle name="Normal 3 3 2 3 4 3 2 2" xfId="25878"/>
    <cellStyle name="Normal 3 3 2 3 4 3 2 2 2" xfId="25879"/>
    <cellStyle name="Normal 3 3 2 3 4 3 2 3" xfId="25880"/>
    <cellStyle name="Normal 3 3 2 3 4 3 3" xfId="25881"/>
    <cellStyle name="Normal 3 3 2 3 4 3 3 2" xfId="25882"/>
    <cellStyle name="Normal 3 3 2 3 4 3 3 2 2" xfId="25883"/>
    <cellStyle name="Normal 3 3 2 3 4 3 3 3" xfId="25884"/>
    <cellStyle name="Normal 3 3 2 3 4 3 4" xfId="25885"/>
    <cellStyle name="Normal 3 3 2 3 4 3 4 2" xfId="25886"/>
    <cellStyle name="Normal 3 3 2 3 4 3 4 3" xfId="25887"/>
    <cellStyle name="Normal 3 3 2 3 4 3 5" xfId="25888"/>
    <cellStyle name="Normal 3 3 2 3 4 3 6" xfId="25889"/>
    <cellStyle name="Normal 3 3 2 3 4 3 7" xfId="25890"/>
    <cellStyle name="Normal 3 3 2 3 4 4" xfId="25891"/>
    <cellStyle name="Normal 3 3 2 3 4 4 2" xfId="25892"/>
    <cellStyle name="Normal 3 3 2 3 4 4 2 2" xfId="25893"/>
    <cellStyle name="Normal 3 3 2 3 4 4 2 3" xfId="25894"/>
    <cellStyle name="Normal 3 3 2 3 4 4 3" xfId="25895"/>
    <cellStyle name="Normal 3 3 2 3 4 4 3 2" xfId="25896"/>
    <cellStyle name="Normal 3 3 2 3 4 4 3 3" xfId="25897"/>
    <cellStyle name="Normal 3 3 2 3 4 4 4" xfId="25898"/>
    <cellStyle name="Normal 3 3 2 3 4 4 4 2" xfId="25899"/>
    <cellStyle name="Normal 3 3 2 3 4 4 5" xfId="25900"/>
    <cellStyle name="Normal 3 3 2 3 4 4 6" xfId="25901"/>
    <cellStyle name="Normal 3 3 2 3 4 4 7" xfId="25902"/>
    <cellStyle name="Normal 3 3 2 3 4 5" xfId="25903"/>
    <cellStyle name="Normal 3 3 2 3 4 5 2" xfId="25904"/>
    <cellStyle name="Normal 3 3 2 3 4 5 2 2" xfId="25905"/>
    <cellStyle name="Normal 3 3 2 3 4 5 2 3" xfId="25906"/>
    <cellStyle name="Normal 3 3 2 3 4 5 3" xfId="25907"/>
    <cellStyle name="Normal 3 3 2 3 4 5 3 2" xfId="25908"/>
    <cellStyle name="Normal 3 3 2 3 4 5 4" xfId="25909"/>
    <cellStyle name="Normal 3 3 2 3 4 5 5" xfId="25910"/>
    <cellStyle name="Normal 3 3 2 3 4 5 6" xfId="25911"/>
    <cellStyle name="Normal 3 3 2 3 4 6" xfId="25912"/>
    <cellStyle name="Normal 3 3 2 3 4 6 2" xfId="25913"/>
    <cellStyle name="Normal 3 3 2 3 4 6 2 2" xfId="25914"/>
    <cellStyle name="Normal 3 3 2 3 4 6 3" xfId="25915"/>
    <cellStyle name="Normal 3 3 2 3 4 7" xfId="25916"/>
    <cellStyle name="Normal 3 3 2 3 4 7 2" xfId="25917"/>
    <cellStyle name="Normal 3 3 2 3 4 7 3" xfId="25918"/>
    <cellStyle name="Normal 3 3 2 3 4 8" xfId="25919"/>
    <cellStyle name="Normal 3 3 2 3 4 8 2" xfId="25920"/>
    <cellStyle name="Normal 3 3 2 3 4 9" xfId="25921"/>
    <cellStyle name="Normal 3 3 2 3 5" xfId="25922"/>
    <cellStyle name="Normal 3 3 2 3 5 2" xfId="25923"/>
    <cellStyle name="Normal 3 3 2 3 5 2 2" xfId="25924"/>
    <cellStyle name="Normal 3 3 2 3 5 2 2 2" xfId="25925"/>
    <cellStyle name="Normal 3 3 2 3 5 2 2 3" xfId="25926"/>
    <cellStyle name="Normal 3 3 2 3 5 2 3" xfId="25927"/>
    <cellStyle name="Normal 3 3 2 3 5 2 3 2" xfId="25928"/>
    <cellStyle name="Normal 3 3 2 3 5 2 4" xfId="25929"/>
    <cellStyle name="Normal 3 3 2 3 5 2 5" xfId="25930"/>
    <cellStyle name="Normal 3 3 2 3 5 3" xfId="25931"/>
    <cellStyle name="Normal 3 3 2 3 5 3 2" xfId="25932"/>
    <cellStyle name="Normal 3 3 2 3 5 3 2 2" xfId="25933"/>
    <cellStyle name="Normal 3 3 2 3 5 3 3" xfId="25934"/>
    <cellStyle name="Normal 3 3 2 3 5 3 4" xfId="25935"/>
    <cellStyle name="Normal 3 3 2 3 5 4" xfId="25936"/>
    <cellStyle name="Normal 3 3 2 3 5 4 2" xfId="25937"/>
    <cellStyle name="Normal 3 3 2 3 5 4 2 2" xfId="25938"/>
    <cellStyle name="Normal 3 3 2 3 5 4 3" xfId="25939"/>
    <cellStyle name="Normal 3 3 2 3 5 5" xfId="25940"/>
    <cellStyle name="Normal 3 3 2 3 5 5 2" xfId="25941"/>
    <cellStyle name="Normal 3 3 2 3 5 5 3" xfId="25942"/>
    <cellStyle name="Normal 3 3 2 3 5 6" xfId="25943"/>
    <cellStyle name="Normal 3 3 2 3 5 6 2" xfId="25944"/>
    <cellStyle name="Normal 3 3 2 3 5 7" xfId="25945"/>
    <cellStyle name="Normal 3 3 2 3 6" xfId="25946"/>
    <cellStyle name="Normal 3 3 2 3 6 2" xfId="25947"/>
    <cellStyle name="Normal 3 3 2 3 6 2 2" xfId="25948"/>
    <cellStyle name="Normal 3 3 2 3 6 2 2 2" xfId="25949"/>
    <cellStyle name="Normal 3 3 2 3 6 2 3" xfId="25950"/>
    <cellStyle name="Normal 3 3 2 3 6 3" xfId="25951"/>
    <cellStyle name="Normal 3 3 2 3 6 3 2" xfId="25952"/>
    <cellStyle name="Normal 3 3 2 3 6 3 2 2" xfId="25953"/>
    <cellStyle name="Normal 3 3 2 3 6 3 3" xfId="25954"/>
    <cellStyle name="Normal 3 3 2 3 6 4" xfId="25955"/>
    <cellStyle name="Normal 3 3 2 3 6 4 2" xfId="25956"/>
    <cellStyle name="Normal 3 3 2 3 6 4 3" xfId="25957"/>
    <cellStyle name="Normal 3 3 2 3 6 5" xfId="25958"/>
    <cellStyle name="Normal 3 3 2 3 6 6" xfId="25959"/>
    <cellStyle name="Normal 3 3 2 3 6 7" xfId="25960"/>
    <cellStyle name="Normal 3 3 2 3 7" xfId="25961"/>
    <cellStyle name="Normal 3 3 2 3 7 2" xfId="25962"/>
    <cellStyle name="Normal 3 3 2 3 7 2 2" xfId="25963"/>
    <cellStyle name="Normal 3 3 2 3 7 2 2 2" xfId="25964"/>
    <cellStyle name="Normal 3 3 2 3 7 2 3" xfId="25965"/>
    <cellStyle name="Normal 3 3 2 3 7 3" xfId="25966"/>
    <cellStyle name="Normal 3 3 2 3 7 3 2" xfId="25967"/>
    <cellStyle name="Normal 3 3 2 3 7 3 2 2" xfId="25968"/>
    <cellStyle name="Normal 3 3 2 3 7 3 3" xfId="25969"/>
    <cellStyle name="Normal 3 3 2 3 7 4" xfId="25970"/>
    <cellStyle name="Normal 3 3 2 3 7 4 2" xfId="25971"/>
    <cellStyle name="Normal 3 3 2 3 7 4 3" xfId="25972"/>
    <cellStyle name="Normal 3 3 2 3 7 5" xfId="25973"/>
    <cellStyle name="Normal 3 3 2 3 7 6" xfId="25974"/>
    <cellStyle name="Normal 3 3 2 3 7 7" xfId="25975"/>
    <cellStyle name="Normal 3 3 2 3 8" xfId="25976"/>
    <cellStyle name="Normal 3 3 2 3 8 2" xfId="25977"/>
    <cellStyle name="Normal 3 3 2 3 8 2 2" xfId="25978"/>
    <cellStyle name="Normal 3 3 2 3 8 2 3" xfId="25979"/>
    <cellStyle name="Normal 3 3 2 3 8 3" xfId="25980"/>
    <cellStyle name="Normal 3 3 2 3 8 3 2" xfId="25981"/>
    <cellStyle name="Normal 3 3 2 3 8 3 3" xfId="25982"/>
    <cellStyle name="Normal 3 3 2 3 8 4" xfId="25983"/>
    <cellStyle name="Normal 3 3 2 3 8 5" xfId="25984"/>
    <cellStyle name="Normal 3 3 2 3 8 6" xfId="25985"/>
    <cellStyle name="Normal 3 3 2 3 9" xfId="25986"/>
    <cellStyle name="Normal 3 3 2 3 9 2" xfId="25987"/>
    <cellStyle name="Normal 3 3 2 3 9 2 2" xfId="25988"/>
    <cellStyle name="Normal 3 3 2 3 9 3" xfId="25989"/>
    <cellStyle name="Normal 3 3 2 4" xfId="25990"/>
    <cellStyle name="Normal 3 3 2 4 10" xfId="25991"/>
    <cellStyle name="Normal 3 3 2 4 10 2" xfId="25992"/>
    <cellStyle name="Normal 3 3 2 4 10 3" xfId="25993"/>
    <cellStyle name="Normal 3 3 2 4 11" xfId="25994"/>
    <cellStyle name="Normal 3 3 2 4 11 2" xfId="25995"/>
    <cellStyle name="Normal 3 3 2 4 12" xfId="25996"/>
    <cellStyle name="Normal 3 3 2 4 13" xfId="25997"/>
    <cellStyle name="Normal 3 3 2 4 14" xfId="25998"/>
    <cellStyle name="Normal 3 3 2 4 2" xfId="25999"/>
    <cellStyle name="Normal 3 3 2 4 2 10" xfId="26000"/>
    <cellStyle name="Normal 3 3 2 4 2 11" xfId="26001"/>
    <cellStyle name="Normal 3 3 2 4 2 12" xfId="26002"/>
    <cellStyle name="Normal 3 3 2 4 2 2" xfId="26003"/>
    <cellStyle name="Normal 3 3 2 4 2 2 2" xfId="26004"/>
    <cellStyle name="Normal 3 3 2 4 2 2 2 2" xfId="26005"/>
    <cellStyle name="Normal 3 3 2 4 2 2 2 2 2" xfId="26006"/>
    <cellStyle name="Normal 3 3 2 4 2 2 2 3" xfId="26007"/>
    <cellStyle name="Normal 3 3 2 4 2 2 2 4" xfId="26008"/>
    <cellStyle name="Normal 3 3 2 4 2 2 3" xfId="26009"/>
    <cellStyle name="Normal 3 3 2 4 2 2 3 2" xfId="26010"/>
    <cellStyle name="Normal 3 3 2 4 2 2 3 2 2" xfId="26011"/>
    <cellStyle name="Normal 3 3 2 4 2 2 3 3" xfId="26012"/>
    <cellStyle name="Normal 3 3 2 4 2 2 4" xfId="26013"/>
    <cellStyle name="Normal 3 3 2 4 2 2 4 2" xfId="26014"/>
    <cellStyle name="Normal 3 3 2 4 2 2 4 2 2" xfId="26015"/>
    <cellStyle name="Normal 3 3 2 4 2 2 4 3" xfId="26016"/>
    <cellStyle name="Normal 3 3 2 4 2 2 5" xfId="26017"/>
    <cellStyle name="Normal 3 3 2 4 2 2 5 2" xfId="26018"/>
    <cellStyle name="Normal 3 3 2 4 2 2 6" xfId="26019"/>
    <cellStyle name="Normal 3 3 2 4 2 2 7" xfId="26020"/>
    <cellStyle name="Normal 3 3 2 4 2 3" xfId="26021"/>
    <cellStyle name="Normal 3 3 2 4 2 3 2" xfId="26022"/>
    <cellStyle name="Normal 3 3 2 4 2 3 2 2" xfId="26023"/>
    <cellStyle name="Normal 3 3 2 4 2 3 2 2 2" xfId="26024"/>
    <cellStyle name="Normal 3 3 2 4 2 3 2 3" xfId="26025"/>
    <cellStyle name="Normal 3 3 2 4 2 3 3" xfId="26026"/>
    <cellStyle name="Normal 3 3 2 4 2 3 3 2" xfId="26027"/>
    <cellStyle name="Normal 3 3 2 4 2 3 3 2 2" xfId="26028"/>
    <cellStyle name="Normal 3 3 2 4 2 3 3 3" xfId="26029"/>
    <cellStyle name="Normal 3 3 2 4 2 3 4" xfId="26030"/>
    <cellStyle name="Normal 3 3 2 4 2 3 4 2" xfId="26031"/>
    <cellStyle name="Normal 3 3 2 4 2 3 4 3" xfId="26032"/>
    <cellStyle name="Normal 3 3 2 4 2 3 5" xfId="26033"/>
    <cellStyle name="Normal 3 3 2 4 2 3 6" xfId="26034"/>
    <cellStyle name="Normal 3 3 2 4 2 3 7" xfId="26035"/>
    <cellStyle name="Normal 3 3 2 4 2 4" xfId="26036"/>
    <cellStyle name="Normal 3 3 2 4 2 4 2" xfId="26037"/>
    <cellStyle name="Normal 3 3 2 4 2 4 2 2" xfId="26038"/>
    <cellStyle name="Normal 3 3 2 4 2 4 2 3" xfId="26039"/>
    <cellStyle name="Normal 3 3 2 4 2 4 3" xfId="26040"/>
    <cellStyle name="Normal 3 3 2 4 2 4 3 2" xfId="26041"/>
    <cellStyle name="Normal 3 3 2 4 2 4 3 3" xfId="26042"/>
    <cellStyle name="Normal 3 3 2 4 2 4 4" xfId="26043"/>
    <cellStyle name="Normal 3 3 2 4 2 4 4 2" xfId="26044"/>
    <cellStyle name="Normal 3 3 2 4 2 4 5" xfId="26045"/>
    <cellStyle name="Normal 3 3 2 4 2 4 6" xfId="26046"/>
    <cellStyle name="Normal 3 3 2 4 2 4 7" xfId="26047"/>
    <cellStyle name="Normal 3 3 2 4 2 5" xfId="26048"/>
    <cellStyle name="Normal 3 3 2 4 2 5 2" xfId="26049"/>
    <cellStyle name="Normal 3 3 2 4 2 5 2 2" xfId="26050"/>
    <cellStyle name="Normal 3 3 2 4 2 5 2 3" xfId="26051"/>
    <cellStyle name="Normal 3 3 2 4 2 5 3" xfId="26052"/>
    <cellStyle name="Normal 3 3 2 4 2 5 3 2" xfId="26053"/>
    <cellStyle name="Normal 3 3 2 4 2 5 4" xfId="26054"/>
    <cellStyle name="Normal 3 3 2 4 2 5 4 2" xfId="26055"/>
    <cellStyle name="Normal 3 3 2 4 2 5 5" xfId="26056"/>
    <cellStyle name="Normal 3 3 2 4 2 5 6" xfId="26057"/>
    <cellStyle name="Normal 3 3 2 4 2 5 7" xfId="26058"/>
    <cellStyle name="Normal 3 3 2 4 2 6" xfId="26059"/>
    <cellStyle name="Normal 3 3 2 4 2 6 2" xfId="26060"/>
    <cellStyle name="Normal 3 3 2 4 2 6 2 2" xfId="26061"/>
    <cellStyle name="Normal 3 3 2 4 2 6 2 3" xfId="26062"/>
    <cellStyle name="Normal 3 3 2 4 2 6 3" xfId="26063"/>
    <cellStyle name="Normal 3 3 2 4 2 6 3 2" xfId="26064"/>
    <cellStyle name="Normal 3 3 2 4 2 6 4" xfId="26065"/>
    <cellStyle name="Normal 3 3 2 4 2 6 5" xfId="26066"/>
    <cellStyle name="Normal 3 3 2 4 2 6 6" xfId="26067"/>
    <cellStyle name="Normal 3 3 2 4 2 7" xfId="26068"/>
    <cellStyle name="Normal 3 3 2 4 2 7 2" xfId="26069"/>
    <cellStyle name="Normal 3 3 2 4 2 7 3" xfId="26070"/>
    <cellStyle name="Normal 3 3 2 4 2 8" xfId="26071"/>
    <cellStyle name="Normal 3 3 2 4 2 8 2" xfId="26072"/>
    <cellStyle name="Normal 3 3 2 4 2 9" xfId="26073"/>
    <cellStyle name="Normal 3 3 2 4 2 9 2" xfId="26074"/>
    <cellStyle name="Normal 3 3 2 4 3" xfId="26075"/>
    <cellStyle name="Normal 3 3 2 4 3 10" xfId="26076"/>
    <cellStyle name="Normal 3 3 2 4 3 11" xfId="26077"/>
    <cellStyle name="Normal 3 3 2 4 3 2" xfId="26078"/>
    <cellStyle name="Normal 3 3 2 4 3 2 2" xfId="26079"/>
    <cellStyle name="Normal 3 3 2 4 3 2 2 2" xfId="26080"/>
    <cellStyle name="Normal 3 3 2 4 3 2 2 2 2" xfId="26081"/>
    <cellStyle name="Normal 3 3 2 4 3 2 2 3" xfId="26082"/>
    <cellStyle name="Normal 3 3 2 4 3 2 2 4" xfId="26083"/>
    <cellStyle name="Normal 3 3 2 4 3 2 3" xfId="26084"/>
    <cellStyle name="Normal 3 3 2 4 3 2 3 2" xfId="26085"/>
    <cellStyle name="Normal 3 3 2 4 3 2 3 2 2" xfId="26086"/>
    <cellStyle name="Normal 3 3 2 4 3 2 3 3" xfId="26087"/>
    <cellStyle name="Normal 3 3 2 4 3 2 4" xfId="26088"/>
    <cellStyle name="Normal 3 3 2 4 3 2 4 2" xfId="26089"/>
    <cellStyle name="Normal 3 3 2 4 3 2 4 2 2" xfId="26090"/>
    <cellStyle name="Normal 3 3 2 4 3 2 4 3" xfId="26091"/>
    <cellStyle name="Normal 3 3 2 4 3 2 5" xfId="26092"/>
    <cellStyle name="Normal 3 3 2 4 3 2 5 2" xfId="26093"/>
    <cellStyle name="Normal 3 3 2 4 3 2 6" xfId="26094"/>
    <cellStyle name="Normal 3 3 2 4 3 2 7" xfId="26095"/>
    <cellStyle name="Normal 3 3 2 4 3 3" xfId="26096"/>
    <cellStyle name="Normal 3 3 2 4 3 3 2" xfId="26097"/>
    <cellStyle name="Normal 3 3 2 4 3 3 2 2" xfId="26098"/>
    <cellStyle name="Normal 3 3 2 4 3 3 2 2 2" xfId="26099"/>
    <cellStyle name="Normal 3 3 2 4 3 3 2 3" xfId="26100"/>
    <cellStyle name="Normal 3 3 2 4 3 3 3" xfId="26101"/>
    <cellStyle name="Normal 3 3 2 4 3 3 3 2" xfId="26102"/>
    <cellStyle name="Normal 3 3 2 4 3 3 3 2 2" xfId="26103"/>
    <cellStyle name="Normal 3 3 2 4 3 3 3 3" xfId="26104"/>
    <cellStyle name="Normal 3 3 2 4 3 3 4" xfId="26105"/>
    <cellStyle name="Normal 3 3 2 4 3 3 4 2" xfId="26106"/>
    <cellStyle name="Normal 3 3 2 4 3 3 4 3" xfId="26107"/>
    <cellStyle name="Normal 3 3 2 4 3 3 5" xfId="26108"/>
    <cellStyle name="Normal 3 3 2 4 3 3 6" xfId="26109"/>
    <cellStyle name="Normal 3 3 2 4 3 3 7" xfId="26110"/>
    <cellStyle name="Normal 3 3 2 4 3 4" xfId="26111"/>
    <cellStyle name="Normal 3 3 2 4 3 4 2" xfId="26112"/>
    <cellStyle name="Normal 3 3 2 4 3 4 2 2" xfId="26113"/>
    <cellStyle name="Normal 3 3 2 4 3 4 2 3" xfId="26114"/>
    <cellStyle name="Normal 3 3 2 4 3 4 3" xfId="26115"/>
    <cellStyle name="Normal 3 3 2 4 3 4 3 2" xfId="26116"/>
    <cellStyle name="Normal 3 3 2 4 3 4 3 3" xfId="26117"/>
    <cellStyle name="Normal 3 3 2 4 3 4 4" xfId="26118"/>
    <cellStyle name="Normal 3 3 2 4 3 4 4 2" xfId="26119"/>
    <cellStyle name="Normal 3 3 2 4 3 4 5" xfId="26120"/>
    <cellStyle name="Normal 3 3 2 4 3 4 6" xfId="26121"/>
    <cellStyle name="Normal 3 3 2 4 3 4 7" xfId="26122"/>
    <cellStyle name="Normal 3 3 2 4 3 5" xfId="26123"/>
    <cellStyle name="Normal 3 3 2 4 3 5 2" xfId="26124"/>
    <cellStyle name="Normal 3 3 2 4 3 5 2 2" xfId="26125"/>
    <cellStyle name="Normal 3 3 2 4 3 5 2 3" xfId="26126"/>
    <cellStyle name="Normal 3 3 2 4 3 5 3" xfId="26127"/>
    <cellStyle name="Normal 3 3 2 4 3 5 3 2" xfId="26128"/>
    <cellStyle name="Normal 3 3 2 4 3 5 4" xfId="26129"/>
    <cellStyle name="Normal 3 3 2 4 3 5 5" xfId="26130"/>
    <cellStyle name="Normal 3 3 2 4 3 5 6" xfId="26131"/>
    <cellStyle name="Normal 3 3 2 4 3 6" xfId="26132"/>
    <cellStyle name="Normal 3 3 2 4 3 6 2" xfId="26133"/>
    <cellStyle name="Normal 3 3 2 4 3 6 2 2" xfId="26134"/>
    <cellStyle name="Normal 3 3 2 4 3 6 3" xfId="26135"/>
    <cellStyle name="Normal 3 3 2 4 3 7" xfId="26136"/>
    <cellStyle name="Normal 3 3 2 4 3 7 2" xfId="26137"/>
    <cellStyle name="Normal 3 3 2 4 3 7 3" xfId="26138"/>
    <cellStyle name="Normal 3 3 2 4 3 8" xfId="26139"/>
    <cellStyle name="Normal 3 3 2 4 3 8 2" xfId="26140"/>
    <cellStyle name="Normal 3 3 2 4 3 9" xfId="26141"/>
    <cellStyle name="Normal 3 3 2 4 4" xfId="26142"/>
    <cellStyle name="Normal 3 3 2 4 4 10" xfId="26143"/>
    <cellStyle name="Normal 3 3 2 4 4 11" xfId="26144"/>
    <cellStyle name="Normal 3 3 2 4 4 2" xfId="26145"/>
    <cellStyle name="Normal 3 3 2 4 4 2 2" xfId="26146"/>
    <cellStyle name="Normal 3 3 2 4 4 2 2 2" xfId="26147"/>
    <cellStyle name="Normal 3 3 2 4 4 2 2 2 2" xfId="26148"/>
    <cellStyle name="Normal 3 3 2 4 4 2 2 3" xfId="26149"/>
    <cellStyle name="Normal 3 3 2 4 4 2 3" xfId="26150"/>
    <cellStyle name="Normal 3 3 2 4 4 2 3 2" xfId="26151"/>
    <cellStyle name="Normal 3 3 2 4 4 2 3 2 2" xfId="26152"/>
    <cellStyle name="Normal 3 3 2 4 4 2 3 3" xfId="26153"/>
    <cellStyle name="Normal 3 3 2 4 4 2 4" xfId="26154"/>
    <cellStyle name="Normal 3 3 2 4 4 2 4 2" xfId="26155"/>
    <cellStyle name="Normal 3 3 2 4 4 2 4 3" xfId="26156"/>
    <cellStyle name="Normal 3 3 2 4 4 2 5" xfId="26157"/>
    <cellStyle name="Normal 3 3 2 4 4 2 6" xfId="26158"/>
    <cellStyle name="Normal 3 3 2 4 4 2 7" xfId="26159"/>
    <cellStyle name="Normal 3 3 2 4 4 3" xfId="26160"/>
    <cellStyle name="Normal 3 3 2 4 4 3 2" xfId="26161"/>
    <cellStyle name="Normal 3 3 2 4 4 3 2 2" xfId="26162"/>
    <cellStyle name="Normal 3 3 2 4 4 3 2 3" xfId="26163"/>
    <cellStyle name="Normal 3 3 2 4 4 3 3" xfId="26164"/>
    <cellStyle name="Normal 3 3 2 4 4 3 3 2" xfId="26165"/>
    <cellStyle name="Normal 3 3 2 4 4 3 3 3" xfId="26166"/>
    <cellStyle name="Normal 3 3 2 4 4 3 4" xfId="26167"/>
    <cellStyle name="Normal 3 3 2 4 4 3 4 2" xfId="26168"/>
    <cellStyle name="Normal 3 3 2 4 4 3 5" xfId="26169"/>
    <cellStyle name="Normal 3 3 2 4 4 3 6" xfId="26170"/>
    <cellStyle name="Normal 3 3 2 4 4 3 7" xfId="26171"/>
    <cellStyle name="Normal 3 3 2 4 4 4" xfId="26172"/>
    <cellStyle name="Normal 3 3 2 4 4 4 2" xfId="26173"/>
    <cellStyle name="Normal 3 3 2 4 4 4 2 2" xfId="26174"/>
    <cellStyle name="Normal 3 3 2 4 4 4 2 3" xfId="26175"/>
    <cellStyle name="Normal 3 3 2 4 4 4 3" xfId="26176"/>
    <cellStyle name="Normal 3 3 2 4 4 4 3 2" xfId="26177"/>
    <cellStyle name="Normal 3 3 2 4 4 4 4" xfId="26178"/>
    <cellStyle name="Normal 3 3 2 4 4 4 4 2" xfId="26179"/>
    <cellStyle name="Normal 3 3 2 4 4 4 5" xfId="26180"/>
    <cellStyle name="Normal 3 3 2 4 4 4 6" xfId="26181"/>
    <cellStyle name="Normal 3 3 2 4 4 4 7" xfId="26182"/>
    <cellStyle name="Normal 3 3 2 4 4 5" xfId="26183"/>
    <cellStyle name="Normal 3 3 2 4 4 5 2" xfId="26184"/>
    <cellStyle name="Normal 3 3 2 4 4 5 2 2" xfId="26185"/>
    <cellStyle name="Normal 3 3 2 4 4 5 2 3" xfId="26186"/>
    <cellStyle name="Normal 3 3 2 4 4 5 3" xfId="26187"/>
    <cellStyle name="Normal 3 3 2 4 4 5 3 2" xfId="26188"/>
    <cellStyle name="Normal 3 3 2 4 4 5 4" xfId="26189"/>
    <cellStyle name="Normal 3 3 2 4 4 5 5" xfId="26190"/>
    <cellStyle name="Normal 3 3 2 4 4 5 6" xfId="26191"/>
    <cellStyle name="Normal 3 3 2 4 4 6" xfId="26192"/>
    <cellStyle name="Normal 3 3 2 4 4 6 2" xfId="26193"/>
    <cellStyle name="Normal 3 3 2 4 4 6 3" xfId="26194"/>
    <cellStyle name="Normal 3 3 2 4 4 7" xfId="26195"/>
    <cellStyle name="Normal 3 3 2 4 4 7 2" xfId="26196"/>
    <cellStyle name="Normal 3 3 2 4 4 8" xfId="26197"/>
    <cellStyle name="Normal 3 3 2 4 4 8 2" xfId="26198"/>
    <cellStyle name="Normal 3 3 2 4 4 9" xfId="26199"/>
    <cellStyle name="Normal 3 3 2 4 5" xfId="26200"/>
    <cellStyle name="Normal 3 3 2 4 5 2" xfId="26201"/>
    <cellStyle name="Normal 3 3 2 4 5 2 2" xfId="26202"/>
    <cellStyle name="Normal 3 3 2 4 5 2 2 2" xfId="26203"/>
    <cellStyle name="Normal 3 3 2 4 5 2 3" xfId="26204"/>
    <cellStyle name="Normal 3 3 2 4 5 3" xfId="26205"/>
    <cellStyle name="Normal 3 3 2 4 5 3 2" xfId="26206"/>
    <cellStyle name="Normal 3 3 2 4 5 3 2 2" xfId="26207"/>
    <cellStyle name="Normal 3 3 2 4 5 3 3" xfId="26208"/>
    <cellStyle name="Normal 3 3 2 4 5 4" xfId="26209"/>
    <cellStyle name="Normal 3 3 2 4 5 4 2" xfId="26210"/>
    <cellStyle name="Normal 3 3 2 4 5 4 3" xfId="26211"/>
    <cellStyle name="Normal 3 3 2 4 5 5" xfId="26212"/>
    <cellStyle name="Normal 3 3 2 4 5 6" xfId="26213"/>
    <cellStyle name="Normal 3 3 2 4 5 7" xfId="26214"/>
    <cellStyle name="Normal 3 3 2 4 6" xfId="26215"/>
    <cellStyle name="Normal 3 3 2 4 6 2" xfId="26216"/>
    <cellStyle name="Normal 3 3 2 4 6 2 2" xfId="26217"/>
    <cellStyle name="Normal 3 3 2 4 6 2 2 2" xfId="26218"/>
    <cellStyle name="Normal 3 3 2 4 6 2 3" xfId="26219"/>
    <cellStyle name="Normal 3 3 2 4 6 3" xfId="26220"/>
    <cellStyle name="Normal 3 3 2 4 6 3 2" xfId="26221"/>
    <cellStyle name="Normal 3 3 2 4 6 3 2 2" xfId="26222"/>
    <cellStyle name="Normal 3 3 2 4 6 3 3" xfId="26223"/>
    <cellStyle name="Normal 3 3 2 4 6 4" xfId="26224"/>
    <cellStyle name="Normal 3 3 2 4 6 4 2" xfId="26225"/>
    <cellStyle name="Normal 3 3 2 4 6 4 3" xfId="26226"/>
    <cellStyle name="Normal 3 3 2 4 6 5" xfId="26227"/>
    <cellStyle name="Normal 3 3 2 4 6 6" xfId="26228"/>
    <cellStyle name="Normal 3 3 2 4 6 7" xfId="26229"/>
    <cellStyle name="Normal 3 3 2 4 7" xfId="26230"/>
    <cellStyle name="Normal 3 3 2 4 7 2" xfId="26231"/>
    <cellStyle name="Normal 3 3 2 4 7 2 2" xfId="26232"/>
    <cellStyle name="Normal 3 3 2 4 7 2 3" xfId="26233"/>
    <cellStyle name="Normal 3 3 2 4 7 3" xfId="26234"/>
    <cellStyle name="Normal 3 3 2 4 7 3 2" xfId="26235"/>
    <cellStyle name="Normal 3 3 2 4 7 3 3" xfId="26236"/>
    <cellStyle name="Normal 3 3 2 4 7 4" xfId="26237"/>
    <cellStyle name="Normal 3 3 2 4 7 4 2" xfId="26238"/>
    <cellStyle name="Normal 3 3 2 4 7 5" xfId="26239"/>
    <cellStyle name="Normal 3 3 2 4 7 6" xfId="26240"/>
    <cellStyle name="Normal 3 3 2 4 7 7" xfId="26241"/>
    <cellStyle name="Normal 3 3 2 4 8" xfId="26242"/>
    <cellStyle name="Normal 3 3 2 4 8 2" xfId="26243"/>
    <cellStyle name="Normal 3 3 2 4 8 2 2" xfId="26244"/>
    <cellStyle name="Normal 3 3 2 4 8 2 3" xfId="26245"/>
    <cellStyle name="Normal 3 3 2 4 8 3" xfId="26246"/>
    <cellStyle name="Normal 3 3 2 4 8 3 2" xfId="26247"/>
    <cellStyle name="Normal 3 3 2 4 8 4" xfId="26248"/>
    <cellStyle name="Normal 3 3 2 4 8 5" xfId="26249"/>
    <cellStyle name="Normal 3 3 2 4 8 6" xfId="26250"/>
    <cellStyle name="Normal 3 3 2 4 9" xfId="26251"/>
    <cellStyle name="Normal 3 3 2 4 9 2" xfId="26252"/>
    <cellStyle name="Normal 3 3 2 4 9 2 2" xfId="26253"/>
    <cellStyle name="Normal 3 3 2 4 9 3" xfId="26254"/>
    <cellStyle name="Normal 3 3 2 5" xfId="26255"/>
    <cellStyle name="Normal 3 3 2 5 10" xfId="26256"/>
    <cellStyle name="Normal 3 3 2 5 10 2" xfId="26257"/>
    <cellStyle name="Normal 3 3 2 5 11" xfId="26258"/>
    <cellStyle name="Normal 3 3 2 5 12" xfId="26259"/>
    <cellStyle name="Normal 3 3 2 5 13" xfId="26260"/>
    <cellStyle name="Normal 3 3 2 5 2" xfId="26261"/>
    <cellStyle name="Normal 3 3 2 5 2 10" xfId="26262"/>
    <cellStyle name="Normal 3 3 2 5 2 11" xfId="26263"/>
    <cellStyle name="Normal 3 3 2 5 2 2" xfId="26264"/>
    <cellStyle name="Normal 3 3 2 5 2 2 2" xfId="26265"/>
    <cellStyle name="Normal 3 3 2 5 2 2 2 2" xfId="26266"/>
    <cellStyle name="Normal 3 3 2 5 2 2 2 2 2" xfId="26267"/>
    <cellStyle name="Normal 3 3 2 5 2 2 2 3" xfId="26268"/>
    <cellStyle name="Normal 3 3 2 5 2 2 2 4" xfId="26269"/>
    <cellStyle name="Normal 3 3 2 5 2 2 3" xfId="26270"/>
    <cellStyle name="Normal 3 3 2 5 2 2 3 2" xfId="26271"/>
    <cellStyle name="Normal 3 3 2 5 2 2 3 2 2" xfId="26272"/>
    <cellStyle name="Normal 3 3 2 5 2 2 3 3" xfId="26273"/>
    <cellStyle name="Normal 3 3 2 5 2 2 4" xfId="26274"/>
    <cellStyle name="Normal 3 3 2 5 2 2 4 2" xfId="26275"/>
    <cellStyle name="Normal 3 3 2 5 2 2 4 2 2" xfId="26276"/>
    <cellStyle name="Normal 3 3 2 5 2 2 4 3" xfId="26277"/>
    <cellStyle name="Normal 3 3 2 5 2 2 5" xfId="26278"/>
    <cellStyle name="Normal 3 3 2 5 2 2 5 2" xfId="26279"/>
    <cellStyle name="Normal 3 3 2 5 2 2 6" xfId="26280"/>
    <cellStyle name="Normal 3 3 2 5 2 2 7" xfId="26281"/>
    <cellStyle name="Normal 3 3 2 5 2 3" xfId="26282"/>
    <cellStyle name="Normal 3 3 2 5 2 3 2" xfId="26283"/>
    <cellStyle name="Normal 3 3 2 5 2 3 2 2" xfId="26284"/>
    <cellStyle name="Normal 3 3 2 5 2 3 2 2 2" xfId="26285"/>
    <cellStyle name="Normal 3 3 2 5 2 3 2 3" xfId="26286"/>
    <cellStyle name="Normal 3 3 2 5 2 3 3" xfId="26287"/>
    <cellStyle name="Normal 3 3 2 5 2 3 3 2" xfId="26288"/>
    <cellStyle name="Normal 3 3 2 5 2 3 3 2 2" xfId="26289"/>
    <cellStyle name="Normal 3 3 2 5 2 3 3 3" xfId="26290"/>
    <cellStyle name="Normal 3 3 2 5 2 3 4" xfId="26291"/>
    <cellStyle name="Normal 3 3 2 5 2 3 4 2" xfId="26292"/>
    <cellStyle name="Normal 3 3 2 5 2 3 4 3" xfId="26293"/>
    <cellStyle name="Normal 3 3 2 5 2 3 5" xfId="26294"/>
    <cellStyle name="Normal 3 3 2 5 2 3 6" xfId="26295"/>
    <cellStyle name="Normal 3 3 2 5 2 3 7" xfId="26296"/>
    <cellStyle name="Normal 3 3 2 5 2 4" xfId="26297"/>
    <cellStyle name="Normal 3 3 2 5 2 4 2" xfId="26298"/>
    <cellStyle name="Normal 3 3 2 5 2 4 2 2" xfId="26299"/>
    <cellStyle name="Normal 3 3 2 5 2 4 2 3" xfId="26300"/>
    <cellStyle name="Normal 3 3 2 5 2 4 3" xfId="26301"/>
    <cellStyle name="Normal 3 3 2 5 2 4 3 2" xfId="26302"/>
    <cellStyle name="Normal 3 3 2 5 2 4 3 3" xfId="26303"/>
    <cellStyle name="Normal 3 3 2 5 2 4 4" xfId="26304"/>
    <cellStyle name="Normal 3 3 2 5 2 4 4 2" xfId="26305"/>
    <cellStyle name="Normal 3 3 2 5 2 4 5" xfId="26306"/>
    <cellStyle name="Normal 3 3 2 5 2 4 6" xfId="26307"/>
    <cellStyle name="Normal 3 3 2 5 2 4 7" xfId="26308"/>
    <cellStyle name="Normal 3 3 2 5 2 5" xfId="26309"/>
    <cellStyle name="Normal 3 3 2 5 2 5 2" xfId="26310"/>
    <cellStyle name="Normal 3 3 2 5 2 5 2 2" xfId="26311"/>
    <cellStyle name="Normal 3 3 2 5 2 5 2 3" xfId="26312"/>
    <cellStyle name="Normal 3 3 2 5 2 5 3" xfId="26313"/>
    <cellStyle name="Normal 3 3 2 5 2 5 3 2" xfId="26314"/>
    <cellStyle name="Normal 3 3 2 5 2 5 4" xfId="26315"/>
    <cellStyle name="Normal 3 3 2 5 2 5 5" xfId="26316"/>
    <cellStyle name="Normal 3 3 2 5 2 5 6" xfId="26317"/>
    <cellStyle name="Normal 3 3 2 5 2 6" xfId="26318"/>
    <cellStyle name="Normal 3 3 2 5 2 6 2" xfId="26319"/>
    <cellStyle name="Normal 3 3 2 5 2 6 2 2" xfId="26320"/>
    <cellStyle name="Normal 3 3 2 5 2 6 3" xfId="26321"/>
    <cellStyle name="Normal 3 3 2 5 2 7" xfId="26322"/>
    <cellStyle name="Normal 3 3 2 5 2 7 2" xfId="26323"/>
    <cellStyle name="Normal 3 3 2 5 2 7 3" xfId="26324"/>
    <cellStyle name="Normal 3 3 2 5 2 8" xfId="26325"/>
    <cellStyle name="Normal 3 3 2 5 2 8 2" xfId="26326"/>
    <cellStyle name="Normal 3 3 2 5 2 9" xfId="26327"/>
    <cellStyle name="Normal 3 3 2 5 3" xfId="26328"/>
    <cellStyle name="Normal 3 3 2 5 3 10" xfId="26329"/>
    <cellStyle name="Normal 3 3 2 5 3 11" xfId="26330"/>
    <cellStyle name="Normal 3 3 2 5 3 2" xfId="26331"/>
    <cellStyle name="Normal 3 3 2 5 3 2 2" xfId="26332"/>
    <cellStyle name="Normal 3 3 2 5 3 2 2 2" xfId="26333"/>
    <cellStyle name="Normal 3 3 2 5 3 2 2 3" xfId="26334"/>
    <cellStyle name="Normal 3 3 2 5 3 2 3" xfId="26335"/>
    <cellStyle name="Normal 3 3 2 5 3 2 3 2" xfId="26336"/>
    <cellStyle name="Normal 3 3 2 5 3 2 3 3" xfId="26337"/>
    <cellStyle name="Normal 3 3 2 5 3 2 4" xfId="26338"/>
    <cellStyle name="Normal 3 3 2 5 3 2 4 2" xfId="26339"/>
    <cellStyle name="Normal 3 3 2 5 3 2 5" xfId="26340"/>
    <cellStyle name="Normal 3 3 2 5 3 2 6" xfId="26341"/>
    <cellStyle name="Normal 3 3 2 5 3 2 7" xfId="26342"/>
    <cellStyle name="Normal 3 3 2 5 3 3" xfId="26343"/>
    <cellStyle name="Normal 3 3 2 5 3 3 2" xfId="26344"/>
    <cellStyle name="Normal 3 3 2 5 3 3 2 2" xfId="26345"/>
    <cellStyle name="Normal 3 3 2 5 3 3 2 3" xfId="26346"/>
    <cellStyle name="Normal 3 3 2 5 3 3 3" xfId="26347"/>
    <cellStyle name="Normal 3 3 2 5 3 3 3 2" xfId="26348"/>
    <cellStyle name="Normal 3 3 2 5 3 3 4" xfId="26349"/>
    <cellStyle name="Normal 3 3 2 5 3 3 4 2" xfId="26350"/>
    <cellStyle name="Normal 3 3 2 5 3 3 5" xfId="26351"/>
    <cellStyle name="Normal 3 3 2 5 3 3 6" xfId="26352"/>
    <cellStyle name="Normal 3 3 2 5 3 3 7" xfId="26353"/>
    <cellStyle name="Normal 3 3 2 5 3 4" xfId="26354"/>
    <cellStyle name="Normal 3 3 2 5 3 4 2" xfId="26355"/>
    <cellStyle name="Normal 3 3 2 5 3 4 2 2" xfId="26356"/>
    <cellStyle name="Normal 3 3 2 5 3 4 2 3" xfId="26357"/>
    <cellStyle name="Normal 3 3 2 5 3 4 3" xfId="26358"/>
    <cellStyle name="Normal 3 3 2 5 3 4 3 2" xfId="26359"/>
    <cellStyle name="Normal 3 3 2 5 3 4 4" xfId="26360"/>
    <cellStyle name="Normal 3 3 2 5 3 4 4 2" xfId="26361"/>
    <cellStyle name="Normal 3 3 2 5 3 4 5" xfId="26362"/>
    <cellStyle name="Normal 3 3 2 5 3 4 6" xfId="26363"/>
    <cellStyle name="Normal 3 3 2 5 3 4 7" xfId="26364"/>
    <cellStyle name="Normal 3 3 2 5 3 5" xfId="26365"/>
    <cellStyle name="Normal 3 3 2 5 3 5 2" xfId="26366"/>
    <cellStyle name="Normal 3 3 2 5 3 5 2 2" xfId="26367"/>
    <cellStyle name="Normal 3 3 2 5 3 5 3" xfId="26368"/>
    <cellStyle name="Normal 3 3 2 5 3 5 3 2" xfId="26369"/>
    <cellStyle name="Normal 3 3 2 5 3 5 4" xfId="26370"/>
    <cellStyle name="Normal 3 3 2 5 3 5 5" xfId="26371"/>
    <cellStyle name="Normal 3 3 2 5 3 5 6" xfId="26372"/>
    <cellStyle name="Normal 3 3 2 5 3 6" xfId="26373"/>
    <cellStyle name="Normal 3 3 2 5 3 6 2" xfId="26374"/>
    <cellStyle name="Normal 3 3 2 5 3 7" xfId="26375"/>
    <cellStyle name="Normal 3 3 2 5 3 7 2" xfId="26376"/>
    <cellStyle name="Normal 3 3 2 5 3 8" xfId="26377"/>
    <cellStyle name="Normal 3 3 2 5 3 8 2" xfId="26378"/>
    <cellStyle name="Normal 3 3 2 5 3 9" xfId="26379"/>
    <cellStyle name="Normal 3 3 2 5 4" xfId="26380"/>
    <cellStyle name="Normal 3 3 2 5 4 2" xfId="26381"/>
    <cellStyle name="Normal 3 3 2 5 4 2 2" xfId="26382"/>
    <cellStyle name="Normal 3 3 2 5 4 2 2 2" xfId="26383"/>
    <cellStyle name="Normal 3 3 2 5 4 2 3" xfId="26384"/>
    <cellStyle name="Normal 3 3 2 5 4 3" xfId="26385"/>
    <cellStyle name="Normal 3 3 2 5 4 3 2" xfId="26386"/>
    <cellStyle name="Normal 3 3 2 5 4 3 2 2" xfId="26387"/>
    <cellStyle name="Normal 3 3 2 5 4 3 3" xfId="26388"/>
    <cellStyle name="Normal 3 3 2 5 4 4" xfId="26389"/>
    <cellStyle name="Normal 3 3 2 5 4 4 2" xfId="26390"/>
    <cellStyle name="Normal 3 3 2 5 4 4 3" xfId="26391"/>
    <cellStyle name="Normal 3 3 2 5 4 5" xfId="26392"/>
    <cellStyle name="Normal 3 3 2 5 4 6" xfId="26393"/>
    <cellStyle name="Normal 3 3 2 5 4 7" xfId="26394"/>
    <cellStyle name="Normal 3 3 2 5 5" xfId="26395"/>
    <cellStyle name="Normal 3 3 2 5 5 2" xfId="26396"/>
    <cellStyle name="Normal 3 3 2 5 5 2 2" xfId="26397"/>
    <cellStyle name="Normal 3 3 2 5 5 2 3" xfId="26398"/>
    <cellStyle name="Normal 3 3 2 5 5 3" xfId="26399"/>
    <cellStyle name="Normal 3 3 2 5 5 3 2" xfId="26400"/>
    <cellStyle name="Normal 3 3 2 5 5 3 3" xfId="26401"/>
    <cellStyle name="Normal 3 3 2 5 5 4" xfId="26402"/>
    <cellStyle name="Normal 3 3 2 5 5 4 2" xfId="26403"/>
    <cellStyle name="Normal 3 3 2 5 5 5" xfId="26404"/>
    <cellStyle name="Normal 3 3 2 5 5 6" xfId="26405"/>
    <cellStyle name="Normal 3 3 2 5 5 7" xfId="26406"/>
    <cellStyle name="Normal 3 3 2 5 6" xfId="26407"/>
    <cellStyle name="Normal 3 3 2 5 6 2" xfId="26408"/>
    <cellStyle name="Normal 3 3 2 5 6 2 2" xfId="26409"/>
    <cellStyle name="Normal 3 3 2 5 6 2 3" xfId="26410"/>
    <cellStyle name="Normal 3 3 2 5 6 3" xfId="26411"/>
    <cellStyle name="Normal 3 3 2 5 6 3 2" xfId="26412"/>
    <cellStyle name="Normal 3 3 2 5 6 4" xfId="26413"/>
    <cellStyle name="Normal 3 3 2 5 6 4 2" xfId="26414"/>
    <cellStyle name="Normal 3 3 2 5 6 5" xfId="26415"/>
    <cellStyle name="Normal 3 3 2 5 6 6" xfId="26416"/>
    <cellStyle name="Normal 3 3 2 5 6 7" xfId="26417"/>
    <cellStyle name="Normal 3 3 2 5 7" xfId="26418"/>
    <cellStyle name="Normal 3 3 2 5 7 2" xfId="26419"/>
    <cellStyle name="Normal 3 3 2 5 7 2 2" xfId="26420"/>
    <cellStyle name="Normal 3 3 2 5 7 2 3" xfId="26421"/>
    <cellStyle name="Normal 3 3 2 5 7 3" xfId="26422"/>
    <cellStyle name="Normal 3 3 2 5 7 3 2" xfId="26423"/>
    <cellStyle name="Normal 3 3 2 5 7 4" xfId="26424"/>
    <cellStyle name="Normal 3 3 2 5 7 5" xfId="26425"/>
    <cellStyle name="Normal 3 3 2 5 7 6" xfId="26426"/>
    <cellStyle name="Normal 3 3 2 5 8" xfId="26427"/>
    <cellStyle name="Normal 3 3 2 5 8 2" xfId="26428"/>
    <cellStyle name="Normal 3 3 2 5 8 3" xfId="26429"/>
    <cellStyle name="Normal 3 3 2 5 9" xfId="26430"/>
    <cellStyle name="Normal 3 3 2 5 9 2" xfId="26431"/>
    <cellStyle name="Normal 3 3 2 6" xfId="26432"/>
    <cellStyle name="Normal 3 3 2 6 10" xfId="26433"/>
    <cellStyle name="Normal 3 3 2 6 11" xfId="26434"/>
    <cellStyle name="Normal 3 3 2 6 12" xfId="26435"/>
    <cellStyle name="Normal 3 3 2 6 2" xfId="26436"/>
    <cellStyle name="Normal 3 3 2 6 2 2" xfId="26437"/>
    <cellStyle name="Normal 3 3 2 6 2 2 2" xfId="26438"/>
    <cellStyle name="Normal 3 3 2 6 2 2 2 2" xfId="26439"/>
    <cellStyle name="Normal 3 3 2 6 2 2 3" xfId="26440"/>
    <cellStyle name="Normal 3 3 2 6 2 2 4" xfId="26441"/>
    <cellStyle name="Normal 3 3 2 6 2 3" xfId="26442"/>
    <cellStyle name="Normal 3 3 2 6 2 3 2" xfId="26443"/>
    <cellStyle name="Normal 3 3 2 6 2 3 2 2" xfId="26444"/>
    <cellStyle name="Normal 3 3 2 6 2 3 3" xfId="26445"/>
    <cellStyle name="Normal 3 3 2 6 2 4" xfId="26446"/>
    <cellStyle name="Normal 3 3 2 6 2 4 2" xfId="26447"/>
    <cellStyle name="Normal 3 3 2 6 2 4 2 2" xfId="26448"/>
    <cellStyle name="Normal 3 3 2 6 2 4 3" xfId="26449"/>
    <cellStyle name="Normal 3 3 2 6 2 5" xfId="26450"/>
    <cellStyle name="Normal 3 3 2 6 2 5 2" xfId="26451"/>
    <cellStyle name="Normal 3 3 2 6 2 6" xfId="26452"/>
    <cellStyle name="Normal 3 3 2 6 2 7" xfId="26453"/>
    <cellStyle name="Normal 3 3 2 6 3" xfId="26454"/>
    <cellStyle name="Normal 3 3 2 6 3 2" xfId="26455"/>
    <cellStyle name="Normal 3 3 2 6 3 2 2" xfId="26456"/>
    <cellStyle name="Normal 3 3 2 6 3 2 2 2" xfId="26457"/>
    <cellStyle name="Normal 3 3 2 6 3 2 3" xfId="26458"/>
    <cellStyle name="Normal 3 3 2 6 3 3" xfId="26459"/>
    <cellStyle name="Normal 3 3 2 6 3 3 2" xfId="26460"/>
    <cellStyle name="Normal 3 3 2 6 3 3 2 2" xfId="26461"/>
    <cellStyle name="Normal 3 3 2 6 3 3 3" xfId="26462"/>
    <cellStyle name="Normal 3 3 2 6 3 4" xfId="26463"/>
    <cellStyle name="Normal 3 3 2 6 3 4 2" xfId="26464"/>
    <cellStyle name="Normal 3 3 2 6 3 4 3" xfId="26465"/>
    <cellStyle name="Normal 3 3 2 6 3 5" xfId="26466"/>
    <cellStyle name="Normal 3 3 2 6 3 6" xfId="26467"/>
    <cellStyle name="Normal 3 3 2 6 3 7" xfId="26468"/>
    <cellStyle name="Normal 3 3 2 6 4" xfId="26469"/>
    <cellStyle name="Normal 3 3 2 6 4 2" xfId="26470"/>
    <cellStyle name="Normal 3 3 2 6 4 2 2" xfId="26471"/>
    <cellStyle name="Normal 3 3 2 6 4 2 3" xfId="26472"/>
    <cellStyle name="Normal 3 3 2 6 4 3" xfId="26473"/>
    <cellStyle name="Normal 3 3 2 6 4 3 2" xfId="26474"/>
    <cellStyle name="Normal 3 3 2 6 4 3 3" xfId="26475"/>
    <cellStyle name="Normal 3 3 2 6 4 4" xfId="26476"/>
    <cellStyle name="Normal 3 3 2 6 4 4 2" xfId="26477"/>
    <cellStyle name="Normal 3 3 2 6 4 5" xfId="26478"/>
    <cellStyle name="Normal 3 3 2 6 4 6" xfId="26479"/>
    <cellStyle name="Normal 3 3 2 6 4 7" xfId="26480"/>
    <cellStyle name="Normal 3 3 2 6 5" xfId="26481"/>
    <cellStyle name="Normal 3 3 2 6 5 2" xfId="26482"/>
    <cellStyle name="Normal 3 3 2 6 5 2 2" xfId="26483"/>
    <cellStyle name="Normal 3 3 2 6 5 2 3" xfId="26484"/>
    <cellStyle name="Normal 3 3 2 6 5 3" xfId="26485"/>
    <cellStyle name="Normal 3 3 2 6 5 3 2" xfId="26486"/>
    <cellStyle name="Normal 3 3 2 6 5 4" xfId="26487"/>
    <cellStyle name="Normal 3 3 2 6 5 4 2" xfId="26488"/>
    <cellStyle name="Normal 3 3 2 6 5 5" xfId="26489"/>
    <cellStyle name="Normal 3 3 2 6 5 6" xfId="26490"/>
    <cellStyle name="Normal 3 3 2 6 5 7" xfId="26491"/>
    <cellStyle name="Normal 3 3 2 6 6" xfId="26492"/>
    <cellStyle name="Normal 3 3 2 6 6 2" xfId="26493"/>
    <cellStyle name="Normal 3 3 2 6 6 2 2" xfId="26494"/>
    <cellStyle name="Normal 3 3 2 6 6 2 3" xfId="26495"/>
    <cellStyle name="Normal 3 3 2 6 6 3" xfId="26496"/>
    <cellStyle name="Normal 3 3 2 6 6 3 2" xfId="26497"/>
    <cellStyle name="Normal 3 3 2 6 6 4" xfId="26498"/>
    <cellStyle name="Normal 3 3 2 6 6 5" xfId="26499"/>
    <cellStyle name="Normal 3 3 2 6 6 6" xfId="26500"/>
    <cellStyle name="Normal 3 3 2 6 7" xfId="26501"/>
    <cellStyle name="Normal 3 3 2 6 7 2" xfId="26502"/>
    <cellStyle name="Normal 3 3 2 6 7 3" xfId="26503"/>
    <cellStyle name="Normal 3 3 2 6 8" xfId="26504"/>
    <cellStyle name="Normal 3 3 2 6 8 2" xfId="26505"/>
    <cellStyle name="Normal 3 3 2 6 9" xfId="26506"/>
    <cellStyle name="Normal 3 3 2 6 9 2" xfId="26507"/>
    <cellStyle name="Normal 3 3 2 7" xfId="26508"/>
    <cellStyle name="Normal 3 3 2 7 10" xfId="26509"/>
    <cellStyle name="Normal 3 3 2 7 11" xfId="26510"/>
    <cellStyle name="Normal 3 3 2 7 2" xfId="26511"/>
    <cellStyle name="Normal 3 3 2 7 2 2" xfId="26512"/>
    <cellStyle name="Normal 3 3 2 7 2 2 2" xfId="26513"/>
    <cellStyle name="Normal 3 3 2 7 2 2 2 2" xfId="26514"/>
    <cellStyle name="Normal 3 3 2 7 2 2 3" xfId="26515"/>
    <cellStyle name="Normal 3 3 2 7 2 2 4" xfId="26516"/>
    <cellStyle name="Normal 3 3 2 7 2 3" xfId="26517"/>
    <cellStyle name="Normal 3 3 2 7 2 3 2" xfId="26518"/>
    <cellStyle name="Normal 3 3 2 7 2 3 2 2" xfId="26519"/>
    <cellStyle name="Normal 3 3 2 7 2 3 3" xfId="26520"/>
    <cellStyle name="Normal 3 3 2 7 2 4" xfId="26521"/>
    <cellStyle name="Normal 3 3 2 7 2 4 2" xfId="26522"/>
    <cellStyle name="Normal 3 3 2 7 2 4 2 2" xfId="26523"/>
    <cellStyle name="Normal 3 3 2 7 2 4 3" xfId="26524"/>
    <cellStyle name="Normal 3 3 2 7 2 5" xfId="26525"/>
    <cellStyle name="Normal 3 3 2 7 2 5 2" xfId="26526"/>
    <cellStyle name="Normal 3 3 2 7 2 6" xfId="26527"/>
    <cellStyle name="Normal 3 3 2 7 2 7" xfId="26528"/>
    <cellStyle name="Normal 3 3 2 7 3" xfId="26529"/>
    <cellStyle name="Normal 3 3 2 7 3 2" xfId="26530"/>
    <cellStyle name="Normal 3 3 2 7 3 2 2" xfId="26531"/>
    <cellStyle name="Normal 3 3 2 7 3 2 2 2" xfId="26532"/>
    <cellStyle name="Normal 3 3 2 7 3 2 3" xfId="26533"/>
    <cellStyle name="Normal 3 3 2 7 3 3" xfId="26534"/>
    <cellStyle name="Normal 3 3 2 7 3 3 2" xfId="26535"/>
    <cellStyle name="Normal 3 3 2 7 3 3 2 2" xfId="26536"/>
    <cellStyle name="Normal 3 3 2 7 3 3 3" xfId="26537"/>
    <cellStyle name="Normal 3 3 2 7 3 4" xfId="26538"/>
    <cellStyle name="Normal 3 3 2 7 3 4 2" xfId="26539"/>
    <cellStyle name="Normal 3 3 2 7 3 4 3" xfId="26540"/>
    <cellStyle name="Normal 3 3 2 7 3 5" xfId="26541"/>
    <cellStyle name="Normal 3 3 2 7 3 6" xfId="26542"/>
    <cellStyle name="Normal 3 3 2 7 3 7" xfId="26543"/>
    <cellStyle name="Normal 3 3 2 7 4" xfId="26544"/>
    <cellStyle name="Normal 3 3 2 7 4 2" xfId="26545"/>
    <cellStyle name="Normal 3 3 2 7 4 2 2" xfId="26546"/>
    <cellStyle name="Normal 3 3 2 7 4 2 3" xfId="26547"/>
    <cellStyle name="Normal 3 3 2 7 4 3" xfId="26548"/>
    <cellStyle name="Normal 3 3 2 7 4 3 2" xfId="26549"/>
    <cellStyle name="Normal 3 3 2 7 4 3 3" xfId="26550"/>
    <cellStyle name="Normal 3 3 2 7 4 4" xfId="26551"/>
    <cellStyle name="Normal 3 3 2 7 4 4 2" xfId="26552"/>
    <cellStyle name="Normal 3 3 2 7 4 5" xfId="26553"/>
    <cellStyle name="Normal 3 3 2 7 4 6" xfId="26554"/>
    <cellStyle name="Normal 3 3 2 7 4 7" xfId="26555"/>
    <cellStyle name="Normal 3 3 2 7 5" xfId="26556"/>
    <cellStyle name="Normal 3 3 2 7 5 2" xfId="26557"/>
    <cellStyle name="Normal 3 3 2 7 5 2 2" xfId="26558"/>
    <cellStyle name="Normal 3 3 2 7 5 2 3" xfId="26559"/>
    <cellStyle name="Normal 3 3 2 7 5 3" xfId="26560"/>
    <cellStyle name="Normal 3 3 2 7 5 3 2" xfId="26561"/>
    <cellStyle name="Normal 3 3 2 7 5 4" xfId="26562"/>
    <cellStyle name="Normal 3 3 2 7 5 5" xfId="26563"/>
    <cellStyle name="Normal 3 3 2 7 5 6" xfId="26564"/>
    <cellStyle name="Normal 3 3 2 7 6" xfId="26565"/>
    <cellStyle name="Normal 3 3 2 7 6 2" xfId="26566"/>
    <cellStyle name="Normal 3 3 2 7 6 2 2" xfId="26567"/>
    <cellStyle name="Normal 3 3 2 7 6 3" xfId="26568"/>
    <cellStyle name="Normal 3 3 2 7 7" xfId="26569"/>
    <cellStyle name="Normal 3 3 2 7 7 2" xfId="26570"/>
    <cellStyle name="Normal 3 3 2 7 7 3" xfId="26571"/>
    <cellStyle name="Normal 3 3 2 7 8" xfId="26572"/>
    <cellStyle name="Normal 3 3 2 7 8 2" xfId="26573"/>
    <cellStyle name="Normal 3 3 2 7 9" xfId="26574"/>
    <cellStyle name="Normal 3 3 2 8" xfId="26575"/>
    <cellStyle name="Normal 3 3 2 8 10" xfId="26576"/>
    <cellStyle name="Normal 3 3 2 8 11" xfId="26577"/>
    <cellStyle name="Normal 3 3 2 8 2" xfId="26578"/>
    <cellStyle name="Normal 3 3 2 8 2 2" xfId="26579"/>
    <cellStyle name="Normal 3 3 2 8 2 2 2" xfId="26580"/>
    <cellStyle name="Normal 3 3 2 8 2 2 2 2" xfId="26581"/>
    <cellStyle name="Normal 3 3 2 8 2 2 3" xfId="26582"/>
    <cellStyle name="Normal 3 3 2 8 2 3" xfId="26583"/>
    <cellStyle name="Normal 3 3 2 8 2 3 2" xfId="26584"/>
    <cellStyle name="Normal 3 3 2 8 2 3 2 2" xfId="26585"/>
    <cellStyle name="Normal 3 3 2 8 2 3 3" xfId="26586"/>
    <cellStyle name="Normal 3 3 2 8 2 4" xfId="26587"/>
    <cellStyle name="Normal 3 3 2 8 2 4 2" xfId="26588"/>
    <cellStyle name="Normal 3 3 2 8 2 4 3" xfId="26589"/>
    <cellStyle name="Normal 3 3 2 8 2 5" xfId="26590"/>
    <cellStyle name="Normal 3 3 2 8 2 6" xfId="26591"/>
    <cellStyle name="Normal 3 3 2 8 2 7" xfId="26592"/>
    <cellStyle name="Normal 3 3 2 8 3" xfId="26593"/>
    <cellStyle name="Normal 3 3 2 8 3 2" xfId="26594"/>
    <cellStyle name="Normal 3 3 2 8 3 2 2" xfId="26595"/>
    <cellStyle name="Normal 3 3 2 8 3 2 3" xfId="26596"/>
    <cellStyle name="Normal 3 3 2 8 3 3" xfId="26597"/>
    <cellStyle name="Normal 3 3 2 8 3 3 2" xfId="26598"/>
    <cellStyle name="Normal 3 3 2 8 3 3 3" xfId="26599"/>
    <cellStyle name="Normal 3 3 2 8 3 4" xfId="26600"/>
    <cellStyle name="Normal 3 3 2 8 3 4 2" xfId="26601"/>
    <cellStyle name="Normal 3 3 2 8 3 5" xfId="26602"/>
    <cellStyle name="Normal 3 3 2 8 3 6" xfId="26603"/>
    <cellStyle name="Normal 3 3 2 8 3 7" xfId="26604"/>
    <cellStyle name="Normal 3 3 2 8 4" xfId="26605"/>
    <cellStyle name="Normal 3 3 2 8 4 2" xfId="26606"/>
    <cellStyle name="Normal 3 3 2 8 4 2 2" xfId="26607"/>
    <cellStyle name="Normal 3 3 2 8 4 2 3" xfId="26608"/>
    <cellStyle name="Normal 3 3 2 8 4 3" xfId="26609"/>
    <cellStyle name="Normal 3 3 2 8 4 3 2" xfId="26610"/>
    <cellStyle name="Normal 3 3 2 8 4 4" xfId="26611"/>
    <cellStyle name="Normal 3 3 2 8 4 4 2" xfId="26612"/>
    <cellStyle name="Normal 3 3 2 8 4 5" xfId="26613"/>
    <cellStyle name="Normal 3 3 2 8 4 6" xfId="26614"/>
    <cellStyle name="Normal 3 3 2 8 4 7" xfId="26615"/>
    <cellStyle name="Normal 3 3 2 8 5" xfId="26616"/>
    <cellStyle name="Normal 3 3 2 8 5 2" xfId="26617"/>
    <cellStyle name="Normal 3 3 2 8 5 2 2" xfId="26618"/>
    <cellStyle name="Normal 3 3 2 8 5 2 3" xfId="26619"/>
    <cellStyle name="Normal 3 3 2 8 5 3" xfId="26620"/>
    <cellStyle name="Normal 3 3 2 8 5 3 2" xfId="26621"/>
    <cellStyle name="Normal 3 3 2 8 5 4" xfId="26622"/>
    <cellStyle name="Normal 3 3 2 8 5 5" xfId="26623"/>
    <cellStyle name="Normal 3 3 2 8 5 6" xfId="26624"/>
    <cellStyle name="Normal 3 3 2 8 6" xfId="26625"/>
    <cellStyle name="Normal 3 3 2 8 6 2" xfId="26626"/>
    <cellStyle name="Normal 3 3 2 8 6 3" xfId="26627"/>
    <cellStyle name="Normal 3 3 2 8 7" xfId="26628"/>
    <cellStyle name="Normal 3 3 2 8 7 2" xfId="26629"/>
    <cellStyle name="Normal 3 3 2 8 8" xfId="26630"/>
    <cellStyle name="Normal 3 3 2 8 8 2" xfId="26631"/>
    <cellStyle name="Normal 3 3 2 8 9" xfId="26632"/>
    <cellStyle name="Normal 3 3 2 9" xfId="26633"/>
    <cellStyle name="Normal 3 3 2 9 2" xfId="26634"/>
    <cellStyle name="Normal 3 3 2 9 2 2" xfId="26635"/>
    <cellStyle name="Normal 3 3 2 9 2 2 2" xfId="26636"/>
    <cellStyle name="Normal 3 3 2 9 2 3" xfId="26637"/>
    <cellStyle name="Normal 3 3 2 9 3" xfId="26638"/>
    <cellStyle name="Normal 3 3 2 9 3 2" xfId="26639"/>
    <cellStyle name="Normal 3 3 2 9 3 2 2" xfId="26640"/>
    <cellStyle name="Normal 3 3 2 9 3 3" xfId="26641"/>
    <cellStyle name="Normal 3 3 2 9 4" xfId="26642"/>
    <cellStyle name="Normal 3 3 2 9 4 2" xfId="26643"/>
    <cellStyle name="Normal 3 3 2 9 4 3" xfId="26644"/>
    <cellStyle name="Normal 3 3 2 9 5" xfId="26645"/>
    <cellStyle name="Normal 3 3 2 9 6" xfId="26646"/>
    <cellStyle name="Normal 3 3 2 9 7" xfId="26647"/>
    <cellStyle name="Normal 3 3 3" xfId="26648"/>
    <cellStyle name="Normal 3 3 3 10" xfId="26649"/>
    <cellStyle name="Normal 3 3 3 10 2" xfId="26650"/>
    <cellStyle name="Normal 3 3 3 10 2 2" xfId="26651"/>
    <cellStyle name="Normal 3 3 3 10 3" xfId="26652"/>
    <cellStyle name="Normal 3 3 3 10 4" xfId="26653"/>
    <cellStyle name="Normal 3 3 3 11" xfId="26654"/>
    <cellStyle name="Normal 3 3 3 11 2" xfId="26655"/>
    <cellStyle name="Normal 3 3 3 11 2 2" xfId="26656"/>
    <cellStyle name="Normal 3 3 3 11 3" xfId="26657"/>
    <cellStyle name="Normal 3 3 3 12" xfId="26658"/>
    <cellStyle name="Normal 3 3 3 12 2" xfId="26659"/>
    <cellStyle name="Normal 3 3 3 12 3" xfId="26660"/>
    <cellStyle name="Normal 3 3 3 13" xfId="26661"/>
    <cellStyle name="Normal 3 3 3 13 2" xfId="26662"/>
    <cellStyle name="Normal 3 3 3 14" xfId="26663"/>
    <cellStyle name="Normal 3 3 3 2" xfId="26664"/>
    <cellStyle name="Normal 3 3 3 2 10" xfId="26665"/>
    <cellStyle name="Normal 3 3 3 2 10 2" xfId="26666"/>
    <cellStyle name="Normal 3 3 3 2 10 3" xfId="26667"/>
    <cellStyle name="Normal 3 3 3 2 11" xfId="26668"/>
    <cellStyle name="Normal 3 3 3 2 11 2" xfId="26669"/>
    <cellStyle name="Normal 3 3 3 2 12" xfId="26670"/>
    <cellStyle name="Normal 3 3 3 2 2" xfId="26671"/>
    <cellStyle name="Normal 3 3 3 2 2 2" xfId="26672"/>
    <cellStyle name="Normal 3 3 3 2 2 2 2" xfId="26673"/>
    <cellStyle name="Normal 3 3 3 2 2 2 2 2" xfId="26674"/>
    <cellStyle name="Normal 3 3 3 2 2 2 2 2 2" xfId="26675"/>
    <cellStyle name="Normal 3 3 3 2 2 2 2 2 3" xfId="26676"/>
    <cellStyle name="Normal 3 3 3 2 2 2 2 3" xfId="26677"/>
    <cellStyle name="Normal 3 3 3 2 2 2 2 3 2" xfId="26678"/>
    <cellStyle name="Normal 3 3 3 2 2 2 2 4" xfId="26679"/>
    <cellStyle name="Normal 3 3 3 2 2 2 2 4 2" xfId="26680"/>
    <cellStyle name="Normal 3 3 3 2 2 2 2 5" xfId="26681"/>
    <cellStyle name="Normal 3 3 3 2 2 2 2 6" xfId="26682"/>
    <cellStyle name="Normal 3 3 3 2 2 2 3" xfId="26683"/>
    <cellStyle name="Normal 3 3 3 2 2 2 3 2" xfId="26684"/>
    <cellStyle name="Normal 3 3 3 2 2 2 3 2 2" xfId="26685"/>
    <cellStyle name="Normal 3 3 3 2 2 2 3 3" xfId="26686"/>
    <cellStyle name="Normal 3 3 3 2 2 2 3 3 2" xfId="26687"/>
    <cellStyle name="Normal 3 3 3 2 2 2 3 4" xfId="26688"/>
    <cellStyle name="Normal 3 3 3 2 2 2 4" xfId="26689"/>
    <cellStyle name="Normal 3 3 3 2 2 2 4 2" xfId="26690"/>
    <cellStyle name="Normal 3 3 3 2 2 2 4 3" xfId="26691"/>
    <cellStyle name="Normal 3 3 3 2 2 2 5" xfId="26692"/>
    <cellStyle name="Normal 3 3 3 2 2 2 5 2" xfId="26693"/>
    <cellStyle name="Normal 3 3 3 2 2 2 6" xfId="26694"/>
    <cellStyle name="Normal 3 3 3 2 2 2 6 2" xfId="26695"/>
    <cellStyle name="Normal 3 3 3 2 2 2 7" xfId="26696"/>
    <cellStyle name="Normal 3 3 3 2 2 2 8" xfId="26697"/>
    <cellStyle name="Normal 3 3 3 2 2 3" xfId="26698"/>
    <cellStyle name="Normal 3 3 3 2 2 3 2" xfId="26699"/>
    <cellStyle name="Normal 3 3 3 2 2 3 2 2" xfId="26700"/>
    <cellStyle name="Normal 3 3 3 2 2 3 2 3" xfId="26701"/>
    <cellStyle name="Normal 3 3 3 2 2 3 2 4" xfId="26702"/>
    <cellStyle name="Normal 3 3 3 2 2 3 3" xfId="26703"/>
    <cellStyle name="Normal 3 3 3 2 2 3 3 2" xfId="26704"/>
    <cellStyle name="Normal 3 3 3 2 2 3 4" xfId="26705"/>
    <cellStyle name="Normal 3 3 3 2 2 3 4 2" xfId="26706"/>
    <cellStyle name="Normal 3 3 3 2 2 3 5" xfId="26707"/>
    <cellStyle name="Normal 3 3 3 2 2 3 6" xfId="26708"/>
    <cellStyle name="Normal 3 3 3 2 2 4" xfId="26709"/>
    <cellStyle name="Normal 3 3 3 2 2 4 2" xfId="26710"/>
    <cellStyle name="Normal 3 3 3 2 2 4 2 2" xfId="26711"/>
    <cellStyle name="Normal 3 3 3 2 2 4 2 3" xfId="26712"/>
    <cellStyle name="Normal 3 3 3 2 2 4 3" xfId="26713"/>
    <cellStyle name="Normal 3 3 3 2 2 4 3 2" xfId="26714"/>
    <cellStyle name="Normal 3 3 3 2 2 4 4" xfId="26715"/>
    <cellStyle name="Normal 3 3 3 2 2 4 5" xfId="26716"/>
    <cellStyle name="Normal 3 3 3 2 2 5" xfId="26717"/>
    <cellStyle name="Normal 3 3 3 2 2 5 2" xfId="26718"/>
    <cellStyle name="Normal 3 3 3 2 2 5 3" xfId="26719"/>
    <cellStyle name="Normal 3 3 3 2 2 5 4" xfId="26720"/>
    <cellStyle name="Normal 3 3 3 2 2 6" xfId="26721"/>
    <cellStyle name="Normal 3 3 3 2 2 6 2" xfId="26722"/>
    <cellStyle name="Normal 3 3 3 2 2 6 3" xfId="26723"/>
    <cellStyle name="Normal 3 3 3 2 2 7" xfId="26724"/>
    <cellStyle name="Normal 3 3 3 2 2 7 2" xfId="26725"/>
    <cellStyle name="Normal 3 3 3 2 2 8" xfId="26726"/>
    <cellStyle name="Normal 3 3 3 2 2 9" xfId="26727"/>
    <cellStyle name="Normal 3 3 3 2 3" xfId="26728"/>
    <cellStyle name="Normal 3 3 3 2 3 2" xfId="26729"/>
    <cellStyle name="Normal 3 3 3 2 3 2 2" xfId="26730"/>
    <cellStyle name="Normal 3 3 3 2 3 2 2 2" xfId="26731"/>
    <cellStyle name="Normal 3 3 3 2 3 2 2 3" xfId="26732"/>
    <cellStyle name="Normal 3 3 3 2 3 2 2 4" xfId="26733"/>
    <cellStyle name="Normal 3 3 3 2 3 2 3" xfId="26734"/>
    <cellStyle name="Normal 3 3 3 2 3 2 3 2" xfId="26735"/>
    <cellStyle name="Normal 3 3 3 2 3 2 4" xfId="26736"/>
    <cellStyle name="Normal 3 3 3 2 3 2 4 2" xfId="26737"/>
    <cellStyle name="Normal 3 3 3 2 3 2 5" xfId="26738"/>
    <cellStyle name="Normal 3 3 3 2 3 2 6" xfId="26739"/>
    <cellStyle name="Normal 3 3 3 2 3 3" xfId="26740"/>
    <cellStyle name="Normal 3 3 3 2 3 3 2" xfId="26741"/>
    <cellStyle name="Normal 3 3 3 2 3 3 2 2" xfId="26742"/>
    <cellStyle name="Normal 3 3 3 2 3 3 2 3" xfId="26743"/>
    <cellStyle name="Normal 3 3 3 2 3 3 3" xfId="26744"/>
    <cellStyle name="Normal 3 3 3 2 3 3 3 2" xfId="26745"/>
    <cellStyle name="Normal 3 3 3 2 3 3 4" xfId="26746"/>
    <cellStyle name="Normal 3 3 3 2 3 3 5" xfId="26747"/>
    <cellStyle name="Normal 3 3 3 2 3 4" xfId="26748"/>
    <cellStyle name="Normal 3 3 3 2 3 4 2" xfId="26749"/>
    <cellStyle name="Normal 3 3 3 2 3 4 2 2" xfId="26750"/>
    <cellStyle name="Normal 3 3 3 2 3 4 3" xfId="26751"/>
    <cellStyle name="Normal 3 3 3 2 3 4 4" xfId="26752"/>
    <cellStyle name="Normal 3 3 3 2 3 5" xfId="26753"/>
    <cellStyle name="Normal 3 3 3 2 3 5 2" xfId="26754"/>
    <cellStyle name="Normal 3 3 3 2 3 5 3" xfId="26755"/>
    <cellStyle name="Normal 3 3 3 2 3 6" xfId="26756"/>
    <cellStyle name="Normal 3 3 3 2 3 6 2" xfId="26757"/>
    <cellStyle name="Normal 3 3 3 2 3 6 3" xfId="26758"/>
    <cellStyle name="Normal 3 3 3 2 3 7" xfId="26759"/>
    <cellStyle name="Normal 3 3 3 2 3 8" xfId="26760"/>
    <cellStyle name="Normal 3 3 3 2 4" xfId="26761"/>
    <cellStyle name="Normal 3 3 3 2 4 2" xfId="26762"/>
    <cellStyle name="Normal 3 3 3 2 4 2 2" xfId="26763"/>
    <cellStyle name="Normal 3 3 3 2 4 2 2 2" xfId="26764"/>
    <cellStyle name="Normal 3 3 3 2 4 2 2 3" xfId="26765"/>
    <cellStyle name="Normal 3 3 3 2 4 2 2 4" xfId="26766"/>
    <cellStyle name="Normal 3 3 3 2 4 2 3" xfId="26767"/>
    <cellStyle name="Normal 3 3 3 2 4 2 3 2" xfId="26768"/>
    <cellStyle name="Normal 3 3 3 2 4 2 4" xfId="26769"/>
    <cellStyle name="Normal 3 3 3 2 4 2 4 2" xfId="26770"/>
    <cellStyle name="Normal 3 3 3 2 4 2 5" xfId="26771"/>
    <cellStyle name="Normal 3 3 3 2 4 2 6" xfId="26772"/>
    <cellStyle name="Normal 3 3 3 2 4 3" xfId="26773"/>
    <cellStyle name="Normal 3 3 3 2 4 3 2" xfId="26774"/>
    <cellStyle name="Normal 3 3 3 2 4 3 2 2" xfId="26775"/>
    <cellStyle name="Normal 3 3 3 2 4 3 2 3" xfId="26776"/>
    <cellStyle name="Normal 3 3 3 2 4 3 3" xfId="26777"/>
    <cellStyle name="Normal 3 3 3 2 4 3 3 2" xfId="26778"/>
    <cellStyle name="Normal 3 3 3 2 4 3 4" xfId="26779"/>
    <cellStyle name="Normal 3 3 3 2 4 3 5" xfId="26780"/>
    <cellStyle name="Normal 3 3 3 2 4 4" xfId="26781"/>
    <cellStyle name="Normal 3 3 3 2 4 4 2" xfId="26782"/>
    <cellStyle name="Normal 3 3 3 2 4 4 2 2" xfId="26783"/>
    <cellStyle name="Normal 3 3 3 2 4 4 3" xfId="26784"/>
    <cellStyle name="Normal 3 3 3 2 4 4 4" xfId="26785"/>
    <cellStyle name="Normal 3 3 3 2 4 5" xfId="26786"/>
    <cellStyle name="Normal 3 3 3 2 4 5 2" xfId="26787"/>
    <cellStyle name="Normal 3 3 3 2 4 5 3" xfId="26788"/>
    <cellStyle name="Normal 3 3 3 2 4 6" xfId="26789"/>
    <cellStyle name="Normal 3 3 3 2 4 6 2" xfId="26790"/>
    <cellStyle name="Normal 3 3 3 2 4 6 3" xfId="26791"/>
    <cellStyle name="Normal 3 3 3 2 4 7" xfId="26792"/>
    <cellStyle name="Normal 3 3 3 2 4 8" xfId="26793"/>
    <cellStyle name="Normal 3 3 3 2 5" xfId="26794"/>
    <cellStyle name="Normal 3 3 3 2 5 2" xfId="26795"/>
    <cellStyle name="Normal 3 3 3 2 5 2 2" xfId="26796"/>
    <cellStyle name="Normal 3 3 3 2 5 2 2 2" xfId="26797"/>
    <cellStyle name="Normal 3 3 3 2 5 2 2 3" xfId="26798"/>
    <cellStyle name="Normal 3 3 3 2 5 2 3" xfId="26799"/>
    <cellStyle name="Normal 3 3 3 2 5 2 3 2" xfId="26800"/>
    <cellStyle name="Normal 3 3 3 2 5 2 4" xfId="26801"/>
    <cellStyle name="Normal 3 3 3 2 5 2 5" xfId="26802"/>
    <cellStyle name="Normal 3 3 3 2 5 3" xfId="26803"/>
    <cellStyle name="Normal 3 3 3 2 5 3 2" xfId="26804"/>
    <cellStyle name="Normal 3 3 3 2 5 3 2 2" xfId="26805"/>
    <cellStyle name="Normal 3 3 3 2 5 3 3" xfId="26806"/>
    <cellStyle name="Normal 3 3 3 2 5 3 4" xfId="26807"/>
    <cellStyle name="Normal 3 3 3 2 5 4" xfId="26808"/>
    <cellStyle name="Normal 3 3 3 2 5 4 2" xfId="26809"/>
    <cellStyle name="Normal 3 3 3 2 5 4 2 2" xfId="26810"/>
    <cellStyle name="Normal 3 3 3 2 5 4 3" xfId="26811"/>
    <cellStyle name="Normal 3 3 3 2 5 5" xfId="26812"/>
    <cellStyle name="Normal 3 3 3 2 5 5 2" xfId="26813"/>
    <cellStyle name="Normal 3 3 3 2 5 5 3" xfId="26814"/>
    <cellStyle name="Normal 3 3 3 2 5 6" xfId="26815"/>
    <cellStyle name="Normal 3 3 3 2 5 6 2" xfId="26816"/>
    <cellStyle name="Normal 3 3 3 2 5 7" xfId="26817"/>
    <cellStyle name="Normal 3 3 3 2 6" xfId="26818"/>
    <cellStyle name="Normal 3 3 3 2 6 2" xfId="26819"/>
    <cellStyle name="Normal 3 3 3 2 6 2 2" xfId="26820"/>
    <cellStyle name="Normal 3 3 3 2 6 2 2 2" xfId="26821"/>
    <cellStyle name="Normal 3 3 3 2 6 2 3" xfId="26822"/>
    <cellStyle name="Normal 3 3 3 2 6 3" xfId="26823"/>
    <cellStyle name="Normal 3 3 3 2 6 3 2" xfId="26824"/>
    <cellStyle name="Normal 3 3 3 2 6 3 2 2" xfId="26825"/>
    <cellStyle name="Normal 3 3 3 2 6 3 3" xfId="26826"/>
    <cellStyle name="Normal 3 3 3 2 6 4" xfId="26827"/>
    <cellStyle name="Normal 3 3 3 2 6 4 2" xfId="26828"/>
    <cellStyle name="Normal 3 3 3 2 6 5" xfId="26829"/>
    <cellStyle name="Normal 3 3 3 2 6 6" xfId="26830"/>
    <cellStyle name="Normal 3 3 3 2 7" xfId="26831"/>
    <cellStyle name="Normal 3 3 3 2 7 2" xfId="26832"/>
    <cellStyle name="Normal 3 3 3 2 7 2 2" xfId="26833"/>
    <cellStyle name="Normal 3 3 3 2 7 2 3" xfId="26834"/>
    <cellStyle name="Normal 3 3 3 2 7 3" xfId="26835"/>
    <cellStyle name="Normal 3 3 3 2 7 3 2" xfId="26836"/>
    <cellStyle name="Normal 3 3 3 2 7 4" xfId="26837"/>
    <cellStyle name="Normal 3 3 3 2 7 5" xfId="26838"/>
    <cellStyle name="Normal 3 3 3 2 8" xfId="26839"/>
    <cellStyle name="Normal 3 3 3 2 8 2" xfId="26840"/>
    <cellStyle name="Normal 3 3 3 2 8 2 2" xfId="26841"/>
    <cellStyle name="Normal 3 3 3 2 8 3" xfId="26842"/>
    <cellStyle name="Normal 3 3 3 2 8 4" xfId="26843"/>
    <cellStyle name="Normal 3 3 3 2 9" xfId="26844"/>
    <cellStyle name="Normal 3 3 3 2 9 2" xfId="26845"/>
    <cellStyle name="Normal 3 3 3 2 9 2 2" xfId="26846"/>
    <cellStyle name="Normal 3 3 3 2 9 3" xfId="26847"/>
    <cellStyle name="Normal 3 3 3 3" xfId="26848"/>
    <cellStyle name="Normal 3 3 3 3 10" xfId="26849"/>
    <cellStyle name="Normal 3 3 3 3 10 2" xfId="26850"/>
    <cellStyle name="Normal 3 3 3 3 11" xfId="26851"/>
    <cellStyle name="Normal 3 3 3 3 2" xfId="26852"/>
    <cellStyle name="Normal 3 3 3 3 2 2" xfId="26853"/>
    <cellStyle name="Normal 3 3 3 3 2 2 2" xfId="26854"/>
    <cellStyle name="Normal 3 3 3 3 2 2 2 2" xfId="26855"/>
    <cellStyle name="Normal 3 3 3 3 2 2 2 3" xfId="26856"/>
    <cellStyle name="Normal 3 3 3 3 2 2 2 4" xfId="26857"/>
    <cellStyle name="Normal 3 3 3 3 2 2 3" xfId="26858"/>
    <cellStyle name="Normal 3 3 3 3 2 2 3 2" xfId="26859"/>
    <cellStyle name="Normal 3 3 3 3 2 2 4" xfId="26860"/>
    <cellStyle name="Normal 3 3 3 3 2 2 4 2" xfId="26861"/>
    <cellStyle name="Normal 3 3 3 3 2 2 5" xfId="26862"/>
    <cellStyle name="Normal 3 3 3 3 2 2 6" xfId="26863"/>
    <cellStyle name="Normal 3 3 3 3 2 3" xfId="26864"/>
    <cellStyle name="Normal 3 3 3 3 2 3 2" xfId="26865"/>
    <cellStyle name="Normal 3 3 3 3 2 3 2 2" xfId="26866"/>
    <cellStyle name="Normal 3 3 3 3 2 3 2 3" xfId="26867"/>
    <cellStyle name="Normal 3 3 3 3 2 3 3" xfId="26868"/>
    <cellStyle name="Normal 3 3 3 3 2 3 3 2" xfId="26869"/>
    <cellStyle name="Normal 3 3 3 3 2 3 4" xfId="26870"/>
    <cellStyle name="Normal 3 3 3 3 2 3 5" xfId="26871"/>
    <cellStyle name="Normal 3 3 3 3 2 4" xfId="26872"/>
    <cellStyle name="Normal 3 3 3 3 2 4 2" xfId="26873"/>
    <cellStyle name="Normal 3 3 3 3 2 4 2 2" xfId="26874"/>
    <cellStyle name="Normal 3 3 3 3 2 4 3" xfId="26875"/>
    <cellStyle name="Normal 3 3 3 3 2 4 4" xfId="26876"/>
    <cellStyle name="Normal 3 3 3 3 2 5" xfId="26877"/>
    <cellStyle name="Normal 3 3 3 3 2 5 2" xfId="26878"/>
    <cellStyle name="Normal 3 3 3 3 2 5 3" xfId="26879"/>
    <cellStyle name="Normal 3 3 3 3 2 6" xfId="26880"/>
    <cellStyle name="Normal 3 3 3 3 2 6 2" xfId="26881"/>
    <cellStyle name="Normal 3 3 3 3 2 6 3" xfId="26882"/>
    <cellStyle name="Normal 3 3 3 3 2 7" xfId="26883"/>
    <cellStyle name="Normal 3 3 3 3 2 8" xfId="26884"/>
    <cellStyle name="Normal 3 3 3 3 3" xfId="26885"/>
    <cellStyle name="Normal 3 3 3 3 3 2" xfId="26886"/>
    <cellStyle name="Normal 3 3 3 3 3 2 2" xfId="26887"/>
    <cellStyle name="Normal 3 3 3 3 3 2 2 2" xfId="26888"/>
    <cellStyle name="Normal 3 3 3 3 3 2 2 3" xfId="26889"/>
    <cellStyle name="Normal 3 3 3 3 3 2 2 4" xfId="26890"/>
    <cellStyle name="Normal 3 3 3 3 3 2 3" xfId="26891"/>
    <cellStyle name="Normal 3 3 3 3 3 2 3 2" xfId="26892"/>
    <cellStyle name="Normal 3 3 3 3 3 2 4" xfId="26893"/>
    <cellStyle name="Normal 3 3 3 3 3 2 4 2" xfId="26894"/>
    <cellStyle name="Normal 3 3 3 3 3 2 5" xfId="26895"/>
    <cellStyle name="Normal 3 3 3 3 3 2 6" xfId="26896"/>
    <cellStyle name="Normal 3 3 3 3 3 3" xfId="26897"/>
    <cellStyle name="Normal 3 3 3 3 3 3 2" xfId="26898"/>
    <cellStyle name="Normal 3 3 3 3 3 3 2 2" xfId="26899"/>
    <cellStyle name="Normal 3 3 3 3 3 3 2 3" xfId="26900"/>
    <cellStyle name="Normal 3 3 3 3 3 3 3" xfId="26901"/>
    <cellStyle name="Normal 3 3 3 3 3 3 3 2" xfId="26902"/>
    <cellStyle name="Normal 3 3 3 3 3 3 4" xfId="26903"/>
    <cellStyle name="Normal 3 3 3 3 3 3 5" xfId="26904"/>
    <cellStyle name="Normal 3 3 3 3 3 4" xfId="26905"/>
    <cellStyle name="Normal 3 3 3 3 3 4 2" xfId="26906"/>
    <cellStyle name="Normal 3 3 3 3 3 4 2 2" xfId="26907"/>
    <cellStyle name="Normal 3 3 3 3 3 4 3" xfId="26908"/>
    <cellStyle name="Normal 3 3 3 3 3 4 4" xfId="26909"/>
    <cellStyle name="Normal 3 3 3 3 3 5" xfId="26910"/>
    <cellStyle name="Normal 3 3 3 3 3 5 2" xfId="26911"/>
    <cellStyle name="Normal 3 3 3 3 3 5 3" xfId="26912"/>
    <cellStyle name="Normal 3 3 3 3 3 6" xfId="26913"/>
    <cellStyle name="Normal 3 3 3 3 3 6 2" xfId="26914"/>
    <cellStyle name="Normal 3 3 3 3 3 6 3" xfId="26915"/>
    <cellStyle name="Normal 3 3 3 3 3 7" xfId="26916"/>
    <cellStyle name="Normal 3 3 3 3 3 8" xfId="26917"/>
    <cellStyle name="Normal 3 3 3 3 4" xfId="26918"/>
    <cellStyle name="Normal 3 3 3 3 4 2" xfId="26919"/>
    <cellStyle name="Normal 3 3 3 3 4 2 2" xfId="26920"/>
    <cellStyle name="Normal 3 3 3 3 4 2 2 2" xfId="26921"/>
    <cellStyle name="Normal 3 3 3 3 4 2 2 3" xfId="26922"/>
    <cellStyle name="Normal 3 3 3 3 4 2 3" xfId="26923"/>
    <cellStyle name="Normal 3 3 3 3 4 2 3 2" xfId="26924"/>
    <cellStyle name="Normal 3 3 3 3 4 2 4" xfId="26925"/>
    <cellStyle name="Normal 3 3 3 3 4 2 5" xfId="26926"/>
    <cellStyle name="Normal 3 3 3 3 4 3" xfId="26927"/>
    <cellStyle name="Normal 3 3 3 3 4 3 2" xfId="26928"/>
    <cellStyle name="Normal 3 3 3 3 4 3 2 2" xfId="26929"/>
    <cellStyle name="Normal 3 3 3 3 4 3 3" xfId="26930"/>
    <cellStyle name="Normal 3 3 3 3 4 3 4" xfId="26931"/>
    <cellStyle name="Normal 3 3 3 3 4 4" xfId="26932"/>
    <cellStyle name="Normal 3 3 3 3 4 4 2" xfId="26933"/>
    <cellStyle name="Normal 3 3 3 3 4 4 2 2" xfId="26934"/>
    <cellStyle name="Normal 3 3 3 3 4 4 3" xfId="26935"/>
    <cellStyle name="Normal 3 3 3 3 4 5" xfId="26936"/>
    <cellStyle name="Normal 3 3 3 3 4 5 2" xfId="26937"/>
    <cellStyle name="Normal 3 3 3 3 4 5 3" xfId="26938"/>
    <cellStyle name="Normal 3 3 3 3 4 6" xfId="26939"/>
    <cellStyle name="Normal 3 3 3 3 4 6 2" xfId="26940"/>
    <cellStyle name="Normal 3 3 3 3 4 7" xfId="26941"/>
    <cellStyle name="Normal 3 3 3 3 5" xfId="26942"/>
    <cellStyle name="Normal 3 3 3 3 5 2" xfId="26943"/>
    <cellStyle name="Normal 3 3 3 3 5 2 2" xfId="26944"/>
    <cellStyle name="Normal 3 3 3 3 5 2 2 2" xfId="26945"/>
    <cellStyle name="Normal 3 3 3 3 5 2 3" xfId="26946"/>
    <cellStyle name="Normal 3 3 3 3 5 3" xfId="26947"/>
    <cellStyle name="Normal 3 3 3 3 5 3 2" xfId="26948"/>
    <cellStyle name="Normal 3 3 3 3 5 3 2 2" xfId="26949"/>
    <cellStyle name="Normal 3 3 3 3 5 3 3" xfId="26950"/>
    <cellStyle name="Normal 3 3 3 3 5 4" xfId="26951"/>
    <cellStyle name="Normal 3 3 3 3 5 4 2" xfId="26952"/>
    <cellStyle name="Normal 3 3 3 3 5 5" xfId="26953"/>
    <cellStyle name="Normal 3 3 3 3 5 6" xfId="26954"/>
    <cellStyle name="Normal 3 3 3 3 6" xfId="26955"/>
    <cellStyle name="Normal 3 3 3 3 6 2" xfId="26956"/>
    <cellStyle name="Normal 3 3 3 3 6 2 2" xfId="26957"/>
    <cellStyle name="Normal 3 3 3 3 6 2 3" xfId="26958"/>
    <cellStyle name="Normal 3 3 3 3 6 3" xfId="26959"/>
    <cellStyle name="Normal 3 3 3 3 6 3 2" xfId="26960"/>
    <cellStyle name="Normal 3 3 3 3 6 4" xfId="26961"/>
    <cellStyle name="Normal 3 3 3 3 6 5" xfId="26962"/>
    <cellStyle name="Normal 3 3 3 3 7" xfId="26963"/>
    <cellStyle name="Normal 3 3 3 3 7 2" xfId="26964"/>
    <cellStyle name="Normal 3 3 3 3 7 2 2" xfId="26965"/>
    <cellStyle name="Normal 3 3 3 3 7 3" xfId="26966"/>
    <cellStyle name="Normal 3 3 3 3 7 4" xfId="26967"/>
    <cellStyle name="Normal 3 3 3 3 8" xfId="26968"/>
    <cellStyle name="Normal 3 3 3 3 8 2" xfId="26969"/>
    <cellStyle name="Normal 3 3 3 3 8 2 2" xfId="26970"/>
    <cellStyle name="Normal 3 3 3 3 8 3" xfId="26971"/>
    <cellStyle name="Normal 3 3 3 3 9" xfId="26972"/>
    <cellStyle name="Normal 3 3 3 3 9 2" xfId="26973"/>
    <cellStyle name="Normal 3 3 3 3 9 3" xfId="26974"/>
    <cellStyle name="Normal 3 3 3 4" xfId="26975"/>
    <cellStyle name="Normal 3 3 3 4 10" xfId="26976"/>
    <cellStyle name="Normal 3 3 3 4 11" xfId="26977"/>
    <cellStyle name="Normal 3 3 3 4 2" xfId="26978"/>
    <cellStyle name="Normal 3 3 3 4 2 2" xfId="26979"/>
    <cellStyle name="Normal 3 3 3 4 2 2 2" xfId="26980"/>
    <cellStyle name="Normal 3 3 3 4 2 2 2 2" xfId="26981"/>
    <cellStyle name="Normal 3 3 3 4 2 2 2 3" xfId="26982"/>
    <cellStyle name="Normal 3 3 3 4 2 2 2 4" xfId="26983"/>
    <cellStyle name="Normal 3 3 3 4 2 2 3" xfId="26984"/>
    <cellStyle name="Normal 3 3 3 4 2 2 3 2" xfId="26985"/>
    <cellStyle name="Normal 3 3 3 4 2 2 4" xfId="26986"/>
    <cellStyle name="Normal 3 3 3 4 2 2 4 2" xfId="26987"/>
    <cellStyle name="Normal 3 3 3 4 2 2 5" xfId="26988"/>
    <cellStyle name="Normal 3 3 3 4 2 2 6" xfId="26989"/>
    <cellStyle name="Normal 3 3 3 4 2 3" xfId="26990"/>
    <cellStyle name="Normal 3 3 3 4 2 3 2" xfId="26991"/>
    <cellStyle name="Normal 3 3 3 4 2 3 2 2" xfId="26992"/>
    <cellStyle name="Normal 3 3 3 4 2 3 2 3" xfId="26993"/>
    <cellStyle name="Normal 3 3 3 4 2 3 3" xfId="26994"/>
    <cellStyle name="Normal 3 3 3 4 2 3 3 2" xfId="26995"/>
    <cellStyle name="Normal 3 3 3 4 2 3 4" xfId="26996"/>
    <cellStyle name="Normal 3 3 3 4 2 3 5" xfId="26997"/>
    <cellStyle name="Normal 3 3 3 4 2 4" xfId="26998"/>
    <cellStyle name="Normal 3 3 3 4 2 4 2" xfId="26999"/>
    <cellStyle name="Normal 3 3 3 4 2 4 2 2" xfId="27000"/>
    <cellStyle name="Normal 3 3 3 4 2 4 3" xfId="27001"/>
    <cellStyle name="Normal 3 3 3 4 2 4 4" xfId="27002"/>
    <cellStyle name="Normal 3 3 3 4 2 5" xfId="27003"/>
    <cellStyle name="Normal 3 3 3 4 2 5 2" xfId="27004"/>
    <cellStyle name="Normal 3 3 3 4 2 5 3" xfId="27005"/>
    <cellStyle name="Normal 3 3 3 4 2 6" xfId="27006"/>
    <cellStyle name="Normal 3 3 3 4 2 6 2" xfId="27007"/>
    <cellStyle name="Normal 3 3 3 4 2 6 3" xfId="27008"/>
    <cellStyle name="Normal 3 3 3 4 2 7" xfId="27009"/>
    <cellStyle name="Normal 3 3 3 4 2 8" xfId="27010"/>
    <cellStyle name="Normal 3 3 3 4 3" xfId="27011"/>
    <cellStyle name="Normal 3 3 3 4 3 2" xfId="27012"/>
    <cellStyle name="Normal 3 3 3 4 3 2 2" xfId="27013"/>
    <cellStyle name="Normal 3 3 3 4 3 2 2 2" xfId="27014"/>
    <cellStyle name="Normal 3 3 3 4 3 2 3" xfId="27015"/>
    <cellStyle name="Normal 3 3 3 4 3 2 4" xfId="27016"/>
    <cellStyle name="Normal 3 3 3 4 3 3" xfId="27017"/>
    <cellStyle name="Normal 3 3 3 4 3 3 2" xfId="27018"/>
    <cellStyle name="Normal 3 3 3 4 3 3 2 2" xfId="27019"/>
    <cellStyle name="Normal 3 3 3 4 3 3 3" xfId="27020"/>
    <cellStyle name="Normal 3 3 3 4 3 4" xfId="27021"/>
    <cellStyle name="Normal 3 3 3 4 3 4 2" xfId="27022"/>
    <cellStyle name="Normal 3 3 3 4 3 4 2 2" xfId="27023"/>
    <cellStyle name="Normal 3 3 3 4 3 4 3" xfId="27024"/>
    <cellStyle name="Normal 3 3 3 4 3 5" xfId="27025"/>
    <cellStyle name="Normal 3 3 3 4 3 5 2" xfId="27026"/>
    <cellStyle name="Normal 3 3 3 4 3 6" xfId="27027"/>
    <cellStyle name="Normal 3 3 3 4 3 7" xfId="27028"/>
    <cellStyle name="Normal 3 3 3 4 4" xfId="27029"/>
    <cellStyle name="Normal 3 3 3 4 4 2" xfId="27030"/>
    <cellStyle name="Normal 3 3 3 4 4 2 2" xfId="27031"/>
    <cellStyle name="Normal 3 3 3 4 4 2 2 2" xfId="27032"/>
    <cellStyle name="Normal 3 3 3 4 4 2 3" xfId="27033"/>
    <cellStyle name="Normal 3 3 3 4 4 3" xfId="27034"/>
    <cellStyle name="Normal 3 3 3 4 4 3 2" xfId="27035"/>
    <cellStyle name="Normal 3 3 3 4 4 3 2 2" xfId="27036"/>
    <cellStyle name="Normal 3 3 3 4 4 3 3" xfId="27037"/>
    <cellStyle name="Normal 3 3 3 4 4 4" xfId="27038"/>
    <cellStyle name="Normal 3 3 3 4 4 4 2" xfId="27039"/>
    <cellStyle name="Normal 3 3 3 4 4 4 3" xfId="27040"/>
    <cellStyle name="Normal 3 3 3 4 4 5" xfId="27041"/>
    <cellStyle name="Normal 3 3 3 4 4 6" xfId="27042"/>
    <cellStyle name="Normal 3 3 3 4 4 7" xfId="27043"/>
    <cellStyle name="Normal 3 3 3 4 5" xfId="27044"/>
    <cellStyle name="Normal 3 3 3 4 5 2" xfId="27045"/>
    <cellStyle name="Normal 3 3 3 4 5 2 2" xfId="27046"/>
    <cellStyle name="Normal 3 3 3 4 5 2 3" xfId="27047"/>
    <cellStyle name="Normal 3 3 3 4 5 3" xfId="27048"/>
    <cellStyle name="Normal 3 3 3 4 5 3 2" xfId="27049"/>
    <cellStyle name="Normal 3 3 3 4 5 3 3" xfId="27050"/>
    <cellStyle name="Normal 3 3 3 4 5 4" xfId="27051"/>
    <cellStyle name="Normal 3 3 3 4 5 5" xfId="27052"/>
    <cellStyle name="Normal 3 3 3 4 5 6" xfId="27053"/>
    <cellStyle name="Normal 3 3 3 4 6" xfId="27054"/>
    <cellStyle name="Normal 3 3 3 4 6 2" xfId="27055"/>
    <cellStyle name="Normal 3 3 3 4 6 2 2" xfId="27056"/>
    <cellStyle name="Normal 3 3 3 4 6 3" xfId="27057"/>
    <cellStyle name="Normal 3 3 3 4 7" xfId="27058"/>
    <cellStyle name="Normal 3 3 3 4 7 2" xfId="27059"/>
    <cellStyle name="Normal 3 3 3 4 7 2 2" xfId="27060"/>
    <cellStyle name="Normal 3 3 3 4 7 3" xfId="27061"/>
    <cellStyle name="Normal 3 3 3 4 8" xfId="27062"/>
    <cellStyle name="Normal 3 3 3 4 8 2" xfId="27063"/>
    <cellStyle name="Normal 3 3 3 4 8 3" xfId="27064"/>
    <cellStyle name="Normal 3 3 3 4 9" xfId="27065"/>
    <cellStyle name="Normal 3 3 3 5" xfId="27066"/>
    <cellStyle name="Normal 3 3 3 5 2" xfId="27067"/>
    <cellStyle name="Normal 3 3 3 5 2 2" xfId="27068"/>
    <cellStyle name="Normal 3 3 3 5 2 2 2" xfId="27069"/>
    <cellStyle name="Normal 3 3 3 5 2 2 3" xfId="27070"/>
    <cellStyle name="Normal 3 3 3 5 2 2 4" xfId="27071"/>
    <cellStyle name="Normal 3 3 3 5 2 3" xfId="27072"/>
    <cellStyle name="Normal 3 3 3 5 2 3 2" xfId="27073"/>
    <cellStyle name="Normal 3 3 3 5 2 4" xfId="27074"/>
    <cellStyle name="Normal 3 3 3 5 2 4 2" xfId="27075"/>
    <cellStyle name="Normal 3 3 3 5 2 5" xfId="27076"/>
    <cellStyle name="Normal 3 3 3 5 2 6" xfId="27077"/>
    <cellStyle name="Normal 3 3 3 5 3" xfId="27078"/>
    <cellStyle name="Normal 3 3 3 5 3 2" xfId="27079"/>
    <cellStyle name="Normal 3 3 3 5 3 2 2" xfId="27080"/>
    <cellStyle name="Normal 3 3 3 5 3 2 3" xfId="27081"/>
    <cellStyle name="Normal 3 3 3 5 3 3" xfId="27082"/>
    <cellStyle name="Normal 3 3 3 5 3 3 2" xfId="27083"/>
    <cellStyle name="Normal 3 3 3 5 3 4" xfId="27084"/>
    <cellStyle name="Normal 3 3 3 5 3 5" xfId="27085"/>
    <cellStyle name="Normal 3 3 3 5 4" xfId="27086"/>
    <cellStyle name="Normal 3 3 3 5 4 2" xfId="27087"/>
    <cellStyle name="Normal 3 3 3 5 4 2 2" xfId="27088"/>
    <cellStyle name="Normal 3 3 3 5 4 3" xfId="27089"/>
    <cellStyle name="Normal 3 3 3 5 4 4" xfId="27090"/>
    <cellStyle name="Normal 3 3 3 5 5" xfId="27091"/>
    <cellStyle name="Normal 3 3 3 5 5 2" xfId="27092"/>
    <cellStyle name="Normal 3 3 3 5 5 3" xfId="27093"/>
    <cellStyle name="Normal 3 3 3 5 6" xfId="27094"/>
    <cellStyle name="Normal 3 3 3 5 6 2" xfId="27095"/>
    <cellStyle name="Normal 3 3 3 5 6 3" xfId="27096"/>
    <cellStyle name="Normal 3 3 3 5 7" xfId="27097"/>
    <cellStyle name="Normal 3 3 3 5 8" xfId="27098"/>
    <cellStyle name="Normal 3 3 3 6" xfId="27099"/>
    <cellStyle name="Normal 3 3 3 6 2" xfId="27100"/>
    <cellStyle name="Normal 3 3 3 6 2 2" xfId="27101"/>
    <cellStyle name="Normal 3 3 3 6 2 2 2" xfId="27102"/>
    <cellStyle name="Normal 3 3 3 6 2 2 3" xfId="27103"/>
    <cellStyle name="Normal 3 3 3 6 2 2 4" xfId="27104"/>
    <cellStyle name="Normal 3 3 3 6 2 3" xfId="27105"/>
    <cellStyle name="Normal 3 3 3 6 2 3 2" xfId="27106"/>
    <cellStyle name="Normal 3 3 3 6 2 4" xfId="27107"/>
    <cellStyle name="Normal 3 3 3 6 2 4 2" xfId="27108"/>
    <cellStyle name="Normal 3 3 3 6 2 5" xfId="27109"/>
    <cellStyle name="Normal 3 3 3 6 2 6" xfId="27110"/>
    <cellStyle name="Normal 3 3 3 6 3" xfId="27111"/>
    <cellStyle name="Normal 3 3 3 6 3 2" xfId="27112"/>
    <cellStyle name="Normal 3 3 3 6 3 2 2" xfId="27113"/>
    <cellStyle name="Normal 3 3 3 6 3 2 3" xfId="27114"/>
    <cellStyle name="Normal 3 3 3 6 3 3" xfId="27115"/>
    <cellStyle name="Normal 3 3 3 6 3 3 2" xfId="27116"/>
    <cellStyle name="Normal 3 3 3 6 3 4" xfId="27117"/>
    <cellStyle name="Normal 3 3 3 6 3 5" xfId="27118"/>
    <cellStyle name="Normal 3 3 3 6 4" xfId="27119"/>
    <cellStyle name="Normal 3 3 3 6 4 2" xfId="27120"/>
    <cellStyle name="Normal 3 3 3 6 4 2 2" xfId="27121"/>
    <cellStyle name="Normal 3 3 3 6 4 3" xfId="27122"/>
    <cellStyle name="Normal 3 3 3 6 4 4" xfId="27123"/>
    <cellStyle name="Normal 3 3 3 6 5" xfId="27124"/>
    <cellStyle name="Normal 3 3 3 6 5 2" xfId="27125"/>
    <cellStyle name="Normal 3 3 3 6 5 3" xfId="27126"/>
    <cellStyle name="Normal 3 3 3 6 6" xfId="27127"/>
    <cellStyle name="Normal 3 3 3 6 6 2" xfId="27128"/>
    <cellStyle name="Normal 3 3 3 6 6 3" xfId="27129"/>
    <cellStyle name="Normal 3 3 3 6 7" xfId="27130"/>
    <cellStyle name="Normal 3 3 3 6 8" xfId="27131"/>
    <cellStyle name="Normal 3 3 3 7" xfId="27132"/>
    <cellStyle name="Normal 3 3 3 7 2" xfId="27133"/>
    <cellStyle name="Normal 3 3 3 7 2 2" xfId="27134"/>
    <cellStyle name="Normal 3 3 3 7 2 2 2" xfId="27135"/>
    <cellStyle name="Normal 3 3 3 7 2 2 3" xfId="27136"/>
    <cellStyle name="Normal 3 3 3 7 2 3" xfId="27137"/>
    <cellStyle name="Normal 3 3 3 7 2 3 2" xfId="27138"/>
    <cellStyle name="Normal 3 3 3 7 2 4" xfId="27139"/>
    <cellStyle name="Normal 3 3 3 7 2 5" xfId="27140"/>
    <cellStyle name="Normal 3 3 3 7 3" xfId="27141"/>
    <cellStyle name="Normal 3 3 3 7 3 2" xfId="27142"/>
    <cellStyle name="Normal 3 3 3 7 3 2 2" xfId="27143"/>
    <cellStyle name="Normal 3 3 3 7 3 3" xfId="27144"/>
    <cellStyle name="Normal 3 3 3 7 3 4" xfId="27145"/>
    <cellStyle name="Normal 3 3 3 7 4" xfId="27146"/>
    <cellStyle name="Normal 3 3 3 7 4 2" xfId="27147"/>
    <cellStyle name="Normal 3 3 3 7 4 2 2" xfId="27148"/>
    <cellStyle name="Normal 3 3 3 7 4 3" xfId="27149"/>
    <cellStyle name="Normal 3 3 3 7 5" xfId="27150"/>
    <cellStyle name="Normal 3 3 3 7 5 2" xfId="27151"/>
    <cellStyle name="Normal 3 3 3 7 5 3" xfId="27152"/>
    <cellStyle name="Normal 3 3 3 7 6" xfId="27153"/>
    <cellStyle name="Normal 3 3 3 7 6 2" xfId="27154"/>
    <cellStyle name="Normal 3 3 3 7 7" xfId="27155"/>
    <cellStyle name="Normal 3 3 3 8" xfId="27156"/>
    <cellStyle name="Normal 3 3 3 8 2" xfId="27157"/>
    <cellStyle name="Normal 3 3 3 8 2 2" xfId="27158"/>
    <cellStyle name="Normal 3 3 3 8 2 2 2" xfId="27159"/>
    <cellStyle name="Normal 3 3 3 8 2 3" xfId="27160"/>
    <cellStyle name="Normal 3 3 3 8 3" xfId="27161"/>
    <cellStyle name="Normal 3 3 3 8 3 2" xfId="27162"/>
    <cellStyle name="Normal 3 3 3 8 3 2 2" xfId="27163"/>
    <cellStyle name="Normal 3 3 3 8 3 3" xfId="27164"/>
    <cellStyle name="Normal 3 3 3 8 4" xfId="27165"/>
    <cellStyle name="Normal 3 3 3 8 4 2" xfId="27166"/>
    <cellStyle name="Normal 3 3 3 8 5" xfId="27167"/>
    <cellStyle name="Normal 3 3 3 8 6" xfId="27168"/>
    <cellStyle name="Normal 3 3 3 9" xfId="27169"/>
    <cellStyle name="Normal 3 3 3 9 2" xfId="27170"/>
    <cellStyle name="Normal 3 3 3 9 2 2" xfId="27171"/>
    <cellStyle name="Normal 3 3 3 9 2 3" xfId="27172"/>
    <cellStyle name="Normal 3 3 3 9 3" xfId="27173"/>
    <cellStyle name="Normal 3 3 3 9 3 2" xfId="27174"/>
    <cellStyle name="Normal 3 3 3 9 4" xfId="27175"/>
    <cellStyle name="Normal 3 3 3 9 5" xfId="27176"/>
    <cellStyle name="Normal 3 3 4" xfId="27177"/>
    <cellStyle name="Normal 3 3 4 10" xfId="27178"/>
    <cellStyle name="Normal 3 3 4 10 2" xfId="27179"/>
    <cellStyle name="Normal 3 3 4 10 2 2" xfId="27180"/>
    <cellStyle name="Normal 3 3 4 10 3" xfId="27181"/>
    <cellStyle name="Normal 3 3 4 11" xfId="27182"/>
    <cellStyle name="Normal 3 3 4 11 2" xfId="27183"/>
    <cellStyle name="Normal 3 3 4 11 3" xfId="27184"/>
    <cellStyle name="Normal 3 3 4 12" xfId="27185"/>
    <cellStyle name="Normal 3 3 4 13" xfId="27186"/>
    <cellStyle name="Normal 3 3 4 14" xfId="27187"/>
    <cellStyle name="Normal 3 3 4 2" xfId="27188"/>
    <cellStyle name="Normal 3 3 4 2 10" xfId="27189"/>
    <cellStyle name="Normal 3 3 4 2 11" xfId="27190"/>
    <cellStyle name="Normal 3 3 4 2 12" xfId="27191"/>
    <cellStyle name="Normal 3 3 4 2 2" xfId="27192"/>
    <cellStyle name="Normal 3 3 4 2 2 2" xfId="27193"/>
    <cellStyle name="Normal 3 3 4 2 2 2 2" xfId="27194"/>
    <cellStyle name="Normal 3 3 4 2 2 2 2 2" xfId="27195"/>
    <cellStyle name="Normal 3 3 4 2 2 2 2 3" xfId="27196"/>
    <cellStyle name="Normal 3 3 4 2 2 2 2 4" xfId="27197"/>
    <cellStyle name="Normal 3 3 4 2 2 2 3" xfId="27198"/>
    <cellStyle name="Normal 3 3 4 2 2 2 3 2" xfId="27199"/>
    <cellStyle name="Normal 3 3 4 2 2 2 4" xfId="27200"/>
    <cellStyle name="Normal 3 3 4 2 2 2 4 2" xfId="27201"/>
    <cellStyle name="Normal 3 3 4 2 2 2 5" xfId="27202"/>
    <cellStyle name="Normal 3 3 4 2 2 2 6" xfId="27203"/>
    <cellStyle name="Normal 3 3 4 2 2 3" xfId="27204"/>
    <cellStyle name="Normal 3 3 4 2 2 3 2" xfId="27205"/>
    <cellStyle name="Normal 3 3 4 2 2 3 2 2" xfId="27206"/>
    <cellStyle name="Normal 3 3 4 2 2 3 2 3" xfId="27207"/>
    <cellStyle name="Normal 3 3 4 2 2 3 3" xfId="27208"/>
    <cellStyle name="Normal 3 3 4 2 2 3 3 2" xfId="27209"/>
    <cellStyle name="Normal 3 3 4 2 2 3 4" xfId="27210"/>
    <cellStyle name="Normal 3 3 4 2 2 3 5" xfId="27211"/>
    <cellStyle name="Normal 3 3 4 2 2 4" xfId="27212"/>
    <cellStyle name="Normal 3 3 4 2 2 4 2" xfId="27213"/>
    <cellStyle name="Normal 3 3 4 2 2 4 2 2" xfId="27214"/>
    <cellStyle name="Normal 3 3 4 2 2 4 3" xfId="27215"/>
    <cellStyle name="Normal 3 3 4 2 2 4 4" xfId="27216"/>
    <cellStyle name="Normal 3 3 4 2 2 5" xfId="27217"/>
    <cellStyle name="Normal 3 3 4 2 2 5 2" xfId="27218"/>
    <cellStyle name="Normal 3 3 4 2 2 5 3" xfId="27219"/>
    <cellStyle name="Normal 3 3 4 2 2 6" xfId="27220"/>
    <cellStyle name="Normal 3 3 4 2 2 6 2" xfId="27221"/>
    <cellStyle name="Normal 3 3 4 2 2 6 3" xfId="27222"/>
    <cellStyle name="Normal 3 3 4 2 2 7" xfId="27223"/>
    <cellStyle name="Normal 3 3 4 2 2 8" xfId="27224"/>
    <cellStyle name="Normal 3 3 4 2 3" xfId="27225"/>
    <cellStyle name="Normal 3 3 4 2 3 2" xfId="27226"/>
    <cellStyle name="Normal 3 3 4 2 3 2 2" xfId="27227"/>
    <cellStyle name="Normal 3 3 4 2 3 2 2 2" xfId="27228"/>
    <cellStyle name="Normal 3 3 4 2 3 2 3" xfId="27229"/>
    <cellStyle name="Normal 3 3 4 2 3 2 4" xfId="27230"/>
    <cellStyle name="Normal 3 3 4 2 3 3" xfId="27231"/>
    <cellStyle name="Normal 3 3 4 2 3 3 2" xfId="27232"/>
    <cellStyle name="Normal 3 3 4 2 3 3 2 2" xfId="27233"/>
    <cellStyle name="Normal 3 3 4 2 3 3 3" xfId="27234"/>
    <cellStyle name="Normal 3 3 4 2 3 4" xfId="27235"/>
    <cellStyle name="Normal 3 3 4 2 3 4 2" xfId="27236"/>
    <cellStyle name="Normal 3 3 4 2 3 4 2 2" xfId="27237"/>
    <cellStyle name="Normal 3 3 4 2 3 4 3" xfId="27238"/>
    <cellStyle name="Normal 3 3 4 2 3 5" xfId="27239"/>
    <cellStyle name="Normal 3 3 4 2 3 5 2" xfId="27240"/>
    <cellStyle name="Normal 3 3 4 2 3 6" xfId="27241"/>
    <cellStyle name="Normal 3 3 4 2 3 7" xfId="27242"/>
    <cellStyle name="Normal 3 3 4 2 4" xfId="27243"/>
    <cellStyle name="Normal 3 3 4 2 4 2" xfId="27244"/>
    <cellStyle name="Normal 3 3 4 2 4 2 2" xfId="27245"/>
    <cellStyle name="Normal 3 3 4 2 4 2 2 2" xfId="27246"/>
    <cellStyle name="Normal 3 3 4 2 4 2 3" xfId="27247"/>
    <cellStyle name="Normal 3 3 4 2 4 3" xfId="27248"/>
    <cellStyle name="Normal 3 3 4 2 4 3 2" xfId="27249"/>
    <cellStyle name="Normal 3 3 4 2 4 3 2 2" xfId="27250"/>
    <cellStyle name="Normal 3 3 4 2 4 3 3" xfId="27251"/>
    <cellStyle name="Normal 3 3 4 2 4 4" xfId="27252"/>
    <cellStyle name="Normal 3 3 4 2 4 4 2" xfId="27253"/>
    <cellStyle name="Normal 3 3 4 2 4 4 3" xfId="27254"/>
    <cellStyle name="Normal 3 3 4 2 4 5" xfId="27255"/>
    <cellStyle name="Normal 3 3 4 2 4 6" xfId="27256"/>
    <cellStyle name="Normal 3 3 4 2 4 7" xfId="27257"/>
    <cellStyle name="Normal 3 3 4 2 5" xfId="27258"/>
    <cellStyle name="Normal 3 3 4 2 5 2" xfId="27259"/>
    <cellStyle name="Normal 3 3 4 2 5 2 2" xfId="27260"/>
    <cellStyle name="Normal 3 3 4 2 5 2 3" xfId="27261"/>
    <cellStyle name="Normal 3 3 4 2 5 3" xfId="27262"/>
    <cellStyle name="Normal 3 3 4 2 5 3 2" xfId="27263"/>
    <cellStyle name="Normal 3 3 4 2 5 3 3" xfId="27264"/>
    <cellStyle name="Normal 3 3 4 2 5 4" xfId="27265"/>
    <cellStyle name="Normal 3 3 4 2 5 4 2" xfId="27266"/>
    <cellStyle name="Normal 3 3 4 2 5 5" xfId="27267"/>
    <cellStyle name="Normal 3 3 4 2 5 6" xfId="27268"/>
    <cellStyle name="Normal 3 3 4 2 5 7" xfId="27269"/>
    <cellStyle name="Normal 3 3 4 2 6" xfId="27270"/>
    <cellStyle name="Normal 3 3 4 2 6 2" xfId="27271"/>
    <cellStyle name="Normal 3 3 4 2 6 2 2" xfId="27272"/>
    <cellStyle name="Normal 3 3 4 2 6 2 3" xfId="27273"/>
    <cellStyle name="Normal 3 3 4 2 6 3" xfId="27274"/>
    <cellStyle name="Normal 3 3 4 2 6 3 2" xfId="27275"/>
    <cellStyle name="Normal 3 3 4 2 6 4" xfId="27276"/>
    <cellStyle name="Normal 3 3 4 2 6 5" xfId="27277"/>
    <cellStyle name="Normal 3 3 4 2 6 6" xfId="27278"/>
    <cellStyle name="Normal 3 3 4 2 7" xfId="27279"/>
    <cellStyle name="Normal 3 3 4 2 7 2" xfId="27280"/>
    <cellStyle name="Normal 3 3 4 2 7 2 2" xfId="27281"/>
    <cellStyle name="Normal 3 3 4 2 7 3" xfId="27282"/>
    <cellStyle name="Normal 3 3 4 2 8" xfId="27283"/>
    <cellStyle name="Normal 3 3 4 2 8 2" xfId="27284"/>
    <cellStyle name="Normal 3 3 4 2 8 3" xfId="27285"/>
    <cellStyle name="Normal 3 3 4 2 9" xfId="27286"/>
    <cellStyle name="Normal 3 3 4 2 9 2" xfId="27287"/>
    <cellStyle name="Normal 3 3 4 3" xfId="27288"/>
    <cellStyle name="Normal 3 3 4 3 10" xfId="27289"/>
    <cellStyle name="Normal 3 3 4 3 11" xfId="27290"/>
    <cellStyle name="Normal 3 3 4 3 2" xfId="27291"/>
    <cellStyle name="Normal 3 3 4 3 2 2" xfId="27292"/>
    <cellStyle name="Normal 3 3 4 3 2 2 2" xfId="27293"/>
    <cellStyle name="Normal 3 3 4 3 2 2 2 2" xfId="27294"/>
    <cellStyle name="Normal 3 3 4 3 2 2 3" xfId="27295"/>
    <cellStyle name="Normal 3 3 4 3 2 2 4" xfId="27296"/>
    <cellStyle name="Normal 3 3 4 3 2 3" xfId="27297"/>
    <cellStyle name="Normal 3 3 4 3 2 3 2" xfId="27298"/>
    <cellStyle name="Normal 3 3 4 3 2 3 2 2" xfId="27299"/>
    <cellStyle name="Normal 3 3 4 3 2 3 3" xfId="27300"/>
    <cellStyle name="Normal 3 3 4 3 2 4" xfId="27301"/>
    <cellStyle name="Normal 3 3 4 3 2 4 2" xfId="27302"/>
    <cellStyle name="Normal 3 3 4 3 2 4 2 2" xfId="27303"/>
    <cellStyle name="Normal 3 3 4 3 2 4 3" xfId="27304"/>
    <cellStyle name="Normal 3 3 4 3 2 5" xfId="27305"/>
    <cellStyle name="Normal 3 3 4 3 2 5 2" xfId="27306"/>
    <cellStyle name="Normal 3 3 4 3 2 6" xfId="27307"/>
    <cellStyle name="Normal 3 3 4 3 2 7" xfId="27308"/>
    <cellStyle name="Normal 3 3 4 3 3" xfId="27309"/>
    <cellStyle name="Normal 3 3 4 3 3 2" xfId="27310"/>
    <cellStyle name="Normal 3 3 4 3 3 2 2" xfId="27311"/>
    <cellStyle name="Normal 3 3 4 3 3 2 2 2" xfId="27312"/>
    <cellStyle name="Normal 3 3 4 3 3 2 3" xfId="27313"/>
    <cellStyle name="Normal 3 3 4 3 3 3" xfId="27314"/>
    <cellStyle name="Normal 3 3 4 3 3 3 2" xfId="27315"/>
    <cellStyle name="Normal 3 3 4 3 3 3 2 2" xfId="27316"/>
    <cellStyle name="Normal 3 3 4 3 3 3 3" xfId="27317"/>
    <cellStyle name="Normal 3 3 4 3 3 4" xfId="27318"/>
    <cellStyle name="Normal 3 3 4 3 3 4 2" xfId="27319"/>
    <cellStyle name="Normal 3 3 4 3 3 4 3" xfId="27320"/>
    <cellStyle name="Normal 3 3 4 3 3 5" xfId="27321"/>
    <cellStyle name="Normal 3 3 4 3 3 6" xfId="27322"/>
    <cellStyle name="Normal 3 3 4 3 3 7" xfId="27323"/>
    <cellStyle name="Normal 3 3 4 3 4" xfId="27324"/>
    <cellStyle name="Normal 3 3 4 3 4 2" xfId="27325"/>
    <cellStyle name="Normal 3 3 4 3 4 2 2" xfId="27326"/>
    <cellStyle name="Normal 3 3 4 3 4 2 3" xfId="27327"/>
    <cellStyle name="Normal 3 3 4 3 4 3" xfId="27328"/>
    <cellStyle name="Normal 3 3 4 3 4 3 2" xfId="27329"/>
    <cellStyle name="Normal 3 3 4 3 4 3 3" xfId="27330"/>
    <cellStyle name="Normal 3 3 4 3 4 4" xfId="27331"/>
    <cellStyle name="Normal 3 3 4 3 4 4 2" xfId="27332"/>
    <cellStyle name="Normal 3 3 4 3 4 5" xfId="27333"/>
    <cellStyle name="Normal 3 3 4 3 4 6" xfId="27334"/>
    <cellStyle name="Normal 3 3 4 3 4 7" xfId="27335"/>
    <cellStyle name="Normal 3 3 4 3 5" xfId="27336"/>
    <cellStyle name="Normal 3 3 4 3 5 2" xfId="27337"/>
    <cellStyle name="Normal 3 3 4 3 5 2 2" xfId="27338"/>
    <cellStyle name="Normal 3 3 4 3 5 2 3" xfId="27339"/>
    <cellStyle name="Normal 3 3 4 3 5 3" xfId="27340"/>
    <cellStyle name="Normal 3 3 4 3 5 3 2" xfId="27341"/>
    <cellStyle name="Normal 3 3 4 3 5 4" xfId="27342"/>
    <cellStyle name="Normal 3 3 4 3 5 5" xfId="27343"/>
    <cellStyle name="Normal 3 3 4 3 5 6" xfId="27344"/>
    <cellStyle name="Normal 3 3 4 3 6" xfId="27345"/>
    <cellStyle name="Normal 3 3 4 3 6 2" xfId="27346"/>
    <cellStyle name="Normal 3 3 4 3 6 2 2" xfId="27347"/>
    <cellStyle name="Normal 3 3 4 3 6 3" xfId="27348"/>
    <cellStyle name="Normal 3 3 4 3 7" xfId="27349"/>
    <cellStyle name="Normal 3 3 4 3 7 2" xfId="27350"/>
    <cellStyle name="Normal 3 3 4 3 7 3" xfId="27351"/>
    <cellStyle name="Normal 3 3 4 3 8" xfId="27352"/>
    <cellStyle name="Normal 3 3 4 3 8 2" xfId="27353"/>
    <cellStyle name="Normal 3 3 4 3 9" xfId="27354"/>
    <cellStyle name="Normal 3 3 4 4" xfId="27355"/>
    <cellStyle name="Normal 3 3 4 4 10" xfId="27356"/>
    <cellStyle name="Normal 3 3 4 4 11" xfId="27357"/>
    <cellStyle name="Normal 3 3 4 4 2" xfId="27358"/>
    <cellStyle name="Normal 3 3 4 4 2 2" xfId="27359"/>
    <cellStyle name="Normal 3 3 4 4 2 2 2" xfId="27360"/>
    <cellStyle name="Normal 3 3 4 4 2 2 2 2" xfId="27361"/>
    <cellStyle name="Normal 3 3 4 4 2 2 3" xfId="27362"/>
    <cellStyle name="Normal 3 3 4 4 2 2 4" xfId="27363"/>
    <cellStyle name="Normal 3 3 4 4 2 3" xfId="27364"/>
    <cellStyle name="Normal 3 3 4 4 2 3 2" xfId="27365"/>
    <cellStyle name="Normal 3 3 4 4 2 3 2 2" xfId="27366"/>
    <cellStyle name="Normal 3 3 4 4 2 3 3" xfId="27367"/>
    <cellStyle name="Normal 3 3 4 4 2 4" xfId="27368"/>
    <cellStyle name="Normal 3 3 4 4 2 4 2" xfId="27369"/>
    <cellStyle name="Normal 3 3 4 4 2 4 2 2" xfId="27370"/>
    <cellStyle name="Normal 3 3 4 4 2 4 3" xfId="27371"/>
    <cellStyle name="Normal 3 3 4 4 2 5" xfId="27372"/>
    <cellStyle name="Normal 3 3 4 4 2 5 2" xfId="27373"/>
    <cellStyle name="Normal 3 3 4 4 2 6" xfId="27374"/>
    <cellStyle name="Normal 3 3 4 4 2 7" xfId="27375"/>
    <cellStyle name="Normal 3 3 4 4 3" xfId="27376"/>
    <cellStyle name="Normal 3 3 4 4 3 2" xfId="27377"/>
    <cellStyle name="Normal 3 3 4 4 3 2 2" xfId="27378"/>
    <cellStyle name="Normal 3 3 4 4 3 2 2 2" xfId="27379"/>
    <cellStyle name="Normal 3 3 4 4 3 2 3" xfId="27380"/>
    <cellStyle name="Normal 3 3 4 4 3 3" xfId="27381"/>
    <cellStyle name="Normal 3 3 4 4 3 3 2" xfId="27382"/>
    <cellStyle name="Normal 3 3 4 4 3 3 2 2" xfId="27383"/>
    <cellStyle name="Normal 3 3 4 4 3 3 3" xfId="27384"/>
    <cellStyle name="Normal 3 3 4 4 3 4" xfId="27385"/>
    <cellStyle name="Normal 3 3 4 4 3 4 2" xfId="27386"/>
    <cellStyle name="Normal 3 3 4 4 3 4 3" xfId="27387"/>
    <cellStyle name="Normal 3 3 4 4 3 5" xfId="27388"/>
    <cellStyle name="Normal 3 3 4 4 3 6" xfId="27389"/>
    <cellStyle name="Normal 3 3 4 4 3 7" xfId="27390"/>
    <cellStyle name="Normal 3 3 4 4 4" xfId="27391"/>
    <cellStyle name="Normal 3 3 4 4 4 2" xfId="27392"/>
    <cellStyle name="Normal 3 3 4 4 4 2 2" xfId="27393"/>
    <cellStyle name="Normal 3 3 4 4 4 2 3" xfId="27394"/>
    <cellStyle name="Normal 3 3 4 4 4 3" xfId="27395"/>
    <cellStyle name="Normal 3 3 4 4 4 3 2" xfId="27396"/>
    <cellStyle name="Normal 3 3 4 4 4 3 3" xfId="27397"/>
    <cellStyle name="Normal 3 3 4 4 4 4" xfId="27398"/>
    <cellStyle name="Normal 3 3 4 4 4 4 2" xfId="27399"/>
    <cellStyle name="Normal 3 3 4 4 4 5" xfId="27400"/>
    <cellStyle name="Normal 3 3 4 4 4 6" xfId="27401"/>
    <cellStyle name="Normal 3 3 4 4 4 7" xfId="27402"/>
    <cellStyle name="Normal 3 3 4 4 5" xfId="27403"/>
    <cellStyle name="Normal 3 3 4 4 5 2" xfId="27404"/>
    <cellStyle name="Normal 3 3 4 4 5 2 2" xfId="27405"/>
    <cellStyle name="Normal 3 3 4 4 5 2 3" xfId="27406"/>
    <cellStyle name="Normal 3 3 4 4 5 3" xfId="27407"/>
    <cellStyle name="Normal 3 3 4 4 5 3 2" xfId="27408"/>
    <cellStyle name="Normal 3 3 4 4 5 4" xfId="27409"/>
    <cellStyle name="Normal 3 3 4 4 5 5" xfId="27410"/>
    <cellStyle name="Normal 3 3 4 4 5 6" xfId="27411"/>
    <cellStyle name="Normal 3 3 4 4 6" xfId="27412"/>
    <cellStyle name="Normal 3 3 4 4 6 2" xfId="27413"/>
    <cellStyle name="Normal 3 3 4 4 6 2 2" xfId="27414"/>
    <cellStyle name="Normal 3 3 4 4 6 3" xfId="27415"/>
    <cellStyle name="Normal 3 3 4 4 7" xfId="27416"/>
    <cellStyle name="Normal 3 3 4 4 7 2" xfId="27417"/>
    <cellStyle name="Normal 3 3 4 4 7 3" xfId="27418"/>
    <cellStyle name="Normal 3 3 4 4 8" xfId="27419"/>
    <cellStyle name="Normal 3 3 4 4 8 2" xfId="27420"/>
    <cellStyle name="Normal 3 3 4 4 9" xfId="27421"/>
    <cellStyle name="Normal 3 3 4 5" xfId="27422"/>
    <cellStyle name="Normal 3 3 4 5 2" xfId="27423"/>
    <cellStyle name="Normal 3 3 4 5 2 2" xfId="27424"/>
    <cellStyle name="Normal 3 3 4 5 2 2 2" xfId="27425"/>
    <cellStyle name="Normal 3 3 4 5 2 2 3" xfId="27426"/>
    <cellStyle name="Normal 3 3 4 5 2 3" xfId="27427"/>
    <cellStyle name="Normal 3 3 4 5 2 3 2" xfId="27428"/>
    <cellStyle name="Normal 3 3 4 5 2 4" xfId="27429"/>
    <cellStyle name="Normal 3 3 4 5 2 5" xfId="27430"/>
    <cellStyle name="Normal 3 3 4 5 3" xfId="27431"/>
    <cellStyle name="Normal 3 3 4 5 3 2" xfId="27432"/>
    <cellStyle name="Normal 3 3 4 5 3 2 2" xfId="27433"/>
    <cellStyle name="Normal 3 3 4 5 3 3" xfId="27434"/>
    <cellStyle name="Normal 3 3 4 5 3 4" xfId="27435"/>
    <cellStyle name="Normal 3 3 4 5 4" xfId="27436"/>
    <cellStyle name="Normal 3 3 4 5 4 2" xfId="27437"/>
    <cellStyle name="Normal 3 3 4 5 4 2 2" xfId="27438"/>
    <cellStyle name="Normal 3 3 4 5 4 3" xfId="27439"/>
    <cellStyle name="Normal 3 3 4 5 5" xfId="27440"/>
    <cellStyle name="Normal 3 3 4 5 5 2" xfId="27441"/>
    <cellStyle name="Normal 3 3 4 5 5 3" xfId="27442"/>
    <cellStyle name="Normal 3 3 4 5 6" xfId="27443"/>
    <cellStyle name="Normal 3 3 4 5 6 2" xfId="27444"/>
    <cellStyle name="Normal 3 3 4 5 7" xfId="27445"/>
    <cellStyle name="Normal 3 3 4 6" xfId="27446"/>
    <cellStyle name="Normal 3 3 4 6 2" xfId="27447"/>
    <cellStyle name="Normal 3 3 4 6 2 2" xfId="27448"/>
    <cellStyle name="Normal 3 3 4 6 2 2 2" xfId="27449"/>
    <cellStyle name="Normal 3 3 4 6 2 3" xfId="27450"/>
    <cellStyle name="Normal 3 3 4 6 3" xfId="27451"/>
    <cellStyle name="Normal 3 3 4 6 3 2" xfId="27452"/>
    <cellStyle name="Normal 3 3 4 6 3 2 2" xfId="27453"/>
    <cellStyle name="Normal 3 3 4 6 3 3" xfId="27454"/>
    <cellStyle name="Normal 3 3 4 6 4" xfId="27455"/>
    <cellStyle name="Normal 3 3 4 6 4 2" xfId="27456"/>
    <cellStyle name="Normal 3 3 4 6 4 3" xfId="27457"/>
    <cellStyle name="Normal 3 3 4 6 5" xfId="27458"/>
    <cellStyle name="Normal 3 3 4 6 6" xfId="27459"/>
    <cellStyle name="Normal 3 3 4 6 7" xfId="27460"/>
    <cellStyle name="Normal 3 3 4 7" xfId="27461"/>
    <cellStyle name="Normal 3 3 4 7 2" xfId="27462"/>
    <cellStyle name="Normal 3 3 4 7 2 2" xfId="27463"/>
    <cellStyle name="Normal 3 3 4 7 2 2 2" xfId="27464"/>
    <cellStyle name="Normal 3 3 4 7 2 3" xfId="27465"/>
    <cellStyle name="Normal 3 3 4 7 3" xfId="27466"/>
    <cellStyle name="Normal 3 3 4 7 3 2" xfId="27467"/>
    <cellStyle name="Normal 3 3 4 7 3 2 2" xfId="27468"/>
    <cellStyle name="Normal 3 3 4 7 3 3" xfId="27469"/>
    <cellStyle name="Normal 3 3 4 7 4" xfId="27470"/>
    <cellStyle name="Normal 3 3 4 7 4 2" xfId="27471"/>
    <cellStyle name="Normal 3 3 4 7 4 3" xfId="27472"/>
    <cellStyle name="Normal 3 3 4 7 5" xfId="27473"/>
    <cellStyle name="Normal 3 3 4 7 6" xfId="27474"/>
    <cellStyle name="Normal 3 3 4 7 7" xfId="27475"/>
    <cellStyle name="Normal 3 3 4 8" xfId="27476"/>
    <cellStyle name="Normal 3 3 4 8 2" xfId="27477"/>
    <cellStyle name="Normal 3 3 4 8 2 2" xfId="27478"/>
    <cellStyle name="Normal 3 3 4 8 2 3" xfId="27479"/>
    <cellStyle name="Normal 3 3 4 8 3" xfId="27480"/>
    <cellStyle name="Normal 3 3 4 8 3 2" xfId="27481"/>
    <cellStyle name="Normal 3 3 4 8 3 3" xfId="27482"/>
    <cellStyle name="Normal 3 3 4 8 4" xfId="27483"/>
    <cellStyle name="Normal 3 3 4 8 5" xfId="27484"/>
    <cellStyle name="Normal 3 3 4 8 6" xfId="27485"/>
    <cellStyle name="Normal 3 3 4 9" xfId="27486"/>
    <cellStyle name="Normal 3 3 4 9 2" xfId="27487"/>
    <cellStyle name="Normal 3 3 4 9 2 2" xfId="27488"/>
    <cellStyle name="Normal 3 3 4 9 3" xfId="27489"/>
    <cellStyle name="Normal 3 3 5" xfId="27490"/>
    <cellStyle name="Normal 3 3 5 10" xfId="27491"/>
    <cellStyle name="Normal 3 3 5 10 2" xfId="27492"/>
    <cellStyle name="Normal 3 3 5 10 2 2" xfId="27493"/>
    <cellStyle name="Normal 3 3 5 10 3" xfId="27494"/>
    <cellStyle name="Normal 3 3 5 11" xfId="27495"/>
    <cellStyle name="Normal 3 3 5 11 2" xfId="27496"/>
    <cellStyle name="Normal 3 3 5 12" xfId="27497"/>
    <cellStyle name="Normal 3 3 5 13" xfId="27498"/>
    <cellStyle name="Normal 3 3 5 2" xfId="27499"/>
    <cellStyle name="Normal 3 3 5 2 10" xfId="27500"/>
    <cellStyle name="Normal 3 3 5 2 11" xfId="27501"/>
    <cellStyle name="Normal 3 3 5 2 2" xfId="27502"/>
    <cellStyle name="Normal 3 3 5 2 2 2" xfId="27503"/>
    <cellStyle name="Normal 3 3 5 2 2 2 2" xfId="27504"/>
    <cellStyle name="Normal 3 3 5 2 2 2 2 2" xfId="27505"/>
    <cellStyle name="Normal 3 3 5 2 2 2 2 3" xfId="27506"/>
    <cellStyle name="Normal 3 3 5 2 2 2 2 4" xfId="27507"/>
    <cellStyle name="Normal 3 3 5 2 2 2 3" xfId="27508"/>
    <cellStyle name="Normal 3 3 5 2 2 2 3 2" xfId="27509"/>
    <cellStyle name="Normal 3 3 5 2 2 2 4" xfId="27510"/>
    <cellStyle name="Normal 3 3 5 2 2 2 4 2" xfId="27511"/>
    <cellStyle name="Normal 3 3 5 2 2 2 5" xfId="27512"/>
    <cellStyle name="Normal 3 3 5 2 2 2 6" xfId="27513"/>
    <cellStyle name="Normal 3 3 5 2 2 3" xfId="27514"/>
    <cellStyle name="Normal 3 3 5 2 2 3 2" xfId="27515"/>
    <cellStyle name="Normal 3 3 5 2 2 3 2 2" xfId="27516"/>
    <cellStyle name="Normal 3 3 5 2 2 3 2 3" xfId="27517"/>
    <cellStyle name="Normal 3 3 5 2 2 3 3" xfId="27518"/>
    <cellStyle name="Normal 3 3 5 2 2 3 3 2" xfId="27519"/>
    <cellStyle name="Normal 3 3 5 2 2 3 4" xfId="27520"/>
    <cellStyle name="Normal 3 3 5 2 2 3 5" xfId="27521"/>
    <cellStyle name="Normal 3 3 5 2 2 4" xfId="27522"/>
    <cellStyle name="Normal 3 3 5 2 2 4 2" xfId="27523"/>
    <cellStyle name="Normal 3 3 5 2 2 4 2 2" xfId="27524"/>
    <cellStyle name="Normal 3 3 5 2 2 4 3" xfId="27525"/>
    <cellStyle name="Normal 3 3 5 2 2 4 4" xfId="27526"/>
    <cellStyle name="Normal 3 3 5 2 2 5" xfId="27527"/>
    <cellStyle name="Normal 3 3 5 2 2 5 2" xfId="27528"/>
    <cellStyle name="Normal 3 3 5 2 2 5 3" xfId="27529"/>
    <cellStyle name="Normal 3 3 5 2 2 6" xfId="27530"/>
    <cellStyle name="Normal 3 3 5 2 2 6 2" xfId="27531"/>
    <cellStyle name="Normal 3 3 5 2 2 6 3" xfId="27532"/>
    <cellStyle name="Normal 3 3 5 2 2 7" xfId="27533"/>
    <cellStyle name="Normal 3 3 5 2 2 8" xfId="27534"/>
    <cellStyle name="Normal 3 3 5 2 3" xfId="27535"/>
    <cellStyle name="Normal 3 3 5 2 3 2" xfId="27536"/>
    <cellStyle name="Normal 3 3 5 2 3 2 2" xfId="27537"/>
    <cellStyle name="Normal 3 3 5 2 3 2 2 2" xfId="27538"/>
    <cellStyle name="Normal 3 3 5 2 3 2 3" xfId="27539"/>
    <cellStyle name="Normal 3 3 5 2 3 2 4" xfId="27540"/>
    <cellStyle name="Normal 3 3 5 2 3 3" xfId="27541"/>
    <cellStyle name="Normal 3 3 5 2 3 3 2" xfId="27542"/>
    <cellStyle name="Normal 3 3 5 2 3 3 2 2" xfId="27543"/>
    <cellStyle name="Normal 3 3 5 2 3 3 3" xfId="27544"/>
    <cellStyle name="Normal 3 3 5 2 3 4" xfId="27545"/>
    <cellStyle name="Normal 3 3 5 2 3 4 2" xfId="27546"/>
    <cellStyle name="Normal 3 3 5 2 3 4 2 2" xfId="27547"/>
    <cellStyle name="Normal 3 3 5 2 3 4 3" xfId="27548"/>
    <cellStyle name="Normal 3 3 5 2 3 5" xfId="27549"/>
    <cellStyle name="Normal 3 3 5 2 3 5 2" xfId="27550"/>
    <cellStyle name="Normal 3 3 5 2 3 6" xfId="27551"/>
    <cellStyle name="Normal 3 3 5 2 3 7" xfId="27552"/>
    <cellStyle name="Normal 3 3 5 2 4" xfId="27553"/>
    <cellStyle name="Normal 3 3 5 2 4 2" xfId="27554"/>
    <cellStyle name="Normal 3 3 5 2 4 2 2" xfId="27555"/>
    <cellStyle name="Normal 3 3 5 2 4 2 2 2" xfId="27556"/>
    <cellStyle name="Normal 3 3 5 2 4 2 3" xfId="27557"/>
    <cellStyle name="Normal 3 3 5 2 4 3" xfId="27558"/>
    <cellStyle name="Normal 3 3 5 2 4 3 2" xfId="27559"/>
    <cellStyle name="Normal 3 3 5 2 4 3 2 2" xfId="27560"/>
    <cellStyle name="Normal 3 3 5 2 4 3 3" xfId="27561"/>
    <cellStyle name="Normal 3 3 5 2 4 4" xfId="27562"/>
    <cellStyle name="Normal 3 3 5 2 4 4 2" xfId="27563"/>
    <cellStyle name="Normal 3 3 5 2 4 4 3" xfId="27564"/>
    <cellStyle name="Normal 3 3 5 2 4 5" xfId="27565"/>
    <cellStyle name="Normal 3 3 5 2 4 6" xfId="27566"/>
    <cellStyle name="Normal 3 3 5 2 4 7" xfId="27567"/>
    <cellStyle name="Normal 3 3 5 2 5" xfId="27568"/>
    <cellStyle name="Normal 3 3 5 2 5 2" xfId="27569"/>
    <cellStyle name="Normal 3 3 5 2 5 2 2" xfId="27570"/>
    <cellStyle name="Normal 3 3 5 2 5 2 3" xfId="27571"/>
    <cellStyle name="Normal 3 3 5 2 5 3" xfId="27572"/>
    <cellStyle name="Normal 3 3 5 2 5 3 2" xfId="27573"/>
    <cellStyle name="Normal 3 3 5 2 5 3 3" xfId="27574"/>
    <cellStyle name="Normal 3 3 5 2 5 4" xfId="27575"/>
    <cellStyle name="Normal 3 3 5 2 5 5" xfId="27576"/>
    <cellStyle name="Normal 3 3 5 2 5 6" xfId="27577"/>
    <cellStyle name="Normal 3 3 5 2 6" xfId="27578"/>
    <cellStyle name="Normal 3 3 5 2 6 2" xfId="27579"/>
    <cellStyle name="Normal 3 3 5 2 6 2 2" xfId="27580"/>
    <cellStyle name="Normal 3 3 5 2 6 3" xfId="27581"/>
    <cellStyle name="Normal 3 3 5 2 7" xfId="27582"/>
    <cellStyle name="Normal 3 3 5 2 7 2" xfId="27583"/>
    <cellStyle name="Normal 3 3 5 2 7 2 2" xfId="27584"/>
    <cellStyle name="Normal 3 3 5 2 7 3" xfId="27585"/>
    <cellStyle name="Normal 3 3 5 2 8" xfId="27586"/>
    <cellStyle name="Normal 3 3 5 2 8 2" xfId="27587"/>
    <cellStyle name="Normal 3 3 5 2 8 3" xfId="27588"/>
    <cellStyle name="Normal 3 3 5 2 9" xfId="27589"/>
    <cellStyle name="Normal 3 3 5 3" xfId="27590"/>
    <cellStyle name="Normal 3 3 5 3 10" xfId="27591"/>
    <cellStyle name="Normal 3 3 5 3 11" xfId="27592"/>
    <cellStyle name="Normal 3 3 5 3 2" xfId="27593"/>
    <cellStyle name="Normal 3 3 5 3 2 2" xfId="27594"/>
    <cellStyle name="Normal 3 3 5 3 2 2 2" xfId="27595"/>
    <cellStyle name="Normal 3 3 5 3 2 2 2 2" xfId="27596"/>
    <cellStyle name="Normal 3 3 5 3 2 2 3" xfId="27597"/>
    <cellStyle name="Normal 3 3 5 3 2 2 4" xfId="27598"/>
    <cellStyle name="Normal 3 3 5 3 2 3" xfId="27599"/>
    <cellStyle name="Normal 3 3 5 3 2 3 2" xfId="27600"/>
    <cellStyle name="Normal 3 3 5 3 2 3 2 2" xfId="27601"/>
    <cellStyle name="Normal 3 3 5 3 2 3 3" xfId="27602"/>
    <cellStyle name="Normal 3 3 5 3 2 4" xfId="27603"/>
    <cellStyle name="Normal 3 3 5 3 2 4 2" xfId="27604"/>
    <cellStyle name="Normal 3 3 5 3 2 4 2 2" xfId="27605"/>
    <cellStyle name="Normal 3 3 5 3 2 4 3" xfId="27606"/>
    <cellStyle name="Normal 3 3 5 3 2 5" xfId="27607"/>
    <cellStyle name="Normal 3 3 5 3 2 5 2" xfId="27608"/>
    <cellStyle name="Normal 3 3 5 3 2 6" xfId="27609"/>
    <cellStyle name="Normal 3 3 5 3 2 7" xfId="27610"/>
    <cellStyle name="Normal 3 3 5 3 3" xfId="27611"/>
    <cellStyle name="Normal 3 3 5 3 3 2" xfId="27612"/>
    <cellStyle name="Normal 3 3 5 3 3 2 2" xfId="27613"/>
    <cellStyle name="Normal 3 3 5 3 3 2 2 2" xfId="27614"/>
    <cellStyle name="Normal 3 3 5 3 3 2 3" xfId="27615"/>
    <cellStyle name="Normal 3 3 5 3 3 3" xfId="27616"/>
    <cellStyle name="Normal 3 3 5 3 3 3 2" xfId="27617"/>
    <cellStyle name="Normal 3 3 5 3 3 3 2 2" xfId="27618"/>
    <cellStyle name="Normal 3 3 5 3 3 3 3" xfId="27619"/>
    <cellStyle name="Normal 3 3 5 3 3 4" xfId="27620"/>
    <cellStyle name="Normal 3 3 5 3 3 4 2" xfId="27621"/>
    <cellStyle name="Normal 3 3 5 3 3 4 3" xfId="27622"/>
    <cellStyle name="Normal 3 3 5 3 3 5" xfId="27623"/>
    <cellStyle name="Normal 3 3 5 3 3 6" xfId="27624"/>
    <cellStyle name="Normal 3 3 5 3 3 7" xfId="27625"/>
    <cellStyle name="Normal 3 3 5 3 4" xfId="27626"/>
    <cellStyle name="Normal 3 3 5 3 4 2" xfId="27627"/>
    <cellStyle name="Normal 3 3 5 3 4 2 2" xfId="27628"/>
    <cellStyle name="Normal 3 3 5 3 4 2 3" xfId="27629"/>
    <cellStyle name="Normal 3 3 5 3 4 3" xfId="27630"/>
    <cellStyle name="Normal 3 3 5 3 4 3 2" xfId="27631"/>
    <cellStyle name="Normal 3 3 5 3 4 3 3" xfId="27632"/>
    <cellStyle name="Normal 3 3 5 3 4 4" xfId="27633"/>
    <cellStyle name="Normal 3 3 5 3 4 4 2" xfId="27634"/>
    <cellStyle name="Normal 3 3 5 3 4 5" xfId="27635"/>
    <cellStyle name="Normal 3 3 5 3 4 6" xfId="27636"/>
    <cellStyle name="Normal 3 3 5 3 4 7" xfId="27637"/>
    <cellStyle name="Normal 3 3 5 3 5" xfId="27638"/>
    <cellStyle name="Normal 3 3 5 3 5 2" xfId="27639"/>
    <cellStyle name="Normal 3 3 5 3 5 2 2" xfId="27640"/>
    <cellStyle name="Normal 3 3 5 3 5 2 3" xfId="27641"/>
    <cellStyle name="Normal 3 3 5 3 5 3" xfId="27642"/>
    <cellStyle name="Normal 3 3 5 3 5 3 2" xfId="27643"/>
    <cellStyle name="Normal 3 3 5 3 5 4" xfId="27644"/>
    <cellStyle name="Normal 3 3 5 3 5 5" xfId="27645"/>
    <cellStyle name="Normal 3 3 5 3 5 6" xfId="27646"/>
    <cellStyle name="Normal 3 3 5 3 6" xfId="27647"/>
    <cellStyle name="Normal 3 3 5 3 6 2" xfId="27648"/>
    <cellStyle name="Normal 3 3 5 3 6 2 2" xfId="27649"/>
    <cellStyle name="Normal 3 3 5 3 6 3" xfId="27650"/>
    <cellStyle name="Normal 3 3 5 3 7" xfId="27651"/>
    <cellStyle name="Normal 3 3 5 3 7 2" xfId="27652"/>
    <cellStyle name="Normal 3 3 5 3 7 3" xfId="27653"/>
    <cellStyle name="Normal 3 3 5 3 8" xfId="27654"/>
    <cellStyle name="Normal 3 3 5 3 8 2" xfId="27655"/>
    <cellStyle name="Normal 3 3 5 3 9" xfId="27656"/>
    <cellStyle name="Normal 3 3 5 4" xfId="27657"/>
    <cellStyle name="Normal 3 3 5 4 2" xfId="27658"/>
    <cellStyle name="Normal 3 3 5 4 2 2" xfId="27659"/>
    <cellStyle name="Normal 3 3 5 4 2 2 2" xfId="27660"/>
    <cellStyle name="Normal 3 3 5 4 2 2 3" xfId="27661"/>
    <cellStyle name="Normal 3 3 5 4 2 2 4" xfId="27662"/>
    <cellStyle name="Normal 3 3 5 4 2 3" xfId="27663"/>
    <cellStyle name="Normal 3 3 5 4 2 3 2" xfId="27664"/>
    <cellStyle name="Normal 3 3 5 4 2 4" xfId="27665"/>
    <cellStyle name="Normal 3 3 5 4 2 4 2" xfId="27666"/>
    <cellStyle name="Normal 3 3 5 4 2 5" xfId="27667"/>
    <cellStyle name="Normal 3 3 5 4 2 6" xfId="27668"/>
    <cellStyle name="Normal 3 3 5 4 3" xfId="27669"/>
    <cellStyle name="Normal 3 3 5 4 3 2" xfId="27670"/>
    <cellStyle name="Normal 3 3 5 4 3 2 2" xfId="27671"/>
    <cellStyle name="Normal 3 3 5 4 3 2 3" xfId="27672"/>
    <cellStyle name="Normal 3 3 5 4 3 3" xfId="27673"/>
    <cellStyle name="Normal 3 3 5 4 3 3 2" xfId="27674"/>
    <cellStyle name="Normal 3 3 5 4 3 4" xfId="27675"/>
    <cellStyle name="Normal 3 3 5 4 3 5" xfId="27676"/>
    <cellStyle name="Normal 3 3 5 4 4" xfId="27677"/>
    <cellStyle name="Normal 3 3 5 4 4 2" xfId="27678"/>
    <cellStyle name="Normal 3 3 5 4 4 2 2" xfId="27679"/>
    <cellStyle name="Normal 3 3 5 4 4 3" xfId="27680"/>
    <cellStyle name="Normal 3 3 5 4 4 4" xfId="27681"/>
    <cellStyle name="Normal 3 3 5 4 5" xfId="27682"/>
    <cellStyle name="Normal 3 3 5 4 5 2" xfId="27683"/>
    <cellStyle name="Normal 3 3 5 4 5 3" xfId="27684"/>
    <cellStyle name="Normal 3 3 5 4 6" xfId="27685"/>
    <cellStyle name="Normal 3 3 5 4 6 2" xfId="27686"/>
    <cellStyle name="Normal 3 3 5 4 6 3" xfId="27687"/>
    <cellStyle name="Normal 3 3 5 4 7" xfId="27688"/>
    <cellStyle name="Normal 3 3 5 4 8" xfId="27689"/>
    <cellStyle name="Normal 3 3 5 5" xfId="27690"/>
    <cellStyle name="Normal 3 3 5 5 2" xfId="27691"/>
    <cellStyle name="Normal 3 3 5 5 2 2" xfId="27692"/>
    <cellStyle name="Normal 3 3 5 5 2 2 2" xfId="27693"/>
    <cellStyle name="Normal 3 3 5 5 2 2 3" xfId="27694"/>
    <cellStyle name="Normal 3 3 5 5 2 3" xfId="27695"/>
    <cellStyle name="Normal 3 3 5 5 2 3 2" xfId="27696"/>
    <cellStyle name="Normal 3 3 5 5 2 4" xfId="27697"/>
    <cellStyle name="Normal 3 3 5 5 2 5" xfId="27698"/>
    <cellStyle name="Normal 3 3 5 5 3" xfId="27699"/>
    <cellStyle name="Normal 3 3 5 5 3 2" xfId="27700"/>
    <cellStyle name="Normal 3 3 5 5 3 2 2" xfId="27701"/>
    <cellStyle name="Normal 3 3 5 5 3 3" xfId="27702"/>
    <cellStyle name="Normal 3 3 5 5 3 4" xfId="27703"/>
    <cellStyle name="Normal 3 3 5 5 4" xfId="27704"/>
    <cellStyle name="Normal 3 3 5 5 4 2" xfId="27705"/>
    <cellStyle name="Normal 3 3 5 5 4 2 2" xfId="27706"/>
    <cellStyle name="Normal 3 3 5 5 4 3" xfId="27707"/>
    <cellStyle name="Normal 3 3 5 5 5" xfId="27708"/>
    <cellStyle name="Normal 3 3 5 5 5 2" xfId="27709"/>
    <cellStyle name="Normal 3 3 5 5 5 3" xfId="27710"/>
    <cellStyle name="Normal 3 3 5 5 6" xfId="27711"/>
    <cellStyle name="Normal 3 3 5 5 6 2" xfId="27712"/>
    <cellStyle name="Normal 3 3 5 5 7" xfId="27713"/>
    <cellStyle name="Normal 3 3 5 6" xfId="27714"/>
    <cellStyle name="Normal 3 3 5 6 2" xfId="27715"/>
    <cellStyle name="Normal 3 3 5 6 2 2" xfId="27716"/>
    <cellStyle name="Normal 3 3 5 6 2 2 2" xfId="27717"/>
    <cellStyle name="Normal 3 3 5 6 2 3" xfId="27718"/>
    <cellStyle name="Normal 3 3 5 6 3" xfId="27719"/>
    <cellStyle name="Normal 3 3 5 6 3 2" xfId="27720"/>
    <cellStyle name="Normal 3 3 5 6 3 2 2" xfId="27721"/>
    <cellStyle name="Normal 3 3 5 6 3 3" xfId="27722"/>
    <cellStyle name="Normal 3 3 5 6 4" xfId="27723"/>
    <cellStyle name="Normal 3 3 5 6 4 2" xfId="27724"/>
    <cellStyle name="Normal 3 3 5 6 4 3" xfId="27725"/>
    <cellStyle name="Normal 3 3 5 6 5" xfId="27726"/>
    <cellStyle name="Normal 3 3 5 6 6" xfId="27727"/>
    <cellStyle name="Normal 3 3 5 6 7" xfId="27728"/>
    <cellStyle name="Normal 3 3 5 7" xfId="27729"/>
    <cellStyle name="Normal 3 3 5 7 2" xfId="27730"/>
    <cellStyle name="Normal 3 3 5 7 2 2" xfId="27731"/>
    <cellStyle name="Normal 3 3 5 7 2 2 2" xfId="27732"/>
    <cellStyle name="Normal 3 3 5 7 2 3" xfId="27733"/>
    <cellStyle name="Normal 3 3 5 7 3" xfId="27734"/>
    <cellStyle name="Normal 3 3 5 7 3 2" xfId="27735"/>
    <cellStyle name="Normal 3 3 5 7 3 2 2" xfId="27736"/>
    <cellStyle name="Normal 3 3 5 7 3 3" xfId="27737"/>
    <cellStyle name="Normal 3 3 5 7 4" xfId="27738"/>
    <cellStyle name="Normal 3 3 5 7 4 2" xfId="27739"/>
    <cellStyle name="Normal 3 3 5 7 5" xfId="27740"/>
    <cellStyle name="Normal 3 3 5 7 6" xfId="27741"/>
    <cellStyle name="Normal 3 3 5 8" xfId="27742"/>
    <cellStyle name="Normal 3 3 5 8 2" xfId="27743"/>
    <cellStyle name="Normal 3 3 5 8 2 2" xfId="27744"/>
    <cellStyle name="Normal 3 3 5 8 3" xfId="27745"/>
    <cellStyle name="Normal 3 3 5 8 4" xfId="27746"/>
    <cellStyle name="Normal 3 3 5 9" xfId="27747"/>
    <cellStyle name="Normal 3 3 5 9 2" xfId="27748"/>
    <cellStyle name="Normal 3 3 5 9 2 2" xfId="27749"/>
    <cellStyle name="Normal 3 3 5 9 3" xfId="27750"/>
    <cellStyle name="Normal 3 3 6" xfId="27751"/>
    <cellStyle name="Normal 3 3 6 10" xfId="27752"/>
    <cellStyle name="Normal 3 3 6 10 2" xfId="27753"/>
    <cellStyle name="Normal 3 3 6 11" xfId="27754"/>
    <cellStyle name="Normal 3 3 6 12" xfId="27755"/>
    <cellStyle name="Normal 3 3 6 2" xfId="27756"/>
    <cellStyle name="Normal 3 3 6 2 2" xfId="27757"/>
    <cellStyle name="Normal 3 3 6 2 2 2" xfId="27758"/>
    <cellStyle name="Normal 3 3 6 2 2 2 2" xfId="27759"/>
    <cellStyle name="Normal 3 3 6 2 2 2 3" xfId="27760"/>
    <cellStyle name="Normal 3 3 6 2 2 2 4" xfId="27761"/>
    <cellStyle name="Normal 3 3 6 2 2 3" xfId="27762"/>
    <cellStyle name="Normal 3 3 6 2 2 3 2" xfId="27763"/>
    <cellStyle name="Normal 3 3 6 2 2 4" xfId="27764"/>
    <cellStyle name="Normal 3 3 6 2 2 4 2" xfId="27765"/>
    <cellStyle name="Normal 3 3 6 2 2 5" xfId="27766"/>
    <cellStyle name="Normal 3 3 6 2 2 6" xfId="27767"/>
    <cellStyle name="Normal 3 3 6 2 3" xfId="27768"/>
    <cellStyle name="Normal 3 3 6 2 3 2" xfId="27769"/>
    <cellStyle name="Normal 3 3 6 2 3 2 2" xfId="27770"/>
    <cellStyle name="Normal 3 3 6 2 3 2 3" xfId="27771"/>
    <cellStyle name="Normal 3 3 6 2 3 3" xfId="27772"/>
    <cellStyle name="Normal 3 3 6 2 3 3 2" xfId="27773"/>
    <cellStyle name="Normal 3 3 6 2 3 4" xfId="27774"/>
    <cellStyle name="Normal 3 3 6 2 3 5" xfId="27775"/>
    <cellStyle name="Normal 3 3 6 2 4" xfId="27776"/>
    <cellStyle name="Normal 3 3 6 2 4 2" xfId="27777"/>
    <cellStyle name="Normal 3 3 6 2 4 2 2" xfId="27778"/>
    <cellStyle name="Normal 3 3 6 2 4 3" xfId="27779"/>
    <cellStyle name="Normal 3 3 6 2 4 4" xfId="27780"/>
    <cellStyle name="Normal 3 3 6 2 5" xfId="27781"/>
    <cellStyle name="Normal 3 3 6 2 5 2" xfId="27782"/>
    <cellStyle name="Normal 3 3 6 2 5 3" xfId="27783"/>
    <cellStyle name="Normal 3 3 6 2 6" xfId="27784"/>
    <cellStyle name="Normal 3 3 6 2 6 2" xfId="27785"/>
    <cellStyle name="Normal 3 3 6 2 6 3" xfId="27786"/>
    <cellStyle name="Normal 3 3 6 2 7" xfId="27787"/>
    <cellStyle name="Normal 3 3 6 2 8" xfId="27788"/>
    <cellStyle name="Normal 3 3 6 3" xfId="27789"/>
    <cellStyle name="Normal 3 3 6 3 2" xfId="27790"/>
    <cellStyle name="Normal 3 3 6 3 2 2" xfId="27791"/>
    <cellStyle name="Normal 3 3 6 3 2 2 2" xfId="27792"/>
    <cellStyle name="Normal 3 3 6 3 2 2 3" xfId="27793"/>
    <cellStyle name="Normal 3 3 6 3 2 2 4" xfId="27794"/>
    <cellStyle name="Normal 3 3 6 3 2 3" xfId="27795"/>
    <cellStyle name="Normal 3 3 6 3 2 3 2" xfId="27796"/>
    <cellStyle name="Normal 3 3 6 3 2 4" xfId="27797"/>
    <cellStyle name="Normal 3 3 6 3 2 4 2" xfId="27798"/>
    <cellStyle name="Normal 3 3 6 3 2 5" xfId="27799"/>
    <cellStyle name="Normal 3 3 6 3 2 6" xfId="27800"/>
    <cellStyle name="Normal 3 3 6 3 3" xfId="27801"/>
    <cellStyle name="Normal 3 3 6 3 3 2" xfId="27802"/>
    <cellStyle name="Normal 3 3 6 3 3 2 2" xfId="27803"/>
    <cellStyle name="Normal 3 3 6 3 3 2 3" xfId="27804"/>
    <cellStyle name="Normal 3 3 6 3 3 3" xfId="27805"/>
    <cellStyle name="Normal 3 3 6 3 3 3 2" xfId="27806"/>
    <cellStyle name="Normal 3 3 6 3 3 4" xfId="27807"/>
    <cellStyle name="Normal 3 3 6 3 3 5" xfId="27808"/>
    <cellStyle name="Normal 3 3 6 3 4" xfId="27809"/>
    <cellStyle name="Normal 3 3 6 3 4 2" xfId="27810"/>
    <cellStyle name="Normal 3 3 6 3 4 2 2" xfId="27811"/>
    <cellStyle name="Normal 3 3 6 3 4 3" xfId="27812"/>
    <cellStyle name="Normal 3 3 6 3 4 4" xfId="27813"/>
    <cellStyle name="Normal 3 3 6 3 5" xfId="27814"/>
    <cellStyle name="Normal 3 3 6 3 5 2" xfId="27815"/>
    <cellStyle name="Normal 3 3 6 3 5 3" xfId="27816"/>
    <cellStyle name="Normal 3 3 6 3 6" xfId="27817"/>
    <cellStyle name="Normal 3 3 6 3 6 2" xfId="27818"/>
    <cellStyle name="Normal 3 3 6 3 6 3" xfId="27819"/>
    <cellStyle name="Normal 3 3 6 3 7" xfId="27820"/>
    <cellStyle name="Normal 3 3 6 3 8" xfId="27821"/>
    <cellStyle name="Normal 3 3 6 4" xfId="27822"/>
    <cellStyle name="Normal 3 3 6 4 2" xfId="27823"/>
    <cellStyle name="Normal 3 3 6 4 2 2" xfId="27824"/>
    <cellStyle name="Normal 3 3 6 4 2 2 2" xfId="27825"/>
    <cellStyle name="Normal 3 3 6 4 2 2 3" xfId="27826"/>
    <cellStyle name="Normal 3 3 6 4 2 3" xfId="27827"/>
    <cellStyle name="Normal 3 3 6 4 2 3 2" xfId="27828"/>
    <cellStyle name="Normal 3 3 6 4 2 4" xfId="27829"/>
    <cellStyle name="Normal 3 3 6 4 2 5" xfId="27830"/>
    <cellStyle name="Normal 3 3 6 4 3" xfId="27831"/>
    <cellStyle name="Normal 3 3 6 4 3 2" xfId="27832"/>
    <cellStyle name="Normal 3 3 6 4 3 2 2" xfId="27833"/>
    <cellStyle name="Normal 3 3 6 4 3 3" xfId="27834"/>
    <cellStyle name="Normal 3 3 6 4 3 4" xfId="27835"/>
    <cellStyle name="Normal 3 3 6 4 4" xfId="27836"/>
    <cellStyle name="Normal 3 3 6 4 4 2" xfId="27837"/>
    <cellStyle name="Normal 3 3 6 4 4 2 2" xfId="27838"/>
    <cellStyle name="Normal 3 3 6 4 4 3" xfId="27839"/>
    <cellStyle name="Normal 3 3 6 4 5" xfId="27840"/>
    <cellStyle name="Normal 3 3 6 4 5 2" xfId="27841"/>
    <cellStyle name="Normal 3 3 6 4 5 3" xfId="27842"/>
    <cellStyle name="Normal 3 3 6 4 6" xfId="27843"/>
    <cellStyle name="Normal 3 3 6 4 6 2" xfId="27844"/>
    <cellStyle name="Normal 3 3 6 4 7" xfId="27845"/>
    <cellStyle name="Normal 3 3 6 5" xfId="27846"/>
    <cellStyle name="Normal 3 3 6 5 2" xfId="27847"/>
    <cellStyle name="Normal 3 3 6 5 2 2" xfId="27848"/>
    <cellStyle name="Normal 3 3 6 5 2 2 2" xfId="27849"/>
    <cellStyle name="Normal 3 3 6 5 2 3" xfId="27850"/>
    <cellStyle name="Normal 3 3 6 5 3" xfId="27851"/>
    <cellStyle name="Normal 3 3 6 5 3 2" xfId="27852"/>
    <cellStyle name="Normal 3 3 6 5 3 2 2" xfId="27853"/>
    <cellStyle name="Normal 3 3 6 5 3 3" xfId="27854"/>
    <cellStyle name="Normal 3 3 6 5 4" xfId="27855"/>
    <cellStyle name="Normal 3 3 6 5 4 2" xfId="27856"/>
    <cellStyle name="Normal 3 3 6 5 4 3" xfId="27857"/>
    <cellStyle name="Normal 3 3 6 5 5" xfId="27858"/>
    <cellStyle name="Normal 3 3 6 5 6" xfId="27859"/>
    <cellStyle name="Normal 3 3 6 5 7" xfId="27860"/>
    <cellStyle name="Normal 3 3 6 6" xfId="27861"/>
    <cellStyle name="Normal 3 3 6 6 2" xfId="27862"/>
    <cellStyle name="Normal 3 3 6 6 2 2" xfId="27863"/>
    <cellStyle name="Normal 3 3 6 6 2 2 2" xfId="27864"/>
    <cellStyle name="Normal 3 3 6 6 2 3" xfId="27865"/>
    <cellStyle name="Normal 3 3 6 6 3" xfId="27866"/>
    <cellStyle name="Normal 3 3 6 6 3 2" xfId="27867"/>
    <cellStyle name="Normal 3 3 6 6 3 2 2" xfId="27868"/>
    <cellStyle name="Normal 3 3 6 6 3 3" xfId="27869"/>
    <cellStyle name="Normal 3 3 6 6 4" xfId="27870"/>
    <cellStyle name="Normal 3 3 6 6 4 2" xfId="27871"/>
    <cellStyle name="Normal 3 3 6 6 5" xfId="27872"/>
    <cellStyle name="Normal 3 3 6 6 6" xfId="27873"/>
    <cellStyle name="Normal 3 3 6 7" xfId="27874"/>
    <cellStyle name="Normal 3 3 6 7 2" xfId="27875"/>
    <cellStyle name="Normal 3 3 6 7 2 2" xfId="27876"/>
    <cellStyle name="Normal 3 3 6 7 3" xfId="27877"/>
    <cellStyle name="Normal 3 3 6 7 4" xfId="27878"/>
    <cellStyle name="Normal 3 3 6 8" xfId="27879"/>
    <cellStyle name="Normal 3 3 6 8 2" xfId="27880"/>
    <cellStyle name="Normal 3 3 6 8 2 2" xfId="27881"/>
    <cellStyle name="Normal 3 3 6 8 3" xfId="27882"/>
    <cellStyle name="Normal 3 3 6 9" xfId="27883"/>
    <cellStyle name="Normal 3 3 6 9 2" xfId="27884"/>
    <cellStyle name="Normal 3 3 6 9 2 2" xfId="27885"/>
    <cellStyle name="Normal 3 3 6 9 3" xfId="27886"/>
    <cellStyle name="Normal 3 3 7" xfId="27887"/>
    <cellStyle name="Normal 3 3 7 10" xfId="27888"/>
    <cellStyle name="Normal 3 3 7 11" xfId="27889"/>
    <cellStyle name="Normal 3 3 7 2" xfId="27890"/>
    <cellStyle name="Normal 3 3 7 2 2" xfId="27891"/>
    <cellStyle name="Normal 3 3 7 2 2 2" xfId="27892"/>
    <cellStyle name="Normal 3 3 7 2 2 2 2" xfId="27893"/>
    <cellStyle name="Normal 3 3 7 2 2 2 3" xfId="27894"/>
    <cellStyle name="Normal 3 3 7 2 2 2 4" xfId="27895"/>
    <cellStyle name="Normal 3 3 7 2 2 3" xfId="27896"/>
    <cellStyle name="Normal 3 3 7 2 2 3 2" xfId="27897"/>
    <cellStyle name="Normal 3 3 7 2 2 4" xfId="27898"/>
    <cellStyle name="Normal 3 3 7 2 2 4 2" xfId="27899"/>
    <cellStyle name="Normal 3 3 7 2 2 5" xfId="27900"/>
    <cellStyle name="Normal 3 3 7 2 2 6" xfId="27901"/>
    <cellStyle name="Normal 3 3 7 2 3" xfId="27902"/>
    <cellStyle name="Normal 3 3 7 2 3 2" xfId="27903"/>
    <cellStyle name="Normal 3 3 7 2 3 2 2" xfId="27904"/>
    <cellStyle name="Normal 3 3 7 2 3 2 3" xfId="27905"/>
    <cellStyle name="Normal 3 3 7 2 3 3" xfId="27906"/>
    <cellStyle name="Normal 3 3 7 2 3 3 2" xfId="27907"/>
    <cellStyle name="Normal 3 3 7 2 3 4" xfId="27908"/>
    <cellStyle name="Normal 3 3 7 2 3 5" xfId="27909"/>
    <cellStyle name="Normal 3 3 7 2 4" xfId="27910"/>
    <cellStyle name="Normal 3 3 7 2 4 2" xfId="27911"/>
    <cellStyle name="Normal 3 3 7 2 4 2 2" xfId="27912"/>
    <cellStyle name="Normal 3 3 7 2 4 3" xfId="27913"/>
    <cellStyle name="Normal 3 3 7 2 4 4" xfId="27914"/>
    <cellStyle name="Normal 3 3 7 2 5" xfId="27915"/>
    <cellStyle name="Normal 3 3 7 2 5 2" xfId="27916"/>
    <cellStyle name="Normal 3 3 7 2 5 3" xfId="27917"/>
    <cellStyle name="Normal 3 3 7 2 6" xfId="27918"/>
    <cellStyle name="Normal 3 3 7 2 6 2" xfId="27919"/>
    <cellStyle name="Normal 3 3 7 2 6 3" xfId="27920"/>
    <cellStyle name="Normal 3 3 7 2 7" xfId="27921"/>
    <cellStyle name="Normal 3 3 7 2 8" xfId="27922"/>
    <cellStyle name="Normal 3 3 7 3" xfId="27923"/>
    <cellStyle name="Normal 3 3 7 3 2" xfId="27924"/>
    <cellStyle name="Normal 3 3 7 3 2 2" xfId="27925"/>
    <cellStyle name="Normal 3 3 7 3 2 2 2" xfId="27926"/>
    <cellStyle name="Normal 3 3 7 3 2 3" xfId="27927"/>
    <cellStyle name="Normal 3 3 7 3 2 4" xfId="27928"/>
    <cellStyle name="Normal 3 3 7 3 3" xfId="27929"/>
    <cellStyle name="Normal 3 3 7 3 3 2" xfId="27930"/>
    <cellStyle name="Normal 3 3 7 3 3 2 2" xfId="27931"/>
    <cellStyle name="Normal 3 3 7 3 3 3" xfId="27932"/>
    <cellStyle name="Normal 3 3 7 3 4" xfId="27933"/>
    <cellStyle name="Normal 3 3 7 3 4 2" xfId="27934"/>
    <cellStyle name="Normal 3 3 7 3 4 2 2" xfId="27935"/>
    <cellStyle name="Normal 3 3 7 3 4 3" xfId="27936"/>
    <cellStyle name="Normal 3 3 7 3 5" xfId="27937"/>
    <cellStyle name="Normal 3 3 7 3 5 2" xfId="27938"/>
    <cellStyle name="Normal 3 3 7 3 6" xfId="27939"/>
    <cellStyle name="Normal 3 3 7 3 7" xfId="27940"/>
    <cellStyle name="Normal 3 3 7 4" xfId="27941"/>
    <cellStyle name="Normal 3 3 7 4 2" xfId="27942"/>
    <cellStyle name="Normal 3 3 7 4 2 2" xfId="27943"/>
    <cellStyle name="Normal 3 3 7 4 2 2 2" xfId="27944"/>
    <cellStyle name="Normal 3 3 7 4 2 3" xfId="27945"/>
    <cellStyle name="Normal 3 3 7 4 3" xfId="27946"/>
    <cellStyle name="Normal 3 3 7 4 3 2" xfId="27947"/>
    <cellStyle name="Normal 3 3 7 4 3 2 2" xfId="27948"/>
    <cellStyle name="Normal 3 3 7 4 3 3" xfId="27949"/>
    <cellStyle name="Normal 3 3 7 4 4" xfId="27950"/>
    <cellStyle name="Normal 3 3 7 4 4 2" xfId="27951"/>
    <cellStyle name="Normal 3 3 7 4 4 3" xfId="27952"/>
    <cellStyle name="Normal 3 3 7 4 5" xfId="27953"/>
    <cellStyle name="Normal 3 3 7 4 6" xfId="27954"/>
    <cellStyle name="Normal 3 3 7 4 7" xfId="27955"/>
    <cellStyle name="Normal 3 3 7 5" xfId="27956"/>
    <cellStyle name="Normal 3 3 7 5 2" xfId="27957"/>
    <cellStyle name="Normal 3 3 7 5 2 2" xfId="27958"/>
    <cellStyle name="Normal 3 3 7 5 2 3" xfId="27959"/>
    <cellStyle name="Normal 3 3 7 5 3" xfId="27960"/>
    <cellStyle name="Normal 3 3 7 5 3 2" xfId="27961"/>
    <cellStyle name="Normal 3 3 7 5 3 3" xfId="27962"/>
    <cellStyle name="Normal 3 3 7 5 4" xfId="27963"/>
    <cellStyle name="Normal 3 3 7 5 5" xfId="27964"/>
    <cellStyle name="Normal 3 3 7 5 6" xfId="27965"/>
    <cellStyle name="Normal 3 3 7 6" xfId="27966"/>
    <cellStyle name="Normal 3 3 7 6 2" xfId="27967"/>
    <cellStyle name="Normal 3 3 7 6 2 2" xfId="27968"/>
    <cellStyle name="Normal 3 3 7 6 3" xfId="27969"/>
    <cellStyle name="Normal 3 3 7 7" xfId="27970"/>
    <cellStyle name="Normal 3 3 7 7 2" xfId="27971"/>
    <cellStyle name="Normal 3 3 7 7 2 2" xfId="27972"/>
    <cellStyle name="Normal 3 3 7 7 3" xfId="27973"/>
    <cellStyle name="Normal 3 3 7 8" xfId="27974"/>
    <cellStyle name="Normal 3 3 7 8 2" xfId="27975"/>
    <cellStyle name="Normal 3 3 7 8 3" xfId="27976"/>
    <cellStyle name="Normal 3 3 7 9" xfId="27977"/>
    <cellStyle name="Normal 3 3 8" xfId="27978"/>
    <cellStyle name="Normal 3 3 8 10" xfId="27979"/>
    <cellStyle name="Normal 3 3 8 11" xfId="27980"/>
    <cellStyle name="Normal 3 3 8 2" xfId="27981"/>
    <cellStyle name="Normal 3 3 8 2 2" xfId="27982"/>
    <cellStyle name="Normal 3 3 8 2 2 2" xfId="27983"/>
    <cellStyle name="Normal 3 3 8 2 2 2 2" xfId="27984"/>
    <cellStyle name="Normal 3 3 8 2 2 3" xfId="27985"/>
    <cellStyle name="Normal 3 3 8 2 2 4" xfId="27986"/>
    <cellStyle name="Normal 3 3 8 2 3" xfId="27987"/>
    <cellStyle name="Normal 3 3 8 2 3 2" xfId="27988"/>
    <cellStyle name="Normal 3 3 8 2 3 2 2" xfId="27989"/>
    <cellStyle name="Normal 3 3 8 2 3 3" xfId="27990"/>
    <cellStyle name="Normal 3 3 8 2 4" xfId="27991"/>
    <cellStyle name="Normal 3 3 8 2 4 2" xfId="27992"/>
    <cellStyle name="Normal 3 3 8 2 4 2 2" xfId="27993"/>
    <cellStyle name="Normal 3 3 8 2 4 3" xfId="27994"/>
    <cellStyle name="Normal 3 3 8 2 5" xfId="27995"/>
    <cellStyle name="Normal 3 3 8 2 5 2" xfId="27996"/>
    <cellStyle name="Normal 3 3 8 2 6" xfId="27997"/>
    <cellStyle name="Normal 3 3 8 2 7" xfId="27998"/>
    <cellStyle name="Normal 3 3 8 3" xfId="27999"/>
    <cellStyle name="Normal 3 3 8 3 2" xfId="28000"/>
    <cellStyle name="Normal 3 3 8 3 2 2" xfId="28001"/>
    <cellStyle name="Normal 3 3 8 3 2 2 2" xfId="28002"/>
    <cellStyle name="Normal 3 3 8 3 2 3" xfId="28003"/>
    <cellStyle name="Normal 3 3 8 3 3" xfId="28004"/>
    <cellStyle name="Normal 3 3 8 3 3 2" xfId="28005"/>
    <cellStyle name="Normal 3 3 8 3 3 2 2" xfId="28006"/>
    <cellStyle name="Normal 3 3 8 3 3 3" xfId="28007"/>
    <cellStyle name="Normal 3 3 8 3 4" xfId="28008"/>
    <cellStyle name="Normal 3 3 8 3 4 2" xfId="28009"/>
    <cellStyle name="Normal 3 3 8 3 4 3" xfId="28010"/>
    <cellStyle name="Normal 3 3 8 3 5" xfId="28011"/>
    <cellStyle name="Normal 3 3 8 3 6" xfId="28012"/>
    <cellStyle name="Normal 3 3 8 3 7" xfId="28013"/>
    <cellStyle name="Normal 3 3 8 4" xfId="28014"/>
    <cellStyle name="Normal 3 3 8 4 2" xfId="28015"/>
    <cellStyle name="Normal 3 3 8 4 2 2" xfId="28016"/>
    <cellStyle name="Normal 3 3 8 4 2 3" xfId="28017"/>
    <cellStyle name="Normal 3 3 8 4 3" xfId="28018"/>
    <cellStyle name="Normal 3 3 8 4 3 2" xfId="28019"/>
    <cellStyle name="Normal 3 3 8 4 3 3" xfId="28020"/>
    <cellStyle name="Normal 3 3 8 4 4" xfId="28021"/>
    <cellStyle name="Normal 3 3 8 4 4 2" xfId="28022"/>
    <cellStyle name="Normal 3 3 8 4 5" xfId="28023"/>
    <cellStyle name="Normal 3 3 8 4 6" xfId="28024"/>
    <cellStyle name="Normal 3 3 8 4 7" xfId="28025"/>
    <cellStyle name="Normal 3 3 8 5" xfId="28026"/>
    <cellStyle name="Normal 3 3 8 5 2" xfId="28027"/>
    <cellStyle name="Normal 3 3 8 5 2 2" xfId="28028"/>
    <cellStyle name="Normal 3 3 8 5 2 3" xfId="28029"/>
    <cellStyle name="Normal 3 3 8 5 3" xfId="28030"/>
    <cellStyle name="Normal 3 3 8 5 3 2" xfId="28031"/>
    <cellStyle name="Normal 3 3 8 5 4" xfId="28032"/>
    <cellStyle name="Normal 3 3 8 5 5" xfId="28033"/>
    <cellStyle name="Normal 3 3 8 5 6" xfId="28034"/>
    <cellStyle name="Normal 3 3 8 6" xfId="28035"/>
    <cellStyle name="Normal 3 3 8 6 2" xfId="28036"/>
    <cellStyle name="Normal 3 3 8 6 2 2" xfId="28037"/>
    <cellStyle name="Normal 3 3 8 6 3" xfId="28038"/>
    <cellStyle name="Normal 3 3 8 7" xfId="28039"/>
    <cellStyle name="Normal 3 3 8 7 2" xfId="28040"/>
    <cellStyle name="Normal 3 3 8 7 3" xfId="28041"/>
    <cellStyle name="Normal 3 3 8 8" xfId="28042"/>
    <cellStyle name="Normal 3 3 8 8 2" xfId="28043"/>
    <cellStyle name="Normal 3 3 8 9" xfId="28044"/>
    <cellStyle name="Normal 3 3 9" xfId="28045"/>
    <cellStyle name="Normal 3 3 9 2" xfId="28046"/>
    <cellStyle name="Normal 3 3 9 2 2" xfId="28047"/>
    <cellStyle name="Normal 3 3 9 2 2 2" xfId="28048"/>
    <cellStyle name="Normal 3 3 9 2 2 3" xfId="28049"/>
    <cellStyle name="Normal 3 3 9 2 2 4" xfId="28050"/>
    <cellStyle name="Normal 3 3 9 2 3" xfId="28051"/>
    <cellStyle name="Normal 3 3 9 2 3 2" xfId="28052"/>
    <cellStyle name="Normal 3 3 9 2 4" xfId="28053"/>
    <cellStyle name="Normal 3 3 9 2 4 2" xfId="28054"/>
    <cellStyle name="Normal 3 3 9 2 5" xfId="28055"/>
    <cellStyle name="Normal 3 3 9 2 6" xfId="28056"/>
    <cellStyle name="Normal 3 3 9 3" xfId="28057"/>
    <cellStyle name="Normal 3 3 9 3 2" xfId="28058"/>
    <cellStyle name="Normal 3 3 9 3 2 2" xfId="28059"/>
    <cellStyle name="Normal 3 3 9 3 2 3" xfId="28060"/>
    <cellStyle name="Normal 3 3 9 3 3" xfId="28061"/>
    <cellStyle name="Normal 3 3 9 3 3 2" xfId="28062"/>
    <cellStyle name="Normal 3 3 9 3 4" xfId="28063"/>
    <cellStyle name="Normal 3 3 9 3 5" xfId="28064"/>
    <cellStyle name="Normal 3 3 9 4" xfId="28065"/>
    <cellStyle name="Normal 3 3 9 4 2" xfId="28066"/>
    <cellStyle name="Normal 3 3 9 4 2 2" xfId="28067"/>
    <cellStyle name="Normal 3 3 9 4 3" xfId="28068"/>
    <cellStyle name="Normal 3 3 9 4 4" xfId="28069"/>
    <cellStyle name="Normal 3 3 9 5" xfId="28070"/>
    <cellStyle name="Normal 3 3 9 5 2" xfId="28071"/>
    <cellStyle name="Normal 3 3 9 5 3" xfId="28072"/>
    <cellStyle name="Normal 3 3 9 6" xfId="28073"/>
    <cellStyle name="Normal 3 3 9 6 2" xfId="28074"/>
    <cellStyle name="Normal 3 3 9 6 3" xfId="28075"/>
    <cellStyle name="Normal 3 3 9 7" xfId="28076"/>
    <cellStyle name="Normal 3 3 9 8" xfId="28077"/>
    <cellStyle name="Normal 3 4" xfId="28078"/>
    <cellStyle name="Normal 3 4 10" xfId="28079"/>
    <cellStyle name="Normal 3 4 10 2" xfId="28080"/>
    <cellStyle name="Normal 3 4 10 2 2" xfId="28081"/>
    <cellStyle name="Normal 3 4 10 3" xfId="28082"/>
    <cellStyle name="Normal 3 4 10 3 2" xfId="28083"/>
    <cellStyle name="Normal 3 4 10 4" xfId="28084"/>
    <cellStyle name="Normal 3 4 11" xfId="28085"/>
    <cellStyle name="Normal 3 4 11 2" xfId="28086"/>
    <cellStyle name="Normal 3 4 11 3" xfId="28087"/>
    <cellStyle name="Normal 3 4 12" xfId="28088"/>
    <cellStyle name="Normal 3 4 12 2" xfId="28089"/>
    <cellStyle name="Normal 3 4 13" xfId="28090"/>
    <cellStyle name="Normal 3 4 13 2" xfId="28091"/>
    <cellStyle name="Normal 3 4 14" xfId="28092"/>
    <cellStyle name="Normal 3 4 15" xfId="28093"/>
    <cellStyle name="Normal 3 4 2" xfId="28094"/>
    <cellStyle name="Normal 3 4 2 10" xfId="28095"/>
    <cellStyle name="Normal 3 4 2 10 2" xfId="28096"/>
    <cellStyle name="Normal 3 4 2 11" xfId="28097"/>
    <cellStyle name="Normal 3 4 2 11 2" xfId="28098"/>
    <cellStyle name="Normal 3 4 2 12" xfId="28099"/>
    <cellStyle name="Normal 3 4 2 13" xfId="28100"/>
    <cellStyle name="Normal 3 4 2 2" xfId="28101"/>
    <cellStyle name="Normal 3 4 2 2 10" xfId="28102"/>
    <cellStyle name="Normal 3 4 2 2 2" xfId="28103"/>
    <cellStyle name="Normal 3 4 2 2 2 2" xfId="28104"/>
    <cellStyle name="Normal 3 4 2 2 2 2 2" xfId="28105"/>
    <cellStyle name="Normal 3 4 2 2 2 2 2 2" xfId="28106"/>
    <cellStyle name="Normal 3 4 2 2 2 2 2 3" xfId="28107"/>
    <cellStyle name="Normal 3 4 2 2 2 2 3" xfId="28108"/>
    <cellStyle name="Normal 3 4 2 2 2 2 3 2" xfId="28109"/>
    <cellStyle name="Normal 3 4 2 2 2 2 4" xfId="28110"/>
    <cellStyle name="Normal 3 4 2 2 2 2 4 2" xfId="28111"/>
    <cellStyle name="Normal 3 4 2 2 2 2 5" xfId="28112"/>
    <cellStyle name="Normal 3 4 2 2 2 3" xfId="28113"/>
    <cellStyle name="Normal 3 4 2 2 2 3 2" xfId="28114"/>
    <cellStyle name="Normal 3 4 2 2 2 3 2 2" xfId="28115"/>
    <cellStyle name="Normal 3 4 2 2 2 3 3" xfId="28116"/>
    <cellStyle name="Normal 3 4 2 2 2 3 3 2" xfId="28117"/>
    <cellStyle name="Normal 3 4 2 2 2 3 4" xfId="28118"/>
    <cellStyle name="Normal 3 4 2 2 2 4" xfId="28119"/>
    <cellStyle name="Normal 3 4 2 2 2 4 2" xfId="28120"/>
    <cellStyle name="Normal 3 4 2 2 2 4 3" xfId="28121"/>
    <cellStyle name="Normal 3 4 2 2 2 5" xfId="28122"/>
    <cellStyle name="Normal 3 4 2 2 2 5 2" xfId="28123"/>
    <cellStyle name="Normal 3 4 2 2 2 6" xfId="28124"/>
    <cellStyle name="Normal 3 4 2 2 2 6 2" xfId="28125"/>
    <cellStyle name="Normal 3 4 2 2 2 7" xfId="28126"/>
    <cellStyle name="Normal 3 4 2 2 3" xfId="28127"/>
    <cellStyle name="Normal 3 4 2 2 3 2" xfId="28128"/>
    <cellStyle name="Normal 3 4 2 2 3 2 2" xfId="28129"/>
    <cellStyle name="Normal 3 4 2 2 3 2 2 2" xfId="28130"/>
    <cellStyle name="Normal 3 4 2 2 3 2 2 3" xfId="28131"/>
    <cellStyle name="Normal 3 4 2 2 3 2 3" xfId="28132"/>
    <cellStyle name="Normal 3 4 2 2 3 2 3 2" xfId="28133"/>
    <cellStyle name="Normal 3 4 2 2 3 2 4" xfId="28134"/>
    <cellStyle name="Normal 3 4 2 2 3 2 4 2" xfId="28135"/>
    <cellStyle name="Normal 3 4 2 2 3 2 5" xfId="28136"/>
    <cellStyle name="Normal 3 4 2 2 3 3" xfId="28137"/>
    <cellStyle name="Normal 3 4 2 2 3 3 2" xfId="28138"/>
    <cellStyle name="Normal 3 4 2 2 3 3 2 2" xfId="28139"/>
    <cellStyle name="Normal 3 4 2 2 3 3 3" xfId="28140"/>
    <cellStyle name="Normal 3 4 2 2 3 3 3 2" xfId="28141"/>
    <cellStyle name="Normal 3 4 2 2 3 3 4" xfId="28142"/>
    <cellStyle name="Normal 3 4 2 2 3 4" xfId="28143"/>
    <cellStyle name="Normal 3 4 2 2 3 4 2" xfId="28144"/>
    <cellStyle name="Normal 3 4 2 2 3 4 3" xfId="28145"/>
    <cellStyle name="Normal 3 4 2 2 3 5" xfId="28146"/>
    <cellStyle name="Normal 3 4 2 2 3 5 2" xfId="28147"/>
    <cellStyle name="Normal 3 4 2 2 3 6" xfId="28148"/>
    <cellStyle name="Normal 3 4 2 2 3 6 2" xfId="28149"/>
    <cellStyle name="Normal 3 4 2 2 3 7" xfId="28150"/>
    <cellStyle name="Normal 3 4 2 2 4" xfId="28151"/>
    <cellStyle name="Normal 3 4 2 2 4 2" xfId="28152"/>
    <cellStyle name="Normal 3 4 2 2 4 2 2" xfId="28153"/>
    <cellStyle name="Normal 3 4 2 2 4 2 2 2" xfId="28154"/>
    <cellStyle name="Normal 3 4 2 2 4 2 3" xfId="28155"/>
    <cellStyle name="Normal 3 4 2 2 4 2 3 2" xfId="28156"/>
    <cellStyle name="Normal 3 4 2 2 4 2 4" xfId="28157"/>
    <cellStyle name="Normal 3 4 2 2 4 3" xfId="28158"/>
    <cellStyle name="Normal 3 4 2 2 4 3 2" xfId="28159"/>
    <cellStyle name="Normal 3 4 2 2 4 3 3" xfId="28160"/>
    <cellStyle name="Normal 3 4 2 2 4 4" xfId="28161"/>
    <cellStyle name="Normal 3 4 2 2 4 4 2" xfId="28162"/>
    <cellStyle name="Normal 3 4 2 2 4 5" xfId="28163"/>
    <cellStyle name="Normal 3 4 2 2 4 5 2" xfId="28164"/>
    <cellStyle name="Normal 3 4 2 2 4 6" xfId="28165"/>
    <cellStyle name="Normal 3 4 2 2 5" xfId="28166"/>
    <cellStyle name="Normal 3 4 2 2 5 2" xfId="28167"/>
    <cellStyle name="Normal 3 4 2 2 5 2 2" xfId="28168"/>
    <cellStyle name="Normal 3 4 2 2 5 3" xfId="28169"/>
    <cellStyle name="Normal 3 4 2 2 5 3 2" xfId="28170"/>
    <cellStyle name="Normal 3 4 2 2 5 4" xfId="28171"/>
    <cellStyle name="Normal 3 4 2 2 6" xfId="28172"/>
    <cellStyle name="Normal 3 4 2 2 6 2" xfId="28173"/>
    <cellStyle name="Normal 3 4 2 2 6 2 2" xfId="28174"/>
    <cellStyle name="Normal 3 4 2 2 6 3" xfId="28175"/>
    <cellStyle name="Normal 3 4 2 2 6 3 2" xfId="28176"/>
    <cellStyle name="Normal 3 4 2 2 6 4" xfId="28177"/>
    <cellStyle name="Normal 3 4 2 2 7" xfId="28178"/>
    <cellStyle name="Normal 3 4 2 2 7 2" xfId="28179"/>
    <cellStyle name="Normal 3 4 2 2 7 3" xfId="28180"/>
    <cellStyle name="Normal 3 4 2 2 8" xfId="28181"/>
    <cellStyle name="Normal 3 4 2 2 8 2" xfId="28182"/>
    <cellStyle name="Normal 3 4 2 2 9" xfId="28183"/>
    <cellStyle name="Normal 3 4 2 2 9 2" xfId="28184"/>
    <cellStyle name="Normal 3 4 2 3" xfId="28185"/>
    <cellStyle name="Normal 3 4 2 3 2" xfId="28186"/>
    <cellStyle name="Normal 3 4 2 3 2 2" xfId="28187"/>
    <cellStyle name="Normal 3 4 2 3 2 2 2" xfId="28188"/>
    <cellStyle name="Normal 3 4 2 3 2 2 2 2" xfId="28189"/>
    <cellStyle name="Normal 3 4 2 3 2 2 2 3" xfId="28190"/>
    <cellStyle name="Normal 3 4 2 3 2 2 3" xfId="28191"/>
    <cellStyle name="Normal 3 4 2 3 2 2 3 2" xfId="28192"/>
    <cellStyle name="Normal 3 4 2 3 2 2 4" xfId="28193"/>
    <cellStyle name="Normal 3 4 2 3 2 2 4 2" xfId="28194"/>
    <cellStyle name="Normal 3 4 2 3 2 2 5" xfId="28195"/>
    <cellStyle name="Normal 3 4 2 3 2 3" xfId="28196"/>
    <cellStyle name="Normal 3 4 2 3 2 3 2" xfId="28197"/>
    <cellStyle name="Normal 3 4 2 3 2 3 2 2" xfId="28198"/>
    <cellStyle name="Normal 3 4 2 3 2 3 3" xfId="28199"/>
    <cellStyle name="Normal 3 4 2 3 2 3 3 2" xfId="28200"/>
    <cellStyle name="Normal 3 4 2 3 2 3 4" xfId="28201"/>
    <cellStyle name="Normal 3 4 2 3 2 4" xfId="28202"/>
    <cellStyle name="Normal 3 4 2 3 2 4 2" xfId="28203"/>
    <cellStyle name="Normal 3 4 2 3 2 4 3" xfId="28204"/>
    <cellStyle name="Normal 3 4 2 3 2 5" xfId="28205"/>
    <cellStyle name="Normal 3 4 2 3 2 5 2" xfId="28206"/>
    <cellStyle name="Normal 3 4 2 3 2 6" xfId="28207"/>
    <cellStyle name="Normal 3 4 2 3 2 6 2" xfId="28208"/>
    <cellStyle name="Normal 3 4 2 3 2 7" xfId="28209"/>
    <cellStyle name="Normal 3 4 2 3 3" xfId="28210"/>
    <cellStyle name="Normal 3 4 2 3 3 2" xfId="28211"/>
    <cellStyle name="Normal 3 4 2 3 3 2 2" xfId="28212"/>
    <cellStyle name="Normal 3 4 2 3 3 2 3" xfId="28213"/>
    <cellStyle name="Normal 3 4 2 3 3 3" xfId="28214"/>
    <cellStyle name="Normal 3 4 2 3 3 3 2" xfId="28215"/>
    <cellStyle name="Normal 3 4 2 3 3 4" xfId="28216"/>
    <cellStyle name="Normal 3 4 2 3 3 4 2" xfId="28217"/>
    <cellStyle name="Normal 3 4 2 3 3 5" xfId="28218"/>
    <cellStyle name="Normal 3 4 2 3 4" xfId="28219"/>
    <cellStyle name="Normal 3 4 2 3 4 2" xfId="28220"/>
    <cellStyle name="Normal 3 4 2 3 4 2 2" xfId="28221"/>
    <cellStyle name="Normal 3 4 2 3 4 3" xfId="28222"/>
    <cellStyle name="Normal 3 4 2 3 4 3 2" xfId="28223"/>
    <cellStyle name="Normal 3 4 2 3 4 4" xfId="28224"/>
    <cellStyle name="Normal 3 4 2 3 5" xfId="28225"/>
    <cellStyle name="Normal 3 4 2 3 5 2" xfId="28226"/>
    <cellStyle name="Normal 3 4 2 3 5 3" xfId="28227"/>
    <cellStyle name="Normal 3 4 2 3 6" xfId="28228"/>
    <cellStyle name="Normal 3 4 2 3 6 2" xfId="28229"/>
    <cellStyle name="Normal 3 4 2 3 7" xfId="28230"/>
    <cellStyle name="Normal 3 4 2 3 7 2" xfId="28231"/>
    <cellStyle name="Normal 3 4 2 3 8" xfId="28232"/>
    <cellStyle name="Normal 3 4 2 4" xfId="28233"/>
    <cellStyle name="Normal 3 4 2 4 2" xfId="28234"/>
    <cellStyle name="Normal 3 4 2 4 2 2" xfId="28235"/>
    <cellStyle name="Normal 3 4 2 4 2 2 2" xfId="28236"/>
    <cellStyle name="Normal 3 4 2 4 2 2 3" xfId="28237"/>
    <cellStyle name="Normal 3 4 2 4 2 3" xfId="28238"/>
    <cellStyle name="Normal 3 4 2 4 2 3 2" xfId="28239"/>
    <cellStyle name="Normal 3 4 2 4 2 4" xfId="28240"/>
    <cellStyle name="Normal 3 4 2 4 2 4 2" xfId="28241"/>
    <cellStyle name="Normal 3 4 2 4 2 5" xfId="28242"/>
    <cellStyle name="Normal 3 4 2 4 3" xfId="28243"/>
    <cellStyle name="Normal 3 4 2 4 3 2" xfId="28244"/>
    <cellStyle name="Normal 3 4 2 4 3 2 2" xfId="28245"/>
    <cellStyle name="Normal 3 4 2 4 3 3" xfId="28246"/>
    <cellStyle name="Normal 3 4 2 4 3 3 2" xfId="28247"/>
    <cellStyle name="Normal 3 4 2 4 3 4" xfId="28248"/>
    <cellStyle name="Normal 3 4 2 4 4" xfId="28249"/>
    <cellStyle name="Normal 3 4 2 4 4 2" xfId="28250"/>
    <cellStyle name="Normal 3 4 2 4 4 3" xfId="28251"/>
    <cellStyle name="Normal 3 4 2 4 5" xfId="28252"/>
    <cellStyle name="Normal 3 4 2 4 5 2" xfId="28253"/>
    <cellStyle name="Normal 3 4 2 4 6" xfId="28254"/>
    <cellStyle name="Normal 3 4 2 4 6 2" xfId="28255"/>
    <cellStyle name="Normal 3 4 2 4 7" xfId="28256"/>
    <cellStyle name="Normal 3 4 2 5" xfId="28257"/>
    <cellStyle name="Normal 3 4 2 5 2" xfId="28258"/>
    <cellStyle name="Normal 3 4 2 5 2 2" xfId="28259"/>
    <cellStyle name="Normal 3 4 2 5 2 2 2" xfId="28260"/>
    <cellStyle name="Normal 3 4 2 5 2 2 3" xfId="28261"/>
    <cellStyle name="Normal 3 4 2 5 2 3" xfId="28262"/>
    <cellStyle name="Normal 3 4 2 5 2 3 2" xfId="28263"/>
    <cellStyle name="Normal 3 4 2 5 2 4" xfId="28264"/>
    <cellStyle name="Normal 3 4 2 5 2 4 2" xfId="28265"/>
    <cellStyle name="Normal 3 4 2 5 2 5" xfId="28266"/>
    <cellStyle name="Normal 3 4 2 5 3" xfId="28267"/>
    <cellStyle name="Normal 3 4 2 5 3 2" xfId="28268"/>
    <cellStyle name="Normal 3 4 2 5 3 2 2" xfId="28269"/>
    <cellStyle name="Normal 3 4 2 5 3 3" xfId="28270"/>
    <cellStyle name="Normal 3 4 2 5 3 3 2" xfId="28271"/>
    <cellStyle name="Normal 3 4 2 5 3 4" xfId="28272"/>
    <cellStyle name="Normal 3 4 2 5 4" xfId="28273"/>
    <cellStyle name="Normal 3 4 2 5 4 2" xfId="28274"/>
    <cellStyle name="Normal 3 4 2 5 4 3" xfId="28275"/>
    <cellStyle name="Normal 3 4 2 5 5" xfId="28276"/>
    <cellStyle name="Normal 3 4 2 5 5 2" xfId="28277"/>
    <cellStyle name="Normal 3 4 2 5 6" xfId="28278"/>
    <cellStyle name="Normal 3 4 2 5 6 2" xfId="28279"/>
    <cellStyle name="Normal 3 4 2 5 7" xfId="28280"/>
    <cellStyle name="Normal 3 4 2 6" xfId="28281"/>
    <cellStyle name="Normal 3 4 2 6 2" xfId="28282"/>
    <cellStyle name="Normal 3 4 2 6 2 2" xfId="28283"/>
    <cellStyle name="Normal 3 4 2 6 2 2 2" xfId="28284"/>
    <cellStyle name="Normal 3 4 2 6 2 3" xfId="28285"/>
    <cellStyle name="Normal 3 4 2 6 2 3 2" xfId="28286"/>
    <cellStyle name="Normal 3 4 2 6 2 4" xfId="28287"/>
    <cellStyle name="Normal 3 4 2 6 3" xfId="28288"/>
    <cellStyle name="Normal 3 4 2 6 3 2" xfId="28289"/>
    <cellStyle name="Normal 3 4 2 6 3 3" xfId="28290"/>
    <cellStyle name="Normal 3 4 2 6 4" xfId="28291"/>
    <cellStyle name="Normal 3 4 2 6 4 2" xfId="28292"/>
    <cellStyle name="Normal 3 4 2 6 5" xfId="28293"/>
    <cellStyle name="Normal 3 4 2 6 5 2" xfId="28294"/>
    <cellStyle name="Normal 3 4 2 6 6" xfId="28295"/>
    <cellStyle name="Normal 3 4 2 7" xfId="28296"/>
    <cellStyle name="Normal 3 4 2 7 2" xfId="28297"/>
    <cellStyle name="Normal 3 4 2 7 2 2" xfId="28298"/>
    <cellStyle name="Normal 3 4 2 7 3" xfId="28299"/>
    <cellStyle name="Normal 3 4 2 7 3 2" xfId="28300"/>
    <cellStyle name="Normal 3 4 2 7 4" xfId="28301"/>
    <cellStyle name="Normal 3 4 2 8" xfId="28302"/>
    <cellStyle name="Normal 3 4 2 8 2" xfId="28303"/>
    <cellStyle name="Normal 3 4 2 8 2 2" xfId="28304"/>
    <cellStyle name="Normal 3 4 2 8 3" xfId="28305"/>
    <cellStyle name="Normal 3 4 2 8 3 2" xfId="28306"/>
    <cellStyle name="Normal 3 4 2 8 4" xfId="28307"/>
    <cellStyle name="Normal 3 4 2 9" xfId="28308"/>
    <cellStyle name="Normal 3 4 2 9 2" xfId="28309"/>
    <cellStyle name="Normal 3 4 2 9 3" xfId="28310"/>
    <cellStyle name="Normal 3 4 3" xfId="28311"/>
    <cellStyle name="Normal 3 4 3 10" xfId="28312"/>
    <cellStyle name="Normal 3 4 3 10 2" xfId="28313"/>
    <cellStyle name="Normal 3 4 3 11" xfId="28314"/>
    <cellStyle name="Normal 3 4 3 2" xfId="28315"/>
    <cellStyle name="Normal 3 4 3 2 2" xfId="28316"/>
    <cellStyle name="Normal 3 4 3 2 2 2" xfId="28317"/>
    <cellStyle name="Normal 3 4 3 2 2 2 2" xfId="28318"/>
    <cellStyle name="Normal 3 4 3 2 2 2 2 2" xfId="28319"/>
    <cellStyle name="Normal 3 4 3 2 2 2 2 3" xfId="28320"/>
    <cellStyle name="Normal 3 4 3 2 2 2 3" xfId="28321"/>
    <cellStyle name="Normal 3 4 3 2 2 2 3 2" xfId="28322"/>
    <cellStyle name="Normal 3 4 3 2 2 2 4" xfId="28323"/>
    <cellStyle name="Normal 3 4 3 2 2 2 4 2" xfId="28324"/>
    <cellStyle name="Normal 3 4 3 2 2 2 5" xfId="28325"/>
    <cellStyle name="Normal 3 4 3 2 2 3" xfId="28326"/>
    <cellStyle name="Normal 3 4 3 2 2 3 2" xfId="28327"/>
    <cellStyle name="Normal 3 4 3 2 2 3 2 2" xfId="28328"/>
    <cellStyle name="Normal 3 4 3 2 2 3 3" xfId="28329"/>
    <cellStyle name="Normal 3 4 3 2 2 3 3 2" xfId="28330"/>
    <cellStyle name="Normal 3 4 3 2 2 3 4" xfId="28331"/>
    <cellStyle name="Normal 3 4 3 2 2 4" xfId="28332"/>
    <cellStyle name="Normal 3 4 3 2 2 4 2" xfId="28333"/>
    <cellStyle name="Normal 3 4 3 2 2 4 3" xfId="28334"/>
    <cellStyle name="Normal 3 4 3 2 2 5" xfId="28335"/>
    <cellStyle name="Normal 3 4 3 2 2 5 2" xfId="28336"/>
    <cellStyle name="Normal 3 4 3 2 2 6" xfId="28337"/>
    <cellStyle name="Normal 3 4 3 2 2 6 2" xfId="28338"/>
    <cellStyle name="Normal 3 4 3 2 2 7" xfId="28339"/>
    <cellStyle name="Normal 3 4 3 2 3" xfId="28340"/>
    <cellStyle name="Normal 3 4 3 2 3 2" xfId="28341"/>
    <cellStyle name="Normal 3 4 3 2 3 2 2" xfId="28342"/>
    <cellStyle name="Normal 3 4 3 2 3 2 3" xfId="28343"/>
    <cellStyle name="Normal 3 4 3 2 3 3" xfId="28344"/>
    <cellStyle name="Normal 3 4 3 2 3 3 2" xfId="28345"/>
    <cellStyle name="Normal 3 4 3 2 3 4" xfId="28346"/>
    <cellStyle name="Normal 3 4 3 2 3 4 2" xfId="28347"/>
    <cellStyle name="Normal 3 4 3 2 3 5" xfId="28348"/>
    <cellStyle name="Normal 3 4 3 2 4" xfId="28349"/>
    <cellStyle name="Normal 3 4 3 2 4 2" xfId="28350"/>
    <cellStyle name="Normal 3 4 3 2 4 2 2" xfId="28351"/>
    <cellStyle name="Normal 3 4 3 2 4 3" xfId="28352"/>
    <cellStyle name="Normal 3 4 3 2 4 3 2" xfId="28353"/>
    <cellStyle name="Normal 3 4 3 2 4 4" xfId="28354"/>
    <cellStyle name="Normal 3 4 3 2 5" xfId="28355"/>
    <cellStyle name="Normal 3 4 3 2 5 2" xfId="28356"/>
    <cellStyle name="Normal 3 4 3 2 5 3" xfId="28357"/>
    <cellStyle name="Normal 3 4 3 2 6" xfId="28358"/>
    <cellStyle name="Normal 3 4 3 2 6 2" xfId="28359"/>
    <cellStyle name="Normal 3 4 3 2 7" xfId="28360"/>
    <cellStyle name="Normal 3 4 3 2 7 2" xfId="28361"/>
    <cellStyle name="Normal 3 4 3 2 8" xfId="28362"/>
    <cellStyle name="Normal 3 4 3 3" xfId="28363"/>
    <cellStyle name="Normal 3 4 3 3 2" xfId="28364"/>
    <cellStyle name="Normal 3 4 3 3 2 2" xfId="28365"/>
    <cellStyle name="Normal 3 4 3 3 2 2 2" xfId="28366"/>
    <cellStyle name="Normal 3 4 3 3 2 2 3" xfId="28367"/>
    <cellStyle name="Normal 3 4 3 3 2 3" xfId="28368"/>
    <cellStyle name="Normal 3 4 3 3 2 3 2" xfId="28369"/>
    <cellStyle name="Normal 3 4 3 3 2 4" xfId="28370"/>
    <cellStyle name="Normal 3 4 3 3 2 4 2" xfId="28371"/>
    <cellStyle name="Normal 3 4 3 3 2 5" xfId="28372"/>
    <cellStyle name="Normal 3 4 3 3 3" xfId="28373"/>
    <cellStyle name="Normal 3 4 3 3 3 2" xfId="28374"/>
    <cellStyle name="Normal 3 4 3 3 3 2 2" xfId="28375"/>
    <cellStyle name="Normal 3 4 3 3 3 3" xfId="28376"/>
    <cellStyle name="Normal 3 4 3 3 3 3 2" xfId="28377"/>
    <cellStyle name="Normal 3 4 3 3 3 4" xfId="28378"/>
    <cellStyle name="Normal 3 4 3 3 4" xfId="28379"/>
    <cellStyle name="Normal 3 4 3 3 4 2" xfId="28380"/>
    <cellStyle name="Normal 3 4 3 3 4 3" xfId="28381"/>
    <cellStyle name="Normal 3 4 3 3 5" xfId="28382"/>
    <cellStyle name="Normal 3 4 3 3 5 2" xfId="28383"/>
    <cellStyle name="Normal 3 4 3 3 6" xfId="28384"/>
    <cellStyle name="Normal 3 4 3 3 6 2" xfId="28385"/>
    <cellStyle name="Normal 3 4 3 3 7" xfId="28386"/>
    <cellStyle name="Normal 3 4 3 4" xfId="28387"/>
    <cellStyle name="Normal 3 4 3 4 2" xfId="28388"/>
    <cellStyle name="Normal 3 4 3 4 2 2" xfId="28389"/>
    <cellStyle name="Normal 3 4 3 4 2 2 2" xfId="28390"/>
    <cellStyle name="Normal 3 4 3 4 2 2 3" xfId="28391"/>
    <cellStyle name="Normal 3 4 3 4 2 3" xfId="28392"/>
    <cellStyle name="Normal 3 4 3 4 2 3 2" xfId="28393"/>
    <cellStyle name="Normal 3 4 3 4 2 4" xfId="28394"/>
    <cellStyle name="Normal 3 4 3 4 2 4 2" xfId="28395"/>
    <cellStyle name="Normal 3 4 3 4 2 5" xfId="28396"/>
    <cellStyle name="Normal 3 4 3 4 3" xfId="28397"/>
    <cellStyle name="Normal 3 4 3 4 3 2" xfId="28398"/>
    <cellStyle name="Normal 3 4 3 4 3 2 2" xfId="28399"/>
    <cellStyle name="Normal 3 4 3 4 3 3" xfId="28400"/>
    <cellStyle name="Normal 3 4 3 4 3 3 2" xfId="28401"/>
    <cellStyle name="Normal 3 4 3 4 3 4" xfId="28402"/>
    <cellStyle name="Normal 3 4 3 4 4" xfId="28403"/>
    <cellStyle name="Normal 3 4 3 4 4 2" xfId="28404"/>
    <cellStyle name="Normal 3 4 3 4 4 3" xfId="28405"/>
    <cellStyle name="Normal 3 4 3 4 5" xfId="28406"/>
    <cellStyle name="Normal 3 4 3 4 5 2" xfId="28407"/>
    <cellStyle name="Normal 3 4 3 4 6" xfId="28408"/>
    <cellStyle name="Normal 3 4 3 4 6 2" xfId="28409"/>
    <cellStyle name="Normal 3 4 3 4 7" xfId="28410"/>
    <cellStyle name="Normal 3 4 3 5" xfId="28411"/>
    <cellStyle name="Normal 3 4 3 5 2" xfId="28412"/>
    <cellStyle name="Normal 3 4 3 5 2 2" xfId="28413"/>
    <cellStyle name="Normal 3 4 3 5 2 2 2" xfId="28414"/>
    <cellStyle name="Normal 3 4 3 5 2 3" xfId="28415"/>
    <cellStyle name="Normal 3 4 3 5 2 3 2" xfId="28416"/>
    <cellStyle name="Normal 3 4 3 5 2 4" xfId="28417"/>
    <cellStyle name="Normal 3 4 3 5 3" xfId="28418"/>
    <cellStyle name="Normal 3 4 3 5 3 2" xfId="28419"/>
    <cellStyle name="Normal 3 4 3 5 3 3" xfId="28420"/>
    <cellStyle name="Normal 3 4 3 5 4" xfId="28421"/>
    <cellStyle name="Normal 3 4 3 5 4 2" xfId="28422"/>
    <cellStyle name="Normal 3 4 3 5 5" xfId="28423"/>
    <cellStyle name="Normal 3 4 3 5 5 2" xfId="28424"/>
    <cellStyle name="Normal 3 4 3 5 6" xfId="28425"/>
    <cellStyle name="Normal 3 4 3 6" xfId="28426"/>
    <cellStyle name="Normal 3 4 3 6 2" xfId="28427"/>
    <cellStyle name="Normal 3 4 3 6 2 2" xfId="28428"/>
    <cellStyle name="Normal 3 4 3 6 3" xfId="28429"/>
    <cellStyle name="Normal 3 4 3 6 3 2" xfId="28430"/>
    <cellStyle name="Normal 3 4 3 6 4" xfId="28431"/>
    <cellStyle name="Normal 3 4 3 7" xfId="28432"/>
    <cellStyle name="Normal 3 4 3 7 2" xfId="28433"/>
    <cellStyle name="Normal 3 4 3 7 2 2" xfId="28434"/>
    <cellStyle name="Normal 3 4 3 7 3" xfId="28435"/>
    <cellStyle name="Normal 3 4 3 7 3 2" xfId="28436"/>
    <cellStyle name="Normal 3 4 3 7 4" xfId="28437"/>
    <cellStyle name="Normal 3 4 3 8" xfId="28438"/>
    <cellStyle name="Normal 3 4 3 8 2" xfId="28439"/>
    <cellStyle name="Normal 3 4 3 8 3" xfId="28440"/>
    <cellStyle name="Normal 3 4 3 9" xfId="28441"/>
    <cellStyle name="Normal 3 4 3 9 2" xfId="28442"/>
    <cellStyle name="Normal 3 4 4" xfId="28443"/>
    <cellStyle name="Normal 3 4 4 10" xfId="28444"/>
    <cellStyle name="Normal 3 4 4 2" xfId="28445"/>
    <cellStyle name="Normal 3 4 4 2 2" xfId="28446"/>
    <cellStyle name="Normal 3 4 4 2 2 2" xfId="28447"/>
    <cellStyle name="Normal 3 4 4 2 2 2 2" xfId="28448"/>
    <cellStyle name="Normal 3 4 4 2 2 2 3" xfId="28449"/>
    <cellStyle name="Normal 3 4 4 2 2 3" xfId="28450"/>
    <cellStyle name="Normal 3 4 4 2 2 3 2" xfId="28451"/>
    <cellStyle name="Normal 3 4 4 2 2 4" xfId="28452"/>
    <cellStyle name="Normal 3 4 4 2 2 4 2" xfId="28453"/>
    <cellStyle name="Normal 3 4 4 2 2 5" xfId="28454"/>
    <cellStyle name="Normal 3 4 4 2 3" xfId="28455"/>
    <cellStyle name="Normal 3 4 4 2 3 2" xfId="28456"/>
    <cellStyle name="Normal 3 4 4 2 3 2 2" xfId="28457"/>
    <cellStyle name="Normal 3 4 4 2 3 3" xfId="28458"/>
    <cellStyle name="Normal 3 4 4 2 3 3 2" xfId="28459"/>
    <cellStyle name="Normal 3 4 4 2 3 4" xfId="28460"/>
    <cellStyle name="Normal 3 4 4 2 4" xfId="28461"/>
    <cellStyle name="Normal 3 4 4 2 4 2" xfId="28462"/>
    <cellStyle name="Normal 3 4 4 2 4 3" xfId="28463"/>
    <cellStyle name="Normal 3 4 4 2 5" xfId="28464"/>
    <cellStyle name="Normal 3 4 4 2 5 2" xfId="28465"/>
    <cellStyle name="Normal 3 4 4 2 6" xfId="28466"/>
    <cellStyle name="Normal 3 4 4 2 6 2" xfId="28467"/>
    <cellStyle name="Normal 3 4 4 2 7" xfId="28468"/>
    <cellStyle name="Normal 3 4 4 3" xfId="28469"/>
    <cellStyle name="Normal 3 4 4 3 2" xfId="28470"/>
    <cellStyle name="Normal 3 4 4 3 2 2" xfId="28471"/>
    <cellStyle name="Normal 3 4 4 3 2 2 2" xfId="28472"/>
    <cellStyle name="Normal 3 4 4 3 2 2 3" xfId="28473"/>
    <cellStyle name="Normal 3 4 4 3 2 3" xfId="28474"/>
    <cellStyle name="Normal 3 4 4 3 2 3 2" xfId="28475"/>
    <cellStyle name="Normal 3 4 4 3 2 4" xfId="28476"/>
    <cellStyle name="Normal 3 4 4 3 2 4 2" xfId="28477"/>
    <cellStyle name="Normal 3 4 4 3 2 5" xfId="28478"/>
    <cellStyle name="Normal 3 4 4 3 3" xfId="28479"/>
    <cellStyle name="Normal 3 4 4 3 3 2" xfId="28480"/>
    <cellStyle name="Normal 3 4 4 3 3 2 2" xfId="28481"/>
    <cellStyle name="Normal 3 4 4 3 3 3" xfId="28482"/>
    <cellStyle name="Normal 3 4 4 3 3 3 2" xfId="28483"/>
    <cellStyle name="Normal 3 4 4 3 3 4" xfId="28484"/>
    <cellStyle name="Normal 3 4 4 3 4" xfId="28485"/>
    <cellStyle name="Normal 3 4 4 3 4 2" xfId="28486"/>
    <cellStyle name="Normal 3 4 4 3 4 3" xfId="28487"/>
    <cellStyle name="Normal 3 4 4 3 5" xfId="28488"/>
    <cellStyle name="Normal 3 4 4 3 5 2" xfId="28489"/>
    <cellStyle name="Normal 3 4 4 3 6" xfId="28490"/>
    <cellStyle name="Normal 3 4 4 3 6 2" xfId="28491"/>
    <cellStyle name="Normal 3 4 4 3 7" xfId="28492"/>
    <cellStyle name="Normal 3 4 4 4" xfId="28493"/>
    <cellStyle name="Normal 3 4 4 4 2" xfId="28494"/>
    <cellStyle name="Normal 3 4 4 4 2 2" xfId="28495"/>
    <cellStyle name="Normal 3 4 4 4 2 2 2" xfId="28496"/>
    <cellStyle name="Normal 3 4 4 4 2 3" xfId="28497"/>
    <cellStyle name="Normal 3 4 4 4 2 3 2" xfId="28498"/>
    <cellStyle name="Normal 3 4 4 4 2 4" xfId="28499"/>
    <cellStyle name="Normal 3 4 4 4 3" xfId="28500"/>
    <cellStyle name="Normal 3 4 4 4 3 2" xfId="28501"/>
    <cellStyle name="Normal 3 4 4 4 3 3" xfId="28502"/>
    <cellStyle name="Normal 3 4 4 4 4" xfId="28503"/>
    <cellStyle name="Normal 3 4 4 4 4 2" xfId="28504"/>
    <cellStyle name="Normal 3 4 4 4 5" xfId="28505"/>
    <cellStyle name="Normal 3 4 4 4 5 2" xfId="28506"/>
    <cellStyle name="Normal 3 4 4 4 6" xfId="28507"/>
    <cellStyle name="Normal 3 4 4 5" xfId="28508"/>
    <cellStyle name="Normal 3 4 4 5 2" xfId="28509"/>
    <cellStyle name="Normal 3 4 4 5 2 2" xfId="28510"/>
    <cellStyle name="Normal 3 4 4 5 3" xfId="28511"/>
    <cellStyle name="Normal 3 4 4 5 3 2" xfId="28512"/>
    <cellStyle name="Normal 3 4 4 5 4" xfId="28513"/>
    <cellStyle name="Normal 3 4 4 6" xfId="28514"/>
    <cellStyle name="Normal 3 4 4 6 2" xfId="28515"/>
    <cellStyle name="Normal 3 4 4 6 2 2" xfId="28516"/>
    <cellStyle name="Normal 3 4 4 6 3" xfId="28517"/>
    <cellStyle name="Normal 3 4 4 6 3 2" xfId="28518"/>
    <cellStyle name="Normal 3 4 4 6 4" xfId="28519"/>
    <cellStyle name="Normal 3 4 4 7" xfId="28520"/>
    <cellStyle name="Normal 3 4 4 7 2" xfId="28521"/>
    <cellStyle name="Normal 3 4 4 7 3" xfId="28522"/>
    <cellStyle name="Normal 3 4 4 8" xfId="28523"/>
    <cellStyle name="Normal 3 4 4 8 2" xfId="28524"/>
    <cellStyle name="Normal 3 4 4 9" xfId="28525"/>
    <cellStyle name="Normal 3 4 4 9 2" xfId="28526"/>
    <cellStyle name="Normal 3 4 5" xfId="28527"/>
    <cellStyle name="Normal 3 4 5 2" xfId="28528"/>
    <cellStyle name="Normal 3 4 5 2 2" xfId="28529"/>
    <cellStyle name="Normal 3 4 5 2 2 2" xfId="28530"/>
    <cellStyle name="Normal 3 4 5 2 2 2 2" xfId="28531"/>
    <cellStyle name="Normal 3 4 5 2 2 2 3" xfId="28532"/>
    <cellStyle name="Normal 3 4 5 2 2 3" xfId="28533"/>
    <cellStyle name="Normal 3 4 5 2 2 3 2" xfId="28534"/>
    <cellStyle name="Normal 3 4 5 2 2 4" xfId="28535"/>
    <cellStyle name="Normal 3 4 5 2 2 4 2" xfId="28536"/>
    <cellStyle name="Normal 3 4 5 2 2 5" xfId="28537"/>
    <cellStyle name="Normal 3 4 5 2 3" xfId="28538"/>
    <cellStyle name="Normal 3 4 5 2 3 2" xfId="28539"/>
    <cellStyle name="Normal 3 4 5 2 3 2 2" xfId="28540"/>
    <cellStyle name="Normal 3 4 5 2 3 3" xfId="28541"/>
    <cellStyle name="Normal 3 4 5 2 3 3 2" xfId="28542"/>
    <cellStyle name="Normal 3 4 5 2 3 4" xfId="28543"/>
    <cellStyle name="Normal 3 4 5 2 4" xfId="28544"/>
    <cellStyle name="Normal 3 4 5 2 4 2" xfId="28545"/>
    <cellStyle name="Normal 3 4 5 2 4 3" xfId="28546"/>
    <cellStyle name="Normal 3 4 5 2 5" xfId="28547"/>
    <cellStyle name="Normal 3 4 5 2 5 2" xfId="28548"/>
    <cellStyle name="Normal 3 4 5 2 6" xfId="28549"/>
    <cellStyle name="Normal 3 4 5 2 6 2" xfId="28550"/>
    <cellStyle name="Normal 3 4 5 2 7" xfId="28551"/>
    <cellStyle name="Normal 3 4 5 3" xfId="28552"/>
    <cellStyle name="Normal 3 4 5 3 2" xfId="28553"/>
    <cellStyle name="Normal 3 4 5 3 2 2" xfId="28554"/>
    <cellStyle name="Normal 3 4 5 3 2 3" xfId="28555"/>
    <cellStyle name="Normal 3 4 5 3 3" xfId="28556"/>
    <cellStyle name="Normal 3 4 5 3 3 2" xfId="28557"/>
    <cellStyle name="Normal 3 4 5 3 4" xfId="28558"/>
    <cellStyle name="Normal 3 4 5 3 4 2" xfId="28559"/>
    <cellStyle name="Normal 3 4 5 3 5" xfId="28560"/>
    <cellStyle name="Normal 3 4 5 4" xfId="28561"/>
    <cellStyle name="Normal 3 4 5 4 2" xfId="28562"/>
    <cellStyle name="Normal 3 4 5 4 2 2" xfId="28563"/>
    <cellStyle name="Normal 3 4 5 4 3" xfId="28564"/>
    <cellStyle name="Normal 3 4 5 4 3 2" xfId="28565"/>
    <cellStyle name="Normal 3 4 5 4 4" xfId="28566"/>
    <cellStyle name="Normal 3 4 5 5" xfId="28567"/>
    <cellStyle name="Normal 3 4 5 5 2" xfId="28568"/>
    <cellStyle name="Normal 3 4 5 5 3" xfId="28569"/>
    <cellStyle name="Normal 3 4 5 6" xfId="28570"/>
    <cellStyle name="Normal 3 4 5 6 2" xfId="28571"/>
    <cellStyle name="Normal 3 4 5 7" xfId="28572"/>
    <cellStyle name="Normal 3 4 5 7 2" xfId="28573"/>
    <cellStyle name="Normal 3 4 5 8" xfId="28574"/>
    <cellStyle name="Normal 3 4 6" xfId="28575"/>
    <cellStyle name="Normal 3 4 6 2" xfId="28576"/>
    <cellStyle name="Normal 3 4 6 2 2" xfId="28577"/>
    <cellStyle name="Normal 3 4 6 2 2 2" xfId="28578"/>
    <cellStyle name="Normal 3 4 6 2 2 3" xfId="28579"/>
    <cellStyle name="Normal 3 4 6 2 3" xfId="28580"/>
    <cellStyle name="Normal 3 4 6 2 3 2" xfId="28581"/>
    <cellStyle name="Normal 3 4 6 2 4" xfId="28582"/>
    <cellStyle name="Normal 3 4 6 2 4 2" xfId="28583"/>
    <cellStyle name="Normal 3 4 6 2 5" xfId="28584"/>
    <cellStyle name="Normal 3 4 6 3" xfId="28585"/>
    <cellStyle name="Normal 3 4 6 3 2" xfId="28586"/>
    <cellStyle name="Normal 3 4 6 3 2 2" xfId="28587"/>
    <cellStyle name="Normal 3 4 6 3 3" xfId="28588"/>
    <cellStyle name="Normal 3 4 6 3 3 2" xfId="28589"/>
    <cellStyle name="Normal 3 4 6 3 4" xfId="28590"/>
    <cellStyle name="Normal 3 4 6 4" xfId="28591"/>
    <cellStyle name="Normal 3 4 6 4 2" xfId="28592"/>
    <cellStyle name="Normal 3 4 6 4 3" xfId="28593"/>
    <cellStyle name="Normal 3 4 6 5" xfId="28594"/>
    <cellStyle name="Normal 3 4 6 5 2" xfId="28595"/>
    <cellStyle name="Normal 3 4 6 6" xfId="28596"/>
    <cellStyle name="Normal 3 4 6 6 2" xfId="28597"/>
    <cellStyle name="Normal 3 4 6 7" xfId="28598"/>
    <cellStyle name="Normal 3 4 7" xfId="28599"/>
    <cellStyle name="Normal 3 4 7 2" xfId="28600"/>
    <cellStyle name="Normal 3 4 7 2 2" xfId="28601"/>
    <cellStyle name="Normal 3 4 7 2 2 2" xfId="28602"/>
    <cellStyle name="Normal 3 4 7 2 2 3" xfId="28603"/>
    <cellStyle name="Normal 3 4 7 2 3" xfId="28604"/>
    <cellStyle name="Normal 3 4 7 2 3 2" xfId="28605"/>
    <cellStyle name="Normal 3 4 7 2 4" xfId="28606"/>
    <cellStyle name="Normal 3 4 7 2 4 2" xfId="28607"/>
    <cellStyle name="Normal 3 4 7 2 5" xfId="28608"/>
    <cellStyle name="Normal 3 4 7 3" xfId="28609"/>
    <cellStyle name="Normal 3 4 7 3 2" xfId="28610"/>
    <cellStyle name="Normal 3 4 7 3 2 2" xfId="28611"/>
    <cellStyle name="Normal 3 4 7 3 3" xfId="28612"/>
    <cellStyle name="Normal 3 4 7 3 3 2" xfId="28613"/>
    <cellStyle name="Normal 3 4 7 3 4" xfId="28614"/>
    <cellStyle name="Normal 3 4 7 4" xfId="28615"/>
    <cellStyle name="Normal 3 4 7 4 2" xfId="28616"/>
    <cellStyle name="Normal 3 4 7 4 3" xfId="28617"/>
    <cellStyle name="Normal 3 4 7 5" xfId="28618"/>
    <cellStyle name="Normal 3 4 7 5 2" xfId="28619"/>
    <cellStyle name="Normal 3 4 7 6" xfId="28620"/>
    <cellStyle name="Normal 3 4 7 6 2" xfId="28621"/>
    <cellStyle name="Normal 3 4 7 7" xfId="28622"/>
    <cellStyle name="Normal 3 4 8" xfId="28623"/>
    <cellStyle name="Normal 3 4 8 2" xfId="28624"/>
    <cellStyle name="Normal 3 4 8 2 2" xfId="28625"/>
    <cellStyle name="Normal 3 4 8 2 2 2" xfId="28626"/>
    <cellStyle name="Normal 3 4 8 2 3" xfId="28627"/>
    <cellStyle name="Normal 3 4 8 2 3 2" xfId="28628"/>
    <cellStyle name="Normal 3 4 8 2 4" xfId="28629"/>
    <cellStyle name="Normal 3 4 8 3" xfId="28630"/>
    <cellStyle name="Normal 3 4 8 3 2" xfId="28631"/>
    <cellStyle name="Normal 3 4 8 3 3" xfId="28632"/>
    <cellStyle name="Normal 3 4 8 4" xfId="28633"/>
    <cellStyle name="Normal 3 4 8 4 2" xfId="28634"/>
    <cellStyle name="Normal 3 4 8 5" xfId="28635"/>
    <cellStyle name="Normal 3 4 8 5 2" xfId="28636"/>
    <cellStyle name="Normal 3 4 8 6" xfId="28637"/>
    <cellStyle name="Normal 3 4 9" xfId="28638"/>
    <cellStyle name="Normal 3 4 9 2" xfId="28639"/>
    <cellStyle name="Normal 3 4 9 2 2" xfId="28640"/>
    <cellStyle name="Normal 3 4 9 3" xfId="28641"/>
    <cellStyle name="Normal 3 4 9 3 2" xfId="28642"/>
    <cellStyle name="Normal 3 4 9 4" xfId="28643"/>
    <cellStyle name="Normal 3 5" xfId="28644"/>
    <cellStyle name="Normal 3 5 10" xfId="28645"/>
    <cellStyle name="Normal 3 5 10 2" xfId="28646"/>
    <cellStyle name="Normal 3 5 10 3" xfId="28647"/>
    <cellStyle name="Normal 3 5 11" xfId="28648"/>
    <cellStyle name="Normal 3 5 11 2" xfId="28649"/>
    <cellStyle name="Normal 3 5 12" xfId="28650"/>
    <cellStyle name="Normal 3 5 12 2" xfId="28651"/>
    <cellStyle name="Normal 3 5 13" xfId="28652"/>
    <cellStyle name="Normal 3 5 14" xfId="28653"/>
    <cellStyle name="Normal 3 5 2" xfId="28654"/>
    <cellStyle name="Normal 3 5 2 10" xfId="28655"/>
    <cellStyle name="Normal 3 5 2 10 2" xfId="28656"/>
    <cellStyle name="Normal 3 5 2 11" xfId="28657"/>
    <cellStyle name="Normal 3 5 2 2" xfId="28658"/>
    <cellStyle name="Normal 3 5 2 2 2" xfId="28659"/>
    <cellStyle name="Normal 3 5 2 2 2 2" xfId="28660"/>
    <cellStyle name="Normal 3 5 2 2 2 2 2" xfId="28661"/>
    <cellStyle name="Normal 3 5 2 2 2 2 2 2" xfId="28662"/>
    <cellStyle name="Normal 3 5 2 2 2 2 2 3" xfId="28663"/>
    <cellStyle name="Normal 3 5 2 2 2 2 3" xfId="28664"/>
    <cellStyle name="Normal 3 5 2 2 2 2 3 2" xfId="28665"/>
    <cellStyle name="Normal 3 5 2 2 2 2 4" xfId="28666"/>
    <cellStyle name="Normal 3 5 2 2 2 2 4 2" xfId="28667"/>
    <cellStyle name="Normal 3 5 2 2 2 2 5" xfId="28668"/>
    <cellStyle name="Normal 3 5 2 2 2 3" xfId="28669"/>
    <cellStyle name="Normal 3 5 2 2 2 3 2" xfId="28670"/>
    <cellStyle name="Normal 3 5 2 2 2 3 2 2" xfId="28671"/>
    <cellStyle name="Normal 3 5 2 2 2 3 3" xfId="28672"/>
    <cellStyle name="Normal 3 5 2 2 2 3 3 2" xfId="28673"/>
    <cellStyle name="Normal 3 5 2 2 2 3 4" xfId="28674"/>
    <cellStyle name="Normal 3 5 2 2 2 4" xfId="28675"/>
    <cellStyle name="Normal 3 5 2 2 2 4 2" xfId="28676"/>
    <cellStyle name="Normal 3 5 2 2 2 4 3" xfId="28677"/>
    <cellStyle name="Normal 3 5 2 2 2 5" xfId="28678"/>
    <cellStyle name="Normal 3 5 2 2 2 5 2" xfId="28679"/>
    <cellStyle name="Normal 3 5 2 2 2 6" xfId="28680"/>
    <cellStyle name="Normal 3 5 2 2 2 6 2" xfId="28681"/>
    <cellStyle name="Normal 3 5 2 2 2 7" xfId="28682"/>
    <cellStyle name="Normal 3 5 2 2 3" xfId="28683"/>
    <cellStyle name="Normal 3 5 2 2 3 2" xfId="28684"/>
    <cellStyle name="Normal 3 5 2 2 3 2 2" xfId="28685"/>
    <cellStyle name="Normal 3 5 2 2 3 2 3" xfId="28686"/>
    <cellStyle name="Normal 3 5 2 2 3 3" xfId="28687"/>
    <cellStyle name="Normal 3 5 2 2 3 3 2" xfId="28688"/>
    <cellStyle name="Normal 3 5 2 2 3 4" xfId="28689"/>
    <cellStyle name="Normal 3 5 2 2 3 4 2" xfId="28690"/>
    <cellStyle name="Normal 3 5 2 2 3 5" xfId="28691"/>
    <cellStyle name="Normal 3 5 2 2 4" xfId="28692"/>
    <cellStyle name="Normal 3 5 2 2 4 2" xfId="28693"/>
    <cellStyle name="Normal 3 5 2 2 4 2 2" xfId="28694"/>
    <cellStyle name="Normal 3 5 2 2 4 3" xfId="28695"/>
    <cellStyle name="Normal 3 5 2 2 4 3 2" xfId="28696"/>
    <cellStyle name="Normal 3 5 2 2 4 4" xfId="28697"/>
    <cellStyle name="Normal 3 5 2 2 5" xfId="28698"/>
    <cellStyle name="Normal 3 5 2 2 5 2" xfId="28699"/>
    <cellStyle name="Normal 3 5 2 2 5 3" xfId="28700"/>
    <cellStyle name="Normal 3 5 2 2 6" xfId="28701"/>
    <cellStyle name="Normal 3 5 2 2 6 2" xfId="28702"/>
    <cellStyle name="Normal 3 5 2 2 7" xfId="28703"/>
    <cellStyle name="Normal 3 5 2 2 7 2" xfId="28704"/>
    <cellStyle name="Normal 3 5 2 2 8" xfId="28705"/>
    <cellStyle name="Normal 3 5 2 3" xfId="28706"/>
    <cellStyle name="Normal 3 5 2 3 2" xfId="28707"/>
    <cellStyle name="Normal 3 5 2 3 2 2" xfId="28708"/>
    <cellStyle name="Normal 3 5 2 3 2 2 2" xfId="28709"/>
    <cellStyle name="Normal 3 5 2 3 2 2 3" xfId="28710"/>
    <cellStyle name="Normal 3 5 2 3 2 3" xfId="28711"/>
    <cellStyle name="Normal 3 5 2 3 2 3 2" xfId="28712"/>
    <cellStyle name="Normal 3 5 2 3 2 4" xfId="28713"/>
    <cellStyle name="Normal 3 5 2 3 2 4 2" xfId="28714"/>
    <cellStyle name="Normal 3 5 2 3 2 5" xfId="28715"/>
    <cellStyle name="Normal 3 5 2 3 3" xfId="28716"/>
    <cellStyle name="Normal 3 5 2 3 3 2" xfId="28717"/>
    <cellStyle name="Normal 3 5 2 3 3 2 2" xfId="28718"/>
    <cellStyle name="Normal 3 5 2 3 3 3" xfId="28719"/>
    <cellStyle name="Normal 3 5 2 3 3 3 2" xfId="28720"/>
    <cellStyle name="Normal 3 5 2 3 3 4" xfId="28721"/>
    <cellStyle name="Normal 3 5 2 3 4" xfId="28722"/>
    <cellStyle name="Normal 3 5 2 3 4 2" xfId="28723"/>
    <cellStyle name="Normal 3 5 2 3 4 3" xfId="28724"/>
    <cellStyle name="Normal 3 5 2 3 5" xfId="28725"/>
    <cellStyle name="Normal 3 5 2 3 5 2" xfId="28726"/>
    <cellStyle name="Normal 3 5 2 3 6" xfId="28727"/>
    <cellStyle name="Normal 3 5 2 3 6 2" xfId="28728"/>
    <cellStyle name="Normal 3 5 2 3 7" xfId="28729"/>
    <cellStyle name="Normal 3 5 2 4" xfId="28730"/>
    <cellStyle name="Normal 3 5 2 4 2" xfId="28731"/>
    <cellStyle name="Normal 3 5 2 4 2 2" xfId="28732"/>
    <cellStyle name="Normal 3 5 2 4 2 2 2" xfId="28733"/>
    <cellStyle name="Normal 3 5 2 4 2 2 3" xfId="28734"/>
    <cellStyle name="Normal 3 5 2 4 2 3" xfId="28735"/>
    <cellStyle name="Normal 3 5 2 4 2 3 2" xfId="28736"/>
    <cellStyle name="Normal 3 5 2 4 2 4" xfId="28737"/>
    <cellStyle name="Normal 3 5 2 4 2 4 2" xfId="28738"/>
    <cellStyle name="Normal 3 5 2 4 2 5" xfId="28739"/>
    <cellStyle name="Normal 3 5 2 4 3" xfId="28740"/>
    <cellStyle name="Normal 3 5 2 4 3 2" xfId="28741"/>
    <cellStyle name="Normal 3 5 2 4 3 2 2" xfId="28742"/>
    <cellStyle name="Normal 3 5 2 4 3 3" xfId="28743"/>
    <cellStyle name="Normal 3 5 2 4 3 3 2" xfId="28744"/>
    <cellStyle name="Normal 3 5 2 4 3 4" xfId="28745"/>
    <cellStyle name="Normal 3 5 2 4 4" xfId="28746"/>
    <cellStyle name="Normal 3 5 2 4 4 2" xfId="28747"/>
    <cellStyle name="Normal 3 5 2 4 4 3" xfId="28748"/>
    <cellStyle name="Normal 3 5 2 4 5" xfId="28749"/>
    <cellStyle name="Normal 3 5 2 4 5 2" xfId="28750"/>
    <cellStyle name="Normal 3 5 2 4 6" xfId="28751"/>
    <cellStyle name="Normal 3 5 2 4 6 2" xfId="28752"/>
    <cellStyle name="Normal 3 5 2 4 7" xfId="28753"/>
    <cellStyle name="Normal 3 5 2 5" xfId="28754"/>
    <cellStyle name="Normal 3 5 2 5 2" xfId="28755"/>
    <cellStyle name="Normal 3 5 2 5 2 2" xfId="28756"/>
    <cellStyle name="Normal 3 5 2 5 2 2 2" xfId="28757"/>
    <cellStyle name="Normal 3 5 2 5 2 3" xfId="28758"/>
    <cellStyle name="Normal 3 5 2 5 2 3 2" xfId="28759"/>
    <cellStyle name="Normal 3 5 2 5 2 4" xfId="28760"/>
    <cellStyle name="Normal 3 5 2 5 3" xfId="28761"/>
    <cellStyle name="Normal 3 5 2 5 3 2" xfId="28762"/>
    <cellStyle name="Normal 3 5 2 5 3 3" xfId="28763"/>
    <cellStyle name="Normal 3 5 2 5 4" xfId="28764"/>
    <cellStyle name="Normal 3 5 2 5 4 2" xfId="28765"/>
    <cellStyle name="Normal 3 5 2 5 5" xfId="28766"/>
    <cellStyle name="Normal 3 5 2 5 5 2" xfId="28767"/>
    <cellStyle name="Normal 3 5 2 5 6" xfId="28768"/>
    <cellStyle name="Normal 3 5 2 6" xfId="28769"/>
    <cellStyle name="Normal 3 5 2 6 2" xfId="28770"/>
    <cellStyle name="Normal 3 5 2 6 2 2" xfId="28771"/>
    <cellStyle name="Normal 3 5 2 6 3" xfId="28772"/>
    <cellStyle name="Normal 3 5 2 6 3 2" xfId="28773"/>
    <cellStyle name="Normal 3 5 2 6 4" xfId="28774"/>
    <cellStyle name="Normal 3 5 2 7" xfId="28775"/>
    <cellStyle name="Normal 3 5 2 7 2" xfId="28776"/>
    <cellStyle name="Normal 3 5 2 7 2 2" xfId="28777"/>
    <cellStyle name="Normal 3 5 2 7 3" xfId="28778"/>
    <cellStyle name="Normal 3 5 2 7 3 2" xfId="28779"/>
    <cellStyle name="Normal 3 5 2 7 4" xfId="28780"/>
    <cellStyle name="Normal 3 5 2 8" xfId="28781"/>
    <cellStyle name="Normal 3 5 2 8 2" xfId="28782"/>
    <cellStyle name="Normal 3 5 2 8 3" xfId="28783"/>
    <cellStyle name="Normal 3 5 2 9" xfId="28784"/>
    <cellStyle name="Normal 3 5 2 9 2" xfId="28785"/>
    <cellStyle name="Normal 3 5 3" xfId="28786"/>
    <cellStyle name="Normal 3 5 3 10" xfId="28787"/>
    <cellStyle name="Normal 3 5 3 2" xfId="28788"/>
    <cellStyle name="Normal 3 5 3 2 2" xfId="28789"/>
    <cellStyle name="Normal 3 5 3 2 2 2" xfId="28790"/>
    <cellStyle name="Normal 3 5 3 2 2 2 2" xfId="28791"/>
    <cellStyle name="Normal 3 5 3 2 2 2 3" xfId="28792"/>
    <cellStyle name="Normal 3 5 3 2 2 3" xfId="28793"/>
    <cellStyle name="Normal 3 5 3 2 2 3 2" xfId="28794"/>
    <cellStyle name="Normal 3 5 3 2 2 4" xfId="28795"/>
    <cellStyle name="Normal 3 5 3 2 2 4 2" xfId="28796"/>
    <cellStyle name="Normal 3 5 3 2 2 5" xfId="28797"/>
    <cellStyle name="Normal 3 5 3 2 3" xfId="28798"/>
    <cellStyle name="Normal 3 5 3 2 3 2" xfId="28799"/>
    <cellStyle name="Normal 3 5 3 2 3 2 2" xfId="28800"/>
    <cellStyle name="Normal 3 5 3 2 3 3" xfId="28801"/>
    <cellStyle name="Normal 3 5 3 2 3 3 2" xfId="28802"/>
    <cellStyle name="Normal 3 5 3 2 3 4" xfId="28803"/>
    <cellStyle name="Normal 3 5 3 2 4" xfId="28804"/>
    <cellStyle name="Normal 3 5 3 2 4 2" xfId="28805"/>
    <cellStyle name="Normal 3 5 3 2 4 3" xfId="28806"/>
    <cellStyle name="Normal 3 5 3 2 5" xfId="28807"/>
    <cellStyle name="Normal 3 5 3 2 5 2" xfId="28808"/>
    <cellStyle name="Normal 3 5 3 2 6" xfId="28809"/>
    <cellStyle name="Normal 3 5 3 2 6 2" xfId="28810"/>
    <cellStyle name="Normal 3 5 3 2 7" xfId="28811"/>
    <cellStyle name="Normal 3 5 3 3" xfId="28812"/>
    <cellStyle name="Normal 3 5 3 3 2" xfId="28813"/>
    <cellStyle name="Normal 3 5 3 3 2 2" xfId="28814"/>
    <cellStyle name="Normal 3 5 3 3 2 2 2" xfId="28815"/>
    <cellStyle name="Normal 3 5 3 3 2 2 3" xfId="28816"/>
    <cellStyle name="Normal 3 5 3 3 2 3" xfId="28817"/>
    <cellStyle name="Normal 3 5 3 3 2 3 2" xfId="28818"/>
    <cellStyle name="Normal 3 5 3 3 2 4" xfId="28819"/>
    <cellStyle name="Normal 3 5 3 3 2 4 2" xfId="28820"/>
    <cellStyle name="Normal 3 5 3 3 2 5" xfId="28821"/>
    <cellStyle name="Normal 3 5 3 3 3" xfId="28822"/>
    <cellStyle name="Normal 3 5 3 3 3 2" xfId="28823"/>
    <cellStyle name="Normal 3 5 3 3 3 2 2" xfId="28824"/>
    <cellStyle name="Normal 3 5 3 3 3 3" xfId="28825"/>
    <cellStyle name="Normal 3 5 3 3 3 3 2" xfId="28826"/>
    <cellStyle name="Normal 3 5 3 3 3 4" xfId="28827"/>
    <cellStyle name="Normal 3 5 3 3 4" xfId="28828"/>
    <cellStyle name="Normal 3 5 3 3 4 2" xfId="28829"/>
    <cellStyle name="Normal 3 5 3 3 4 3" xfId="28830"/>
    <cellStyle name="Normal 3 5 3 3 5" xfId="28831"/>
    <cellStyle name="Normal 3 5 3 3 5 2" xfId="28832"/>
    <cellStyle name="Normal 3 5 3 3 6" xfId="28833"/>
    <cellStyle name="Normal 3 5 3 3 6 2" xfId="28834"/>
    <cellStyle name="Normal 3 5 3 3 7" xfId="28835"/>
    <cellStyle name="Normal 3 5 3 4" xfId="28836"/>
    <cellStyle name="Normal 3 5 3 4 2" xfId="28837"/>
    <cellStyle name="Normal 3 5 3 4 2 2" xfId="28838"/>
    <cellStyle name="Normal 3 5 3 4 2 2 2" xfId="28839"/>
    <cellStyle name="Normal 3 5 3 4 2 3" xfId="28840"/>
    <cellStyle name="Normal 3 5 3 4 2 3 2" xfId="28841"/>
    <cellStyle name="Normal 3 5 3 4 2 4" xfId="28842"/>
    <cellStyle name="Normal 3 5 3 4 3" xfId="28843"/>
    <cellStyle name="Normal 3 5 3 4 3 2" xfId="28844"/>
    <cellStyle name="Normal 3 5 3 4 3 3" xfId="28845"/>
    <cellStyle name="Normal 3 5 3 4 4" xfId="28846"/>
    <cellStyle name="Normal 3 5 3 4 4 2" xfId="28847"/>
    <cellStyle name="Normal 3 5 3 4 5" xfId="28848"/>
    <cellStyle name="Normal 3 5 3 4 5 2" xfId="28849"/>
    <cellStyle name="Normal 3 5 3 4 6" xfId="28850"/>
    <cellStyle name="Normal 3 5 3 5" xfId="28851"/>
    <cellStyle name="Normal 3 5 3 5 2" xfId="28852"/>
    <cellStyle name="Normal 3 5 3 5 2 2" xfId="28853"/>
    <cellStyle name="Normal 3 5 3 5 3" xfId="28854"/>
    <cellStyle name="Normal 3 5 3 5 3 2" xfId="28855"/>
    <cellStyle name="Normal 3 5 3 5 4" xfId="28856"/>
    <cellStyle name="Normal 3 5 3 6" xfId="28857"/>
    <cellStyle name="Normal 3 5 3 6 2" xfId="28858"/>
    <cellStyle name="Normal 3 5 3 6 2 2" xfId="28859"/>
    <cellStyle name="Normal 3 5 3 6 3" xfId="28860"/>
    <cellStyle name="Normal 3 5 3 6 3 2" xfId="28861"/>
    <cellStyle name="Normal 3 5 3 6 4" xfId="28862"/>
    <cellStyle name="Normal 3 5 3 7" xfId="28863"/>
    <cellStyle name="Normal 3 5 3 7 2" xfId="28864"/>
    <cellStyle name="Normal 3 5 3 7 3" xfId="28865"/>
    <cellStyle name="Normal 3 5 3 8" xfId="28866"/>
    <cellStyle name="Normal 3 5 3 8 2" xfId="28867"/>
    <cellStyle name="Normal 3 5 3 9" xfId="28868"/>
    <cellStyle name="Normal 3 5 3 9 2" xfId="28869"/>
    <cellStyle name="Normal 3 5 4" xfId="28870"/>
    <cellStyle name="Normal 3 5 4 2" xfId="28871"/>
    <cellStyle name="Normal 3 5 4 2 2" xfId="28872"/>
    <cellStyle name="Normal 3 5 4 2 2 2" xfId="28873"/>
    <cellStyle name="Normal 3 5 4 2 2 2 2" xfId="28874"/>
    <cellStyle name="Normal 3 5 4 2 2 2 3" xfId="28875"/>
    <cellStyle name="Normal 3 5 4 2 2 3" xfId="28876"/>
    <cellStyle name="Normal 3 5 4 2 2 3 2" xfId="28877"/>
    <cellStyle name="Normal 3 5 4 2 2 4" xfId="28878"/>
    <cellStyle name="Normal 3 5 4 2 2 4 2" xfId="28879"/>
    <cellStyle name="Normal 3 5 4 2 2 5" xfId="28880"/>
    <cellStyle name="Normal 3 5 4 2 3" xfId="28881"/>
    <cellStyle name="Normal 3 5 4 2 3 2" xfId="28882"/>
    <cellStyle name="Normal 3 5 4 2 3 2 2" xfId="28883"/>
    <cellStyle name="Normal 3 5 4 2 3 3" xfId="28884"/>
    <cellStyle name="Normal 3 5 4 2 3 3 2" xfId="28885"/>
    <cellStyle name="Normal 3 5 4 2 3 4" xfId="28886"/>
    <cellStyle name="Normal 3 5 4 2 4" xfId="28887"/>
    <cellStyle name="Normal 3 5 4 2 4 2" xfId="28888"/>
    <cellStyle name="Normal 3 5 4 2 4 3" xfId="28889"/>
    <cellStyle name="Normal 3 5 4 2 5" xfId="28890"/>
    <cellStyle name="Normal 3 5 4 2 5 2" xfId="28891"/>
    <cellStyle name="Normal 3 5 4 2 6" xfId="28892"/>
    <cellStyle name="Normal 3 5 4 2 6 2" xfId="28893"/>
    <cellStyle name="Normal 3 5 4 2 7" xfId="28894"/>
    <cellStyle name="Normal 3 5 4 3" xfId="28895"/>
    <cellStyle name="Normal 3 5 4 3 2" xfId="28896"/>
    <cellStyle name="Normal 3 5 4 3 2 2" xfId="28897"/>
    <cellStyle name="Normal 3 5 4 3 2 3" xfId="28898"/>
    <cellStyle name="Normal 3 5 4 3 3" xfId="28899"/>
    <cellStyle name="Normal 3 5 4 3 3 2" xfId="28900"/>
    <cellStyle name="Normal 3 5 4 3 4" xfId="28901"/>
    <cellStyle name="Normal 3 5 4 3 4 2" xfId="28902"/>
    <cellStyle name="Normal 3 5 4 3 5" xfId="28903"/>
    <cellStyle name="Normal 3 5 4 4" xfId="28904"/>
    <cellStyle name="Normal 3 5 4 4 2" xfId="28905"/>
    <cellStyle name="Normal 3 5 4 4 2 2" xfId="28906"/>
    <cellStyle name="Normal 3 5 4 4 3" xfId="28907"/>
    <cellStyle name="Normal 3 5 4 4 3 2" xfId="28908"/>
    <cellStyle name="Normal 3 5 4 4 4" xfId="28909"/>
    <cellStyle name="Normal 3 5 4 5" xfId="28910"/>
    <cellStyle name="Normal 3 5 4 5 2" xfId="28911"/>
    <cellStyle name="Normal 3 5 4 5 3" xfId="28912"/>
    <cellStyle name="Normal 3 5 4 6" xfId="28913"/>
    <cellStyle name="Normal 3 5 4 6 2" xfId="28914"/>
    <cellStyle name="Normal 3 5 4 7" xfId="28915"/>
    <cellStyle name="Normal 3 5 4 7 2" xfId="28916"/>
    <cellStyle name="Normal 3 5 4 8" xfId="28917"/>
    <cellStyle name="Normal 3 5 5" xfId="28918"/>
    <cellStyle name="Normal 3 5 5 2" xfId="28919"/>
    <cellStyle name="Normal 3 5 5 2 2" xfId="28920"/>
    <cellStyle name="Normal 3 5 5 2 2 2" xfId="28921"/>
    <cellStyle name="Normal 3 5 5 2 2 3" xfId="28922"/>
    <cellStyle name="Normal 3 5 5 2 3" xfId="28923"/>
    <cellStyle name="Normal 3 5 5 2 3 2" xfId="28924"/>
    <cellStyle name="Normal 3 5 5 2 4" xfId="28925"/>
    <cellStyle name="Normal 3 5 5 2 4 2" xfId="28926"/>
    <cellStyle name="Normal 3 5 5 2 5" xfId="28927"/>
    <cellStyle name="Normal 3 5 5 3" xfId="28928"/>
    <cellStyle name="Normal 3 5 5 3 2" xfId="28929"/>
    <cellStyle name="Normal 3 5 5 3 2 2" xfId="28930"/>
    <cellStyle name="Normal 3 5 5 3 3" xfId="28931"/>
    <cellStyle name="Normal 3 5 5 3 3 2" xfId="28932"/>
    <cellStyle name="Normal 3 5 5 3 4" xfId="28933"/>
    <cellStyle name="Normal 3 5 5 4" xfId="28934"/>
    <cellStyle name="Normal 3 5 5 4 2" xfId="28935"/>
    <cellStyle name="Normal 3 5 5 4 3" xfId="28936"/>
    <cellStyle name="Normal 3 5 5 5" xfId="28937"/>
    <cellStyle name="Normal 3 5 5 5 2" xfId="28938"/>
    <cellStyle name="Normal 3 5 5 6" xfId="28939"/>
    <cellStyle name="Normal 3 5 5 6 2" xfId="28940"/>
    <cellStyle name="Normal 3 5 5 7" xfId="28941"/>
    <cellStyle name="Normal 3 5 6" xfId="28942"/>
    <cellStyle name="Normal 3 5 6 2" xfId="28943"/>
    <cellStyle name="Normal 3 5 6 2 2" xfId="28944"/>
    <cellStyle name="Normal 3 5 6 2 2 2" xfId="28945"/>
    <cellStyle name="Normal 3 5 6 2 2 3" xfId="28946"/>
    <cellStyle name="Normal 3 5 6 2 3" xfId="28947"/>
    <cellStyle name="Normal 3 5 6 2 3 2" xfId="28948"/>
    <cellStyle name="Normal 3 5 6 2 4" xfId="28949"/>
    <cellStyle name="Normal 3 5 6 2 4 2" xfId="28950"/>
    <cellStyle name="Normal 3 5 6 2 5" xfId="28951"/>
    <cellStyle name="Normal 3 5 6 3" xfId="28952"/>
    <cellStyle name="Normal 3 5 6 3 2" xfId="28953"/>
    <cellStyle name="Normal 3 5 6 3 2 2" xfId="28954"/>
    <cellStyle name="Normal 3 5 6 3 3" xfId="28955"/>
    <cellStyle name="Normal 3 5 6 3 3 2" xfId="28956"/>
    <cellStyle name="Normal 3 5 6 3 4" xfId="28957"/>
    <cellStyle name="Normal 3 5 6 4" xfId="28958"/>
    <cellStyle name="Normal 3 5 6 4 2" xfId="28959"/>
    <cellStyle name="Normal 3 5 6 4 3" xfId="28960"/>
    <cellStyle name="Normal 3 5 6 5" xfId="28961"/>
    <cellStyle name="Normal 3 5 6 5 2" xfId="28962"/>
    <cellStyle name="Normal 3 5 6 6" xfId="28963"/>
    <cellStyle name="Normal 3 5 6 6 2" xfId="28964"/>
    <cellStyle name="Normal 3 5 6 7" xfId="28965"/>
    <cellStyle name="Normal 3 5 7" xfId="28966"/>
    <cellStyle name="Normal 3 5 7 2" xfId="28967"/>
    <cellStyle name="Normal 3 5 7 2 2" xfId="28968"/>
    <cellStyle name="Normal 3 5 7 2 2 2" xfId="28969"/>
    <cellStyle name="Normal 3 5 7 2 3" xfId="28970"/>
    <cellStyle name="Normal 3 5 7 2 3 2" xfId="28971"/>
    <cellStyle name="Normal 3 5 7 2 4" xfId="28972"/>
    <cellStyle name="Normal 3 5 7 3" xfId="28973"/>
    <cellStyle name="Normal 3 5 7 3 2" xfId="28974"/>
    <cellStyle name="Normal 3 5 7 3 3" xfId="28975"/>
    <cellStyle name="Normal 3 5 7 4" xfId="28976"/>
    <cellStyle name="Normal 3 5 7 4 2" xfId="28977"/>
    <cellStyle name="Normal 3 5 7 5" xfId="28978"/>
    <cellStyle name="Normal 3 5 7 5 2" xfId="28979"/>
    <cellStyle name="Normal 3 5 7 6" xfId="28980"/>
    <cellStyle name="Normal 3 5 8" xfId="28981"/>
    <cellStyle name="Normal 3 5 8 2" xfId="28982"/>
    <cellStyle name="Normal 3 5 8 2 2" xfId="28983"/>
    <cellStyle name="Normal 3 5 8 3" xfId="28984"/>
    <cellStyle name="Normal 3 5 8 3 2" xfId="28985"/>
    <cellStyle name="Normal 3 5 8 4" xfId="28986"/>
    <cellStyle name="Normal 3 5 9" xfId="28987"/>
    <cellStyle name="Normal 3 5 9 2" xfId="28988"/>
    <cellStyle name="Normal 3 5 9 2 2" xfId="28989"/>
    <cellStyle name="Normal 3 5 9 3" xfId="28990"/>
    <cellStyle name="Normal 3 5 9 3 2" xfId="28991"/>
    <cellStyle name="Normal 3 5 9 4" xfId="28992"/>
    <cellStyle name="Normal 3 6" xfId="28993"/>
    <cellStyle name="Normal 3 6 10" xfId="28994"/>
    <cellStyle name="Normal 3 6 10 2" xfId="28995"/>
    <cellStyle name="Normal 3 6 11" xfId="28996"/>
    <cellStyle name="Normal 3 6 2" xfId="28997"/>
    <cellStyle name="Normal 3 6 2 2" xfId="28998"/>
    <cellStyle name="Normal 3 6 2 2 2" xfId="28999"/>
    <cellStyle name="Normal 3 6 2 2 2 2" xfId="29000"/>
    <cellStyle name="Normal 3 6 2 2 2 2 2" xfId="29001"/>
    <cellStyle name="Normal 3 6 2 2 2 2 3" xfId="29002"/>
    <cellStyle name="Normal 3 6 2 2 2 3" xfId="29003"/>
    <cellStyle name="Normal 3 6 2 2 2 3 2" xfId="29004"/>
    <cellStyle name="Normal 3 6 2 2 2 4" xfId="29005"/>
    <cellStyle name="Normal 3 6 2 2 2 4 2" xfId="29006"/>
    <cellStyle name="Normal 3 6 2 2 2 5" xfId="29007"/>
    <cellStyle name="Normal 3 6 2 2 3" xfId="29008"/>
    <cellStyle name="Normal 3 6 2 2 3 2" xfId="29009"/>
    <cellStyle name="Normal 3 6 2 2 3 2 2" xfId="29010"/>
    <cellStyle name="Normal 3 6 2 2 3 3" xfId="29011"/>
    <cellStyle name="Normal 3 6 2 2 3 3 2" xfId="29012"/>
    <cellStyle name="Normal 3 6 2 2 3 4" xfId="29013"/>
    <cellStyle name="Normal 3 6 2 2 4" xfId="29014"/>
    <cellStyle name="Normal 3 6 2 2 4 2" xfId="29015"/>
    <cellStyle name="Normal 3 6 2 2 4 3" xfId="29016"/>
    <cellStyle name="Normal 3 6 2 2 5" xfId="29017"/>
    <cellStyle name="Normal 3 6 2 2 5 2" xfId="29018"/>
    <cellStyle name="Normal 3 6 2 2 6" xfId="29019"/>
    <cellStyle name="Normal 3 6 2 2 6 2" xfId="29020"/>
    <cellStyle name="Normal 3 6 2 2 7" xfId="29021"/>
    <cellStyle name="Normal 3 6 2 3" xfId="29022"/>
    <cellStyle name="Normal 3 6 2 3 2" xfId="29023"/>
    <cellStyle name="Normal 3 6 2 3 2 2" xfId="29024"/>
    <cellStyle name="Normal 3 6 2 3 2 3" xfId="29025"/>
    <cellStyle name="Normal 3 6 2 3 3" xfId="29026"/>
    <cellStyle name="Normal 3 6 2 3 3 2" xfId="29027"/>
    <cellStyle name="Normal 3 6 2 3 4" xfId="29028"/>
    <cellStyle name="Normal 3 6 2 3 4 2" xfId="29029"/>
    <cellStyle name="Normal 3 6 2 3 5" xfId="29030"/>
    <cellStyle name="Normal 3 6 2 4" xfId="29031"/>
    <cellStyle name="Normal 3 6 2 4 2" xfId="29032"/>
    <cellStyle name="Normal 3 6 2 4 2 2" xfId="29033"/>
    <cellStyle name="Normal 3 6 2 4 3" xfId="29034"/>
    <cellStyle name="Normal 3 6 2 4 3 2" xfId="29035"/>
    <cellStyle name="Normal 3 6 2 4 4" xfId="29036"/>
    <cellStyle name="Normal 3 6 2 5" xfId="29037"/>
    <cellStyle name="Normal 3 6 2 5 2" xfId="29038"/>
    <cellStyle name="Normal 3 6 2 5 3" xfId="29039"/>
    <cellStyle name="Normal 3 6 2 6" xfId="29040"/>
    <cellStyle name="Normal 3 6 2 6 2" xfId="29041"/>
    <cellStyle name="Normal 3 6 2 7" xfId="29042"/>
    <cellStyle name="Normal 3 6 2 7 2" xfId="29043"/>
    <cellStyle name="Normal 3 6 2 8" xfId="29044"/>
    <cellStyle name="Normal 3 6 3" xfId="29045"/>
    <cellStyle name="Normal 3 6 3 2" xfId="29046"/>
    <cellStyle name="Normal 3 6 3 2 2" xfId="29047"/>
    <cellStyle name="Normal 3 6 3 2 2 2" xfId="29048"/>
    <cellStyle name="Normal 3 6 3 2 2 3" xfId="29049"/>
    <cellStyle name="Normal 3 6 3 2 3" xfId="29050"/>
    <cellStyle name="Normal 3 6 3 2 3 2" xfId="29051"/>
    <cellStyle name="Normal 3 6 3 2 4" xfId="29052"/>
    <cellStyle name="Normal 3 6 3 2 4 2" xfId="29053"/>
    <cellStyle name="Normal 3 6 3 2 5" xfId="29054"/>
    <cellStyle name="Normal 3 6 3 3" xfId="29055"/>
    <cellStyle name="Normal 3 6 3 3 2" xfId="29056"/>
    <cellStyle name="Normal 3 6 3 3 2 2" xfId="29057"/>
    <cellStyle name="Normal 3 6 3 3 3" xfId="29058"/>
    <cellStyle name="Normal 3 6 3 3 3 2" xfId="29059"/>
    <cellStyle name="Normal 3 6 3 3 4" xfId="29060"/>
    <cellStyle name="Normal 3 6 3 4" xfId="29061"/>
    <cellStyle name="Normal 3 6 3 4 2" xfId="29062"/>
    <cellStyle name="Normal 3 6 3 4 3" xfId="29063"/>
    <cellStyle name="Normal 3 6 3 5" xfId="29064"/>
    <cellStyle name="Normal 3 6 3 5 2" xfId="29065"/>
    <cellStyle name="Normal 3 6 3 6" xfId="29066"/>
    <cellStyle name="Normal 3 6 3 6 2" xfId="29067"/>
    <cellStyle name="Normal 3 6 3 7" xfId="29068"/>
    <cellStyle name="Normal 3 6 4" xfId="29069"/>
    <cellStyle name="Normal 3 6 4 2" xfId="29070"/>
    <cellStyle name="Normal 3 6 4 2 2" xfId="29071"/>
    <cellStyle name="Normal 3 6 4 2 2 2" xfId="29072"/>
    <cellStyle name="Normal 3 6 4 2 2 3" xfId="29073"/>
    <cellStyle name="Normal 3 6 4 2 3" xfId="29074"/>
    <cellStyle name="Normal 3 6 4 2 3 2" xfId="29075"/>
    <cellStyle name="Normal 3 6 4 2 4" xfId="29076"/>
    <cellStyle name="Normal 3 6 4 2 4 2" xfId="29077"/>
    <cellStyle name="Normal 3 6 4 2 5" xfId="29078"/>
    <cellStyle name="Normal 3 6 4 3" xfId="29079"/>
    <cellStyle name="Normal 3 6 4 3 2" xfId="29080"/>
    <cellStyle name="Normal 3 6 4 3 2 2" xfId="29081"/>
    <cellStyle name="Normal 3 6 4 3 3" xfId="29082"/>
    <cellStyle name="Normal 3 6 4 3 3 2" xfId="29083"/>
    <cellStyle name="Normal 3 6 4 3 4" xfId="29084"/>
    <cellStyle name="Normal 3 6 4 4" xfId="29085"/>
    <cellStyle name="Normal 3 6 4 4 2" xfId="29086"/>
    <cellStyle name="Normal 3 6 4 4 3" xfId="29087"/>
    <cellStyle name="Normal 3 6 4 5" xfId="29088"/>
    <cellStyle name="Normal 3 6 4 5 2" xfId="29089"/>
    <cellStyle name="Normal 3 6 4 6" xfId="29090"/>
    <cellStyle name="Normal 3 6 4 6 2" xfId="29091"/>
    <cellStyle name="Normal 3 6 4 7" xfId="29092"/>
    <cellStyle name="Normal 3 6 5" xfId="29093"/>
    <cellStyle name="Normal 3 6 5 2" xfId="29094"/>
    <cellStyle name="Normal 3 6 5 2 2" xfId="29095"/>
    <cellStyle name="Normal 3 6 5 2 2 2" xfId="29096"/>
    <cellStyle name="Normal 3 6 5 2 3" xfId="29097"/>
    <cellStyle name="Normal 3 6 5 2 3 2" xfId="29098"/>
    <cellStyle name="Normal 3 6 5 2 4" xfId="29099"/>
    <cellStyle name="Normal 3 6 5 3" xfId="29100"/>
    <cellStyle name="Normal 3 6 5 3 2" xfId="29101"/>
    <cellStyle name="Normal 3 6 5 3 3" xfId="29102"/>
    <cellStyle name="Normal 3 6 5 4" xfId="29103"/>
    <cellStyle name="Normal 3 6 5 4 2" xfId="29104"/>
    <cellStyle name="Normal 3 6 5 5" xfId="29105"/>
    <cellStyle name="Normal 3 6 5 5 2" xfId="29106"/>
    <cellStyle name="Normal 3 6 5 6" xfId="29107"/>
    <cellStyle name="Normal 3 6 6" xfId="29108"/>
    <cellStyle name="Normal 3 6 6 2" xfId="29109"/>
    <cellStyle name="Normal 3 6 6 2 2" xfId="29110"/>
    <cellStyle name="Normal 3 6 6 3" xfId="29111"/>
    <cellStyle name="Normal 3 6 6 3 2" xfId="29112"/>
    <cellStyle name="Normal 3 6 6 4" xfId="29113"/>
    <cellStyle name="Normal 3 6 7" xfId="29114"/>
    <cellStyle name="Normal 3 6 7 2" xfId="29115"/>
    <cellStyle name="Normal 3 6 7 2 2" xfId="29116"/>
    <cellStyle name="Normal 3 6 7 3" xfId="29117"/>
    <cellStyle name="Normal 3 6 7 3 2" xfId="29118"/>
    <cellStyle name="Normal 3 6 7 4" xfId="29119"/>
    <cellStyle name="Normal 3 6 8" xfId="29120"/>
    <cellStyle name="Normal 3 6 8 2" xfId="29121"/>
    <cellStyle name="Normal 3 6 8 3" xfId="29122"/>
    <cellStyle name="Normal 3 6 9" xfId="29123"/>
    <cellStyle name="Normal 3 6 9 2" xfId="29124"/>
    <cellStyle name="Normal 3 7" xfId="29125"/>
    <cellStyle name="Normal 3 7 10" xfId="29126"/>
    <cellStyle name="Normal 3 7 10 2" xfId="29127"/>
    <cellStyle name="Normal 3 7 11" xfId="29128"/>
    <cellStyle name="Normal 3 7 2" xfId="29129"/>
    <cellStyle name="Normal 3 7 2 2" xfId="29130"/>
    <cellStyle name="Normal 3 7 2 2 2" xfId="29131"/>
    <cellStyle name="Normal 3 7 2 2 2 2" xfId="29132"/>
    <cellStyle name="Normal 3 7 2 2 2 2 2" xfId="29133"/>
    <cellStyle name="Normal 3 7 2 2 2 2 3" xfId="29134"/>
    <cellStyle name="Normal 3 7 2 2 2 3" xfId="29135"/>
    <cellStyle name="Normal 3 7 2 2 2 3 2" xfId="29136"/>
    <cellStyle name="Normal 3 7 2 2 2 4" xfId="29137"/>
    <cellStyle name="Normal 3 7 2 2 2 4 2" xfId="29138"/>
    <cellStyle name="Normal 3 7 2 2 2 5" xfId="29139"/>
    <cellStyle name="Normal 3 7 2 2 3" xfId="29140"/>
    <cellStyle name="Normal 3 7 2 2 3 2" xfId="29141"/>
    <cellStyle name="Normal 3 7 2 2 3 2 2" xfId="29142"/>
    <cellStyle name="Normal 3 7 2 2 3 3" xfId="29143"/>
    <cellStyle name="Normal 3 7 2 2 3 3 2" xfId="29144"/>
    <cellStyle name="Normal 3 7 2 2 3 4" xfId="29145"/>
    <cellStyle name="Normal 3 7 2 2 4" xfId="29146"/>
    <cellStyle name="Normal 3 7 2 2 4 2" xfId="29147"/>
    <cellStyle name="Normal 3 7 2 2 4 3" xfId="29148"/>
    <cellStyle name="Normal 3 7 2 2 5" xfId="29149"/>
    <cellStyle name="Normal 3 7 2 2 5 2" xfId="29150"/>
    <cellStyle name="Normal 3 7 2 2 6" xfId="29151"/>
    <cellStyle name="Normal 3 7 2 2 6 2" xfId="29152"/>
    <cellStyle name="Normal 3 7 2 2 7" xfId="29153"/>
    <cellStyle name="Normal 3 7 2 3" xfId="29154"/>
    <cellStyle name="Normal 3 7 2 3 2" xfId="29155"/>
    <cellStyle name="Normal 3 7 2 3 2 2" xfId="29156"/>
    <cellStyle name="Normal 3 7 2 3 2 3" xfId="29157"/>
    <cellStyle name="Normal 3 7 2 3 3" xfId="29158"/>
    <cellStyle name="Normal 3 7 2 3 3 2" xfId="29159"/>
    <cellStyle name="Normal 3 7 2 3 4" xfId="29160"/>
    <cellStyle name="Normal 3 7 2 3 4 2" xfId="29161"/>
    <cellStyle name="Normal 3 7 2 3 5" xfId="29162"/>
    <cellStyle name="Normal 3 7 2 4" xfId="29163"/>
    <cellStyle name="Normal 3 7 2 4 2" xfId="29164"/>
    <cellStyle name="Normal 3 7 2 4 2 2" xfId="29165"/>
    <cellStyle name="Normal 3 7 2 4 3" xfId="29166"/>
    <cellStyle name="Normal 3 7 2 4 3 2" xfId="29167"/>
    <cellStyle name="Normal 3 7 2 4 4" xfId="29168"/>
    <cellStyle name="Normal 3 7 2 5" xfId="29169"/>
    <cellStyle name="Normal 3 7 2 5 2" xfId="29170"/>
    <cellStyle name="Normal 3 7 2 5 3" xfId="29171"/>
    <cellStyle name="Normal 3 7 2 6" xfId="29172"/>
    <cellStyle name="Normal 3 7 2 6 2" xfId="29173"/>
    <cellStyle name="Normal 3 7 2 7" xfId="29174"/>
    <cellStyle name="Normal 3 7 2 7 2" xfId="29175"/>
    <cellStyle name="Normal 3 7 2 8" xfId="29176"/>
    <cellStyle name="Normal 3 7 3" xfId="29177"/>
    <cellStyle name="Normal 3 7 3 2" xfId="29178"/>
    <cellStyle name="Normal 3 7 3 2 2" xfId="29179"/>
    <cellStyle name="Normal 3 7 3 2 2 2" xfId="29180"/>
    <cellStyle name="Normal 3 7 3 2 2 3" xfId="29181"/>
    <cellStyle name="Normal 3 7 3 2 3" xfId="29182"/>
    <cellStyle name="Normal 3 7 3 2 3 2" xfId="29183"/>
    <cellStyle name="Normal 3 7 3 2 4" xfId="29184"/>
    <cellStyle name="Normal 3 7 3 2 4 2" xfId="29185"/>
    <cellStyle name="Normal 3 7 3 2 5" xfId="29186"/>
    <cellStyle name="Normal 3 7 3 3" xfId="29187"/>
    <cellStyle name="Normal 3 7 3 3 2" xfId="29188"/>
    <cellStyle name="Normal 3 7 3 3 2 2" xfId="29189"/>
    <cellStyle name="Normal 3 7 3 3 3" xfId="29190"/>
    <cellStyle name="Normal 3 7 3 3 3 2" xfId="29191"/>
    <cellStyle name="Normal 3 7 3 3 4" xfId="29192"/>
    <cellStyle name="Normal 3 7 3 4" xfId="29193"/>
    <cellStyle name="Normal 3 7 3 4 2" xfId="29194"/>
    <cellStyle name="Normal 3 7 3 4 3" xfId="29195"/>
    <cellStyle name="Normal 3 7 3 5" xfId="29196"/>
    <cellStyle name="Normal 3 7 3 5 2" xfId="29197"/>
    <cellStyle name="Normal 3 7 3 6" xfId="29198"/>
    <cellStyle name="Normal 3 7 3 6 2" xfId="29199"/>
    <cellStyle name="Normal 3 7 3 7" xfId="29200"/>
    <cellStyle name="Normal 3 7 4" xfId="29201"/>
    <cellStyle name="Normal 3 7 4 2" xfId="29202"/>
    <cellStyle name="Normal 3 7 4 2 2" xfId="29203"/>
    <cellStyle name="Normal 3 7 4 2 2 2" xfId="29204"/>
    <cellStyle name="Normal 3 7 4 2 2 3" xfId="29205"/>
    <cellStyle name="Normal 3 7 4 2 3" xfId="29206"/>
    <cellStyle name="Normal 3 7 4 2 3 2" xfId="29207"/>
    <cellStyle name="Normal 3 7 4 2 4" xfId="29208"/>
    <cellStyle name="Normal 3 7 4 2 4 2" xfId="29209"/>
    <cellStyle name="Normal 3 7 4 2 5" xfId="29210"/>
    <cellStyle name="Normal 3 7 4 3" xfId="29211"/>
    <cellStyle name="Normal 3 7 4 3 2" xfId="29212"/>
    <cellStyle name="Normal 3 7 4 3 2 2" xfId="29213"/>
    <cellStyle name="Normal 3 7 4 3 3" xfId="29214"/>
    <cellStyle name="Normal 3 7 4 3 3 2" xfId="29215"/>
    <cellStyle name="Normal 3 7 4 3 4" xfId="29216"/>
    <cellStyle name="Normal 3 7 4 4" xfId="29217"/>
    <cellStyle name="Normal 3 7 4 4 2" xfId="29218"/>
    <cellStyle name="Normal 3 7 4 4 3" xfId="29219"/>
    <cellStyle name="Normal 3 7 4 5" xfId="29220"/>
    <cellStyle name="Normal 3 7 4 5 2" xfId="29221"/>
    <cellStyle name="Normal 3 7 4 6" xfId="29222"/>
    <cellStyle name="Normal 3 7 4 6 2" xfId="29223"/>
    <cellStyle name="Normal 3 7 4 7" xfId="29224"/>
    <cellStyle name="Normal 3 7 5" xfId="29225"/>
    <cellStyle name="Normal 3 7 5 2" xfId="29226"/>
    <cellStyle name="Normal 3 7 5 2 2" xfId="29227"/>
    <cellStyle name="Normal 3 7 5 2 2 2" xfId="29228"/>
    <cellStyle name="Normal 3 7 5 2 3" xfId="29229"/>
    <cellStyle name="Normal 3 7 5 2 3 2" xfId="29230"/>
    <cellStyle name="Normal 3 7 5 2 4" xfId="29231"/>
    <cellStyle name="Normal 3 7 5 3" xfId="29232"/>
    <cellStyle name="Normal 3 7 5 3 2" xfId="29233"/>
    <cellStyle name="Normal 3 7 5 3 3" xfId="29234"/>
    <cellStyle name="Normal 3 7 5 4" xfId="29235"/>
    <cellStyle name="Normal 3 7 5 4 2" xfId="29236"/>
    <cellStyle name="Normal 3 7 5 5" xfId="29237"/>
    <cellStyle name="Normal 3 7 5 5 2" xfId="29238"/>
    <cellStyle name="Normal 3 7 5 6" xfId="29239"/>
    <cellStyle name="Normal 3 7 6" xfId="29240"/>
    <cellStyle name="Normal 3 7 6 2" xfId="29241"/>
    <cellStyle name="Normal 3 7 6 2 2" xfId="29242"/>
    <cellStyle name="Normal 3 7 6 3" xfId="29243"/>
    <cellStyle name="Normal 3 7 6 3 2" xfId="29244"/>
    <cellStyle name="Normal 3 7 6 4" xfId="29245"/>
    <cellStyle name="Normal 3 7 7" xfId="29246"/>
    <cellStyle name="Normal 3 7 7 2" xfId="29247"/>
    <cellStyle name="Normal 3 7 7 2 2" xfId="29248"/>
    <cellStyle name="Normal 3 7 7 3" xfId="29249"/>
    <cellStyle name="Normal 3 7 7 3 2" xfId="29250"/>
    <cellStyle name="Normal 3 7 7 4" xfId="29251"/>
    <cellStyle name="Normal 3 7 8" xfId="29252"/>
    <cellStyle name="Normal 3 7 8 2" xfId="29253"/>
    <cellStyle name="Normal 3 7 8 3" xfId="29254"/>
    <cellStyle name="Normal 3 7 9" xfId="29255"/>
    <cellStyle name="Normal 3 7 9 2" xfId="29256"/>
    <cellStyle name="Normal 3 8" xfId="29257"/>
    <cellStyle name="Normal 3 8 10" xfId="29258"/>
    <cellStyle name="Normal 3 8 2" xfId="29259"/>
    <cellStyle name="Normal 3 8 2 2" xfId="29260"/>
    <cellStyle name="Normal 3 8 2 2 2" xfId="29261"/>
    <cellStyle name="Normal 3 8 2 2 2 2" xfId="29262"/>
    <cellStyle name="Normal 3 8 2 2 2 3" xfId="29263"/>
    <cellStyle name="Normal 3 8 2 2 3" xfId="29264"/>
    <cellStyle name="Normal 3 8 2 2 3 2" xfId="29265"/>
    <cellStyle name="Normal 3 8 2 2 4" xfId="29266"/>
    <cellStyle name="Normal 3 8 2 2 4 2" xfId="29267"/>
    <cellStyle name="Normal 3 8 2 2 5" xfId="29268"/>
    <cellStyle name="Normal 3 8 2 3" xfId="29269"/>
    <cellStyle name="Normal 3 8 2 3 2" xfId="29270"/>
    <cellStyle name="Normal 3 8 2 3 2 2" xfId="29271"/>
    <cellStyle name="Normal 3 8 2 3 3" xfId="29272"/>
    <cellStyle name="Normal 3 8 2 3 3 2" xfId="29273"/>
    <cellStyle name="Normal 3 8 2 3 4" xfId="29274"/>
    <cellStyle name="Normal 3 8 2 4" xfId="29275"/>
    <cellStyle name="Normal 3 8 2 4 2" xfId="29276"/>
    <cellStyle name="Normal 3 8 2 4 3" xfId="29277"/>
    <cellStyle name="Normal 3 8 2 5" xfId="29278"/>
    <cellStyle name="Normal 3 8 2 5 2" xfId="29279"/>
    <cellStyle name="Normal 3 8 2 6" xfId="29280"/>
    <cellStyle name="Normal 3 8 2 6 2" xfId="29281"/>
    <cellStyle name="Normal 3 8 2 7" xfId="29282"/>
    <cellStyle name="Normal 3 8 3" xfId="29283"/>
    <cellStyle name="Normal 3 8 3 2" xfId="29284"/>
    <cellStyle name="Normal 3 8 3 2 2" xfId="29285"/>
    <cellStyle name="Normal 3 8 3 2 2 2" xfId="29286"/>
    <cellStyle name="Normal 3 8 3 2 2 3" xfId="29287"/>
    <cellStyle name="Normal 3 8 3 2 3" xfId="29288"/>
    <cellStyle name="Normal 3 8 3 2 3 2" xfId="29289"/>
    <cellStyle name="Normal 3 8 3 2 4" xfId="29290"/>
    <cellStyle name="Normal 3 8 3 2 4 2" xfId="29291"/>
    <cellStyle name="Normal 3 8 3 2 5" xfId="29292"/>
    <cellStyle name="Normal 3 8 3 3" xfId="29293"/>
    <cellStyle name="Normal 3 8 3 3 2" xfId="29294"/>
    <cellStyle name="Normal 3 8 3 3 2 2" xfId="29295"/>
    <cellStyle name="Normal 3 8 3 3 3" xfId="29296"/>
    <cellStyle name="Normal 3 8 3 3 3 2" xfId="29297"/>
    <cellStyle name="Normal 3 8 3 3 4" xfId="29298"/>
    <cellStyle name="Normal 3 8 3 4" xfId="29299"/>
    <cellStyle name="Normal 3 8 3 4 2" xfId="29300"/>
    <cellStyle name="Normal 3 8 3 4 3" xfId="29301"/>
    <cellStyle name="Normal 3 8 3 5" xfId="29302"/>
    <cellStyle name="Normal 3 8 3 5 2" xfId="29303"/>
    <cellStyle name="Normal 3 8 3 6" xfId="29304"/>
    <cellStyle name="Normal 3 8 3 6 2" xfId="29305"/>
    <cellStyle name="Normal 3 8 3 7" xfId="29306"/>
    <cellStyle name="Normal 3 8 4" xfId="29307"/>
    <cellStyle name="Normal 3 8 4 2" xfId="29308"/>
    <cellStyle name="Normal 3 8 4 2 2" xfId="29309"/>
    <cellStyle name="Normal 3 8 4 2 2 2" xfId="29310"/>
    <cellStyle name="Normal 3 8 4 2 3" xfId="29311"/>
    <cellStyle name="Normal 3 8 4 2 3 2" xfId="29312"/>
    <cellStyle name="Normal 3 8 4 2 4" xfId="29313"/>
    <cellStyle name="Normal 3 8 4 3" xfId="29314"/>
    <cellStyle name="Normal 3 8 4 3 2" xfId="29315"/>
    <cellStyle name="Normal 3 8 4 3 3" xfId="29316"/>
    <cellStyle name="Normal 3 8 4 4" xfId="29317"/>
    <cellStyle name="Normal 3 8 4 4 2" xfId="29318"/>
    <cellStyle name="Normal 3 8 4 5" xfId="29319"/>
    <cellStyle name="Normal 3 8 4 5 2" xfId="29320"/>
    <cellStyle name="Normal 3 8 4 6" xfId="29321"/>
    <cellStyle name="Normal 3 8 5" xfId="29322"/>
    <cellStyle name="Normal 3 8 5 2" xfId="29323"/>
    <cellStyle name="Normal 3 8 5 2 2" xfId="29324"/>
    <cellStyle name="Normal 3 8 5 3" xfId="29325"/>
    <cellStyle name="Normal 3 8 5 3 2" xfId="29326"/>
    <cellStyle name="Normal 3 8 5 4" xfId="29327"/>
    <cellStyle name="Normal 3 8 6" xfId="29328"/>
    <cellStyle name="Normal 3 8 6 2" xfId="29329"/>
    <cellStyle name="Normal 3 8 6 2 2" xfId="29330"/>
    <cellStyle name="Normal 3 8 6 3" xfId="29331"/>
    <cellStyle name="Normal 3 8 6 3 2" xfId="29332"/>
    <cellStyle name="Normal 3 8 6 4" xfId="29333"/>
    <cellStyle name="Normal 3 8 7" xfId="29334"/>
    <cellStyle name="Normal 3 8 7 2" xfId="29335"/>
    <cellStyle name="Normal 3 8 7 3" xfId="29336"/>
    <cellStyle name="Normal 3 8 8" xfId="29337"/>
    <cellStyle name="Normal 3 8 8 2" xfId="29338"/>
    <cellStyle name="Normal 3 8 9" xfId="29339"/>
    <cellStyle name="Normal 3 8 9 2" xfId="29340"/>
    <cellStyle name="Normal 3 9" xfId="29341"/>
    <cellStyle name="Normal 3 9 2" xfId="29342"/>
    <cellStyle name="Normal 3 9 2 2" xfId="29343"/>
    <cellStyle name="Normal 3 9 2 2 2" xfId="29344"/>
    <cellStyle name="Normal 3 9 2 2 2 2" xfId="29345"/>
    <cellStyle name="Normal 3 9 2 2 2 3" xfId="29346"/>
    <cellStyle name="Normal 3 9 2 2 3" xfId="29347"/>
    <cellStyle name="Normal 3 9 2 2 3 2" xfId="29348"/>
    <cellStyle name="Normal 3 9 2 2 4" xfId="29349"/>
    <cellStyle name="Normal 3 9 2 2 4 2" xfId="29350"/>
    <cellStyle name="Normal 3 9 2 2 5" xfId="29351"/>
    <cellStyle name="Normal 3 9 2 3" xfId="29352"/>
    <cellStyle name="Normal 3 9 2 3 2" xfId="29353"/>
    <cellStyle name="Normal 3 9 2 3 2 2" xfId="29354"/>
    <cellStyle name="Normal 3 9 2 3 3" xfId="29355"/>
    <cellStyle name="Normal 3 9 2 3 3 2" xfId="29356"/>
    <cellStyle name="Normal 3 9 2 3 4" xfId="29357"/>
    <cellStyle name="Normal 3 9 2 4" xfId="29358"/>
    <cellStyle name="Normal 3 9 2 4 2" xfId="29359"/>
    <cellStyle name="Normal 3 9 2 4 3" xfId="29360"/>
    <cellStyle name="Normal 3 9 2 5" xfId="29361"/>
    <cellStyle name="Normal 3 9 2 5 2" xfId="29362"/>
    <cellStyle name="Normal 3 9 2 6" xfId="29363"/>
    <cellStyle name="Normal 3 9 2 6 2" xfId="29364"/>
    <cellStyle name="Normal 3 9 2 7" xfId="29365"/>
    <cellStyle name="Normal 3 9 3" xfId="29366"/>
    <cellStyle name="Normal 3 9 3 2" xfId="29367"/>
    <cellStyle name="Normal 3 9 3 2 2" xfId="29368"/>
    <cellStyle name="Normal 3 9 3 2 3" xfId="29369"/>
    <cellStyle name="Normal 3 9 3 3" xfId="29370"/>
    <cellStyle name="Normal 3 9 3 3 2" xfId="29371"/>
    <cellStyle name="Normal 3 9 3 4" xfId="29372"/>
    <cellStyle name="Normal 3 9 3 4 2" xfId="29373"/>
    <cellStyle name="Normal 3 9 3 5" xfId="29374"/>
    <cellStyle name="Normal 3 9 4" xfId="29375"/>
    <cellStyle name="Normal 3 9 4 2" xfId="29376"/>
    <cellStyle name="Normal 3 9 4 2 2" xfId="29377"/>
    <cellStyle name="Normal 3 9 4 3" xfId="29378"/>
    <cellStyle name="Normal 3 9 4 3 2" xfId="29379"/>
    <cellStyle name="Normal 3 9 4 4" xfId="29380"/>
    <cellStyle name="Normal 3 9 5" xfId="29381"/>
    <cellStyle name="Normal 3 9 5 2" xfId="29382"/>
    <cellStyle name="Normal 3 9 5 3" xfId="29383"/>
    <cellStyle name="Normal 3 9 6" xfId="29384"/>
    <cellStyle name="Normal 3 9 6 2" xfId="29385"/>
    <cellStyle name="Normal 3 9 7" xfId="29386"/>
    <cellStyle name="Normal 3 9 7 2" xfId="29387"/>
    <cellStyle name="Normal 3 9 8" xfId="29388"/>
    <cellStyle name="Normal 30" xfId="29389"/>
    <cellStyle name="Normal 30 2" xfId="29390"/>
    <cellStyle name="Normal 30 3" xfId="29391"/>
    <cellStyle name="Normal 31" xfId="29392"/>
    <cellStyle name="Normal 31 2" xfId="29393"/>
    <cellStyle name="Normal 31 3" xfId="29394"/>
    <cellStyle name="Normal 32" xfId="29395"/>
    <cellStyle name="Normal 32 2" xfId="29396"/>
    <cellStyle name="Normal 32 3" xfId="29397"/>
    <cellStyle name="Normal 33" xfId="29398"/>
    <cellStyle name="Normal 33 2" xfId="29399"/>
    <cellStyle name="Normal 33 3" xfId="29400"/>
    <cellStyle name="Normal 34" xfId="29401"/>
    <cellStyle name="Normal 34 2" xfId="29402"/>
    <cellStyle name="Normal 34 3" xfId="29403"/>
    <cellStyle name="Normal 35" xfId="29404"/>
    <cellStyle name="Normal 35 2" xfId="29405"/>
    <cellStyle name="Normal 35 3" xfId="29406"/>
    <cellStyle name="Normal 35 4" xfId="29407"/>
    <cellStyle name="Normal 36" xfId="29408"/>
    <cellStyle name="Normal 36 2" xfId="29409"/>
    <cellStyle name="Normal 36 3" xfId="29410"/>
    <cellStyle name="Normal 37" xfId="29411"/>
    <cellStyle name="Normal 37 2" xfId="29412"/>
    <cellStyle name="Normal 37 3" xfId="29413"/>
    <cellStyle name="Normal 38" xfId="29414"/>
    <cellStyle name="Normal 38 2" xfId="29415"/>
    <cellStyle name="Normal 38 3" xfId="29416"/>
    <cellStyle name="Normal 39" xfId="29417"/>
    <cellStyle name="Normal 39 2" xfId="29418"/>
    <cellStyle name="Normal 4" xfId="29419"/>
    <cellStyle name="Normal 4 2" xfId="29420"/>
    <cellStyle name="Normal 4 2 2" xfId="29421"/>
    <cellStyle name="Normal 4 2 2 2" xfId="29422"/>
    <cellStyle name="Normal 4 2 2 2 2" xfId="29423"/>
    <cellStyle name="Normal 4 2 2 3" xfId="29424"/>
    <cellStyle name="Normal 4 2 3" xfId="29425"/>
    <cellStyle name="Normal 4 2 4" xfId="29426"/>
    <cellStyle name="Normal 4 3" xfId="29427"/>
    <cellStyle name="Normal 4 3 2" xfId="29428"/>
    <cellStyle name="Normal 4 3 2 2" xfId="29429"/>
    <cellStyle name="Normal 4 3 2 3" xfId="29430"/>
    <cellStyle name="Normal 4 3 2 4" xfId="29431"/>
    <cellStyle name="Normal 4 3 3" xfId="29432"/>
    <cellStyle name="Normal 4 3 3 2" xfId="29433"/>
    <cellStyle name="Normal 4 3 4" xfId="29434"/>
    <cellStyle name="Normal 4 4" xfId="29435"/>
    <cellStyle name="Normal 4 4 2" xfId="29436"/>
    <cellStyle name="Normal 4 4 2 2" xfId="29437"/>
    <cellStyle name="Normal 4 4 2 3" xfId="29438"/>
    <cellStyle name="Normal 4 4 3" xfId="29439"/>
    <cellStyle name="Normal 4 4 4" xfId="29440"/>
    <cellStyle name="Normal 4 4 5" xfId="29441"/>
    <cellStyle name="Normal 4 5" xfId="29442"/>
    <cellStyle name="Normal 4 5 2" xfId="29443"/>
    <cellStyle name="Normal 4 5 2 2" xfId="29444"/>
    <cellStyle name="Normal 4 5 3" xfId="29445"/>
    <cellStyle name="Normal 4 5 4" xfId="29446"/>
    <cellStyle name="Normal 4 5 5" xfId="29447"/>
    <cellStyle name="Normal 4 6" xfId="29448"/>
    <cellStyle name="Normal 40" xfId="29449"/>
    <cellStyle name="Normal 40 2" xfId="29450"/>
    <cellStyle name="Normal 41" xfId="29451"/>
    <cellStyle name="Normal 41 2" xfId="29452"/>
    <cellStyle name="Normal 42" xfId="29453"/>
    <cellStyle name="Normal 42 2" xfId="29454"/>
    <cellStyle name="Normal 43" xfId="29455"/>
    <cellStyle name="Normal 43 2" xfId="29456"/>
    <cellStyle name="Normal 44" xfId="29457"/>
    <cellStyle name="Normal 44 2" xfId="29458"/>
    <cellStyle name="Normal 45" xfId="29459"/>
    <cellStyle name="Normal 45 2" xfId="29460"/>
    <cellStyle name="Normal 46" xfId="29461"/>
    <cellStyle name="Normal 46 2" xfId="29462"/>
    <cellStyle name="Normal 47" xfId="29463"/>
    <cellStyle name="Normal 47 2" xfId="29464"/>
    <cellStyle name="Normal 48" xfId="29465"/>
    <cellStyle name="Normal 48 2" xfId="29466"/>
    <cellStyle name="Normal 48 3" xfId="29467"/>
    <cellStyle name="Normal 49" xfId="29468"/>
    <cellStyle name="Normal 49 2" xfId="29469"/>
    <cellStyle name="Normal 5" xfId="29470"/>
    <cellStyle name="Normal 5 10" xfId="29471"/>
    <cellStyle name="Normal 5 10 2" xfId="29472"/>
    <cellStyle name="Normal 5 10 2 2" xfId="29473"/>
    <cellStyle name="Normal 5 10 3" xfId="29474"/>
    <cellStyle name="Normal 5 10 3 2" xfId="29475"/>
    <cellStyle name="Normal 5 10 4" xfId="29476"/>
    <cellStyle name="Normal 5 10 4 2" xfId="29477"/>
    <cellStyle name="Normal 5 10 5" xfId="29478"/>
    <cellStyle name="Normal 5 10 6" xfId="29479"/>
    <cellStyle name="Normal 5 11" xfId="29480"/>
    <cellStyle name="Normal 5 11 2" xfId="29481"/>
    <cellStyle name="Normal 5 11 2 2" xfId="29482"/>
    <cellStyle name="Normal 5 11 3" xfId="29483"/>
    <cellStyle name="Normal 5 11 3 2" xfId="29484"/>
    <cellStyle name="Normal 5 11 4" xfId="29485"/>
    <cellStyle name="Normal 5 11 5" xfId="29486"/>
    <cellStyle name="Normal 5 12" xfId="29487"/>
    <cellStyle name="Normal 5 12 2" xfId="29488"/>
    <cellStyle name="Normal 5 13" xfId="29489"/>
    <cellStyle name="Normal 5 13 2" xfId="29490"/>
    <cellStyle name="Normal 5 14" xfId="29491"/>
    <cellStyle name="Normal 5 14 2" xfId="29492"/>
    <cellStyle name="Normal 5 15" xfId="29493"/>
    <cellStyle name="Normal 5 16" xfId="29494"/>
    <cellStyle name="Normal 5 17" xfId="29495"/>
    <cellStyle name="Normal 5 18" xfId="29496"/>
    <cellStyle name="Normal 5 2" xfId="29497"/>
    <cellStyle name="Normal 5 2 10" xfId="29498"/>
    <cellStyle name="Normal 5 2 10 2" xfId="29499"/>
    <cellStyle name="Normal 5 2 11" xfId="29500"/>
    <cellStyle name="Normal 5 2 11 2" xfId="29501"/>
    <cellStyle name="Normal 5 2 12" xfId="29502"/>
    <cellStyle name="Normal 5 2 13" xfId="29503"/>
    <cellStyle name="Normal 5 2 14" xfId="29504"/>
    <cellStyle name="Normal 5 2 2" xfId="29505"/>
    <cellStyle name="Normal 5 2 2 10" xfId="29506"/>
    <cellStyle name="Normal 5 2 2 11" xfId="29507"/>
    <cellStyle name="Normal 5 2 2 12" xfId="29508"/>
    <cellStyle name="Normal 5 2 2 2" xfId="29509"/>
    <cellStyle name="Normal 5 2 2 2 2" xfId="29510"/>
    <cellStyle name="Normal 5 2 2 2 2 2" xfId="29511"/>
    <cellStyle name="Normal 5 2 2 2 2 3" xfId="29512"/>
    <cellStyle name="Normal 5 2 2 2 3" xfId="29513"/>
    <cellStyle name="Normal 5 2 2 2 3 2" xfId="29514"/>
    <cellStyle name="Normal 5 2 2 2 4" xfId="29515"/>
    <cellStyle name="Normal 5 2 2 2 4 2" xfId="29516"/>
    <cellStyle name="Normal 5 2 2 2 5" xfId="29517"/>
    <cellStyle name="Normal 5 2 2 2 6" xfId="29518"/>
    <cellStyle name="Normal 5 2 2 2 7" xfId="29519"/>
    <cellStyle name="Normal 5 2 2 3" xfId="29520"/>
    <cellStyle name="Normal 5 2 2 3 2" xfId="29521"/>
    <cellStyle name="Normal 5 2 2 3 2 2" xfId="29522"/>
    <cellStyle name="Normal 5 2 2 3 3" xfId="29523"/>
    <cellStyle name="Normal 5 2 2 3 3 2" xfId="29524"/>
    <cellStyle name="Normal 5 2 2 3 4" xfId="29525"/>
    <cellStyle name="Normal 5 2 2 3 4 2" xfId="29526"/>
    <cellStyle name="Normal 5 2 2 3 5" xfId="29527"/>
    <cellStyle name="Normal 5 2 2 3 6" xfId="29528"/>
    <cellStyle name="Normal 5 2 2 3 7" xfId="29529"/>
    <cellStyle name="Normal 5 2 2 4" xfId="29530"/>
    <cellStyle name="Normal 5 2 2 4 2" xfId="29531"/>
    <cellStyle name="Normal 5 2 2 4 2 2" xfId="29532"/>
    <cellStyle name="Normal 5 2 2 4 3" xfId="29533"/>
    <cellStyle name="Normal 5 2 2 4 3 2" xfId="29534"/>
    <cellStyle name="Normal 5 2 2 4 4" xfId="29535"/>
    <cellStyle name="Normal 5 2 2 4 4 2" xfId="29536"/>
    <cellStyle name="Normal 5 2 2 4 5" xfId="29537"/>
    <cellStyle name="Normal 5 2 2 4 6" xfId="29538"/>
    <cellStyle name="Normal 5 2 2 4 7" xfId="29539"/>
    <cellStyle name="Normal 5 2 2 5" xfId="29540"/>
    <cellStyle name="Normal 5 2 2 5 2" xfId="29541"/>
    <cellStyle name="Normal 5 2 2 5 2 2" xfId="29542"/>
    <cellStyle name="Normal 5 2 2 5 3" xfId="29543"/>
    <cellStyle name="Normal 5 2 2 5 3 2" xfId="29544"/>
    <cellStyle name="Normal 5 2 2 5 4" xfId="29545"/>
    <cellStyle name="Normal 5 2 2 5 4 2" xfId="29546"/>
    <cellStyle name="Normal 5 2 2 5 5" xfId="29547"/>
    <cellStyle name="Normal 5 2 2 5 6" xfId="29548"/>
    <cellStyle name="Normal 5 2 2 6" xfId="29549"/>
    <cellStyle name="Normal 5 2 2 6 2" xfId="29550"/>
    <cellStyle name="Normal 5 2 2 6 2 2" xfId="29551"/>
    <cellStyle name="Normal 5 2 2 6 3" xfId="29552"/>
    <cellStyle name="Normal 5 2 2 6 3 2" xfId="29553"/>
    <cellStyle name="Normal 5 2 2 6 4" xfId="29554"/>
    <cellStyle name="Normal 5 2 2 6 5" xfId="29555"/>
    <cellStyle name="Normal 5 2 2 7" xfId="29556"/>
    <cellStyle name="Normal 5 2 2 7 2" xfId="29557"/>
    <cellStyle name="Normal 5 2 2 8" xfId="29558"/>
    <cellStyle name="Normal 5 2 2 8 2" xfId="29559"/>
    <cellStyle name="Normal 5 2 2 9" xfId="29560"/>
    <cellStyle name="Normal 5 2 2 9 2" xfId="29561"/>
    <cellStyle name="Normal 5 2 3" xfId="29562"/>
    <cellStyle name="Normal 5 2 3 10" xfId="29563"/>
    <cellStyle name="Normal 5 2 3 11" xfId="29564"/>
    <cellStyle name="Normal 5 2 3 2" xfId="29565"/>
    <cellStyle name="Normal 5 2 3 2 2" xfId="29566"/>
    <cellStyle name="Normal 5 2 3 2 2 2" xfId="29567"/>
    <cellStyle name="Normal 5 2 3 2 3" xfId="29568"/>
    <cellStyle name="Normal 5 2 3 2 3 2" xfId="29569"/>
    <cellStyle name="Normal 5 2 3 2 4" xfId="29570"/>
    <cellStyle name="Normal 5 2 3 2 4 2" xfId="29571"/>
    <cellStyle name="Normal 5 2 3 2 5" xfId="29572"/>
    <cellStyle name="Normal 5 2 3 2 6" xfId="29573"/>
    <cellStyle name="Normal 5 2 3 2 7" xfId="29574"/>
    <cellStyle name="Normal 5 2 3 3" xfId="29575"/>
    <cellStyle name="Normal 5 2 3 3 2" xfId="29576"/>
    <cellStyle name="Normal 5 2 3 3 2 2" xfId="29577"/>
    <cellStyle name="Normal 5 2 3 3 3" xfId="29578"/>
    <cellStyle name="Normal 5 2 3 3 3 2" xfId="29579"/>
    <cellStyle name="Normal 5 2 3 3 4" xfId="29580"/>
    <cellStyle name="Normal 5 2 3 3 4 2" xfId="29581"/>
    <cellStyle name="Normal 5 2 3 3 5" xfId="29582"/>
    <cellStyle name="Normal 5 2 3 3 6" xfId="29583"/>
    <cellStyle name="Normal 5 2 3 4" xfId="29584"/>
    <cellStyle name="Normal 5 2 3 4 2" xfId="29585"/>
    <cellStyle name="Normal 5 2 3 4 2 2" xfId="29586"/>
    <cellStyle name="Normal 5 2 3 4 3" xfId="29587"/>
    <cellStyle name="Normal 5 2 3 4 3 2" xfId="29588"/>
    <cellStyle name="Normal 5 2 3 4 4" xfId="29589"/>
    <cellStyle name="Normal 5 2 3 4 4 2" xfId="29590"/>
    <cellStyle name="Normal 5 2 3 4 5" xfId="29591"/>
    <cellStyle name="Normal 5 2 3 4 6" xfId="29592"/>
    <cellStyle name="Normal 5 2 3 5" xfId="29593"/>
    <cellStyle name="Normal 5 2 3 5 2" xfId="29594"/>
    <cellStyle name="Normal 5 2 3 5 2 2" xfId="29595"/>
    <cellStyle name="Normal 5 2 3 5 3" xfId="29596"/>
    <cellStyle name="Normal 5 2 3 5 3 2" xfId="29597"/>
    <cellStyle name="Normal 5 2 3 5 4" xfId="29598"/>
    <cellStyle name="Normal 5 2 3 5 5" xfId="29599"/>
    <cellStyle name="Normal 5 2 3 6" xfId="29600"/>
    <cellStyle name="Normal 5 2 3 6 2" xfId="29601"/>
    <cellStyle name="Normal 5 2 3 7" xfId="29602"/>
    <cellStyle name="Normal 5 2 3 7 2" xfId="29603"/>
    <cellStyle name="Normal 5 2 3 8" xfId="29604"/>
    <cellStyle name="Normal 5 2 3 8 2" xfId="29605"/>
    <cellStyle name="Normal 5 2 3 9" xfId="29606"/>
    <cellStyle name="Normal 5 2 4" xfId="29607"/>
    <cellStyle name="Normal 5 2 4 10" xfId="29608"/>
    <cellStyle name="Normal 5 2 4 11" xfId="29609"/>
    <cellStyle name="Normal 5 2 4 2" xfId="29610"/>
    <cellStyle name="Normal 5 2 4 2 2" xfId="29611"/>
    <cellStyle name="Normal 5 2 4 2 2 2" xfId="29612"/>
    <cellStyle name="Normal 5 2 4 2 3" xfId="29613"/>
    <cellStyle name="Normal 5 2 4 2 3 2" xfId="29614"/>
    <cellStyle name="Normal 5 2 4 2 4" xfId="29615"/>
    <cellStyle name="Normal 5 2 4 2 4 2" xfId="29616"/>
    <cellStyle name="Normal 5 2 4 2 5" xfId="29617"/>
    <cellStyle name="Normal 5 2 4 2 6" xfId="29618"/>
    <cellStyle name="Normal 5 2 4 3" xfId="29619"/>
    <cellStyle name="Normal 5 2 4 3 2" xfId="29620"/>
    <cellStyle name="Normal 5 2 4 3 2 2" xfId="29621"/>
    <cellStyle name="Normal 5 2 4 3 3" xfId="29622"/>
    <cellStyle name="Normal 5 2 4 3 3 2" xfId="29623"/>
    <cellStyle name="Normal 5 2 4 3 4" xfId="29624"/>
    <cellStyle name="Normal 5 2 4 3 4 2" xfId="29625"/>
    <cellStyle name="Normal 5 2 4 3 5" xfId="29626"/>
    <cellStyle name="Normal 5 2 4 3 6" xfId="29627"/>
    <cellStyle name="Normal 5 2 4 4" xfId="29628"/>
    <cellStyle name="Normal 5 2 4 4 2" xfId="29629"/>
    <cellStyle name="Normal 5 2 4 4 2 2" xfId="29630"/>
    <cellStyle name="Normal 5 2 4 4 3" xfId="29631"/>
    <cellStyle name="Normal 5 2 4 4 3 2" xfId="29632"/>
    <cellStyle name="Normal 5 2 4 4 4" xfId="29633"/>
    <cellStyle name="Normal 5 2 4 4 4 2" xfId="29634"/>
    <cellStyle name="Normal 5 2 4 4 5" xfId="29635"/>
    <cellStyle name="Normal 5 2 4 4 6" xfId="29636"/>
    <cellStyle name="Normal 5 2 4 5" xfId="29637"/>
    <cellStyle name="Normal 5 2 4 5 2" xfId="29638"/>
    <cellStyle name="Normal 5 2 4 5 2 2" xfId="29639"/>
    <cellStyle name="Normal 5 2 4 5 3" xfId="29640"/>
    <cellStyle name="Normal 5 2 4 5 3 2" xfId="29641"/>
    <cellStyle name="Normal 5 2 4 5 4" xfId="29642"/>
    <cellStyle name="Normal 5 2 4 5 5" xfId="29643"/>
    <cellStyle name="Normal 5 2 4 6" xfId="29644"/>
    <cellStyle name="Normal 5 2 4 6 2" xfId="29645"/>
    <cellStyle name="Normal 5 2 4 7" xfId="29646"/>
    <cellStyle name="Normal 5 2 4 7 2" xfId="29647"/>
    <cellStyle name="Normal 5 2 4 8" xfId="29648"/>
    <cellStyle name="Normal 5 2 4 8 2" xfId="29649"/>
    <cellStyle name="Normal 5 2 4 9" xfId="29650"/>
    <cellStyle name="Normal 5 2 5" xfId="29651"/>
    <cellStyle name="Normal 5 2 5 2" xfId="29652"/>
    <cellStyle name="Normal 5 2 5 2 2" xfId="29653"/>
    <cellStyle name="Normal 5 2 5 3" xfId="29654"/>
    <cellStyle name="Normal 5 2 5 3 2" xfId="29655"/>
    <cellStyle name="Normal 5 2 5 4" xfId="29656"/>
    <cellStyle name="Normal 5 2 5 4 2" xfId="29657"/>
    <cellStyle name="Normal 5 2 5 5" xfId="29658"/>
    <cellStyle name="Normal 5 2 5 6" xfId="29659"/>
    <cellStyle name="Normal 5 2 6" xfId="29660"/>
    <cellStyle name="Normal 5 2 6 2" xfId="29661"/>
    <cellStyle name="Normal 5 2 6 2 2" xfId="29662"/>
    <cellStyle name="Normal 5 2 6 3" xfId="29663"/>
    <cellStyle name="Normal 5 2 6 3 2" xfId="29664"/>
    <cellStyle name="Normal 5 2 6 4" xfId="29665"/>
    <cellStyle name="Normal 5 2 6 4 2" xfId="29666"/>
    <cellStyle name="Normal 5 2 6 5" xfId="29667"/>
    <cellStyle name="Normal 5 2 6 6" xfId="29668"/>
    <cellStyle name="Normal 5 2 7" xfId="29669"/>
    <cellStyle name="Normal 5 2 7 2" xfId="29670"/>
    <cellStyle name="Normal 5 2 7 2 2" xfId="29671"/>
    <cellStyle name="Normal 5 2 7 3" xfId="29672"/>
    <cellStyle name="Normal 5 2 7 3 2" xfId="29673"/>
    <cellStyle name="Normal 5 2 7 4" xfId="29674"/>
    <cellStyle name="Normal 5 2 7 4 2" xfId="29675"/>
    <cellStyle name="Normal 5 2 7 5" xfId="29676"/>
    <cellStyle name="Normal 5 2 7 6" xfId="29677"/>
    <cellStyle name="Normal 5 2 8" xfId="29678"/>
    <cellStyle name="Normal 5 2 8 2" xfId="29679"/>
    <cellStyle name="Normal 5 2 8 2 2" xfId="29680"/>
    <cellStyle name="Normal 5 2 8 3" xfId="29681"/>
    <cellStyle name="Normal 5 2 8 3 2" xfId="29682"/>
    <cellStyle name="Normal 5 2 8 4" xfId="29683"/>
    <cellStyle name="Normal 5 2 8 5" xfId="29684"/>
    <cellStyle name="Normal 5 2 9" xfId="29685"/>
    <cellStyle name="Normal 5 2 9 2" xfId="29686"/>
    <cellStyle name="Normal 5 3" xfId="29687"/>
    <cellStyle name="Normal 5 3 10" xfId="29688"/>
    <cellStyle name="Normal 5 3 10 2" xfId="29689"/>
    <cellStyle name="Normal 5 3 11" xfId="29690"/>
    <cellStyle name="Normal 5 3 11 2" xfId="29691"/>
    <cellStyle name="Normal 5 3 12" xfId="29692"/>
    <cellStyle name="Normal 5 3 13" xfId="29693"/>
    <cellStyle name="Normal 5 3 14" xfId="29694"/>
    <cellStyle name="Normal 5 3 2" xfId="29695"/>
    <cellStyle name="Normal 5 3 2 10" xfId="29696"/>
    <cellStyle name="Normal 5 3 2 11" xfId="29697"/>
    <cellStyle name="Normal 5 3 2 12" xfId="29698"/>
    <cellStyle name="Normal 5 3 2 2" xfId="29699"/>
    <cellStyle name="Normal 5 3 2 2 2" xfId="29700"/>
    <cellStyle name="Normal 5 3 2 2 2 2" xfId="29701"/>
    <cellStyle name="Normal 5 3 2 2 3" xfId="29702"/>
    <cellStyle name="Normal 5 3 2 2 3 2" xfId="29703"/>
    <cellStyle name="Normal 5 3 2 2 4" xfId="29704"/>
    <cellStyle name="Normal 5 3 2 2 4 2" xfId="29705"/>
    <cellStyle name="Normal 5 3 2 2 5" xfId="29706"/>
    <cellStyle name="Normal 5 3 2 2 6" xfId="29707"/>
    <cellStyle name="Normal 5 3 2 2 7" xfId="29708"/>
    <cellStyle name="Normal 5 3 2 3" xfId="29709"/>
    <cellStyle name="Normal 5 3 2 3 2" xfId="29710"/>
    <cellStyle name="Normal 5 3 2 3 2 2" xfId="29711"/>
    <cellStyle name="Normal 5 3 2 3 3" xfId="29712"/>
    <cellStyle name="Normal 5 3 2 3 3 2" xfId="29713"/>
    <cellStyle name="Normal 5 3 2 3 4" xfId="29714"/>
    <cellStyle name="Normal 5 3 2 3 4 2" xfId="29715"/>
    <cellStyle name="Normal 5 3 2 3 5" xfId="29716"/>
    <cellStyle name="Normal 5 3 2 3 6" xfId="29717"/>
    <cellStyle name="Normal 5 3 2 4" xfId="29718"/>
    <cellStyle name="Normal 5 3 2 4 2" xfId="29719"/>
    <cellStyle name="Normal 5 3 2 4 2 2" xfId="29720"/>
    <cellStyle name="Normal 5 3 2 4 3" xfId="29721"/>
    <cellStyle name="Normal 5 3 2 4 3 2" xfId="29722"/>
    <cellStyle name="Normal 5 3 2 4 4" xfId="29723"/>
    <cellStyle name="Normal 5 3 2 4 4 2" xfId="29724"/>
    <cellStyle name="Normal 5 3 2 4 5" xfId="29725"/>
    <cellStyle name="Normal 5 3 2 4 6" xfId="29726"/>
    <cellStyle name="Normal 5 3 2 5" xfId="29727"/>
    <cellStyle name="Normal 5 3 2 5 2" xfId="29728"/>
    <cellStyle name="Normal 5 3 2 5 2 2" xfId="29729"/>
    <cellStyle name="Normal 5 3 2 5 3" xfId="29730"/>
    <cellStyle name="Normal 5 3 2 5 3 2" xfId="29731"/>
    <cellStyle name="Normal 5 3 2 5 4" xfId="29732"/>
    <cellStyle name="Normal 5 3 2 5 4 2" xfId="29733"/>
    <cellStyle name="Normal 5 3 2 5 5" xfId="29734"/>
    <cellStyle name="Normal 5 3 2 5 6" xfId="29735"/>
    <cellStyle name="Normal 5 3 2 6" xfId="29736"/>
    <cellStyle name="Normal 5 3 2 6 2" xfId="29737"/>
    <cellStyle name="Normal 5 3 2 6 2 2" xfId="29738"/>
    <cellStyle name="Normal 5 3 2 6 3" xfId="29739"/>
    <cellStyle name="Normal 5 3 2 6 3 2" xfId="29740"/>
    <cellStyle name="Normal 5 3 2 6 4" xfId="29741"/>
    <cellStyle name="Normal 5 3 2 6 5" xfId="29742"/>
    <cellStyle name="Normal 5 3 2 7" xfId="29743"/>
    <cellStyle name="Normal 5 3 2 7 2" xfId="29744"/>
    <cellStyle name="Normal 5 3 2 8" xfId="29745"/>
    <cellStyle name="Normal 5 3 2 8 2" xfId="29746"/>
    <cellStyle name="Normal 5 3 2 9" xfId="29747"/>
    <cellStyle name="Normal 5 3 2 9 2" xfId="29748"/>
    <cellStyle name="Normal 5 3 3" xfId="29749"/>
    <cellStyle name="Normal 5 3 3 10" xfId="29750"/>
    <cellStyle name="Normal 5 3 3 11" xfId="29751"/>
    <cellStyle name="Normal 5 3 3 2" xfId="29752"/>
    <cellStyle name="Normal 5 3 3 2 2" xfId="29753"/>
    <cellStyle name="Normal 5 3 3 2 2 2" xfId="29754"/>
    <cellStyle name="Normal 5 3 3 2 3" xfId="29755"/>
    <cellStyle name="Normal 5 3 3 2 3 2" xfId="29756"/>
    <cellStyle name="Normal 5 3 3 2 4" xfId="29757"/>
    <cellStyle name="Normal 5 3 3 2 4 2" xfId="29758"/>
    <cellStyle name="Normal 5 3 3 2 5" xfId="29759"/>
    <cellStyle name="Normal 5 3 3 2 6" xfId="29760"/>
    <cellStyle name="Normal 5 3 3 3" xfId="29761"/>
    <cellStyle name="Normal 5 3 3 3 2" xfId="29762"/>
    <cellStyle name="Normal 5 3 3 3 2 2" xfId="29763"/>
    <cellStyle name="Normal 5 3 3 3 3" xfId="29764"/>
    <cellStyle name="Normal 5 3 3 3 3 2" xfId="29765"/>
    <cellStyle name="Normal 5 3 3 3 4" xfId="29766"/>
    <cellStyle name="Normal 5 3 3 3 4 2" xfId="29767"/>
    <cellStyle name="Normal 5 3 3 3 5" xfId="29768"/>
    <cellStyle name="Normal 5 3 3 3 6" xfId="29769"/>
    <cellStyle name="Normal 5 3 3 4" xfId="29770"/>
    <cellStyle name="Normal 5 3 3 4 2" xfId="29771"/>
    <cellStyle name="Normal 5 3 3 4 2 2" xfId="29772"/>
    <cellStyle name="Normal 5 3 3 4 3" xfId="29773"/>
    <cellStyle name="Normal 5 3 3 4 3 2" xfId="29774"/>
    <cellStyle name="Normal 5 3 3 4 4" xfId="29775"/>
    <cellStyle name="Normal 5 3 3 4 4 2" xfId="29776"/>
    <cellStyle name="Normal 5 3 3 4 5" xfId="29777"/>
    <cellStyle name="Normal 5 3 3 4 6" xfId="29778"/>
    <cellStyle name="Normal 5 3 3 5" xfId="29779"/>
    <cellStyle name="Normal 5 3 3 5 2" xfId="29780"/>
    <cellStyle name="Normal 5 3 3 5 2 2" xfId="29781"/>
    <cellStyle name="Normal 5 3 3 5 3" xfId="29782"/>
    <cellStyle name="Normal 5 3 3 5 3 2" xfId="29783"/>
    <cellStyle name="Normal 5 3 3 5 4" xfId="29784"/>
    <cellStyle name="Normal 5 3 3 5 5" xfId="29785"/>
    <cellStyle name="Normal 5 3 3 6" xfId="29786"/>
    <cellStyle name="Normal 5 3 3 6 2" xfId="29787"/>
    <cellStyle name="Normal 5 3 3 7" xfId="29788"/>
    <cellStyle name="Normal 5 3 3 7 2" xfId="29789"/>
    <cellStyle name="Normal 5 3 3 8" xfId="29790"/>
    <cellStyle name="Normal 5 3 3 8 2" xfId="29791"/>
    <cellStyle name="Normal 5 3 3 9" xfId="29792"/>
    <cellStyle name="Normal 5 3 4" xfId="29793"/>
    <cellStyle name="Normal 5 3 4 10" xfId="29794"/>
    <cellStyle name="Normal 5 3 4 11" xfId="29795"/>
    <cellStyle name="Normal 5 3 4 2" xfId="29796"/>
    <cellStyle name="Normal 5 3 4 2 2" xfId="29797"/>
    <cellStyle name="Normal 5 3 4 2 2 2" xfId="29798"/>
    <cellStyle name="Normal 5 3 4 2 3" xfId="29799"/>
    <cellStyle name="Normal 5 3 4 2 3 2" xfId="29800"/>
    <cellStyle name="Normal 5 3 4 2 4" xfId="29801"/>
    <cellStyle name="Normal 5 3 4 2 4 2" xfId="29802"/>
    <cellStyle name="Normal 5 3 4 2 5" xfId="29803"/>
    <cellStyle name="Normal 5 3 4 2 6" xfId="29804"/>
    <cellStyle name="Normal 5 3 4 3" xfId="29805"/>
    <cellStyle name="Normal 5 3 4 3 2" xfId="29806"/>
    <cellStyle name="Normal 5 3 4 3 2 2" xfId="29807"/>
    <cellStyle name="Normal 5 3 4 3 3" xfId="29808"/>
    <cellStyle name="Normal 5 3 4 3 3 2" xfId="29809"/>
    <cellStyle name="Normal 5 3 4 3 4" xfId="29810"/>
    <cellStyle name="Normal 5 3 4 3 4 2" xfId="29811"/>
    <cellStyle name="Normal 5 3 4 3 5" xfId="29812"/>
    <cellStyle name="Normal 5 3 4 3 6" xfId="29813"/>
    <cellStyle name="Normal 5 3 4 4" xfId="29814"/>
    <cellStyle name="Normal 5 3 4 4 2" xfId="29815"/>
    <cellStyle name="Normal 5 3 4 4 2 2" xfId="29816"/>
    <cellStyle name="Normal 5 3 4 4 3" xfId="29817"/>
    <cellStyle name="Normal 5 3 4 4 3 2" xfId="29818"/>
    <cellStyle name="Normal 5 3 4 4 4" xfId="29819"/>
    <cellStyle name="Normal 5 3 4 4 4 2" xfId="29820"/>
    <cellStyle name="Normal 5 3 4 4 5" xfId="29821"/>
    <cellStyle name="Normal 5 3 4 4 6" xfId="29822"/>
    <cellStyle name="Normal 5 3 4 5" xfId="29823"/>
    <cellStyle name="Normal 5 3 4 5 2" xfId="29824"/>
    <cellStyle name="Normal 5 3 4 5 2 2" xfId="29825"/>
    <cellStyle name="Normal 5 3 4 5 3" xfId="29826"/>
    <cellStyle name="Normal 5 3 4 5 3 2" xfId="29827"/>
    <cellStyle name="Normal 5 3 4 5 4" xfId="29828"/>
    <cellStyle name="Normal 5 3 4 5 5" xfId="29829"/>
    <cellStyle name="Normal 5 3 4 6" xfId="29830"/>
    <cellStyle name="Normal 5 3 4 6 2" xfId="29831"/>
    <cellStyle name="Normal 5 3 4 7" xfId="29832"/>
    <cellStyle name="Normal 5 3 4 7 2" xfId="29833"/>
    <cellStyle name="Normal 5 3 4 8" xfId="29834"/>
    <cellStyle name="Normal 5 3 4 8 2" xfId="29835"/>
    <cellStyle name="Normal 5 3 4 9" xfId="29836"/>
    <cellStyle name="Normal 5 3 5" xfId="29837"/>
    <cellStyle name="Normal 5 3 5 2" xfId="29838"/>
    <cellStyle name="Normal 5 3 5 2 2" xfId="29839"/>
    <cellStyle name="Normal 5 3 5 3" xfId="29840"/>
    <cellStyle name="Normal 5 3 5 3 2" xfId="29841"/>
    <cellStyle name="Normal 5 3 5 4" xfId="29842"/>
    <cellStyle name="Normal 5 3 5 4 2" xfId="29843"/>
    <cellStyle name="Normal 5 3 5 5" xfId="29844"/>
    <cellStyle name="Normal 5 3 5 6" xfId="29845"/>
    <cellStyle name="Normal 5 3 6" xfId="29846"/>
    <cellStyle name="Normal 5 3 6 2" xfId="29847"/>
    <cellStyle name="Normal 5 3 6 2 2" xfId="29848"/>
    <cellStyle name="Normal 5 3 6 3" xfId="29849"/>
    <cellStyle name="Normal 5 3 6 3 2" xfId="29850"/>
    <cellStyle name="Normal 5 3 6 4" xfId="29851"/>
    <cellStyle name="Normal 5 3 6 4 2" xfId="29852"/>
    <cellStyle name="Normal 5 3 6 5" xfId="29853"/>
    <cellStyle name="Normal 5 3 6 6" xfId="29854"/>
    <cellStyle name="Normal 5 3 7" xfId="29855"/>
    <cellStyle name="Normal 5 3 7 2" xfId="29856"/>
    <cellStyle name="Normal 5 3 7 2 2" xfId="29857"/>
    <cellStyle name="Normal 5 3 7 3" xfId="29858"/>
    <cellStyle name="Normal 5 3 7 3 2" xfId="29859"/>
    <cellStyle name="Normal 5 3 7 4" xfId="29860"/>
    <cellStyle name="Normal 5 3 7 4 2" xfId="29861"/>
    <cellStyle name="Normal 5 3 7 5" xfId="29862"/>
    <cellStyle name="Normal 5 3 7 6" xfId="29863"/>
    <cellStyle name="Normal 5 3 8" xfId="29864"/>
    <cellStyle name="Normal 5 3 8 2" xfId="29865"/>
    <cellStyle name="Normal 5 3 8 2 2" xfId="29866"/>
    <cellStyle name="Normal 5 3 8 3" xfId="29867"/>
    <cellStyle name="Normal 5 3 8 3 2" xfId="29868"/>
    <cellStyle name="Normal 5 3 8 4" xfId="29869"/>
    <cellStyle name="Normal 5 3 8 5" xfId="29870"/>
    <cellStyle name="Normal 5 3 9" xfId="29871"/>
    <cellStyle name="Normal 5 3 9 2" xfId="29872"/>
    <cellStyle name="Normal 5 4" xfId="29873"/>
    <cellStyle name="Normal 5 4 10" xfId="29874"/>
    <cellStyle name="Normal 5 4 10 2" xfId="29875"/>
    <cellStyle name="Normal 5 4 11" xfId="29876"/>
    <cellStyle name="Normal 5 4 12" xfId="29877"/>
    <cellStyle name="Normal 5 4 13" xfId="29878"/>
    <cellStyle name="Normal 5 4 2" xfId="29879"/>
    <cellStyle name="Normal 5 4 2 10" xfId="29880"/>
    <cellStyle name="Normal 5 4 2 11" xfId="29881"/>
    <cellStyle name="Normal 5 4 2 2" xfId="29882"/>
    <cellStyle name="Normal 5 4 2 2 2" xfId="29883"/>
    <cellStyle name="Normal 5 4 2 2 2 2" xfId="29884"/>
    <cellStyle name="Normal 5 4 2 2 3" xfId="29885"/>
    <cellStyle name="Normal 5 4 2 2 3 2" xfId="29886"/>
    <cellStyle name="Normal 5 4 2 2 4" xfId="29887"/>
    <cellStyle name="Normal 5 4 2 2 4 2" xfId="29888"/>
    <cellStyle name="Normal 5 4 2 2 5" xfId="29889"/>
    <cellStyle name="Normal 5 4 2 2 6" xfId="29890"/>
    <cellStyle name="Normal 5 4 2 2 7" xfId="29891"/>
    <cellStyle name="Normal 5 4 2 3" xfId="29892"/>
    <cellStyle name="Normal 5 4 2 3 2" xfId="29893"/>
    <cellStyle name="Normal 5 4 2 3 2 2" xfId="29894"/>
    <cellStyle name="Normal 5 4 2 3 3" xfId="29895"/>
    <cellStyle name="Normal 5 4 2 3 3 2" xfId="29896"/>
    <cellStyle name="Normal 5 4 2 3 4" xfId="29897"/>
    <cellStyle name="Normal 5 4 2 3 4 2" xfId="29898"/>
    <cellStyle name="Normal 5 4 2 3 5" xfId="29899"/>
    <cellStyle name="Normal 5 4 2 3 6" xfId="29900"/>
    <cellStyle name="Normal 5 4 2 4" xfId="29901"/>
    <cellStyle name="Normal 5 4 2 4 2" xfId="29902"/>
    <cellStyle name="Normal 5 4 2 4 2 2" xfId="29903"/>
    <cellStyle name="Normal 5 4 2 4 3" xfId="29904"/>
    <cellStyle name="Normal 5 4 2 4 3 2" xfId="29905"/>
    <cellStyle name="Normal 5 4 2 4 4" xfId="29906"/>
    <cellStyle name="Normal 5 4 2 4 4 2" xfId="29907"/>
    <cellStyle name="Normal 5 4 2 4 5" xfId="29908"/>
    <cellStyle name="Normal 5 4 2 4 6" xfId="29909"/>
    <cellStyle name="Normal 5 4 2 5" xfId="29910"/>
    <cellStyle name="Normal 5 4 2 5 2" xfId="29911"/>
    <cellStyle name="Normal 5 4 2 5 2 2" xfId="29912"/>
    <cellStyle name="Normal 5 4 2 5 3" xfId="29913"/>
    <cellStyle name="Normal 5 4 2 5 3 2" xfId="29914"/>
    <cellStyle name="Normal 5 4 2 5 4" xfId="29915"/>
    <cellStyle name="Normal 5 4 2 5 5" xfId="29916"/>
    <cellStyle name="Normal 5 4 2 6" xfId="29917"/>
    <cellStyle name="Normal 5 4 2 6 2" xfId="29918"/>
    <cellStyle name="Normal 5 4 2 7" xfId="29919"/>
    <cellStyle name="Normal 5 4 2 7 2" xfId="29920"/>
    <cellStyle name="Normal 5 4 2 8" xfId="29921"/>
    <cellStyle name="Normal 5 4 2 8 2" xfId="29922"/>
    <cellStyle name="Normal 5 4 2 9" xfId="29923"/>
    <cellStyle name="Normal 5 4 3" xfId="29924"/>
    <cellStyle name="Normal 5 4 3 10" xfId="29925"/>
    <cellStyle name="Normal 5 4 3 11" xfId="29926"/>
    <cellStyle name="Normal 5 4 3 2" xfId="29927"/>
    <cellStyle name="Normal 5 4 3 2 2" xfId="29928"/>
    <cellStyle name="Normal 5 4 3 2 2 2" xfId="29929"/>
    <cellStyle name="Normal 5 4 3 2 3" xfId="29930"/>
    <cellStyle name="Normal 5 4 3 2 3 2" xfId="29931"/>
    <cellStyle name="Normal 5 4 3 2 4" xfId="29932"/>
    <cellStyle name="Normal 5 4 3 2 4 2" xfId="29933"/>
    <cellStyle name="Normal 5 4 3 2 5" xfId="29934"/>
    <cellStyle name="Normal 5 4 3 2 6" xfId="29935"/>
    <cellStyle name="Normal 5 4 3 3" xfId="29936"/>
    <cellStyle name="Normal 5 4 3 3 2" xfId="29937"/>
    <cellStyle name="Normal 5 4 3 3 2 2" xfId="29938"/>
    <cellStyle name="Normal 5 4 3 3 3" xfId="29939"/>
    <cellStyle name="Normal 5 4 3 3 3 2" xfId="29940"/>
    <cellStyle name="Normal 5 4 3 3 4" xfId="29941"/>
    <cellStyle name="Normal 5 4 3 3 4 2" xfId="29942"/>
    <cellStyle name="Normal 5 4 3 3 5" xfId="29943"/>
    <cellStyle name="Normal 5 4 3 3 6" xfId="29944"/>
    <cellStyle name="Normal 5 4 3 4" xfId="29945"/>
    <cellStyle name="Normal 5 4 3 4 2" xfId="29946"/>
    <cellStyle name="Normal 5 4 3 4 2 2" xfId="29947"/>
    <cellStyle name="Normal 5 4 3 4 3" xfId="29948"/>
    <cellStyle name="Normal 5 4 3 4 3 2" xfId="29949"/>
    <cellStyle name="Normal 5 4 3 4 4" xfId="29950"/>
    <cellStyle name="Normal 5 4 3 4 4 2" xfId="29951"/>
    <cellStyle name="Normal 5 4 3 4 5" xfId="29952"/>
    <cellStyle name="Normal 5 4 3 4 6" xfId="29953"/>
    <cellStyle name="Normal 5 4 3 5" xfId="29954"/>
    <cellStyle name="Normal 5 4 3 5 2" xfId="29955"/>
    <cellStyle name="Normal 5 4 3 5 2 2" xfId="29956"/>
    <cellStyle name="Normal 5 4 3 5 3" xfId="29957"/>
    <cellStyle name="Normal 5 4 3 5 3 2" xfId="29958"/>
    <cellStyle name="Normal 5 4 3 5 4" xfId="29959"/>
    <cellStyle name="Normal 5 4 3 5 5" xfId="29960"/>
    <cellStyle name="Normal 5 4 3 6" xfId="29961"/>
    <cellStyle name="Normal 5 4 3 6 2" xfId="29962"/>
    <cellStyle name="Normal 5 4 3 7" xfId="29963"/>
    <cellStyle name="Normal 5 4 3 7 2" xfId="29964"/>
    <cellStyle name="Normal 5 4 3 8" xfId="29965"/>
    <cellStyle name="Normal 5 4 3 8 2" xfId="29966"/>
    <cellStyle name="Normal 5 4 3 9" xfId="29967"/>
    <cellStyle name="Normal 5 4 4" xfId="29968"/>
    <cellStyle name="Normal 5 4 4 2" xfId="29969"/>
    <cellStyle name="Normal 5 4 4 2 2" xfId="29970"/>
    <cellStyle name="Normal 5 4 4 3" xfId="29971"/>
    <cellStyle name="Normal 5 4 4 3 2" xfId="29972"/>
    <cellStyle name="Normal 5 4 4 4" xfId="29973"/>
    <cellStyle name="Normal 5 4 4 4 2" xfId="29974"/>
    <cellStyle name="Normal 5 4 4 5" xfId="29975"/>
    <cellStyle name="Normal 5 4 4 6" xfId="29976"/>
    <cellStyle name="Normal 5 4 4 7" xfId="29977"/>
    <cellStyle name="Normal 5 4 5" xfId="29978"/>
    <cellStyle name="Normal 5 4 5 2" xfId="29979"/>
    <cellStyle name="Normal 5 4 5 2 2" xfId="29980"/>
    <cellStyle name="Normal 5 4 5 3" xfId="29981"/>
    <cellStyle name="Normal 5 4 5 3 2" xfId="29982"/>
    <cellStyle name="Normal 5 4 5 4" xfId="29983"/>
    <cellStyle name="Normal 5 4 5 4 2" xfId="29984"/>
    <cellStyle name="Normal 5 4 5 5" xfId="29985"/>
    <cellStyle name="Normal 5 4 5 6" xfId="29986"/>
    <cellStyle name="Normal 5 4 6" xfId="29987"/>
    <cellStyle name="Normal 5 4 6 2" xfId="29988"/>
    <cellStyle name="Normal 5 4 6 2 2" xfId="29989"/>
    <cellStyle name="Normal 5 4 6 3" xfId="29990"/>
    <cellStyle name="Normal 5 4 6 3 2" xfId="29991"/>
    <cellStyle name="Normal 5 4 6 4" xfId="29992"/>
    <cellStyle name="Normal 5 4 6 4 2" xfId="29993"/>
    <cellStyle name="Normal 5 4 6 5" xfId="29994"/>
    <cellStyle name="Normal 5 4 6 6" xfId="29995"/>
    <cellStyle name="Normal 5 4 7" xfId="29996"/>
    <cellStyle name="Normal 5 4 7 2" xfId="29997"/>
    <cellStyle name="Normal 5 4 7 2 2" xfId="29998"/>
    <cellStyle name="Normal 5 4 7 3" xfId="29999"/>
    <cellStyle name="Normal 5 4 7 3 2" xfId="30000"/>
    <cellStyle name="Normal 5 4 7 4" xfId="30001"/>
    <cellStyle name="Normal 5 4 7 5" xfId="30002"/>
    <cellStyle name="Normal 5 4 8" xfId="30003"/>
    <cellStyle name="Normal 5 4 8 2" xfId="30004"/>
    <cellStyle name="Normal 5 4 9" xfId="30005"/>
    <cellStyle name="Normal 5 4 9 2" xfId="30006"/>
    <cellStyle name="Normal 5 5" xfId="30007"/>
    <cellStyle name="Normal 5 5 10" xfId="30008"/>
    <cellStyle name="Normal 5 5 11" xfId="30009"/>
    <cellStyle name="Normal 5 5 12" xfId="30010"/>
    <cellStyle name="Normal 5 5 2" xfId="30011"/>
    <cellStyle name="Normal 5 5 2 2" xfId="30012"/>
    <cellStyle name="Normal 5 5 2 2 2" xfId="30013"/>
    <cellStyle name="Normal 5 5 2 2 3" xfId="30014"/>
    <cellStyle name="Normal 5 5 2 3" xfId="30015"/>
    <cellStyle name="Normal 5 5 2 3 2" xfId="30016"/>
    <cellStyle name="Normal 5 5 2 4" xfId="30017"/>
    <cellStyle name="Normal 5 5 2 4 2" xfId="30018"/>
    <cellStyle name="Normal 5 5 2 5" xfId="30019"/>
    <cellStyle name="Normal 5 5 2 6" xfId="30020"/>
    <cellStyle name="Normal 5 5 2 7" xfId="30021"/>
    <cellStyle name="Normal 5 5 3" xfId="30022"/>
    <cellStyle name="Normal 5 5 3 2" xfId="30023"/>
    <cellStyle name="Normal 5 5 3 2 2" xfId="30024"/>
    <cellStyle name="Normal 5 5 3 3" xfId="30025"/>
    <cellStyle name="Normal 5 5 3 3 2" xfId="30026"/>
    <cellStyle name="Normal 5 5 3 4" xfId="30027"/>
    <cellStyle name="Normal 5 5 3 4 2" xfId="30028"/>
    <cellStyle name="Normal 5 5 3 5" xfId="30029"/>
    <cellStyle name="Normal 5 5 3 6" xfId="30030"/>
    <cellStyle name="Normal 5 5 3 7" xfId="30031"/>
    <cellStyle name="Normal 5 5 4" xfId="30032"/>
    <cellStyle name="Normal 5 5 4 2" xfId="30033"/>
    <cellStyle name="Normal 5 5 4 2 2" xfId="30034"/>
    <cellStyle name="Normal 5 5 4 3" xfId="30035"/>
    <cellStyle name="Normal 5 5 4 3 2" xfId="30036"/>
    <cellStyle name="Normal 5 5 4 4" xfId="30037"/>
    <cellStyle name="Normal 5 5 4 4 2" xfId="30038"/>
    <cellStyle name="Normal 5 5 4 5" xfId="30039"/>
    <cellStyle name="Normal 5 5 4 6" xfId="30040"/>
    <cellStyle name="Normal 5 5 4 7" xfId="30041"/>
    <cellStyle name="Normal 5 5 5" xfId="30042"/>
    <cellStyle name="Normal 5 5 5 2" xfId="30043"/>
    <cellStyle name="Normal 5 5 5 2 2" xfId="30044"/>
    <cellStyle name="Normal 5 5 5 3" xfId="30045"/>
    <cellStyle name="Normal 5 5 5 3 2" xfId="30046"/>
    <cellStyle name="Normal 5 5 5 4" xfId="30047"/>
    <cellStyle name="Normal 5 5 5 4 2" xfId="30048"/>
    <cellStyle name="Normal 5 5 5 5" xfId="30049"/>
    <cellStyle name="Normal 5 5 5 6" xfId="30050"/>
    <cellStyle name="Normal 5 5 6" xfId="30051"/>
    <cellStyle name="Normal 5 5 6 2" xfId="30052"/>
    <cellStyle name="Normal 5 5 6 2 2" xfId="30053"/>
    <cellStyle name="Normal 5 5 6 3" xfId="30054"/>
    <cellStyle name="Normal 5 5 6 3 2" xfId="30055"/>
    <cellStyle name="Normal 5 5 6 4" xfId="30056"/>
    <cellStyle name="Normal 5 5 6 5" xfId="30057"/>
    <cellStyle name="Normal 5 5 7" xfId="30058"/>
    <cellStyle name="Normal 5 5 7 2" xfId="30059"/>
    <cellStyle name="Normal 5 5 8" xfId="30060"/>
    <cellStyle name="Normal 5 5 8 2" xfId="30061"/>
    <cellStyle name="Normal 5 5 9" xfId="30062"/>
    <cellStyle name="Normal 5 5 9 2" xfId="30063"/>
    <cellStyle name="Normal 5 6" xfId="30064"/>
    <cellStyle name="Normal 5 6 10" xfId="30065"/>
    <cellStyle name="Normal 5 6 11" xfId="30066"/>
    <cellStyle name="Normal 5 6 2" xfId="30067"/>
    <cellStyle name="Normal 5 6 2 2" xfId="30068"/>
    <cellStyle name="Normal 5 6 2 2 2" xfId="30069"/>
    <cellStyle name="Normal 5 6 2 3" xfId="30070"/>
    <cellStyle name="Normal 5 6 2 3 2" xfId="30071"/>
    <cellStyle name="Normal 5 6 2 4" xfId="30072"/>
    <cellStyle name="Normal 5 6 2 4 2" xfId="30073"/>
    <cellStyle name="Normal 5 6 2 5" xfId="30074"/>
    <cellStyle name="Normal 5 6 2 6" xfId="30075"/>
    <cellStyle name="Normal 5 6 2 7" xfId="30076"/>
    <cellStyle name="Normal 5 6 3" xfId="30077"/>
    <cellStyle name="Normal 5 6 3 2" xfId="30078"/>
    <cellStyle name="Normal 5 6 3 2 2" xfId="30079"/>
    <cellStyle name="Normal 5 6 3 3" xfId="30080"/>
    <cellStyle name="Normal 5 6 3 3 2" xfId="30081"/>
    <cellStyle name="Normal 5 6 3 4" xfId="30082"/>
    <cellStyle name="Normal 5 6 3 4 2" xfId="30083"/>
    <cellStyle name="Normal 5 6 3 5" xfId="30084"/>
    <cellStyle name="Normal 5 6 3 6" xfId="30085"/>
    <cellStyle name="Normal 5 6 4" xfId="30086"/>
    <cellStyle name="Normal 5 6 4 2" xfId="30087"/>
    <cellStyle name="Normal 5 6 4 2 2" xfId="30088"/>
    <cellStyle name="Normal 5 6 4 3" xfId="30089"/>
    <cellStyle name="Normal 5 6 4 3 2" xfId="30090"/>
    <cellStyle name="Normal 5 6 4 4" xfId="30091"/>
    <cellStyle name="Normal 5 6 4 4 2" xfId="30092"/>
    <cellStyle name="Normal 5 6 4 5" xfId="30093"/>
    <cellStyle name="Normal 5 6 4 6" xfId="30094"/>
    <cellStyle name="Normal 5 6 5" xfId="30095"/>
    <cellStyle name="Normal 5 6 5 2" xfId="30096"/>
    <cellStyle name="Normal 5 6 5 2 2" xfId="30097"/>
    <cellStyle name="Normal 5 6 5 3" xfId="30098"/>
    <cellStyle name="Normal 5 6 5 3 2" xfId="30099"/>
    <cellStyle name="Normal 5 6 5 4" xfId="30100"/>
    <cellStyle name="Normal 5 6 5 5" xfId="30101"/>
    <cellStyle name="Normal 5 6 6" xfId="30102"/>
    <cellStyle name="Normal 5 6 6 2" xfId="30103"/>
    <cellStyle name="Normal 5 6 7" xfId="30104"/>
    <cellStyle name="Normal 5 6 7 2" xfId="30105"/>
    <cellStyle name="Normal 5 6 8" xfId="30106"/>
    <cellStyle name="Normal 5 6 8 2" xfId="30107"/>
    <cellStyle name="Normal 5 6 9" xfId="30108"/>
    <cellStyle name="Normal 5 7" xfId="30109"/>
    <cellStyle name="Normal 5 7 10" xfId="30110"/>
    <cellStyle name="Normal 5 7 11" xfId="30111"/>
    <cellStyle name="Normal 5 7 2" xfId="30112"/>
    <cellStyle name="Normal 5 7 2 2" xfId="30113"/>
    <cellStyle name="Normal 5 7 2 2 2" xfId="30114"/>
    <cellStyle name="Normal 5 7 2 3" xfId="30115"/>
    <cellStyle name="Normal 5 7 2 3 2" xfId="30116"/>
    <cellStyle name="Normal 5 7 2 4" xfId="30117"/>
    <cellStyle name="Normal 5 7 2 4 2" xfId="30118"/>
    <cellStyle name="Normal 5 7 2 5" xfId="30119"/>
    <cellStyle name="Normal 5 7 2 6" xfId="30120"/>
    <cellStyle name="Normal 5 7 3" xfId="30121"/>
    <cellStyle name="Normal 5 7 3 2" xfId="30122"/>
    <cellStyle name="Normal 5 7 3 2 2" xfId="30123"/>
    <cellStyle name="Normal 5 7 3 3" xfId="30124"/>
    <cellStyle name="Normal 5 7 3 3 2" xfId="30125"/>
    <cellStyle name="Normal 5 7 3 4" xfId="30126"/>
    <cellStyle name="Normal 5 7 3 4 2" xfId="30127"/>
    <cellStyle name="Normal 5 7 3 5" xfId="30128"/>
    <cellStyle name="Normal 5 7 3 6" xfId="30129"/>
    <cellStyle name="Normal 5 7 4" xfId="30130"/>
    <cellStyle name="Normal 5 7 4 2" xfId="30131"/>
    <cellStyle name="Normal 5 7 4 2 2" xfId="30132"/>
    <cellStyle name="Normal 5 7 4 3" xfId="30133"/>
    <cellStyle name="Normal 5 7 4 3 2" xfId="30134"/>
    <cellStyle name="Normal 5 7 4 4" xfId="30135"/>
    <cellStyle name="Normal 5 7 4 4 2" xfId="30136"/>
    <cellStyle name="Normal 5 7 4 5" xfId="30137"/>
    <cellStyle name="Normal 5 7 4 6" xfId="30138"/>
    <cellStyle name="Normal 5 7 5" xfId="30139"/>
    <cellStyle name="Normal 5 7 5 2" xfId="30140"/>
    <cellStyle name="Normal 5 7 5 2 2" xfId="30141"/>
    <cellStyle name="Normal 5 7 5 3" xfId="30142"/>
    <cellStyle name="Normal 5 7 5 3 2" xfId="30143"/>
    <cellStyle name="Normal 5 7 5 4" xfId="30144"/>
    <cellStyle name="Normal 5 7 5 5" xfId="30145"/>
    <cellStyle name="Normal 5 7 6" xfId="30146"/>
    <cellStyle name="Normal 5 7 6 2" xfId="30147"/>
    <cellStyle name="Normal 5 7 7" xfId="30148"/>
    <cellStyle name="Normal 5 7 7 2" xfId="30149"/>
    <cellStyle name="Normal 5 7 8" xfId="30150"/>
    <cellStyle name="Normal 5 7 8 2" xfId="30151"/>
    <cellStyle name="Normal 5 7 9" xfId="30152"/>
    <cellStyle name="Normal 5 8" xfId="30153"/>
    <cellStyle name="Normal 5 8 2" xfId="30154"/>
    <cellStyle name="Normal 5 8 2 2" xfId="30155"/>
    <cellStyle name="Normal 5 8 3" xfId="30156"/>
    <cellStyle name="Normal 5 8 3 2" xfId="30157"/>
    <cellStyle name="Normal 5 8 4" xfId="30158"/>
    <cellStyle name="Normal 5 8 4 2" xfId="30159"/>
    <cellStyle name="Normal 5 8 5" xfId="30160"/>
    <cellStyle name="Normal 5 8 6" xfId="30161"/>
    <cellStyle name="Normal 5 9" xfId="30162"/>
    <cellStyle name="Normal 5 9 2" xfId="30163"/>
    <cellStyle name="Normal 5 9 2 2" xfId="30164"/>
    <cellStyle name="Normal 5 9 3" xfId="30165"/>
    <cellStyle name="Normal 5 9 3 2" xfId="30166"/>
    <cellStyle name="Normal 5 9 4" xfId="30167"/>
    <cellStyle name="Normal 5 9 4 2" xfId="30168"/>
    <cellStyle name="Normal 5 9 5" xfId="30169"/>
    <cellStyle name="Normal 5 9 6" xfId="30170"/>
    <cellStyle name="Normal 50" xfId="30171"/>
    <cellStyle name="Normal 50 2" xfId="30172"/>
    <cellStyle name="Normal 51" xfId="30173"/>
    <cellStyle name="Normal 51 2" xfId="30174"/>
    <cellStyle name="Normal 52" xfId="30175"/>
    <cellStyle name="Normal 52 2" xfId="30176"/>
    <cellStyle name="Normal 52 2 2" xfId="30177"/>
    <cellStyle name="Normal 52 3" xfId="30178"/>
    <cellStyle name="Normal 52 4" xfId="30179"/>
    <cellStyle name="Normal 52 5" xfId="30180"/>
    <cellStyle name="Normal 53" xfId="30181"/>
    <cellStyle name="Normal 53 2" xfId="30182"/>
    <cellStyle name="Normal 53 2 2" xfId="30183"/>
    <cellStyle name="Normal 53 3" xfId="30184"/>
    <cellStyle name="Normal 53 4" xfId="30185"/>
    <cellStyle name="Normal 53 5" xfId="30186"/>
    <cellStyle name="Normal 54" xfId="30187"/>
    <cellStyle name="Normal 54 2" xfId="30188"/>
    <cellStyle name="Normal 54 2 2" xfId="30189"/>
    <cellStyle name="Normal 54 3" xfId="30190"/>
    <cellStyle name="Normal 54 4" xfId="30191"/>
    <cellStyle name="Normal 54 5" xfId="30192"/>
    <cellStyle name="Normal 55" xfId="30193"/>
    <cellStyle name="Normal 55 2" xfId="30194"/>
    <cellStyle name="Normal 55 3" xfId="30195"/>
    <cellStyle name="Normal 56" xfId="30196"/>
    <cellStyle name="Normal 56 2" xfId="30197"/>
    <cellStyle name="Normal 56 3" xfId="30198"/>
    <cellStyle name="Normal 57" xfId="30199"/>
    <cellStyle name="Normal 57 2" xfId="30200"/>
    <cellStyle name="Normal 57 2 2" xfId="30201"/>
    <cellStyle name="Normal 57 3" xfId="30202"/>
    <cellStyle name="Normal 58" xfId="30203"/>
    <cellStyle name="Normal 58 2" xfId="30204"/>
    <cellStyle name="Normal 58 2 2" xfId="30205"/>
    <cellStyle name="Normal 58 3" xfId="30206"/>
    <cellStyle name="Normal 59" xfId="30207"/>
    <cellStyle name="Normal 59 2" xfId="30208"/>
    <cellStyle name="Normal 59 3" xfId="30209"/>
    <cellStyle name="Normal 59 4" xfId="30210"/>
    <cellStyle name="Normal 6" xfId="30211"/>
    <cellStyle name="Normal 6 10" xfId="30212"/>
    <cellStyle name="Normal 6 10 2" xfId="30213"/>
    <cellStyle name="Normal 6 10 2 2" xfId="30214"/>
    <cellStyle name="Normal 6 10 3" xfId="30215"/>
    <cellStyle name="Normal 6 10 3 2" xfId="30216"/>
    <cellStyle name="Normal 6 10 4" xfId="30217"/>
    <cellStyle name="Normal 6 10 4 2" xfId="30218"/>
    <cellStyle name="Normal 6 10 5" xfId="30219"/>
    <cellStyle name="Normal 6 10 6" xfId="30220"/>
    <cellStyle name="Normal 6 11" xfId="30221"/>
    <cellStyle name="Normal 6 11 2" xfId="30222"/>
    <cellStyle name="Normal 6 11 2 2" xfId="30223"/>
    <cellStyle name="Normal 6 11 3" xfId="30224"/>
    <cellStyle name="Normal 6 11 3 2" xfId="30225"/>
    <cellStyle name="Normal 6 11 4" xfId="30226"/>
    <cellStyle name="Normal 6 11 5" xfId="30227"/>
    <cellStyle name="Normal 6 12" xfId="30228"/>
    <cellStyle name="Normal 6 12 2" xfId="30229"/>
    <cellStyle name="Normal 6 13" xfId="30230"/>
    <cellStyle name="Normal 6 13 2" xfId="30231"/>
    <cellStyle name="Normal 6 14" xfId="30232"/>
    <cellStyle name="Normal 6 14 2" xfId="30233"/>
    <cellStyle name="Normal 6 15" xfId="30234"/>
    <cellStyle name="Normal 6 16" xfId="30235"/>
    <cellStyle name="Normal 6 17" xfId="30236"/>
    <cellStyle name="Normal 6 18" xfId="30237"/>
    <cellStyle name="Normal 6 2" xfId="30238"/>
    <cellStyle name="Normal 6 2 10" xfId="30239"/>
    <cellStyle name="Normal 6 2 10 2" xfId="30240"/>
    <cellStyle name="Normal 6 2 11" xfId="30241"/>
    <cellStyle name="Normal 6 2 11 2" xfId="30242"/>
    <cellStyle name="Normal 6 2 12" xfId="30243"/>
    <cellStyle name="Normal 6 2 13" xfId="30244"/>
    <cellStyle name="Normal 6 2 14" xfId="30245"/>
    <cellStyle name="Normal 6 2 2" xfId="30246"/>
    <cellStyle name="Normal 6 2 2 10" xfId="30247"/>
    <cellStyle name="Normal 6 2 2 11" xfId="30248"/>
    <cellStyle name="Normal 6 2 2 12" xfId="30249"/>
    <cellStyle name="Normal 6 2 2 2" xfId="30250"/>
    <cellStyle name="Normal 6 2 2 2 2" xfId="30251"/>
    <cellStyle name="Normal 6 2 2 2 2 2" xfId="30252"/>
    <cellStyle name="Normal 6 2 2 2 2 2 2" xfId="30253"/>
    <cellStyle name="Normal 6 2 2 2 2 3" xfId="30254"/>
    <cellStyle name="Normal 6 2 2 2 3" xfId="30255"/>
    <cellStyle name="Normal 6 2 2 2 3 2" xfId="30256"/>
    <cellStyle name="Normal 6 2 2 2 3 3" xfId="30257"/>
    <cellStyle name="Normal 6 2 2 2 4" xfId="30258"/>
    <cellStyle name="Normal 6 2 2 2 4 2" xfId="30259"/>
    <cellStyle name="Normal 6 2 2 2 4 3" xfId="30260"/>
    <cellStyle name="Normal 6 2 2 2 5" xfId="30261"/>
    <cellStyle name="Normal 6 2 2 2 6" xfId="30262"/>
    <cellStyle name="Normal 6 2 2 2 7" xfId="30263"/>
    <cellStyle name="Normal 6 2 2 3" xfId="30264"/>
    <cellStyle name="Normal 6 2 2 3 2" xfId="30265"/>
    <cellStyle name="Normal 6 2 2 3 2 2" xfId="30266"/>
    <cellStyle name="Normal 6 2 2 3 2 3" xfId="30267"/>
    <cellStyle name="Normal 6 2 2 3 3" xfId="30268"/>
    <cellStyle name="Normal 6 2 2 3 3 2" xfId="30269"/>
    <cellStyle name="Normal 6 2 2 3 4" xfId="30270"/>
    <cellStyle name="Normal 6 2 2 3 4 2" xfId="30271"/>
    <cellStyle name="Normal 6 2 2 3 5" xfId="30272"/>
    <cellStyle name="Normal 6 2 2 3 6" xfId="30273"/>
    <cellStyle name="Normal 6 2 2 3 7" xfId="30274"/>
    <cellStyle name="Normal 6 2 2 4" xfId="30275"/>
    <cellStyle name="Normal 6 2 2 4 2" xfId="30276"/>
    <cellStyle name="Normal 6 2 2 4 2 2" xfId="30277"/>
    <cellStyle name="Normal 6 2 2 4 3" xfId="30278"/>
    <cellStyle name="Normal 6 2 2 4 3 2" xfId="30279"/>
    <cellStyle name="Normal 6 2 2 4 4" xfId="30280"/>
    <cellStyle name="Normal 6 2 2 4 4 2" xfId="30281"/>
    <cellStyle name="Normal 6 2 2 4 5" xfId="30282"/>
    <cellStyle name="Normal 6 2 2 4 6" xfId="30283"/>
    <cellStyle name="Normal 6 2 2 4 7" xfId="30284"/>
    <cellStyle name="Normal 6 2 2 5" xfId="30285"/>
    <cellStyle name="Normal 6 2 2 5 2" xfId="30286"/>
    <cellStyle name="Normal 6 2 2 5 2 2" xfId="30287"/>
    <cellStyle name="Normal 6 2 2 5 3" xfId="30288"/>
    <cellStyle name="Normal 6 2 2 5 3 2" xfId="30289"/>
    <cellStyle name="Normal 6 2 2 5 4" xfId="30290"/>
    <cellStyle name="Normal 6 2 2 5 4 2" xfId="30291"/>
    <cellStyle name="Normal 6 2 2 5 5" xfId="30292"/>
    <cellStyle name="Normal 6 2 2 5 6" xfId="30293"/>
    <cellStyle name="Normal 6 2 2 5 7" xfId="30294"/>
    <cellStyle name="Normal 6 2 2 6" xfId="30295"/>
    <cellStyle name="Normal 6 2 2 6 2" xfId="30296"/>
    <cellStyle name="Normal 6 2 2 6 2 2" xfId="30297"/>
    <cellStyle name="Normal 6 2 2 6 3" xfId="30298"/>
    <cellStyle name="Normal 6 2 2 6 3 2" xfId="30299"/>
    <cellStyle name="Normal 6 2 2 6 4" xfId="30300"/>
    <cellStyle name="Normal 6 2 2 6 5" xfId="30301"/>
    <cellStyle name="Normal 6 2 2 7" xfId="30302"/>
    <cellStyle name="Normal 6 2 2 7 2" xfId="30303"/>
    <cellStyle name="Normal 6 2 2 8" xfId="30304"/>
    <cellStyle name="Normal 6 2 2 8 2" xfId="30305"/>
    <cellStyle name="Normal 6 2 2 9" xfId="30306"/>
    <cellStyle name="Normal 6 2 2 9 2" xfId="30307"/>
    <cellStyle name="Normal 6 2 3" xfId="30308"/>
    <cellStyle name="Normal 6 2 3 10" xfId="30309"/>
    <cellStyle name="Normal 6 2 3 11" xfId="30310"/>
    <cellStyle name="Normal 6 2 3 2" xfId="30311"/>
    <cellStyle name="Normal 6 2 3 2 2" xfId="30312"/>
    <cellStyle name="Normal 6 2 3 2 2 2" xfId="30313"/>
    <cellStyle name="Normal 6 2 3 2 2 3" xfId="30314"/>
    <cellStyle name="Normal 6 2 3 2 3" xfId="30315"/>
    <cellStyle name="Normal 6 2 3 2 3 2" xfId="30316"/>
    <cellStyle name="Normal 6 2 3 2 4" xfId="30317"/>
    <cellStyle name="Normal 6 2 3 2 4 2" xfId="30318"/>
    <cellStyle name="Normal 6 2 3 2 5" xfId="30319"/>
    <cellStyle name="Normal 6 2 3 2 6" xfId="30320"/>
    <cellStyle name="Normal 6 2 3 2 7" xfId="30321"/>
    <cellStyle name="Normal 6 2 3 3" xfId="30322"/>
    <cellStyle name="Normal 6 2 3 3 2" xfId="30323"/>
    <cellStyle name="Normal 6 2 3 3 2 2" xfId="30324"/>
    <cellStyle name="Normal 6 2 3 3 3" xfId="30325"/>
    <cellStyle name="Normal 6 2 3 3 3 2" xfId="30326"/>
    <cellStyle name="Normal 6 2 3 3 4" xfId="30327"/>
    <cellStyle name="Normal 6 2 3 3 4 2" xfId="30328"/>
    <cellStyle name="Normal 6 2 3 3 5" xfId="30329"/>
    <cellStyle name="Normal 6 2 3 3 6" xfId="30330"/>
    <cellStyle name="Normal 6 2 3 3 7" xfId="30331"/>
    <cellStyle name="Normal 6 2 3 4" xfId="30332"/>
    <cellStyle name="Normal 6 2 3 4 2" xfId="30333"/>
    <cellStyle name="Normal 6 2 3 4 2 2" xfId="30334"/>
    <cellStyle name="Normal 6 2 3 4 3" xfId="30335"/>
    <cellStyle name="Normal 6 2 3 4 3 2" xfId="30336"/>
    <cellStyle name="Normal 6 2 3 4 4" xfId="30337"/>
    <cellStyle name="Normal 6 2 3 4 4 2" xfId="30338"/>
    <cellStyle name="Normal 6 2 3 4 5" xfId="30339"/>
    <cellStyle name="Normal 6 2 3 4 6" xfId="30340"/>
    <cellStyle name="Normal 6 2 3 4 7" xfId="30341"/>
    <cellStyle name="Normal 6 2 3 5" xfId="30342"/>
    <cellStyle name="Normal 6 2 3 5 2" xfId="30343"/>
    <cellStyle name="Normal 6 2 3 5 2 2" xfId="30344"/>
    <cellStyle name="Normal 6 2 3 5 3" xfId="30345"/>
    <cellStyle name="Normal 6 2 3 5 3 2" xfId="30346"/>
    <cellStyle name="Normal 6 2 3 5 4" xfId="30347"/>
    <cellStyle name="Normal 6 2 3 5 5" xfId="30348"/>
    <cellStyle name="Normal 6 2 3 6" xfId="30349"/>
    <cellStyle name="Normal 6 2 3 6 2" xfId="30350"/>
    <cellStyle name="Normal 6 2 3 7" xfId="30351"/>
    <cellStyle name="Normal 6 2 3 7 2" xfId="30352"/>
    <cellStyle name="Normal 6 2 3 8" xfId="30353"/>
    <cellStyle name="Normal 6 2 3 8 2" xfId="30354"/>
    <cellStyle name="Normal 6 2 3 9" xfId="30355"/>
    <cellStyle name="Normal 6 2 4" xfId="30356"/>
    <cellStyle name="Normal 6 2 4 10" xfId="30357"/>
    <cellStyle name="Normal 6 2 4 11" xfId="30358"/>
    <cellStyle name="Normal 6 2 4 2" xfId="30359"/>
    <cellStyle name="Normal 6 2 4 2 2" xfId="30360"/>
    <cellStyle name="Normal 6 2 4 2 2 2" xfId="30361"/>
    <cellStyle name="Normal 6 2 4 2 2 3" xfId="30362"/>
    <cellStyle name="Normal 6 2 4 2 3" xfId="30363"/>
    <cellStyle name="Normal 6 2 4 2 3 2" xfId="30364"/>
    <cellStyle name="Normal 6 2 4 2 4" xfId="30365"/>
    <cellStyle name="Normal 6 2 4 2 4 2" xfId="30366"/>
    <cellStyle name="Normal 6 2 4 2 5" xfId="30367"/>
    <cellStyle name="Normal 6 2 4 2 6" xfId="30368"/>
    <cellStyle name="Normal 6 2 4 2 7" xfId="30369"/>
    <cellStyle name="Normal 6 2 4 3" xfId="30370"/>
    <cellStyle name="Normal 6 2 4 3 2" xfId="30371"/>
    <cellStyle name="Normal 6 2 4 3 2 2" xfId="30372"/>
    <cellStyle name="Normal 6 2 4 3 3" xfId="30373"/>
    <cellStyle name="Normal 6 2 4 3 3 2" xfId="30374"/>
    <cellStyle name="Normal 6 2 4 3 4" xfId="30375"/>
    <cellStyle name="Normal 6 2 4 3 4 2" xfId="30376"/>
    <cellStyle name="Normal 6 2 4 3 5" xfId="30377"/>
    <cellStyle name="Normal 6 2 4 3 6" xfId="30378"/>
    <cellStyle name="Normal 6 2 4 3 7" xfId="30379"/>
    <cellStyle name="Normal 6 2 4 4" xfId="30380"/>
    <cellStyle name="Normal 6 2 4 4 2" xfId="30381"/>
    <cellStyle name="Normal 6 2 4 4 2 2" xfId="30382"/>
    <cellStyle name="Normal 6 2 4 4 3" xfId="30383"/>
    <cellStyle name="Normal 6 2 4 4 3 2" xfId="30384"/>
    <cellStyle name="Normal 6 2 4 4 4" xfId="30385"/>
    <cellStyle name="Normal 6 2 4 4 4 2" xfId="30386"/>
    <cellStyle name="Normal 6 2 4 4 5" xfId="30387"/>
    <cellStyle name="Normal 6 2 4 4 6" xfId="30388"/>
    <cellStyle name="Normal 6 2 4 4 7" xfId="30389"/>
    <cellStyle name="Normal 6 2 4 5" xfId="30390"/>
    <cellStyle name="Normal 6 2 4 5 2" xfId="30391"/>
    <cellStyle name="Normal 6 2 4 5 2 2" xfId="30392"/>
    <cellStyle name="Normal 6 2 4 5 3" xfId="30393"/>
    <cellStyle name="Normal 6 2 4 5 3 2" xfId="30394"/>
    <cellStyle name="Normal 6 2 4 5 4" xfId="30395"/>
    <cellStyle name="Normal 6 2 4 5 5" xfId="30396"/>
    <cellStyle name="Normal 6 2 4 6" xfId="30397"/>
    <cellStyle name="Normal 6 2 4 6 2" xfId="30398"/>
    <cellStyle name="Normal 6 2 4 7" xfId="30399"/>
    <cellStyle name="Normal 6 2 4 7 2" xfId="30400"/>
    <cellStyle name="Normal 6 2 4 8" xfId="30401"/>
    <cellStyle name="Normal 6 2 4 8 2" xfId="30402"/>
    <cellStyle name="Normal 6 2 4 9" xfId="30403"/>
    <cellStyle name="Normal 6 2 5" xfId="30404"/>
    <cellStyle name="Normal 6 2 5 2" xfId="30405"/>
    <cellStyle name="Normal 6 2 5 2 2" xfId="30406"/>
    <cellStyle name="Normal 6 2 5 2 2 2" xfId="30407"/>
    <cellStyle name="Normal 6 2 5 2 3" xfId="30408"/>
    <cellStyle name="Normal 6 2 5 3" xfId="30409"/>
    <cellStyle name="Normal 6 2 5 3 2" xfId="30410"/>
    <cellStyle name="Normal 6 2 5 3 3" xfId="30411"/>
    <cellStyle name="Normal 6 2 5 4" xfId="30412"/>
    <cellStyle name="Normal 6 2 5 4 2" xfId="30413"/>
    <cellStyle name="Normal 6 2 5 4 3" xfId="30414"/>
    <cellStyle name="Normal 6 2 5 5" xfId="30415"/>
    <cellStyle name="Normal 6 2 5 6" xfId="30416"/>
    <cellStyle name="Normal 6 2 5 7" xfId="30417"/>
    <cellStyle name="Normal 6 2 6" xfId="30418"/>
    <cellStyle name="Normal 6 2 6 2" xfId="30419"/>
    <cellStyle name="Normal 6 2 6 2 2" xfId="30420"/>
    <cellStyle name="Normal 6 2 6 2 3" xfId="30421"/>
    <cellStyle name="Normal 6 2 6 3" xfId="30422"/>
    <cellStyle name="Normal 6 2 6 3 2" xfId="30423"/>
    <cellStyle name="Normal 6 2 6 4" xfId="30424"/>
    <cellStyle name="Normal 6 2 6 4 2" xfId="30425"/>
    <cellStyle name="Normal 6 2 6 5" xfId="30426"/>
    <cellStyle name="Normal 6 2 6 6" xfId="30427"/>
    <cellStyle name="Normal 6 2 6 7" xfId="30428"/>
    <cellStyle name="Normal 6 2 7" xfId="30429"/>
    <cellStyle name="Normal 6 2 7 2" xfId="30430"/>
    <cellStyle name="Normal 6 2 7 2 2" xfId="30431"/>
    <cellStyle name="Normal 6 2 7 3" xfId="30432"/>
    <cellStyle name="Normal 6 2 7 3 2" xfId="30433"/>
    <cellStyle name="Normal 6 2 7 4" xfId="30434"/>
    <cellStyle name="Normal 6 2 7 4 2" xfId="30435"/>
    <cellStyle name="Normal 6 2 7 5" xfId="30436"/>
    <cellStyle name="Normal 6 2 7 6" xfId="30437"/>
    <cellStyle name="Normal 6 2 7 7" xfId="30438"/>
    <cellStyle name="Normal 6 2 8" xfId="30439"/>
    <cellStyle name="Normal 6 2 8 2" xfId="30440"/>
    <cellStyle name="Normal 6 2 8 2 2" xfId="30441"/>
    <cellStyle name="Normal 6 2 8 3" xfId="30442"/>
    <cellStyle name="Normal 6 2 8 3 2" xfId="30443"/>
    <cellStyle name="Normal 6 2 8 4" xfId="30444"/>
    <cellStyle name="Normal 6 2 8 5" xfId="30445"/>
    <cellStyle name="Normal 6 2 8 6" xfId="30446"/>
    <cellStyle name="Normal 6 2 9" xfId="30447"/>
    <cellStyle name="Normal 6 2 9 2" xfId="30448"/>
    <cellStyle name="Normal 6 3" xfId="30449"/>
    <cellStyle name="Normal 6 3 10" xfId="30450"/>
    <cellStyle name="Normal 6 3 10 2" xfId="30451"/>
    <cellStyle name="Normal 6 3 11" xfId="30452"/>
    <cellStyle name="Normal 6 3 11 2" xfId="30453"/>
    <cellStyle name="Normal 6 3 12" xfId="30454"/>
    <cellStyle name="Normal 6 3 13" xfId="30455"/>
    <cellStyle name="Normal 6 3 14" xfId="30456"/>
    <cellStyle name="Normal 6 3 2" xfId="30457"/>
    <cellStyle name="Normal 6 3 2 10" xfId="30458"/>
    <cellStyle name="Normal 6 3 2 11" xfId="30459"/>
    <cellStyle name="Normal 6 3 2 12" xfId="30460"/>
    <cellStyle name="Normal 6 3 2 2" xfId="30461"/>
    <cellStyle name="Normal 6 3 2 2 2" xfId="30462"/>
    <cellStyle name="Normal 6 3 2 2 2 2" xfId="30463"/>
    <cellStyle name="Normal 6 3 2 2 2 3" xfId="30464"/>
    <cellStyle name="Normal 6 3 2 2 3" xfId="30465"/>
    <cellStyle name="Normal 6 3 2 2 3 2" xfId="30466"/>
    <cellStyle name="Normal 6 3 2 2 4" xfId="30467"/>
    <cellStyle name="Normal 6 3 2 2 4 2" xfId="30468"/>
    <cellStyle name="Normal 6 3 2 2 5" xfId="30469"/>
    <cellStyle name="Normal 6 3 2 2 6" xfId="30470"/>
    <cellStyle name="Normal 6 3 2 2 7" xfId="30471"/>
    <cellStyle name="Normal 6 3 2 3" xfId="30472"/>
    <cellStyle name="Normal 6 3 2 3 2" xfId="30473"/>
    <cellStyle name="Normal 6 3 2 3 2 2" xfId="30474"/>
    <cellStyle name="Normal 6 3 2 3 3" xfId="30475"/>
    <cellStyle name="Normal 6 3 2 3 3 2" xfId="30476"/>
    <cellStyle name="Normal 6 3 2 3 4" xfId="30477"/>
    <cellStyle name="Normal 6 3 2 3 4 2" xfId="30478"/>
    <cellStyle name="Normal 6 3 2 3 5" xfId="30479"/>
    <cellStyle name="Normal 6 3 2 3 6" xfId="30480"/>
    <cellStyle name="Normal 6 3 2 3 7" xfId="30481"/>
    <cellStyle name="Normal 6 3 2 4" xfId="30482"/>
    <cellStyle name="Normal 6 3 2 4 2" xfId="30483"/>
    <cellStyle name="Normal 6 3 2 4 2 2" xfId="30484"/>
    <cellStyle name="Normal 6 3 2 4 3" xfId="30485"/>
    <cellStyle name="Normal 6 3 2 4 3 2" xfId="30486"/>
    <cellStyle name="Normal 6 3 2 4 4" xfId="30487"/>
    <cellStyle name="Normal 6 3 2 4 4 2" xfId="30488"/>
    <cellStyle name="Normal 6 3 2 4 5" xfId="30489"/>
    <cellStyle name="Normal 6 3 2 4 6" xfId="30490"/>
    <cellStyle name="Normal 6 3 2 4 7" xfId="30491"/>
    <cellStyle name="Normal 6 3 2 5" xfId="30492"/>
    <cellStyle name="Normal 6 3 2 5 2" xfId="30493"/>
    <cellStyle name="Normal 6 3 2 5 2 2" xfId="30494"/>
    <cellStyle name="Normal 6 3 2 5 3" xfId="30495"/>
    <cellStyle name="Normal 6 3 2 5 3 2" xfId="30496"/>
    <cellStyle name="Normal 6 3 2 5 4" xfId="30497"/>
    <cellStyle name="Normal 6 3 2 5 4 2" xfId="30498"/>
    <cellStyle name="Normal 6 3 2 5 5" xfId="30499"/>
    <cellStyle name="Normal 6 3 2 5 6" xfId="30500"/>
    <cellStyle name="Normal 6 3 2 6" xfId="30501"/>
    <cellStyle name="Normal 6 3 2 6 2" xfId="30502"/>
    <cellStyle name="Normal 6 3 2 6 2 2" xfId="30503"/>
    <cellStyle name="Normal 6 3 2 6 3" xfId="30504"/>
    <cellStyle name="Normal 6 3 2 6 3 2" xfId="30505"/>
    <cellStyle name="Normal 6 3 2 6 4" xfId="30506"/>
    <cellStyle name="Normal 6 3 2 6 5" xfId="30507"/>
    <cellStyle name="Normal 6 3 2 7" xfId="30508"/>
    <cellStyle name="Normal 6 3 2 7 2" xfId="30509"/>
    <cellStyle name="Normal 6 3 2 8" xfId="30510"/>
    <cellStyle name="Normal 6 3 2 8 2" xfId="30511"/>
    <cellStyle name="Normal 6 3 2 9" xfId="30512"/>
    <cellStyle name="Normal 6 3 2 9 2" xfId="30513"/>
    <cellStyle name="Normal 6 3 3" xfId="30514"/>
    <cellStyle name="Normal 6 3 3 10" xfId="30515"/>
    <cellStyle name="Normal 6 3 3 11" xfId="30516"/>
    <cellStyle name="Normal 6 3 3 2" xfId="30517"/>
    <cellStyle name="Normal 6 3 3 2 2" xfId="30518"/>
    <cellStyle name="Normal 6 3 3 2 2 2" xfId="30519"/>
    <cellStyle name="Normal 6 3 3 2 3" xfId="30520"/>
    <cellStyle name="Normal 6 3 3 2 3 2" xfId="30521"/>
    <cellStyle name="Normal 6 3 3 2 4" xfId="30522"/>
    <cellStyle name="Normal 6 3 3 2 4 2" xfId="30523"/>
    <cellStyle name="Normal 6 3 3 2 5" xfId="30524"/>
    <cellStyle name="Normal 6 3 3 2 6" xfId="30525"/>
    <cellStyle name="Normal 6 3 3 2 7" xfId="30526"/>
    <cellStyle name="Normal 6 3 3 3" xfId="30527"/>
    <cellStyle name="Normal 6 3 3 3 2" xfId="30528"/>
    <cellStyle name="Normal 6 3 3 3 2 2" xfId="30529"/>
    <cellStyle name="Normal 6 3 3 3 3" xfId="30530"/>
    <cellStyle name="Normal 6 3 3 3 3 2" xfId="30531"/>
    <cellStyle name="Normal 6 3 3 3 4" xfId="30532"/>
    <cellStyle name="Normal 6 3 3 3 4 2" xfId="30533"/>
    <cellStyle name="Normal 6 3 3 3 5" xfId="30534"/>
    <cellStyle name="Normal 6 3 3 3 6" xfId="30535"/>
    <cellStyle name="Normal 6 3 3 4" xfId="30536"/>
    <cellStyle name="Normal 6 3 3 4 2" xfId="30537"/>
    <cellStyle name="Normal 6 3 3 4 2 2" xfId="30538"/>
    <cellStyle name="Normal 6 3 3 4 3" xfId="30539"/>
    <cellStyle name="Normal 6 3 3 4 3 2" xfId="30540"/>
    <cellStyle name="Normal 6 3 3 4 4" xfId="30541"/>
    <cellStyle name="Normal 6 3 3 4 4 2" xfId="30542"/>
    <cellStyle name="Normal 6 3 3 4 5" xfId="30543"/>
    <cellStyle name="Normal 6 3 3 4 6" xfId="30544"/>
    <cellStyle name="Normal 6 3 3 5" xfId="30545"/>
    <cellStyle name="Normal 6 3 3 5 2" xfId="30546"/>
    <cellStyle name="Normal 6 3 3 5 2 2" xfId="30547"/>
    <cellStyle name="Normal 6 3 3 5 3" xfId="30548"/>
    <cellStyle name="Normal 6 3 3 5 3 2" xfId="30549"/>
    <cellStyle name="Normal 6 3 3 5 4" xfId="30550"/>
    <cellStyle name="Normal 6 3 3 5 5" xfId="30551"/>
    <cellStyle name="Normal 6 3 3 6" xfId="30552"/>
    <cellStyle name="Normal 6 3 3 6 2" xfId="30553"/>
    <cellStyle name="Normal 6 3 3 7" xfId="30554"/>
    <cellStyle name="Normal 6 3 3 7 2" xfId="30555"/>
    <cellStyle name="Normal 6 3 3 8" xfId="30556"/>
    <cellStyle name="Normal 6 3 3 8 2" xfId="30557"/>
    <cellStyle name="Normal 6 3 3 9" xfId="30558"/>
    <cellStyle name="Normal 6 3 4" xfId="30559"/>
    <cellStyle name="Normal 6 3 4 10" xfId="30560"/>
    <cellStyle name="Normal 6 3 4 11" xfId="30561"/>
    <cellStyle name="Normal 6 3 4 2" xfId="30562"/>
    <cellStyle name="Normal 6 3 4 2 2" xfId="30563"/>
    <cellStyle name="Normal 6 3 4 2 2 2" xfId="30564"/>
    <cellStyle name="Normal 6 3 4 2 3" xfId="30565"/>
    <cellStyle name="Normal 6 3 4 2 3 2" xfId="30566"/>
    <cellStyle name="Normal 6 3 4 2 4" xfId="30567"/>
    <cellStyle name="Normal 6 3 4 2 4 2" xfId="30568"/>
    <cellStyle name="Normal 6 3 4 2 5" xfId="30569"/>
    <cellStyle name="Normal 6 3 4 2 6" xfId="30570"/>
    <cellStyle name="Normal 6 3 4 3" xfId="30571"/>
    <cellStyle name="Normal 6 3 4 3 2" xfId="30572"/>
    <cellStyle name="Normal 6 3 4 3 2 2" xfId="30573"/>
    <cellStyle name="Normal 6 3 4 3 3" xfId="30574"/>
    <cellStyle name="Normal 6 3 4 3 3 2" xfId="30575"/>
    <cellStyle name="Normal 6 3 4 3 4" xfId="30576"/>
    <cellStyle name="Normal 6 3 4 3 4 2" xfId="30577"/>
    <cellStyle name="Normal 6 3 4 3 5" xfId="30578"/>
    <cellStyle name="Normal 6 3 4 3 6" xfId="30579"/>
    <cellStyle name="Normal 6 3 4 4" xfId="30580"/>
    <cellStyle name="Normal 6 3 4 4 2" xfId="30581"/>
    <cellStyle name="Normal 6 3 4 4 2 2" xfId="30582"/>
    <cellStyle name="Normal 6 3 4 4 3" xfId="30583"/>
    <cellStyle name="Normal 6 3 4 4 3 2" xfId="30584"/>
    <cellStyle name="Normal 6 3 4 4 4" xfId="30585"/>
    <cellStyle name="Normal 6 3 4 4 4 2" xfId="30586"/>
    <cellStyle name="Normal 6 3 4 4 5" xfId="30587"/>
    <cellStyle name="Normal 6 3 4 4 6" xfId="30588"/>
    <cellStyle name="Normal 6 3 4 5" xfId="30589"/>
    <cellStyle name="Normal 6 3 4 5 2" xfId="30590"/>
    <cellStyle name="Normal 6 3 4 5 2 2" xfId="30591"/>
    <cellStyle name="Normal 6 3 4 5 3" xfId="30592"/>
    <cellStyle name="Normal 6 3 4 5 3 2" xfId="30593"/>
    <cellStyle name="Normal 6 3 4 5 4" xfId="30594"/>
    <cellStyle name="Normal 6 3 4 5 5" xfId="30595"/>
    <cellStyle name="Normal 6 3 4 6" xfId="30596"/>
    <cellStyle name="Normal 6 3 4 6 2" xfId="30597"/>
    <cellStyle name="Normal 6 3 4 7" xfId="30598"/>
    <cellStyle name="Normal 6 3 4 7 2" xfId="30599"/>
    <cellStyle name="Normal 6 3 4 8" xfId="30600"/>
    <cellStyle name="Normal 6 3 4 8 2" xfId="30601"/>
    <cellStyle name="Normal 6 3 4 9" xfId="30602"/>
    <cellStyle name="Normal 6 3 5" xfId="30603"/>
    <cellStyle name="Normal 6 3 5 2" xfId="30604"/>
    <cellStyle name="Normal 6 3 5 2 2" xfId="30605"/>
    <cellStyle name="Normal 6 3 5 3" xfId="30606"/>
    <cellStyle name="Normal 6 3 5 3 2" xfId="30607"/>
    <cellStyle name="Normal 6 3 5 4" xfId="30608"/>
    <cellStyle name="Normal 6 3 5 4 2" xfId="30609"/>
    <cellStyle name="Normal 6 3 5 5" xfId="30610"/>
    <cellStyle name="Normal 6 3 5 6" xfId="30611"/>
    <cellStyle name="Normal 6 3 5 7" xfId="30612"/>
    <cellStyle name="Normal 6 3 6" xfId="30613"/>
    <cellStyle name="Normal 6 3 6 2" xfId="30614"/>
    <cellStyle name="Normal 6 3 6 2 2" xfId="30615"/>
    <cellStyle name="Normal 6 3 6 3" xfId="30616"/>
    <cellStyle name="Normal 6 3 6 3 2" xfId="30617"/>
    <cellStyle name="Normal 6 3 6 4" xfId="30618"/>
    <cellStyle name="Normal 6 3 6 4 2" xfId="30619"/>
    <cellStyle name="Normal 6 3 6 5" xfId="30620"/>
    <cellStyle name="Normal 6 3 6 6" xfId="30621"/>
    <cellStyle name="Normal 6 3 7" xfId="30622"/>
    <cellStyle name="Normal 6 3 7 2" xfId="30623"/>
    <cellStyle name="Normal 6 3 7 2 2" xfId="30624"/>
    <cellStyle name="Normal 6 3 7 3" xfId="30625"/>
    <cellStyle name="Normal 6 3 7 3 2" xfId="30626"/>
    <cellStyle name="Normal 6 3 7 4" xfId="30627"/>
    <cellStyle name="Normal 6 3 7 4 2" xfId="30628"/>
    <cellStyle name="Normal 6 3 7 5" xfId="30629"/>
    <cellStyle name="Normal 6 3 7 6" xfId="30630"/>
    <cellStyle name="Normal 6 3 8" xfId="30631"/>
    <cellStyle name="Normal 6 3 8 2" xfId="30632"/>
    <cellStyle name="Normal 6 3 8 2 2" xfId="30633"/>
    <cellStyle name="Normal 6 3 8 3" xfId="30634"/>
    <cellStyle name="Normal 6 3 8 3 2" xfId="30635"/>
    <cellStyle name="Normal 6 3 8 4" xfId="30636"/>
    <cellStyle name="Normal 6 3 8 5" xfId="30637"/>
    <cellStyle name="Normal 6 3 9" xfId="30638"/>
    <cellStyle name="Normal 6 3 9 2" xfId="30639"/>
    <cellStyle name="Normal 6 4" xfId="30640"/>
    <cellStyle name="Normal 6 4 10" xfId="30641"/>
    <cellStyle name="Normal 6 4 10 2" xfId="30642"/>
    <cellStyle name="Normal 6 4 11" xfId="30643"/>
    <cellStyle name="Normal 6 4 12" xfId="30644"/>
    <cellStyle name="Normal 6 4 13" xfId="30645"/>
    <cellStyle name="Normal 6 4 2" xfId="30646"/>
    <cellStyle name="Normal 6 4 2 10" xfId="30647"/>
    <cellStyle name="Normal 6 4 2 11" xfId="30648"/>
    <cellStyle name="Normal 6 4 2 2" xfId="30649"/>
    <cellStyle name="Normal 6 4 2 2 2" xfId="30650"/>
    <cellStyle name="Normal 6 4 2 2 2 2" xfId="30651"/>
    <cellStyle name="Normal 6 4 2 2 3" xfId="30652"/>
    <cellStyle name="Normal 6 4 2 2 3 2" xfId="30653"/>
    <cellStyle name="Normal 6 4 2 2 4" xfId="30654"/>
    <cellStyle name="Normal 6 4 2 2 4 2" xfId="30655"/>
    <cellStyle name="Normal 6 4 2 2 5" xfId="30656"/>
    <cellStyle name="Normal 6 4 2 2 6" xfId="30657"/>
    <cellStyle name="Normal 6 4 2 2 7" xfId="30658"/>
    <cellStyle name="Normal 6 4 2 3" xfId="30659"/>
    <cellStyle name="Normal 6 4 2 3 2" xfId="30660"/>
    <cellStyle name="Normal 6 4 2 3 2 2" xfId="30661"/>
    <cellStyle name="Normal 6 4 2 3 3" xfId="30662"/>
    <cellStyle name="Normal 6 4 2 3 3 2" xfId="30663"/>
    <cellStyle name="Normal 6 4 2 3 4" xfId="30664"/>
    <cellStyle name="Normal 6 4 2 3 4 2" xfId="30665"/>
    <cellStyle name="Normal 6 4 2 3 5" xfId="30666"/>
    <cellStyle name="Normal 6 4 2 3 6" xfId="30667"/>
    <cellStyle name="Normal 6 4 2 3 7" xfId="30668"/>
    <cellStyle name="Normal 6 4 2 4" xfId="30669"/>
    <cellStyle name="Normal 6 4 2 4 2" xfId="30670"/>
    <cellStyle name="Normal 6 4 2 4 2 2" xfId="30671"/>
    <cellStyle name="Normal 6 4 2 4 3" xfId="30672"/>
    <cellStyle name="Normal 6 4 2 4 3 2" xfId="30673"/>
    <cellStyle name="Normal 6 4 2 4 4" xfId="30674"/>
    <cellStyle name="Normal 6 4 2 4 4 2" xfId="30675"/>
    <cellStyle name="Normal 6 4 2 4 5" xfId="30676"/>
    <cellStyle name="Normal 6 4 2 4 6" xfId="30677"/>
    <cellStyle name="Normal 6 4 2 5" xfId="30678"/>
    <cellStyle name="Normal 6 4 2 5 2" xfId="30679"/>
    <cellStyle name="Normal 6 4 2 5 2 2" xfId="30680"/>
    <cellStyle name="Normal 6 4 2 5 3" xfId="30681"/>
    <cellStyle name="Normal 6 4 2 5 3 2" xfId="30682"/>
    <cellStyle name="Normal 6 4 2 5 4" xfId="30683"/>
    <cellStyle name="Normal 6 4 2 5 5" xfId="30684"/>
    <cellStyle name="Normal 6 4 2 6" xfId="30685"/>
    <cellStyle name="Normal 6 4 2 6 2" xfId="30686"/>
    <cellStyle name="Normal 6 4 2 7" xfId="30687"/>
    <cellStyle name="Normal 6 4 2 7 2" xfId="30688"/>
    <cellStyle name="Normal 6 4 2 8" xfId="30689"/>
    <cellStyle name="Normal 6 4 2 8 2" xfId="30690"/>
    <cellStyle name="Normal 6 4 2 9" xfId="30691"/>
    <cellStyle name="Normal 6 4 3" xfId="30692"/>
    <cellStyle name="Normal 6 4 3 10" xfId="30693"/>
    <cellStyle name="Normal 6 4 3 11" xfId="30694"/>
    <cellStyle name="Normal 6 4 3 2" xfId="30695"/>
    <cellStyle name="Normal 6 4 3 2 2" xfId="30696"/>
    <cellStyle name="Normal 6 4 3 2 2 2" xfId="30697"/>
    <cellStyle name="Normal 6 4 3 2 3" xfId="30698"/>
    <cellStyle name="Normal 6 4 3 2 3 2" xfId="30699"/>
    <cellStyle name="Normal 6 4 3 2 4" xfId="30700"/>
    <cellStyle name="Normal 6 4 3 2 4 2" xfId="30701"/>
    <cellStyle name="Normal 6 4 3 2 5" xfId="30702"/>
    <cellStyle name="Normal 6 4 3 2 6" xfId="30703"/>
    <cellStyle name="Normal 6 4 3 3" xfId="30704"/>
    <cellStyle name="Normal 6 4 3 3 2" xfId="30705"/>
    <cellStyle name="Normal 6 4 3 3 2 2" xfId="30706"/>
    <cellStyle name="Normal 6 4 3 3 3" xfId="30707"/>
    <cellStyle name="Normal 6 4 3 3 3 2" xfId="30708"/>
    <cellStyle name="Normal 6 4 3 3 4" xfId="30709"/>
    <cellStyle name="Normal 6 4 3 3 4 2" xfId="30710"/>
    <cellStyle name="Normal 6 4 3 3 5" xfId="30711"/>
    <cellStyle name="Normal 6 4 3 3 6" xfId="30712"/>
    <cellStyle name="Normal 6 4 3 4" xfId="30713"/>
    <cellStyle name="Normal 6 4 3 4 2" xfId="30714"/>
    <cellStyle name="Normal 6 4 3 4 2 2" xfId="30715"/>
    <cellStyle name="Normal 6 4 3 4 3" xfId="30716"/>
    <cellStyle name="Normal 6 4 3 4 3 2" xfId="30717"/>
    <cellStyle name="Normal 6 4 3 4 4" xfId="30718"/>
    <cellStyle name="Normal 6 4 3 4 4 2" xfId="30719"/>
    <cellStyle name="Normal 6 4 3 4 5" xfId="30720"/>
    <cellStyle name="Normal 6 4 3 4 6" xfId="30721"/>
    <cellStyle name="Normal 6 4 3 5" xfId="30722"/>
    <cellStyle name="Normal 6 4 3 5 2" xfId="30723"/>
    <cellStyle name="Normal 6 4 3 5 2 2" xfId="30724"/>
    <cellStyle name="Normal 6 4 3 5 3" xfId="30725"/>
    <cellStyle name="Normal 6 4 3 5 3 2" xfId="30726"/>
    <cellStyle name="Normal 6 4 3 5 4" xfId="30727"/>
    <cellStyle name="Normal 6 4 3 5 5" xfId="30728"/>
    <cellStyle name="Normal 6 4 3 6" xfId="30729"/>
    <cellStyle name="Normal 6 4 3 6 2" xfId="30730"/>
    <cellStyle name="Normal 6 4 3 7" xfId="30731"/>
    <cellStyle name="Normal 6 4 3 7 2" xfId="30732"/>
    <cellStyle name="Normal 6 4 3 8" xfId="30733"/>
    <cellStyle name="Normal 6 4 3 8 2" xfId="30734"/>
    <cellStyle name="Normal 6 4 3 9" xfId="30735"/>
    <cellStyle name="Normal 6 4 4" xfId="30736"/>
    <cellStyle name="Normal 6 4 4 2" xfId="30737"/>
    <cellStyle name="Normal 6 4 4 2 2" xfId="30738"/>
    <cellStyle name="Normal 6 4 4 3" xfId="30739"/>
    <cellStyle name="Normal 6 4 4 3 2" xfId="30740"/>
    <cellStyle name="Normal 6 4 4 4" xfId="30741"/>
    <cellStyle name="Normal 6 4 4 4 2" xfId="30742"/>
    <cellStyle name="Normal 6 4 4 5" xfId="30743"/>
    <cellStyle name="Normal 6 4 4 6" xfId="30744"/>
    <cellStyle name="Normal 6 4 5" xfId="30745"/>
    <cellStyle name="Normal 6 4 5 2" xfId="30746"/>
    <cellStyle name="Normal 6 4 5 2 2" xfId="30747"/>
    <cellStyle name="Normal 6 4 5 3" xfId="30748"/>
    <cellStyle name="Normal 6 4 5 3 2" xfId="30749"/>
    <cellStyle name="Normal 6 4 5 4" xfId="30750"/>
    <cellStyle name="Normal 6 4 5 4 2" xfId="30751"/>
    <cellStyle name="Normal 6 4 5 5" xfId="30752"/>
    <cellStyle name="Normal 6 4 5 6" xfId="30753"/>
    <cellStyle name="Normal 6 4 6" xfId="30754"/>
    <cellStyle name="Normal 6 4 6 2" xfId="30755"/>
    <cellStyle name="Normal 6 4 6 2 2" xfId="30756"/>
    <cellStyle name="Normal 6 4 6 3" xfId="30757"/>
    <cellStyle name="Normal 6 4 6 3 2" xfId="30758"/>
    <cellStyle name="Normal 6 4 6 4" xfId="30759"/>
    <cellStyle name="Normal 6 4 6 4 2" xfId="30760"/>
    <cellStyle name="Normal 6 4 6 5" xfId="30761"/>
    <cellStyle name="Normal 6 4 6 6" xfId="30762"/>
    <cellStyle name="Normal 6 4 7" xfId="30763"/>
    <cellStyle name="Normal 6 4 7 2" xfId="30764"/>
    <cellStyle name="Normal 6 4 7 2 2" xfId="30765"/>
    <cellStyle name="Normal 6 4 7 3" xfId="30766"/>
    <cellStyle name="Normal 6 4 7 3 2" xfId="30767"/>
    <cellStyle name="Normal 6 4 7 4" xfId="30768"/>
    <cellStyle name="Normal 6 4 7 5" xfId="30769"/>
    <cellStyle name="Normal 6 4 8" xfId="30770"/>
    <cellStyle name="Normal 6 4 8 2" xfId="30771"/>
    <cellStyle name="Normal 6 4 9" xfId="30772"/>
    <cellStyle name="Normal 6 4 9 2" xfId="30773"/>
    <cellStyle name="Normal 6 5" xfId="30774"/>
    <cellStyle name="Normal 6 5 10" xfId="30775"/>
    <cellStyle name="Normal 6 5 11" xfId="30776"/>
    <cellStyle name="Normal 6 5 12" xfId="30777"/>
    <cellStyle name="Normal 6 5 2" xfId="30778"/>
    <cellStyle name="Normal 6 5 2 2" xfId="30779"/>
    <cellStyle name="Normal 6 5 2 2 2" xfId="30780"/>
    <cellStyle name="Normal 6 5 2 2 3" xfId="30781"/>
    <cellStyle name="Normal 6 5 2 3" xfId="30782"/>
    <cellStyle name="Normal 6 5 2 3 2" xfId="30783"/>
    <cellStyle name="Normal 6 5 2 4" xfId="30784"/>
    <cellStyle name="Normal 6 5 2 4 2" xfId="30785"/>
    <cellStyle name="Normal 6 5 2 5" xfId="30786"/>
    <cellStyle name="Normal 6 5 2 6" xfId="30787"/>
    <cellStyle name="Normal 6 5 2 7" xfId="30788"/>
    <cellStyle name="Normal 6 5 3" xfId="30789"/>
    <cellStyle name="Normal 6 5 3 2" xfId="30790"/>
    <cellStyle name="Normal 6 5 3 2 2" xfId="30791"/>
    <cellStyle name="Normal 6 5 3 3" xfId="30792"/>
    <cellStyle name="Normal 6 5 3 3 2" xfId="30793"/>
    <cellStyle name="Normal 6 5 3 4" xfId="30794"/>
    <cellStyle name="Normal 6 5 3 4 2" xfId="30795"/>
    <cellStyle name="Normal 6 5 3 5" xfId="30796"/>
    <cellStyle name="Normal 6 5 3 6" xfId="30797"/>
    <cellStyle name="Normal 6 5 3 7" xfId="30798"/>
    <cellStyle name="Normal 6 5 4" xfId="30799"/>
    <cellStyle name="Normal 6 5 4 2" xfId="30800"/>
    <cellStyle name="Normal 6 5 4 2 2" xfId="30801"/>
    <cellStyle name="Normal 6 5 4 3" xfId="30802"/>
    <cellStyle name="Normal 6 5 4 3 2" xfId="30803"/>
    <cellStyle name="Normal 6 5 4 4" xfId="30804"/>
    <cellStyle name="Normal 6 5 4 4 2" xfId="30805"/>
    <cellStyle name="Normal 6 5 4 5" xfId="30806"/>
    <cellStyle name="Normal 6 5 4 6" xfId="30807"/>
    <cellStyle name="Normal 6 5 4 7" xfId="30808"/>
    <cellStyle name="Normal 6 5 5" xfId="30809"/>
    <cellStyle name="Normal 6 5 5 2" xfId="30810"/>
    <cellStyle name="Normal 6 5 5 2 2" xfId="30811"/>
    <cellStyle name="Normal 6 5 5 3" xfId="30812"/>
    <cellStyle name="Normal 6 5 5 3 2" xfId="30813"/>
    <cellStyle name="Normal 6 5 5 4" xfId="30814"/>
    <cellStyle name="Normal 6 5 5 4 2" xfId="30815"/>
    <cellStyle name="Normal 6 5 5 5" xfId="30816"/>
    <cellStyle name="Normal 6 5 5 6" xfId="30817"/>
    <cellStyle name="Normal 6 5 6" xfId="30818"/>
    <cellStyle name="Normal 6 5 6 2" xfId="30819"/>
    <cellStyle name="Normal 6 5 6 2 2" xfId="30820"/>
    <cellStyle name="Normal 6 5 6 3" xfId="30821"/>
    <cellStyle name="Normal 6 5 6 3 2" xfId="30822"/>
    <cellStyle name="Normal 6 5 6 4" xfId="30823"/>
    <cellStyle name="Normal 6 5 6 5" xfId="30824"/>
    <cellStyle name="Normal 6 5 7" xfId="30825"/>
    <cellStyle name="Normal 6 5 7 2" xfId="30826"/>
    <cellStyle name="Normal 6 5 8" xfId="30827"/>
    <cellStyle name="Normal 6 5 8 2" xfId="30828"/>
    <cellStyle name="Normal 6 5 9" xfId="30829"/>
    <cellStyle name="Normal 6 5 9 2" xfId="30830"/>
    <cellStyle name="Normal 6 6" xfId="30831"/>
    <cellStyle name="Normal 6 6 10" xfId="30832"/>
    <cellStyle name="Normal 6 6 11" xfId="30833"/>
    <cellStyle name="Normal 6 6 2" xfId="30834"/>
    <cellStyle name="Normal 6 6 2 2" xfId="30835"/>
    <cellStyle name="Normal 6 6 2 2 2" xfId="30836"/>
    <cellStyle name="Normal 6 6 2 2 3" xfId="30837"/>
    <cellStyle name="Normal 6 6 2 3" xfId="30838"/>
    <cellStyle name="Normal 6 6 2 3 2" xfId="30839"/>
    <cellStyle name="Normal 6 6 2 4" xfId="30840"/>
    <cellStyle name="Normal 6 6 2 4 2" xfId="30841"/>
    <cellStyle name="Normal 6 6 2 5" xfId="30842"/>
    <cellStyle name="Normal 6 6 2 6" xfId="30843"/>
    <cellStyle name="Normal 6 6 2 7" xfId="30844"/>
    <cellStyle name="Normal 6 6 3" xfId="30845"/>
    <cellStyle name="Normal 6 6 3 2" xfId="30846"/>
    <cellStyle name="Normal 6 6 3 2 2" xfId="30847"/>
    <cellStyle name="Normal 6 6 3 3" xfId="30848"/>
    <cellStyle name="Normal 6 6 3 3 2" xfId="30849"/>
    <cellStyle name="Normal 6 6 3 4" xfId="30850"/>
    <cellStyle name="Normal 6 6 3 4 2" xfId="30851"/>
    <cellStyle name="Normal 6 6 3 5" xfId="30852"/>
    <cellStyle name="Normal 6 6 3 6" xfId="30853"/>
    <cellStyle name="Normal 6 6 3 7" xfId="30854"/>
    <cellStyle name="Normal 6 6 4" xfId="30855"/>
    <cellStyle name="Normal 6 6 4 2" xfId="30856"/>
    <cellStyle name="Normal 6 6 4 2 2" xfId="30857"/>
    <cellStyle name="Normal 6 6 4 3" xfId="30858"/>
    <cellStyle name="Normal 6 6 4 3 2" xfId="30859"/>
    <cellStyle name="Normal 6 6 4 4" xfId="30860"/>
    <cellStyle name="Normal 6 6 4 4 2" xfId="30861"/>
    <cellStyle name="Normal 6 6 4 5" xfId="30862"/>
    <cellStyle name="Normal 6 6 4 6" xfId="30863"/>
    <cellStyle name="Normal 6 6 4 7" xfId="30864"/>
    <cellStyle name="Normal 6 6 5" xfId="30865"/>
    <cellStyle name="Normal 6 6 5 2" xfId="30866"/>
    <cellStyle name="Normal 6 6 5 2 2" xfId="30867"/>
    <cellStyle name="Normal 6 6 5 3" xfId="30868"/>
    <cellStyle name="Normal 6 6 5 3 2" xfId="30869"/>
    <cellStyle name="Normal 6 6 5 4" xfId="30870"/>
    <cellStyle name="Normal 6 6 5 5" xfId="30871"/>
    <cellStyle name="Normal 6 6 6" xfId="30872"/>
    <cellStyle name="Normal 6 6 6 2" xfId="30873"/>
    <cellStyle name="Normal 6 6 7" xfId="30874"/>
    <cellStyle name="Normal 6 6 7 2" xfId="30875"/>
    <cellStyle name="Normal 6 6 8" xfId="30876"/>
    <cellStyle name="Normal 6 6 8 2" xfId="30877"/>
    <cellStyle name="Normal 6 6 9" xfId="30878"/>
    <cellStyle name="Normal 6 7" xfId="30879"/>
    <cellStyle name="Normal 6 7 10" xfId="30880"/>
    <cellStyle name="Normal 6 7 11" xfId="30881"/>
    <cellStyle name="Normal 6 7 2" xfId="30882"/>
    <cellStyle name="Normal 6 7 2 2" xfId="30883"/>
    <cellStyle name="Normal 6 7 2 2 2" xfId="30884"/>
    <cellStyle name="Normal 6 7 2 3" xfId="30885"/>
    <cellStyle name="Normal 6 7 2 3 2" xfId="30886"/>
    <cellStyle name="Normal 6 7 2 4" xfId="30887"/>
    <cellStyle name="Normal 6 7 2 4 2" xfId="30888"/>
    <cellStyle name="Normal 6 7 2 5" xfId="30889"/>
    <cellStyle name="Normal 6 7 2 6" xfId="30890"/>
    <cellStyle name="Normal 6 7 2 7" xfId="30891"/>
    <cellStyle name="Normal 6 7 3" xfId="30892"/>
    <cellStyle name="Normal 6 7 3 2" xfId="30893"/>
    <cellStyle name="Normal 6 7 3 2 2" xfId="30894"/>
    <cellStyle name="Normal 6 7 3 3" xfId="30895"/>
    <cellStyle name="Normal 6 7 3 3 2" xfId="30896"/>
    <cellStyle name="Normal 6 7 3 4" xfId="30897"/>
    <cellStyle name="Normal 6 7 3 4 2" xfId="30898"/>
    <cellStyle name="Normal 6 7 3 5" xfId="30899"/>
    <cellStyle name="Normal 6 7 3 6" xfId="30900"/>
    <cellStyle name="Normal 6 7 4" xfId="30901"/>
    <cellStyle name="Normal 6 7 4 2" xfId="30902"/>
    <cellStyle name="Normal 6 7 4 2 2" xfId="30903"/>
    <cellStyle name="Normal 6 7 4 3" xfId="30904"/>
    <cellStyle name="Normal 6 7 4 3 2" xfId="30905"/>
    <cellStyle name="Normal 6 7 4 4" xfId="30906"/>
    <cellStyle name="Normal 6 7 4 4 2" xfId="30907"/>
    <cellStyle name="Normal 6 7 4 5" xfId="30908"/>
    <cellStyle name="Normal 6 7 4 6" xfId="30909"/>
    <cellStyle name="Normal 6 7 5" xfId="30910"/>
    <cellStyle name="Normal 6 7 5 2" xfId="30911"/>
    <cellStyle name="Normal 6 7 5 2 2" xfId="30912"/>
    <cellStyle name="Normal 6 7 5 3" xfId="30913"/>
    <cellStyle name="Normal 6 7 5 3 2" xfId="30914"/>
    <cellStyle name="Normal 6 7 5 4" xfId="30915"/>
    <cellStyle name="Normal 6 7 5 5" xfId="30916"/>
    <cellStyle name="Normal 6 7 6" xfId="30917"/>
    <cellStyle name="Normal 6 7 6 2" xfId="30918"/>
    <cellStyle name="Normal 6 7 7" xfId="30919"/>
    <cellStyle name="Normal 6 7 7 2" xfId="30920"/>
    <cellStyle name="Normal 6 7 8" xfId="30921"/>
    <cellStyle name="Normal 6 7 8 2" xfId="30922"/>
    <cellStyle name="Normal 6 7 9" xfId="30923"/>
    <cellStyle name="Normal 6 8" xfId="30924"/>
    <cellStyle name="Normal 6 8 2" xfId="30925"/>
    <cellStyle name="Normal 6 8 2 2" xfId="30926"/>
    <cellStyle name="Normal 6 8 3" xfId="30927"/>
    <cellStyle name="Normal 6 8 3 2" xfId="30928"/>
    <cellStyle name="Normal 6 8 4" xfId="30929"/>
    <cellStyle name="Normal 6 8 4 2" xfId="30930"/>
    <cellStyle name="Normal 6 8 5" xfId="30931"/>
    <cellStyle name="Normal 6 8 6" xfId="30932"/>
    <cellStyle name="Normal 6 8 7" xfId="30933"/>
    <cellStyle name="Normal 6 9" xfId="30934"/>
    <cellStyle name="Normal 6 9 2" xfId="30935"/>
    <cellStyle name="Normal 6 9 2 2" xfId="30936"/>
    <cellStyle name="Normal 6 9 3" xfId="30937"/>
    <cellStyle name="Normal 6 9 3 2" xfId="30938"/>
    <cellStyle name="Normal 6 9 4" xfId="30939"/>
    <cellStyle name="Normal 6 9 4 2" xfId="30940"/>
    <cellStyle name="Normal 6 9 5" xfId="30941"/>
    <cellStyle name="Normal 6 9 6" xfId="30942"/>
    <cellStyle name="Normal 60" xfId="30943"/>
    <cellStyle name="Normal 60 2" xfId="30944"/>
    <cellStyle name="Normal 60 3" xfId="30945"/>
    <cellStyle name="Normal 60 4" xfId="30946"/>
    <cellStyle name="Normal 61" xfId="30947"/>
    <cellStyle name="Normal 61 2" xfId="30948"/>
    <cellStyle name="Normal 62" xfId="30949"/>
    <cellStyle name="Normal 62 2" xfId="30950"/>
    <cellStyle name="Normal 63" xfId="30951"/>
    <cellStyle name="Normal 63 2" xfId="30952"/>
    <cellStyle name="Normal 64" xfId="30953"/>
    <cellStyle name="Normal 64 2" xfId="30954"/>
    <cellStyle name="Normal 65" xfId="30955"/>
    <cellStyle name="Normal 65 2" xfId="30956"/>
    <cellStyle name="Normal 66" xfId="30957"/>
    <cellStyle name="Normal 66 2" xfId="30958"/>
    <cellStyle name="Normal 67" xfId="30959"/>
    <cellStyle name="Normal 67 2" xfId="30960"/>
    <cellStyle name="Normal 68" xfId="30961"/>
    <cellStyle name="Normal 68 2" xfId="30962"/>
    <cellStyle name="Normal 69" xfId="30963"/>
    <cellStyle name="Normal 69 2" xfId="30964"/>
    <cellStyle name="Normal 7" xfId="30965"/>
    <cellStyle name="Normal 7 10" xfId="30966"/>
    <cellStyle name="Normal 7 10 2" xfId="30967"/>
    <cellStyle name="Normal 7 10 2 2" xfId="30968"/>
    <cellStyle name="Normal 7 10 3" xfId="30969"/>
    <cellStyle name="Normal 7 10 3 2" xfId="30970"/>
    <cellStyle name="Normal 7 10 4" xfId="30971"/>
    <cellStyle name="Normal 7 10 4 2" xfId="30972"/>
    <cellStyle name="Normal 7 10 5" xfId="30973"/>
    <cellStyle name="Normal 7 10 6" xfId="30974"/>
    <cellStyle name="Normal 7 11" xfId="30975"/>
    <cellStyle name="Normal 7 11 2" xfId="30976"/>
    <cellStyle name="Normal 7 11 2 2" xfId="30977"/>
    <cellStyle name="Normal 7 11 3" xfId="30978"/>
    <cellStyle name="Normal 7 11 3 2" xfId="30979"/>
    <cellStyle name="Normal 7 11 4" xfId="30980"/>
    <cellStyle name="Normal 7 11 4 2" xfId="30981"/>
    <cellStyle name="Normal 7 11 5" xfId="30982"/>
    <cellStyle name="Normal 7 11 6" xfId="30983"/>
    <cellStyle name="Normal 7 12" xfId="30984"/>
    <cellStyle name="Normal 7 12 2" xfId="30985"/>
    <cellStyle name="Normal 7 12 2 2" xfId="30986"/>
    <cellStyle name="Normal 7 12 3" xfId="30987"/>
    <cellStyle name="Normal 7 12 3 2" xfId="30988"/>
    <cellStyle name="Normal 7 12 4" xfId="30989"/>
    <cellStyle name="Normal 7 12 4 2" xfId="30990"/>
    <cellStyle name="Normal 7 12 5" xfId="30991"/>
    <cellStyle name="Normal 7 12 6" xfId="30992"/>
    <cellStyle name="Normal 7 13" xfId="30993"/>
    <cellStyle name="Normal 7 13 2" xfId="30994"/>
    <cellStyle name="Normal 7 13 2 2" xfId="30995"/>
    <cellStyle name="Normal 7 13 3" xfId="30996"/>
    <cellStyle name="Normal 7 13 3 2" xfId="30997"/>
    <cellStyle name="Normal 7 13 4" xfId="30998"/>
    <cellStyle name="Normal 7 13 5" xfId="30999"/>
    <cellStyle name="Normal 7 14" xfId="31000"/>
    <cellStyle name="Normal 7 14 2" xfId="31001"/>
    <cellStyle name="Normal 7 15" xfId="31002"/>
    <cellStyle name="Normal 7 15 2" xfId="31003"/>
    <cellStyle name="Normal 7 16" xfId="31004"/>
    <cellStyle name="Normal 7 16 2" xfId="31005"/>
    <cellStyle name="Normal 7 17" xfId="31006"/>
    <cellStyle name="Normal 7 18" xfId="31007"/>
    <cellStyle name="Normal 7 19" xfId="31008"/>
    <cellStyle name="Normal 7 2" xfId="31009"/>
    <cellStyle name="Normal 7 2 10" xfId="31010"/>
    <cellStyle name="Normal 7 2 10 2" xfId="31011"/>
    <cellStyle name="Normal 7 2 10 2 2" xfId="31012"/>
    <cellStyle name="Normal 7 2 10 3" xfId="31013"/>
    <cellStyle name="Normal 7 2 10 3 2" xfId="31014"/>
    <cellStyle name="Normal 7 2 10 4" xfId="31015"/>
    <cellStyle name="Normal 7 2 10 4 2" xfId="31016"/>
    <cellStyle name="Normal 7 2 10 5" xfId="31017"/>
    <cellStyle name="Normal 7 2 10 6" xfId="31018"/>
    <cellStyle name="Normal 7 2 11" xfId="31019"/>
    <cellStyle name="Normal 7 2 11 2" xfId="31020"/>
    <cellStyle name="Normal 7 2 11 2 2" xfId="31021"/>
    <cellStyle name="Normal 7 2 11 3" xfId="31022"/>
    <cellStyle name="Normal 7 2 11 3 2" xfId="31023"/>
    <cellStyle name="Normal 7 2 11 4" xfId="31024"/>
    <cellStyle name="Normal 7 2 11 5" xfId="31025"/>
    <cellStyle name="Normal 7 2 12" xfId="31026"/>
    <cellStyle name="Normal 7 2 12 2" xfId="31027"/>
    <cellStyle name="Normal 7 2 13" xfId="31028"/>
    <cellStyle name="Normal 7 2 13 2" xfId="31029"/>
    <cellStyle name="Normal 7 2 14" xfId="31030"/>
    <cellStyle name="Normal 7 2 14 2" xfId="31031"/>
    <cellStyle name="Normal 7 2 15" xfId="31032"/>
    <cellStyle name="Normal 7 2 16" xfId="31033"/>
    <cellStyle name="Normal 7 2 17" xfId="31034"/>
    <cellStyle name="Normal 7 2 2" xfId="31035"/>
    <cellStyle name="Normal 7 2 2 10" xfId="31036"/>
    <cellStyle name="Normal 7 2 2 10 2" xfId="31037"/>
    <cellStyle name="Normal 7 2 2 11" xfId="31038"/>
    <cellStyle name="Normal 7 2 2 11 2" xfId="31039"/>
    <cellStyle name="Normal 7 2 2 12" xfId="31040"/>
    <cellStyle name="Normal 7 2 2 13" xfId="31041"/>
    <cellStyle name="Normal 7 2 2 14" xfId="31042"/>
    <cellStyle name="Normal 7 2 2 2" xfId="31043"/>
    <cellStyle name="Normal 7 2 2 2 10" xfId="31044"/>
    <cellStyle name="Normal 7 2 2 2 11" xfId="31045"/>
    <cellStyle name="Normal 7 2 2 2 12" xfId="31046"/>
    <cellStyle name="Normal 7 2 2 2 2" xfId="31047"/>
    <cellStyle name="Normal 7 2 2 2 2 2" xfId="31048"/>
    <cellStyle name="Normal 7 2 2 2 2 2 2" xfId="31049"/>
    <cellStyle name="Normal 7 2 2 2 2 3" xfId="31050"/>
    <cellStyle name="Normal 7 2 2 2 2 3 2" xfId="31051"/>
    <cellStyle name="Normal 7 2 2 2 2 4" xfId="31052"/>
    <cellStyle name="Normal 7 2 2 2 2 4 2" xfId="31053"/>
    <cellStyle name="Normal 7 2 2 2 2 5" xfId="31054"/>
    <cellStyle name="Normal 7 2 2 2 2 6" xfId="31055"/>
    <cellStyle name="Normal 7 2 2 2 2 7" xfId="31056"/>
    <cellStyle name="Normal 7 2 2 2 3" xfId="31057"/>
    <cellStyle name="Normal 7 2 2 2 3 2" xfId="31058"/>
    <cellStyle name="Normal 7 2 2 2 3 2 2" xfId="31059"/>
    <cellStyle name="Normal 7 2 2 2 3 3" xfId="31060"/>
    <cellStyle name="Normal 7 2 2 2 3 3 2" xfId="31061"/>
    <cellStyle name="Normal 7 2 2 2 3 4" xfId="31062"/>
    <cellStyle name="Normal 7 2 2 2 3 4 2" xfId="31063"/>
    <cellStyle name="Normal 7 2 2 2 3 5" xfId="31064"/>
    <cellStyle name="Normal 7 2 2 2 3 6" xfId="31065"/>
    <cellStyle name="Normal 7 2 2 2 4" xfId="31066"/>
    <cellStyle name="Normal 7 2 2 2 4 2" xfId="31067"/>
    <cellStyle name="Normal 7 2 2 2 4 2 2" xfId="31068"/>
    <cellStyle name="Normal 7 2 2 2 4 3" xfId="31069"/>
    <cellStyle name="Normal 7 2 2 2 4 3 2" xfId="31070"/>
    <cellStyle name="Normal 7 2 2 2 4 4" xfId="31071"/>
    <cellStyle name="Normal 7 2 2 2 4 4 2" xfId="31072"/>
    <cellStyle name="Normal 7 2 2 2 4 5" xfId="31073"/>
    <cellStyle name="Normal 7 2 2 2 4 6" xfId="31074"/>
    <cellStyle name="Normal 7 2 2 2 5" xfId="31075"/>
    <cellStyle name="Normal 7 2 2 2 5 2" xfId="31076"/>
    <cellStyle name="Normal 7 2 2 2 5 2 2" xfId="31077"/>
    <cellStyle name="Normal 7 2 2 2 5 3" xfId="31078"/>
    <cellStyle name="Normal 7 2 2 2 5 3 2" xfId="31079"/>
    <cellStyle name="Normal 7 2 2 2 5 4" xfId="31080"/>
    <cellStyle name="Normal 7 2 2 2 5 4 2" xfId="31081"/>
    <cellStyle name="Normal 7 2 2 2 5 5" xfId="31082"/>
    <cellStyle name="Normal 7 2 2 2 5 6" xfId="31083"/>
    <cellStyle name="Normal 7 2 2 2 6" xfId="31084"/>
    <cellStyle name="Normal 7 2 2 2 6 2" xfId="31085"/>
    <cellStyle name="Normal 7 2 2 2 6 2 2" xfId="31086"/>
    <cellStyle name="Normal 7 2 2 2 6 3" xfId="31087"/>
    <cellStyle name="Normal 7 2 2 2 6 3 2" xfId="31088"/>
    <cellStyle name="Normal 7 2 2 2 6 4" xfId="31089"/>
    <cellStyle name="Normal 7 2 2 2 6 5" xfId="31090"/>
    <cellStyle name="Normal 7 2 2 2 7" xfId="31091"/>
    <cellStyle name="Normal 7 2 2 2 7 2" xfId="31092"/>
    <cellStyle name="Normal 7 2 2 2 8" xfId="31093"/>
    <cellStyle name="Normal 7 2 2 2 8 2" xfId="31094"/>
    <cellStyle name="Normal 7 2 2 2 9" xfId="31095"/>
    <cellStyle name="Normal 7 2 2 2 9 2" xfId="31096"/>
    <cellStyle name="Normal 7 2 2 3" xfId="31097"/>
    <cellStyle name="Normal 7 2 2 3 10" xfId="31098"/>
    <cellStyle name="Normal 7 2 2 3 11" xfId="31099"/>
    <cellStyle name="Normal 7 2 2 3 2" xfId="31100"/>
    <cellStyle name="Normal 7 2 2 3 2 2" xfId="31101"/>
    <cellStyle name="Normal 7 2 2 3 2 2 2" xfId="31102"/>
    <cellStyle name="Normal 7 2 2 3 2 3" xfId="31103"/>
    <cellStyle name="Normal 7 2 2 3 2 3 2" xfId="31104"/>
    <cellStyle name="Normal 7 2 2 3 2 4" xfId="31105"/>
    <cellStyle name="Normal 7 2 2 3 2 4 2" xfId="31106"/>
    <cellStyle name="Normal 7 2 2 3 2 5" xfId="31107"/>
    <cellStyle name="Normal 7 2 2 3 2 6" xfId="31108"/>
    <cellStyle name="Normal 7 2 2 3 3" xfId="31109"/>
    <cellStyle name="Normal 7 2 2 3 3 2" xfId="31110"/>
    <cellStyle name="Normal 7 2 2 3 3 2 2" xfId="31111"/>
    <cellStyle name="Normal 7 2 2 3 3 3" xfId="31112"/>
    <cellStyle name="Normal 7 2 2 3 3 3 2" xfId="31113"/>
    <cellStyle name="Normal 7 2 2 3 3 4" xfId="31114"/>
    <cellStyle name="Normal 7 2 2 3 3 4 2" xfId="31115"/>
    <cellStyle name="Normal 7 2 2 3 3 5" xfId="31116"/>
    <cellStyle name="Normal 7 2 2 3 3 6" xfId="31117"/>
    <cellStyle name="Normal 7 2 2 3 4" xfId="31118"/>
    <cellStyle name="Normal 7 2 2 3 4 2" xfId="31119"/>
    <cellStyle name="Normal 7 2 2 3 4 2 2" xfId="31120"/>
    <cellStyle name="Normal 7 2 2 3 4 3" xfId="31121"/>
    <cellStyle name="Normal 7 2 2 3 4 3 2" xfId="31122"/>
    <cellStyle name="Normal 7 2 2 3 4 4" xfId="31123"/>
    <cellStyle name="Normal 7 2 2 3 4 4 2" xfId="31124"/>
    <cellStyle name="Normal 7 2 2 3 4 5" xfId="31125"/>
    <cellStyle name="Normal 7 2 2 3 4 6" xfId="31126"/>
    <cellStyle name="Normal 7 2 2 3 5" xfId="31127"/>
    <cellStyle name="Normal 7 2 2 3 5 2" xfId="31128"/>
    <cellStyle name="Normal 7 2 2 3 5 2 2" xfId="31129"/>
    <cellStyle name="Normal 7 2 2 3 5 3" xfId="31130"/>
    <cellStyle name="Normal 7 2 2 3 5 3 2" xfId="31131"/>
    <cellStyle name="Normal 7 2 2 3 5 4" xfId="31132"/>
    <cellStyle name="Normal 7 2 2 3 5 5" xfId="31133"/>
    <cellStyle name="Normal 7 2 2 3 6" xfId="31134"/>
    <cellStyle name="Normal 7 2 2 3 6 2" xfId="31135"/>
    <cellStyle name="Normal 7 2 2 3 7" xfId="31136"/>
    <cellStyle name="Normal 7 2 2 3 7 2" xfId="31137"/>
    <cellStyle name="Normal 7 2 2 3 8" xfId="31138"/>
    <cellStyle name="Normal 7 2 2 3 8 2" xfId="31139"/>
    <cellStyle name="Normal 7 2 2 3 9" xfId="31140"/>
    <cellStyle name="Normal 7 2 2 4" xfId="31141"/>
    <cellStyle name="Normal 7 2 2 4 10" xfId="31142"/>
    <cellStyle name="Normal 7 2 2 4 11" xfId="31143"/>
    <cellStyle name="Normal 7 2 2 4 2" xfId="31144"/>
    <cellStyle name="Normal 7 2 2 4 2 2" xfId="31145"/>
    <cellStyle name="Normal 7 2 2 4 2 2 2" xfId="31146"/>
    <cellStyle name="Normal 7 2 2 4 2 3" xfId="31147"/>
    <cellStyle name="Normal 7 2 2 4 2 3 2" xfId="31148"/>
    <cellStyle name="Normal 7 2 2 4 2 4" xfId="31149"/>
    <cellStyle name="Normal 7 2 2 4 2 4 2" xfId="31150"/>
    <cellStyle name="Normal 7 2 2 4 2 5" xfId="31151"/>
    <cellStyle name="Normal 7 2 2 4 2 6" xfId="31152"/>
    <cellStyle name="Normal 7 2 2 4 3" xfId="31153"/>
    <cellStyle name="Normal 7 2 2 4 3 2" xfId="31154"/>
    <cellStyle name="Normal 7 2 2 4 3 2 2" xfId="31155"/>
    <cellStyle name="Normal 7 2 2 4 3 3" xfId="31156"/>
    <cellStyle name="Normal 7 2 2 4 3 3 2" xfId="31157"/>
    <cellStyle name="Normal 7 2 2 4 3 4" xfId="31158"/>
    <cellStyle name="Normal 7 2 2 4 3 4 2" xfId="31159"/>
    <cellStyle name="Normal 7 2 2 4 3 5" xfId="31160"/>
    <cellStyle name="Normal 7 2 2 4 3 6" xfId="31161"/>
    <cellStyle name="Normal 7 2 2 4 4" xfId="31162"/>
    <cellStyle name="Normal 7 2 2 4 4 2" xfId="31163"/>
    <cellStyle name="Normal 7 2 2 4 4 2 2" xfId="31164"/>
    <cellStyle name="Normal 7 2 2 4 4 3" xfId="31165"/>
    <cellStyle name="Normal 7 2 2 4 4 3 2" xfId="31166"/>
    <cellStyle name="Normal 7 2 2 4 4 4" xfId="31167"/>
    <cellStyle name="Normal 7 2 2 4 4 4 2" xfId="31168"/>
    <cellStyle name="Normal 7 2 2 4 4 5" xfId="31169"/>
    <cellStyle name="Normal 7 2 2 4 4 6" xfId="31170"/>
    <cellStyle name="Normal 7 2 2 4 5" xfId="31171"/>
    <cellStyle name="Normal 7 2 2 4 5 2" xfId="31172"/>
    <cellStyle name="Normal 7 2 2 4 5 2 2" xfId="31173"/>
    <cellStyle name="Normal 7 2 2 4 5 3" xfId="31174"/>
    <cellStyle name="Normal 7 2 2 4 5 3 2" xfId="31175"/>
    <cellStyle name="Normal 7 2 2 4 5 4" xfId="31176"/>
    <cellStyle name="Normal 7 2 2 4 5 5" xfId="31177"/>
    <cellStyle name="Normal 7 2 2 4 6" xfId="31178"/>
    <cellStyle name="Normal 7 2 2 4 6 2" xfId="31179"/>
    <cellStyle name="Normal 7 2 2 4 7" xfId="31180"/>
    <cellStyle name="Normal 7 2 2 4 7 2" xfId="31181"/>
    <cellStyle name="Normal 7 2 2 4 8" xfId="31182"/>
    <cellStyle name="Normal 7 2 2 4 8 2" xfId="31183"/>
    <cellStyle name="Normal 7 2 2 4 9" xfId="31184"/>
    <cellStyle name="Normal 7 2 2 5" xfId="31185"/>
    <cellStyle name="Normal 7 2 2 5 2" xfId="31186"/>
    <cellStyle name="Normal 7 2 2 5 2 2" xfId="31187"/>
    <cellStyle name="Normal 7 2 2 5 3" xfId="31188"/>
    <cellStyle name="Normal 7 2 2 5 3 2" xfId="31189"/>
    <cellStyle name="Normal 7 2 2 5 4" xfId="31190"/>
    <cellStyle name="Normal 7 2 2 5 4 2" xfId="31191"/>
    <cellStyle name="Normal 7 2 2 5 5" xfId="31192"/>
    <cellStyle name="Normal 7 2 2 5 6" xfId="31193"/>
    <cellStyle name="Normal 7 2 2 6" xfId="31194"/>
    <cellStyle name="Normal 7 2 2 6 2" xfId="31195"/>
    <cellStyle name="Normal 7 2 2 6 2 2" xfId="31196"/>
    <cellStyle name="Normal 7 2 2 6 3" xfId="31197"/>
    <cellStyle name="Normal 7 2 2 6 3 2" xfId="31198"/>
    <cellStyle name="Normal 7 2 2 6 4" xfId="31199"/>
    <cellStyle name="Normal 7 2 2 6 4 2" xfId="31200"/>
    <cellStyle name="Normal 7 2 2 6 5" xfId="31201"/>
    <cellStyle name="Normal 7 2 2 6 6" xfId="31202"/>
    <cellStyle name="Normal 7 2 2 7" xfId="31203"/>
    <cellStyle name="Normal 7 2 2 7 2" xfId="31204"/>
    <cellStyle name="Normal 7 2 2 7 2 2" xfId="31205"/>
    <cellStyle name="Normal 7 2 2 7 3" xfId="31206"/>
    <cellStyle name="Normal 7 2 2 7 3 2" xfId="31207"/>
    <cellStyle name="Normal 7 2 2 7 4" xfId="31208"/>
    <cellStyle name="Normal 7 2 2 7 4 2" xfId="31209"/>
    <cellStyle name="Normal 7 2 2 7 5" xfId="31210"/>
    <cellStyle name="Normal 7 2 2 7 6" xfId="31211"/>
    <cellStyle name="Normal 7 2 2 8" xfId="31212"/>
    <cellStyle name="Normal 7 2 2 8 2" xfId="31213"/>
    <cellStyle name="Normal 7 2 2 8 2 2" xfId="31214"/>
    <cellStyle name="Normal 7 2 2 8 3" xfId="31215"/>
    <cellStyle name="Normal 7 2 2 8 3 2" xfId="31216"/>
    <cellStyle name="Normal 7 2 2 8 4" xfId="31217"/>
    <cellStyle name="Normal 7 2 2 8 5" xfId="31218"/>
    <cellStyle name="Normal 7 2 2 9" xfId="31219"/>
    <cellStyle name="Normal 7 2 2 9 2" xfId="31220"/>
    <cellStyle name="Normal 7 2 3" xfId="31221"/>
    <cellStyle name="Normal 7 2 3 10" xfId="31222"/>
    <cellStyle name="Normal 7 2 3 10 2" xfId="31223"/>
    <cellStyle name="Normal 7 2 3 11" xfId="31224"/>
    <cellStyle name="Normal 7 2 3 11 2" xfId="31225"/>
    <cellStyle name="Normal 7 2 3 12" xfId="31226"/>
    <cellStyle name="Normal 7 2 3 13" xfId="31227"/>
    <cellStyle name="Normal 7 2 3 14" xfId="31228"/>
    <cellStyle name="Normal 7 2 3 2" xfId="31229"/>
    <cellStyle name="Normal 7 2 3 2 10" xfId="31230"/>
    <cellStyle name="Normal 7 2 3 2 11" xfId="31231"/>
    <cellStyle name="Normal 7 2 3 2 12" xfId="31232"/>
    <cellStyle name="Normal 7 2 3 2 2" xfId="31233"/>
    <cellStyle name="Normal 7 2 3 2 2 2" xfId="31234"/>
    <cellStyle name="Normal 7 2 3 2 2 2 2" xfId="31235"/>
    <cellStyle name="Normal 7 2 3 2 2 3" xfId="31236"/>
    <cellStyle name="Normal 7 2 3 2 2 3 2" xfId="31237"/>
    <cellStyle name="Normal 7 2 3 2 2 4" xfId="31238"/>
    <cellStyle name="Normal 7 2 3 2 2 4 2" xfId="31239"/>
    <cellStyle name="Normal 7 2 3 2 2 5" xfId="31240"/>
    <cellStyle name="Normal 7 2 3 2 2 6" xfId="31241"/>
    <cellStyle name="Normal 7 2 3 2 3" xfId="31242"/>
    <cellStyle name="Normal 7 2 3 2 3 2" xfId="31243"/>
    <cellStyle name="Normal 7 2 3 2 3 2 2" xfId="31244"/>
    <cellStyle name="Normal 7 2 3 2 3 3" xfId="31245"/>
    <cellStyle name="Normal 7 2 3 2 3 3 2" xfId="31246"/>
    <cellStyle name="Normal 7 2 3 2 3 4" xfId="31247"/>
    <cellStyle name="Normal 7 2 3 2 3 4 2" xfId="31248"/>
    <cellStyle name="Normal 7 2 3 2 3 5" xfId="31249"/>
    <cellStyle name="Normal 7 2 3 2 3 6" xfId="31250"/>
    <cellStyle name="Normal 7 2 3 2 4" xfId="31251"/>
    <cellStyle name="Normal 7 2 3 2 4 2" xfId="31252"/>
    <cellStyle name="Normal 7 2 3 2 4 2 2" xfId="31253"/>
    <cellStyle name="Normal 7 2 3 2 4 3" xfId="31254"/>
    <cellStyle name="Normal 7 2 3 2 4 3 2" xfId="31255"/>
    <cellStyle name="Normal 7 2 3 2 4 4" xfId="31256"/>
    <cellStyle name="Normal 7 2 3 2 4 4 2" xfId="31257"/>
    <cellStyle name="Normal 7 2 3 2 4 5" xfId="31258"/>
    <cellStyle name="Normal 7 2 3 2 4 6" xfId="31259"/>
    <cellStyle name="Normal 7 2 3 2 5" xfId="31260"/>
    <cellStyle name="Normal 7 2 3 2 5 2" xfId="31261"/>
    <cellStyle name="Normal 7 2 3 2 5 2 2" xfId="31262"/>
    <cellStyle name="Normal 7 2 3 2 5 3" xfId="31263"/>
    <cellStyle name="Normal 7 2 3 2 5 3 2" xfId="31264"/>
    <cellStyle name="Normal 7 2 3 2 5 4" xfId="31265"/>
    <cellStyle name="Normal 7 2 3 2 5 4 2" xfId="31266"/>
    <cellStyle name="Normal 7 2 3 2 5 5" xfId="31267"/>
    <cellStyle name="Normal 7 2 3 2 5 6" xfId="31268"/>
    <cellStyle name="Normal 7 2 3 2 6" xfId="31269"/>
    <cellStyle name="Normal 7 2 3 2 6 2" xfId="31270"/>
    <cellStyle name="Normal 7 2 3 2 6 2 2" xfId="31271"/>
    <cellStyle name="Normal 7 2 3 2 6 3" xfId="31272"/>
    <cellStyle name="Normal 7 2 3 2 6 3 2" xfId="31273"/>
    <cellStyle name="Normal 7 2 3 2 6 4" xfId="31274"/>
    <cellStyle name="Normal 7 2 3 2 6 5" xfId="31275"/>
    <cellStyle name="Normal 7 2 3 2 7" xfId="31276"/>
    <cellStyle name="Normal 7 2 3 2 7 2" xfId="31277"/>
    <cellStyle name="Normal 7 2 3 2 8" xfId="31278"/>
    <cellStyle name="Normal 7 2 3 2 8 2" xfId="31279"/>
    <cellStyle name="Normal 7 2 3 2 9" xfId="31280"/>
    <cellStyle name="Normal 7 2 3 2 9 2" xfId="31281"/>
    <cellStyle name="Normal 7 2 3 3" xfId="31282"/>
    <cellStyle name="Normal 7 2 3 3 10" xfId="31283"/>
    <cellStyle name="Normal 7 2 3 3 2" xfId="31284"/>
    <cellStyle name="Normal 7 2 3 3 2 2" xfId="31285"/>
    <cellStyle name="Normal 7 2 3 3 2 2 2" xfId="31286"/>
    <cellStyle name="Normal 7 2 3 3 2 3" xfId="31287"/>
    <cellStyle name="Normal 7 2 3 3 2 3 2" xfId="31288"/>
    <cellStyle name="Normal 7 2 3 3 2 4" xfId="31289"/>
    <cellStyle name="Normal 7 2 3 3 2 4 2" xfId="31290"/>
    <cellStyle name="Normal 7 2 3 3 2 5" xfId="31291"/>
    <cellStyle name="Normal 7 2 3 3 2 6" xfId="31292"/>
    <cellStyle name="Normal 7 2 3 3 3" xfId="31293"/>
    <cellStyle name="Normal 7 2 3 3 3 2" xfId="31294"/>
    <cellStyle name="Normal 7 2 3 3 3 2 2" xfId="31295"/>
    <cellStyle name="Normal 7 2 3 3 3 3" xfId="31296"/>
    <cellStyle name="Normal 7 2 3 3 3 3 2" xfId="31297"/>
    <cellStyle name="Normal 7 2 3 3 3 4" xfId="31298"/>
    <cellStyle name="Normal 7 2 3 3 3 4 2" xfId="31299"/>
    <cellStyle name="Normal 7 2 3 3 3 5" xfId="31300"/>
    <cellStyle name="Normal 7 2 3 3 3 6" xfId="31301"/>
    <cellStyle name="Normal 7 2 3 3 4" xfId="31302"/>
    <cellStyle name="Normal 7 2 3 3 4 2" xfId="31303"/>
    <cellStyle name="Normal 7 2 3 3 4 2 2" xfId="31304"/>
    <cellStyle name="Normal 7 2 3 3 4 3" xfId="31305"/>
    <cellStyle name="Normal 7 2 3 3 4 3 2" xfId="31306"/>
    <cellStyle name="Normal 7 2 3 3 4 4" xfId="31307"/>
    <cellStyle name="Normal 7 2 3 3 4 4 2" xfId="31308"/>
    <cellStyle name="Normal 7 2 3 3 4 5" xfId="31309"/>
    <cellStyle name="Normal 7 2 3 3 4 6" xfId="31310"/>
    <cellStyle name="Normal 7 2 3 3 5" xfId="31311"/>
    <cellStyle name="Normal 7 2 3 3 5 2" xfId="31312"/>
    <cellStyle name="Normal 7 2 3 3 5 2 2" xfId="31313"/>
    <cellStyle name="Normal 7 2 3 3 5 3" xfId="31314"/>
    <cellStyle name="Normal 7 2 3 3 5 3 2" xfId="31315"/>
    <cellStyle name="Normal 7 2 3 3 5 4" xfId="31316"/>
    <cellStyle name="Normal 7 2 3 3 5 5" xfId="31317"/>
    <cellStyle name="Normal 7 2 3 3 6" xfId="31318"/>
    <cellStyle name="Normal 7 2 3 3 6 2" xfId="31319"/>
    <cellStyle name="Normal 7 2 3 3 7" xfId="31320"/>
    <cellStyle name="Normal 7 2 3 3 7 2" xfId="31321"/>
    <cellStyle name="Normal 7 2 3 3 8" xfId="31322"/>
    <cellStyle name="Normal 7 2 3 3 8 2" xfId="31323"/>
    <cellStyle name="Normal 7 2 3 3 9" xfId="31324"/>
    <cellStyle name="Normal 7 2 3 4" xfId="31325"/>
    <cellStyle name="Normal 7 2 3 4 10" xfId="31326"/>
    <cellStyle name="Normal 7 2 3 4 2" xfId="31327"/>
    <cellStyle name="Normal 7 2 3 4 2 2" xfId="31328"/>
    <cellStyle name="Normal 7 2 3 4 2 2 2" xfId="31329"/>
    <cellStyle name="Normal 7 2 3 4 2 3" xfId="31330"/>
    <cellStyle name="Normal 7 2 3 4 2 3 2" xfId="31331"/>
    <cellStyle name="Normal 7 2 3 4 2 4" xfId="31332"/>
    <cellStyle name="Normal 7 2 3 4 2 4 2" xfId="31333"/>
    <cellStyle name="Normal 7 2 3 4 2 5" xfId="31334"/>
    <cellStyle name="Normal 7 2 3 4 2 6" xfId="31335"/>
    <cellStyle name="Normal 7 2 3 4 3" xfId="31336"/>
    <cellStyle name="Normal 7 2 3 4 3 2" xfId="31337"/>
    <cellStyle name="Normal 7 2 3 4 3 2 2" xfId="31338"/>
    <cellStyle name="Normal 7 2 3 4 3 3" xfId="31339"/>
    <cellStyle name="Normal 7 2 3 4 3 3 2" xfId="31340"/>
    <cellStyle name="Normal 7 2 3 4 3 4" xfId="31341"/>
    <cellStyle name="Normal 7 2 3 4 3 4 2" xfId="31342"/>
    <cellStyle name="Normal 7 2 3 4 3 5" xfId="31343"/>
    <cellStyle name="Normal 7 2 3 4 3 6" xfId="31344"/>
    <cellStyle name="Normal 7 2 3 4 4" xfId="31345"/>
    <cellStyle name="Normal 7 2 3 4 4 2" xfId="31346"/>
    <cellStyle name="Normal 7 2 3 4 4 2 2" xfId="31347"/>
    <cellStyle name="Normal 7 2 3 4 4 3" xfId="31348"/>
    <cellStyle name="Normal 7 2 3 4 4 3 2" xfId="31349"/>
    <cellStyle name="Normal 7 2 3 4 4 4" xfId="31350"/>
    <cellStyle name="Normal 7 2 3 4 4 4 2" xfId="31351"/>
    <cellStyle name="Normal 7 2 3 4 4 5" xfId="31352"/>
    <cellStyle name="Normal 7 2 3 4 4 6" xfId="31353"/>
    <cellStyle name="Normal 7 2 3 4 5" xfId="31354"/>
    <cellStyle name="Normal 7 2 3 4 5 2" xfId="31355"/>
    <cellStyle name="Normal 7 2 3 4 5 2 2" xfId="31356"/>
    <cellStyle name="Normal 7 2 3 4 5 3" xfId="31357"/>
    <cellStyle name="Normal 7 2 3 4 5 3 2" xfId="31358"/>
    <cellStyle name="Normal 7 2 3 4 5 4" xfId="31359"/>
    <cellStyle name="Normal 7 2 3 4 5 5" xfId="31360"/>
    <cellStyle name="Normal 7 2 3 4 6" xfId="31361"/>
    <cellStyle name="Normal 7 2 3 4 6 2" xfId="31362"/>
    <cellStyle name="Normal 7 2 3 4 7" xfId="31363"/>
    <cellStyle name="Normal 7 2 3 4 7 2" xfId="31364"/>
    <cellStyle name="Normal 7 2 3 4 8" xfId="31365"/>
    <cellStyle name="Normal 7 2 3 4 8 2" xfId="31366"/>
    <cellStyle name="Normal 7 2 3 4 9" xfId="31367"/>
    <cellStyle name="Normal 7 2 3 5" xfId="31368"/>
    <cellStyle name="Normal 7 2 3 5 2" xfId="31369"/>
    <cellStyle name="Normal 7 2 3 5 2 2" xfId="31370"/>
    <cellStyle name="Normal 7 2 3 5 3" xfId="31371"/>
    <cellStyle name="Normal 7 2 3 5 3 2" xfId="31372"/>
    <cellStyle name="Normal 7 2 3 5 4" xfId="31373"/>
    <cellStyle name="Normal 7 2 3 5 4 2" xfId="31374"/>
    <cellStyle name="Normal 7 2 3 5 5" xfId="31375"/>
    <cellStyle name="Normal 7 2 3 5 6" xfId="31376"/>
    <cellStyle name="Normal 7 2 3 6" xfId="31377"/>
    <cellStyle name="Normal 7 2 3 6 2" xfId="31378"/>
    <cellStyle name="Normal 7 2 3 6 2 2" xfId="31379"/>
    <cellStyle name="Normal 7 2 3 6 3" xfId="31380"/>
    <cellStyle name="Normal 7 2 3 6 3 2" xfId="31381"/>
    <cellStyle name="Normal 7 2 3 6 4" xfId="31382"/>
    <cellStyle name="Normal 7 2 3 6 4 2" xfId="31383"/>
    <cellStyle name="Normal 7 2 3 6 5" xfId="31384"/>
    <cellStyle name="Normal 7 2 3 6 6" xfId="31385"/>
    <cellStyle name="Normal 7 2 3 7" xfId="31386"/>
    <cellStyle name="Normal 7 2 3 7 2" xfId="31387"/>
    <cellStyle name="Normal 7 2 3 7 2 2" xfId="31388"/>
    <cellStyle name="Normal 7 2 3 7 3" xfId="31389"/>
    <cellStyle name="Normal 7 2 3 7 3 2" xfId="31390"/>
    <cellStyle name="Normal 7 2 3 7 4" xfId="31391"/>
    <cellStyle name="Normal 7 2 3 7 4 2" xfId="31392"/>
    <cellStyle name="Normal 7 2 3 7 5" xfId="31393"/>
    <cellStyle name="Normal 7 2 3 7 6" xfId="31394"/>
    <cellStyle name="Normal 7 2 3 8" xfId="31395"/>
    <cellStyle name="Normal 7 2 3 8 2" xfId="31396"/>
    <cellStyle name="Normal 7 2 3 8 2 2" xfId="31397"/>
    <cellStyle name="Normal 7 2 3 8 3" xfId="31398"/>
    <cellStyle name="Normal 7 2 3 8 3 2" xfId="31399"/>
    <cellStyle name="Normal 7 2 3 8 4" xfId="31400"/>
    <cellStyle name="Normal 7 2 3 8 5" xfId="31401"/>
    <cellStyle name="Normal 7 2 3 9" xfId="31402"/>
    <cellStyle name="Normal 7 2 3 9 2" xfId="31403"/>
    <cellStyle name="Normal 7 2 4" xfId="31404"/>
    <cellStyle name="Normal 7 2 4 10" xfId="31405"/>
    <cellStyle name="Normal 7 2 4 10 2" xfId="31406"/>
    <cellStyle name="Normal 7 2 4 11" xfId="31407"/>
    <cellStyle name="Normal 7 2 4 12" xfId="31408"/>
    <cellStyle name="Normal 7 2 4 13" xfId="31409"/>
    <cellStyle name="Normal 7 2 4 2" xfId="31410"/>
    <cellStyle name="Normal 7 2 4 2 10" xfId="31411"/>
    <cellStyle name="Normal 7 2 4 2 2" xfId="31412"/>
    <cellStyle name="Normal 7 2 4 2 2 2" xfId="31413"/>
    <cellStyle name="Normal 7 2 4 2 2 2 2" xfId="31414"/>
    <cellStyle name="Normal 7 2 4 2 2 3" xfId="31415"/>
    <cellStyle name="Normal 7 2 4 2 2 3 2" xfId="31416"/>
    <cellStyle name="Normal 7 2 4 2 2 4" xfId="31417"/>
    <cellStyle name="Normal 7 2 4 2 2 4 2" xfId="31418"/>
    <cellStyle name="Normal 7 2 4 2 2 5" xfId="31419"/>
    <cellStyle name="Normal 7 2 4 2 2 6" xfId="31420"/>
    <cellStyle name="Normal 7 2 4 2 3" xfId="31421"/>
    <cellStyle name="Normal 7 2 4 2 3 2" xfId="31422"/>
    <cellStyle name="Normal 7 2 4 2 3 2 2" xfId="31423"/>
    <cellStyle name="Normal 7 2 4 2 3 3" xfId="31424"/>
    <cellStyle name="Normal 7 2 4 2 3 3 2" xfId="31425"/>
    <cellStyle name="Normal 7 2 4 2 3 4" xfId="31426"/>
    <cellStyle name="Normal 7 2 4 2 3 4 2" xfId="31427"/>
    <cellStyle name="Normal 7 2 4 2 3 5" xfId="31428"/>
    <cellStyle name="Normal 7 2 4 2 3 6" xfId="31429"/>
    <cellStyle name="Normal 7 2 4 2 4" xfId="31430"/>
    <cellStyle name="Normal 7 2 4 2 4 2" xfId="31431"/>
    <cellStyle name="Normal 7 2 4 2 4 2 2" xfId="31432"/>
    <cellStyle name="Normal 7 2 4 2 4 3" xfId="31433"/>
    <cellStyle name="Normal 7 2 4 2 4 3 2" xfId="31434"/>
    <cellStyle name="Normal 7 2 4 2 4 4" xfId="31435"/>
    <cellStyle name="Normal 7 2 4 2 4 4 2" xfId="31436"/>
    <cellStyle name="Normal 7 2 4 2 4 5" xfId="31437"/>
    <cellStyle name="Normal 7 2 4 2 4 6" xfId="31438"/>
    <cellStyle name="Normal 7 2 4 2 5" xfId="31439"/>
    <cellStyle name="Normal 7 2 4 2 5 2" xfId="31440"/>
    <cellStyle name="Normal 7 2 4 2 5 2 2" xfId="31441"/>
    <cellStyle name="Normal 7 2 4 2 5 3" xfId="31442"/>
    <cellStyle name="Normal 7 2 4 2 5 3 2" xfId="31443"/>
    <cellStyle name="Normal 7 2 4 2 5 4" xfId="31444"/>
    <cellStyle name="Normal 7 2 4 2 5 5" xfId="31445"/>
    <cellStyle name="Normal 7 2 4 2 6" xfId="31446"/>
    <cellStyle name="Normal 7 2 4 2 6 2" xfId="31447"/>
    <cellStyle name="Normal 7 2 4 2 7" xfId="31448"/>
    <cellStyle name="Normal 7 2 4 2 7 2" xfId="31449"/>
    <cellStyle name="Normal 7 2 4 2 8" xfId="31450"/>
    <cellStyle name="Normal 7 2 4 2 8 2" xfId="31451"/>
    <cellStyle name="Normal 7 2 4 2 9" xfId="31452"/>
    <cellStyle name="Normal 7 2 4 3" xfId="31453"/>
    <cellStyle name="Normal 7 2 4 3 10" xfId="31454"/>
    <cellStyle name="Normal 7 2 4 3 2" xfId="31455"/>
    <cellStyle name="Normal 7 2 4 3 2 2" xfId="31456"/>
    <cellStyle name="Normal 7 2 4 3 2 2 2" xfId="31457"/>
    <cellStyle name="Normal 7 2 4 3 2 3" xfId="31458"/>
    <cellStyle name="Normal 7 2 4 3 2 3 2" xfId="31459"/>
    <cellStyle name="Normal 7 2 4 3 2 4" xfId="31460"/>
    <cellStyle name="Normal 7 2 4 3 2 4 2" xfId="31461"/>
    <cellStyle name="Normal 7 2 4 3 2 5" xfId="31462"/>
    <cellStyle name="Normal 7 2 4 3 2 6" xfId="31463"/>
    <cellStyle name="Normal 7 2 4 3 3" xfId="31464"/>
    <cellStyle name="Normal 7 2 4 3 3 2" xfId="31465"/>
    <cellStyle name="Normal 7 2 4 3 3 2 2" xfId="31466"/>
    <cellStyle name="Normal 7 2 4 3 3 3" xfId="31467"/>
    <cellStyle name="Normal 7 2 4 3 3 3 2" xfId="31468"/>
    <cellStyle name="Normal 7 2 4 3 3 4" xfId="31469"/>
    <cellStyle name="Normal 7 2 4 3 3 4 2" xfId="31470"/>
    <cellStyle name="Normal 7 2 4 3 3 5" xfId="31471"/>
    <cellStyle name="Normal 7 2 4 3 3 6" xfId="31472"/>
    <cellStyle name="Normal 7 2 4 3 4" xfId="31473"/>
    <cellStyle name="Normal 7 2 4 3 4 2" xfId="31474"/>
    <cellStyle name="Normal 7 2 4 3 4 2 2" xfId="31475"/>
    <cellStyle name="Normal 7 2 4 3 4 3" xfId="31476"/>
    <cellStyle name="Normal 7 2 4 3 4 3 2" xfId="31477"/>
    <cellStyle name="Normal 7 2 4 3 4 4" xfId="31478"/>
    <cellStyle name="Normal 7 2 4 3 4 4 2" xfId="31479"/>
    <cellStyle name="Normal 7 2 4 3 4 5" xfId="31480"/>
    <cellStyle name="Normal 7 2 4 3 4 6" xfId="31481"/>
    <cellStyle name="Normal 7 2 4 3 5" xfId="31482"/>
    <cellStyle name="Normal 7 2 4 3 5 2" xfId="31483"/>
    <cellStyle name="Normal 7 2 4 3 5 2 2" xfId="31484"/>
    <cellStyle name="Normal 7 2 4 3 5 3" xfId="31485"/>
    <cellStyle name="Normal 7 2 4 3 5 3 2" xfId="31486"/>
    <cellStyle name="Normal 7 2 4 3 5 4" xfId="31487"/>
    <cellStyle name="Normal 7 2 4 3 5 5" xfId="31488"/>
    <cellStyle name="Normal 7 2 4 3 6" xfId="31489"/>
    <cellStyle name="Normal 7 2 4 3 6 2" xfId="31490"/>
    <cellStyle name="Normal 7 2 4 3 7" xfId="31491"/>
    <cellStyle name="Normal 7 2 4 3 7 2" xfId="31492"/>
    <cellStyle name="Normal 7 2 4 3 8" xfId="31493"/>
    <cellStyle name="Normal 7 2 4 3 8 2" xfId="31494"/>
    <cellStyle name="Normal 7 2 4 3 9" xfId="31495"/>
    <cellStyle name="Normal 7 2 4 4" xfId="31496"/>
    <cellStyle name="Normal 7 2 4 4 2" xfId="31497"/>
    <cellStyle name="Normal 7 2 4 4 2 2" xfId="31498"/>
    <cellStyle name="Normal 7 2 4 4 3" xfId="31499"/>
    <cellStyle name="Normal 7 2 4 4 3 2" xfId="31500"/>
    <cellStyle name="Normal 7 2 4 4 4" xfId="31501"/>
    <cellStyle name="Normal 7 2 4 4 4 2" xfId="31502"/>
    <cellStyle name="Normal 7 2 4 4 5" xfId="31503"/>
    <cellStyle name="Normal 7 2 4 4 6" xfId="31504"/>
    <cellStyle name="Normal 7 2 4 5" xfId="31505"/>
    <cellStyle name="Normal 7 2 4 5 2" xfId="31506"/>
    <cellStyle name="Normal 7 2 4 5 2 2" xfId="31507"/>
    <cellStyle name="Normal 7 2 4 5 3" xfId="31508"/>
    <cellStyle name="Normal 7 2 4 5 3 2" xfId="31509"/>
    <cellStyle name="Normal 7 2 4 5 4" xfId="31510"/>
    <cellStyle name="Normal 7 2 4 5 4 2" xfId="31511"/>
    <cellStyle name="Normal 7 2 4 5 5" xfId="31512"/>
    <cellStyle name="Normal 7 2 4 5 6" xfId="31513"/>
    <cellStyle name="Normal 7 2 4 6" xfId="31514"/>
    <cellStyle name="Normal 7 2 4 6 2" xfId="31515"/>
    <cellStyle name="Normal 7 2 4 6 2 2" xfId="31516"/>
    <cellStyle name="Normal 7 2 4 6 3" xfId="31517"/>
    <cellStyle name="Normal 7 2 4 6 3 2" xfId="31518"/>
    <cellStyle name="Normal 7 2 4 6 4" xfId="31519"/>
    <cellStyle name="Normal 7 2 4 6 4 2" xfId="31520"/>
    <cellStyle name="Normal 7 2 4 6 5" xfId="31521"/>
    <cellStyle name="Normal 7 2 4 6 6" xfId="31522"/>
    <cellStyle name="Normal 7 2 4 7" xfId="31523"/>
    <cellStyle name="Normal 7 2 4 7 2" xfId="31524"/>
    <cellStyle name="Normal 7 2 4 7 2 2" xfId="31525"/>
    <cellStyle name="Normal 7 2 4 7 3" xfId="31526"/>
    <cellStyle name="Normal 7 2 4 7 3 2" xfId="31527"/>
    <cellStyle name="Normal 7 2 4 7 4" xfId="31528"/>
    <cellStyle name="Normal 7 2 4 7 5" xfId="31529"/>
    <cellStyle name="Normal 7 2 4 8" xfId="31530"/>
    <cellStyle name="Normal 7 2 4 8 2" xfId="31531"/>
    <cellStyle name="Normal 7 2 4 9" xfId="31532"/>
    <cellStyle name="Normal 7 2 4 9 2" xfId="31533"/>
    <cellStyle name="Normal 7 2 5" xfId="31534"/>
    <cellStyle name="Normal 7 2 5 10" xfId="31535"/>
    <cellStyle name="Normal 7 2 5 11" xfId="31536"/>
    <cellStyle name="Normal 7 2 5 12" xfId="31537"/>
    <cellStyle name="Normal 7 2 5 2" xfId="31538"/>
    <cellStyle name="Normal 7 2 5 2 2" xfId="31539"/>
    <cellStyle name="Normal 7 2 5 2 2 2" xfId="31540"/>
    <cellStyle name="Normal 7 2 5 2 3" xfId="31541"/>
    <cellStyle name="Normal 7 2 5 2 3 2" xfId="31542"/>
    <cellStyle name="Normal 7 2 5 2 4" xfId="31543"/>
    <cellStyle name="Normal 7 2 5 2 4 2" xfId="31544"/>
    <cellStyle name="Normal 7 2 5 2 5" xfId="31545"/>
    <cellStyle name="Normal 7 2 5 2 6" xfId="31546"/>
    <cellStyle name="Normal 7 2 5 3" xfId="31547"/>
    <cellStyle name="Normal 7 2 5 3 2" xfId="31548"/>
    <cellStyle name="Normal 7 2 5 3 2 2" xfId="31549"/>
    <cellStyle name="Normal 7 2 5 3 3" xfId="31550"/>
    <cellStyle name="Normal 7 2 5 3 3 2" xfId="31551"/>
    <cellStyle name="Normal 7 2 5 3 4" xfId="31552"/>
    <cellStyle name="Normal 7 2 5 3 4 2" xfId="31553"/>
    <cellStyle name="Normal 7 2 5 3 5" xfId="31554"/>
    <cellStyle name="Normal 7 2 5 3 6" xfId="31555"/>
    <cellStyle name="Normal 7 2 5 4" xfId="31556"/>
    <cellStyle name="Normal 7 2 5 4 2" xfId="31557"/>
    <cellStyle name="Normal 7 2 5 4 2 2" xfId="31558"/>
    <cellStyle name="Normal 7 2 5 4 3" xfId="31559"/>
    <cellStyle name="Normal 7 2 5 4 3 2" xfId="31560"/>
    <cellStyle name="Normal 7 2 5 4 4" xfId="31561"/>
    <cellStyle name="Normal 7 2 5 4 4 2" xfId="31562"/>
    <cellStyle name="Normal 7 2 5 4 5" xfId="31563"/>
    <cellStyle name="Normal 7 2 5 4 6" xfId="31564"/>
    <cellStyle name="Normal 7 2 5 5" xfId="31565"/>
    <cellStyle name="Normal 7 2 5 5 2" xfId="31566"/>
    <cellStyle name="Normal 7 2 5 5 2 2" xfId="31567"/>
    <cellStyle name="Normal 7 2 5 5 3" xfId="31568"/>
    <cellStyle name="Normal 7 2 5 5 3 2" xfId="31569"/>
    <cellStyle name="Normal 7 2 5 5 4" xfId="31570"/>
    <cellStyle name="Normal 7 2 5 5 4 2" xfId="31571"/>
    <cellStyle name="Normal 7 2 5 5 5" xfId="31572"/>
    <cellStyle name="Normal 7 2 5 5 6" xfId="31573"/>
    <cellStyle name="Normal 7 2 5 6" xfId="31574"/>
    <cellStyle name="Normal 7 2 5 6 2" xfId="31575"/>
    <cellStyle name="Normal 7 2 5 6 2 2" xfId="31576"/>
    <cellStyle name="Normal 7 2 5 6 3" xfId="31577"/>
    <cellStyle name="Normal 7 2 5 6 3 2" xfId="31578"/>
    <cellStyle name="Normal 7 2 5 6 4" xfId="31579"/>
    <cellStyle name="Normal 7 2 5 6 5" xfId="31580"/>
    <cellStyle name="Normal 7 2 5 7" xfId="31581"/>
    <cellStyle name="Normal 7 2 5 7 2" xfId="31582"/>
    <cellStyle name="Normal 7 2 5 8" xfId="31583"/>
    <cellStyle name="Normal 7 2 5 8 2" xfId="31584"/>
    <cellStyle name="Normal 7 2 5 9" xfId="31585"/>
    <cellStyle name="Normal 7 2 5 9 2" xfId="31586"/>
    <cellStyle name="Normal 7 2 6" xfId="31587"/>
    <cellStyle name="Normal 7 2 6 10" xfId="31588"/>
    <cellStyle name="Normal 7 2 6 2" xfId="31589"/>
    <cellStyle name="Normal 7 2 6 2 2" xfId="31590"/>
    <cellStyle name="Normal 7 2 6 2 2 2" xfId="31591"/>
    <cellStyle name="Normal 7 2 6 2 3" xfId="31592"/>
    <cellStyle name="Normal 7 2 6 2 3 2" xfId="31593"/>
    <cellStyle name="Normal 7 2 6 2 4" xfId="31594"/>
    <cellStyle name="Normal 7 2 6 2 4 2" xfId="31595"/>
    <cellStyle name="Normal 7 2 6 2 5" xfId="31596"/>
    <cellStyle name="Normal 7 2 6 2 6" xfId="31597"/>
    <cellStyle name="Normal 7 2 6 3" xfId="31598"/>
    <cellStyle name="Normal 7 2 6 3 2" xfId="31599"/>
    <cellStyle name="Normal 7 2 6 3 2 2" xfId="31600"/>
    <cellStyle name="Normal 7 2 6 3 3" xfId="31601"/>
    <cellStyle name="Normal 7 2 6 3 3 2" xfId="31602"/>
    <cellStyle name="Normal 7 2 6 3 4" xfId="31603"/>
    <cellStyle name="Normal 7 2 6 3 4 2" xfId="31604"/>
    <cellStyle name="Normal 7 2 6 3 5" xfId="31605"/>
    <cellStyle name="Normal 7 2 6 3 6" xfId="31606"/>
    <cellStyle name="Normal 7 2 6 4" xfId="31607"/>
    <cellStyle name="Normal 7 2 6 4 2" xfId="31608"/>
    <cellStyle name="Normal 7 2 6 4 2 2" xfId="31609"/>
    <cellStyle name="Normal 7 2 6 4 3" xfId="31610"/>
    <cellStyle name="Normal 7 2 6 4 3 2" xfId="31611"/>
    <cellStyle name="Normal 7 2 6 4 4" xfId="31612"/>
    <cellStyle name="Normal 7 2 6 4 4 2" xfId="31613"/>
    <cellStyle name="Normal 7 2 6 4 5" xfId="31614"/>
    <cellStyle name="Normal 7 2 6 4 6" xfId="31615"/>
    <cellStyle name="Normal 7 2 6 5" xfId="31616"/>
    <cellStyle name="Normal 7 2 6 5 2" xfId="31617"/>
    <cellStyle name="Normal 7 2 6 5 2 2" xfId="31618"/>
    <cellStyle name="Normal 7 2 6 5 3" xfId="31619"/>
    <cellStyle name="Normal 7 2 6 5 3 2" xfId="31620"/>
    <cellStyle name="Normal 7 2 6 5 4" xfId="31621"/>
    <cellStyle name="Normal 7 2 6 5 5" xfId="31622"/>
    <cellStyle name="Normal 7 2 6 6" xfId="31623"/>
    <cellStyle name="Normal 7 2 6 6 2" xfId="31624"/>
    <cellStyle name="Normal 7 2 6 7" xfId="31625"/>
    <cellStyle name="Normal 7 2 6 7 2" xfId="31626"/>
    <cellStyle name="Normal 7 2 6 8" xfId="31627"/>
    <cellStyle name="Normal 7 2 6 8 2" xfId="31628"/>
    <cellStyle name="Normal 7 2 6 9" xfId="31629"/>
    <cellStyle name="Normal 7 2 7" xfId="31630"/>
    <cellStyle name="Normal 7 2 7 10" xfId="31631"/>
    <cellStyle name="Normal 7 2 7 2" xfId="31632"/>
    <cellStyle name="Normal 7 2 7 2 2" xfId="31633"/>
    <cellStyle name="Normal 7 2 7 2 2 2" xfId="31634"/>
    <cellStyle name="Normal 7 2 7 2 3" xfId="31635"/>
    <cellStyle name="Normal 7 2 7 2 3 2" xfId="31636"/>
    <cellStyle name="Normal 7 2 7 2 4" xfId="31637"/>
    <cellStyle name="Normal 7 2 7 2 4 2" xfId="31638"/>
    <cellStyle name="Normal 7 2 7 2 5" xfId="31639"/>
    <cellStyle name="Normal 7 2 7 2 6" xfId="31640"/>
    <cellStyle name="Normal 7 2 7 3" xfId="31641"/>
    <cellStyle name="Normal 7 2 7 3 2" xfId="31642"/>
    <cellStyle name="Normal 7 2 7 3 2 2" xfId="31643"/>
    <cellStyle name="Normal 7 2 7 3 3" xfId="31644"/>
    <cellStyle name="Normal 7 2 7 3 3 2" xfId="31645"/>
    <cellStyle name="Normal 7 2 7 3 4" xfId="31646"/>
    <cellStyle name="Normal 7 2 7 3 4 2" xfId="31647"/>
    <cellStyle name="Normal 7 2 7 3 5" xfId="31648"/>
    <cellStyle name="Normal 7 2 7 3 6" xfId="31649"/>
    <cellStyle name="Normal 7 2 7 4" xfId="31650"/>
    <cellStyle name="Normal 7 2 7 4 2" xfId="31651"/>
    <cellStyle name="Normal 7 2 7 4 2 2" xfId="31652"/>
    <cellStyle name="Normal 7 2 7 4 3" xfId="31653"/>
    <cellStyle name="Normal 7 2 7 4 3 2" xfId="31654"/>
    <cellStyle name="Normal 7 2 7 4 4" xfId="31655"/>
    <cellStyle name="Normal 7 2 7 4 4 2" xfId="31656"/>
    <cellStyle name="Normal 7 2 7 4 5" xfId="31657"/>
    <cellStyle name="Normal 7 2 7 4 6" xfId="31658"/>
    <cellStyle name="Normal 7 2 7 5" xfId="31659"/>
    <cellStyle name="Normal 7 2 7 5 2" xfId="31660"/>
    <cellStyle name="Normal 7 2 7 5 2 2" xfId="31661"/>
    <cellStyle name="Normal 7 2 7 5 3" xfId="31662"/>
    <cellStyle name="Normal 7 2 7 5 3 2" xfId="31663"/>
    <cellStyle name="Normal 7 2 7 5 4" xfId="31664"/>
    <cellStyle name="Normal 7 2 7 5 5" xfId="31665"/>
    <cellStyle name="Normal 7 2 7 6" xfId="31666"/>
    <cellStyle name="Normal 7 2 7 6 2" xfId="31667"/>
    <cellStyle name="Normal 7 2 7 7" xfId="31668"/>
    <cellStyle name="Normal 7 2 7 7 2" xfId="31669"/>
    <cellStyle name="Normal 7 2 7 8" xfId="31670"/>
    <cellStyle name="Normal 7 2 7 8 2" xfId="31671"/>
    <cellStyle name="Normal 7 2 7 9" xfId="31672"/>
    <cellStyle name="Normal 7 2 8" xfId="31673"/>
    <cellStyle name="Normal 7 2 8 2" xfId="31674"/>
    <cellStyle name="Normal 7 2 8 2 2" xfId="31675"/>
    <cellStyle name="Normal 7 2 8 3" xfId="31676"/>
    <cellStyle name="Normal 7 2 8 3 2" xfId="31677"/>
    <cellStyle name="Normal 7 2 8 4" xfId="31678"/>
    <cellStyle name="Normal 7 2 8 4 2" xfId="31679"/>
    <cellStyle name="Normal 7 2 8 5" xfId="31680"/>
    <cellStyle name="Normal 7 2 8 6" xfId="31681"/>
    <cellStyle name="Normal 7 2 9" xfId="31682"/>
    <cellStyle name="Normal 7 2 9 2" xfId="31683"/>
    <cellStyle name="Normal 7 2 9 2 2" xfId="31684"/>
    <cellStyle name="Normal 7 2 9 3" xfId="31685"/>
    <cellStyle name="Normal 7 2 9 3 2" xfId="31686"/>
    <cellStyle name="Normal 7 2 9 4" xfId="31687"/>
    <cellStyle name="Normal 7 2 9 4 2" xfId="31688"/>
    <cellStyle name="Normal 7 2 9 5" xfId="31689"/>
    <cellStyle name="Normal 7 2 9 6" xfId="31690"/>
    <cellStyle name="Normal 7 20" xfId="31691"/>
    <cellStyle name="Normal 7 3" xfId="31692"/>
    <cellStyle name="Normal 7 3 10" xfId="31693"/>
    <cellStyle name="Normal 7 3 10 2" xfId="31694"/>
    <cellStyle name="Normal 7 3 10 2 2" xfId="31695"/>
    <cellStyle name="Normal 7 3 10 3" xfId="31696"/>
    <cellStyle name="Normal 7 3 10 3 2" xfId="31697"/>
    <cellStyle name="Normal 7 3 10 4" xfId="31698"/>
    <cellStyle name="Normal 7 3 10 4 2" xfId="31699"/>
    <cellStyle name="Normal 7 3 10 5" xfId="31700"/>
    <cellStyle name="Normal 7 3 10 6" xfId="31701"/>
    <cellStyle name="Normal 7 3 11" xfId="31702"/>
    <cellStyle name="Normal 7 3 11 2" xfId="31703"/>
    <cellStyle name="Normal 7 3 11 2 2" xfId="31704"/>
    <cellStyle name="Normal 7 3 11 3" xfId="31705"/>
    <cellStyle name="Normal 7 3 11 3 2" xfId="31706"/>
    <cellStyle name="Normal 7 3 11 4" xfId="31707"/>
    <cellStyle name="Normal 7 3 11 5" xfId="31708"/>
    <cellStyle name="Normal 7 3 12" xfId="31709"/>
    <cellStyle name="Normal 7 3 12 2" xfId="31710"/>
    <cellStyle name="Normal 7 3 13" xfId="31711"/>
    <cellStyle name="Normal 7 3 13 2" xfId="31712"/>
    <cellStyle name="Normal 7 3 14" xfId="31713"/>
    <cellStyle name="Normal 7 3 14 2" xfId="31714"/>
    <cellStyle name="Normal 7 3 15" xfId="31715"/>
    <cellStyle name="Normal 7 3 16" xfId="31716"/>
    <cellStyle name="Normal 7 3 17" xfId="31717"/>
    <cellStyle name="Normal 7 3 2" xfId="31718"/>
    <cellStyle name="Normal 7 3 2 10" xfId="31719"/>
    <cellStyle name="Normal 7 3 2 10 2" xfId="31720"/>
    <cellStyle name="Normal 7 3 2 11" xfId="31721"/>
    <cellStyle name="Normal 7 3 2 11 2" xfId="31722"/>
    <cellStyle name="Normal 7 3 2 12" xfId="31723"/>
    <cellStyle name="Normal 7 3 2 13" xfId="31724"/>
    <cellStyle name="Normal 7 3 2 14" xfId="31725"/>
    <cellStyle name="Normal 7 3 2 2" xfId="31726"/>
    <cellStyle name="Normal 7 3 2 2 10" xfId="31727"/>
    <cellStyle name="Normal 7 3 2 2 11" xfId="31728"/>
    <cellStyle name="Normal 7 3 2 2 12" xfId="31729"/>
    <cellStyle name="Normal 7 3 2 2 2" xfId="31730"/>
    <cellStyle name="Normal 7 3 2 2 2 2" xfId="31731"/>
    <cellStyle name="Normal 7 3 2 2 2 2 2" xfId="31732"/>
    <cellStyle name="Normal 7 3 2 2 2 3" xfId="31733"/>
    <cellStyle name="Normal 7 3 2 2 2 3 2" xfId="31734"/>
    <cellStyle name="Normal 7 3 2 2 2 4" xfId="31735"/>
    <cellStyle name="Normal 7 3 2 2 2 4 2" xfId="31736"/>
    <cellStyle name="Normal 7 3 2 2 2 5" xfId="31737"/>
    <cellStyle name="Normal 7 3 2 2 2 6" xfId="31738"/>
    <cellStyle name="Normal 7 3 2 2 3" xfId="31739"/>
    <cellStyle name="Normal 7 3 2 2 3 2" xfId="31740"/>
    <cellStyle name="Normal 7 3 2 2 3 2 2" xfId="31741"/>
    <cellStyle name="Normal 7 3 2 2 3 3" xfId="31742"/>
    <cellStyle name="Normal 7 3 2 2 3 3 2" xfId="31743"/>
    <cellStyle name="Normal 7 3 2 2 3 4" xfId="31744"/>
    <cellStyle name="Normal 7 3 2 2 3 4 2" xfId="31745"/>
    <cellStyle name="Normal 7 3 2 2 3 5" xfId="31746"/>
    <cellStyle name="Normal 7 3 2 2 3 6" xfId="31747"/>
    <cellStyle name="Normal 7 3 2 2 4" xfId="31748"/>
    <cellStyle name="Normal 7 3 2 2 4 2" xfId="31749"/>
    <cellStyle name="Normal 7 3 2 2 4 2 2" xfId="31750"/>
    <cellStyle name="Normal 7 3 2 2 4 3" xfId="31751"/>
    <cellStyle name="Normal 7 3 2 2 4 3 2" xfId="31752"/>
    <cellStyle name="Normal 7 3 2 2 4 4" xfId="31753"/>
    <cellStyle name="Normal 7 3 2 2 4 4 2" xfId="31754"/>
    <cellStyle name="Normal 7 3 2 2 4 5" xfId="31755"/>
    <cellStyle name="Normal 7 3 2 2 4 6" xfId="31756"/>
    <cellStyle name="Normal 7 3 2 2 5" xfId="31757"/>
    <cellStyle name="Normal 7 3 2 2 5 2" xfId="31758"/>
    <cellStyle name="Normal 7 3 2 2 5 2 2" xfId="31759"/>
    <cellStyle name="Normal 7 3 2 2 5 3" xfId="31760"/>
    <cellStyle name="Normal 7 3 2 2 5 3 2" xfId="31761"/>
    <cellStyle name="Normal 7 3 2 2 5 4" xfId="31762"/>
    <cellStyle name="Normal 7 3 2 2 5 4 2" xfId="31763"/>
    <cellStyle name="Normal 7 3 2 2 5 5" xfId="31764"/>
    <cellStyle name="Normal 7 3 2 2 5 6" xfId="31765"/>
    <cellStyle name="Normal 7 3 2 2 6" xfId="31766"/>
    <cellStyle name="Normal 7 3 2 2 6 2" xfId="31767"/>
    <cellStyle name="Normal 7 3 2 2 6 2 2" xfId="31768"/>
    <cellStyle name="Normal 7 3 2 2 6 3" xfId="31769"/>
    <cellStyle name="Normal 7 3 2 2 6 3 2" xfId="31770"/>
    <cellStyle name="Normal 7 3 2 2 6 4" xfId="31771"/>
    <cellStyle name="Normal 7 3 2 2 6 5" xfId="31772"/>
    <cellStyle name="Normal 7 3 2 2 7" xfId="31773"/>
    <cellStyle name="Normal 7 3 2 2 7 2" xfId="31774"/>
    <cellStyle name="Normal 7 3 2 2 8" xfId="31775"/>
    <cellStyle name="Normal 7 3 2 2 8 2" xfId="31776"/>
    <cellStyle name="Normal 7 3 2 2 9" xfId="31777"/>
    <cellStyle name="Normal 7 3 2 2 9 2" xfId="31778"/>
    <cellStyle name="Normal 7 3 2 3" xfId="31779"/>
    <cellStyle name="Normal 7 3 2 3 10" xfId="31780"/>
    <cellStyle name="Normal 7 3 2 3 11" xfId="31781"/>
    <cellStyle name="Normal 7 3 2 3 2" xfId="31782"/>
    <cellStyle name="Normal 7 3 2 3 2 2" xfId="31783"/>
    <cellStyle name="Normal 7 3 2 3 2 2 2" xfId="31784"/>
    <cellStyle name="Normal 7 3 2 3 2 3" xfId="31785"/>
    <cellStyle name="Normal 7 3 2 3 2 3 2" xfId="31786"/>
    <cellStyle name="Normal 7 3 2 3 2 4" xfId="31787"/>
    <cellStyle name="Normal 7 3 2 3 2 4 2" xfId="31788"/>
    <cellStyle name="Normal 7 3 2 3 2 5" xfId="31789"/>
    <cellStyle name="Normal 7 3 2 3 2 6" xfId="31790"/>
    <cellStyle name="Normal 7 3 2 3 3" xfId="31791"/>
    <cellStyle name="Normal 7 3 2 3 3 2" xfId="31792"/>
    <cellStyle name="Normal 7 3 2 3 3 2 2" xfId="31793"/>
    <cellStyle name="Normal 7 3 2 3 3 3" xfId="31794"/>
    <cellStyle name="Normal 7 3 2 3 3 3 2" xfId="31795"/>
    <cellStyle name="Normal 7 3 2 3 3 4" xfId="31796"/>
    <cellStyle name="Normal 7 3 2 3 3 4 2" xfId="31797"/>
    <cellStyle name="Normal 7 3 2 3 3 5" xfId="31798"/>
    <cellStyle name="Normal 7 3 2 3 3 6" xfId="31799"/>
    <cellStyle name="Normal 7 3 2 3 4" xfId="31800"/>
    <cellStyle name="Normal 7 3 2 3 4 2" xfId="31801"/>
    <cellStyle name="Normal 7 3 2 3 4 2 2" xfId="31802"/>
    <cellStyle name="Normal 7 3 2 3 4 3" xfId="31803"/>
    <cellStyle name="Normal 7 3 2 3 4 3 2" xfId="31804"/>
    <cellStyle name="Normal 7 3 2 3 4 4" xfId="31805"/>
    <cellStyle name="Normal 7 3 2 3 4 4 2" xfId="31806"/>
    <cellStyle name="Normal 7 3 2 3 4 5" xfId="31807"/>
    <cellStyle name="Normal 7 3 2 3 4 6" xfId="31808"/>
    <cellStyle name="Normal 7 3 2 3 5" xfId="31809"/>
    <cellStyle name="Normal 7 3 2 3 5 2" xfId="31810"/>
    <cellStyle name="Normal 7 3 2 3 5 2 2" xfId="31811"/>
    <cellStyle name="Normal 7 3 2 3 5 3" xfId="31812"/>
    <cellStyle name="Normal 7 3 2 3 5 3 2" xfId="31813"/>
    <cellStyle name="Normal 7 3 2 3 5 4" xfId="31814"/>
    <cellStyle name="Normal 7 3 2 3 5 5" xfId="31815"/>
    <cellStyle name="Normal 7 3 2 3 6" xfId="31816"/>
    <cellStyle name="Normal 7 3 2 3 6 2" xfId="31817"/>
    <cellStyle name="Normal 7 3 2 3 7" xfId="31818"/>
    <cellStyle name="Normal 7 3 2 3 7 2" xfId="31819"/>
    <cellStyle name="Normal 7 3 2 3 8" xfId="31820"/>
    <cellStyle name="Normal 7 3 2 3 8 2" xfId="31821"/>
    <cellStyle name="Normal 7 3 2 3 9" xfId="31822"/>
    <cellStyle name="Normal 7 3 2 4" xfId="31823"/>
    <cellStyle name="Normal 7 3 2 4 10" xfId="31824"/>
    <cellStyle name="Normal 7 3 2 4 2" xfId="31825"/>
    <cellStyle name="Normal 7 3 2 4 2 2" xfId="31826"/>
    <cellStyle name="Normal 7 3 2 4 2 2 2" xfId="31827"/>
    <cellStyle name="Normal 7 3 2 4 2 3" xfId="31828"/>
    <cellStyle name="Normal 7 3 2 4 2 3 2" xfId="31829"/>
    <cellStyle name="Normal 7 3 2 4 2 4" xfId="31830"/>
    <cellStyle name="Normal 7 3 2 4 2 4 2" xfId="31831"/>
    <cellStyle name="Normal 7 3 2 4 2 5" xfId="31832"/>
    <cellStyle name="Normal 7 3 2 4 2 6" xfId="31833"/>
    <cellStyle name="Normal 7 3 2 4 3" xfId="31834"/>
    <cellStyle name="Normal 7 3 2 4 3 2" xfId="31835"/>
    <cellStyle name="Normal 7 3 2 4 3 2 2" xfId="31836"/>
    <cellStyle name="Normal 7 3 2 4 3 3" xfId="31837"/>
    <cellStyle name="Normal 7 3 2 4 3 3 2" xfId="31838"/>
    <cellStyle name="Normal 7 3 2 4 3 4" xfId="31839"/>
    <cellStyle name="Normal 7 3 2 4 3 4 2" xfId="31840"/>
    <cellStyle name="Normal 7 3 2 4 3 5" xfId="31841"/>
    <cellStyle name="Normal 7 3 2 4 3 6" xfId="31842"/>
    <cellStyle name="Normal 7 3 2 4 4" xfId="31843"/>
    <cellStyle name="Normal 7 3 2 4 4 2" xfId="31844"/>
    <cellStyle name="Normal 7 3 2 4 4 2 2" xfId="31845"/>
    <cellStyle name="Normal 7 3 2 4 4 3" xfId="31846"/>
    <cellStyle name="Normal 7 3 2 4 4 3 2" xfId="31847"/>
    <cellStyle name="Normal 7 3 2 4 4 4" xfId="31848"/>
    <cellStyle name="Normal 7 3 2 4 4 4 2" xfId="31849"/>
    <cellStyle name="Normal 7 3 2 4 4 5" xfId="31850"/>
    <cellStyle name="Normal 7 3 2 4 4 6" xfId="31851"/>
    <cellStyle name="Normal 7 3 2 4 5" xfId="31852"/>
    <cellStyle name="Normal 7 3 2 4 5 2" xfId="31853"/>
    <cellStyle name="Normal 7 3 2 4 5 2 2" xfId="31854"/>
    <cellStyle name="Normal 7 3 2 4 5 3" xfId="31855"/>
    <cellStyle name="Normal 7 3 2 4 5 3 2" xfId="31856"/>
    <cellStyle name="Normal 7 3 2 4 5 4" xfId="31857"/>
    <cellStyle name="Normal 7 3 2 4 5 5" xfId="31858"/>
    <cellStyle name="Normal 7 3 2 4 6" xfId="31859"/>
    <cellStyle name="Normal 7 3 2 4 6 2" xfId="31860"/>
    <cellStyle name="Normal 7 3 2 4 7" xfId="31861"/>
    <cellStyle name="Normal 7 3 2 4 7 2" xfId="31862"/>
    <cellStyle name="Normal 7 3 2 4 8" xfId="31863"/>
    <cellStyle name="Normal 7 3 2 4 8 2" xfId="31864"/>
    <cellStyle name="Normal 7 3 2 4 9" xfId="31865"/>
    <cellStyle name="Normal 7 3 2 5" xfId="31866"/>
    <cellStyle name="Normal 7 3 2 5 2" xfId="31867"/>
    <cellStyle name="Normal 7 3 2 5 2 2" xfId="31868"/>
    <cellStyle name="Normal 7 3 2 5 3" xfId="31869"/>
    <cellStyle name="Normal 7 3 2 5 3 2" xfId="31870"/>
    <cellStyle name="Normal 7 3 2 5 4" xfId="31871"/>
    <cellStyle name="Normal 7 3 2 5 4 2" xfId="31872"/>
    <cellStyle name="Normal 7 3 2 5 5" xfId="31873"/>
    <cellStyle name="Normal 7 3 2 5 6" xfId="31874"/>
    <cellStyle name="Normal 7 3 2 6" xfId="31875"/>
    <cellStyle name="Normal 7 3 2 6 2" xfId="31876"/>
    <cellStyle name="Normal 7 3 2 6 2 2" xfId="31877"/>
    <cellStyle name="Normal 7 3 2 6 3" xfId="31878"/>
    <cellStyle name="Normal 7 3 2 6 3 2" xfId="31879"/>
    <cellStyle name="Normal 7 3 2 6 4" xfId="31880"/>
    <cellStyle name="Normal 7 3 2 6 4 2" xfId="31881"/>
    <cellStyle name="Normal 7 3 2 6 5" xfId="31882"/>
    <cellStyle name="Normal 7 3 2 6 6" xfId="31883"/>
    <cellStyle name="Normal 7 3 2 7" xfId="31884"/>
    <cellStyle name="Normal 7 3 2 7 2" xfId="31885"/>
    <cellStyle name="Normal 7 3 2 7 2 2" xfId="31886"/>
    <cellStyle name="Normal 7 3 2 7 3" xfId="31887"/>
    <cellStyle name="Normal 7 3 2 7 3 2" xfId="31888"/>
    <cellStyle name="Normal 7 3 2 7 4" xfId="31889"/>
    <cellStyle name="Normal 7 3 2 7 4 2" xfId="31890"/>
    <cellStyle name="Normal 7 3 2 7 5" xfId="31891"/>
    <cellStyle name="Normal 7 3 2 7 6" xfId="31892"/>
    <cellStyle name="Normal 7 3 2 8" xfId="31893"/>
    <cellStyle name="Normal 7 3 2 8 2" xfId="31894"/>
    <cellStyle name="Normal 7 3 2 8 2 2" xfId="31895"/>
    <cellStyle name="Normal 7 3 2 8 3" xfId="31896"/>
    <cellStyle name="Normal 7 3 2 8 3 2" xfId="31897"/>
    <cellStyle name="Normal 7 3 2 8 4" xfId="31898"/>
    <cellStyle name="Normal 7 3 2 8 5" xfId="31899"/>
    <cellStyle name="Normal 7 3 2 9" xfId="31900"/>
    <cellStyle name="Normal 7 3 2 9 2" xfId="31901"/>
    <cellStyle name="Normal 7 3 3" xfId="31902"/>
    <cellStyle name="Normal 7 3 3 10" xfId="31903"/>
    <cellStyle name="Normal 7 3 3 10 2" xfId="31904"/>
    <cellStyle name="Normal 7 3 3 11" xfId="31905"/>
    <cellStyle name="Normal 7 3 3 11 2" xfId="31906"/>
    <cellStyle name="Normal 7 3 3 12" xfId="31907"/>
    <cellStyle name="Normal 7 3 3 13" xfId="31908"/>
    <cellStyle name="Normal 7 3 3 14" xfId="31909"/>
    <cellStyle name="Normal 7 3 3 2" xfId="31910"/>
    <cellStyle name="Normal 7 3 3 2 10" xfId="31911"/>
    <cellStyle name="Normal 7 3 3 2 11" xfId="31912"/>
    <cellStyle name="Normal 7 3 3 2 2" xfId="31913"/>
    <cellStyle name="Normal 7 3 3 2 2 2" xfId="31914"/>
    <cellStyle name="Normal 7 3 3 2 2 2 2" xfId="31915"/>
    <cellStyle name="Normal 7 3 3 2 2 3" xfId="31916"/>
    <cellStyle name="Normal 7 3 3 2 2 3 2" xfId="31917"/>
    <cellStyle name="Normal 7 3 3 2 2 4" xfId="31918"/>
    <cellStyle name="Normal 7 3 3 2 2 4 2" xfId="31919"/>
    <cellStyle name="Normal 7 3 3 2 2 5" xfId="31920"/>
    <cellStyle name="Normal 7 3 3 2 2 6" xfId="31921"/>
    <cellStyle name="Normal 7 3 3 2 3" xfId="31922"/>
    <cellStyle name="Normal 7 3 3 2 3 2" xfId="31923"/>
    <cellStyle name="Normal 7 3 3 2 3 2 2" xfId="31924"/>
    <cellStyle name="Normal 7 3 3 2 3 3" xfId="31925"/>
    <cellStyle name="Normal 7 3 3 2 3 3 2" xfId="31926"/>
    <cellStyle name="Normal 7 3 3 2 3 4" xfId="31927"/>
    <cellStyle name="Normal 7 3 3 2 3 4 2" xfId="31928"/>
    <cellStyle name="Normal 7 3 3 2 3 5" xfId="31929"/>
    <cellStyle name="Normal 7 3 3 2 3 6" xfId="31930"/>
    <cellStyle name="Normal 7 3 3 2 4" xfId="31931"/>
    <cellStyle name="Normal 7 3 3 2 4 2" xfId="31932"/>
    <cellStyle name="Normal 7 3 3 2 4 2 2" xfId="31933"/>
    <cellStyle name="Normal 7 3 3 2 4 3" xfId="31934"/>
    <cellStyle name="Normal 7 3 3 2 4 3 2" xfId="31935"/>
    <cellStyle name="Normal 7 3 3 2 4 4" xfId="31936"/>
    <cellStyle name="Normal 7 3 3 2 4 4 2" xfId="31937"/>
    <cellStyle name="Normal 7 3 3 2 4 5" xfId="31938"/>
    <cellStyle name="Normal 7 3 3 2 4 6" xfId="31939"/>
    <cellStyle name="Normal 7 3 3 2 5" xfId="31940"/>
    <cellStyle name="Normal 7 3 3 2 5 2" xfId="31941"/>
    <cellStyle name="Normal 7 3 3 2 5 2 2" xfId="31942"/>
    <cellStyle name="Normal 7 3 3 2 5 3" xfId="31943"/>
    <cellStyle name="Normal 7 3 3 2 5 3 2" xfId="31944"/>
    <cellStyle name="Normal 7 3 3 2 5 4" xfId="31945"/>
    <cellStyle name="Normal 7 3 3 2 5 4 2" xfId="31946"/>
    <cellStyle name="Normal 7 3 3 2 5 5" xfId="31947"/>
    <cellStyle name="Normal 7 3 3 2 5 6" xfId="31948"/>
    <cellStyle name="Normal 7 3 3 2 6" xfId="31949"/>
    <cellStyle name="Normal 7 3 3 2 6 2" xfId="31950"/>
    <cellStyle name="Normal 7 3 3 2 6 2 2" xfId="31951"/>
    <cellStyle name="Normal 7 3 3 2 6 3" xfId="31952"/>
    <cellStyle name="Normal 7 3 3 2 6 3 2" xfId="31953"/>
    <cellStyle name="Normal 7 3 3 2 6 4" xfId="31954"/>
    <cellStyle name="Normal 7 3 3 2 6 5" xfId="31955"/>
    <cellStyle name="Normal 7 3 3 2 7" xfId="31956"/>
    <cellStyle name="Normal 7 3 3 2 7 2" xfId="31957"/>
    <cellStyle name="Normal 7 3 3 2 8" xfId="31958"/>
    <cellStyle name="Normal 7 3 3 2 8 2" xfId="31959"/>
    <cellStyle name="Normal 7 3 3 2 9" xfId="31960"/>
    <cellStyle name="Normal 7 3 3 2 9 2" xfId="31961"/>
    <cellStyle name="Normal 7 3 3 3" xfId="31962"/>
    <cellStyle name="Normal 7 3 3 3 10" xfId="31963"/>
    <cellStyle name="Normal 7 3 3 3 2" xfId="31964"/>
    <cellStyle name="Normal 7 3 3 3 2 2" xfId="31965"/>
    <cellStyle name="Normal 7 3 3 3 2 2 2" xfId="31966"/>
    <cellStyle name="Normal 7 3 3 3 2 3" xfId="31967"/>
    <cellStyle name="Normal 7 3 3 3 2 3 2" xfId="31968"/>
    <cellStyle name="Normal 7 3 3 3 2 4" xfId="31969"/>
    <cellStyle name="Normal 7 3 3 3 2 4 2" xfId="31970"/>
    <cellStyle name="Normal 7 3 3 3 2 5" xfId="31971"/>
    <cellStyle name="Normal 7 3 3 3 2 6" xfId="31972"/>
    <cellStyle name="Normal 7 3 3 3 3" xfId="31973"/>
    <cellStyle name="Normal 7 3 3 3 3 2" xfId="31974"/>
    <cellStyle name="Normal 7 3 3 3 3 2 2" xfId="31975"/>
    <cellStyle name="Normal 7 3 3 3 3 3" xfId="31976"/>
    <cellStyle name="Normal 7 3 3 3 3 3 2" xfId="31977"/>
    <cellStyle name="Normal 7 3 3 3 3 4" xfId="31978"/>
    <cellStyle name="Normal 7 3 3 3 3 4 2" xfId="31979"/>
    <cellStyle name="Normal 7 3 3 3 3 5" xfId="31980"/>
    <cellStyle name="Normal 7 3 3 3 3 6" xfId="31981"/>
    <cellStyle name="Normal 7 3 3 3 4" xfId="31982"/>
    <cellStyle name="Normal 7 3 3 3 4 2" xfId="31983"/>
    <cellStyle name="Normal 7 3 3 3 4 2 2" xfId="31984"/>
    <cellStyle name="Normal 7 3 3 3 4 3" xfId="31985"/>
    <cellStyle name="Normal 7 3 3 3 4 3 2" xfId="31986"/>
    <cellStyle name="Normal 7 3 3 3 4 4" xfId="31987"/>
    <cellStyle name="Normal 7 3 3 3 4 4 2" xfId="31988"/>
    <cellStyle name="Normal 7 3 3 3 4 5" xfId="31989"/>
    <cellStyle name="Normal 7 3 3 3 4 6" xfId="31990"/>
    <cellStyle name="Normal 7 3 3 3 5" xfId="31991"/>
    <cellStyle name="Normal 7 3 3 3 5 2" xfId="31992"/>
    <cellStyle name="Normal 7 3 3 3 5 2 2" xfId="31993"/>
    <cellStyle name="Normal 7 3 3 3 5 3" xfId="31994"/>
    <cellStyle name="Normal 7 3 3 3 5 3 2" xfId="31995"/>
    <cellStyle name="Normal 7 3 3 3 5 4" xfId="31996"/>
    <cellStyle name="Normal 7 3 3 3 5 5" xfId="31997"/>
    <cellStyle name="Normal 7 3 3 3 6" xfId="31998"/>
    <cellStyle name="Normal 7 3 3 3 6 2" xfId="31999"/>
    <cellStyle name="Normal 7 3 3 3 7" xfId="32000"/>
    <cellStyle name="Normal 7 3 3 3 7 2" xfId="32001"/>
    <cellStyle name="Normal 7 3 3 3 8" xfId="32002"/>
    <cellStyle name="Normal 7 3 3 3 8 2" xfId="32003"/>
    <cellStyle name="Normal 7 3 3 3 9" xfId="32004"/>
    <cellStyle name="Normal 7 3 3 4" xfId="32005"/>
    <cellStyle name="Normal 7 3 3 4 10" xfId="32006"/>
    <cellStyle name="Normal 7 3 3 4 2" xfId="32007"/>
    <cellStyle name="Normal 7 3 3 4 2 2" xfId="32008"/>
    <cellStyle name="Normal 7 3 3 4 2 2 2" xfId="32009"/>
    <cellStyle name="Normal 7 3 3 4 2 3" xfId="32010"/>
    <cellStyle name="Normal 7 3 3 4 2 3 2" xfId="32011"/>
    <cellStyle name="Normal 7 3 3 4 2 4" xfId="32012"/>
    <cellStyle name="Normal 7 3 3 4 2 4 2" xfId="32013"/>
    <cellStyle name="Normal 7 3 3 4 2 5" xfId="32014"/>
    <cellStyle name="Normal 7 3 3 4 2 6" xfId="32015"/>
    <cellStyle name="Normal 7 3 3 4 3" xfId="32016"/>
    <cellStyle name="Normal 7 3 3 4 3 2" xfId="32017"/>
    <cellStyle name="Normal 7 3 3 4 3 2 2" xfId="32018"/>
    <cellStyle name="Normal 7 3 3 4 3 3" xfId="32019"/>
    <cellStyle name="Normal 7 3 3 4 3 3 2" xfId="32020"/>
    <cellStyle name="Normal 7 3 3 4 3 4" xfId="32021"/>
    <cellStyle name="Normal 7 3 3 4 3 4 2" xfId="32022"/>
    <cellStyle name="Normal 7 3 3 4 3 5" xfId="32023"/>
    <cellStyle name="Normal 7 3 3 4 3 6" xfId="32024"/>
    <cellStyle name="Normal 7 3 3 4 4" xfId="32025"/>
    <cellStyle name="Normal 7 3 3 4 4 2" xfId="32026"/>
    <cellStyle name="Normal 7 3 3 4 4 2 2" xfId="32027"/>
    <cellStyle name="Normal 7 3 3 4 4 3" xfId="32028"/>
    <cellStyle name="Normal 7 3 3 4 4 3 2" xfId="32029"/>
    <cellStyle name="Normal 7 3 3 4 4 4" xfId="32030"/>
    <cellStyle name="Normal 7 3 3 4 4 4 2" xfId="32031"/>
    <cellStyle name="Normal 7 3 3 4 4 5" xfId="32032"/>
    <cellStyle name="Normal 7 3 3 4 4 6" xfId="32033"/>
    <cellStyle name="Normal 7 3 3 4 5" xfId="32034"/>
    <cellStyle name="Normal 7 3 3 4 5 2" xfId="32035"/>
    <cellStyle name="Normal 7 3 3 4 5 2 2" xfId="32036"/>
    <cellStyle name="Normal 7 3 3 4 5 3" xfId="32037"/>
    <cellStyle name="Normal 7 3 3 4 5 3 2" xfId="32038"/>
    <cellStyle name="Normal 7 3 3 4 5 4" xfId="32039"/>
    <cellStyle name="Normal 7 3 3 4 5 5" xfId="32040"/>
    <cellStyle name="Normal 7 3 3 4 6" xfId="32041"/>
    <cellStyle name="Normal 7 3 3 4 6 2" xfId="32042"/>
    <cellStyle name="Normal 7 3 3 4 7" xfId="32043"/>
    <cellStyle name="Normal 7 3 3 4 7 2" xfId="32044"/>
    <cellStyle name="Normal 7 3 3 4 8" xfId="32045"/>
    <cellStyle name="Normal 7 3 3 4 8 2" xfId="32046"/>
    <cellStyle name="Normal 7 3 3 4 9" xfId="32047"/>
    <cellStyle name="Normal 7 3 3 5" xfId="32048"/>
    <cellStyle name="Normal 7 3 3 5 2" xfId="32049"/>
    <cellStyle name="Normal 7 3 3 5 2 2" xfId="32050"/>
    <cellStyle name="Normal 7 3 3 5 3" xfId="32051"/>
    <cellStyle name="Normal 7 3 3 5 3 2" xfId="32052"/>
    <cellStyle name="Normal 7 3 3 5 4" xfId="32053"/>
    <cellStyle name="Normal 7 3 3 5 4 2" xfId="32054"/>
    <cellStyle name="Normal 7 3 3 5 5" xfId="32055"/>
    <cellStyle name="Normal 7 3 3 5 6" xfId="32056"/>
    <cellStyle name="Normal 7 3 3 6" xfId="32057"/>
    <cellStyle name="Normal 7 3 3 6 2" xfId="32058"/>
    <cellStyle name="Normal 7 3 3 6 2 2" xfId="32059"/>
    <cellStyle name="Normal 7 3 3 6 3" xfId="32060"/>
    <cellStyle name="Normal 7 3 3 6 3 2" xfId="32061"/>
    <cellStyle name="Normal 7 3 3 6 4" xfId="32062"/>
    <cellStyle name="Normal 7 3 3 6 4 2" xfId="32063"/>
    <cellStyle name="Normal 7 3 3 6 5" xfId="32064"/>
    <cellStyle name="Normal 7 3 3 6 6" xfId="32065"/>
    <cellStyle name="Normal 7 3 3 7" xfId="32066"/>
    <cellStyle name="Normal 7 3 3 7 2" xfId="32067"/>
    <cellStyle name="Normal 7 3 3 7 2 2" xfId="32068"/>
    <cellStyle name="Normal 7 3 3 7 3" xfId="32069"/>
    <cellStyle name="Normal 7 3 3 7 3 2" xfId="32070"/>
    <cellStyle name="Normal 7 3 3 7 4" xfId="32071"/>
    <cellStyle name="Normal 7 3 3 7 4 2" xfId="32072"/>
    <cellStyle name="Normal 7 3 3 7 5" xfId="32073"/>
    <cellStyle name="Normal 7 3 3 7 6" xfId="32074"/>
    <cellStyle name="Normal 7 3 3 8" xfId="32075"/>
    <cellStyle name="Normal 7 3 3 8 2" xfId="32076"/>
    <cellStyle name="Normal 7 3 3 8 2 2" xfId="32077"/>
    <cellStyle name="Normal 7 3 3 8 3" xfId="32078"/>
    <cellStyle name="Normal 7 3 3 8 3 2" xfId="32079"/>
    <cellStyle name="Normal 7 3 3 8 4" xfId="32080"/>
    <cellStyle name="Normal 7 3 3 8 5" xfId="32081"/>
    <cellStyle name="Normal 7 3 3 9" xfId="32082"/>
    <cellStyle name="Normal 7 3 3 9 2" xfId="32083"/>
    <cellStyle name="Normal 7 3 4" xfId="32084"/>
    <cellStyle name="Normal 7 3 4 10" xfId="32085"/>
    <cellStyle name="Normal 7 3 4 10 2" xfId="32086"/>
    <cellStyle name="Normal 7 3 4 11" xfId="32087"/>
    <cellStyle name="Normal 7 3 4 12" xfId="32088"/>
    <cellStyle name="Normal 7 3 4 2" xfId="32089"/>
    <cellStyle name="Normal 7 3 4 2 10" xfId="32090"/>
    <cellStyle name="Normal 7 3 4 2 2" xfId="32091"/>
    <cellStyle name="Normal 7 3 4 2 2 2" xfId="32092"/>
    <cellStyle name="Normal 7 3 4 2 2 2 2" xfId="32093"/>
    <cellStyle name="Normal 7 3 4 2 2 3" xfId="32094"/>
    <cellStyle name="Normal 7 3 4 2 2 3 2" xfId="32095"/>
    <cellStyle name="Normal 7 3 4 2 2 4" xfId="32096"/>
    <cellStyle name="Normal 7 3 4 2 2 4 2" xfId="32097"/>
    <cellStyle name="Normal 7 3 4 2 2 5" xfId="32098"/>
    <cellStyle name="Normal 7 3 4 2 2 6" xfId="32099"/>
    <cellStyle name="Normal 7 3 4 2 3" xfId="32100"/>
    <cellStyle name="Normal 7 3 4 2 3 2" xfId="32101"/>
    <cellStyle name="Normal 7 3 4 2 3 2 2" xfId="32102"/>
    <cellStyle name="Normal 7 3 4 2 3 3" xfId="32103"/>
    <cellStyle name="Normal 7 3 4 2 3 3 2" xfId="32104"/>
    <cellStyle name="Normal 7 3 4 2 3 4" xfId="32105"/>
    <cellStyle name="Normal 7 3 4 2 3 4 2" xfId="32106"/>
    <cellStyle name="Normal 7 3 4 2 3 5" xfId="32107"/>
    <cellStyle name="Normal 7 3 4 2 3 6" xfId="32108"/>
    <cellStyle name="Normal 7 3 4 2 4" xfId="32109"/>
    <cellStyle name="Normal 7 3 4 2 4 2" xfId="32110"/>
    <cellStyle name="Normal 7 3 4 2 4 2 2" xfId="32111"/>
    <cellStyle name="Normal 7 3 4 2 4 3" xfId="32112"/>
    <cellStyle name="Normal 7 3 4 2 4 3 2" xfId="32113"/>
    <cellStyle name="Normal 7 3 4 2 4 4" xfId="32114"/>
    <cellStyle name="Normal 7 3 4 2 4 4 2" xfId="32115"/>
    <cellStyle name="Normal 7 3 4 2 4 5" xfId="32116"/>
    <cellStyle name="Normal 7 3 4 2 4 6" xfId="32117"/>
    <cellStyle name="Normal 7 3 4 2 5" xfId="32118"/>
    <cellStyle name="Normal 7 3 4 2 5 2" xfId="32119"/>
    <cellStyle name="Normal 7 3 4 2 5 2 2" xfId="32120"/>
    <cellStyle name="Normal 7 3 4 2 5 3" xfId="32121"/>
    <cellStyle name="Normal 7 3 4 2 5 3 2" xfId="32122"/>
    <cellStyle name="Normal 7 3 4 2 5 4" xfId="32123"/>
    <cellStyle name="Normal 7 3 4 2 5 5" xfId="32124"/>
    <cellStyle name="Normal 7 3 4 2 6" xfId="32125"/>
    <cellStyle name="Normal 7 3 4 2 6 2" xfId="32126"/>
    <cellStyle name="Normal 7 3 4 2 7" xfId="32127"/>
    <cellStyle name="Normal 7 3 4 2 7 2" xfId="32128"/>
    <cellStyle name="Normal 7 3 4 2 8" xfId="32129"/>
    <cellStyle name="Normal 7 3 4 2 8 2" xfId="32130"/>
    <cellStyle name="Normal 7 3 4 2 9" xfId="32131"/>
    <cellStyle name="Normal 7 3 4 3" xfId="32132"/>
    <cellStyle name="Normal 7 3 4 3 10" xfId="32133"/>
    <cellStyle name="Normal 7 3 4 3 2" xfId="32134"/>
    <cellStyle name="Normal 7 3 4 3 2 2" xfId="32135"/>
    <cellStyle name="Normal 7 3 4 3 2 2 2" xfId="32136"/>
    <cellStyle name="Normal 7 3 4 3 2 3" xfId="32137"/>
    <cellStyle name="Normal 7 3 4 3 2 3 2" xfId="32138"/>
    <cellStyle name="Normal 7 3 4 3 2 4" xfId="32139"/>
    <cellStyle name="Normal 7 3 4 3 2 4 2" xfId="32140"/>
    <cellStyle name="Normal 7 3 4 3 2 5" xfId="32141"/>
    <cellStyle name="Normal 7 3 4 3 2 6" xfId="32142"/>
    <cellStyle name="Normal 7 3 4 3 3" xfId="32143"/>
    <cellStyle name="Normal 7 3 4 3 3 2" xfId="32144"/>
    <cellStyle name="Normal 7 3 4 3 3 2 2" xfId="32145"/>
    <cellStyle name="Normal 7 3 4 3 3 3" xfId="32146"/>
    <cellStyle name="Normal 7 3 4 3 3 3 2" xfId="32147"/>
    <cellStyle name="Normal 7 3 4 3 3 4" xfId="32148"/>
    <cellStyle name="Normal 7 3 4 3 3 4 2" xfId="32149"/>
    <cellStyle name="Normal 7 3 4 3 3 5" xfId="32150"/>
    <cellStyle name="Normal 7 3 4 3 3 6" xfId="32151"/>
    <cellStyle name="Normal 7 3 4 3 4" xfId="32152"/>
    <cellStyle name="Normal 7 3 4 3 4 2" xfId="32153"/>
    <cellStyle name="Normal 7 3 4 3 4 2 2" xfId="32154"/>
    <cellStyle name="Normal 7 3 4 3 4 3" xfId="32155"/>
    <cellStyle name="Normal 7 3 4 3 4 3 2" xfId="32156"/>
    <cellStyle name="Normal 7 3 4 3 4 4" xfId="32157"/>
    <cellStyle name="Normal 7 3 4 3 4 4 2" xfId="32158"/>
    <cellStyle name="Normal 7 3 4 3 4 5" xfId="32159"/>
    <cellStyle name="Normal 7 3 4 3 4 6" xfId="32160"/>
    <cellStyle name="Normal 7 3 4 3 5" xfId="32161"/>
    <cellStyle name="Normal 7 3 4 3 5 2" xfId="32162"/>
    <cellStyle name="Normal 7 3 4 3 5 2 2" xfId="32163"/>
    <cellStyle name="Normal 7 3 4 3 5 3" xfId="32164"/>
    <cellStyle name="Normal 7 3 4 3 5 3 2" xfId="32165"/>
    <cellStyle name="Normal 7 3 4 3 5 4" xfId="32166"/>
    <cellStyle name="Normal 7 3 4 3 5 5" xfId="32167"/>
    <cellStyle name="Normal 7 3 4 3 6" xfId="32168"/>
    <cellStyle name="Normal 7 3 4 3 6 2" xfId="32169"/>
    <cellStyle name="Normal 7 3 4 3 7" xfId="32170"/>
    <cellStyle name="Normal 7 3 4 3 7 2" xfId="32171"/>
    <cellStyle name="Normal 7 3 4 3 8" xfId="32172"/>
    <cellStyle name="Normal 7 3 4 3 8 2" xfId="32173"/>
    <cellStyle name="Normal 7 3 4 3 9" xfId="32174"/>
    <cellStyle name="Normal 7 3 4 4" xfId="32175"/>
    <cellStyle name="Normal 7 3 4 4 2" xfId="32176"/>
    <cellStyle name="Normal 7 3 4 4 2 2" xfId="32177"/>
    <cellStyle name="Normal 7 3 4 4 3" xfId="32178"/>
    <cellStyle name="Normal 7 3 4 4 3 2" xfId="32179"/>
    <cellStyle name="Normal 7 3 4 4 4" xfId="32180"/>
    <cellStyle name="Normal 7 3 4 4 4 2" xfId="32181"/>
    <cellStyle name="Normal 7 3 4 4 5" xfId="32182"/>
    <cellStyle name="Normal 7 3 4 4 6" xfId="32183"/>
    <cellStyle name="Normal 7 3 4 5" xfId="32184"/>
    <cellStyle name="Normal 7 3 4 5 2" xfId="32185"/>
    <cellStyle name="Normal 7 3 4 5 2 2" xfId="32186"/>
    <cellStyle name="Normal 7 3 4 5 3" xfId="32187"/>
    <cellStyle name="Normal 7 3 4 5 3 2" xfId="32188"/>
    <cellStyle name="Normal 7 3 4 5 4" xfId="32189"/>
    <cellStyle name="Normal 7 3 4 5 4 2" xfId="32190"/>
    <cellStyle name="Normal 7 3 4 5 5" xfId="32191"/>
    <cellStyle name="Normal 7 3 4 5 6" xfId="32192"/>
    <cellStyle name="Normal 7 3 4 6" xfId="32193"/>
    <cellStyle name="Normal 7 3 4 6 2" xfId="32194"/>
    <cellStyle name="Normal 7 3 4 6 2 2" xfId="32195"/>
    <cellStyle name="Normal 7 3 4 6 3" xfId="32196"/>
    <cellStyle name="Normal 7 3 4 6 3 2" xfId="32197"/>
    <cellStyle name="Normal 7 3 4 6 4" xfId="32198"/>
    <cellStyle name="Normal 7 3 4 6 4 2" xfId="32199"/>
    <cellStyle name="Normal 7 3 4 6 5" xfId="32200"/>
    <cellStyle name="Normal 7 3 4 6 6" xfId="32201"/>
    <cellStyle name="Normal 7 3 4 7" xfId="32202"/>
    <cellStyle name="Normal 7 3 4 7 2" xfId="32203"/>
    <cellStyle name="Normal 7 3 4 7 2 2" xfId="32204"/>
    <cellStyle name="Normal 7 3 4 7 3" xfId="32205"/>
    <cellStyle name="Normal 7 3 4 7 3 2" xfId="32206"/>
    <cellStyle name="Normal 7 3 4 7 4" xfId="32207"/>
    <cellStyle name="Normal 7 3 4 7 5" xfId="32208"/>
    <cellStyle name="Normal 7 3 4 8" xfId="32209"/>
    <cellStyle name="Normal 7 3 4 8 2" xfId="32210"/>
    <cellStyle name="Normal 7 3 4 9" xfId="32211"/>
    <cellStyle name="Normal 7 3 4 9 2" xfId="32212"/>
    <cellStyle name="Normal 7 3 5" xfId="32213"/>
    <cellStyle name="Normal 7 3 5 10" xfId="32214"/>
    <cellStyle name="Normal 7 3 5 11" xfId="32215"/>
    <cellStyle name="Normal 7 3 5 2" xfId="32216"/>
    <cellStyle name="Normal 7 3 5 2 2" xfId="32217"/>
    <cellStyle name="Normal 7 3 5 2 2 2" xfId="32218"/>
    <cellStyle name="Normal 7 3 5 2 3" xfId="32219"/>
    <cellStyle name="Normal 7 3 5 2 3 2" xfId="32220"/>
    <cellStyle name="Normal 7 3 5 2 4" xfId="32221"/>
    <cellStyle name="Normal 7 3 5 2 4 2" xfId="32222"/>
    <cellStyle name="Normal 7 3 5 2 5" xfId="32223"/>
    <cellStyle name="Normal 7 3 5 2 6" xfId="32224"/>
    <cellStyle name="Normal 7 3 5 3" xfId="32225"/>
    <cellStyle name="Normal 7 3 5 3 2" xfId="32226"/>
    <cellStyle name="Normal 7 3 5 3 2 2" xfId="32227"/>
    <cellStyle name="Normal 7 3 5 3 3" xfId="32228"/>
    <cellStyle name="Normal 7 3 5 3 3 2" xfId="32229"/>
    <cellStyle name="Normal 7 3 5 3 4" xfId="32230"/>
    <cellStyle name="Normal 7 3 5 3 4 2" xfId="32231"/>
    <cellStyle name="Normal 7 3 5 3 5" xfId="32232"/>
    <cellStyle name="Normal 7 3 5 3 6" xfId="32233"/>
    <cellStyle name="Normal 7 3 5 4" xfId="32234"/>
    <cellStyle name="Normal 7 3 5 4 2" xfId="32235"/>
    <cellStyle name="Normal 7 3 5 4 2 2" xfId="32236"/>
    <cellStyle name="Normal 7 3 5 4 3" xfId="32237"/>
    <cellStyle name="Normal 7 3 5 4 3 2" xfId="32238"/>
    <cellStyle name="Normal 7 3 5 4 4" xfId="32239"/>
    <cellStyle name="Normal 7 3 5 4 4 2" xfId="32240"/>
    <cellStyle name="Normal 7 3 5 4 5" xfId="32241"/>
    <cellStyle name="Normal 7 3 5 4 6" xfId="32242"/>
    <cellStyle name="Normal 7 3 5 5" xfId="32243"/>
    <cellStyle name="Normal 7 3 5 5 2" xfId="32244"/>
    <cellStyle name="Normal 7 3 5 5 2 2" xfId="32245"/>
    <cellStyle name="Normal 7 3 5 5 3" xfId="32246"/>
    <cellStyle name="Normal 7 3 5 5 3 2" xfId="32247"/>
    <cellStyle name="Normal 7 3 5 5 4" xfId="32248"/>
    <cellStyle name="Normal 7 3 5 5 4 2" xfId="32249"/>
    <cellStyle name="Normal 7 3 5 5 5" xfId="32250"/>
    <cellStyle name="Normal 7 3 5 5 6" xfId="32251"/>
    <cellStyle name="Normal 7 3 5 6" xfId="32252"/>
    <cellStyle name="Normal 7 3 5 6 2" xfId="32253"/>
    <cellStyle name="Normal 7 3 5 6 2 2" xfId="32254"/>
    <cellStyle name="Normal 7 3 5 6 3" xfId="32255"/>
    <cellStyle name="Normal 7 3 5 6 3 2" xfId="32256"/>
    <cellStyle name="Normal 7 3 5 6 4" xfId="32257"/>
    <cellStyle name="Normal 7 3 5 6 5" xfId="32258"/>
    <cellStyle name="Normal 7 3 5 7" xfId="32259"/>
    <cellStyle name="Normal 7 3 5 7 2" xfId="32260"/>
    <cellStyle name="Normal 7 3 5 8" xfId="32261"/>
    <cellStyle name="Normal 7 3 5 8 2" xfId="32262"/>
    <cellStyle name="Normal 7 3 5 9" xfId="32263"/>
    <cellStyle name="Normal 7 3 5 9 2" xfId="32264"/>
    <cellStyle name="Normal 7 3 6" xfId="32265"/>
    <cellStyle name="Normal 7 3 6 10" xfId="32266"/>
    <cellStyle name="Normal 7 3 6 2" xfId="32267"/>
    <cellStyle name="Normal 7 3 6 2 2" xfId="32268"/>
    <cellStyle name="Normal 7 3 6 2 2 2" xfId="32269"/>
    <cellStyle name="Normal 7 3 6 2 3" xfId="32270"/>
    <cellStyle name="Normal 7 3 6 2 3 2" xfId="32271"/>
    <cellStyle name="Normal 7 3 6 2 4" xfId="32272"/>
    <cellStyle name="Normal 7 3 6 2 4 2" xfId="32273"/>
    <cellStyle name="Normal 7 3 6 2 5" xfId="32274"/>
    <cellStyle name="Normal 7 3 6 2 6" xfId="32275"/>
    <cellStyle name="Normal 7 3 6 3" xfId="32276"/>
    <cellStyle name="Normal 7 3 6 3 2" xfId="32277"/>
    <cellStyle name="Normal 7 3 6 3 2 2" xfId="32278"/>
    <cellStyle name="Normal 7 3 6 3 3" xfId="32279"/>
    <cellStyle name="Normal 7 3 6 3 3 2" xfId="32280"/>
    <cellStyle name="Normal 7 3 6 3 4" xfId="32281"/>
    <cellStyle name="Normal 7 3 6 3 4 2" xfId="32282"/>
    <cellStyle name="Normal 7 3 6 3 5" xfId="32283"/>
    <cellStyle name="Normal 7 3 6 3 6" xfId="32284"/>
    <cellStyle name="Normal 7 3 6 4" xfId="32285"/>
    <cellStyle name="Normal 7 3 6 4 2" xfId="32286"/>
    <cellStyle name="Normal 7 3 6 4 2 2" xfId="32287"/>
    <cellStyle name="Normal 7 3 6 4 3" xfId="32288"/>
    <cellStyle name="Normal 7 3 6 4 3 2" xfId="32289"/>
    <cellStyle name="Normal 7 3 6 4 4" xfId="32290"/>
    <cellStyle name="Normal 7 3 6 4 4 2" xfId="32291"/>
    <cellStyle name="Normal 7 3 6 4 5" xfId="32292"/>
    <cellStyle name="Normal 7 3 6 4 6" xfId="32293"/>
    <cellStyle name="Normal 7 3 6 5" xfId="32294"/>
    <cellStyle name="Normal 7 3 6 5 2" xfId="32295"/>
    <cellStyle name="Normal 7 3 6 5 2 2" xfId="32296"/>
    <cellStyle name="Normal 7 3 6 5 3" xfId="32297"/>
    <cellStyle name="Normal 7 3 6 5 3 2" xfId="32298"/>
    <cellStyle name="Normal 7 3 6 5 4" xfId="32299"/>
    <cellStyle name="Normal 7 3 6 5 5" xfId="32300"/>
    <cellStyle name="Normal 7 3 6 6" xfId="32301"/>
    <cellStyle name="Normal 7 3 6 6 2" xfId="32302"/>
    <cellStyle name="Normal 7 3 6 7" xfId="32303"/>
    <cellStyle name="Normal 7 3 6 7 2" xfId="32304"/>
    <cellStyle name="Normal 7 3 6 8" xfId="32305"/>
    <cellStyle name="Normal 7 3 6 8 2" xfId="32306"/>
    <cellStyle name="Normal 7 3 6 9" xfId="32307"/>
    <cellStyle name="Normal 7 3 7" xfId="32308"/>
    <cellStyle name="Normal 7 3 7 10" xfId="32309"/>
    <cellStyle name="Normal 7 3 7 2" xfId="32310"/>
    <cellStyle name="Normal 7 3 7 2 2" xfId="32311"/>
    <cellStyle name="Normal 7 3 7 2 2 2" xfId="32312"/>
    <cellStyle name="Normal 7 3 7 2 3" xfId="32313"/>
    <cellStyle name="Normal 7 3 7 2 3 2" xfId="32314"/>
    <cellStyle name="Normal 7 3 7 2 4" xfId="32315"/>
    <cellStyle name="Normal 7 3 7 2 4 2" xfId="32316"/>
    <cellStyle name="Normal 7 3 7 2 5" xfId="32317"/>
    <cellStyle name="Normal 7 3 7 2 6" xfId="32318"/>
    <cellStyle name="Normal 7 3 7 3" xfId="32319"/>
    <cellStyle name="Normal 7 3 7 3 2" xfId="32320"/>
    <cellStyle name="Normal 7 3 7 3 2 2" xfId="32321"/>
    <cellStyle name="Normal 7 3 7 3 3" xfId="32322"/>
    <cellStyle name="Normal 7 3 7 3 3 2" xfId="32323"/>
    <cellStyle name="Normal 7 3 7 3 4" xfId="32324"/>
    <cellStyle name="Normal 7 3 7 3 4 2" xfId="32325"/>
    <cellStyle name="Normal 7 3 7 3 5" xfId="32326"/>
    <cellStyle name="Normal 7 3 7 3 6" xfId="32327"/>
    <cellStyle name="Normal 7 3 7 4" xfId="32328"/>
    <cellStyle name="Normal 7 3 7 4 2" xfId="32329"/>
    <cellStyle name="Normal 7 3 7 4 2 2" xfId="32330"/>
    <cellStyle name="Normal 7 3 7 4 3" xfId="32331"/>
    <cellStyle name="Normal 7 3 7 4 3 2" xfId="32332"/>
    <cellStyle name="Normal 7 3 7 4 4" xfId="32333"/>
    <cellStyle name="Normal 7 3 7 4 4 2" xfId="32334"/>
    <cellStyle name="Normal 7 3 7 4 5" xfId="32335"/>
    <cellStyle name="Normal 7 3 7 4 6" xfId="32336"/>
    <cellStyle name="Normal 7 3 7 5" xfId="32337"/>
    <cellStyle name="Normal 7 3 7 5 2" xfId="32338"/>
    <cellStyle name="Normal 7 3 7 5 2 2" xfId="32339"/>
    <cellStyle name="Normal 7 3 7 5 3" xfId="32340"/>
    <cellStyle name="Normal 7 3 7 5 3 2" xfId="32341"/>
    <cellStyle name="Normal 7 3 7 5 4" xfId="32342"/>
    <cellStyle name="Normal 7 3 7 5 5" xfId="32343"/>
    <cellStyle name="Normal 7 3 7 6" xfId="32344"/>
    <cellStyle name="Normal 7 3 7 6 2" xfId="32345"/>
    <cellStyle name="Normal 7 3 7 7" xfId="32346"/>
    <cellStyle name="Normal 7 3 7 7 2" xfId="32347"/>
    <cellStyle name="Normal 7 3 7 8" xfId="32348"/>
    <cellStyle name="Normal 7 3 7 8 2" xfId="32349"/>
    <cellStyle name="Normal 7 3 7 9" xfId="32350"/>
    <cellStyle name="Normal 7 3 8" xfId="32351"/>
    <cellStyle name="Normal 7 3 8 2" xfId="32352"/>
    <cellStyle name="Normal 7 3 8 2 2" xfId="32353"/>
    <cellStyle name="Normal 7 3 8 3" xfId="32354"/>
    <cellStyle name="Normal 7 3 8 3 2" xfId="32355"/>
    <cellStyle name="Normal 7 3 8 4" xfId="32356"/>
    <cellStyle name="Normal 7 3 8 4 2" xfId="32357"/>
    <cellStyle name="Normal 7 3 8 5" xfId="32358"/>
    <cellStyle name="Normal 7 3 8 6" xfId="32359"/>
    <cellStyle name="Normal 7 3 9" xfId="32360"/>
    <cellStyle name="Normal 7 3 9 2" xfId="32361"/>
    <cellStyle name="Normal 7 3 9 2 2" xfId="32362"/>
    <cellStyle name="Normal 7 3 9 3" xfId="32363"/>
    <cellStyle name="Normal 7 3 9 3 2" xfId="32364"/>
    <cellStyle name="Normal 7 3 9 4" xfId="32365"/>
    <cellStyle name="Normal 7 3 9 4 2" xfId="32366"/>
    <cellStyle name="Normal 7 3 9 5" xfId="32367"/>
    <cellStyle name="Normal 7 3 9 6" xfId="32368"/>
    <cellStyle name="Normal 7 4" xfId="32369"/>
    <cellStyle name="Normal 7 4 10" xfId="32370"/>
    <cellStyle name="Normal 7 4 10 2" xfId="32371"/>
    <cellStyle name="Normal 7 4 11" xfId="32372"/>
    <cellStyle name="Normal 7 4 11 2" xfId="32373"/>
    <cellStyle name="Normal 7 4 12" xfId="32374"/>
    <cellStyle name="Normal 7 4 13" xfId="32375"/>
    <cellStyle name="Normal 7 4 14" xfId="32376"/>
    <cellStyle name="Normal 7 4 2" xfId="32377"/>
    <cellStyle name="Normal 7 4 2 10" xfId="32378"/>
    <cellStyle name="Normal 7 4 2 11" xfId="32379"/>
    <cellStyle name="Normal 7 4 2 12" xfId="32380"/>
    <cellStyle name="Normal 7 4 2 2" xfId="32381"/>
    <cellStyle name="Normal 7 4 2 2 2" xfId="32382"/>
    <cellStyle name="Normal 7 4 2 2 2 2" xfId="32383"/>
    <cellStyle name="Normal 7 4 2 2 3" xfId="32384"/>
    <cellStyle name="Normal 7 4 2 2 3 2" xfId="32385"/>
    <cellStyle name="Normal 7 4 2 2 4" xfId="32386"/>
    <cellStyle name="Normal 7 4 2 2 4 2" xfId="32387"/>
    <cellStyle name="Normal 7 4 2 2 5" xfId="32388"/>
    <cellStyle name="Normal 7 4 2 2 6" xfId="32389"/>
    <cellStyle name="Normal 7 4 2 2 7" xfId="32390"/>
    <cellStyle name="Normal 7 4 2 3" xfId="32391"/>
    <cellStyle name="Normal 7 4 2 3 2" xfId="32392"/>
    <cellStyle name="Normal 7 4 2 3 2 2" xfId="32393"/>
    <cellStyle name="Normal 7 4 2 3 3" xfId="32394"/>
    <cellStyle name="Normal 7 4 2 3 3 2" xfId="32395"/>
    <cellStyle name="Normal 7 4 2 3 4" xfId="32396"/>
    <cellStyle name="Normal 7 4 2 3 4 2" xfId="32397"/>
    <cellStyle name="Normal 7 4 2 3 5" xfId="32398"/>
    <cellStyle name="Normal 7 4 2 3 6" xfId="32399"/>
    <cellStyle name="Normal 7 4 2 4" xfId="32400"/>
    <cellStyle name="Normal 7 4 2 4 2" xfId="32401"/>
    <cellStyle name="Normal 7 4 2 4 2 2" xfId="32402"/>
    <cellStyle name="Normal 7 4 2 4 3" xfId="32403"/>
    <cellStyle name="Normal 7 4 2 4 3 2" xfId="32404"/>
    <cellStyle name="Normal 7 4 2 4 4" xfId="32405"/>
    <cellStyle name="Normal 7 4 2 4 4 2" xfId="32406"/>
    <cellStyle name="Normal 7 4 2 4 5" xfId="32407"/>
    <cellStyle name="Normal 7 4 2 4 6" xfId="32408"/>
    <cellStyle name="Normal 7 4 2 5" xfId="32409"/>
    <cellStyle name="Normal 7 4 2 5 2" xfId="32410"/>
    <cellStyle name="Normal 7 4 2 5 2 2" xfId="32411"/>
    <cellStyle name="Normal 7 4 2 5 3" xfId="32412"/>
    <cellStyle name="Normal 7 4 2 5 3 2" xfId="32413"/>
    <cellStyle name="Normal 7 4 2 5 4" xfId="32414"/>
    <cellStyle name="Normal 7 4 2 5 4 2" xfId="32415"/>
    <cellStyle name="Normal 7 4 2 5 5" xfId="32416"/>
    <cellStyle name="Normal 7 4 2 5 6" xfId="32417"/>
    <cellStyle name="Normal 7 4 2 6" xfId="32418"/>
    <cellStyle name="Normal 7 4 2 6 2" xfId="32419"/>
    <cellStyle name="Normal 7 4 2 6 2 2" xfId="32420"/>
    <cellStyle name="Normal 7 4 2 6 3" xfId="32421"/>
    <cellStyle name="Normal 7 4 2 6 3 2" xfId="32422"/>
    <cellStyle name="Normal 7 4 2 6 4" xfId="32423"/>
    <cellStyle name="Normal 7 4 2 6 5" xfId="32424"/>
    <cellStyle name="Normal 7 4 2 7" xfId="32425"/>
    <cellStyle name="Normal 7 4 2 7 2" xfId="32426"/>
    <cellStyle name="Normal 7 4 2 8" xfId="32427"/>
    <cellStyle name="Normal 7 4 2 8 2" xfId="32428"/>
    <cellStyle name="Normal 7 4 2 9" xfId="32429"/>
    <cellStyle name="Normal 7 4 2 9 2" xfId="32430"/>
    <cellStyle name="Normal 7 4 3" xfId="32431"/>
    <cellStyle name="Normal 7 4 3 10" xfId="32432"/>
    <cellStyle name="Normal 7 4 3 11" xfId="32433"/>
    <cellStyle name="Normal 7 4 3 2" xfId="32434"/>
    <cellStyle name="Normal 7 4 3 2 2" xfId="32435"/>
    <cellStyle name="Normal 7 4 3 2 2 2" xfId="32436"/>
    <cellStyle name="Normal 7 4 3 2 3" xfId="32437"/>
    <cellStyle name="Normal 7 4 3 2 3 2" xfId="32438"/>
    <cellStyle name="Normal 7 4 3 2 4" xfId="32439"/>
    <cellStyle name="Normal 7 4 3 2 4 2" xfId="32440"/>
    <cellStyle name="Normal 7 4 3 2 5" xfId="32441"/>
    <cellStyle name="Normal 7 4 3 2 6" xfId="32442"/>
    <cellStyle name="Normal 7 4 3 3" xfId="32443"/>
    <cellStyle name="Normal 7 4 3 3 2" xfId="32444"/>
    <cellStyle name="Normal 7 4 3 3 2 2" xfId="32445"/>
    <cellStyle name="Normal 7 4 3 3 3" xfId="32446"/>
    <cellStyle name="Normal 7 4 3 3 3 2" xfId="32447"/>
    <cellStyle name="Normal 7 4 3 3 4" xfId="32448"/>
    <cellStyle name="Normal 7 4 3 3 4 2" xfId="32449"/>
    <cellStyle name="Normal 7 4 3 3 5" xfId="32450"/>
    <cellStyle name="Normal 7 4 3 3 6" xfId="32451"/>
    <cellStyle name="Normal 7 4 3 4" xfId="32452"/>
    <cellStyle name="Normal 7 4 3 4 2" xfId="32453"/>
    <cellStyle name="Normal 7 4 3 4 2 2" xfId="32454"/>
    <cellStyle name="Normal 7 4 3 4 3" xfId="32455"/>
    <cellStyle name="Normal 7 4 3 4 3 2" xfId="32456"/>
    <cellStyle name="Normal 7 4 3 4 4" xfId="32457"/>
    <cellStyle name="Normal 7 4 3 4 4 2" xfId="32458"/>
    <cellStyle name="Normal 7 4 3 4 5" xfId="32459"/>
    <cellStyle name="Normal 7 4 3 4 6" xfId="32460"/>
    <cellStyle name="Normal 7 4 3 5" xfId="32461"/>
    <cellStyle name="Normal 7 4 3 5 2" xfId="32462"/>
    <cellStyle name="Normal 7 4 3 5 2 2" xfId="32463"/>
    <cellStyle name="Normal 7 4 3 5 3" xfId="32464"/>
    <cellStyle name="Normal 7 4 3 5 3 2" xfId="32465"/>
    <cellStyle name="Normal 7 4 3 5 4" xfId="32466"/>
    <cellStyle name="Normal 7 4 3 5 5" xfId="32467"/>
    <cellStyle name="Normal 7 4 3 6" xfId="32468"/>
    <cellStyle name="Normal 7 4 3 6 2" xfId="32469"/>
    <cellStyle name="Normal 7 4 3 7" xfId="32470"/>
    <cellStyle name="Normal 7 4 3 7 2" xfId="32471"/>
    <cellStyle name="Normal 7 4 3 8" xfId="32472"/>
    <cellStyle name="Normal 7 4 3 8 2" xfId="32473"/>
    <cellStyle name="Normal 7 4 3 9" xfId="32474"/>
    <cellStyle name="Normal 7 4 4" xfId="32475"/>
    <cellStyle name="Normal 7 4 4 10" xfId="32476"/>
    <cellStyle name="Normal 7 4 4 11" xfId="32477"/>
    <cellStyle name="Normal 7 4 4 2" xfId="32478"/>
    <cellStyle name="Normal 7 4 4 2 2" xfId="32479"/>
    <cellStyle name="Normal 7 4 4 2 2 2" xfId="32480"/>
    <cellStyle name="Normal 7 4 4 2 3" xfId="32481"/>
    <cellStyle name="Normal 7 4 4 2 3 2" xfId="32482"/>
    <cellStyle name="Normal 7 4 4 2 4" xfId="32483"/>
    <cellStyle name="Normal 7 4 4 2 4 2" xfId="32484"/>
    <cellStyle name="Normal 7 4 4 2 5" xfId="32485"/>
    <cellStyle name="Normal 7 4 4 2 6" xfId="32486"/>
    <cellStyle name="Normal 7 4 4 3" xfId="32487"/>
    <cellStyle name="Normal 7 4 4 3 2" xfId="32488"/>
    <cellStyle name="Normal 7 4 4 3 2 2" xfId="32489"/>
    <cellStyle name="Normal 7 4 4 3 3" xfId="32490"/>
    <cellStyle name="Normal 7 4 4 3 3 2" xfId="32491"/>
    <cellStyle name="Normal 7 4 4 3 4" xfId="32492"/>
    <cellStyle name="Normal 7 4 4 3 4 2" xfId="32493"/>
    <cellStyle name="Normal 7 4 4 3 5" xfId="32494"/>
    <cellStyle name="Normal 7 4 4 3 6" xfId="32495"/>
    <cellStyle name="Normal 7 4 4 4" xfId="32496"/>
    <cellStyle name="Normal 7 4 4 4 2" xfId="32497"/>
    <cellStyle name="Normal 7 4 4 4 2 2" xfId="32498"/>
    <cellStyle name="Normal 7 4 4 4 3" xfId="32499"/>
    <cellStyle name="Normal 7 4 4 4 3 2" xfId="32500"/>
    <cellStyle name="Normal 7 4 4 4 4" xfId="32501"/>
    <cellStyle name="Normal 7 4 4 4 4 2" xfId="32502"/>
    <cellStyle name="Normal 7 4 4 4 5" xfId="32503"/>
    <cellStyle name="Normal 7 4 4 4 6" xfId="32504"/>
    <cellStyle name="Normal 7 4 4 5" xfId="32505"/>
    <cellStyle name="Normal 7 4 4 5 2" xfId="32506"/>
    <cellStyle name="Normal 7 4 4 5 2 2" xfId="32507"/>
    <cellStyle name="Normal 7 4 4 5 3" xfId="32508"/>
    <cellStyle name="Normal 7 4 4 5 3 2" xfId="32509"/>
    <cellStyle name="Normal 7 4 4 5 4" xfId="32510"/>
    <cellStyle name="Normal 7 4 4 5 5" xfId="32511"/>
    <cellStyle name="Normal 7 4 4 6" xfId="32512"/>
    <cellStyle name="Normal 7 4 4 6 2" xfId="32513"/>
    <cellStyle name="Normal 7 4 4 7" xfId="32514"/>
    <cellStyle name="Normal 7 4 4 7 2" xfId="32515"/>
    <cellStyle name="Normal 7 4 4 8" xfId="32516"/>
    <cellStyle name="Normal 7 4 4 8 2" xfId="32517"/>
    <cellStyle name="Normal 7 4 4 9" xfId="32518"/>
    <cellStyle name="Normal 7 4 5" xfId="32519"/>
    <cellStyle name="Normal 7 4 5 2" xfId="32520"/>
    <cellStyle name="Normal 7 4 5 2 2" xfId="32521"/>
    <cellStyle name="Normal 7 4 5 3" xfId="32522"/>
    <cellStyle name="Normal 7 4 5 3 2" xfId="32523"/>
    <cellStyle name="Normal 7 4 5 4" xfId="32524"/>
    <cellStyle name="Normal 7 4 5 4 2" xfId="32525"/>
    <cellStyle name="Normal 7 4 5 5" xfId="32526"/>
    <cellStyle name="Normal 7 4 5 6" xfId="32527"/>
    <cellStyle name="Normal 7 4 6" xfId="32528"/>
    <cellStyle name="Normal 7 4 6 2" xfId="32529"/>
    <cellStyle name="Normal 7 4 6 2 2" xfId="32530"/>
    <cellStyle name="Normal 7 4 6 3" xfId="32531"/>
    <cellStyle name="Normal 7 4 6 3 2" xfId="32532"/>
    <cellStyle name="Normal 7 4 6 4" xfId="32533"/>
    <cellStyle name="Normal 7 4 6 4 2" xfId="32534"/>
    <cellStyle name="Normal 7 4 6 5" xfId="32535"/>
    <cellStyle name="Normal 7 4 6 6" xfId="32536"/>
    <cellStyle name="Normal 7 4 7" xfId="32537"/>
    <cellStyle name="Normal 7 4 7 2" xfId="32538"/>
    <cellStyle name="Normal 7 4 7 2 2" xfId="32539"/>
    <cellStyle name="Normal 7 4 7 3" xfId="32540"/>
    <cellStyle name="Normal 7 4 7 3 2" xfId="32541"/>
    <cellStyle name="Normal 7 4 7 4" xfId="32542"/>
    <cellStyle name="Normal 7 4 7 4 2" xfId="32543"/>
    <cellStyle name="Normal 7 4 7 5" xfId="32544"/>
    <cellStyle name="Normal 7 4 7 6" xfId="32545"/>
    <cellStyle name="Normal 7 4 8" xfId="32546"/>
    <cellStyle name="Normal 7 4 8 2" xfId="32547"/>
    <cellStyle name="Normal 7 4 8 2 2" xfId="32548"/>
    <cellStyle name="Normal 7 4 8 3" xfId="32549"/>
    <cellStyle name="Normal 7 4 8 3 2" xfId="32550"/>
    <cellStyle name="Normal 7 4 8 4" xfId="32551"/>
    <cellStyle name="Normal 7 4 8 5" xfId="32552"/>
    <cellStyle name="Normal 7 4 9" xfId="32553"/>
    <cellStyle name="Normal 7 4 9 2" xfId="32554"/>
    <cellStyle name="Normal 7 5" xfId="32555"/>
    <cellStyle name="Normal 7 5 10" xfId="32556"/>
    <cellStyle name="Normal 7 5 10 2" xfId="32557"/>
    <cellStyle name="Normal 7 5 11" xfId="32558"/>
    <cellStyle name="Normal 7 5 11 2" xfId="32559"/>
    <cellStyle name="Normal 7 5 12" xfId="32560"/>
    <cellStyle name="Normal 7 5 13" xfId="32561"/>
    <cellStyle name="Normal 7 5 14" xfId="32562"/>
    <cellStyle name="Normal 7 5 2" xfId="32563"/>
    <cellStyle name="Normal 7 5 2 10" xfId="32564"/>
    <cellStyle name="Normal 7 5 2 11" xfId="32565"/>
    <cellStyle name="Normal 7 5 2 12" xfId="32566"/>
    <cellStyle name="Normal 7 5 2 2" xfId="32567"/>
    <cellStyle name="Normal 7 5 2 2 2" xfId="32568"/>
    <cellStyle name="Normal 7 5 2 2 2 2" xfId="32569"/>
    <cellStyle name="Normal 7 5 2 2 3" xfId="32570"/>
    <cellStyle name="Normal 7 5 2 2 3 2" xfId="32571"/>
    <cellStyle name="Normal 7 5 2 2 4" xfId="32572"/>
    <cellStyle name="Normal 7 5 2 2 4 2" xfId="32573"/>
    <cellStyle name="Normal 7 5 2 2 5" xfId="32574"/>
    <cellStyle name="Normal 7 5 2 2 6" xfId="32575"/>
    <cellStyle name="Normal 7 5 2 2 7" xfId="32576"/>
    <cellStyle name="Normal 7 5 2 3" xfId="32577"/>
    <cellStyle name="Normal 7 5 2 3 2" xfId="32578"/>
    <cellStyle name="Normal 7 5 2 3 2 2" xfId="32579"/>
    <cellStyle name="Normal 7 5 2 3 3" xfId="32580"/>
    <cellStyle name="Normal 7 5 2 3 3 2" xfId="32581"/>
    <cellStyle name="Normal 7 5 2 3 4" xfId="32582"/>
    <cellStyle name="Normal 7 5 2 3 4 2" xfId="32583"/>
    <cellStyle name="Normal 7 5 2 3 5" xfId="32584"/>
    <cellStyle name="Normal 7 5 2 3 6" xfId="32585"/>
    <cellStyle name="Normal 7 5 2 4" xfId="32586"/>
    <cellStyle name="Normal 7 5 2 4 2" xfId="32587"/>
    <cellStyle name="Normal 7 5 2 4 2 2" xfId="32588"/>
    <cellStyle name="Normal 7 5 2 4 3" xfId="32589"/>
    <cellStyle name="Normal 7 5 2 4 3 2" xfId="32590"/>
    <cellStyle name="Normal 7 5 2 4 4" xfId="32591"/>
    <cellStyle name="Normal 7 5 2 4 4 2" xfId="32592"/>
    <cellStyle name="Normal 7 5 2 4 5" xfId="32593"/>
    <cellStyle name="Normal 7 5 2 4 6" xfId="32594"/>
    <cellStyle name="Normal 7 5 2 5" xfId="32595"/>
    <cellStyle name="Normal 7 5 2 5 2" xfId="32596"/>
    <cellStyle name="Normal 7 5 2 5 2 2" xfId="32597"/>
    <cellStyle name="Normal 7 5 2 5 3" xfId="32598"/>
    <cellStyle name="Normal 7 5 2 5 3 2" xfId="32599"/>
    <cellStyle name="Normal 7 5 2 5 4" xfId="32600"/>
    <cellStyle name="Normal 7 5 2 5 4 2" xfId="32601"/>
    <cellStyle name="Normal 7 5 2 5 5" xfId="32602"/>
    <cellStyle name="Normal 7 5 2 5 6" xfId="32603"/>
    <cellStyle name="Normal 7 5 2 6" xfId="32604"/>
    <cellStyle name="Normal 7 5 2 6 2" xfId="32605"/>
    <cellStyle name="Normal 7 5 2 6 2 2" xfId="32606"/>
    <cellStyle name="Normal 7 5 2 6 3" xfId="32607"/>
    <cellStyle name="Normal 7 5 2 6 3 2" xfId="32608"/>
    <cellStyle name="Normal 7 5 2 6 4" xfId="32609"/>
    <cellStyle name="Normal 7 5 2 6 5" xfId="32610"/>
    <cellStyle name="Normal 7 5 2 7" xfId="32611"/>
    <cellStyle name="Normal 7 5 2 7 2" xfId="32612"/>
    <cellStyle name="Normal 7 5 2 8" xfId="32613"/>
    <cellStyle name="Normal 7 5 2 8 2" xfId="32614"/>
    <cellStyle name="Normal 7 5 2 9" xfId="32615"/>
    <cellStyle name="Normal 7 5 2 9 2" xfId="32616"/>
    <cellStyle name="Normal 7 5 3" xfId="32617"/>
    <cellStyle name="Normal 7 5 3 10" xfId="32618"/>
    <cellStyle name="Normal 7 5 3 11" xfId="32619"/>
    <cellStyle name="Normal 7 5 3 2" xfId="32620"/>
    <cellStyle name="Normal 7 5 3 2 2" xfId="32621"/>
    <cellStyle name="Normal 7 5 3 2 2 2" xfId="32622"/>
    <cellStyle name="Normal 7 5 3 2 3" xfId="32623"/>
    <cellStyle name="Normal 7 5 3 2 3 2" xfId="32624"/>
    <cellStyle name="Normal 7 5 3 2 4" xfId="32625"/>
    <cellStyle name="Normal 7 5 3 2 4 2" xfId="32626"/>
    <cellStyle name="Normal 7 5 3 2 5" xfId="32627"/>
    <cellStyle name="Normal 7 5 3 2 6" xfId="32628"/>
    <cellStyle name="Normal 7 5 3 3" xfId="32629"/>
    <cellStyle name="Normal 7 5 3 3 2" xfId="32630"/>
    <cellStyle name="Normal 7 5 3 3 2 2" xfId="32631"/>
    <cellStyle name="Normal 7 5 3 3 3" xfId="32632"/>
    <cellStyle name="Normal 7 5 3 3 3 2" xfId="32633"/>
    <cellStyle name="Normal 7 5 3 3 4" xfId="32634"/>
    <cellStyle name="Normal 7 5 3 3 4 2" xfId="32635"/>
    <cellStyle name="Normal 7 5 3 3 5" xfId="32636"/>
    <cellStyle name="Normal 7 5 3 3 6" xfId="32637"/>
    <cellStyle name="Normal 7 5 3 4" xfId="32638"/>
    <cellStyle name="Normal 7 5 3 4 2" xfId="32639"/>
    <cellStyle name="Normal 7 5 3 4 2 2" xfId="32640"/>
    <cellStyle name="Normal 7 5 3 4 3" xfId="32641"/>
    <cellStyle name="Normal 7 5 3 4 3 2" xfId="32642"/>
    <cellStyle name="Normal 7 5 3 4 4" xfId="32643"/>
    <cellStyle name="Normal 7 5 3 4 4 2" xfId="32644"/>
    <cellStyle name="Normal 7 5 3 4 5" xfId="32645"/>
    <cellStyle name="Normal 7 5 3 4 6" xfId="32646"/>
    <cellStyle name="Normal 7 5 3 5" xfId="32647"/>
    <cellStyle name="Normal 7 5 3 5 2" xfId="32648"/>
    <cellStyle name="Normal 7 5 3 5 2 2" xfId="32649"/>
    <cellStyle name="Normal 7 5 3 5 3" xfId="32650"/>
    <cellStyle name="Normal 7 5 3 5 3 2" xfId="32651"/>
    <cellStyle name="Normal 7 5 3 5 4" xfId="32652"/>
    <cellStyle name="Normal 7 5 3 5 5" xfId="32653"/>
    <cellStyle name="Normal 7 5 3 6" xfId="32654"/>
    <cellStyle name="Normal 7 5 3 6 2" xfId="32655"/>
    <cellStyle name="Normal 7 5 3 7" xfId="32656"/>
    <cellStyle name="Normal 7 5 3 7 2" xfId="32657"/>
    <cellStyle name="Normal 7 5 3 8" xfId="32658"/>
    <cellStyle name="Normal 7 5 3 8 2" xfId="32659"/>
    <cellStyle name="Normal 7 5 3 9" xfId="32660"/>
    <cellStyle name="Normal 7 5 4" xfId="32661"/>
    <cellStyle name="Normal 7 5 4 10" xfId="32662"/>
    <cellStyle name="Normal 7 5 4 11" xfId="32663"/>
    <cellStyle name="Normal 7 5 4 2" xfId="32664"/>
    <cellStyle name="Normal 7 5 4 2 2" xfId="32665"/>
    <cellStyle name="Normal 7 5 4 2 2 2" xfId="32666"/>
    <cellStyle name="Normal 7 5 4 2 3" xfId="32667"/>
    <cellStyle name="Normal 7 5 4 2 3 2" xfId="32668"/>
    <cellStyle name="Normal 7 5 4 2 4" xfId="32669"/>
    <cellStyle name="Normal 7 5 4 2 4 2" xfId="32670"/>
    <cellStyle name="Normal 7 5 4 2 5" xfId="32671"/>
    <cellStyle name="Normal 7 5 4 2 6" xfId="32672"/>
    <cellStyle name="Normal 7 5 4 3" xfId="32673"/>
    <cellStyle name="Normal 7 5 4 3 2" xfId="32674"/>
    <cellStyle name="Normal 7 5 4 3 2 2" xfId="32675"/>
    <cellStyle name="Normal 7 5 4 3 3" xfId="32676"/>
    <cellStyle name="Normal 7 5 4 3 3 2" xfId="32677"/>
    <cellStyle name="Normal 7 5 4 3 4" xfId="32678"/>
    <cellStyle name="Normal 7 5 4 3 4 2" xfId="32679"/>
    <cellStyle name="Normal 7 5 4 3 5" xfId="32680"/>
    <cellStyle name="Normal 7 5 4 3 6" xfId="32681"/>
    <cellStyle name="Normal 7 5 4 4" xfId="32682"/>
    <cellStyle name="Normal 7 5 4 4 2" xfId="32683"/>
    <cellStyle name="Normal 7 5 4 4 2 2" xfId="32684"/>
    <cellStyle name="Normal 7 5 4 4 3" xfId="32685"/>
    <cellStyle name="Normal 7 5 4 4 3 2" xfId="32686"/>
    <cellStyle name="Normal 7 5 4 4 4" xfId="32687"/>
    <cellStyle name="Normal 7 5 4 4 4 2" xfId="32688"/>
    <cellStyle name="Normal 7 5 4 4 5" xfId="32689"/>
    <cellStyle name="Normal 7 5 4 4 6" xfId="32690"/>
    <cellStyle name="Normal 7 5 4 5" xfId="32691"/>
    <cellStyle name="Normal 7 5 4 5 2" xfId="32692"/>
    <cellStyle name="Normal 7 5 4 5 2 2" xfId="32693"/>
    <cellStyle name="Normal 7 5 4 5 3" xfId="32694"/>
    <cellStyle name="Normal 7 5 4 5 3 2" xfId="32695"/>
    <cellStyle name="Normal 7 5 4 5 4" xfId="32696"/>
    <cellStyle name="Normal 7 5 4 5 5" xfId="32697"/>
    <cellStyle name="Normal 7 5 4 6" xfId="32698"/>
    <cellStyle name="Normal 7 5 4 6 2" xfId="32699"/>
    <cellStyle name="Normal 7 5 4 7" xfId="32700"/>
    <cellStyle name="Normal 7 5 4 7 2" xfId="32701"/>
    <cellStyle name="Normal 7 5 4 8" xfId="32702"/>
    <cellStyle name="Normal 7 5 4 8 2" xfId="32703"/>
    <cellStyle name="Normal 7 5 4 9" xfId="32704"/>
    <cellStyle name="Normal 7 5 5" xfId="32705"/>
    <cellStyle name="Normal 7 5 5 2" xfId="32706"/>
    <cellStyle name="Normal 7 5 5 2 2" xfId="32707"/>
    <cellStyle name="Normal 7 5 5 3" xfId="32708"/>
    <cellStyle name="Normal 7 5 5 3 2" xfId="32709"/>
    <cellStyle name="Normal 7 5 5 4" xfId="32710"/>
    <cellStyle name="Normal 7 5 5 4 2" xfId="32711"/>
    <cellStyle name="Normal 7 5 5 5" xfId="32712"/>
    <cellStyle name="Normal 7 5 5 6" xfId="32713"/>
    <cellStyle name="Normal 7 5 6" xfId="32714"/>
    <cellStyle name="Normal 7 5 6 2" xfId="32715"/>
    <cellStyle name="Normal 7 5 6 2 2" xfId="32716"/>
    <cellStyle name="Normal 7 5 6 3" xfId="32717"/>
    <cellStyle name="Normal 7 5 6 3 2" xfId="32718"/>
    <cellStyle name="Normal 7 5 6 4" xfId="32719"/>
    <cellStyle name="Normal 7 5 6 4 2" xfId="32720"/>
    <cellStyle name="Normal 7 5 6 5" xfId="32721"/>
    <cellStyle name="Normal 7 5 6 6" xfId="32722"/>
    <cellStyle name="Normal 7 5 7" xfId="32723"/>
    <cellStyle name="Normal 7 5 7 2" xfId="32724"/>
    <cellStyle name="Normal 7 5 7 2 2" xfId="32725"/>
    <cellStyle name="Normal 7 5 7 3" xfId="32726"/>
    <cellStyle name="Normal 7 5 7 3 2" xfId="32727"/>
    <cellStyle name="Normal 7 5 7 4" xfId="32728"/>
    <cellStyle name="Normal 7 5 7 4 2" xfId="32729"/>
    <cellStyle name="Normal 7 5 7 5" xfId="32730"/>
    <cellStyle name="Normal 7 5 7 6" xfId="32731"/>
    <cellStyle name="Normal 7 5 8" xfId="32732"/>
    <cellStyle name="Normal 7 5 8 2" xfId="32733"/>
    <cellStyle name="Normal 7 5 8 2 2" xfId="32734"/>
    <cellStyle name="Normal 7 5 8 3" xfId="32735"/>
    <cellStyle name="Normal 7 5 8 3 2" xfId="32736"/>
    <cellStyle name="Normal 7 5 8 4" xfId="32737"/>
    <cellStyle name="Normal 7 5 8 5" xfId="32738"/>
    <cellStyle name="Normal 7 5 9" xfId="32739"/>
    <cellStyle name="Normal 7 5 9 2" xfId="32740"/>
    <cellStyle name="Normal 7 6" xfId="32741"/>
    <cellStyle name="Normal 7 6 10" xfId="32742"/>
    <cellStyle name="Normal 7 6 10 2" xfId="32743"/>
    <cellStyle name="Normal 7 6 11" xfId="32744"/>
    <cellStyle name="Normal 7 6 12" xfId="32745"/>
    <cellStyle name="Normal 7 6 13" xfId="32746"/>
    <cellStyle name="Normal 7 6 2" xfId="32747"/>
    <cellStyle name="Normal 7 6 2 10" xfId="32748"/>
    <cellStyle name="Normal 7 6 2 11" xfId="32749"/>
    <cellStyle name="Normal 7 6 2 2" xfId="32750"/>
    <cellStyle name="Normal 7 6 2 2 2" xfId="32751"/>
    <cellStyle name="Normal 7 6 2 2 2 2" xfId="32752"/>
    <cellStyle name="Normal 7 6 2 2 3" xfId="32753"/>
    <cellStyle name="Normal 7 6 2 2 3 2" xfId="32754"/>
    <cellStyle name="Normal 7 6 2 2 4" xfId="32755"/>
    <cellStyle name="Normal 7 6 2 2 4 2" xfId="32756"/>
    <cellStyle name="Normal 7 6 2 2 5" xfId="32757"/>
    <cellStyle name="Normal 7 6 2 2 6" xfId="32758"/>
    <cellStyle name="Normal 7 6 2 3" xfId="32759"/>
    <cellStyle name="Normal 7 6 2 3 2" xfId="32760"/>
    <cellStyle name="Normal 7 6 2 3 2 2" xfId="32761"/>
    <cellStyle name="Normal 7 6 2 3 3" xfId="32762"/>
    <cellStyle name="Normal 7 6 2 3 3 2" xfId="32763"/>
    <cellStyle name="Normal 7 6 2 3 4" xfId="32764"/>
    <cellStyle name="Normal 7 6 2 3 4 2" xfId="32765"/>
    <cellStyle name="Normal 7 6 2 3 5" xfId="32766"/>
    <cellStyle name="Normal 7 6 2 3 6" xfId="32767"/>
    <cellStyle name="Normal 7 6 2 4" xfId="32768"/>
    <cellStyle name="Normal 7 6 2 4 2" xfId="32769"/>
    <cellStyle name="Normal 7 6 2 4 2 2" xfId="32770"/>
    <cellStyle name="Normal 7 6 2 4 3" xfId="32771"/>
    <cellStyle name="Normal 7 6 2 4 3 2" xfId="32772"/>
    <cellStyle name="Normal 7 6 2 4 4" xfId="32773"/>
    <cellStyle name="Normal 7 6 2 4 4 2" xfId="32774"/>
    <cellStyle name="Normal 7 6 2 4 5" xfId="32775"/>
    <cellStyle name="Normal 7 6 2 4 6" xfId="32776"/>
    <cellStyle name="Normal 7 6 2 5" xfId="32777"/>
    <cellStyle name="Normal 7 6 2 5 2" xfId="32778"/>
    <cellStyle name="Normal 7 6 2 5 2 2" xfId="32779"/>
    <cellStyle name="Normal 7 6 2 5 3" xfId="32780"/>
    <cellStyle name="Normal 7 6 2 5 3 2" xfId="32781"/>
    <cellStyle name="Normal 7 6 2 5 4" xfId="32782"/>
    <cellStyle name="Normal 7 6 2 5 5" xfId="32783"/>
    <cellStyle name="Normal 7 6 2 6" xfId="32784"/>
    <cellStyle name="Normal 7 6 2 6 2" xfId="32785"/>
    <cellStyle name="Normal 7 6 2 7" xfId="32786"/>
    <cellStyle name="Normal 7 6 2 7 2" xfId="32787"/>
    <cellStyle name="Normal 7 6 2 8" xfId="32788"/>
    <cellStyle name="Normal 7 6 2 8 2" xfId="32789"/>
    <cellStyle name="Normal 7 6 2 9" xfId="32790"/>
    <cellStyle name="Normal 7 6 3" xfId="32791"/>
    <cellStyle name="Normal 7 6 3 10" xfId="32792"/>
    <cellStyle name="Normal 7 6 3 2" xfId="32793"/>
    <cellStyle name="Normal 7 6 3 2 2" xfId="32794"/>
    <cellStyle name="Normal 7 6 3 2 2 2" xfId="32795"/>
    <cellStyle name="Normal 7 6 3 2 3" xfId="32796"/>
    <cellStyle name="Normal 7 6 3 2 3 2" xfId="32797"/>
    <cellStyle name="Normal 7 6 3 2 4" xfId="32798"/>
    <cellStyle name="Normal 7 6 3 2 4 2" xfId="32799"/>
    <cellStyle name="Normal 7 6 3 2 5" xfId="32800"/>
    <cellStyle name="Normal 7 6 3 2 6" xfId="32801"/>
    <cellStyle name="Normal 7 6 3 3" xfId="32802"/>
    <cellStyle name="Normal 7 6 3 3 2" xfId="32803"/>
    <cellStyle name="Normal 7 6 3 3 2 2" xfId="32804"/>
    <cellStyle name="Normal 7 6 3 3 3" xfId="32805"/>
    <cellStyle name="Normal 7 6 3 3 3 2" xfId="32806"/>
    <cellStyle name="Normal 7 6 3 3 4" xfId="32807"/>
    <cellStyle name="Normal 7 6 3 3 4 2" xfId="32808"/>
    <cellStyle name="Normal 7 6 3 3 5" xfId="32809"/>
    <cellStyle name="Normal 7 6 3 3 6" xfId="32810"/>
    <cellStyle name="Normal 7 6 3 4" xfId="32811"/>
    <cellStyle name="Normal 7 6 3 4 2" xfId="32812"/>
    <cellStyle name="Normal 7 6 3 4 2 2" xfId="32813"/>
    <cellStyle name="Normal 7 6 3 4 3" xfId="32814"/>
    <cellStyle name="Normal 7 6 3 4 3 2" xfId="32815"/>
    <cellStyle name="Normal 7 6 3 4 4" xfId="32816"/>
    <cellStyle name="Normal 7 6 3 4 4 2" xfId="32817"/>
    <cellStyle name="Normal 7 6 3 4 5" xfId="32818"/>
    <cellStyle name="Normal 7 6 3 4 6" xfId="32819"/>
    <cellStyle name="Normal 7 6 3 5" xfId="32820"/>
    <cellStyle name="Normal 7 6 3 5 2" xfId="32821"/>
    <cellStyle name="Normal 7 6 3 5 2 2" xfId="32822"/>
    <cellStyle name="Normal 7 6 3 5 3" xfId="32823"/>
    <cellStyle name="Normal 7 6 3 5 3 2" xfId="32824"/>
    <cellStyle name="Normal 7 6 3 5 4" xfId="32825"/>
    <cellStyle name="Normal 7 6 3 5 5" xfId="32826"/>
    <cellStyle name="Normal 7 6 3 6" xfId="32827"/>
    <cellStyle name="Normal 7 6 3 6 2" xfId="32828"/>
    <cellStyle name="Normal 7 6 3 7" xfId="32829"/>
    <cellStyle name="Normal 7 6 3 7 2" xfId="32830"/>
    <cellStyle name="Normal 7 6 3 8" xfId="32831"/>
    <cellStyle name="Normal 7 6 3 8 2" xfId="32832"/>
    <cellStyle name="Normal 7 6 3 9" xfId="32833"/>
    <cellStyle name="Normal 7 6 4" xfId="32834"/>
    <cellStyle name="Normal 7 6 4 2" xfId="32835"/>
    <cellStyle name="Normal 7 6 4 2 2" xfId="32836"/>
    <cellStyle name="Normal 7 6 4 3" xfId="32837"/>
    <cellStyle name="Normal 7 6 4 3 2" xfId="32838"/>
    <cellStyle name="Normal 7 6 4 4" xfId="32839"/>
    <cellStyle name="Normal 7 6 4 4 2" xfId="32840"/>
    <cellStyle name="Normal 7 6 4 5" xfId="32841"/>
    <cellStyle name="Normal 7 6 4 6" xfId="32842"/>
    <cellStyle name="Normal 7 6 5" xfId="32843"/>
    <cellStyle name="Normal 7 6 5 2" xfId="32844"/>
    <cellStyle name="Normal 7 6 5 2 2" xfId="32845"/>
    <cellStyle name="Normal 7 6 5 3" xfId="32846"/>
    <cellStyle name="Normal 7 6 5 3 2" xfId="32847"/>
    <cellStyle name="Normal 7 6 5 4" xfId="32848"/>
    <cellStyle name="Normal 7 6 5 4 2" xfId="32849"/>
    <cellStyle name="Normal 7 6 5 5" xfId="32850"/>
    <cellStyle name="Normal 7 6 5 6" xfId="32851"/>
    <cellStyle name="Normal 7 6 6" xfId="32852"/>
    <cellStyle name="Normal 7 6 6 2" xfId="32853"/>
    <cellStyle name="Normal 7 6 6 2 2" xfId="32854"/>
    <cellStyle name="Normal 7 6 6 3" xfId="32855"/>
    <cellStyle name="Normal 7 6 6 3 2" xfId="32856"/>
    <cellStyle name="Normal 7 6 6 4" xfId="32857"/>
    <cellStyle name="Normal 7 6 6 4 2" xfId="32858"/>
    <cellStyle name="Normal 7 6 6 5" xfId="32859"/>
    <cellStyle name="Normal 7 6 6 6" xfId="32860"/>
    <cellStyle name="Normal 7 6 7" xfId="32861"/>
    <cellStyle name="Normal 7 6 7 2" xfId="32862"/>
    <cellStyle name="Normal 7 6 7 2 2" xfId="32863"/>
    <cellStyle name="Normal 7 6 7 3" xfId="32864"/>
    <cellStyle name="Normal 7 6 7 3 2" xfId="32865"/>
    <cellStyle name="Normal 7 6 7 4" xfId="32866"/>
    <cellStyle name="Normal 7 6 7 5" xfId="32867"/>
    <cellStyle name="Normal 7 6 8" xfId="32868"/>
    <cellStyle name="Normal 7 6 8 2" xfId="32869"/>
    <cellStyle name="Normal 7 6 9" xfId="32870"/>
    <cellStyle name="Normal 7 6 9 2" xfId="32871"/>
    <cellStyle name="Normal 7 7" xfId="32872"/>
    <cellStyle name="Normal 7 7 10" xfId="32873"/>
    <cellStyle name="Normal 7 7 11" xfId="32874"/>
    <cellStyle name="Normal 7 7 12" xfId="32875"/>
    <cellStyle name="Normal 7 7 2" xfId="32876"/>
    <cellStyle name="Normal 7 7 2 2" xfId="32877"/>
    <cellStyle name="Normal 7 7 2 2 2" xfId="32878"/>
    <cellStyle name="Normal 7 7 2 3" xfId="32879"/>
    <cellStyle name="Normal 7 7 2 3 2" xfId="32880"/>
    <cellStyle name="Normal 7 7 2 4" xfId="32881"/>
    <cellStyle name="Normal 7 7 2 4 2" xfId="32882"/>
    <cellStyle name="Normal 7 7 2 5" xfId="32883"/>
    <cellStyle name="Normal 7 7 2 6" xfId="32884"/>
    <cellStyle name="Normal 7 7 3" xfId="32885"/>
    <cellStyle name="Normal 7 7 3 2" xfId="32886"/>
    <cellStyle name="Normal 7 7 3 2 2" xfId="32887"/>
    <cellStyle name="Normal 7 7 3 3" xfId="32888"/>
    <cellStyle name="Normal 7 7 3 3 2" xfId="32889"/>
    <cellStyle name="Normal 7 7 3 4" xfId="32890"/>
    <cellStyle name="Normal 7 7 3 4 2" xfId="32891"/>
    <cellStyle name="Normal 7 7 3 5" xfId="32892"/>
    <cellStyle name="Normal 7 7 3 6" xfId="32893"/>
    <cellStyle name="Normal 7 7 4" xfId="32894"/>
    <cellStyle name="Normal 7 7 4 2" xfId="32895"/>
    <cellStyle name="Normal 7 7 4 2 2" xfId="32896"/>
    <cellStyle name="Normal 7 7 4 3" xfId="32897"/>
    <cellStyle name="Normal 7 7 4 3 2" xfId="32898"/>
    <cellStyle name="Normal 7 7 4 4" xfId="32899"/>
    <cellStyle name="Normal 7 7 4 4 2" xfId="32900"/>
    <cellStyle name="Normal 7 7 4 5" xfId="32901"/>
    <cellStyle name="Normal 7 7 4 6" xfId="32902"/>
    <cellStyle name="Normal 7 7 5" xfId="32903"/>
    <cellStyle name="Normal 7 7 5 2" xfId="32904"/>
    <cellStyle name="Normal 7 7 5 2 2" xfId="32905"/>
    <cellStyle name="Normal 7 7 5 3" xfId="32906"/>
    <cellStyle name="Normal 7 7 5 3 2" xfId="32907"/>
    <cellStyle name="Normal 7 7 5 4" xfId="32908"/>
    <cellStyle name="Normal 7 7 5 4 2" xfId="32909"/>
    <cellStyle name="Normal 7 7 5 5" xfId="32910"/>
    <cellStyle name="Normal 7 7 5 6" xfId="32911"/>
    <cellStyle name="Normal 7 7 6" xfId="32912"/>
    <cellStyle name="Normal 7 7 6 2" xfId="32913"/>
    <cellStyle name="Normal 7 7 6 2 2" xfId="32914"/>
    <cellStyle name="Normal 7 7 6 3" xfId="32915"/>
    <cellStyle name="Normal 7 7 6 3 2" xfId="32916"/>
    <cellStyle name="Normal 7 7 6 4" xfId="32917"/>
    <cellStyle name="Normal 7 7 6 5" xfId="32918"/>
    <cellStyle name="Normal 7 7 7" xfId="32919"/>
    <cellStyle name="Normal 7 7 7 2" xfId="32920"/>
    <cellStyle name="Normal 7 7 8" xfId="32921"/>
    <cellStyle name="Normal 7 7 8 2" xfId="32922"/>
    <cellStyle name="Normal 7 7 9" xfId="32923"/>
    <cellStyle name="Normal 7 7 9 2" xfId="32924"/>
    <cellStyle name="Normal 7 8" xfId="32925"/>
    <cellStyle name="Normal 7 8 10" xfId="32926"/>
    <cellStyle name="Normal 7 8 2" xfId="32927"/>
    <cellStyle name="Normal 7 8 2 2" xfId="32928"/>
    <cellStyle name="Normal 7 8 2 2 2" xfId="32929"/>
    <cellStyle name="Normal 7 8 2 3" xfId="32930"/>
    <cellStyle name="Normal 7 8 2 3 2" xfId="32931"/>
    <cellStyle name="Normal 7 8 2 4" xfId="32932"/>
    <cellStyle name="Normal 7 8 2 4 2" xfId="32933"/>
    <cellStyle name="Normal 7 8 2 5" xfId="32934"/>
    <cellStyle name="Normal 7 8 2 6" xfId="32935"/>
    <cellStyle name="Normal 7 8 3" xfId="32936"/>
    <cellStyle name="Normal 7 8 3 2" xfId="32937"/>
    <cellStyle name="Normal 7 8 3 2 2" xfId="32938"/>
    <cellStyle name="Normal 7 8 3 3" xfId="32939"/>
    <cellStyle name="Normal 7 8 3 3 2" xfId="32940"/>
    <cellStyle name="Normal 7 8 3 4" xfId="32941"/>
    <cellStyle name="Normal 7 8 3 4 2" xfId="32942"/>
    <cellStyle name="Normal 7 8 3 5" xfId="32943"/>
    <cellStyle name="Normal 7 8 3 6" xfId="32944"/>
    <cellStyle name="Normal 7 8 4" xfId="32945"/>
    <cellStyle name="Normal 7 8 4 2" xfId="32946"/>
    <cellStyle name="Normal 7 8 4 2 2" xfId="32947"/>
    <cellStyle name="Normal 7 8 4 3" xfId="32948"/>
    <cellStyle name="Normal 7 8 4 3 2" xfId="32949"/>
    <cellStyle name="Normal 7 8 4 4" xfId="32950"/>
    <cellStyle name="Normal 7 8 4 4 2" xfId="32951"/>
    <cellStyle name="Normal 7 8 4 5" xfId="32952"/>
    <cellStyle name="Normal 7 8 4 6" xfId="32953"/>
    <cellStyle name="Normal 7 8 5" xfId="32954"/>
    <cellStyle name="Normal 7 8 5 2" xfId="32955"/>
    <cellStyle name="Normal 7 8 5 2 2" xfId="32956"/>
    <cellStyle name="Normal 7 8 5 3" xfId="32957"/>
    <cellStyle name="Normal 7 8 5 3 2" xfId="32958"/>
    <cellStyle name="Normal 7 8 5 4" xfId="32959"/>
    <cellStyle name="Normal 7 8 5 5" xfId="32960"/>
    <cellStyle name="Normal 7 8 6" xfId="32961"/>
    <cellStyle name="Normal 7 8 6 2" xfId="32962"/>
    <cellStyle name="Normal 7 8 7" xfId="32963"/>
    <cellStyle name="Normal 7 8 7 2" xfId="32964"/>
    <cellStyle name="Normal 7 8 8" xfId="32965"/>
    <cellStyle name="Normal 7 8 8 2" xfId="32966"/>
    <cellStyle name="Normal 7 8 9" xfId="32967"/>
    <cellStyle name="Normal 7 9" xfId="32968"/>
    <cellStyle name="Normal 7 9 10" xfId="32969"/>
    <cellStyle name="Normal 7 9 2" xfId="32970"/>
    <cellStyle name="Normal 7 9 2 2" xfId="32971"/>
    <cellStyle name="Normal 7 9 2 2 2" xfId="32972"/>
    <cellStyle name="Normal 7 9 2 3" xfId="32973"/>
    <cellStyle name="Normal 7 9 2 3 2" xfId="32974"/>
    <cellStyle name="Normal 7 9 2 4" xfId="32975"/>
    <cellStyle name="Normal 7 9 2 4 2" xfId="32976"/>
    <cellStyle name="Normal 7 9 2 5" xfId="32977"/>
    <cellStyle name="Normal 7 9 2 6" xfId="32978"/>
    <cellStyle name="Normal 7 9 3" xfId="32979"/>
    <cellStyle name="Normal 7 9 3 2" xfId="32980"/>
    <cellStyle name="Normal 7 9 3 2 2" xfId="32981"/>
    <cellStyle name="Normal 7 9 3 3" xfId="32982"/>
    <cellStyle name="Normal 7 9 3 3 2" xfId="32983"/>
    <cellStyle name="Normal 7 9 3 4" xfId="32984"/>
    <cellStyle name="Normal 7 9 3 4 2" xfId="32985"/>
    <cellStyle name="Normal 7 9 3 5" xfId="32986"/>
    <cellStyle name="Normal 7 9 3 6" xfId="32987"/>
    <cellStyle name="Normal 7 9 4" xfId="32988"/>
    <cellStyle name="Normal 7 9 4 2" xfId="32989"/>
    <cellStyle name="Normal 7 9 4 2 2" xfId="32990"/>
    <cellStyle name="Normal 7 9 4 3" xfId="32991"/>
    <cellStyle name="Normal 7 9 4 3 2" xfId="32992"/>
    <cellStyle name="Normal 7 9 4 4" xfId="32993"/>
    <cellStyle name="Normal 7 9 4 4 2" xfId="32994"/>
    <cellStyle name="Normal 7 9 4 5" xfId="32995"/>
    <cellStyle name="Normal 7 9 4 6" xfId="32996"/>
    <cellStyle name="Normal 7 9 5" xfId="32997"/>
    <cellStyle name="Normal 7 9 5 2" xfId="32998"/>
    <cellStyle name="Normal 7 9 5 2 2" xfId="32999"/>
    <cellStyle name="Normal 7 9 5 3" xfId="33000"/>
    <cellStyle name="Normal 7 9 5 3 2" xfId="33001"/>
    <cellStyle name="Normal 7 9 5 4" xfId="33002"/>
    <cellStyle name="Normal 7 9 5 5" xfId="33003"/>
    <cellStyle name="Normal 7 9 6" xfId="33004"/>
    <cellStyle name="Normal 7 9 6 2" xfId="33005"/>
    <cellStyle name="Normal 7 9 7" xfId="33006"/>
    <cellStyle name="Normal 7 9 7 2" xfId="33007"/>
    <cellStyle name="Normal 7 9 8" xfId="33008"/>
    <cellStyle name="Normal 7 9 8 2" xfId="33009"/>
    <cellStyle name="Normal 7 9 9" xfId="33010"/>
    <cellStyle name="Normal 70" xfId="33011"/>
    <cellStyle name="Normal 70 2" xfId="33012"/>
    <cellStyle name="Normal 71" xfId="33013"/>
    <cellStyle name="Normal 71 2" xfId="33014"/>
    <cellStyle name="Normal 72" xfId="33015"/>
    <cellStyle name="Normal 72 2" xfId="33016"/>
    <cellStyle name="Normal 73" xfId="33017"/>
    <cellStyle name="Normal 73 2" xfId="33018"/>
    <cellStyle name="Normal 74" xfId="33019"/>
    <cellStyle name="Normal 74 2" xfId="33020"/>
    <cellStyle name="Normal 75" xfId="33021"/>
    <cellStyle name="Normal 75 2" xfId="33022"/>
    <cellStyle name="Normal 76" xfId="33023"/>
    <cellStyle name="Normal 76 2" xfId="33024"/>
    <cellStyle name="Normal 77" xfId="33025"/>
    <cellStyle name="Normal 77 2" xfId="33026"/>
    <cellStyle name="Normal 78" xfId="33027"/>
    <cellStyle name="Normal 78 2" xfId="33028"/>
    <cellStyle name="Normal 78 3" xfId="33029"/>
    <cellStyle name="Normal 79" xfId="33030"/>
    <cellStyle name="Normal 79 2" xfId="33031"/>
    <cellStyle name="Normal 79 3" xfId="33032"/>
    <cellStyle name="Normal 8" xfId="33033"/>
    <cellStyle name="Normal 8 10" xfId="33034"/>
    <cellStyle name="Normal 8 10 2" xfId="33035"/>
    <cellStyle name="Normal 8 10 3" xfId="33036"/>
    <cellStyle name="Normal 8 11" xfId="33037"/>
    <cellStyle name="Normal 8 11 2" xfId="33038"/>
    <cellStyle name="Normal 8 12" xfId="33039"/>
    <cellStyle name="Normal 8 12 2" xfId="33040"/>
    <cellStyle name="Normal 8 13" xfId="33041"/>
    <cellStyle name="Normal 8 14" xfId="33042"/>
    <cellStyle name="Normal 8 2" xfId="33043"/>
    <cellStyle name="Normal 8 2 10" xfId="33044"/>
    <cellStyle name="Normal 8 2 10 2" xfId="33045"/>
    <cellStyle name="Normal 8 2 11" xfId="33046"/>
    <cellStyle name="Normal 8 2 12" xfId="33047"/>
    <cellStyle name="Normal 8 2 2" xfId="33048"/>
    <cellStyle name="Normal 8 2 2 2" xfId="33049"/>
    <cellStyle name="Normal 8 2 2 2 2" xfId="33050"/>
    <cellStyle name="Normal 8 2 2 2 2 2" xfId="33051"/>
    <cellStyle name="Normal 8 2 2 2 2 2 2" xfId="33052"/>
    <cellStyle name="Normal 8 2 2 2 2 2 3" xfId="33053"/>
    <cellStyle name="Normal 8 2 2 2 2 3" xfId="33054"/>
    <cellStyle name="Normal 8 2 2 2 2 3 2" xfId="33055"/>
    <cellStyle name="Normal 8 2 2 2 2 4" xfId="33056"/>
    <cellStyle name="Normal 8 2 2 2 2 4 2" xfId="33057"/>
    <cellStyle name="Normal 8 2 2 2 2 5" xfId="33058"/>
    <cellStyle name="Normal 8 2 2 2 3" xfId="33059"/>
    <cellStyle name="Normal 8 2 2 2 3 2" xfId="33060"/>
    <cellStyle name="Normal 8 2 2 2 3 2 2" xfId="33061"/>
    <cellStyle name="Normal 8 2 2 2 3 3" xfId="33062"/>
    <cellStyle name="Normal 8 2 2 2 3 3 2" xfId="33063"/>
    <cellStyle name="Normal 8 2 2 2 3 4" xfId="33064"/>
    <cellStyle name="Normal 8 2 2 2 4" xfId="33065"/>
    <cellStyle name="Normal 8 2 2 2 4 2" xfId="33066"/>
    <cellStyle name="Normal 8 2 2 2 4 3" xfId="33067"/>
    <cellStyle name="Normal 8 2 2 2 5" xfId="33068"/>
    <cellStyle name="Normal 8 2 2 2 5 2" xfId="33069"/>
    <cellStyle name="Normal 8 2 2 2 6" xfId="33070"/>
    <cellStyle name="Normal 8 2 2 2 6 2" xfId="33071"/>
    <cellStyle name="Normal 8 2 2 2 7" xfId="33072"/>
    <cellStyle name="Normal 8 2 2 3" xfId="33073"/>
    <cellStyle name="Normal 8 2 2 3 2" xfId="33074"/>
    <cellStyle name="Normal 8 2 2 3 2 2" xfId="33075"/>
    <cellStyle name="Normal 8 2 2 3 2 3" xfId="33076"/>
    <cellStyle name="Normal 8 2 2 3 3" xfId="33077"/>
    <cellStyle name="Normal 8 2 2 3 3 2" xfId="33078"/>
    <cellStyle name="Normal 8 2 2 3 4" xfId="33079"/>
    <cellStyle name="Normal 8 2 2 3 4 2" xfId="33080"/>
    <cellStyle name="Normal 8 2 2 3 5" xfId="33081"/>
    <cellStyle name="Normal 8 2 2 4" xfId="33082"/>
    <cellStyle name="Normal 8 2 2 4 2" xfId="33083"/>
    <cellStyle name="Normal 8 2 2 4 2 2" xfId="33084"/>
    <cellStyle name="Normal 8 2 2 4 3" xfId="33085"/>
    <cellStyle name="Normal 8 2 2 4 3 2" xfId="33086"/>
    <cellStyle name="Normal 8 2 2 4 4" xfId="33087"/>
    <cellStyle name="Normal 8 2 2 5" xfId="33088"/>
    <cellStyle name="Normal 8 2 2 5 2" xfId="33089"/>
    <cellStyle name="Normal 8 2 2 5 3" xfId="33090"/>
    <cellStyle name="Normal 8 2 2 6" xfId="33091"/>
    <cellStyle name="Normal 8 2 2 6 2" xfId="33092"/>
    <cellStyle name="Normal 8 2 2 7" xfId="33093"/>
    <cellStyle name="Normal 8 2 2 7 2" xfId="33094"/>
    <cellStyle name="Normal 8 2 2 8" xfId="33095"/>
    <cellStyle name="Normal 8 2 3" xfId="33096"/>
    <cellStyle name="Normal 8 2 3 2" xfId="33097"/>
    <cellStyle name="Normal 8 2 3 2 2" xfId="33098"/>
    <cellStyle name="Normal 8 2 3 2 2 2" xfId="33099"/>
    <cellStyle name="Normal 8 2 3 2 2 3" xfId="33100"/>
    <cellStyle name="Normal 8 2 3 2 3" xfId="33101"/>
    <cellStyle name="Normal 8 2 3 2 3 2" xfId="33102"/>
    <cellStyle name="Normal 8 2 3 2 4" xfId="33103"/>
    <cellStyle name="Normal 8 2 3 2 4 2" xfId="33104"/>
    <cellStyle name="Normal 8 2 3 2 5" xfId="33105"/>
    <cellStyle name="Normal 8 2 3 3" xfId="33106"/>
    <cellStyle name="Normal 8 2 3 3 2" xfId="33107"/>
    <cellStyle name="Normal 8 2 3 3 2 2" xfId="33108"/>
    <cellStyle name="Normal 8 2 3 3 3" xfId="33109"/>
    <cellStyle name="Normal 8 2 3 3 3 2" xfId="33110"/>
    <cellStyle name="Normal 8 2 3 3 4" xfId="33111"/>
    <cellStyle name="Normal 8 2 3 4" xfId="33112"/>
    <cellStyle name="Normal 8 2 3 4 2" xfId="33113"/>
    <cellStyle name="Normal 8 2 3 4 3" xfId="33114"/>
    <cellStyle name="Normal 8 2 3 5" xfId="33115"/>
    <cellStyle name="Normal 8 2 3 5 2" xfId="33116"/>
    <cellStyle name="Normal 8 2 3 6" xfId="33117"/>
    <cellStyle name="Normal 8 2 3 6 2" xfId="33118"/>
    <cellStyle name="Normal 8 2 3 7" xfId="33119"/>
    <cellStyle name="Normal 8 2 4" xfId="33120"/>
    <cellStyle name="Normal 8 2 4 2" xfId="33121"/>
    <cellStyle name="Normal 8 2 4 2 2" xfId="33122"/>
    <cellStyle name="Normal 8 2 4 2 2 2" xfId="33123"/>
    <cellStyle name="Normal 8 2 4 2 2 3" xfId="33124"/>
    <cellStyle name="Normal 8 2 4 2 3" xfId="33125"/>
    <cellStyle name="Normal 8 2 4 2 3 2" xfId="33126"/>
    <cellStyle name="Normal 8 2 4 2 4" xfId="33127"/>
    <cellStyle name="Normal 8 2 4 2 4 2" xfId="33128"/>
    <cellStyle name="Normal 8 2 4 2 5" xfId="33129"/>
    <cellStyle name="Normal 8 2 4 3" xfId="33130"/>
    <cellStyle name="Normal 8 2 4 3 2" xfId="33131"/>
    <cellStyle name="Normal 8 2 4 3 2 2" xfId="33132"/>
    <cellStyle name="Normal 8 2 4 3 3" xfId="33133"/>
    <cellStyle name="Normal 8 2 4 3 3 2" xfId="33134"/>
    <cellStyle name="Normal 8 2 4 3 4" xfId="33135"/>
    <cellStyle name="Normal 8 2 4 4" xfId="33136"/>
    <cellStyle name="Normal 8 2 4 4 2" xfId="33137"/>
    <cellStyle name="Normal 8 2 4 4 3" xfId="33138"/>
    <cellStyle name="Normal 8 2 4 5" xfId="33139"/>
    <cellStyle name="Normal 8 2 4 5 2" xfId="33140"/>
    <cellStyle name="Normal 8 2 4 6" xfId="33141"/>
    <cellStyle name="Normal 8 2 4 6 2" xfId="33142"/>
    <cellStyle name="Normal 8 2 4 7" xfId="33143"/>
    <cellStyle name="Normal 8 2 5" xfId="33144"/>
    <cellStyle name="Normal 8 2 5 2" xfId="33145"/>
    <cellStyle name="Normal 8 2 5 2 2" xfId="33146"/>
    <cellStyle name="Normal 8 2 5 2 2 2" xfId="33147"/>
    <cellStyle name="Normal 8 2 5 2 3" xfId="33148"/>
    <cellStyle name="Normal 8 2 5 2 3 2" xfId="33149"/>
    <cellStyle name="Normal 8 2 5 2 4" xfId="33150"/>
    <cellStyle name="Normal 8 2 5 3" xfId="33151"/>
    <cellStyle name="Normal 8 2 5 3 2" xfId="33152"/>
    <cellStyle name="Normal 8 2 5 3 3" xfId="33153"/>
    <cellStyle name="Normal 8 2 5 4" xfId="33154"/>
    <cellStyle name="Normal 8 2 5 4 2" xfId="33155"/>
    <cellStyle name="Normal 8 2 5 5" xfId="33156"/>
    <cellStyle name="Normal 8 2 5 5 2" xfId="33157"/>
    <cellStyle name="Normal 8 2 5 6" xfId="33158"/>
    <cellStyle name="Normal 8 2 6" xfId="33159"/>
    <cellStyle name="Normal 8 2 6 2" xfId="33160"/>
    <cellStyle name="Normal 8 2 6 2 2" xfId="33161"/>
    <cellStyle name="Normal 8 2 6 3" xfId="33162"/>
    <cellStyle name="Normal 8 2 6 3 2" xfId="33163"/>
    <cellStyle name="Normal 8 2 6 4" xfId="33164"/>
    <cellStyle name="Normal 8 2 7" xfId="33165"/>
    <cellStyle name="Normal 8 2 7 2" xfId="33166"/>
    <cellStyle name="Normal 8 2 7 2 2" xfId="33167"/>
    <cellStyle name="Normal 8 2 7 3" xfId="33168"/>
    <cellStyle name="Normal 8 2 7 3 2" xfId="33169"/>
    <cellStyle name="Normal 8 2 7 4" xfId="33170"/>
    <cellStyle name="Normal 8 2 8" xfId="33171"/>
    <cellStyle name="Normal 8 2 8 2" xfId="33172"/>
    <cellStyle name="Normal 8 2 8 3" xfId="33173"/>
    <cellStyle name="Normal 8 2 9" xfId="33174"/>
    <cellStyle name="Normal 8 2 9 2" xfId="33175"/>
    <cellStyle name="Normal 8 3" xfId="33176"/>
    <cellStyle name="Normal 8 3 10" xfId="33177"/>
    <cellStyle name="Normal 8 3 2" xfId="33178"/>
    <cellStyle name="Normal 8 3 2 2" xfId="33179"/>
    <cellStyle name="Normal 8 3 2 2 2" xfId="33180"/>
    <cellStyle name="Normal 8 3 2 2 2 2" xfId="33181"/>
    <cellStyle name="Normal 8 3 2 2 2 3" xfId="33182"/>
    <cellStyle name="Normal 8 3 2 2 3" xfId="33183"/>
    <cellStyle name="Normal 8 3 2 2 3 2" xfId="33184"/>
    <cellStyle name="Normal 8 3 2 2 4" xfId="33185"/>
    <cellStyle name="Normal 8 3 2 2 4 2" xfId="33186"/>
    <cellStyle name="Normal 8 3 2 2 5" xfId="33187"/>
    <cellStyle name="Normal 8 3 2 3" xfId="33188"/>
    <cellStyle name="Normal 8 3 2 3 2" xfId="33189"/>
    <cellStyle name="Normal 8 3 2 3 2 2" xfId="33190"/>
    <cellStyle name="Normal 8 3 2 3 3" xfId="33191"/>
    <cellStyle name="Normal 8 3 2 3 3 2" xfId="33192"/>
    <cellStyle name="Normal 8 3 2 3 4" xfId="33193"/>
    <cellStyle name="Normal 8 3 2 4" xfId="33194"/>
    <cellStyle name="Normal 8 3 2 4 2" xfId="33195"/>
    <cellStyle name="Normal 8 3 2 4 3" xfId="33196"/>
    <cellStyle name="Normal 8 3 2 5" xfId="33197"/>
    <cellStyle name="Normal 8 3 2 5 2" xfId="33198"/>
    <cellStyle name="Normal 8 3 2 6" xfId="33199"/>
    <cellStyle name="Normal 8 3 2 6 2" xfId="33200"/>
    <cellStyle name="Normal 8 3 2 7" xfId="33201"/>
    <cellStyle name="Normal 8 3 3" xfId="33202"/>
    <cellStyle name="Normal 8 3 3 2" xfId="33203"/>
    <cellStyle name="Normal 8 3 3 2 2" xfId="33204"/>
    <cellStyle name="Normal 8 3 3 2 2 2" xfId="33205"/>
    <cellStyle name="Normal 8 3 3 2 2 3" xfId="33206"/>
    <cellStyle name="Normal 8 3 3 2 3" xfId="33207"/>
    <cellStyle name="Normal 8 3 3 2 3 2" xfId="33208"/>
    <cellStyle name="Normal 8 3 3 2 4" xfId="33209"/>
    <cellStyle name="Normal 8 3 3 2 4 2" xfId="33210"/>
    <cellStyle name="Normal 8 3 3 2 5" xfId="33211"/>
    <cellStyle name="Normal 8 3 3 3" xfId="33212"/>
    <cellStyle name="Normal 8 3 3 3 2" xfId="33213"/>
    <cellStyle name="Normal 8 3 3 3 2 2" xfId="33214"/>
    <cellStyle name="Normal 8 3 3 3 3" xfId="33215"/>
    <cellStyle name="Normal 8 3 3 3 3 2" xfId="33216"/>
    <cellStyle name="Normal 8 3 3 3 4" xfId="33217"/>
    <cellStyle name="Normal 8 3 3 4" xfId="33218"/>
    <cellStyle name="Normal 8 3 3 4 2" xfId="33219"/>
    <cellStyle name="Normal 8 3 3 4 3" xfId="33220"/>
    <cellStyle name="Normal 8 3 3 5" xfId="33221"/>
    <cellStyle name="Normal 8 3 3 5 2" xfId="33222"/>
    <cellStyle name="Normal 8 3 3 6" xfId="33223"/>
    <cellStyle name="Normal 8 3 3 6 2" xfId="33224"/>
    <cellStyle name="Normal 8 3 3 7" xfId="33225"/>
    <cellStyle name="Normal 8 3 4" xfId="33226"/>
    <cellStyle name="Normal 8 3 4 2" xfId="33227"/>
    <cellStyle name="Normal 8 3 4 2 2" xfId="33228"/>
    <cellStyle name="Normal 8 3 4 2 2 2" xfId="33229"/>
    <cellStyle name="Normal 8 3 4 2 3" xfId="33230"/>
    <cellStyle name="Normal 8 3 4 2 3 2" xfId="33231"/>
    <cellStyle name="Normal 8 3 4 2 4" xfId="33232"/>
    <cellStyle name="Normal 8 3 4 3" xfId="33233"/>
    <cellStyle name="Normal 8 3 4 3 2" xfId="33234"/>
    <cellStyle name="Normal 8 3 4 3 3" xfId="33235"/>
    <cellStyle name="Normal 8 3 4 4" xfId="33236"/>
    <cellStyle name="Normal 8 3 4 4 2" xfId="33237"/>
    <cellStyle name="Normal 8 3 4 5" xfId="33238"/>
    <cellStyle name="Normal 8 3 4 5 2" xfId="33239"/>
    <cellStyle name="Normal 8 3 4 6" xfId="33240"/>
    <cellStyle name="Normal 8 3 5" xfId="33241"/>
    <cellStyle name="Normal 8 3 5 2" xfId="33242"/>
    <cellStyle name="Normal 8 3 5 2 2" xfId="33243"/>
    <cellStyle name="Normal 8 3 5 3" xfId="33244"/>
    <cellStyle name="Normal 8 3 5 3 2" xfId="33245"/>
    <cellStyle name="Normal 8 3 5 4" xfId="33246"/>
    <cellStyle name="Normal 8 3 6" xfId="33247"/>
    <cellStyle name="Normal 8 3 6 2" xfId="33248"/>
    <cellStyle name="Normal 8 3 6 2 2" xfId="33249"/>
    <cellStyle name="Normal 8 3 6 3" xfId="33250"/>
    <cellStyle name="Normal 8 3 6 3 2" xfId="33251"/>
    <cellStyle name="Normal 8 3 6 4" xfId="33252"/>
    <cellStyle name="Normal 8 3 7" xfId="33253"/>
    <cellStyle name="Normal 8 3 7 2" xfId="33254"/>
    <cellStyle name="Normal 8 3 7 3" xfId="33255"/>
    <cellStyle name="Normal 8 3 8" xfId="33256"/>
    <cellStyle name="Normal 8 3 8 2" xfId="33257"/>
    <cellStyle name="Normal 8 3 9" xfId="33258"/>
    <cellStyle name="Normal 8 3 9 2" xfId="33259"/>
    <cellStyle name="Normal 8 4" xfId="33260"/>
    <cellStyle name="Normal 8 4 2" xfId="33261"/>
    <cellStyle name="Normal 8 4 2 2" xfId="33262"/>
    <cellStyle name="Normal 8 4 2 2 2" xfId="33263"/>
    <cellStyle name="Normal 8 4 2 2 2 2" xfId="33264"/>
    <cellStyle name="Normal 8 4 2 2 2 3" xfId="33265"/>
    <cellStyle name="Normal 8 4 2 2 3" xfId="33266"/>
    <cellStyle name="Normal 8 4 2 2 3 2" xfId="33267"/>
    <cellStyle name="Normal 8 4 2 2 4" xfId="33268"/>
    <cellStyle name="Normal 8 4 2 2 4 2" xfId="33269"/>
    <cellStyle name="Normal 8 4 2 2 5" xfId="33270"/>
    <cellStyle name="Normal 8 4 2 3" xfId="33271"/>
    <cellStyle name="Normal 8 4 2 3 2" xfId="33272"/>
    <cellStyle name="Normal 8 4 2 3 2 2" xfId="33273"/>
    <cellStyle name="Normal 8 4 2 3 3" xfId="33274"/>
    <cellStyle name="Normal 8 4 2 3 3 2" xfId="33275"/>
    <cellStyle name="Normal 8 4 2 3 4" xfId="33276"/>
    <cellStyle name="Normal 8 4 2 4" xfId="33277"/>
    <cellStyle name="Normal 8 4 2 4 2" xfId="33278"/>
    <cellStyle name="Normal 8 4 2 4 3" xfId="33279"/>
    <cellStyle name="Normal 8 4 2 5" xfId="33280"/>
    <cellStyle name="Normal 8 4 2 5 2" xfId="33281"/>
    <cellStyle name="Normal 8 4 2 6" xfId="33282"/>
    <cellStyle name="Normal 8 4 2 6 2" xfId="33283"/>
    <cellStyle name="Normal 8 4 2 7" xfId="33284"/>
    <cellStyle name="Normal 8 4 3" xfId="33285"/>
    <cellStyle name="Normal 8 4 3 2" xfId="33286"/>
    <cellStyle name="Normal 8 4 3 2 2" xfId="33287"/>
    <cellStyle name="Normal 8 4 3 2 3" xfId="33288"/>
    <cellStyle name="Normal 8 4 3 3" xfId="33289"/>
    <cellStyle name="Normal 8 4 3 3 2" xfId="33290"/>
    <cellStyle name="Normal 8 4 3 4" xfId="33291"/>
    <cellStyle name="Normal 8 4 3 4 2" xfId="33292"/>
    <cellStyle name="Normal 8 4 3 5" xfId="33293"/>
    <cellStyle name="Normal 8 4 4" xfId="33294"/>
    <cellStyle name="Normal 8 4 4 2" xfId="33295"/>
    <cellStyle name="Normal 8 4 4 2 2" xfId="33296"/>
    <cellStyle name="Normal 8 4 4 3" xfId="33297"/>
    <cellStyle name="Normal 8 4 4 3 2" xfId="33298"/>
    <cellStyle name="Normal 8 4 4 4" xfId="33299"/>
    <cellStyle name="Normal 8 4 5" xfId="33300"/>
    <cellStyle name="Normal 8 4 5 2" xfId="33301"/>
    <cellStyle name="Normal 8 4 5 3" xfId="33302"/>
    <cellStyle name="Normal 8 4 6" xfId="33303"/>
    <cellStyle name="Normal 8 4 6 2" xfId="33304"/>
    <cellStyle name="Normal 8 4 7" xfId="33305"/>
    <cellStyle name="Normal 8 4 7 2" xfId="33306"/>
    <cellStyle name="Normal 8 4 8" xfId="33307"/>
    <cellStyle name="Normal 8 5" xfId="33308"/>
    <cellStyle name="Normal 8 5 2" xfId="33309"/>
    <cellStyle name="Normal 8 5 2 2" xfId="33310"/>
    <cellStyle name="Normal 8 5 2 2 2" xfId="33311"/>
    <cellStyle name="Normal 8 5 2 2 3" xfId="33312"/>
    <cellStyle name="Normal 8 5 2 3" xfId="33313"/>
    <cellStyle name="Normal 8 5 2 3 2" xfId="33314"/>
    <cellStyle name="Normal 8 5 2 4" xfId="33315"/>
    <cellStyle name="Normal 8 5 2 4 2" xfId="33316"/>
    <cellStyle name="Normal 8 5 2 5" xfId="33317"/>
    <cellStyle name="Normal 8 5 3" xfId="33318"/>
    <cellStyle name="Normal 8 5 3 2" xfId="33319"/>
    <cellStyle name="Normal 8 5 3 2 2" xfId="33320"/>
    <cellStyle name="Normal 8 5 3 3" xfId="33321"/>
    <cellStyle name="Normal 8 5 3 3 2" xfId="33322"/>
    <cellStyle name="Normal 8 5 3 4" xfId="33323"/>
    <cellStyle name="Normal 8 5 4" xfId="33324"/>
    <cellStyle name="Normal 8 5 4 2" xfId="33325"/>
    <cellStyle name="Normal 8 5 4 3" xfId="33326"/>
    <cellStyle name="Normal 8 5 5" xfId="33327"/>
    <cellStyle name="Normal 8 5 5 2" xfId="33328"/>
    <cellStyle name="Normal 8 5 6" xfId="33329"/>
    <cellStyle name="Normal 8 5 6 2" xfId="33330"/>
    <cellStyle name="Normal 8 5 7" xfId="33331"/>
    <cellStyle name="Normal 8 6" xfId="33332"/>
    <cellStyle name="Normal 8 6 2" xfId="33333"/>
    <cellStyle name="Normal 8 6 2 2" xfId="33334"/>
    <cellStyle name="Normal 8 6 2 2 2" xfId="33335"/>
    <cellStyle name="Normal 8 6 2 2 3" xfId="33336"/>
    <cellStyle name="Normal 8 6 2 3" xfId="33337"/>
    <cellStyle name="Normal 8 6 2 3 2" xfId="33338"/>
    <cellStyle name="Normal 8 6 2 4" xfId="33339"/>
    <cellStyle name="Normal 8 6 2 4 2" xfId="33340"/>
    <cellStyle name="Normal 8 6 2 5" xfId="33341"/>
    <cellStyle name="Normal 8 6 3" xfId="33342"/>
    <cellStyle name="Normal 8 6 3 2" xfId="33343"/>
    <cellStyle name="Normal 8 6 3 2 2" xfId="33344"/>
    <cellStyle name="Normal 8 6 3 3" xfId="33345"/>
    <cellStyle name="Normal 8 6 3 3 2" xfId="33346"/>
    <cellStyle name="Normal 8 6 3 4" xfId="33347"/>
    <cellStyle name="Normal 8 6 4" xfId="33348"/>
    <cellStyle name="Normal 8 6 4 2" xfId="33349"/>
    <cellStyle name="Normal 8 6 4 3" xfId="33350"/>
    <cellStyle name="Normal 8 6 5" xfId="33351"/>
    <cellStyle name="Normal 8 6 5 2" xfId="33352"/>
    <cellStyle name="Normal 8 6 6" xfId="33353"/>
    <cellStyle name="Normal 8 6 6 2" xfId="33354"/>
    <cellStyle name="Normal 8 6 7" xfId="33355"/>
    <cellStyle name="Normal 8 7" xfId="33356"/>
    <cellStyle name="Normal 8 7 2" xfId="33357"/>
    <cellStyle name="Normal 8 7 2 2" xfId="33358"/>
    <cellStyle name="Normal 8 7 2 2 2" xfId="33359"/>
    <cellStyle name="Normal 8 7 2 3" xfId="33360"/>
    <cellStyle name="Normal 8 7 2 3 2" xfId="33361"/>
    <cellStyle name="Normal 8 7 2 4" xfId="33362"/>
    <cellStyle name="Normal 8 7 3" xfId="33363"/>
    <cellStyle name="Normal 8 7 3 2" xfId="33364"/>
    <cellStyle name="Normal 8 7 3 3" xfId="33365"/>
    <cellStyle name="Normal 8 7 4" xfId="33366"/>
    <cellStyle name="Normal 8 7 4 2" xfId="33367"/>
    <cellStyle name="Normal 8 7 5" xfId="33368"/>
    <cellStyle name="Normal 8 7 5 2" xfId="33369"/>
    <cellStyle name="Normal 8 7 6" xfId="33370"/>
    <cellStyle name="Normal 8 8" xfId="33371"/>
    <cellStyle name="Normal 8 8 2" xfId="33372"/>
    <cellStyle name="Normal 8 8 2 2" xfId="33373"/>
    <cellStyle name="Normal 8 8 3" xfId="33374"/>
    <cellStyle name="Normal 8 8 3 2" xfId="33375"/>
    <cellStyle name="Normal 8 8 4" xfId="33376"/>
    <cellStyle name="Normal 8 9" xfId="33377"/>
    <cellStyle name="Normal 8 9 2" xfId="33378"/>
    <cellStyle name="Normal 8 9 2 2" xfId="33379"/>
    <cellStyle name="Normal 8 9 3" xfId="33380"/>
    <cellStyle name="Normal 8 9 3 2" xfId="33381"/>
    <cellStyle name="Normal 8 9 4" xfId="33382"/>
    <cellStyle name="Normal 80" xfId="33383"/>
    <cellStyle name="Normal 80 2" xfId="33384"/>
    <cellStyle name="Normal 80 3" xfId="33385"/>
    <cellStyle name="Normal 81" xfId="33386"/>
    <cellStyle name="Normal 81 2" xfId="33387"/>
    <cellStyle name="Normal 81 3" xfId="33388"/>
    <cellStyle name="Normal 82" xfId="33389"/>
    <cellStyle name="Normal 82 2" xfId="33390"/>
    <cellStyle name="Normal 82 3" xfId="33391"/>
    <cellStyle name="Normal 83" xfId="33392"/>
    <cellStyle name="Normal 83 2" xfId="33393"/>
    <cellStyle name="Normal 83 3" xfId="33394"/>
    <cellStyle name="Normal 84" xfId="33395"/>
    <cellStyle name="Normal 84 2" xfId="33396"/>
    <cellStyle name="Normal 85" xfId="33397"/>
    <cellStyle name="Normal 85 2" xfId="33398"/>
    <cellStyle name="Normal 86" xfId="33399"/>
    <cellStyle name="Normal 86 2" xfId="33400"/>
    <cellStyle name="Normal 87" xfId="33401"/>
    <cellStyle name="Normal 88" xfId="33402"/>
    <cellStyle name="Normal 89" xfId="33403"/>
    <cellStyle name="Normal 9" xfId="33404"/>
    <cellStyle name="Normal 9 10" xfId="33405"/>
    <cellStyle name="Normal 9 10 2" xfId="33406"/>
    <cellStyle name="Normal 9 10 2 2" xfId="33407"/>
    <cellStyle name="Normal 9 10 2 3" xfId="33408"/>
    <cellStyle name="Normal 9 10 3" xfId="33409"/>
    <cellStyle name="Normal 9 10 3 2" xfId="33410"/>
    <cellStyle name="Normal 9 10 4" xfId="33411"/>
    <cellStyle name="Normal 9 10 4 2" xfId="33412"/>
    <cellStyle name="Normal 9 10 5" xfId="33413"/>
    <cellStyle name="Normal 9 10 6" xfId="33414"/>
    <cellStyle name="Normal 9 10 7" xfId="33415"/>
    <cellStyle name="Normal 9 11" xfId="33416"/>
    <cellStyle name="Normal 9 11 2" xfId="33417"/>
    <cellStyle name="Normal 9 11 2 2" xfId="33418"/>
    <cellStyle name="Normal 9 11 3" xfId="33419"/>
    <cellStyle name="Normal 9 11 3 2" xfId="33420"/>
    <cellStyle name="Normal 9 11 4" xfId="33421"/>
    <cellStyle name="Normal 9 11 5" xfId="33422"/>
    <cellStyle name="Normal 9 11 6" xfId="33423"/>
    <cellStyle name="Normal 9 12" xfId="33424"/>
    <cellStyle name="Normal 9 12 2" xfId="33425"/>
    <cellStyle name="Normal 9 13" xfId="33426"/>
    <cellStyle name="Normal 9 13 2" xfId="33427"/>
    <cellStyle name="Normal 9 14" xfId="33428"/>
    <cellStyle name="Normal 9 14 2" xfId="33429"/>
    <cellStyle name="Normal 9 15" xfId="33430"/>
    <cellStyle name="Normal 9 16" xfId="33431"/>
    <cellStyle name="Normal 9 17" xfId="33432"/>
    <cellStyle name="Normal 9 18" xfId="33433"/>
    <cellStyle name="Normal 9 2" xfId="33434"/>
    <cellStyle name="Normal 9 2 10" xfId="33435"/>
    <cellStyle name="Normal 9 2 10 2" xfId="33436"/>
    <cellStyle name="Normal 9 2 11" xfId="33437"/>
    <cellStyle name="Normal 9 2 11 2" xfId="33438"/>
    <cellStyle name="Normal 9 2 12" xfId="33439"/>
    <cellStyle name="Normal 9 2 13" xfId="33440"/>
    <cellStyle name="Normal 9 2 14" xfId="33441"/>
    <cellStyle name="Normal 9 2 15" xfId="33442"/>
    <cellStyle name="Normal 9 2 2" xfId="33443"/>
    <cellStyle name="Normal 9 2 2 10" xfId="33444"/>
    <cellStyle name="Normal 9 2 2 11" xfId="33445"/>
    <cellStyle name="Normal 9 2 2 12" xfId="33446"/>
    <cellStyle name="Normal 9 2 2 2" xfId="33447"/>
    <cellStyle name="Normal 9 2 2 2 2" xfId="33448"/>
    <cellStyle name="Normal 9 2 2 2 2 2" xfId="33449"/>
    <cellStyle name="Normal 9 2 2 2 2 2 2" xfId="33450"/>
    <cellStyle name="Normal 9 2 2 2 2 3" xfId="33451"/>
    <cellStyle name="Normal 9 2 2 2 2 4" xfId="33452"/>
    <cellStyle name="Normal 9 2 2 2 3" xfId="33453"/>
    <cellStyle name="Normal 9 2 2 2 3 2" xfId="33454"/>
    <cellStyle name="Normal 9 2 2 2 3 2 2" xfId="33455"/>
    <cellStyle name="Normal 9 2 2 2 3 3" xfId="33456"/>
    <cellStyle name="Normal 9 2 2 2 4" xfId="33457"/>
    <cellStyle name="Normal 9 2 2 2 4 2" xfId="33458"/>
    <cellStyle name="Normal 9 2 2 2 4 2 2" xfId="33459"/>
    <cellStyle name="Normal 9 2 2 2 4 3" xfId="33460"/>
    <cellStyle name="Normal 9 2 2 2 5" xfId="33461"/>
    <cellStyle name="Normal 9 2 2 2 5 2" xfId="33462"/>
    <cellStyle name="Normal 9 2 2 2 6" xfId="33463"/>
    <cellStyle name="Normal 9 2 2 2 7" xfId="33464"/>
    <cellStyle name="Normal 9 2 2 3" xfId="33465"/>
    <cellStyle name="Normal 9 2 2 3 2" xfId="33466"/>
    <cellStyle name="Normal 9 2 2 3 2 2" xfId="33467"/>
    <cellStyle name="Normal 9 2 2 3 2 2 2" xfId="33468"/>
    <cellStyle name="Normal 9 2 2 3 2 3" xfId="33469"/>
    <cellStyle name="Normal 9 2 2 3 3" xfId="33470"/>
    <cellStyle name="Normal 9 2 2 3 3 2" xfId="33471"/>
    <cellStyle name="Normal 9 2 2 3 3 2 2" xfId="33472"/>
    <cellStyle name="Normal 9 2 2 3 3 3" xfId="33473"/>
    <cellStyle name="Normal 9 2 2 3 4" xfId="33474"/>
    <cellStyle name="Normal 9 2 2 3 4 2" xfId="33475"/>
    <cellStyle name="Normal 9 2 2 3 4 3" xfId="33476"/>
    <cellStyle name="Normal 9 2 2 3 5" xfId="33477"/>
    <cellStyle name="Normal 9 2 2 3 6" xfId="33478"/>
    <cellStyle name="Normal 9 2 2 3 7" xfId="33479"/>
    <cellStyle name="Normal 9 2 2 4" xfId="33480"/>
    <cellStyle name="Normal 9 2 2 4 2" xfId="33481"/>
    <cellStyle name="Normal 9 2 2 4 2 2" xfId="33482"/>
    <cellStyle name="Normal 9 2 2 4 2 3" xfId="33483"/>
    <cellStyle name="Normal 9 2 2 4 3" xfId="33484"/>
    <cellStyle name="Normal 9 2 2 4 3 2" xfId="33485"/>
    <cellStyle name="Normal 9 2 2 4 3 3" xfId="33486"/>
    <cellStyle name="Normal 9 2 2 4 4" xfId="33487"/>
    <cellStyle name="Normal 9 2 2 4 4 2" xfId="33488"/>
    <cellStyle name="Normal 9 2 2 4 5" xfId="33489"/>
    <cellStyle name="Normal 9 2 2 4 6" xfId="33490"/>
    <cellStyle name="Normal 9 2 2 4 7" xfId="33491"/>
    <cellStyle name="Normal 9 2 2 5" xfId="33492"/>
    <cellStyle name="Normal 9 2 2 5 2" xfId="33493"/>
    <cellStyle name="Normal 9 2 2 5 2 2" xfId="33494"/>
    <cellStyle name="Normal 9 2 2 5 2 3" xfId="33495"/>
    <cellStyle name="Normal 9 2 2 5 3" xfId="33496"/>
    <cellStyle name="Normal 9 2 2 5 3 2" xfId="33497"/>
    <cellStyle name="Normal 9 2 2 5 4" xfId="33498"/>
    <cellStyle name="Normal 9 2 2 5 4 2" xfId="33499"/>
    <cellStyle name="Normal 9 2 2 5 5" xfId="33500"/>
    <cellStyle name="Normal 9 2 2 5 6" xfId="33501"/>
    <cellStyle name="Normal 9 2 2 5 7" xfId="33502"/>
    <cellStyle name="Normal 9 2 2 6" xfId="33503"/>
    <cellStyle name="Normal 9 2 2 6 2" xfId="33504"/>
    <cellStyle name="Normal 9 2 2 6 2 2" xfId="33505"/>
    <cellStyle name="Normal 9 2 2 6 2 3" xfId="33506"/>
    <cellStyle name="Normal 9 2 2 6 3" xfId="33507"/>
    <cellStyle name="Normal 9 2 2 6 3 2" xfId="33508"/>
    <cellStyle name="Normal 9 2 2 6 4" xfId="33509"/>
    <cellStyle name="Normal 9 2 2 6 5" xfId="33510"/>
    <cellStyle name="Normal 9 2 2 6 6" xfId="33511"/>
    <cellStyle name="Normal 9 2 2 7" xfId="33512"/>
    <cellStyle name="Normal 9 2 2 7 2" xfId="33513"/>
    <cellStyle name="Normal 9 2 2 7 3" xfId="33514"/>
    <cellStyle name="Normal 9 2 2 8" xfId="33515"/>
    <cellStyle name="Normal 9 2 2 8 2" xfId="33516"/>
    <cellStyle name="Normal 9 2 2 9" xfId="33517"/>
    <cellStyle name="Normal 9 2 2 9 2" xfId="33518"/>
    <cellStyle name="Normal 9 2 3" xfId="33519"/>
    <cellStyle name="Normal 9 2 3 10" xfId="33520"/>
    <cellStyle name="Normal 9 2 3 11" xfId="33521"/>
    <cellStyle name="Normal 9 2 3 2" xfId="33522"/>
    <cellStyle name="Normal 9 2 3 2 2" xfId="33523"/>
    <cellStyle name="Normal 9 2 3 2 2 2" xfId="33524"/>
    <cellStyle name="Normal 9 2 3 2 2 3" xfId="33525"/>
    <cellStyle name="Normal 9 2 3 2 3" xfId="33526"/>
    <cellStyle name="Normal 9 2 3 2 3 2" xfId="33527"/>
    <cellStyle name="Normal 9 2 3 2 3 3" xfId="33528"/>
    <cellStyle name="Normal 9 2 3 2 4" xfId="33529"/>
    <cellStyle name="Normal 9 2 3 2 4 2" xfId="33530"/>
    <cellStyle name="Normal 9 2 3 2 5" xfId="33531"/>
    <cellStyle name="Normal 9 2 3 2 6" xfId="33532"/>
    <cellStyle name="Normal 9 2 3 2 7" xfId="33533"/>
    <cellStyle name="Normal 9 2 3 3" xfId="33534"/>
    <cellStyle name="Normal 9 2 3 3 2" xfId="33535"/>
    <cellStyle name="Normal 9 2 3 3 2 2" xfId="33536"/>
    <cellStyle name="Normal 9 2 3 3 2 3" xfId="33537"/>
    <cellStyle name="Normal 9 2 3 3 3" xfId="33538"/>
    <cellStyle name="Normal 9 2 3 3 3 2" xfId="33539"/>
    <cellStyle name="Normal 9 2 3 3 4" xfId="33540"/>
    <cellStyle name="Normal 9 2 3 3 4 2" xfId="33541"/>
    <cellStyle name="Normal 9 2 3 3 5" xfId="33542"/>
    <cellStyle name="Normal 9 2 3 3 6" xfId="33543"/>
    <cellStyle name="Normal 9 2 3 3 7" xfId="33544"/>
    <cellStyle name="Normal 9 2 3 4" xfId="33545"/>
    <cellStyle name="Normal 9 2 3 4 2" xfId="33546"/>
    <cellStyle name="Normal 9 2 3 4 2 2" xfId="33547"/>
    <cellStyle name="Normal 9 2 3 4 2 3" xfId="33548"/>
    <cellStyle name="Normal 9 2 3 4 3" xfId="33549"/>
    <cellStyle name="Normal 9 2 3 4 3 2" xfId="33550"/>
    <cellStyle name="Normal 9 2 3 4 4" xfId="33551"/>
    <cellStyle name="Normal 9 2 3 4 4 2" xfId="33552"/>
    <cellStyle name="Normal 9 2 3 4 5" xfId="33553"/>
    <cellStyle name="Normal 9 2 3 4 6" xfId="33554"/>
    <cellStyle name="Normal 9 2 3 4 7" xfId="33555"/>
    <cellStyle name="Normal 9 2 3 5" xfId="33556"/>
    <cellStyle name="Normal 9 2 3 5 2" xfId="33557"/>
    <cellStyle name="Normal 9 2 3 5 2 2" xfId="33558"/>
    <cellStyle name="Normal 9 2 3 5 3" xfId="33559"/>
    <cellStyle name="Normal 9 2 3 5 3 2" xfId="33560"/>
    <cellStyle name="Normal 9 2 3 5 4" xfId="33561"/>
    <cellStyle name="Normal 9 2 3 5 5" xfId="33562"/>
    <cellStyle name="Normal 9 2 3 5 6" xfId="33563"/>
    <cellStyle name="Normal 9 2 3 6" xfId="33564"/>
    <cellStyle name="Normal 9 2 3 6 2" xfId="33565"/>
    <cellStyle name="Normal 9 2 3 7" xfId="33566"/>
    <cellStyle name="Normal 9 2 3 7 2" xfId="33567"/>
    <cellStyle name="Normal 9 2 3 8" xfId="33568"/>
    <cellStyle name="Normal 9 2 3 8 2" xfId="33569"/>
    <cellStyle name="Normal 9 2 3 9" xfId="33570"/>
    <cellStyle name="Normal 9 2 4" xfId="33571"/>
    <cellStyle name="Normal 9 2 4 10" xfId="33572"/>
    <cellStyle name="Normal 9 2 4 11" xfId="33573"/>
    <cellStyle name="Normal 9 2 4 2" xfId="33574"/>
    <cellStyle name="Normal 9 2 4 2 2" xfId="33575"/>
    <cellStyle name="Normal 9 2 4 2 2 2" xfId="33576"/>
    <cellStyle name="Normal 9 2 4 2 2 3" xfId="33577"/>
    <cellStyle name="Normal 9 2 4 2 3" xfId="33578"/>
    <cellStyle name="Normal 9 2 4 2 3 2" xfId="33579"/>
    <cellStyle name="Normal 9 2 4 2 4" xfId="33580"/>
    <cellStyle name="Normal 9 2 4 2 4 2" xfId="33581"/>
    <cellStyle name="Normal 9 2 4 2 5" xfId="33582"/>
    <cellStyle name="Normal 9 2 4 2 6" xfId="33583"/>
    <cellStyle name="Normal 9 2 4 2 7" xfId="33584"/>
    <cellStyle name="Normal 9 2 4 3" xfId="33585"/>
    <cellStyle name="Normal 9 2 4 3 2" xfId="33586"/>
    <cellStyle name="Normal 9 2 4 3 2 2" xfId="33587"/>
    <cellStyle name="Normal 9 2 4 3 2 3" xfId="33588"/>
    <cellStyle name="Normal 9 2 4 3 3" xfId="33589"/>
    <cellStyle name="Normal 9 2 4 3 3 2" xfId="33590"/>
    <cellStyle name="Normal 9 2 4 3 4" xfId="33591"/>
    <cellStyle name="Normal 9 2 4 3 4 2" xfId="33592"/>
    <cellStyle name="Normal 9 2 4 3 5" xfId="33593"/>
    <cellStyle name="Normal 9 2 4 3 6" xfId="33594"/>
    <cellStyle name="Normal 9 2 4 3 7" xfId="33595"/>
    <cellStyle name="Normal 9 2 4 4" xfId="33596"/>
    <cellStyle name="Normal 9 2 4 4 2" xfId="33597"/>
    <cellStyle name="Normal 9 2 4 4 2 2" xfId="33598"/>
    <cellStyle name="Normal 9 2 4 4 3" xfId="33599"/>
    <cellStyle name="Normal 9 2 4 4 3 2" xfId="33600"/>
    <cellStyle name="Normal 9 2 4 4 4" xfId="33601"/>
    <cellStyle name="Normal 9 2 4 4 4 2" xfId="33602"/>
    <cellStyle name="Normal 9 2 4 4 5" xfId="33603"/>
    <cellStyle name="Normal 9 2 4 4 6" xfId="33604"/>
    <cellStyle name="Normal 9 2 4 4 7" xfId="33605"/>
    <cellStyle name="Normal 9 2 4 5" xfId="33606"/>
    <cellStyle name="Normal 9 2 4 5 2" xfId="33607"/>
    <cellStyle name="Normal 9 2 4 5 2 2" xfId="33608"/>
    <cellStyle name="Normal 9 2 4 5 3" xfId="33609"/>
    <cellStyle name="Normal 9 2 4 5 3 2" xfId="33610"/>
    <cellStyle name="Normal 9 2 4 5 4" xfId="33611"/>
    <cellStyle name="Normal 9 2 4 5 5" xfId="33612"/>
    <cellStyle name="Normal 9 2 4 6" xfId="33613"/>
    <cellStyle name="Normal 9 2 4 6 2" xfId="33614"/>
    <cellStyle name="Normal 9 2 4 7" xfId="33615"/>
    <cellStyle name="Normal 9 2 4 7 2" xfId="33616"/>
    <cellStyle name="Normal 9 2 4 8" xfId="33617"/>
    <cellStyle name="Normal 9 2 4 8 2" xfId="33618"/>
    <cellStyle name="Normal 9 2 4 9" xfId="33619"/>
    <cellStyle name="Normal 9 2 5" xfId="33620"/>
    <cellStyle name="Normal 9 2 5 2" xfId="33621"/>
    <cellStyle name="Normal 9 2 5 2 2" xfId="33622"/>
    <cellStyle name="Normal 9 2 5 2 3" xfId="33623"/>
    <cellStyle name="Normal 9 2 5 3" xfId="33624"/>
    <cellStyle name="Normal 9 2 5 3 2" xfId="33625"/>
    <cellStyle name="Normal 9 2 5 3 3" xfId="33626"/>
    <cellStyle name="Normal 9 2 5 4" xfId="33627"/>
    <cellStyle name="Normal 9 2 5 4 2" xfId="33628"/>
    <cellStyle name="Normal 9 2 5 5" xfId="33629"/>
    <cellStyle name="Normal 9 2 5 6" xfId="33630"/>
    <cellStyle name="Normal 9 2 5 7" xfId="33631"/>
    <cellStyle name="Normal 9 2 6" xfId="33632"/>
    <cellStyle name="Normal 9 2 6 2" xfId="33633"/>
    <cellStyle name="Normal 9 2 6 2 2" xfId="33634"/>
    <cellStyle name="Normal 9 2 6 2 3" xfId="33635"/>
    <cellStyle name="Normal 9 2 6 3" xfId="33636"/>
    <cellStyle name="Normal 9 2 6 3 2" xfId="33637"/>
    <cellStyle name="Normal 9 2 6 4" xfId="33638"/>
    <cellStyle name="Normal 9 2 6 4 2" xfId="33639"/>
    <cellStyle name="Normal 9 2 6 5" xfId="33640"/>
    <cellStyle name="Normal 9 2 6 6" xfId="33641"/>
    <cellStyle name="Normal 9 2 6 7" xfId="33642"/>
    <cellStyle name="Normal 9 2 7" xfId="33643"/>
    <cellStyle name="Normal 9 2 7 2" xfId="33644"/>
    <cellStyle name="Normal 9 2 7 2 2" xfId="33645"/>
    <cellStyle name="Normal 9 2 7 2 3" xfId="33646"/>
    <cellStyle name="Normal 9 2 7 3" xfId="33647"/>
    <cellStyle name="Normal 9 2 7 3 2" xfId="33648"/>
    <cellStyle name="Normal 9 2 7 4" xfId="33649"/>
    <cellStyle name="Normal 9 2 7 4 2" xfId="33650"/>
    <cellStyle name="Normal 9 2 7 5" xfId="33651"/>
    <cellStyle name="Normal 9 2 7 6" xfId="33652"/>
    <cellStyle name="Normal 9 2 7 7" xfId="33653"/>
    <cellStyle name="Normal 9 2 8" xfId="33654"/>
    <cellStyle name="Normal 9 2 8 2" xfId="33655"/>
    <cellStyle name="Normal 9 2 8 2 2" xfId="33656"/>
    <cellStyle name="Normal 9 2 8 3" xfId="33657"/>
    <cellStyle name="Normal 9 2 8 3 2" xfId="33658"/>
    <cellStyle name="Normal 9 2 8 4" xfId="33659"/>
    <cellStyle name="Normal 9 2 8 5" xfId="33660"/>
    <cellStyle name="Normal 9 2 8 6" xfId="33661"/>
    <cellStyle name="Normal 9 2 9" xfId="33662"/>
    <cellStyle name="Normal 9 2 9 2" xfId="33663"/>
    <cellStyle name="Normal 9 3" xfId="33664"/>
    <cellStyle name="Normal 9 3 10" xfId="33665"/>
    <cellStyle name="Normal 9 3 10 2" xfId="33666"/>
    <cellStyle name="Normal 9 3 11" xfId="33667"/>
    <cellStyle name="Normal 9 3 11 2" xfId="33668"/>
    <cellStyle name="Normal 9 3 12" xfId="33669"/>
    <cellStyle name="Normal 9 3 13" xfId="33670"/>
    <cellStyle name="Normal 9 3 14" xfId="33671"/>
    <cellStyle name="Normal 9 3 2" xfId="33672"/>
    <cellStyle name="Normal 9 3 2 10" xfId="33673"/>
    <cellStyle name="Normal 9 3 2 11" xfId="33674"/>
    <cellStyle name="Normal 9 3 2 12" xfId="33675"/>
    <cellStyle name="Normal 9 3 2 2" xfId="33676"/>
    <cellStyle name="Normal 9 3 2 2 2" xfId="33677"/>
    <cellStyle name="Normal 9 3 2 2 2 2" xfId="33678"/>
    <cellStyle name="Normal 9 3 2 2 2 3" xfId="33679"/>
    <cellStyle name="Normal 9 3 2 2 3" xfId="33680"/>
    <cellStyle name="Normal 9 3 2 2 3 2" xfId="33681"/>
    <cellStyle name="Normal 9 3 2 2 3 3" xfId="33682"/>
    <cellStyle name="Normal 9 3 2 2 4" xfId="33683"/>
    <cellStyle name="Normal 9 3 2 2 4 2" xfId="33684"/>
    <cellStyle name="Normal 9 3 2 2 5" xfId="33685"/>
    <cellStyle name="Normal 9 3 2 2 6" xfId="33686"/>
    <cellStyle name="Normal 9 3 2 2 7" xfId="33687"/>
    <cellStyle name="Normal 9 3 2 3" xfId="33688"/>
    <cellStyle name="Normal 9 3 2 3 2" xfId="33689"/>
    <cellStyle name="Normal 9 3 2 3 2 2" xfId="33690"/>
    <cellStyle name="Normal 9 3 2 3 2 3" xfId="33691"/>
    <cellStyle name="Normal 9 3 2 3 3" xfId="33692"/>
    <cellStyle name="Normal 9 3 2 3 3 2" xfId="33693"/>
    <cellStyle name="Normal 9 3 2 3 4" xfId="33694"/>
    <cellStyle name="Normal 9 3 2 3 4 2" xfId="33695"/>
    <cellStyle name="Normal 9 3 2 3 5" xfId="33696"/>
    <cellStyle name="Normal 9 3 2 3 6" xfId="33697"/>
    <cellStyle name="Normal 9 3 2 3 7" xfId="33698"/>
    <cellStyle name="Normal 9 3 2 4" xfId="33699"/>
    <cellStyle name="Normal 9 3 2 4 2" xfId="33700"/>
    <cellStyle name="Normal 9 3 2 4 2 2" xfId="33701"/>
    <cellStyle name="Normal 9 3 2 4 2 3" xfId="33702"/>
    <cellStyle name="Normal 9 3 2 4 3" xfId="33703"/>
    <cellStyle name="Normal 9 3 2 4 3 2" xfId="33704"/>
    <cellStyle name="Normal 9 3 2 4 4" xfId="33705"/>
    <cellStyle name="Normal 9 3 2 4 4 2" xfId="33706"/>
    <cellStyle name="Normal 9 3 2 4 5" xfId="33707"/>
    <cellStyle name="Normal 9 3 2 4 6" xfId="33708"/>
    <cellStyle name="Normal 9 3 2 4 7" xfId="33709"/>
    <cellStyle name="Normal 9 3 2 5" xfId="33710"/>
    <cellStyle name="Normal 9 3 2 5 2" xfId="33711"/>
    <cellStyle name="Normal 9 3 2 5 2 2" xfId="33712"/>
    <cellStyle name="Normal 9 3 2 5 3" xfId="33713"/>
    <cellStyle name="Normal 9 3 2 5 3 2" xfId="33714"/>
    <cellStyle name="Normal 9 3 2 5 4" xfId="33715"/>
    <cellStyle name="Normal 9 3 2 5 4 2" xfId="33716"/>
    <cellStyle name="Normal 9 3 2 5 5" xfId="33717"/>
    <cellStyle name="Normal 9 3 2 5 6" xfId="33718"/>
    <cellStyle name="Normal 9 3 2 5 7" xfId="33719"/>
    <cellStyle name="Normal 9 3 2 6" xfId="33720"/>
    <cellStyle name="Normal 9 3 2 6 2" xfId="33721"/>
    <cellStyle name="Normal 9 3 2 6 2 2" xfId="33722"/>
    <cellStyle name="Normal 9 3 2 6 3" xfId="33723"/>
    <cellStyle name="Normal 9 3 2 6 3 2" xfId="33724"/>
    <cellStyle name="Normal 9 3 2 6 4" xfId="33725"/>
    <cellStyle name="Normal 9 3 2 6 5" xfId="33726"/>
    <cellStyle name="Normal 9 3 2 7" xfId="33727"/>
    <cellStyle name="Normal 9 3 2 7 2" xfId="33728"/>
    <cellStyle name="Normal 9 3 2 8" xfId="33729"/>
    <cellStyle name="Normal 9 3 2 8 2" xfId="33730"/>
    <cellStyle name="Normal 9 3 2 9" xfId="33731"/>
    <cellStyle name="Normal 9 3 2 9 2" xfId="33732"/>
    <cellStyle name="Normal 9 3 3" xfId="33733"/>
    <cellStyle name="Normal 9 3 3 10" xfId="33734"/>
    <cellStyle name="Normal 9 3 3 11" xfId="33735"/>
    <cellStyle name="Normal 9 3 3 2" xfId="33736"/>
    <cellStyle name="Normal 9 3 3 2 2" xfId="33737"/>
    <cellStyle name="Normal 9 3 3 2 2 2" xfId="33738"/>
    <cellStyle name="Normal 9 3 3 2 2 3" xfId="33739"/>
    <cellStyle name="Normal 9 3 3 2 3" xfId="33740"/>
    <cellStyle name="Normal 9 3 3 2 3 2" xfId="33741"/>
    <cellStyle name="Normal 9 3 3 2 4" xfId="33742"/>
    <cellStyle name="Normal 9 3 3 2 4 2" xfId="33743"/>
    <cellStyle name="Normal 9 3 3 2 5" xfId="33744"/>
    <cellStyle name="Normal 9 3 3 2 6" xfId="33745"/>
    <cellStyle name="Normal 9 3 3 2 7" xfId="33746"/>
    <cellStyle name="Normal 9 3 3 3" xfId="33747"/>
    <cellStyle name="Normal 9 3 3 3 2" xfId="33748"/>
    <cellStyle name="Normal 9 3 3 3 2 2" xfId="33749"/>
    <cellStyle name="Normal 9 3 3 3 2 3" xfId="33750"/>
    <cellStyle name="Normal 9 3 3 3 3" xfId="33751"/>
    <cellStyle name="Normal 9 3 3 3 3 2" xfId="33752"/>
    <cellStyle name="Normal 9 3 3 3 4" xfId="33753"/>
    <cellStyle name="Normal 9 3 3 3 4 2" xfId="33754"/>
    <cellStyle name="Normal 9 3 3 3 5" xfId="33755"/>
    <cellStyle name="Normal 9 3 3 3 6" xfId="33756"/>
    <cellStyle name="Normal 9 3 3 3 7" xfId="33757"/>
    <cellStyle name="Normal 9 3 3 4" xfId="33758"/>
    <cellStyle name="Normal 9 3 3 4 2" xfId="33759"/>
    <cellStyle name="Normal 9 3 3 4 2 2" xfId="33760"/>
    <cellStyle name="Normal 9 3 3 4 3" xfId="33761"/>
    <cellStyle name="Normal 9 3 3 4 3 2" xfId="33762"/>
    <cellStyle name="Normal 9 3 3 4 4" xfId="33763"/>
    <cellStyle name="Normal 9 3 3 4 4 2" xfId="33764"/>
    <cellStyle name="Normal 9 3 3 4 5" xfId="33765"/>
    <cellStyle name="Normal 9 3 3 4 6" xfId="33766"/>
    <cellStyle name="Normal 9 3 3 4 7" xfId="33767"/>
    <cellStyle name="Normal 9 3 3 5" xfId="33768"/>
    <cellStyle name="Normal 9 3 3 5 2" xfId="33769"/>
    <cellStyle name="Normal 9 3 3 5 2 2" xfId="33770"/>
    <cellStyle name="Normal 9 3 3 5 3" xfId="33771"/>
    <cellStyle name="Normal 9 3 3 5 3 2" xfId="33772"/>
    <cellStyle name="Normal 9 3 3 5 4" xfId="33773"/>
    <cellStyle name="Normal 9 3 3 5 5" xfId="33774"/>
    <cellStyle name="Normal 9 3 3 6" xfId="33775"/>
    <cellStyle name="Normal 9 3 3 6 2" xfId="33776"/>
    <cellStyle name="Normal 9 3 3 7" xfId="33777"/>
    <cellStyle name="Normal 9 3 3 7 2" xfId="33778"/>
    <cellStyle name="Normal 9 3 3 8" xfId="33779"/>
    <cellStyle name="Normal 9 3 3 8 2" xfId="33780"/>
    <cellStyle name="Normal 9 3 3 9" xfId="33781"/>
    <cellStyle name="Normal 9 3 4" xfId="33782"/>
    <cellStyle name="Normal 9 3 4 10" xfId="33783"/>
    <cellStyle name="Normal 9 3 4 11" xfId="33784"/>
    <cellStyle name="Normal 9 3 4 2" xfId="33785"/>
    <cellStyle name="Normal 9 3 4 2 2" xfId="33786"/>
    <cellStyle name="Normal 9 3 4 2 2 2" xfId="33787"/>
    <cellStyle name="Normal 9 3 4 2 3" xfId="33788"/>
    <cellStyle name="Normal 9 3 4 2 3 2" xfId="33789"/>
    <cellStyle name="Normal 9 3 4 2 4" xfId="33790"/>
    <cellStyle name="Normal 9 3 4 2 4 2" xfId="33791"/>
    <cellStyle name="Normal 9 3 4 2 5" xfId="33792"/>
    <cellStyle name="Normal 9 3 4 2 6" xfId="33793"/>
    <cellStyle name="Normal 9 3 4 2 7" xfId="33794"/>
    <cellStyle name="Normal 9 3 4 3" xfId="33795"/>
    <cellStyle name="Normal 9 3 4 3 2" xfId="33796"/>
    <cellStyle name="Normal 9 3 4 3 2 2" xfId="33797"/>
    <cellStyle name="Normal 9 3 4 3 3" xfId="33798"/>
    <cellStyle name="Normal 9 3 4 3 3 2" xfId="33799"/>
    <cellStyle name="Normal 9 3 4 3 4" xfId="33800"/>
    <cellStyle name="Normal 9 3 4 3 4 2" xfId="33801"/>
    <cellStyle name="Normal 9 3 4 3 5" xfId="33802"/>
    <cellStyle name="Normal 9 3 4 3 6" xfId="33803"/>
    <cellStyle name="Normal 9 3 4 3 7" xfId="33804"/>
    <cellStyle name="Normal 9 3 4 4" xfId="33805"/>
    <cellStyle name="Normal 9 3 4 4 2" xfId="33806"/>
    <cellStyle name="Normal 9 3 4 4 2 2" xfId="33807"/>
    <cellStyle name="Normal 9 3 4 4 3" xfId="33808"/>
    <cellStyle name="Normal 9 3 4 4 3 2" xfId="33809"/>
    <cellStyle name="Normal 9 3 4 4 4" xfId="33810"/>
    <cellStyle name="Normal 9 3 4 4 4 2" xfId="33811"/>
    <cellStyle name="Normal 9 3 4 4 5" xfId="33812"/>
    <cellStyle name="Normal 9 3 4 4 6" xfId="33813"/>
    <cellStyle name="Normal 9 3 4 5" xfId="33814"/>
    <cellStyle name="Normal 9 3 4 5 2" xfId="33815"/>
    <cellStyle name="Normal 9 3 4 5 2 2" xfId="33816"/>
    <cellStyle name="Normal 9 3 4 5 3" xfId="33817"/>
    <cellStyle name="Normal 9 3 4 5 3 2" xfId="33818"/>
    <cellStyle name="Normal 9 3 4 5 4" xfId="33819"/>
    <cellStyle name="Normal 9 3 4 5 5" xfId="33820"/>
    <cellStyle name="Normal 9 3 4 6" xfId="33821"/>
    <cellStyle name="Normal 9 3 4 6 2" xfId="33822"/>
    <cellStyle name="Normal 9 3 4 7" xfId="33823"/>
    <cellStyle name="Normal 9 3 4 7 2" xfId="33824"/>
    <cellStyle name="Normal 9 3 4 8" xfId="33825"/>
    <cellStyle name="Normal 9 3 4 8 2" xfId="33826"/>
    <cellStyle name="Normal 9 3 4 9" xfId="33827"/>
    <cellStyle name="Normal 9 3 5" xfId="33828"/>
    <cellStyle name="Normal 9 3 5 2" xfId="33829"/>
    <cellStyle name="Normal 9 3 5 2 2" xfId="33830"/>
    <cellStyle name="Normal 9 3 5 2 3" xfId="33831"/>
    <cellStyle name="Normal 9 3 5 3" xfId="33832"/>
    <cellStyle name="Normal 9 3 5 3 2" xfId="33833"/>
    <cellStyle name="Normal 9 3 5 4" xfId="33834"/>
    <cellStyle name="Normal 9 3 5 4 2" xfId="33835"/>
    <cellStyle name="Normal 9 3 5 5" xfId="33836"/>
    <cellStyle name="Normal 9 3 5 6" xfId="33837"/>
    <cellStyle name="Normal 9 3 5 7" xfId="33838"/>
    <cellStyle name="Normal 9 3 6" xfId="33839"/>
    <cellStyle name="Normal 9 3 6 2" xfId="33840"/>
    <cellStyle name="Normal 9 3 6 2 2" xfId="33841"/>
    <cellStyle name="Normal 9 3 6 2 3" xfId="33842"/>
    <cellStyle name="Normal 9 3 6 3" xfId="33843"/>
    <cellStyle name="Normal 9 3 6 3 2" xfId="33844"/>
    <cellStyle name="Normal 9 3 6 4" xfId="33845"/>
    <cellStyle name="Normal 9 3 6 4 2" xfId="33846"/>
    <cellStyle name="Normal 9 3 6 5" xfId="33847"/>
    <cellStyle name="Normal 9 3 6 6" xfId="33848"/>
    <cellStyle name="Normal 9 3 6 7" xfId="33849"/>
    <cellStyle name="Normal 9 3 7" xfId="33850"/>
    <cellStyle name="Normal 9 3 7 2" xfId="33851"/>
    <cellStyle name="Normal 9 3 7 2 2" xfId="33852"/>
    <cellStyle name="Normal 9 3 7 3" xfId="33853"/>
    <cellStyle name="Normal 9 3 7 3 2" xfId="33854"/>
    <cellStyle name="Normal 9 3 7 4" xfId="33855"/>
    <cellStyle name="Normal 9 3 7 4 2" xfId="33856"/>
    <cellStyle name="Normal 9 3 7 5" xfId="33857"/>
    <cellStyle name="Normal 9 3 7 6" xfId="33858"/>
    <cellStyle name="Normal 9 3 7 7" xfId="33859"/>
    <cellStyle name="Normal 9 3 8" xfId="33860"/>
    <cellStyle name="Normal 9 3 8 2" xfId="33861"/>
    <cellStyle name="Normal 9 3 8 2 2" xfId="33862"/>
    <cellStyle name="Normal 9 3 8 3" xfId="33863"/>
    <cellStyle name="Normal 9 3 8 3 2" xfId="33864"/>
    <cellStyle name="Normal 9 3 8 4" xfId="33865"/>
    <cellStyle name="Normal 9 3 8 5" xfId="33866"/>
    <cellStyle name="Normal 9 3 9" xfId="33867"/>
    <cellStyle name="Normal 9 3 9 2" xfId="33868"/>
    <cellStyle name="Normal 9 4" xfId="33869"/>
    <cellStyle name="Normal 9 4 10" xfId="33870"/>
    <cellStyle name="Normal 9 4 10 2" xfId="33871"/>
    <cellStyle name="Normal 9 4 11" xfId="33872"/>
    <cellStyle name="Normal 9 4 12" xfId="33873"/>
    <cellStyle name="Normal 9 4 13" xfId="33874"/>
    <cellStyle name="Normal 9 4 2" xfId="33875"/>
    <cellStyle name="Normal 9 4 2 10" xfId="33876"/>
    <cellStyle name="Normal 9 4 2 11" xfId="33877"/>
    <cellStyle name="Normal 9 4 2 2" xfId="33878"/>
    <cellStyle name="Normal 9 4 2 2 2" xfId="33879"/>
    <cellStyle name="Normal 9 4 2 2 2 2" xfId="33880"/>
    <cellStyle name="Normal 9 4 2 2 2 3" xfId="33881"/>
    <cellStyle name="Normal 9 4 2 2 3" xfId="33882"/>
    <cellStyle name="Normal 9 4 2 2 3 2" xfId="33883"/>
    <cellStyle name="Normal 9 4 2 2 3 3" xfId="33884"/>
    <cellStyle name="Normal 9 4 2 2 4" xfId="33885"/>
    <cellStyle name="Normal 9 4 2 2 4 2" xfId="33886"/>
    <cellStyle name="Normal 9 4 2 2 5" xfId="33887"/>
    <cellStyle name="Normal 9 4 2 2 6" xfId="33888"/>
    <cellStyle name="Normal 9 4 2 2 7" xfId="33889"/>
    <cellStyle name="Normal 9 4 2 3" xfId="33890"/>
    <cellStyle name="Normal 9 4 2 3 2" xfId="33891"/>
    <cellStyle name="Normal 9 4 2 3 2 2" xfId="33892"/>
    <cellStyle name="Normal 9 4 2 3 2 3" xfId="33893"/>
    <cellStyle name="Normal 9 4 2 3 3" xfId="33894"/>
    <cellStyle name="Normal 9 4 2 3 3 2" xfId="33895"/>
    <cellStyle name="Normal 9 4 2 3 4" xfId="33896"/>
    <cellStyle name="Normal 9 4 2 3 4 2" xfId="33897"/>
    <cellStyle name="Normal 9 4 2 3 5" xfId="33898"/>
    <cellStyle name="Normal 9 4 2 3 6" xfId="33899"/>
    <cellStyle name="Normal 9 4 2 3 7" xfId="33900"/>
    <cellStyle name="Normal 9 4 2 4" xfId="33901"/>
    <cellStyle name="Normal 9 4 2 4 2" xfId="33902"/>
    <cellStyle name="Normal 9 4 2 4 2 2" xfId="33903"/>
    <cellStyle name="Normal 9 4 2 4 2 3" xfId="33904"/>
    <cellStyle name="Normal 9 4 2 4 3" xfId="33905"/>
    <cellStyle name="Normal 9 4 2 4 3 2" xfId="33906"/>
    <cellStyle name="Normal 9 4 2 4 4" xfId="33907"/>
    <cellStyle name="Normal 9 4 2 4 4 2" xfId="33908"/>
    <cellStyle name="Normal 9 4 2 4 5" xfId="33909"/>
    <cellStyle name="Normal 9 4 2 4 6" xfId="33910"/>
    <cellStyle name="Normal 9 4 2 4 7" xfId="33911"/>
    <cellStyle name="Normal 9 4 2 5" xfId="33912"/>
    <cellStyle name="Normal 9 4 2 5 2" xfId="33913"/>
    <cellStyle name="Normal 9 4 2 5 2 2" xfId="33914"/>
    <cellStyle name="Normal 9 4 2 5 3" xfId="33915"/>
    <cellStyle name="Normal 9 4 2 5 3 2" xfId="33916"/>
    <cellStyle name="Normal 9 4 2 5 4" xfId="33917"/>
    <cellStyle name="Normal 9 4 2 5 5" xfId="33918"/>
    <cellStyle name="Normal 9 4 2 5 6" xfId="33919"/>
    <cellStyle name="Normal 9 4 2 6" xfId="33920"/>
    <cellStyle name="Normal 9 4 2 6 2" xfId="33921"/>
    <cellStyle name="Normal 9 4 2 7" xfId="33922"/>
    <cellStyle name="Normal 9 4 2 7 2" xfId="33923"/>
    <cellStyle name="Normal 9 4 2 8" xfId="33924"/>
    <cellStyle name="Normal 9 4 2 8 2" xfId="33925"/>
    <cellStyle name="Normal 9 4 2 9" xfId="33926"/>
    <cellStyle name="Normal 9 4 3" xfId="33927"/>
    <cellStyle name="Normal 9 4 3 10" xfId="33928"/>
    <cellStyle name="Normal 9 4 3 11" xfId="33929"/>
    <cellStyle name="Normal 9 4 3 2" xfId="33930"/>
    <cellStyle name="Normal 9 4 3 2 2" xfId="33931"/>
    <cellStyle name="Normal 9 4 3 2 2 2" xfId="33932"/>
    <cellStyle name="Normal 9 4 3 2 2 3" xfId="33933"/>
    <cellStyle name="Normal 9 4 3 2 3" xfId="33934"/>
    <cellStyle name="Normal 9 4 3 2 3 2" xfId="33935"/>
    <cellStyle name="Normal 9 4 3 2 4" xfId="33936"/>
    <cellStyle name="Normal 9 4 3 2 4 2" xfId="33937"/>
    <cellStyle name="Normal 9 4 3 2 5" xfId="33938"/>
    <cellStyle name="Normal 9 4 3 2 6" xfId="33939"/>
    <cellStyle name="Normal 9 4 3 2 7" xfId="33940"/>
    <cellStyle name="Normal 9 4 3 3" xfId="33941"/>
    <cellStyle name="Normal 9 4 3 3 2" xfId="33942"/>
    <cellStyle name="Normal 9 4 3 3 2 2" xfId="33943"/>
    <cellStyle name="Normal 9 4 3 3 2 3" xfId="33944"/>
    <cellStyle name="Normal 9 4 3 3 3" xfId="33945"/>
    <cellStyle name="Normal 9 4 3 3 3 2" xfId="33946"/>
    <cellStyle name="Normal 9 4 3 3 4" xfId="33947"/>
    <cellStyle name="Normal 9 4 3 3 4 2" xfId="33948"/>
    <cellStyle name="Normal 9 4 3 3 5" xfId="33949"/>
    <cellStyle name="Normal 9 4 3 3 6" xfId="33950"/>
    <cellStyle name="Normal 9 4 3 3 7" xfId="33951"/>
    <cellStyle name="Normal 9 4 3 4" xfId="33952"/>
    <cellStyle name="Normal 9 4 3 4 2" xfId="33953"/>
    <cellStyle name="Normal 9 4 3 4 2 2" xfId="33954"/>
    <cellStyle name="Normal 9 4 3 4 3" xfId="33955"/>
    <cellStyle name="Normal 9 4 3 4 3 2" xfId="33956"/>
    <cellStyle name="Normal 9 4 3 4 4" xfId="33957"/>
    <cellStyle name="Normal 9 4 3 4 4 2" xfId="33958"/>
    <cellStyle name="Normal 9 4 3 4 5" xfId="33959"/>
    <cellStyle name="Normal 9 4 3 4 6" xfId="33960"/>
    <cellStyle name="Normal 9 4 3 4 7" xfId="33961"/>
    <cellStyle name="Normal 9 4 3 5" xfId="33962"/>
    <cellStyle name="Normal 9 4 3 5 2" xfId="33963"/>
    <cellStyle name="Normal 9 4 3 5 2 2" xfId="33964"/>
    <cellStyle name="Normal 9 4 3 5 3" xfId="33965"/>
    <cellStyle name="Normal 9 4 3 5 3 2" xfId="33966"/>
    <cellStyle name="Normal 9 4 3 5 4" xfId="33967"/>
    <cellStyle name="Normal 9 4 3 5 5" xfId="33968"/>
    <cellStyle name="Normal 9 4 3 6" xfId="33969"/>
    <cellStyle name="Normal 9 4 3 6 2" xfId="33970"/>
    <cellStyle name="Normal 9 4 3 7" xfId="33971"/>
    <cellStyle name="Normal 9 4 3 7 2" xfId="33972"/>
    <cellStyle name="Normal 9 4 3 8" xfId="33973"/>
    <cellStyle name="Normal 9 4 3 8 2" xfId="33974"/>
    <cellStyle name="Normal 9 4 3 9" xfId="33975"/>
    <cellStyle name="Normal 9 4 4" xfId="33976"/>
    <cellStyle name="Normal 9 4 4 2" xfId="33977"/>
    <cellStyle name="Normal 9 4 4 2 2" xfId="33978"/>
    <cellStyle name="Normal 9 4 4 2 3" xfId="33979"/>
    <cellStyle name="Normal 9 4 4 3" xfId="33980"/>
    <cellStyle name="Normal 9 4 4 3 2" xfId="33981"/>
    <cellStyle name="Normal 9 4 4 3 3" xfId="33982"/>
    <cellStyle name="Normal 9 4 4 4" xfId="33983"/>
    <cellStyle name="Normal 9 4 4 4 2" xfId="33984"/>
    <cellStyle name="Normal 9 4 4 5" xfId="33985"/>
    <cellStyle name="Normal 9 4 4 6" xfId="33986"/>
    <cellStyle name="Normal 9 4 4 7" xfId="33987"/>
    <cellStyle name="Normal 9 4 5" xfId="33988"/>
    <cellStyle name="Normal 9 4 5 2" xfId="33989"/>
    <cellStyle name="Normal 9 4 5 2 2" xfId="33990"/>
    <cellStyle name="Normal 9 4 5 2 3" xfId="33991"/>
    <cellStyle name="Normal 9 4 5 3" xfId="33992"/>
    <cellStyle name="Normal 9 4 5 3 2" xfId="33993"/>
    <cellStyle name="Normal 9 4 5 4" xfId="33994"/>
    <cellStyle name="Normal 9 4 5 4 2" xfId="33995"/>
    <cellStyle name="Normal 9 4 5 5" xfId="33996"/>
    <cellStyle name="Normal 9 4 5 6" xfId="33997"/>
    <cellStyle name="Normal 9 4 5 7" xfId="33998"/>
    <cellStyle name="Normal 9 4 6" xfId="33999"/>
    <cellStyle name="Normal 9 4 6 2" xfId="34000"/>
    <cellStyle name="Normal 9 4 6 2 2" xfId="34001"/>
    <cellStyle name="Normal 9 4 6 2 3" xfId="34002"/>
    <cellStyle name="Normal 9 4 6 3" xfId="34003"/>
    <cellStyle name="Normal 9 4 6 3 2" xfId="34004"/>
    <cellStyle name="Normal 9 4 6 4" xfId="34005"/>
    <cellStyle name="Normal 9 4 6 4 2" xfId="34006"/>
    <cellStyle name="Normal 9 4 6 5" xfId="34007"/>
    <cellStyle name="Normal 9 4 6 6" xfId="34008"/>
    <cellStyle name="Normal 9 4 6 7" xfId="34009"/>
    <cellStyle name="Normal 9 4 7" xfId="34010"/>
    <cellStyle name="Normal 9 4 7 2" xfId="34011"/>
    <cellStyle name="Normal 9 4 7 2 2" xfId="34012"/>
    <cellStyle name="Normal 9 4 7 3" xfId="34013"/>
    <cellStyle name="Normal 9 4 7 3 2" xfId="34014"/>
    <cellStyle name="Normal 9 4 7 4" xfId="34015"/>
    <cellStyle name="Normal 9 4 7 5" xfId="34016"/>
    <cellStyle name="Normal 9 4 7 6" xfId="34017"/>
    <cellStyle name="Normal 9 4 8" xfId="34018"/>
    <cellStyle name="Normal 9 4 8 2" xfId="34019"/>
    <cellStyle name="Normal 9 4 9" xfId="34020"/>
    <cellStyle name="Normal 9 4 9 2" xfId="34021"/>
    <cellStyle name="Normal 9 5" xfId="34022"/>
    <cellStyle name="Normal 9 5 10" xfId="34023"/>
    <cellStyle name="Normal 9 5 11" xfId="34024"/>
    <cellStyle name="Normal 9 5 12" xfId="34025"/>
    <cellStyle name="Normal 9 5 2" xfId="34026"/>
    <cellStyle name="Normal 9 5 2 2" xfId="34027"/>
    <cellStyle name="Normal 9 5 2 2 2" xfId="34028"/>
    <cellStyle name="Normal 9 5 2 2 2 2" xfId="34029"/>
    <cellStyle name="Normal 9 5 2 2 3" xfId="34030"/>
    <cellStyle name="Normal 9 5 2 3" xfId="34031"/>
    <cellStyle name="Normal 9 5 2 3 2" xfId="34032"/>
    <cellStyle name="Normal 9 5 2 3 2 2" xfId="34033"/>
    <cellStyle name="Normal 9 5 2 3 3" xfId="34034"/>
    <cellStyle name="Normal 9 5 2 4" xfId="34035"/>
    <cellStyle name="Normal 9 5 2 4 2" xfId="34036"/>
    <cellStyle name="Normal 9 5 2 4 3" xfId="34037"/>
    <cellStyle name="Normal 9 5 2 5" xfId="34038"/>
    <cellStyle name="Normal 9 5 2 6" xfId="34039"/>
    <cellStyle name="Normal 9 5 2 7" xfId="34040"/>
    <cellStyle name="Normal 9 5 3" xfId="34041"/>
    <cellStyle name="Normal 9 5 3 2" xfId="34042"/>
    <cellStyle name="Normal 9 5 3 2 2" xfId="34043"/>
    <cellStyle name="Normal 9 5 3 2 3" xfId="34044"/>
    <cellStyle name="Normal 9 5 3 3" xfId="34045"/>
    <cellStyle name="Normal 9 5 3 3 2" xfId="34046"/>
    <cellStyle name="Normal 9 5 3 3 3" xfId="34047"/>
    <cellStyle name="Normal 9 5 3 4" xfId="34048"/>
    <cellStyle name="Normal 9 5 3 4 2" xfId="34049"/>
    <cellStyle name="Normal 9 5 3 5" xfId="34050"/>
    <cellStyle name="Normal 9 5 3 6" xfId="34051"/>
    <cellStyle name="Normal 9 5 3 7" xfId="34052"/>
    <cellStyle name="Normal 9 5 4" xfId="34053"/>
    <cellStyle name="Normal 9 5 4 2" xfId="34054"/>
    <cellStyle name="Normal 9 5 4 2 2" xfId="34055"/>
    <cellStyle name="Normal 9 5 4 2 3" xfId="34056"/>
    <cellStyle name="Normal 9 5 4 3" xfId="34057"/>
    <cellStyle name="Normal 9 5 4 3 2" xfId="34058"/>
    <cellStyle name="Normal 9 5 4 4" xfId="34059"/>
    <cellStyle name="Normal 9 5 4 4 2" xfId="34060"/>
    <cellStyle name="Normal 9 5 4 5" xfId="34061"/>
    <cellStyle name="Normal 9 5 4 6" xfId="34062"/>
    <cellStyle name="Normal 9 5 4 7" xfId="34063"/>
    <cellStyle name="Normal 9 5 5" xfId="34064"/>
    <cellStyle name="Normal 9 5 5 2" xfId="34065"/>
    <cellStyle name="Normal 9 5 5 2 2" xfId="34066"/>
    <cellStyle name="Normal 9 5 5 2 3" xfId="34067"/>
    <cellStyle name="Normal 9 5 5 3" xfId="34068"/>
    <cellStyle name="Normal 9 5 5 3 2" xfId="34069"/>
    <cellStyle name="Normal 9 5 5 4" xfId="34070"/>
    <cellStyle name="Normal 9 5 5 4 2" xfId="34071"/>
    <cellStyle name="Normal 9 5 5 5" xfId="34072"/>
    <cellStyle name="Normal 9 5 5 6" xfId="34073"/>
    <cellStyle name="Normal 9 5 5 7" xfId="34074"/>
    <cellStyle name="Normal 9 5 6" xfId="34075"/>
    <cellStyle name="Normal 9 5 6 2" xfId="34076"/>
    <cellStyle name="Normal 9 5 6 2 2" xfId="34077"/>
    <cellStyle name="Normal 9 5 6 3" xfId="34078"/>
    <cellStyle name="Normal 9 5 6 3 2" xfId="34079"/>
    <cellStyle name="Normal 9 5 6 4" xfId="34080"/>
    <cellStyle name="Normal 9 5 6 5" xfId="34081"/>
    <cellStyle name="Normal 9 5 6 6" xfId="34082"/>
    <cellStyle name="Normal 9 5 7" xfId="34083"/>
    <cellStyle name="Normal 9 5 7 2" xfId="34084"/>
    <cellStyle name="Normal 9 5 8" xfId="34085"/>
    <cellStyle name="Normal 9 5 8 2" xfId="34086"/>
    <cellStyle name="Normal 9 5 9" xfId="34087"/>
    <cellStyle name="Normal 9 5 9 2" xfId="34088"/>
    <cellStyle name="Normal 9 6" xfId="34089"/>
    <cellStyle name="Normal 9 6 10" xfId="34090"/>
    <cellStyle name="Normal 9 6 11" xfId="34091"/>
    <cellStyle name="Normal 9 6 2" xfId="34092"/>
    <cellStyle name="Normal 9 6 2 2" xfId="34093"/>
    <cellStyle name="Normal 9 6 2 2 2" xfId="34094"/>
    <cellStyle name="Normal 9 6 2 2 3" xfId="34095"/>
    <cellStyle name="Normal 9 6 2 3" xfId="34096"/>
    <cellStyle name="Normal 9 6 2 3 2" xfId="34097"/>
    <cellStyle name="Normal 9 6 2 4" xfId="34098"/>
    <cellStyle name="Normal 9 6 2 4 2" xfId="34099"/>
    <cellStyle name="Normal 9 6 2 5" xfId="34100"/>
    <cellStyle name="Normal 9 6 2 6" xfId="34101"/>
    <cellStyle name="Normal 9 6 2 7" xfId="34102"/>
    <cellStyle name="Normal 9 6 3" xfId="34103"/>
    <cellStyle name="Normal 9 6 3 2" xfId="34104"/>
    <cellStyle name="Normal 9 6 3 2 2" xfId="34105"/>
    <cellStyle name="Normal 9 6 3 2 3" xfId="34106"/>
    <cellStyle name="Normal 9 6 3 3" xfId="34107"/>
    <cellStyle name="Normal 9 6 3 3 2" xfId="34108"/>
    <cellStyle name="Normal 9 6 3 4" xfId="34109"/>
    <cellStyle name="Normal 9 6 3 4 2" xfId="34110"/>
    <cellStyle name="Normal 9 6 3 5" xfId="34111"/>
    <cellStyle name="Normal 9 6 3 6" xfId="34112"/>
    <cellStyle name="Normal 9 6 3 7" xfId="34113"/>
    <cellStyle name="Normal 9 6 4" xfId="34114"/>
    <cellStyle name="Normal 9 6 4 2" xfId="34115"/>
    <cellStyle name="Normal 9 6 4 2 2" xfId="34116"/>
    <cellStyle name="Normal 9 6 4 3" xfId="34117"/>
    <cellStyle name="Normal 9 6 4 3 2" xfId="34118"/>
    <cellStyle name="Normal 9 6 4 4" xfId="34119"/>
    <cellStyle name="Normal 9 6 4 4 2" xfId="34120"/>
    <cellStyle name="Normal 9 6 4 5" xfId="34121"/>
    <cellStyle name="Normal 9 6 4 6" xfId="34122"/>
    <cellStyle name="Normal 9 6 4 7" xfId="34123"/>
    <cellStyle name="Normal 9 6 5" xfId="34124"/>
    <cellStyle name="Normal 9 6 5 2" xfId="34125"/>
    <cellStyle name="Normal 9 6 5 2 2" xfId="34126"/>
    <cellStyle name="Normal 9 6 5 3" xfId="34127"/>
    <cellStyle name="Normal 9 6 5 3 2" xfId="34128"/>
    <cellStyle name="Normal 9 6 5 4" xfId="34129"/>
    <cellStyle name="Normal 9 6 5 5" xfId="34130"/>
    <cellStyle name="Normal 9 6 6" xfId="34131"/>
    <cellStyle name="Normal 9 6 6 2" xfId="34132"/>
    <cellStyle name="Normal 9 6 7" xfId="34133"/>
    <cellStyle name="Normal 9 6 7 2" xfId="34134"/>
    <cellStyle name="Normal 9 6 8" xfId="34135"/>
    <cellStyle name="Normal 9 6 8 2" xfId="34136"/>
    <cellStyle name="Normal 9 6 9" xfId="34137"/>
    <cellStyle name="Normal 9 7" xfId="34138"/>
    <cellStyle name="Normal 9 7 10" xfId="34139"/>
    <cellStyle name="Normal 9 7 11" xfId="34140"/>
    <cellStyle name="Normal 9 7 2" xfId="34141"/>
    <cellStyle name="Normal 9 7 2 2" xfId="34142"/>
    <cellStyle name="Normal 9 7 2 2 2" xfId="34143"/>
    <cellStyle name="Normal 9 7 2 2 3" xfId="34144"/>
    <cellStyle name="Normal 9 7 2 3" xfId="34145"/>
    <cellStyle name="Normal 9 7 2 3 2" xfId="34146"/>
    <cellStyle name="Normal 9 7 2 4" xfId="34147"/>
    <cellStyle name="Normal 9 7 2 4 2" xfId="34148"/>
    <cellStyle name="Normal 9 7 2 5" xfId="34149"/>
    <cellStyle name="Normal 9 7 2 6" xfId="34150"/>
    <cellStyle name="Normal 9 7 2 7" xfId="34151"/>
    <cellStyle name="Normal 9 7 3" xfId="34152"/>
    <cellStyle name="Normal 9 7 3 2" xfId="34153"/>
    <cellStyle name="Normal 9 7 3 2 2" xfId="34154"/>
    <cellStyle name="Normal 9 7 3 2 3" xfId="34155"/>
    <cellStyle name="Normal 9 7 3 3" xfId="34156"/>
    <cellStyle name="Normal 9 7 3 3 2" xfId="34157"/>
    <cellStyle name="Normal 9 7 3 4" xfId="34158"/>
    <cellStyle name="Normal 9 7 3 4 2" xfId="34159"/>
    <cellStyle name="Normal 9 7 3 5" xfId="34160"/>
    <cellStyle name="Normal 9 7 3 6" xfId="34161"/>
    <cellStyle name="Normal 9 7 3 7" xfId="34162"/>
    <cellStyle name="Normal 9 7 4" xfId="34163"/>
    <cellStyle name="Normal 9 7 4 2" xfId="34164"/>
    <cellStyle name="Normal 9 7 4 2 2" xfId="34165"/>
    <cellStyle name="Normal 9 7 4 3" xfId="34166"/>
    <cellStyle name="Normal 9 7 4 3 2" xfId="34167"/>
    <cellStyle name="Normal 9 7 4 4" xfId="34168"/>
    <cellStyle name="Normal 9 7 4 4 2" xfId="34169"/>
    <cellStyle name="Normal 9 7 4 5" xfId="34170"/>
    <cellStyle name="Normal 9 7 4 6" xfId="34171"/>
    <cellStyle name="Normal 9 7 4 7" xfId="34172"/>
    <cellStyle name="Normal 9 7 5" xfId="34173"/>
    <cellStyle name="Normal 9 7 5 2" xfId="34174"/>
    <cellStyle name="Normal 9 7 5 2 2" xfId="34175"/>
    <cellStyle name="Normal 9 7 5 3" xfId="34176"/>
    <cellStyle name="Normal 9 7 5 3 2" xfId="34177"/>
    <cellStyle name="Normal 9 7 5 4" xfId="34178"/>
    <cellStyle name="Normal 9 7 5 5" xfId="34179"/>
    <cellStyle name="Normal 9 7 6" xfId="34180"/>
    <cellStyle name="Normal 9 7 6 2" xfId="34181"/>
    <cellStyle name="Normal 9 7 7" xfId="34182"/>
    <cellStyle name="Normal 9 7 7 2" xfId="34183"/>
    <cellStyle name="Normal 9 7 8" xfId="34184"/>
    <cellStyle name="Normal 9 7 8 2" xfId="34185"/>
    <cellStyle name="Normal 9 7 9" xfId="34186"/>
    <cellStyle name="Normal 9 8" xfId="34187"/>
    <cellStyle name="Normal 9 8 2" xfId="34188"/>
    <cellStyle name="Normal 9 8 2 2" xfId="34189"/>
    <cellStyle name="Normal 9 8 2 3" xfId="34190"/>
    <cellStyle name="Normal 9 8 3" xfId="34191"/>
    <cellStyle name="Normal 9 8 3 2" xfId="34192"/>
    <cellStyle name="Normal 9 8 3 3" xfId="34193"/>
    <cellStyle name="Normal 9 8 4" xfId="34194"/>
    <cellStyle name="Normal 9 8 4 2" xfId="34195"/>
    <cellStyle name="Normal 9 8 5" xfId="34196"/>
    <cellStyle name="Normal 9 8 6" xfId="34197"/>
    <cellStyle name="Normal 9 8 7" xfId="34198"/>
    <cellStyle name="Normal 9 9" xfId="34199"/>
    <cellStyle name="Normal 9 9 2" xfId="34200"/>
    <cellStyle name="Normal 9 9 2 2" xfId="34201"/>
    <cellStyle name="Normal 9 9 2 3" xfId="34202"/>
    <cellStyle name="Normal 9 9 3" xfId="34203"/>
    <cellStyle name="Normal 9 9 3 2" xfId="34204"/>
    <cellStyle name="Normal 9 9 4" xfId="34205"/>
    <cellStyle name="Normal 9 9 4 2" xfId="34206"/>
    <cellStyle name="Normal 9 9 5" xfId="34207"/>
    <cellStyle name="Normal 9 9 6" xfId="34208"/>
    <cellStyle name="Normal 9 9 7" xfId="34209"/>
    <cellStyle name="Normal 90" xfId="34210"/>
    <cellStyle name="Normal 91" xfId="34211"/>
    <cellStyle name="Normal 92" xfId="34212"/>
    <cellStyle name="Normal 93" xfId="34213"/>
    <cellStyle name="Normal 94" xfId="34214"/>
    <cellStyle name="Normal 95" xfId="34215"/>
    <cellStyle name="Normal 96" xfId="34216"/>
    <cellStyle name="Normal 97" xfId="34217"/>
    <cellStyle name="Normal 98" xfId="34218"/>
    <cellStyle name="Normal 99" xfId="34219"/>
    <cellStyle name="Normal_ACCTTABLE" xfId="2"/>
    <cellStyle name="Normal_ALLOCTABLE" xfId="3"/>
    <cellStyle name="Normal_Cinergy D-5" xfId="4"/>
    <cellStyle name="Normal_IURC SFR MODEL - UPDATE FILING August 2003" xfId="5"/>
    <cellStyle name="Normal_KPSC ELECTRIC SFRs" xfId="6"/>
    <cellStyle name="Normal_KPSC GAS SFRs - UPDATED" xfId="7"/>
    <cellStyle name="Normal_KPSC GAS SFRs-Forward Looking" xfId="8"/>
    <cellStyle name="Normal_LOGO" xfId="9"/>
    <cellStyle name="Normal_PUCO ELECTRIC SFRs 2" xfId="69"/>
    <cellStyle name="Normal_PUCO GAS SFRs" xfId="10"/>
    <cellStyle name="Normal_SCH_11" xfId="11"/>
    <cellStyle name="Normal_SCH_A" xfId="12"/>
    <cellStyle name="Normal_SCH_B1" xfId="13"/>
    <cellStyle name="Normal_SCH_B5s" xfId="14"/>
    <cellStyle name="Normal_SCH_B6" xfId="15"/>
    <cellStyle name="Normal_SCH_B7s" xfId="16"/>
    <cellStyle name="Normal_SCH_B8" xfId="17"/>
    <cellStyle name="Normal_SCH_C1" xfId="18"/>
    <cellStyle name="Normal_SCH_C2" xfId="19"/>
    <cellStyle name="Normal_SCH_C2.1" xfId="20"/>
    <cellStyle name="Normal_SCH_D1" xfId="21"/>
    <cellStyle name="Normal_SCH_D2.1" xfId="22"/>
    <cellStyle name="Normal_SCH_D2.10" xfId="23"/>
    <cellStyle name="Normal_SCH_D2.11" xfId="24"/>
    <cellStyle name="Normal_SCH_D2.12" xfId="25"/>
    <cellStyle name="Normal_SCH_D2.13" xfId="26"/>
    <cellStyle name="Normal_SCH_D2.14" xfId="27"/>
    <cellStyle name="Normal_SCH_D2.15" xfId="28"/>
    <cellStyle name="Normal_SCH_D2.17" xfId="29"/>
    <cellStyle name="Normal_SCH_D2.19" xfId="30"/>
    <cellStyle name="Normal_SCH_D2.2" xfId="31"/>
    <cellStyle name="Normal_SCH_D2.3" xfId="32"/>
    <cellStyle name="Normal_SCH_D2.6" xfId="33"/>
    <cellStyle name="Normal_SCH_D2.7" xfId="34"/>
    <cellStyle name="Normal_SCH_D3" xfId="35"/>
    <cellStyle name="Normal_SCH_D4" xfId="36"/>
    <cellStyle name="Normal_SCH_E1" xfId="37"/>
    <cellStyle name="Normal_SCH_E2" xfId="38"/>
    <cellStyle name="Normal_SCH_F1" xfId="39"/>
    <cellStyle name="Normal_SCH_F2.1" xfId="40"/>
    <cellStyle name="Normal_SCH_F2.2" xfId="41"/>
    <cellStyle name="Normal_SCH_F2.3" xfId="42"/>
    <cellStyle name="Normal_SCH_F3" xfId="43"/>
    <cellStyle name="Normal_SCH_F4" xfId="44"/>
    <cellStyle name="Normal_SCH_F5" xfId="45"/>
    <cellStyle name="Normal_SCH_F6" xfId="46"/>
    <cellStyle name="Normal_SCH_F7" xfId="47"/>
    <cellStyle name="Normal_SCH_G1" xfId="48"/>
    <cellStyle name="Normal_SCH_G2" xfId="49"/>
    <cellStyle name="Normal_SCH_H" xfId="50"/>
    <cellStyle name="Normal_SCH_I" xfId="51"/>
    <cellStyle name="Normal_SCH_I2.1" xfId="52"/>
    <cellStyle name="Normal_SCH_I3" xfId="53"/>
    <cellStyle name="Normal_SCH_I4" xfId="54"/>
    <cellStyle name="Normal_SCH_I5" xfId="55"/>
    <cellStyle name="Normal_SCH_J1" xfId="56"/>
    <cellStyle name="Normal_Schedule B-2" xfId="57"/>
    <cellStyle name="Normal_Schedule B-3" xfId="58"/>
    <cellStyle name="Normal_Schedule B-4" xfId="59"/>
    <cellStyle name="Normal_TAXTABLE" xfId="60"/>
    <cellStyle name="Normal_WPB-5's" xfId="61"/>
    <cellStyle name="Note 10" xfId="34220"/>
    <cellStyle name="Note 11" xfId="34221"/>
    <cellStyle name="Note 12" xfId="34222"/>
    <cellStyle name="Note 13" xfId="34223"/>
    <cellStyle name="Note 2" xfId="34224"/>
    <cellStyle name="Note 2 2" xfId="34225"/>
    <cellStyle name="Note 2 2 2" xfId="34226"/>
    <cellStyle name="Note 2 2 2 2" xfId="34227"/>
    <cellStyle name="Note 2 2 2 2 2" xfId="34228"/>
    <cellStyle name="Note 2 2 2 2 3" xfId="34229"/>
    <cellStyle name="Note 2 2 2 2 4" xfId="34230"/>
    <cellStyle name="Note 2 2 2 3" xfId="34231"/>
    <cellStyle name="Note 2 2 2 4" xfId="34232"/>
    <cellStyle name="Note 2 2 2 5" xfId="34233"/>
    <cellStyle name="Note 2 2 3" xfId="34234"/>
    <cellStyle name="Note 2 2 3 2" xfId="34235"/>
    <cellStyle name="Note 2 2 3 3" xfId="34236"/>
    <cellStyle name="Note 2 2 3 4" xfId="34237"/>
    <cellStyle name="Note 2 2 4" xfId="34238"/>
    <cellStyle name="Note 2 2 5" xfId="34239"/>
    <cellStyle name="Note 2 2 5 2" xfId="34240"/>
    <cellStyle name="Note 2 2 5 3" xfId="34241"/>
    <cellStyle name="Note 2 2 6" xfId="34242"/>
    <cellStyle name="Note 2 2 6 2" xfId="34243"/>
    <cellStyle name="Note 2 2 7" xfId="34244"/>
    <cellStyle name="Note 2 3" xfId="34245"/>
    <cellStyle name="Note 2 3 2" xfId="34246"/>
    <cellStyle name="Note 2 3 3" xfId="34247"/>
    <cellStyle name="Note 2 4" xfId="34248"/>
    <cellStyle name="Note 2 5" xfId="34249"/>
    <cellStyle name="Note 3" xfId="34250"/>
    <cellStyle name="Note 3 2" xfId="34251"/>
    <cellStyle name="Note 3 2 2" xfId="34252"/>
    <cellStyle name="Note 3 3" xfId="34253"/>
    <cellStyle name="Note 3 4" xfId="34254"/>
    <cellStyle name="Note 3 5" xfId="34255"/>
    <cellStyle name="Note 4" xfId="34256"/>
    <cellStyle name="Note 4 2" xfId="34257"/>
    <cellStyle name="Note 4 2 2" xfId="34258"/>
    <cellStyle name="Note 4 2 3" xfId="34259"/>
    <cellStyle name="Note 4 3" xfId="34260"/>
    <cellStyle name="Note 4 3 2" xfId="34261"/>
    <cellStyle name="Note 4 3 3" xfId="34262"/>
    <cellStyle name="Note 4 4" xfId="34263"/>
    <cellStyle name="Note 4 5" xfId="34264"/>
    <cellStyle name="Note 4 6" xfId="34265"/>
    <cellStyle name="Note 5" xfId="34266"/>
    <cellStyle name="Note 5 2" xfId="34267"/>
    <cellStyle name="Note 6" xfId="34268"/>
    <cellStyle name="Note 6 2" xfId="34269"/>
    <cellStyle name="Note 7" xfId="34270"/>
    <cellStyle name="Note 7 2" xfId="34271"/>
    <cellStyle name="Note 8" xfId="34272"/>
    <cellStyle name="Note 9" xfId="34273"/>
    <cellStyle name="Output 2" xfId="34274"/>
    <cellStyle name="Output 2 2" xfId="34275"/>
    <cellStyle name="Output 3" xfId="34276"/>
    <cellStyle name="Output Report Heading_C_BS5_D_C_YTD_CONSG_ALL_U" xfId="34277"/>
    <cellStyle name="Percent" xfId="62" builtinId="5"/>
    <cellStyle name="Percent [2]" xfId="34278"/>
    <cellStyle name="Percent 1" xfId="34279"/>
    <cellStyle name="Percent 10" xfId="34280"/>
    <cellStyle name="Percent 10 2" xfId="34281"/>
    <cellStyle name="Percent 10 3" xfId="34282"/>
    <cellStyle name="Percent 11" xfId="34283"/>
    <cellStyle name="Percent 11 2" xfId="34284"/>
    <cellStyle name="Percent 11 3" xfId="34285"/>
    <cellStyle name="Percent 12" xfId="34286"/>
    <cellStyle name="Percent 13" xfId="34287"/>
    <cellStyle name="Percent 14" xfId="34288"/>
    <cellStyle name="Percent 15" xfId="34289"/>
    <cellStyle name="Percent 16" xfId="34290"/>
    <cellStyle name="Percent 17" xfId="34291"/>
    <cellStyle name="Percent 18" xfId="34292"/>
    <cellStyle name="Percent 19" xfId="34293"/>
    <cellStyle name="Percent 2" xfId="68"/>
    <cellStyle name="Percent 2 10" xfId="34294"/>
    <cellStyle name="Percent 2 10 2" xfId="34295"/>
    <cellStyle name="Percent 2 11" xfId="34296"/>
    <cellStyle name="Percent 2 12" xfId="34297"/>
    <cellStyle name="Percent 2 2" xfId="34298"/>
    <cellStyle name="Percent 2 2 10" xfId="34299"/>
    <cellStyle name="Percent 2 2 10 2" xfId="34300"/>
    <cellStyle name="Percent 2 2 10 2 2" xfId="34301"/>
    <cellStyle name="Percent 2 2 10 3" xfId="34302"/>
    <cellStyle name="Percent 2 2 10 3 2" xfId="34303"/>
    <cellStyle name="Percent 2 2 10 4" xfId="34304"/>
    <cellStyle name="Percent 2 2 10 4 2" xfId="34305"/>
    <cellStyle name="Percent 2 2 10 5" xfId="34306"/>
    <cellStyle name="Percent 2 2 10 6" xfId="34307"/>
    <cellStyle name="Percent 2 2 11" xfId="34308"/>
    <cellStyle name="Percent 2 2 11 2" xfId="34309"/>
    <cellStyle name="Percent 2 2 11 2 2" xfId="34310"/>
    <cellStyle name="Percent 2 2 11 3" xfId="34311"/>
    <cellStyle name="Percent 2 2 11 3 2" xfId="34312"/>
    <cellStyle name="Percent 2 2 11 4" xfId="34313"/>
    <cellStyle name="Percent 2 2 11 5" xfId="34314"/>
    <cellStyle name="Percent 2 2 12" xfId="34315"/>
    <cellStyle name="Percent 2 2 12 2" xfId="34316"/>
    <cellStyle name="Percent 2 2 13" xfId="34317"/>
    <cellStyle name="Percent 2 2 13 2" xfId="34318"/>
    <cellStyle name="Percent 2 2 14" xfId="34319"/>
    <cellStyle name="Percent 2 2 14 2" xfId="34320"/>
    <cellStyle name="Percent 2 2 15" xfId="34321"/>
    <cellStyle name="Percent 2 2 16" xfId="34322"/>
    <cellStyle name="Percent 2 2 17" xfId="34323"/>
    <cellStyle name="Percent 2 2 2" xfId="34324"/>
    <cellStyle name="Percent 2 2 2 10" xfId="34325"/>
    <cellStyle name="Percent 2 2 2 10 2" xfId="34326"/>
    <cellStyle name="Percent 2 2 2 11" xfId="34327"/>
    <cellStyle name="Percent 2 2 2 11 2" xfId="34328"/>
    <cellStyle name="Percent 2 2 2 12" xfId="34329"/>
    <cellStyle name="Percent 2 2 2 13" xfId="34330"/>
    <cellStyle name="Percent 2 2 2 2" xfId="34331"/>
    <cellStyle name="Percent 2 2 2 2 10" xfId="34332"/>
    <cellStyle name="Percent 2 2 2 2 11" xfId="34333"/>
    <cellStyle name="Percent 2 2 2 2 2" xfId="34334"/>
    <cellStyle name="Percent 2 2 2 2 2 2" xfId="34335"/>
    <cellStyle name="Percent 2 2 2 2 2 2 2" xfId="34336"/>
    <cellStyle name="Percent 2 2 2 2 2 3" xfId="34337"/>
    <cellStyle name="Percent 2 2 2 2 2 3 2" xfId="34338"/>
    <cellStyle name="Percent 2 2 2 2 2 4" xfId="34339"/>
    <cellStyle name="Percent 2 2 2 2 2 4 2" xfId="34340"/>
    <cellStyle name="Percent 2 2 2 2 2 5" xfId="34341"/>
    <cellStyle name="Percent 2 2 2 2 2 6" xfId="34342"/>
    <cellStyle name="Percent 2 2 2 2 3" xfId="34343"/>
    <cellStyle name="Percent 2 2 2 2 3 2" xfId="34344"/>
    <cellStyle name="Percent 2 2 2 2 3 2 2" xfId="34345"/>
    <cellStyle name="Percent 2 2 2 2 3 3" xfId="34346"/>
    <cellStyle name="Percent 2 2 2 2 3 3 2" xfId="34347"/>
    <cellStyle name="Percent 2 2 2 2 3 4" xfId="34348"/>
    <cellStyle name="Percent 2 2 2 2 3 4 2" xfId="34349"/>
    <cellStyle name="Percent 2 2 2 2 3 5" xfId="34350"/>
    <cellStyle name="Percent 2 2 2 2 3 6" xfId="34351"/>
    <cellStyle name="Percent 2 2 2 2 4" xfId="34352"/>
    <cellStyle name="Percent 2 2 2 2 4 2" xfId="34353"/>
    <cellStyle name="Percent 2 2 2 2 4 2 2" xfId="34354"/>
    <cellStyle name="Percent 2 2 2 2 4 3" xfId="34355"/>
    <cellStyle name="Percent 2 2 2 2 4 3 2" xfId="34356"/>
    <cellStyle name="Percent 2 2 2 2 4 4" xfId="34357"/>
    <cellStyle name="Percent 2 2 2 2 4 4 2" xfId="34358"/>
    <cellStyle name="Percent 2 2 2 2 4 5" xfId="34359"/>
    <cellStyle name="Percent 2 2 2 2 4 6" xfId="34360"/>
    <cellStyle name="Percent 2 2 2 2 5" xfId="34361"/>
    <cellStyle name="Percent 2 2 2 2 5 2" xfId="34362"/>
    <cellStyle name="Percent 2 2 2 2 5 2 2" xfId="34363"/>
    <cellStyle name="Percent 2 2 2 2 5 3" xfId="34364"/>
    <cellStyle name="Percent 2 2 2 2 5 3 2" xfId="34365"/>
    <cellStyle name="Percent 2 2 2 2 5 4" xfId="34366"/>
    <cellStyle name="Percent 2 2 2 2 5 4 2" xfId="34367"/>
    <cellStyle name="Percent 2 2 2 2 5 5" xfId="34368"/>
    <cellStyle name="Percent 2 2 2 2 5 6" xfId="34369"/>
    <cellStyle name="Percent 2 2 2 2 6" xfId="34370"/>
    <cellStyle name="Percent 2 2 2 2 6 2" xfId="34371"/>
    <cellStyle name="Percent 2 2 2 2 6 2 2" xfId="34372"/>
    <cellStyle name="Percent 2 2 2 2 6 3" xfId="34373"/>
    <cellStyle name="Percent 2 2 2 2 6 3 2" xfId="34374"/>
    <cellStyle name="Percent 2 2 2 2 6 4" xfId="34375"/>
    <cellStyle name="Percent 2 2 2 2 6 5" xfId="34376"/>
    <cellStyle name="Percent 2 2 2 2 7" xfId="34377"/>
    <cellStyle name="Percent 2 2 2 2 7 2" xfId="34378"/>
    <cellStyle name="Percent 2 2 2 2 8" xfId="34379"/>
    <cellStyle name="Percent 2 2 2 2 8 2" xfId="34380"/>
    <cellStyle name="Percent 2 2 2 2 9" xfId="34381"/>
    <cellStyle name="Percent 2 2 2 2 9 2" xfId="34382"/>
    <cellStyle name="Percent 2 2 2 3" xfId="34383"/>
    <cellStyle name="Percent 2 2 2 3 10" xfId="34384"/>
    <cellStyle name="Percent 2 2 2 3 2" xfId="34385"/>
    <cellStyle name="Percent 2 2 2 3 2 2" xfId="34386"/>
    <cellStyle name="Percent 2 2 2 3 2 2 2" xfId="34387"/>
    <cellStyle name="Percent 2 2 2 3 2 3" xfId="34388"/>
    <cellStyle name="Percent 2 2 2 3 2 3 2" xfId="34389"/>
    <cellStyle name="Percent 2 2 2 3 2 4" xfId="34390"/>
    <cellStyle name="Percent 2 2 2 3 2 4 2" xfId="34391"/>
    <cellStyle name="Percent 2 2 2 3 2 5" xfId="34392"/>
    <cellStyle name="Percent 2 2 2 3 2 6" xfId="34393"/>
    <cellStyle name="Percent 2 2 2 3 3" xfId="34394"/>
    <cellStyle name="Percent 2 2 2 3 3 2" xfId="34395"/>
    <cellStyle name="Percent 2 2 2 3 3 2 2" xfId="34396"/>
    <cellStyle name="Percent 2 2 2 3 3 3" xfId="34397"/>
    <cellStyle name="Percent 2 2 2 3 3 3 2" xfId="34398"/>
    <cellStyle name="Percent 2 2 2 3 3 4" xfId="34399"/>
    <cellStyle name="Percent 2 2 2 3 3 4 2" xfId="34400"/>
    <cellStyle name="Percent 2 2 2 3 3 5" xfId="34401"/>
    <cellStyle name="Percent 2 2 2 3 3 6" xfId="34402"/>
    <cellStyle name="Percent 2 2 2 3 4" xfId="34403"/>
    <cellStyle name="Percent 2 2 2 3 4 2" xfId="34404"/>
    <cellStyle name="Percent 2 2 2 3 4 2 2" xfId="34405"/>
    <cellStyle name="Percent 2 2 2 3 4 3" xfId="34406"/>
    <cellStyle name="Percent 2 2 2 3 4 3 2" xfId="34407"/>
    <cellStyle name="Percent 2 2 2 3 4 4" xfId="34408"/>
    <cellStyle name="Percent 2 2 2 3 4 4 2" xfId="34409"/>
    <cellStyle name="Percent 2 2 2 3 4 5" xfId="34410"/>
    <cellStyle name="Percent 2 2 2 3 4 6" xfId="34411"/>
    <cellStyle name="Percent 2 2 2 3 5" xfId="34412"/>
    <cellStyle name="Percent 2 2 2 3 5 2" xfId="34413"/>
    <cellStyle name="Percent 2 2 2 3 5 2 2" xfId="34414"/>
    <cellStyle name="Percent 2 2 2 3 5 3" xfId="34415"/>
    <cellStyle name="Percent 2 2 2 3 5 3 2" xfId="34416"/>
    <cellStyle name="Percent 2 2 2 3 5 4" xfId="34417"/>
    <cellStyle name="Percent 2 2 2 3 5 5" xfId="34418"/>
    <cellStyle name="Percent 2 2 2 3 6" xfId="34419"/>
    <cellStyle name="Percent 2 2 2 3 6 2" xfId="34420"/>
    <cellStyle name="Percent 2 2 2 3 7" xfId="34421"/>
    <cellStyle name="Percent 2 2 2 3 7 2" xfId="34422"/>
    <cellStyle name="Percent 2 2 2 3 8" xfId="34423"/>
    <cellStyle name="Percent 2 2 2 3 8 2" xfId="34424"/>
    <cellStyle name="Percent 2 2 2 3 9" xfId="34425"/>
    <cellStyle name="Percent 2 2 2 4" xfId="34426"/>
    <cellStyle name="Percent 2 2 2 4 10" xfId="34427"/>
    <cellStyle name="Percent 2 2 2 4 2" xfId="34428"/>
    <cellStyle name="Percent 2 2 2 4 2 2" xfId="34429"/>
    <cellStyle name="Percent 2 2 2 4 2 2 2" xfId="34430"/>
    <cellStyle name="Percent 2 2 2 4 2 3" xfId="34431"/>
    <cellStyle name="Percent 2 2 2 4 2 3 2" xfId="34432"/>
    <cellStyle name="Percent 2 2 2 4 2 4" xfId="34433"/>
    <cellStyle name="Percent 2 2 2 4 2 4 2" xfId="34434"/>
    <cellStyle name="Percent 2 2 2 4 2 5" xfId="34435"/>
    <cellStyle name="Percent 2 2 2 4 2 6" xfId="34436"/>
    <cellStyle name="Percent 2 2 2 4 3" xfId="34437"/>
    <cellStyle name="Percent 2 2 2 4 3 2" xfId="34438"/>
    <cellStyle name="Percent 2 2 2 4 3 2 2" xfId="34439"/>
    <cellStyle name="Percent 2 2 2 4 3 3" xfId="34440"/>
    <cellStyle name="Percent 2 2 2 4 3 3 2" xfId="34441"/>
    <cellStyle name="Percent 2 2 2 4 3 4" xfId="34442"/>
    <cellStyle name="Percent 2 2 2 4 3 4 2" xfId="34443"/>
    <cellStyle name="Percent 2 2 2 4 3 5" xfId="34444"/>
    <cellStyle name="Percent 2 2 2 4 3 6" xfId="34445"/>
    <cellStyle name="Percent 2 2 2 4 4" xfId="34446"/>
    <cellStyle name="Percent 2 2 2 4 4 2" xfId="34447"/>
    <cellStyle name="Percent 2 2 2 4 4 2 2" xfId="34448"/>
    <cellStyle name="Percent 2 2 2 4 4 3" xfId="34449"/>
    <cellStyle name="Percent 2 2 2 4 4 3 2" xfId="34450"/>
    <cellStyle name="Percent 2 2 2 4 4 4" xfId="34451"/>
    <cellStyle name="Percent 2 2 2 4 4 4 2" xfId="34452"/>
    <cellStyle name="Percent 2 2 2 4 4 5" xfId="34453"/>
    <cellStyle name="Percent 2 2 2 4 4 6" xfId="34454"/>
    <cellStyle name="Percent 2 2 2 4 5" xfId="34455"/>
    <cellStyle name="Percent 2 2 2 4 5 2" xfId="34456"/>
    <cellStyle name="Percent 2 2 2 4 5 2 2" xfId="34457"/>
    <cellStyle name="Percent 2 2 2 4 5 3" xfId="34458"/>
    <cellStyle name="Percent 2 2 2 4 5 3 2" xfId="34459"/>
    <cellStyle name="Percent 2 2 2 4 5 4" xfId="34460"/>
    <cellStyle name="Percent 2 2 2 4 5 5" xfId="34461"/>
    <cellStyle name="Percent 2 2 2 4 6" xfId="34462"/>
    <cellStyle name="Percent 2 2 2 4 6 2" xfId="34463"/>
    <cellStyle name="Percent 2 2 2 4 7" xfId="34464"/>
    <cellStyle name="Percent 2 2 2 4 7 2" xfId="34465"/>
    <cellStyle name="Percent 2 2 2 4 8" xfId="34466"/>
    <cellStyle name="Percent 2 2 2 4 8 2" xfId="34467"/>
    <cellStyle name="Percent 2 2 2 4 9" xfId="34468"/>
    <cellStyle name="Percent 2 2 2 5" xfId="34469"/>
    <cellStyle name="Percent 2 2 2 5 2" xfId="34470"/>
    <cellStyle name="Percent 2 2 2 5 2 2" xfId="34471"/>
    <cellStyle name="Percent 2 2 2 5 3" xfId="34472"/>
    <cellStyle name="Percent 2 2 2 5 3 2" xfId="34473"/>
    <cellStyle name="Percent 2 2 2 5 4" xfId="34474"/>
    <cellStyle name="Percent 2 2 2 5 4 2" xfId="34475"/>
    <cellStyle name="Percent 2 2 2 5 5" xfId="34476"/>
    <cellStyle name="Percent 2 2 2 5 6" xfId="34477"/>
    <cellStyle name="Percent 2 2 2 6" xfId="34478"/>
    <cellStyle name="Percent 2 2 2 6 2" xfId="34479"/>
    <cellStyle name="Percent 2 2 2 6 2 2" xfId="34480"/>
    <cellStyle name="Percent 2 2 2 6 3" xfId="34481"/>
    <cellStyle name="Percent 2 2 2 6 3 2" xfId="34482"/>
    <cellStyle name="Percent 2 2 2 6 4" xfId="34483"/>
    <cellStyle name="Percent 2 2 2 6 4 2" xfId="34484"/>
    <cellStyle name="Percent 2 2 2 6 5" xfId="34485"/>
    <cellStyle name="Percent 2 2 2 6 6" xfId="34486"/>
    <cellStyle name="Percent 2 2 2 7" xfId="34487"/>
    <cellStyle name="Percent 2 2 2 7 2" xfId="34488"/>
    <cellStyle name="Percent 2 2 2 7 2 2" xfId="34489"/>
    <cellStyle name="Percent 2 2 2 7 3" xfId="34490"/>
    <cellStyle name="Percent 2 2 2 7 3 2" xfId="34491"/>
    <cellStyle name="Percent 2 2 2 7 4" xfId="34492"/>
    <cellStyle name="Percent 2 2 2 7 4 2" xfId="34493"/>
    <cellStyle name="Percent 2 2 2 7 5" xfId="34494"/>
    <cellStyle name="Percent 2 2 2 7 6" xfId="34495"/>
    <cellStyle name="Percent 2 2 2 8" xfId="34496"/>
    <cellStyle name="Percent 2 2 2 8 2" xfId="34497"/>
    <cellStyle name="Percent 2 2 2 8 2 2" xfId="34498"/>
    <cellStyle name="Percent 2 2 2 8 3" xfId="34499"/>
    <cellStyle name="Percent 2 2 2 8 3 2" xfId="34500"/>
    <cellStyle name="Percent 2 2 2 8 4" xfId="34501"/>
    <cellStyle name="Percent 2 2 2 8 5" xfId="34502"/>
    <cellStyle name="Percent 2 2 2 9" xfId="34503"/>
    <cellStyle name="Percent 2 2 2 9 2" xfId="34504"/>
    <cellStyle name="Percent 2 2 3" xfId="34505"/>
    <cellStyle name="Percent 2 2 3 10" xfId="34506"/>
    <cellStyle name="Percent 2 2 3 10 2" xfId="34507"/>
    <cellStyle name="Percent 2 2 3 11" xfId="34508"/>
    <cellStyle name="Percent 2 2 3 11 2" xfId="34509"/>
    <cellStyle name="Percent 2 2 3 12" xfId="34510"/>
    <cellStyle name="Percent 2 2 3 13" xfId="34511"/>
    <cellStyle name="Percent 2 2 3 2" xfId="34512"/>
    <cellStyle name="Percent 2 2 3 2 10" xfId="34513"/>
    <cellStyle name="Percent 2 2 3 2 11" xfId="34514"/>
    <cellStyle name="Percent 2 2 3 2 2" xfId="34515"/>
    <cellStyle name="Percent 2 2 3 2 2 2" xfId="34516"/>
    <cellStyle name="Percent 2 2 3 2 2 2 2" xfId="34517"/>
    <cellStyle name="Percent 2 2 3 2 2 3" xfId="34518"/>
    <cellStyle name="Percent 2 2 3 2 2 3 2" xfId="34519"/>
    <cellStyle name="Percent 2 2 3 2 2 4" xfId="34520"/>
    <cellStyle name="Percent 2 2 3 2 2 4 2" xfId="34521"/>
    <cellStyle name="Percent 2 2 3 2 2 5" xfId="34522"/>
    <cellStyle name="Percent 2 2 3 2 2 6" xfId="34523"/>
    <cellStyle name="Percent 2 2 3 2 3" xfId="34524"/>
    <cellStyle name="Percent 2 2 3 2 3 2" xfId="34525"/>
    <cellStyle name="Percent 2 2 3 2 3 2 2" xfId="34526"/>
    <cellStyle name="Percent 2 2 3 2 3 3" xfId="34527"/>
    <cellStyle name="Percent 2 2 3 2 3 3 2" xfId="34528"/>
    <cellStyle name="Percent 2 2 3 2 3 4" xfId="34529"/>
    <cellStyle name="Percent 2 2 3 2 3 4 2" xfId="34530"/>
    <cellStyle name="Percent 2 2 3 2 3 5" xfId="34531"/>
    <cellStyle name="Percent 2 2 3 2 3 6" xfId="34532"/>
    <cellStyle name="Percent 2 2 3 2 4" xfId="34533"/>
    <cellStyle name="Percent 2 2 3 2 4 2" xfId="34534"/>
    <cellStyle name="Percent 2 2 3 2 4 2 2" xfId="34535"/>
    <cellStyle name="Percent 2 2 3 2 4 3" xfId="34536"/>
    <cellStyle name="Percent 2 2 3 2 4 3 2" xfId="34537"/>
    <cellStyle name="Percent 2 2 3 2 4 4" xfId="34538"/>
    <cellStyle name="Percent 2 2 3 2 4 4 2" xfId="34539"/>
    <cellStyle name="Percent 2 2 3 2 4 5" xfId="34540"/>
    <cellStyle name="Percent 2 2 3 2 4 6" xfId="34541"/>
    <cellStyle name="Percent 2 2 3 2 5" xfId="34542"/>
    <cellStyle name="Percent 2 2 3 2 5 2" xfId="34543"/>
    <cellStyle name="Percent 2 2 3 2 5 2 2" xfId="34544"/>
    <cellStyle name="Percent 2 2 3 2 5 3" xfId="34545"/>
    <cellStyle name="Percent 2 2 3 2 5 3 2" xfId="34546"/>
    <cellStyle name="Percent 2 2 3 2 5 4" xfId="34547"/>
    <cellStyle name="Percent 2 2 3 2 5 4 2" xfId="34548"/>
    <cellStyle name="Percent 2 2 3 2 5 5" xfId="34549"/>
    <cellStyle name="Percent 2 2 3 2 5 6" xfId="34550"/>
    <cellStyle name="Percent 2 2 3 2 6" xfId="34551"/>
    <cellStyle name="Percent 2 2 3 2 6 2" xfId="34552"/>
    <cellStyle name="Percent 2 2 3 2 6 2 2" xfId="34553"/>
    <cellStyle name="Percent 2 2 3 2 6 3" xfId="34554"/>
    <cellStyle name="Percent 2 2 3 2 6 3 2" xfId="34555"/>
    <cellStyle name="Percent 2 2 3 2 6 4" xfId="34556"/>
    <cellStyle name="Percent 2 2 3 2 6 5" xfId="34557"/>
    <cellStyle name="Percent 2 2 3 2 7" xfId="34558"/>
    <cellStyle name="Percent 2 2 3 2 7 2" xfId="34559"/>
    <cellStyle name="Percent 2 2 3 2 8" xfId="34560"/>
    <cellStyle name="Percent 2 2 3 2 8 2" xfId="34561"/>
    <cellStyle name="Percent 2 2 3 2 9" xfId="34562"/>
    <cellStyle name="Percent 2 2 3 2 9 2" xfId="34563"/>
    <cellStyle name="Percent 2 2 3 3" xfId="34564"/>
    <cellStyle name="Percent 2 2 3 3 10" xfId="34565"/>
    <cellStyle name="Percent 2 2 3 3 2" xfId="34566"/>
    <cellStyle name="Percent 2 2 3 3 2 2" xfId="34567"/>
    <cellStyle name="Percent 2 2 3 3 2 2 2" xfId="34568"/>
    <cellStyle name="Percent 2 2 3 3 2 3" xfId="34569"/>
    <cellStyle name="Percent 2 2 3 3 2 3 2" xfId="34570"/>
    <cellStyle name="Percent 2 2 3 3 2 4" xfId="34571"/>
    <cellStyle name="Percent 2 2 3 3 2 4 2" xfId="34572"/>
    <cellStyle name="Percent 2 2 3 3 2 5" xfId="34573"/>
    <cellStyle name="Percent 2 2 3 3 2 6" xfId="34574"/>
    <cellStyle name="Percent 2 2 3 3 3" xfId="34575"/>
    <cellStyle name="Percent 2 2 3 3 3 2" xfId="34576"/>
    <cellStyle name="Percent 2 2 3 3 3 2 2" xfId="34577"/>
    <cellStyle name="Percent 2 2 3 3 3 3" xfId="34578"/>
    <cellStyle name="Percent 2 2 3 3 3 3 2" xfId="34579"/>
    <cellStyle name="Percent 2 2 3 3 3 4" xfId="34580"/>
    <cellStyle name="Percent 2 2 3 3 3 4 2" xfId="34581"/>
    <cellStyle name="Percent 2 2 3 3 3 5" xfId="34582"/>
    <cellStyle name="Percent 2 2 3 3 3 6" xfId="34583"/>
    <cellStyle name="Percent 2 2 3 3 4" xfId="34584"/>
    <cellStyle name="Percent 2 2 3 3 4 2" xfId="34585"/>
    <cellStyle name="Percent 2 2 3 3 4 2 2" xfId="34586"/>
    <cellStyle name="Percent 2 2 3 3 4 3" xfId="34587"/>
    <cellStyle name="Percent 2 2 3 3 4 3 2" xfId="34588"/>
    <cellStyle name="Percent 2 2 3 3 4 4" xfId="34589"/>
    <cellStyle name="Percent 2 2 3 3 4 4 2" xfId="34590"/>
    <cellStyle name="Percent 2 2 3 3 4 5" xfId="34591"/>
    <cellStyle name="Percent 2 2 3 3 4 6" xfId="34592"/>
    <cellStyle name="Percent 2 2 3 3 5" xfId="34593"/>
    <cellStyle name="Percent 2 2 3 3 5 2" xfId="34594"/>
    <cellStyle name="Percent 2 2 3 3 5 2 2" xfId="34595"/>
    <cellStyle name="Percent 2 2 3 3 5 3" xfId="34596"/>
    <cellStyle name="Percent 2 2 3 3 5 3 2" xfId="34597"/>
    <cellStyle name="Percent 2 2 3 3 5 4" xfId="34598"/>
    <cellStyle name="Percent 2 2 3 3 5 5" xfId="34599"/>
    <cellStyle name="Percent 2 2 3 3 6" xfId="34600"/>
    <cellStyle name="Percent 2 2 3 3 6 2" xfId="34601"/>
    <cellStyle name="Percent 2 2 3 3 7" xfId="34602"/>
    <cellStyle name="Percent 2 2 3 3 7 2" xfId="34603"/>
    <cellStyle name="Percent 2 2 3 3 8" xfId="34604"/>
    <cellStyle name="Percent 2 2 3 3 8 2" xfId="34605"/>
    <cellStyle name="Percent 2 2 3 3 9" xfId="34606"/>
    <cellStyle name="Percent 2 2 3 4" xfId="34607"/>
    <cellStyle name="Percent 2 2 3 4 10" xfId="34608"/>
    <cellStyle name="Percent 2 2 3 4 2" xfId="34609"/>
    <cellStyle name="Percent 2 2 3 4 2 2" xfId="34610"/>
    <cellStyle name="Percent 2 2 3 4 2 2 2" xfId="34611"/>
    <cellStyle name="Percent 2 2 3 4 2 3" xfId="34612"/>
    <cellStyle name="Percent 2 2 3 4 2 3 2" xfId="34613"/>
    <cellStyle name="Percent 2 2 3 4 2 4" xfId="34614"/>
    <cellStyle name="Percent 2 2 3 4 2 4 2" xfId="34615"/>
    <cellStyle name="Percent 2 2 3 4 2 5" xfId="34616"/>
    <cellStyle name="Percent 2 2 3 4 2 6" xfId="34617"/>
    <cellStyle name="Percent 2 2 3 4 3" xfId="34618"/>
    <cellStyle name="Percent 2 2 3 4 3 2" xfId="34619"/>
    <cellStyle name="Percent 2 2 3 4 3 2 2" xfId="34620"/>
    <cellStyle name="Percent 2 2 3 4 3 3" xfId="34621"/>
    <cellStyle name="Percent 2 2 3 4 3 3 2" xfId="34622"/>
    <cellStyle name="Percent 2 2 3 4 3 4" xfId="34623"/>
    <cellStyle name="Percent 2 2 3 4 3 4 2" xfId="34624"/>
    <cellStyle name="Percent 2 2 3 4 3 5" xfId="34625"/>
    <cellStyle name="Percent 2 2 3 4 3 6" xfId="34626"/>
    <cellStyle name="Percent 2 2 3 4 4" xfId="34627"/>
    <cellStyle name="Percent 2 2 3 4 4 2" xfId="34628"/>
    <cellStyle name="Percent 2 2 3 4 4 2 2" xfId="34629"/>
    <cellStyle name="Percent 2 2 3 4 4 3" xfId="34630"/>
    <cellStyle name="Percent 2 2 3 4 4 3 2" xfId="34631"/>
    <cellStyle name="Percent 2 2 3 4 4 4" xfId="34632"/>
    <cellStyle name="Percent 2 2 3 4 4 4 2" xfId="34633"/>
    <cellStyle name="Percent 2 2 3 4 4 5" xfId="34634"/>
    <cellStyle name="Percent 2 2 3 4 4 6" xfId="34635"/>
    <cellStyle name="Percent 2 2 3 4 5" xfId="34636"/>
    <cellStyle name="Percent 2 2 3 4 5 2" xfId="34637"/>
    <cellStyle name="Percent 2 2 3 4 5 2 2" xfId="34638"/>
    <cellStyle name="Percent 2 2 3 4 5 3" xfId="34639"/>
    <cellStyle name="Percent 2 2 3 4 5 3 2" xfId="34640"/>
    <cellStyle name="Percent 2 2 3 4 5 4" xfId="34641"/>
    <cellStyle name="Percent 2 2 3 4 5 5" xfId="34642"/>
    <cellStyle name="Percent 2 2 3 4 6" xfId="34643"/>
    <cellStyle name="Percent 2 2 3 4 6 2" xfId="34644"/>
    <cellStyle name="Percent 2 2 3 4 7" xfId="34645"/>
    <cellStyle name="Percent 2 2 3 4 7 2" xfId="34646"/>
    <cellStyle name="Percent 2 2 3 4 8" xfId="34647"/>
    <cellStyle name="Percent 2 2 3 4 8 2" xfId="34648"/>
    <cellStyle name="Percent 2 2 3 4 9" xfId="34649"/>
    <cellStyle name="Percent 2 2 3 5" xfId="34650"/>
    <cellStyle name="Percent 2 2 3 5 2" xfId="34651"/>
    <cellStyle name="Percent 2 2 3 5 2 2" xfId="34652"/>
    <cellStyle name="Percent 2 2 3 5 3" xfId="34653"/>
    <cellStyle name="Percent 2 2 3 5 3 2" xfId="34654"/>
    <cellStyle name="Percent 2 2 3 5 4" xfId="34655"/>
    <cellStyle name="Percent 2 2 3 5 4 2" xfId="34656"/>
    <cellStyle name="Percent 2 2 3 5 5" xfId="34657"/>
    <cellStyle name="Percent 2 2 3 5 6" xfId="34658"/>
    <cellStyle name="Percent 2 2 3 6" xfId="34659"/>
    <cellStyle name="Percent 2 2 3 6 2" xfId="34660"/>
    <cellStyle name="Percent 2 2 3 6 2 2" xfId="34661"/>
    <cellStyle name="Percent 2 2 3 6 3" xfId="34662"/>
    <cellStyle name="Percent 2 2 3 6 3 2" xfId="34663"/>
    <cellStyle name="Percent 2 2 3 6 4" xfId="34664"/>
    <cellStyle name="Percent 2 2 3 6 4 2" xfId="34665"/>
    <cellStyle name="Percent 2 2 3 6 5" xfId="34666"/>
    <cellStyle name="Percent 2 2 3 6 6" xfId="34667"/>
    <cellStyle name="Percent 2 2 3 7" xfId="34668"/>
    <cellStyle name="Percent 2 2 3 7 2" xfId="34669"/>
    <cellStyle name="Percent 2 2 3 7 2 2" xfId="34670"/>
    <cellStyle name="Percent 2 2 3 7 3" xfId="34671"/>
    <cellStyle name="Percent 2 2 3 7 3 2" xfId="34672"/>
    <cellStyle name="Percent 2 2 3 7 4" xfId="34673"/>
    <cellStyle name="Percent 2 2 3 7 4 2" xfId="34674"/>
    <cellStyle name="Percent 2 2 3 7 5" xfId="34675"/>
    <cellStyle name="Percent 2 2 3 7 6" xfId="34676"/>
    <cellStyle name="Percent 2 2 3 8" xfId="34677"/>
    <cellStyle name="Percent 2 2 3 8 2" xfId="34678"/>
    <cellStyle name="Percent 2 2 3 8 2 2" xfId="34679"/>
    <cellStyle name="Percent 2 2 3 8 3" xfId="34680"/>
    <cellStyle name="Percent 2 2 3 8 3 2" xfId="34681"/>
    <cellStyle name="Percent 2 2 3 8 4" xfId="34682"/>
    <cellStyle name="Percent 2 2 3 8 5" xfId="34683"/>
    <cellStyle name="Percent 2 2 3 9" xfId="34684"/>
    <cellStyle name="Percent 2 2 3 9 2" xfId="34685"/>
    <cellStyle name="Percent 2 2 4" xfId="34686"/>
    <cellStyle name="Percent 2 2 4 10" xfId="34687"/>
    <cellStyle name="Percent 2 2 4 10 2" xfId="34688"/>
    <cellStyle name="Percent 2 2 4 11" xfId="34689"/>
    <cellStyle name="Percent 2 2 4 12" xfId="34690"/>
    <cellStyle name="Percent 2 2 4 2" xfId="34691"/>
    <cellStyle name="Percent 2 2 4 2 10" xfId="34692"/>
    <cellStyle name="Percent 2 2 4 2 2" xfId="34693"/>
    <cellStyle name="Percent 2 2 4 2 2 2" xfId="34694"/>
    <cellStyle name="Percent 2 2 4 2 2 2 2" xfId="34695"/>
    <cellStyle name="Percent 2 2 4 2 2 3" xfId="34696"/>
    <cellStyle name="Percent 2 2 4 2 2 3 2" xfId="34697"/>
    <cellStyle name="Percent 2 2 4 2 2 4" xfId="34698"/>
    <cellStyle name="Percent 2 2 4 2 2 4 2" xfId="34699"/>
    <cellStyle name="Percent 2 2 4 2 2 5" xfId="34700"/>
    <cellStyle name="Percent 2 2 4 2 2 6" xfId="34701"/>
    <cellStyle name="Percent 2 2 4 2 3" xfId="34702"/>
    <cellStyle name="Percent 2 2 4 2 3 2" xfId="34703"/>
    <cellStyle name="Percent 2 2 4 2 3 2 2" xfId="34704"/>
    <cellStyle name="Percent 2 2 4 2 3 3" xfId="34705"/>
    <cellStyle name="Percent 2 2 4 2 3 3 2" xfId="34706"/>
    <cellStyle name="Percent 2 2 4 2 3 4" xfId="34707"/>
    <cellStyle name="Percent 2 2 4 2 3 4 2" xfId="34708"/>
    <cellStyle name="Percent 2 2 4 2 3 5" xfId="34709"/>
    <cellStyle name="Percent 2 2 4 2 3 6" xfId="34710"/>
    <cellStyle name="Percent 2 2 4 2 4" xfId="34711"/>
    <cellStyle name="Percent 2 2 4 2 4 2" xfId="34712"/>
    <cellStyle name="Percent 2 2 4 2 4 2 2" xfId="34713"/>
    <cellStyle name="Percent 2 2 4 2 4 3" xfId="34714"/>
    <cellStyle name="Percent 2 2 4 2 4 3 2" xfId="34715"/>
    <cellStyle name="Percent 2 2 4 2 4 4" xfId="34716"/>
    <cellStyle name="Percent 2 2 4 2 4 4 2" xfId="34717"/>
    <cellStyle name="Percent 2 2 4 2 4 5" xfId="34718"/>
    <cellStyle name="Percent 2 2 4 2 4 6" xfId="34719"/>
    <cellStyle name="Percent 2 2 4 2 5" xfId="34720"/>
    <cellStyle name="Percent 2 2 4 2 5 2" xfId="34721"/>
    <cellStyle name="Percent 2 2 4 2 5 2 2" xfId="34722"/>
    <cellStyle name="Percent 2 2 4 2 5 3" xfId="34723"/>
    <cellStyle name="Percent 2 2 4 2 5 3 2" xfId="34724"/>
    <cellStyle name="Percent 2 2 4 2 5 4" xfId="34725"/>
    <cellStyle name="Percent 2 2 4 2 5 5" xfId="34726"/>
    <cellStyle name="Percent 2 2 4 2 6" xfId="34727"/>
    <cellStyle name="Percent 2 2 4 2 6 2" xfId="34728"/>
    <cellStyle name="Percent 2 2 4 2 7" xfId="34729"/>
    <cellStyle name="Percent 2 2 4 2 7 2" xfId="34730"/>
    <cellStyle name="Percent 2 2 4 2 8" xfId="34731"/>
    <cellStyle name="Percent 2 2 4 2 8 2" xfId="34732"/>
    <cellStyle name="Percent 2 2 4 2 9" xfId="34733"/>
    <cellStyle name="Percent 2 2 4 3" xfId="34734"/>
    <cellStyle name="Percent 2 2 4 3 10" xfId="34735"/>
    <cellStyle name="Percent 2 2 4 3 2" xfId="34736"/>
    <cellStyle name="Percent 2 2 4 3 2 2" xfId="34737"/>
    <cellStyle name="Percent 2 2 4 3 2 2 2" xfId="34738"/>
    <cellStyle name="Percent 2 2 4 3 2 3" xfId="34739"/>
    <cellStyle name="Percent 2 2 4 3 2 3 2" xfId="34740"/>
    <cellStyle name="Percent 2 2 4 3 2 4" xfId="34741"/>
    <cellStyle name="Percent 2 2 4 3 2 4 2" xfId="34742"/>
    <cellStyle name="Percent 2 2 4 3 2 5" xfId="34743"/>
    <cellStyle name="Percent 2 2 4 3 2 6" xfId="34744"/>
    <cellStyle name="Percent 2 2 4 3 3" xfId="34745"/>
    <cellStyle name="Percent 2 2 4 3 3 2" xfId="34746"/>
    <cellStyle name="Percent 2 2 4 3 3 2 2" xfId="34747"/>
    <cellStyle name="Percent 2 2 4 3 3 3" xfId="34748"/>
    <cellStyle name="Percent 2 2 4 3 3 3 2" xfId="34749"/>
    <cellStyle name="Percent 2 2 4 3 3 4" xfId="34750"/>
    <cellStyle name="Percent 2 2 4 3 3 4 2" xfId="34751"/>
    <cellStyle name="Percent 2 2 4 3 3 5" xfId="34752"/>
    <cellStyle name="Percent 2 2 4 3 3 6" xfId="34753"/>
    <cellStyle name="Percent 2 2 4 3 4" xfId="34754"/>
    <cellStyle name="Percent 2 2 4 3 4 2" xfId="34755"/>
    <cellStyle name="Percent 2 2 4 3 4 2 2" xfId="34756"/>
    <cellStyle name="Percent 2 2 4 3 4 3" xfId="34757"/>
    <cellStyle name="Percent 2 2 4 3 4 3 2" xfId="34758"/>
    <cellStyle name="Percent 2 2 4 3 4 4" xfId="34759"/>
    <cellStyle name="Percent 2 2 4 3 4 4 2" xfId="34760"/>
    <cellStyle name="Percent 2 2 4 3 4 5" xfId="34761"/>
    <cellStyle name="Percent 2 2 4 3 4 6" xfId="34762"/>
    <cellStyle name="Percent 2 2 4 3 5" xfId="34763"/>
    <cellStyle name="Percent 2 2 4 3 5 2" xfId="34764"/>
    <cellStyle name="Percent 2 2 4 3 5 2 2" xfId="34765"/>
    <cellStyle name="Percent 2 2 4 3 5 3" xfId="34766"/>
    <cellStyle name="Percent 2 2 4 3 5 3 2" xfId="34767"/>
    <cellStyle name="Percent 2 2 4 3 5 4" xfId="34768"/>
    <cellStyle name="Percent 2 2 4 3 5 5" xfId="34769"/>
    <cellStyle name="Percent 2 2 4 3 6" xfId="34770"/>
    <cellStyle name="Percent 2 2 4 3 6 2" xfId="34771"/>
    <cellStyle name="Percent 2 2 4 3 7" xfId="34772"/>
    <cellStyle name="Percent 2 2 4 3 7 2" xfId="34773"/>
    <cellStyle name="Percent 2 2 4 3 8" xfId="34774"/>
    <cellStyle name="Percent 2 2 4 3 8 2" xfId="34775"/>
    <cellStyle name="Percent 2 2 4 3 9" xfId="34776"/>
    <cellStyle name="Percent 2 2 4 4" xfId="34777"/>
    <cellStyle name="Percent 2 2 4 4 2" xfId="34778"/>
    <cellStyle name="Percent 2 2 4 4 2 2" xfId="34779"/>
    <cellStyle name="Percent 2 2 4 4 3" xfId="34780"/>
    <cellStyle name="Percent 2 2 4 4 3 2" xfId="34781"/>
    <cellStyle name="Percent 2 2 4 4 4" xfId="34782"/>
    <cellStyle name="Percent 2 2 4 4 4 2" xfId="34783"/>
    <cellStyle name="Percent 2 2 4 4 5" xfId="34784"/>
    <cellStyle name="Percent 2 2 4 4 6" xfId="34785"/>
    <cellStyle name="Percent 2 2 4 5" xfId="34786"/>
    <cellStyle name="Percent 2 2 4 5 2" xfId="34787"/>
    <cellStyle name="Percent 2 2 4 5 2 2" xfId="34788"/>
    <cellStyle name="Percent 2 2 4 5 3" xfId="34789"/>
    <cellStyle name="Percent 2 2 4 5 3 2" xfId="34790"/>
    <cellStyle name="Percent 2 2 4 5 4" xfId="34791"/>
    <cellStyle name="Percent 2 2 4 5 4 2" xfId="34792"/>
    <cellStyle name="Percent 2 2 4 5 5" xfId="34793"/>
    <cellStyle name="Percent 2 2 4 5 6" xfId="34794"/>
    <cellStyle name="Percent 2 2 4 6" xfId="34795"/>
    <cellStyle name="Percent 2 2 4 6 2" xfId="34796"/>
    <cellStyle name="Percent 2 2 4 6 2 2" xfId="34797"/>
    <cellStyle name="Percent 2 2 4 6 3" xfId="34798"/>
    <cellStyle name="Percent 2 2 4 6 3 2" xfId="34799"/>
    <cellStyle name="Percent 2 2 4 6 4" xfId="34800"/>
    <cellStyle name="Percent 2 2 4 6 4 2" xfId="34801"/>
    <cellStyle name="Percent 2 2 4 6 5" xfId="34802"/>
    <cellStyle name="Percent 2 2 4 6 6" xfId="34803"/>
    <cellStyle name="Percent 2 2 4 7" xfId="34804"/>
    <cellStyle name="Percent 2 2 4 7 2" xfId="34805"/>
    <cellStyle name="Percent 2 2 4 7 2 2" xfId="34806"/>
    <cellStyle name="Percent 2 2 4 7 3" xfId="34807"/>
    <cellStyle name="Percent 2 2 4 7 3 2" xfId="34808"/>
    <cellStyle name="Percent 2 2 4 7 4" xfId="34809"/>
    <cellStyle name="Percent 2 2 4 7 5" xfId="34810"/>
    <cellStyle name="Percent 2 2 4 8" xfId="34811"/>
    <cellStyle name="Percent 2 2 4 8 2" xfId="34812"/>
    <cellStyle name="Percent 2 2 4 9" xfId="34813"/>
    <cellStyle name="Percent 2 2 4 9 2" xfId="34814"/>
    <cellStyle name="Percent 2 2 5" xfId="34815"/>
    <cellStyle name="Percent 2 2 5 10" xfId="34816"/>
    <cellStyle name="Percent 2 2 5 11" xfId="34817"/>
    <cellStyle name="Percent 2 2 5 2" xfId="34818"/>
    <cellStyle name="Percent 2 2 5 2 2" xfId="34819"/>
    <cellStyle name="Percent 2 2 5 2 2 2" xfId="34820"/>
    <cellStyle name="Percent 2 2 5 2 3" xfId="34821"/>
    <cellStyle name="Percent 2 2 5 2 3 2" xfId="34822"/>
    <cellStyle name="Percent 2 2 5 2 4" xfId="34823"/>
    <cellStyle name="Percent 2 2 5 2 4 2" xfId="34824"/>
    <cellStyle name="Percent 2 2 5 2 5" xfId="34825"/>
    <cellStyle name="Percent 2 2 5 2 6" xfId="34826"/>
    <cellStyle name="Percent 2 2 5 3" xfId="34827"/>
    <cellStyle name="Percent 2 2 5 3 2" xfId="34828"/>
    <cellStyle name="Percent 2 2 5 3 2 2" xfId="34829"/>
    <cellStyle name="Percent 2 2 5 3 3" xfId="34830"/>
    <cellStyle name="Percent 2 2 5 3 3 2" xfId="34831"/>
    <cellStyle name="Percent 2 2 5 3 4" xfId="34832"/>
    <cellStyle name="Percent 2 2 5 3 4 2" xfId="34833"/>
    <cellStyle name="Percent 2 2 5 3 5" xfId="34834"/>
    <cellStyle name="Percent 2 2 5 3 6" xfId="34835"/>
    <cellStyle name="Percent 2 2 5 4" xfId="34836"/>
    <cellStyle name="Percent 2 2 5 4 2" xfId="34837"/>
    <cellStyle name="Percent 2 2 5 4 2 2" xfId="34838"/>
    <cellStyle name="Percent 2 2 5 4 3" xfId="34839"/>
    <cellStyle name="Percent 2 2 5 4 3 2" xfId="34840"/>
    <cellStyle name="Percent 2 2 5 4 4" xfId="34841"/>
    <cellStyle name="Percent 2 2 5 4 4 2" xfId="34842"/>
    <cellStyle name="Percent 2 2 5 4 5" xfId="34843"/>
    <cellStyle name="Percent 2 2 5 4 6" xfId="34844"/>
    <cellStyle name="Percent 2 2 5 5" xfId="34845"/>
    <cellStyle name="Percent 2 2 5 5 2" xfId="34846"/>
    <cellStyle name="Percent 2 2 5 5 2 2" xfId="34847"/>
    <cellStyle name="Percent 2 2 5 5 3" xfId="34848"/>
    <cellStyle name="Percent 2 2 5 5 3 2" xfId="34849"/>
    <cellStyle name="Percent 2 2 5 5 4" xfId="34850"/>
    <cellStyle name="Percent 2 2 5 5 4 2" xfId="34851"/>
    <cellStyle name="Percent 2 2 5 5 5" xfId="34852"/>
    <cellStyle name="Percent 2 2 5 5 6" xfId="34853"/>
    <cellStyle name="Percent 2 2 5 6" xfId="34854"/>
    <cellStyle name="Percent 2 2 5 6 2" xfId="34855"/>
    <cellStyle name="Percent 2 2 5 6 2 2" xfId="34856"/>
    <cellStyle name="Percent 2 2 5 6 3" xfId="34857"/>
    <cellStyle name="Percent 2 2 5 6 3 2" xfId="34858"/>
    <cellStyle name="Percent 2 2 5 6 4" xfId="34859"/>
    <cellStyle name="Percent 2 2 5 6 5" xfId="34860"/>
    <cellStyle name="Percent 2 2 5 7" xfId="34861"/>
    <cellStyle name="Percent 2 2 5 7 2" xfId="34862"/>
    <cellStyle name="Percent 2 2 5 8" xfId="34863"/>
    <cellStyle name="Percent 2 2 5 8 2" xfId="34864"/>
    <cellStyle name="Percent 2 2 5 9" xfId="34865"/>
    <cellStyle name="Percent 2 2 5 9 2" xfId="34866"/>
    <cellStyle name="Percent 2 2 6" xfId="34867"/>
    <cellStyle name="Percent 2 2 6 10" xfId="34868"/>
    <cellStyle name="Percent 2 2 6 2" xfId="34869"/>
    <cellStyle name="Percent 2 2 6 2 2" xfId="34870"/>
    <cellStyle name="Percent 2 2 6 2 2 2" xfId="34871"/>
    <cellStyle name="Percent 2 2 6 2 3" xfId="34872"/>
    <cellStyle name="Percent 2 2 6 2 3 2" xfId="34873"/>
    <cellStyle name="Percent 2 2 6 2 4" xfId="34874"/>
    <cellStyle name="Percent 2 2 6 2 4 2" xfId="34875"/>
    <cellStyle name="Percent 2 2 6 2 5" xfId="34876"/>
    <cellStyle name="Percent 2 2 6 2 6" xfId="34877"/>
    <cellStyle name="Percent 2 2 6 3" xfId="34878"/>
    <cellStyle name="Percent 2 2 6 3 2" xfId="34879"/>
    <cellStyle name="Percent 2 2 6 3 2 2" xfId="34880"/>
    <cellStyle name="Percent 2 2 6 3 3" xfId="34881"/>
    <cellStyle name="Percent 2 2 6 3 3 2" xfId="34882"/>
    <cellStyle name="Percent 2 2 6 3 4" xfId="34883"/>
    <cellStyle name="Percent 2 2 6 3 4 2" xfId="34884"/>
    <cellStyle name="Percent 2 2 6 3 5" xfId="34885"/>
    <cellStyle name="Percent 2 2 6 3 6" xfId="34886"/>
    <cellStyle name="Percent 2 2 6 4" xfId="34887"/>
    <cellStyle name="Percent 2 2 6 4 2" xfId="34888"/>
    <cellStyle name="Percent 2 2 6 4 2 2" xfId="34889"/>
    <cellStyle name="Percent 2 2 6 4 3" xfId="34890"/>
    <cellStyle name="Percent 2 2 6 4 3 2" xfId="34891"/>
    <cellStyle name="Percent 2 2 6 4 4" xfId="34892"/>
    <cellStyle name="Percent 2 2 6 4 4 2" xfId="34893"/>
    <cellStyle name="Percent 2 2 6 4 5" xfId="34894"/>
    <cellStyle name="Percent 2 2 6 4 6" xfId="34895"/>
    <cellStyle name="Percent 2 2 6 5" xfId="34896"/>
    <cellStyle name="Percent 2 2 6 5 2" xfId="34897"/>
    <cellStyle name="Percent 2 2 6 5 2 2" xfId="34898"/>
    <cellStyle name="Percent 2 2 6 5 3" xfId="34899"/>
    <cellStyle name="Percent 2 2 6 5 3 2" xfId="34900"/>
    <cellStyle name="Percent 2 2 6 5 4" xfId="34901"/>
    <cellStyle name="Percent 2 2 6 5 5" xfId="34902"/>
    <cellStyle name="Percent 2 2 6 6" xfId="34903"/>
    <cellStyle name="Percent 2 2 6 6 2" xfId="34904"/>
    <cellStyle name="Percent 2 2 6 7" xfId="34905"/>
    <cellStyle name="Percent 2 2 6 7 2" xfId="34906"/>
    <cellStyle name="Percent 2 2 6 8" xfId="34907"/>
    <cellStyle name="Percent 2 2 6 8 2" xfId="34908"/>
    <cellStyle name="Percent 2 2 6 9" xfId="34909"/>
    <cellStyle name="Percent 2 2 7" xfId="34910"/>
    <cellStyle name="Percent 2 2 7 10" xfId="34911"/>
    <cellStyle name="Percent 2 2 7 2" xfId="34912"/>
    <cellStyle name="Percent 2 2 7 2 2" xfId="34913"/>
    <cellStyle name="Percent 2 2 7 2 2 2" xfId="34914"/>
    <cellStyle name="Percent 2 2 7 2 3" xfId="34915"/>
    <cellStyle name="Percent 2 2 7 2 3 2" xfId="34916"/>
    <cellStyle name="Percent 2 2 7 2 4" xfId="34917"/>
    <cellStyle name="Percent 2 2 7 2 4 2" xfId="34918"/>
    <cellStyle name="Percent 2 2 7 2 5" xfId="34919"/>
    <cellStyle name="Percent 2 2 7 2 6" xfId="34920"/>
    <cellStyle name="Percent 2 2 7 3" xfId="34921"/>
    <cellStyle name="Percent 2 2 7 3 2" xfId="34922"/>
    <cellStyle name="Percent 2 2 7 3 2 2" xfId="34923"/>
    <cellStyle name="Percent 2 2 7 3 3" xfId="34924"/>
    <cellStyle name="Percent 2 2 7 3 3 2" xfId="34925"/>
    <cellStyle name="Percent 2 2 7 3 4" xfId="34926"/>
    <cellStyle name="Percent 2 2 7 3 4 2" xfId="34927"/>
    <cellStyle name="Percent 2 2 7 3 5" xfId="34928"/>
    <cellStyle name="Percent 2 2 7 3 6" xfId="34929"/>
    <cellStyle name="Percent 2 2 7 4" xfId="34930"/>
    <cellStyle name="Percent 2 2 7 4 2" xfId="34931"/>
    <cellStyle name="Percent 2 2 7 4 2 2" xfId="34932"/>
    <cellStyle name="Percent 2 2 7 4 3" xfId="34933"/>
    <cellStyle name="Percent 2 2 7 4 3 2" xfId="34934"/>
    <cellStyle name="Percent 2 2 7 4 4" xfId="34935"/>
    <cellStyle name="Percent 2 2 7 4 4 2" xfId="34936"/>
    <cellStyle name="Percent 2 2 7 4 5" xfId="34937"/>
    <cellStyle name="Percent 2 2 7 4 6" xfId="34938"/>
    <cellStyle name="Percent 2 2 7 5" xfId="34939"/>
    <cellStyle name="Percent 2 2 7 5 2" xfId="34940"/>
    <cellStyle name="Percent 2 2 7 5 2 2" xfId="34941"/>
    <cellStyle name="Percent 2 2 7 5 3" xfId="34942"/>
    <cellStyle name="Percent 2 2 7 5 3 2" xfId="34943"/>
    <cellStyle name="Percent 2 2 7 5 4" xfId="34944"/>
    <cellStyle name="Percent 2 2 7 5 5" xfId="34945"/>
    <cellStyle name="Percent 2 2 7 6" xfId="34946"/>
    <cellStyle name="Percent 2 2 7 6 2" xfId="34947"/>
    <cellStyle name="Percent 2 2 7 7" xfId="34948"/>
    <cellStyle name="Percent 2 2 7 7 2" xfId="34949"/>
    <cellStyle name="Percent 2 2 7 8" xfId="34950"/>
    <cellStyle name="Percent 2 2 7 8 2" xfId="34951"/>
    <cellStyle name="Percent 2 2 7 9" xfId="34952"/>
    <cellStyle name="Percent 2 2 8" xfId="34953"/>
    <cellStyle name="Percent 2 2 8 2" xfId="34954"/>
    <cellStyle name="Percent 2 2 8 2 2" xfId="34955"/>
    <cellStyle name="Percent 2 2 8 3" xfId="34956"/>
    <cellStyle name="Percent 2 2 8 3 2" xfId="34957"/>
    <cellStyle name="Percent 2 2 8 4" xfId="34958"/>
    <cellStyle name="Percent 2 2 8 4 2" xfId="34959"/>
    <cellStyle name="Percent 2 2 8 5" xfId="34960"/>
    <cellStyle name="Percent 2 2 8 6" xfId="34961"/>
    <cellStyle name="Percent 2 2 9" xfId="34962"/>
    <cellStyle name="Percent 2 2 9 2" xfId="34963"/>
    <cellStyle name="Percent 2 2 9 2 2" xfId="34964"/>
    <cellStyle name="Percent 2 2 9 3" xfId="34965"/>
    <cellStyle name="Percent 2 2 9 3 2" xfId="34966"/>
    <cellStyle name="Percent 2 2 9 4" xfId="34967"/>
    <cellStyle name="Percent 2 2 9 4 2" xfId="34968"/>
    <cellStyle name="Percent 2 2 9 5" xfId="34969"/>
    <cellStyle name="Percent 2 2 9 6" xfId="34970"/>
    <cellStyle name="Percent 2 3" xfId="34971"/>
    <cellStyle name="Percent 2 3 10" xfId="34972"/>
    <cellStyle name="Percent 2 3 10 2" xfId="34973"/>
    <cellStyle name="Percent 2 3 10 2 2" xfId="34974"/>
    <cellStyle name="Percent 2 3 10 3" xfId="34975"/>
    <cellStyle name="Percent 2 3 10 3 2" xfId="34976"/>
    <cellStyle name="Percent 2 3 10 4" xfId="34977"/>
    <cellStyle name="Percent 2 3 10 4 2" xfId="34978"/>
    <cellStyle name="Percent 2 3 10 5" xfId="34979"/>
    <cellStyle name="Percent 2 3 10 6" xfId="34980"/>
    <cellStyle name="Percent 2 3 11" xfId="34981"/>
    <cellStyle name="Percent 2 3 11 2" xfId="34982"/>
    <cellStyle name="Percent 2 3 11 2 2" xfId="34983"/>
    <cellStyle name="Percent 2 3 11 3" xfId="34984"/>
    <cellStyle name="Percent 2 3 11 3 2" xfId="34985"/>
    <cellStyle name="Percent 2 3 11 4" xfId="34986"/>
    <cellStyle name="Percent 2 3 11 4 2" xfId="34987"/>
    <cellStyle name="Percent 2 3 11 5" xfId="34988"/>
    <cellStyle name="Percent 2 3 11 6" xfId="34989"/>
    <cellStyle name="Percent 2 3 12" xfId="34990"/>
    <cellStyle name="Percent 2 3 12 2" xfId="34991"/>
    <cellStyle name="Percent 2 3 12 2 2" xfId="34992"/>
    <cellStyle name="Percent 2 3 12 3" xfId="34993"/>
    <cellStyle name="Percent 2 3 12 3 2" xfId="34994"/>
    <cellStyle name="Percent 2 3 12 4" xfId="34995"/>
    <cellStyle name="Percent 2 3 12 5" xfId="34996"/>
    <cellStyle name="Percent 2 3 13" xfId="34997"/>
    <cellStyle name="Percent 2 3 13 2" xfId="34998"/>
    <cellStyle name="Percent 2 3 14" xfId="34999"/>
    <cellStyle name="Percent 2 3 14 2" xfId="35000"/>
    <cellStyle name="Percent 2 3 15" xfId="35001"/>
    <cellStyle name="Percent 2 3 15 2" xfId="35002"/>
    <cellStyle name="Percent 2 3 16" xfId="35003"/>
    <cellStyle name="Percent 2 3 17" xfId="35004"/>
    <cellStyle name="Percent 2 3 18" xfId="35005"/>
    <cellStyle name="Percent 2 3 19" xfId="35006"/>
    <cellStyle name="Percent 2 3 2" xfId="35007"/>
    <cellStyle name="Percent 2 3 3" xfId="35008"/>
    <cellStyle name="Percent 2 3 3 10" xfId="35009"/>
    <cellStyle name="Percent 2 3 3 10 2" xfId="35010"/>
    <cellStyle name="Percent 2 3 3 11" xfId="35011"/>
    <cellStyle name="Percent 2 3 3 11 2" xfId="35012"/>
    <cellStyle name="Percent 2 3 3 12" xfId="35013"/>
    <cellStyle name="Percent 2 3 3 13" xfId="35014"/>
    <cellStyle name="Percent 2 3 3 2" xfId="35015"/>
    <cellStyle name="Percent 2 3 3 2 10" xfId="35016"/>
    <cellStyle name="Percent 2 3 3 2 11" xfId="35017"/>
    <cellStyle name="Percent 2 3 3 2 2" xfId="35018"/>
    <cellStyle name="Percent 2 3 3 2 2 2" xfId="35019"/>
    <cellStyle name="Percent 2 3 3 2 2 2 2" xfId="35020"/>
    <cellStyle name="Percent 2 3 3 2 2 3" xfId="35021"/>
    <cellStyle name="Percent 2 3 3 2 2 3 2" xfId="35022"/>
    <cellStyle name="Percent 2 3 3 2 2 4" xfId="35023"/>
    <cellStyle name="Percent 2 3 3 2 2 4 2" xfId="35024"/>
    <cellStyle name="Percent 2 3 3 2 2 5" xfId="35025"/>
    <cellStyle name="Percent 2 3 3 2 2 6" xfId="35026"/>
    <cellStyle name="Percent 2 3 3 2 3" xfId="35027"/>
    <cellStyle name="Percent 2 3 3 2 3 2" xfId="35028"/>
    <cellStyle name="Percent 2 3 3 2 3 2 2" xfId="35029"/>
    <cellStyle name="Percent 2 3 3 2 3 3" xfId="35030"/>
    <cellStyle name="Percent 2 3 3 2 3 3 2" xfId="35031"/>
    <cellStyle name="Percent 2 3 3 2 3 4" xfId="35032"/>
    <cellStyle name="Percent 2 3 3 2 3 4 2" xfId="35033"/>
    <cellStyle name="Percent 2 3 3 2 3 5" xfId="35034"/>
    <cellStyle name="Percent 2 3 3 2 3 6" xfId="35035"/>
    <cellStyle name="Percent 2 3 3 2 4" xfId="35036"/>
    <cellStyle name="Percent 2 3 3 2 4 2" xfId="35037"/>
    <cellStyle name="Percent 2 3 3 2 4 2 2" xfId="35038"/>
    <cellStyle name="Percent 2 3 3 2 4 3" xfId="35039"/>
    <cellStyle name="Percent 2 3 3 2 4 3 2" xfId="35040"/>
    <cellStyle name="Percent 2 3 3 2 4 4" xfId="35041"/>
    <cellStyle name="Percent 2 3 3 2 4 4 2" xfId="35042"/>
    <cellStyle name="Percent 2 3 3 2 4 5" xfId="35043"/>
    <cellStyle name="Percent 2 3 3 2 4 6" xfId="35044"/>
    <cellStyle name="Percent 2 3 3 2 5" xfId="35045"/>
    <cellStyle name="Percent 2 3 3 2 5 2" xfId="35046"/>
    <cellStyle name="Percent 2 3 3 2 5 2 2" xfId="35047"/>
    <cellStyle name="Percent 2 3 3 2 5 3" xfId="35048"/>
    <cellStyle name="Percent 2 3 3 2 5 3 2" xfId="35049"/>
    <cellStyle name="Percent 2 3 3 2 5 4" xfId="35050"/>
    <cellStyle name="Percent 2 3 3 2 5 4 2" xfId="35051"/>
    <cellStyle name="Percent 2 3 3 2 5 5" xfId="35052"/>
    <cellStyle name="Percent 2 3 3 2 5 6" xfId="35053"/>
    <cellStyle name="Percent 2 3 3 2 6" xfId="35054"/>
    <cellStyle name="Percent 2 3 3 2 6 2" xfId="35055"/>
    <cellStyle name="Percent 2 3 3 2 6 2 2" xfId="35056"/>
    <cellStyle name="Percent 2 3 3 2 6 3" xfId="35057"/>
    <cellStyle name="Percent 2 3 3 2 6 3 2" xfId="35058"/>
    <cellStyle name="Percent 2 3 3 2 6 4" xfId="35059"/>
    <cellStyle name="Percent 2 3 3 2 6 5" xfId="35060"/>
    <cellStyle name="Percent 2 3 3 2 7" xfId="35061"/>
    <cellStyle name="Percent 2 3 3 2 7 2" xfId="35062"/>
    <cellStyle name="Percent 2 3 3 2 8" xfId="35063"/>
    <cellStyle name="Percent 2 3 3 2 8 2" xfId="35064"/>
    <cellStyle name="Percent 2 3 3 2 9" xfId="35065"/>
    <cellStyle name="Percent 2 3 3 2 9 2" xfId="35066"/>
    <cellStyle name="Percent 2 3 3 3" xfId="35067"/>
    <cellStyle name="Percent 2 3 3 3 10" xfId="35068"/>
    <cellStyle name="Percent 2 3 3 3 2" xfId="35069"/>
    <cellStyle name="Percent 2 3 3 3 2 2" xfId="35070"/>
    <cellStyle name="Percent 2 3 3 3 2 2 2" xfId="35071"/>
    <cellStyle name="Percent 2 3 3 3 2 3" xfId="35072"/>
    <cellStyle name="Percent 2 3 3 3 2 3 2" xfId="35073"/>
    <cellStyle name="Percent 2 3 3 3 2 4" xfId="35074"/>
    <cellStyle name="Percent 2 3 3 3 2 4 2" xfId="35075"/>
    <cellStyle name="Percent 2 3 3 3 2 5" xfId="35076"/>
    <cellStyle name="Percent 2 3 3 3 2 6" xfId="35077"/>
    <cellStyle name="Percent 2 3 3 3 3" xfId="35078"/>
    <cellStyle name="Percent 2 3 3 3 3 2" xfId="35079"/>
    <cellStyle name="Percent 2 3 3 3 3 2 2" xfId="35080"/>
    <cellStyle name="Percent 2 3 3 3 3 3" xfId="35081"/>
    <cellStyle name="Percent 2 3 3 3 3 3 2" xfId="35082"/>
    <cellStyle name="Percent 2 3 3 3 3 4" xfId="35083"/>
    <cellStyle name="Percent 2 3 3 3 3 4 2" xfId="35084"/>
    <cellStyle name="Percent 2 3 3 3 3 5" xfId="35085"/>
    <cellStyle name="Percent 2 3 3 3 3 6" xfId="35086"/>
    <cellStyle name="Percent 2 3 3 3 4" xfId="35087"/>
    <cellStyle name="Percent 2 3 3 3 4 2" xfId="35088"/>
    <cellStyle name="Percent 2 3 3 3 4 2 2" xfId="35089"/>
    <cellStyle name="Percent 2 3 3 3 4 3" xfId="35090"/>
    <cellStyle name="Percent 2 3 3 3 4 3 2" xfId="35091"/>
    <cellStyle name="Percent 2 3 3 3 4 4" xfId="35092"/>
    <cellStyle name="Percent 2 3 3 3 4 4 2" xfId="35093"/>
    <cellStyle name="Percent 2 3 3 3 4 5" xfId="35094"/>
    <cellStyle name="Percent 2 3 3 3 4 6" xfId="35095"/>
    <cellStyle name="Percent 2 3 3 3 5" xfId="35096"/>
    <cellStyle name="Percent 2 3 3 3 5 2" xfId="35097"/>
    <cellStyle name="Percent 2 3 3 3 5 2 2" xfId="35098"/>
    <cellStyle name="Percent 2 3 3 3 5 3" xfId="35099"/>
    <cellStyle name="Percent 2 3 3 3 5 3 2" xfId="35100"/>
    <cellStyle name="Percent 2 3 3 3 5 4" xfId="35101"/>
    <cellStyle name="Percent 2 3 3 3 5 5" xfId="35102"/>
    <cellStyle name="Percent 2 3 3 3 6" xfId="35103"/>
    <cellStyle name="Percent 2 3 3 3 6 2" xfId="35104"/>
    <cellStyle name="Percent 2 3 3 3 7" xfId="35105"/>
    <cellStyle name="Percent 2 3 3 3 7 2" xfId="35106"/>
    <cellStyle name="Percent 2 3 3 3 8" xfId="35107"/>
    <cellStyle name="Percent 2 3 3 3 8 2" xfId="35108"/>
    <cellStyle name="Percent 2 3 3 3 9" xfId="35109"/>
    <cellStyle name="Percent 2 3 3 4" xfId="35110"/>
    <cellStyle name="Percent 2 3 3 4 10" xfId="35111"/>
    <cellStyle name="Percent 2 3 3 4 2" xfId="35112"/>
    <cellStyle name="Percent 2 3 3 4 2 2" xfId="35113"/>
    <cellStyle name="Percent 2 3 3 4 2 2 2" xfId="35114"/>
    <cellStyle name="Percent 2 3 3 4 2 3" xfId="35115"/>
    <cellStyle name="Percent 2 3 3 4 2 3 2" xfId="35116"/>
    <cellStyle name="Percent 2 3 3 4 2 4" xfId="35117"/>
    <cellStyle name="Percent 2 3 3 4 2 4 2" xfId="35118"/>
    <cellStyle name="Percent 2 3 3 4 2 5" xfId="35119"/>
    <cellStyle name="Percent 2 3 3 4 2 6" xfId="35120"/>
    <cellStyle name="Percent 2 3 3 4 3" xfId="35121"/>
    <cellStyle name="Percent 2 3 3 4 3 2" xfId="35122"/>
    <cellStyle name="Percent 2 3 3 4 3 2 2" xfId="35123"/>
    <cellStyle name="Percent 2 3 3 4 3 3" xfId="35124"/>
    <cellStyle name="Percent 2 3 3 4 3 3 2" xfId="35125"/>
    <cellStyle name="Percent 2 3 3 4 3 4" xfId="35126"/>
    <cellStyle name="Percent 2 3 3 4 3 4 2" xfId="35127"/>
    <cellStyle name="Percent 2 3 3 4 3 5" xfId="35128"/>
    <cellStyle name="Percent 2 3 3 4 3 6" xfId="35129"/>
    <cellStyle name="Percent 2 3 3 4 4" xfId="35130"/>
    <cellStyle name="Percent 2 3 3 4 4 2" xfId="35131"/>
    <cellStyle name="Percent 2 3 3 4 4 2 2" xfId="35132"/>
    <cellStyle name="Percent 2 3 3 4 4 3" xfId="35133"/>
    <cellStyle name="Percent 2 3 3 4 4 3 2" xfId="35134"/>
    <cellStyle name="Percent 2 3 3 4 4 4" xfId="35135"/>
    <cellStyle name="Percent 2 3 3 4 4 4 2" xfId="35136"/>
    <cellStyle name="Percent 2 3 3 4 4 5" xfId="35137"/>
    <cellStyle name="Percent 2 3 3 4 4 6" xfId="35138"/>
    <cellStyle name="Percent 2 3 3 4 5" xfId="35139"/>
    <cellStyle name="Percent 2 3 3 4 5 2" xfId="35140"/>
    <cellStyle name="Percent 2 3 3 4 5 2 2" xfId="35141"/>
    <cellStyle name="Percent 2 3 3 4 5 3" xfId="35142"/>
    <cellStyle name="Percent 2 3 3 4 5 3 2" xfId="35143"/>
    <cellStyle name="Percent 2 3 3 4 5 4" xfId="35144"/>
    <cellStyle name="Percent 2 3 3 4 5 5" xfId="35145"/>
    <cellStyle name="Percent 2 3 3 4 6" xfId="35146"/>
    <cellStyle name="Percent 2 3 3 4 6 2" xfId="35147"/>
    <cellStyle name="Percent 2 3 3 4 7" xfId="35148"/>
    <cellStyle name="Percent 2 3 3 4 7 2" xfId="35149"/>
    <cellStyle name="Percent 2 3 3 4 8" xfId="35150"/>
    <cellStyle name="Percent 2 3 3 4 8 2" xfId="35151"/>
    <cellStyle name="Percent 2 3 3 4 9" xfId="35152"/>
    <cellStyle name="Percent 2 3 3 5" xfId="35153"/>
    <cellStyle name="Percent 2 3 3 5 2" xfId="35154"/>
    <cellStyle name="Percent 2 3 3 5 2 2" xfId="35155"/>
    <cellStyle name="Percent 2 3 3 5 3" xfId="35156"/>
    <cellStyle name="Percent 2 3 3 5 3 2" xfId="35157"/>
    <cellStyle name="Percent 2 3 3 5 4" xfId="35158"/>
    <cellStyle name="Percent 2 3 3 5 4 2" xfId="35159"/>
    <cellStyle name="Percent 2 3 3 5 5" xfId="35160"/>
    <cellStyle name="Percent 2 3 3 5 6" xfId="35161"/>
    <cellStyle name="Percent 2 3 3 6" xfId="35162"/>
    <cellStyle name="Percent 2 3 3 6 2" xfId="35163"/>
    <cellStyle name="Percent 2 3 3 6 2 2" xfId="35164"/>
    <cellStyle name="Percent 2 3 3 6 3" xfId="35165"/>
    <cellStyle name="Percent 2 3 3 6 3 2" xfId="35166"/>
    <cellStyle name="Percent 2 3 3 6 4" xfId="35167"/>
    <cellStyle name="Percent 2 3 3 6 4 2" xfId="35168"/>
    <cellStyle name="Percent 2 3 3 6 5" xfId="35169"/>
    <cellStyle name="Percent 2 3 3 6 6" xfId="35170"/>
    <cellStyle name="Percent 2 3 3 7" xfId="35171"/>
    <cellStyle name="Percent 2 3 3 7 2" xfId="35172"/>
    <cellStyle name="Percent 2 3 3 7 2 2" xfId="35173"/>
    <cellStyle name="Percent 2 3 3 7 3" xfId="35174"/>
    <cellStyle name="Percent 2 3 3 7 3 2" xfId="35175"/>
    <cellStyle name="Percent 2 3 3 7 4" xfId="35176"/>
    <cellStyle name="Percent 2 3 3 7 4 2" xfId="35177"/>
    <cellStyle name="Percent 2 3 3 7 5" xfId="35178"/>
    <cellStyle name="Percent 2 3 3 7 6" xfId="35179"/>
    <cellStyle name="Percent 2 3 3 8" xfId="35180"/>
    <cellStyle name="Percent 2 3 3 8 2" xfId="35181"/>
    <cellStyle name="Percent 2 3 3 8 2 2" xfId="35182"/>
    <cellStyle name="Percent 2 3 3 8 3" xfId="35183"/>
    <cellStyle name="Percent 2 3 3 8 3 2" xfId="35184"/>
    <cellStyle name="Percent 2 3 3 8 4" xfId="35185"/>
    <cellStyle name="Percent 2 3 3 8 5" xfId="35186"/>
    <cellStyle name="Percent 2 3 3 9" xfId="35187"/>
    <cellStyle name="Percent 2 3 3 9 2" xfId="35188"/>
    <cellStyle name="Percent 2 3 4" xfId="35189"/>
    <cellStyle name="Percent 2 3 4 10" xfId="35190"/>
    <cellStyle name="Percent 2 3 4 10 2" xfId="35191"/>
    <cellStyle name="Percent 2 3 4 11" xfId="35192"/>
    <cellStyle name="Percent 2 3 4 11 2" xfId="35193"/>
    <cellStyle name="Percent 2 3 4 12" xfId="35194"/>
    <cellStyle name="Percent 2 3 4 13" xfId="35195"/>
    <cellStyle name="Percent 2 3 4 2" xfId="35196"/>
    <cellStyle name="Percent 2 3 4 2 10" xfId="35197"/>
    <cellStyle name="Percent 2 3 4 2 11" xfId="35198"/>
    <cellStyle name="Percent 2 3 4 2 2" xfId="35199"/>
    <cellStyle name="Percent 2 3 4 2 2 2" xfId="35200"/>
    <cellStyle name="Percent 2 3 4 2 2 2 2" xfId="35201"/>
    <cellStyle name="Percent 2 3 4 2 2 3" xfId="35202"/>
    <cellStyle name="Percent 2 3 4 2 2 3 2" xfId="35203"/>
    <cellStyle name="Percent 2 3 4 2 2 4" xfId="35204"/>
    <cellStyle name="Percent 2 3 4 2 2 4 2" xfId="35205"/>
    <cellStyle name="Percent 2 3 4 2 2 5" xfId="35206"/>
    <cellStyle name="Percent 2 3 4 2 2 6" xfId="35207"/>
    <cellStyle name="Percent 2 3 4 2 3" xfId="35208"/>
    <cellStyle name="Percent 2 3 4 2 3 2" xfId="35209"/>
    <cellStyle name="Percent 2 3 4 2 3 2 2" xfId="35210"/>
    <cellStyle name="Percent 2 3 4 2 3 3" xfId="35211"/>
    <cellStyle name="Percent 2 3 4 2 3 3 2" xfId="35212"/>
    <cellStyle name="Percent 2 3 4 2 3 4" xfId="35213"/>
    <cellStyle name="Percent 2 3 4 2 3 4 2" xfId="35214"/>
    <cellStyle name="Percent 2 3 4 2 3 5" xfId="35215"/>
    <cellStyle name="Percent 2 3 4 2 3 6" xfId="35216"/>
    <cellStyle name="Percent 2 3 4 2 4" xfId="35217"/>
    <cellStyle name="Percent 2 3 4 2 4 2" xfId="35218"/>
    <cellStyle name="Percent 2 3 4 2 4 2 2" xfId="35219"/>
    <cellStyle name="Percent 2 3 4 2 4 3" xfId="35220"/>
    <cellStyle name="Percent 2 3 4 2 4 3 2" xfId="35221"/>
    <cellStyle name="Percent 2 3 4 2 4 4" xfId="35222"/>
    <cellStyle name="Percent 2 3 4 2 4 4 2" xfId="35223"/>
    <cellStyle name="Percent 2 3 4 2 4 5" xfId="35224"/>
    <cellStyle name="Percent 2 3 4 2 4 6" xfId="35225"/>
    <cellStyle name="Percent 2 3 4 2 5" xfId="35226"/>
    <cellStyle name="Percent 2 3 4 2 5 2" xfId="35227"/>
    <cellStyle name="Percent 2 3 4 2 5 2 2" xfId="35228"/>
    <cellStyle name="Percent 2 3 4 2 5 3" xfId="35229"/>
    <cellStyle name="Percent 2 3 4 2 5 3 2" xfId="35230"/>
    <cellStyle name="Percent 2 3 4 2 5 4" xfId="35231"/>
    <cellStyle name="Percent 2 3 4 2 5 4 2" xfId="35232"/>
    <cellStyle name="Percent 2 3 4 2 5 5" xfId="35233"/>
    <cellStyle name="Percent 2 3 4 2 5 6" xfId="35234"/>
    <cellStyle name="Percent 2 3 4 2 6" xfId="35235"/>
    <cellStyle name="Percent 2 3 4 2 6 2" xfId="35236"/>
    <cellStyle name="Percent 2 3 4 2 6 2 2" xfId="35237"/>
    <cellStyle name="Percent 2 3 4 2 6 3" xfId="35238"/>
    <cellStyle name="Percent 2 3 4 2 6 3 2" xfId="35239"/>
    <cellStyle name="Percent 2 3 4 2 6 4" xfId="35240"/>
    <cellStyle name="Percent 2 3 4 2 6 5" xfId="35241"/>
    <cellStyle name="Percent 2 3 4 2 7" xfId="35242"/>
    <cellStyle name="Percent 2 3 4 2 7 2" xfId="35243"/>
    <cellStyle name="Percent 2 3 4 2 8" xfId="35244"/>
    <cellStyle name="Percent 2 3 4 2 8 2" xfId="35245"/>
    <cellStyle name="Percent 2 3 4 2 9" xfId="35246"/>
    <cellStyle name="Percent 2 3 4 2 9 2" xfId="35247"/>
    <cellStyle name="Percent 2 3 4 3" xfId="35248"/>
    <cellStyle name="Percent 2 3 4 3 10" xfId="35249"/>
    <cellStyle name="Percent 2 3 4 3 2" xfId="35250"/>
    <cellStyle name="Percent 2 3 4 3 2 2" xfId="35251"/>
    <cellStyle name="Percent 2 3 4 3 2 2 2" xfId="35252"/>
    <cellStyle name="Percent 2 3 4 3 2 3" xfId="35253"/>
    <cellStyle name="Percent 2 3 4 3 2 3 2" xfId="35254"/>
    <cellStyle name="Percent 2 3 4 3 2 4" xfId="35255"/>
    <cellStyle name="Percent 2 3 4 3 2 4 2" xfId="35256"/>
    <cellStyle name="Percent 2 3 4 3 2 5" xfId="35257"/>
    <cellStyle name="Percent 2 3 4 3 2 6" xfId="35258"/>
    <cellStyle name="Percent 2 3 4 3 3" xfId="35259"/>
    <cellStyle name="Percent 2 3 4 3 3 2" xfId="35260"/>
    <cellStyle name="Percent 2 3 4 3 3 2 2" xfId="35261"/>
    <cellStyle name="Percent 2 3 4 3 3 3" xfId="35262"/>
    <cellStyle name="Percent 2 3 4 3 3 3 2" xfId="35263"/>
    <cellStyle name="Percent 2 3 4 3 3 4" xfId="35264"/>
    <cellStyle name="Percent 2 3 4 3 3 4 2" xfId="35265"/>
    <cellStyle name="Percent 2 3 4 3 3 5" xfId="35266"/>
    <cellStyle name="Percent 2 3 4 3 3 6" xfId="35267"/>
    <cellStyle name="Percent 2 3 4 3 4" xfId="35268"/>
    <cellStyle name="Percent 2 3 4 3 4 2" xfId="35269"/>
    <cellStyle name="Percent 2 3 4 3 4 2 2" xfId="35270"/>
    <cellStyle name="Percent 2 3 4 3 4 3" xfId="35271"/>
    <cellStyle name="Percent 2 3 4 3 4 3 2" xfId="35272"/>
    <cellStyle name="Percent 2 3 4 3 4 4" xfId="35273"/>
    <cellStyle name="Percent 2 3 4 3 4 4 2" xfId="35274"/>
    <cellStyle name="Percent 2 3 4 3 4 5" xfId="35275"/>
    <cellStyle name="Percent 2 3 4 3 4 6" xfId="35276"/>
    <cellStyle name="Percent 2 3 4 3 5" xfId="35277"/>
    <cellStyle name="Percent 2 3 4 3 5 2" xfId="35278"/>
    <cellStyle name="Percent 2 3 4 3 5 2 2" xfId="35279"/>
    <cellStyle name="Percent 2 3 4 3 5 3" xfId="35280"/>
    <cellStyle name="Percent 2 3 4 3 5 3 2" xfId="35281"/>
    <cellStyle name="Percent 2 3 4 3 5 4" xfId="35282"/>
    <cellStyle name="Percent 2 3 4 3 5 5" xfId="35283"/>
    <cellStyle name="Percent 2 3 4 3 6" xfId="35284"/>
    <cellStyle name="Percent 2 3 4 3 6 2" xfId="35285"/>
    <cellStyle name="Percent 2 3 4 3 7" xfId="35286"/>
    <cellStyle name="Percent 2 3 4 3 7 2" xfId="35287"/>
    <cellStyle name="Percent 2 3 4 3 8" xfId="35288"/>
    <cellStyle name="Percent 2 3 4 3 8 2" xfId="35289"/>
    <cellStyle name="Percent 2 3 4 3 9" xfId="35290"/>
    <cellStyle name="Percent 2 3 4 4" xfId="35291"/>
    <cellStyle name="Percent 2 3 4 4 10" xfId="35292"/>
    <cellStyle name="Percent 2 3 4 4 2" xfId="35293"/>
    <cellStyle name="Percent 2 3 4 4 2 2" xfId="35294"/>
    <cellStyle name="Percent 2 3 4 4 2 2 2" xfId="35295"/>
    <cellStyle name="Percent 2 3 4 4 2 3" xfId="35296"/>
    <cellStyle name="Percent 2 3 4 4 2 3 2" xfId="35297"/>
    <cellStyle name="Percent 2 3 4 4 2 4" xfId="35298"/>
    <cellStyle name="Percent 2 3 4 4 2 4 2" xfId="35299"/>
    <cellStyle name="Percent 2 3 4 4 2 5" xfId="35300"/>
    <cellStyle name="Percent 2 3 4 4 2 6" xfId="35301"/>
    <cellStyle name="Percent 2 3 4 4 3" xfId="35302"/>
    <cellStyle name="Percent 2 3 4 4 3 2" xfId="35303"/>
    <cellStyle name="Percent 2 3 4 4 3 2 2" xfId="35304"/>
    <cellStyle name="Percent 2 3 4 4 3 3" xfId="35305"/>
    <cellStyle name="Percent 2 3 4 4 3 3 2" xfId="35306"/>
    <cellStyle name="Percent 2 3 4 4 3 4" xfId="35307"/>
    <cellStyle name="Percent 2 3 4 4 3 4 2" xfId="35308"/>
    <cellStyle name="Percent 2 3 4 4 3 5" xfId="35309"/>
    <cellStyle name="Percent 2 3 4 4 3 6" xfId="35310"/>
    <cellStyle name="Percent 2 3 4 4 4" xfId="35311"/>
    <cellStyle name="Percent 2 3 4 4 4 2" xfId="35312"/>
    <cellStyle name="Percent 2 3 4 4 4 2 2" xfId="35313"/>
    <cellStyle name="Percent 2 3 4 4 4 3" xfId="35314"/>
    <cellStyle name="Percent 2 3 4 4 4 3 2" xfId="35315"/>
    <cellStyle name="Percent 2 3 4 4 4 4" xfId="35316"/>
    <cellStyle name="Percent 2 3 4 4 4 4 2" xfId="35317"/>
    <cellStyle name="Percent 2 3 4 4 4 5" xfId="35318"/>
    <cellStyle name="Percent 2 3 4 4 4 6" xfId="35319"/>
    <cellStyle name="Percent 2 3 4 4 5" xfId="35320"/>
    <cellStyle name="Percent 2 3 4 4 5 2" xfId="35321"/>
    <cellStyle name="Percent 2 3 4 4 5 2 2" xfId="35322"/>
    <cellStyle name="Percent 2 3 4 4 5 3" xfId="35323"/>
    <cellStyle name="Percent 2 3 4 4 5 3 2" xfId="35324"/>
    <cellStyle name="Percent 2 3 4 4 5 4" xfId="35325"/>
    <cellStyle name="Percent 2 3 4 4 5 5" xfId="35326"/>
    <cellStyle name="Percent 2 3 4 4 6" xfId="35327"/>
    <cellStyle name="Percent 2 3 4 4 6 2" xfId="35328"/>
    <cellStyle name="Percent 2 3 4 4 7" xfId="35329"/>
    <cellStyle name="Percent 2 3 4 4 7 2" xfId="35330"/>
    <cellStyle name="Percent 2 3 4 4 8" xfId="35331"/>
    <cellStyle name="Percent 2 3 4 4 8 2" xfId="35332"/>
    <cellStyle name="Percent 2 3 4 4 9" xfId="35333"/>
    <cellStyle name="Percent 2 3 4 5" xfId="35334"/>
    <cellStyle name="Percent 2 3 4 5 2" xfId="35335"/>
    <cellStyle name="Percent 2 3 4 5 2 2" xfId="35336"/>
    <cellStyle name="Percent 2 3 4 5 3" xfId="35337"/>
    <cellStyle name="Percent 2 3 4 5 3 2" xfId="35338"/>
    <cellStyle name="Percent 2 3 4 5 4" xfId="35339"/>
    <cellStyle name="Percent 2 3 4 5 4 2" xfId="35340"/>
    <cellStyle name="Percent 2 3 4 5 5" xfId="35341"/>
    <cellStyle name="Percent 2 3 4 5 6" xfId="35342"/>
    <cellStyle name="Percent 2 3 4 6" xfId="35343"/>
    <cellStyle name="Percent 2 3 4 6 2" xfId="35344"/>
    <cellStyle name="Percent 2 3 4 6 2 2" xfId="35345"/>
    <cellStyle name="Percent 2 3 4 6 3" xfId="35346"/>
    <cellStyle name="Percent 2 3 4 6 3 2" xfId="35347"/>
    <cellStyle name="Percent 2 3 4 6 4" xfId="35348"/>
    <cellStyle name="Percent 2 3 4 6 4 2" xfId="35349"/>
    <cellStyle name="Percent 2 3 4 6 5" xfId="35350"/>
    <cellStyle name="Percent 2 3 4 6 6" xfId="35351"/>
    <cellStyle name="Percent 2 3 4 7" xfId="35352"/>
    <cellStyle name="Percent 2 3 4 7 2" xfId="35353"/>
    <cellStyle name="Percent 2 3 4 7 2 2" xfId="35354"/>
    <cellStyle name="Percent 2 3 4 7 3" xfId="35355"/>
    <cellStyle name="Percent 2 3 4 7 3 2" xfId="35356"/>
    <cellStyle name="Percent 2 3 4 7 4" xfId="35357"/>
    <cellStyle name="Percent 2 3 4 7 4 2" xfId="35358"/>
    <cellStyle name="Percent 2 3 4 7 5" xfId="35359"/>
    <cellStyle name="Percent 2 3 4 7 6" xfId="35360"/>
    <cellStyle name="Percent 2 3 4 8" xfId="35361"/>
    <cellStyle name="Percent 2 3 4 8 2" xfId="35362"/>
    <cellStyle name="Percent 2 3 4 8 2 2" xfId="35363"/>
    <cellStyle name="Percent 2 3 4 8 3" xfId="35364"/>
    <cellStyle name="Percent 2 3 4 8 3 2" xfId="35365"/>
    <cellStyle name="Percent 2 3 4 8 4" xfId="35366"/>
    <cellStyle name="Percent 2 3 4 8 5" xfId="35367"/>
    <cellStyle name="Percent 2 3 4 9" xfId="35368"/>
    <cellStyle name="Percent 2 3 4 9 2" xfId="35369"/>
    <cellStyle name="Percent 2 3 5" xfId="35370"/>
    <cellStyle name="Percent 2 3 5 10" xfId="35371"/>
    <cellStyle name="Percent 2 3 5 10 2" xfId="35372"/>
    <cellStyle name="Percent 2 3 5 11" xfId="35373"/>
    <cellStyle name="Percent 2 3 5 12" xfId="35374"/>
    <cellStyle name="Percent 2 3 5 2" xfId="35375"/>
    <cellStyle name="Percent 2 3 5 2 10" xfId="35376"/>
    <cellStyle name="Percent 2 3 5 2 2" xfId="35377"/>
    <cellStyle name="Percent 2 3 5 2 2 2" xfId="35378"/>
    <cellStyle name="Percent 2 3 5 2 2 2 2" xfId="35379"/>
    <cellStyle name="Percent 2 3 5 2 2 3" xfId="35380"/>
    <cellStyle name="Percent 2 3 5 2 2 3 2" xfId="35381"/>
    <cellStyle name="Percent 2 3 5 2 2 4" xfId="35382"/>
    <cellStyle name="Percent 2 3 5 2 2 4 2" xfId="35383"/>
    <cellStyle name="Percent 2 3 5 2 2 5" xfId="35384"/>
    <cellStyle name="Percent 2 3 5 2 2 6" xfId="35385"/>
    <cellStyle name="Percent 2 3 5 2 3" xfId="35386"/>
    <cellStyle name="Percent 2 3 5 2 3 2" xfId="35387"/>
    <cellStyle name="Percent 2 3 5 2 3 2 2" xfId="35388"/>
    <cellStyle name="Percent 2 3 5 2 3 3" xfId="35389"/>
    <cellStyle name="Percent 2 3 5 2 3 3 2" xfId="35390"/>
    <cellStyle name="Percent 2 3 5 2 3 4" xfId="35391"/>
    <cellStyle name="Percent 2 3 5 2 3 4 2" xfId="35392"/>
    <cellStyle name="Percent 2 3 5 2 3 5" xfId="35393"/>
    <cellStyle name="Percent 2 3 5 2 3 6" xfId="35394"/>
    <cellStyle name="Percent 2 3 5 2 4" xfId="35395"/>
    <cellStyle name="Percent 2 3 5 2 4 2" xfId="35396"/>
    <cellStyle name="Percent 2 3 5 2 4 2 2" xfId="35397"/>
    <cellStyle name="Percent 2 3 5 2 4 3" xfId="35398"/>
    <cellStyle name="Percent 2 3 5 2 4 3 2" xfId="35399"/>
    <cellStyle name="Percent 2 3 5 2 4 4" xfId="35400"/>
    <cellStyle name="Percent 2 3 5 2 4 4 2" xfId="35401"/>
    <cellStyle name="Percent 2 3 5 2 4 5" xfId="35402"/>
    <cellStyle name="Percent 2 3 5 2 4 6" xfId="35403"/>
    <cellStyle name="Percent 2 3 5 2 5" xfId="35404"/>
    <cellStyle name="Percent 2 3 5 2 5 2" xfId="35405"/>
    <cellStyle name="Percent 2 3 5 2 5 2 2" xfId="35406"/>
    <cellStyle name="Percent 2 3 5 2 5 3" xfId="35407"/>
    <cellStyle name="Percent 2 3 5 2 5 3 2" xfId="35408"/>
    <cellStyle name="Percent 2 3 5 2 5 4" xfId="35409"/>
    <cellStyle name="Percent 2 3 5 2 5 5" xfId="35410"/>
    <cellStyle name="Percent 2 3 5 2 6" xfId="35411"/>
    <cellStyle name="Percent 2 3 5 2 6 2" xfId="35412"/>
    <cellStyle name="Percent 2 3 5 2 7" xfId="35413"/>
    <cellStyle name="Percent 2 3 5 2 7 2" xfId="35414"/>
    <cellStyle name="Percent 2 3 5 2 8" xfId="35415"/>
    <cellStyle name="Percent 2 3 5 2 8 2" xfId="35416"/>
    <cellStyle name="Percent 2 3 5 2 9" xfId="35417"/>
    <cellStyle name="Percent 2 3 5 3" xfId="35418"/>
    <cellStyle name="Percent 2 3 5 3 10" xfId="35419"/>
    <cellStyle name="Percent 2 3 5 3 2" xfId="35420"/>
    <cellStyle name="Percent 2 3 5 3 2 2" xfId="35421"/>
    <cellStyle name="Percent 2 3 5 3 2 2 2" xfId="35422"/>
    <cellStyle name="Percent 2 3 5 3 2 3" xfId="35423"/>
    <cellStyle name="Percent 2 3 5 3 2 3 2" xfId="35424"/>
    <cellStyle name="Percent 2 3 5 3 2 4" xfId="35425"/>
    <cellStyle name="Percent 2 3 5 3 2 4 2" xfId="35426"/>
    <cellStyle name="Percent 2 3 5 3 2 5" xfId="35427"/>
    <cellStyle name="Percent 2 3 5 3 2 6" xfId="35428"/>
    <cellStyle name="Percent 2 3 5 3 3" xfId="35429"/>
    <cellStyle name="Percent 2 3 5 3 3 2" xfId="35430"/>
    <cellStyle name="Percent 2 3 5 3 3 2 2" xfId="35431"/>
    <cellStyle name="Percent 2 3 5 3 3 3" xfId="35432"/>
    <cellStyle name="Percent 2 3 5 3 3 3 2" xfId="35433"/>
    <cellStyle name="Percent 2 3 5 3 3 4" xfId="35434"/>
    <cellStyle name="Percent 2 3 5 3 3 4 2" xfId="35435"/>
    <cellStyle name="Percent 2 3 5 3 3 5" xfId="35436"/>
    <cellStyle name="Percent 2 3 5 3 3 6" xfId="35437"/>
    <cellStyle name="Percent 2 3 5 3 4" xfId="35438"/>
    <cellStyle name="Percent 2 3 5 3 4 2" xfId="35439"/>
    <cellStyle name="Percent 2 3 5 3 4 2 2" xfId="35440"/>
    <cellStyle name="Percent 2 3 5 3 4 3" xfId="35441"/>
    <cellStyle name="Percent 2 3 5 3 4 3 2" xfId="35442"/>
    <cellStyle name="Percent 2 3 5 3 4 4" xfId="35443"/>
    <cellStyle name="Percent 2 3 5 3 4 4 2" xfId="35444"/>
    <cellStyle name="Percent 2 3 5 3 4 5" xfId="35445"/>
    <cellStyle name="Percent 2 3 5 3 4 6" xfId="35446"/>
    <cellStyle name="Percent 2 3 5 3 5" xfId="35447"/>
    <cellStyle name="Percent 2 3 5 3 5 2" xfId="35448"/>
    <cellStyle name="Percent 2 3 5 3 5 2 2" xfId="35449"/>
    <cellStyle name="Percent 2 3 5 3 5 3" xfId="35450"/>
    <cellStyle name="Percent 2 3 5 3 5 3 2" xfId="35451"/>
    <cellStyle name="Percent 2 3 5 3 5 4" xfId="35452"/>
    <cellStyle name="Percent 2 3 5 3 5 5" xfId="35453"/>
    <cellStyle name="Percent 2 3 5 3 6" xfId="35454"/>
    <cellStyle name="Percent 2 3 5 3 6 2" xfId="35455"/>
    <cellStyle name="Percent 2 3 5 3 7" xfId="35456"/>
    <cellStyle name="Percent 2 3 5 3 7 2" xfId="35457"/>
    <cellStyle name="Percent 2 3 5 3 8" xfId="35458"/>
    <cellStyle name="Percent 2 3 5 3 8 2" xfId="35459"/>
    <cellStyle name="Percent 2 3 5 3 9" xfId="35460"/>
    <cellStyle name="Percent 2 3 5 4" xfId="35461"/>
    <cellStyle name="Percent 2 3 5 4 2" xfId="35462"/>
    <cellStyle name="Percent 2 3 5 4 2 2" xfId="35463"/>
    <cellStyle name="Percent 2 3 5 4 3" xfId="35464"/>
    <cellStyle name="Percent 2 3 5 4 3 2" xfId="35465"/>
    <cellStyle name="Percent 2 3 5 4 4" xfId="35466"/>
    <cellStyle name="Percent 2 3 5 4 4 2" xfId="35467"/>
    <cellStyle name="Percent 2 3 5 4 5" xfId="35468"/>
    <cellStyle name="Percent 2 3 5 4 6" xfId="35469"/>
    <cellStyle name="Percent 2 3 5 5" xfId="35470"/>
    <cellStyle name="Percent 2 3 5 5 2" xfId="35471"/>
    <cellStyle name="Percent 2 3 5 5 2 2" xfId="35472"/>
    <cellStyle name="Percent 2 3 5 5 3" xfId="35473"/>
    <cellStyle name="Percent 2 3 5 5 3 2" xfId="35474"/>
    <cellStyle name="Percent 2 3 5 5 4" xfId="35475"/>
    <cellStyle name="Percent 2 3 5 5 4 2" xfId="35476"/>
    <cellStyle name="Percent 2 3 5 5 5" xfId="35477"/>
    <cellStyle name="Percent 2 3 5 5 6" xfId="35478"/>
    <cellStyle name="Percent 2 3 5 6" xfId="35479"/>
    <cellStyle name="Percent 2 3 5 6 2" xfId="35480"/>
    <cellStyle name="Percent 2 3 5 6 2 2" xfId="35481"/>
    <cellStyle name="Percent 2 3 5 6 3" xfId="35482"/>
    <cellStyle name="Percent 2 3 5 6 3 2" xfId="35483"/>
    <cellStyle name="Percent 2 3 5 6 4" xfId="35484"/>
    <cellStyle name="Percent 2 3 5 6 4 2" xfId="35485"/>
    <cellStyle name="Percent 2 3 5 6 5" xfId="35486"/>
    <cellStyle name="Percent 2 3 5 6 6" xfId="35487"/>
    <cellStyle name="Percent 2 3 5 7" xfId="35488"/>
    <cellStyle name="Percent 2 3 5 7 2" xfId="35489"/>
    <cellStyle name="Percent 2 3 5 7 2 2" xfId="35490"/>
    <cellStyle name="Percent 2 3 5 7 3" xfId="35491"/>
    <cellStyle name="Percent 2 3 5 7 3 2" xfId="35492"/>
    <cellStyle name="Percent 2 3 5 7 4" xfId="35493"/>
    <cellStyle name="Percent 2 3 5 7 5" xfId="35494"/>
    <cellStyle name="Percent 2 3 5 8" xfId="35495"/>
    <cellStyle name="Percent 2 3 5 8 2" xfId="35496"/>
    <cellStyle name="Percent 2 3 5 9" xfId="35497"/>
    <cellStyle name="Percent 2 3 5 9 2" xfId="35498"/>
    <cellStyle name="Percent 2 3 6" xfId="35499"/>
    <cellStyle name="Percent 2 3 6 10" xfId="35500"/>
    <cellStyle name="Percent 2 3 6 11" xfId="35501"/>
    <cellStyle name="Percent 2 3 6 2" xfId="35502"/>
    <cellStyle name="Percent 2 3 6 2 2" xfId="35503"/>
    <cellStyle name="Percent 2 3 6 2 2 2" xfId="35504"/>
    <cellStyle name="Percent 2 3 6 2 3" xfId="35505"/>
    <cellStyle name="Percent 2 3 6 2 3 2" xfId="35506"/>
    <cellStyle name="Percent 2 3 6 2 4" xfId="35507"/>
    <cellStyle name="Percent 2 3 6 2 4 2" xfId="35508"/>
    <cellStyle name="Percent 2 3 6 2 5" xfId="35509"/>
    <cellStyle name="Percent 2 3 6 2 6" xfId="35510"/>
    <cellStyle name="Percent 2 3 6 3" xfId="35511"/>
    <cellStyle name="Percent 2 3 6 3 2" xfId="35512"/>
    <cellStyle name="Percent 2 3 6 3 2 2" xfId="35513"/>
    <cellStyle name="Percent 2 3 6 3 3" xfId="35514"/>
    <cellStyle name="Percent 2 3 6 3 3 2" xfId="35515"/>
    <cellStyle name="Percent 2 3 6 3 4" xfId="35516"/>
    <cellStyle name="Percent 2 3 6 3 4 2" xfId="35517"/>
    <cellStyle name="Percent 2 3 6 3 5" xfId="35518"/>
    <cellStyle name="Percent 2 3 6 3 6" xfId="35519"/>
    <cellStyle name="Percent 2 3 6 4" xfId="35520"/>
    <cellStyle name="Percent 2 3 6 4 2" xfId="35521"/>
    <cellStyle name="Percent 2 3 6 4 2 2" xfId="35522"/>
    <cellStyle name="Percent 2 3 6 4 3" xfId="35523"/>
    <cellStyle name="Percent 2 3 6 4 3 2" xfId="35524"/>
    <cellStyle name="Percent 2 3 6 4 4" xfId="35525"/>
    <cellStyle name="Percent 2 3 6 4 4 2" xfId="35526"/>
    <cellStyle name="Percent 2 3 6 4 5" xfId="35527"/>
    <cellStyle name="Percent 2 3 6 4 6" xfId="35528"/>
    <cellStyle name="Percent 2 3 6 5" xfId="35529"/>
    <cellStyle name="Percent 2 3 6 5 2" xfId="35530"/>
    <cellStyle name="Percent 2 3 6 5 2 2" xfId="35531"/>
    <cellStyle name="Percent 2 3 6 5 3" xfId="35532"/>
    <cellStyle name="Percent 2 3 6 5 3 2" xfId="35533"/>
    <cellStyle name="Percent 2 3 6 5 4" xfId="35534"/>
    <cellStyle name="Percent 2 3 6 5 4 2" xfId="35535"/>
    <cellStyle name="Percent 2 3 6 5 5" xfId="35536"/>
    <cellStyle name="Percent 2 3 6 5 6" xfId="35537"/>
    <cellStyle name="Percent 2 3 6 6" xfId="35538"/>
    <cellStyle name="Percent 2 3 6 6 2" xfId="35539"/>
    <cellStyle name="Percent 2 3 6 6 2 2" xfId="35540"/>
    <cellStyle name="Percent 2 3 6 6 3" xfId="35541"/>
    <cellStyle name="Percent 2 3 6 6 3 2" xfId="35542"/>
    <cellStyle name="Percent 2 3 6 6 4" xfId="35543"/>
    <cellStyle name="Percent 2 3 6 6 5" xfId="35544"/>
    <cellStyle name="Percent 2 3 6 7" xfId="35545"/>
    <cellStyle name="Percent 2 3 6 7 2" xfId="35546"/>
    <cellStyle name="Percent 2 3 6 8" xfId="35547"/>
    <cellStyle name="Percent 2 3 6 8 2" xfId="35548"/>
    <cellStyle name="Percent 2 3 6 9" xfId="35549"/>
    <cellStyle name="Percent 2 3 6 9 2" xfId="35550"/>
    <cellStyle name="Percent 2 3 7" xfId="35551"/>
    <cellStyle name="Percent 2 3 7 10" xfId="35552"/>
    <cellStyle name="Percent 2 3 7 2" xfId="35553"/>
    <cellStyle name="Percent 2 3 7 2 2" xfId="35554"/>
    <cellStyle name="Percent 2 3 7 2 2 2" xfId="35555"/>
    <cellStyle name="Percent 2 3 7 2 3" xfId="35556"/>
    <cellStyle name="Percent 2 3 7 2 3 2" xfId="35557"/>
    <cellStyle name="Percent 2 3 7 2 4" xfId="35558"/>
    <cellStyle name="Percent 2 3 7 2 4 2" xfId="35559"/>
    <cellStyle name="Percent 2 3 7 2 5" xfId="35560"/>
    <cellStyle name="Percent 2 3 7 2 6" xfId="35561"/>
    <cellStyle name="Percent 2 3 7 3" xfId="35562"/>
    <cellStyle name="Percent 2 3 7 3 2" xfId="35563"/>
    <cellStyle name="Percent 2 3 7 3 2 2" xfId="35564"/>
    <cellStyle name="Percent 2 3 7 3 3" xfId="35565"/>
    <cellStyle name="Percent 2 3 7 3 3 2" xfId="35566"/>
    <cellStyle name="Percent 2 3 7 3 4" xfId="35567"/>
    <cellStyle name="Percent 2 3 7 3 4 2" xfId="35568"/>
    <cellStyle name="Percent 2 3 7 3 5" xfId="35569"/>
    <cellStyle name="Percent 2 3 7 3 6" xfId="35570"/>
    <cellStyle name="Percent 2 3 7 4" xfId="35571"/>
    <cellStyle name="Percent 2 3 7 4 2" xfId="35572"/>
    <cellStyle name="Percent 2 3 7 4 2 2" xfId="35573"/>
    <cellStyle name="Percent 2 3 7 4 3" xfId="35574"/>
    <cellStyle name="Percent 2 3 7 4 3 2" xfId="35575"/>
    <cellStyle name="Percent 2 3 7 4 4" xfId="35576"/>
    <cellStyle name="Percent 2 3 7 4 4 2" xfId="35577"/>
    <cellStyle name="Percent 2 3 7 4 5" xfId="35578"/>
    <cellStyle name="Percent 2 3 7 4 6" xfId="35579"/>
    <cellStyle name="Percent 2 3 7 5" xfId="35580"/>
    <cellStyle name="Percent 2 3 7 5 2" xfId="35581"/>
    <cellStyle name="Percent 2 3 7 5 2 2" xfId="35582"/>
    <cellStyle name="Percent 2 3 7 5 3" xfId="35583"/>
    <cellStyle name="Percent 2 3 7 5 3 2" xfId="35584"/>
    <cellStyle name="Percent 2 3 7 5 4" xfId="35585"/>
    <cellStyle name="Percent 2 3 7 5 5" xfId="35586"/>
    <cellStyle name="Percent 2 3 7 6" xfId="35587"/>
    <cellStyle name="Percent 2 3 7 6 2" xfId="35588"/>
    <cellStyle name="Percent 2 3 7 7" xfId="35589"/>
    <cellStyle name="Percent 2 3 7 7 2" xfId="35590"/>
    <cellStyle name="Percent 2 3 7 8" xfId="35591"/>
    <cellStyle name="Percent 2 3 7 8 2" xfId="35592"/>
    <cellStyle name="Percent 2 3 7 9" xfId="35593"/>
    <cellStyle name="Percent 2 3 8" xfId="35594"/>
    <cellStyle name="Percent 2 3 8 10" xfId="35595"/>
    <cellStyle name="Percent 2 3 8 2" xfId="35596"/>
    <cellStyle name="Percent 2 3 8 2 2" xfId="35597"/>
    <cellStyle name="Percent 2 3 8 2 2 2" xfId="35598"/>
    <cellStyle name="Percent 2 3 8 2 3" xfId="35599"/>
    <cellStyle name="Percent 2 3 8 2 3 2" xfId="35600"/>
    <cellStyle name="Percent 2 3 8 2 4" xfId="35601"/>
    <cellStyle name="Percent 2 3 8 2 4 2" xfId="35602"/>
    <cellStyle name="Percent 2 3 8 2 5" xfId="35603"/>
    <cellStyle name="Percent 2 3 8 2 6" xfId="35604"/>
    <cellStyle name="Percent 2 3 8 3" xfId="35605"/>
    <cellStyle name="Percent 2 3 8 3 2" xfId="35606"/>
    <cellStyle name="Percent 2 3 8 3 2 2" xfId="35607"/>
    <cellStyle name="Percent 2 3 8 3 3" xfId="35608"/>
    <cellStyle name="Percent 2 3 8 3 3 2" xfId="35609"/>
    <cellStyle name="Percent 2 3 8 3 4" xfId="35610"/>
    <cellStyle name="Percent 2 3 8 3 4 2" xfId="35611"/>
    <cellStyle name="Percent 2 3 8 3 5" xfId="35612"/>
    <cellStyle name="Percent 2 3 8 3 6" xfId="35613"/>
    <cellStyle name="Percent 2 3 8 4" xfId="35614"/>
    <cellStyle name="Percent 2 3 8 4 2" xfId="35615"/>
    <cellStyle name="Percent 2 3 8 4 2 2" xfId="35616"/>
    <cellStyle name="Percent 2 3 8 4 3" xfId="35617"/>
    <cellStyle name="Percent 2 3 8 4 3 2" xfId="35618"/>
    <cellStyle name="Percent 2 3 8 4 4" xfId="35619"/>
    <cellStyle name="Percent 2 3 8 4 4 2" xfId="35620"/>
    <cellStyle name="Percent 2 3 8 4 5" xfId="35621"/>
    <cellStyle name="Percent 2 3 8 4 6" xfId="35622"/>
    <cellStyle name="Percent 2 3 8 5" xfId="35623"/>
    <cellStyle name="Percent 2 3 8 5 2" xfId="35624"/>
    <cellStyle name="Percent 2 3 8 5 2 2" xfId="35625"/>
    <cellStyle name="Percent 2 3 8 5 3" xfId="35626"/>
    <cellStyle name="Percent 2 3 8 5 3 2" xfId="35627"/>
    <cellStyle name="Percent 2 3 8 5 4" xfId="35628"/>
    <cellStyle name="Percent 2 3 8 5 5" xfId="35629"/>
    <cellStyle name="Percent 2 3 8 6" xfId="35630"/>
    <cellStyle name="Percent 2 3 8 6 2" xfId="35631"/>
    <cellStyle name="Percent 2 3 8 7" xfId="35632"/>
    <cellStyle name="Percent 2 3 8 7 2" xfId="35633"/>
    <cellStyle name="Percent 2 3 8 8" xfId="35634"/>
    <cellStyle name="Percent 2 3 8 8 2" xfId="35635"/>
    <cellStyle name="Percent 2 3 8 9" xfId="35636"/>
    <cellStyle name="Percent 2 3 9" xfId="35637"/>
    <cellStyle name="Percent 2 3 9 2" xfId="35638"/>
    <cellStyle name="Percent 2 3 9 2 2" xfId="35639"/>
    <cellStyle name="Percent 2 3 9 3" xfId="35640"/>
    <cellStyle name="Percent 2 3 9 3 2" xfId="35641"/>
    <cellStyle name="Percent 2 3 9 4" xfId="35642"/>
    <cellStyle name="Percent 2 3 9 4 2" xfId="35643"/>
    <cellStyle name="Percent 2 3 9 5" xfId="35644"/>
    <cellStyle name="Percent 2 3 9 6" xfId="35645"/>
    <cellStyle name="Percent 2 4" xfId="35646"/>
    <cellStyle name="Percent 2 4 10" xfId="35647"/>
    <cellStyle name="Percent 2 4 10 2" xfId="35648"/>
    <cellStyle name="Percent 2 4 10 2 2" xfId="35649"/>
    <cellStyle name="Percent 2 4 10 3" xfId="35650"/>
    <cellStyle name="Percent 2 4 10 3 2" xfId="35651"/>
    <cellStyle name="Percent 2 4 10 4" xfId="35652"/>
    <cellStyle name="Percent 2 4 10 4 2" xfId="35653"/>
    <cellStyle name="Percent 2 4 10 5" xfId="35654"/>
    <cellStyle name="Percent 2 4 10 6" xfId="35655"/>
    <cellStyle name="Percent 2 4 11" xfId="35656"/>
    <cellStyle name="Percent 2 4 11 2" xfId="35657"/>
    <cellStyle name="Percent 2 4 11 2 2" xfId="35658"/>
    <cellStyle name="Percent 2 4 11 3" xfId="35659"/>
    <cellStyle name="Percent 2 4 11 3 2" xfId="35660"/>
    <cellStyle name="Percent 2 4 11 4" xfId="35661"/>
    <cellStyle name="Percent 2 4 11 5" xfId="35662"/>
    <cellStyle name="Percent 2 4 12" xfId="35663"/>
    <cellStyle name="Percent 2 4 12 2" xfId="35664"/>
    <cellStyle name="Percent 2 4 13" xfId="35665"/>
    <cellStyle name="Percent 2 4 13 2" xfId="35666"/>
    <cellStyle name="Percent 2 4 14" xfId="35667"/>
    <cellStyle name="Percent 2 4 14 2" xfId="35668"/>
    <cellStyle name="Percent 2 4 15" xfId="35669"/>
    <cellStyle name="Percent 2 4 16" xfId="35670"/>
    <cellStyle name="Percent 2 4 17" xfId="35671"/>
    <cellStyle name="Percent 2 4 2" xfId="35672"/>
    <cellStyle name="Percent 2 4 2 10" xfId="35673"/>
    <cellStyle name="Percent 2 4 2 10 2" xfId="35674"/>
    <cellStyle name="Percent 2 4 2 11" xfId="35675"/>
    <cellStyle name="Percent 2 4 2 11 2" xfId="35676"/>
    <cellStyle name="Percent 2 4 2 12" xfId="35677"/>
    <cellStyle name="Percent 2 4 2 13" xfId="35678"/>
    <cellStyle name="Percent 2 4 2 2" xfId="35679"/>
    <cellStyle name="Percent 2 4 2 2 10" xfId="35680"/>
    <cellStyle name="Percent 2 4 2 2 11" xfId="35681"/>
    <cellStyle name="Percent 2 4 2 2 2" xfId="35682"/>
    <cellStyle name="Percent 2 4 2 2 2 2" xfId="35683"/>
    <cellStyle name="Percent 2 4 2 2 2 2 2" xfId="35684"/>
    <cellStyle name="Percent 2 4 2 2 2 3" xfId="35685"/>
    <cellStyle name="Percent 2 4 2 2 2 3 2" xfId="35686"/>
    <cellStyle name="Percent 2 4 2 2 2 4" xfId="35687"/>
    <cellStyle name="Percent 2 4 2 2 2 4 2" xfId="35688"/>
    <cellStyle name="Percent 2 4 2 2 2 5" xfId="35689"/>
    <cellStyle name="Percent 2 4 2 2 2 6" xfId="35690"/>
    <cellStyle name="Percent 2 4 2 2 3" xfId="35691"/>
    <cellStyle name="Percent 2 4 2 2 3 2" xfId="35692"/>
    <cellStyle name="Percent 2 4 2 2 3 2 2" xfId="35693"/>
    <cellStyle name="Percent 2 4 2 2 3 3" xfId="35694"/>
    <cellStyle name="Percent 2 4 2 2 3 3 2" xfId="35695"/>
    <cellStyle name="Percent 2 4 2 2 3 4" xfId="35696"/>
    <cellStyle name="Percent 2 4 2 2 3 4 2" xfId="35697"/>
    <cellStyle name="Percent 2 4 2 2 3 5" xfId="35698"/>
    <cellStyle name="Percent 2 4 2 2 3 6" xfId="35699"/>
    <cellStyle name="Percent 2 4 2 2 4" xfId="35700"/>
    <cellStyle name="Percent 2 4 2 2 4 2" xfId="35701"/>
    <cellStyle name="Percent 2 4 2 2 4 2 2" xfId="35702"/>
    <cellStyle name="Percent 2 4 2 2 4 3" xfId="35703"/>
    <cellStyle name="Percent 2 4 2 2 4 3 2" xfId="35704"/>
    <cellStyle name="Percent 2 4 2 2 4 4" xfId="35705"/>
    <cellStyle name="Percent 2 4 2 2 4 4 2" xfId="35706"/>
    <cellStyle name="Percent 2 4 2 2 4 5" xfId="35707"/>
    <cellStyle name="Percent 2 4 2 2 4 6" xfId="35708"/>
    <cellStyle name="Percent 2 4 2 2 5" xfId="35709"/>
    <cellStyle name="Percent 2 4 2 2 5 2" xfId="35710"/>
    <cellStyle name="Percent 2 4 2 2 5 2 2" xfId="35711"/>
    <cellStyle name="Percent 2 4 2 2 5 3" xfId="35712"/>
    <cellStyle name="Percent 2 4 2 2 5 3 2" xfId="35713"/>
    <cellStyle name="Percent 2 4 2 2 5 4" xfId="35714"/>
    <cellStyle name="Percent 2 4 2 2 5 4 2" xfId="35715"/>
    <cellStyle name="Percent 2 4 2 2 5 5" xfId="35716"/>
    <cellStyle name="Percent 2 4 2 2 5 6" xfId="35717"/>
    <cellStyle name="Percent 2 4 2 2 6" xfId="35718"/>
    <cellStyle name="Percent 2 4 2 2 6 2" xfId="35719"/>
    <cellStyle name="Percent 2 4 2 2 6 2 2" xfId="35720"/>
    <cellStyle name="Percent 2 4 2 2 6 3" xfId="35721"/>
    <cellStyle name="Percent 2 4 2 2 6 3 2" xfId="35722"/>
    <cellStyle name="Percent 2 4 2 2 6 4" xfId="35723"/>
    <cellStyle name="Percent 2 4 2 2 6 5" xfId="35724"/>
    <cellStyle name="Percent 2 4 2 2 7" xfId="35725"/>
    <cellStyle name="Percent 2 4 2 2 7 2" xfId="35726"/>
    <cellStyle name="Percent 2 4 2 2 8" xfId="35727"/>
    <cellStyle name="Percent 2 4 2 2 8 2" xfId="35728"/>
    <cellStyle name="Percent 2 4 2 2 9" xfId="35729"/>
    <cellStyle name="Percent 2 4 2 2 9 2" xfId="35730"/>
    <cellStyle name="Percent 2 4 2 3" xfId="35731"/>
    <cellStyle name="Percent 2 4 2 3 10" xfId="35732"/>
    <cellStyle name="Percent 2 4 2 3 2" xfId="35733"/>
    <cellStyle name="Percent 2 4 2 3 2 2" xfId="35734"/>
    <cellStyle name="Percent 2 4 2 3 2 2 2" xfId="35735"/>
    <cellStyle name="Percent 2 4 2 3 2 3" xfId="35736"/>
    <cellStyle name="Percent 2 4 2 3 2 3 2" xfId="35737"/>
    <cellStyle name="Percent 2 4 2 3 2 4" xfId="35738"/>
    <cellStyle name="Percent 2 4 2 3 2 4 2" xfId="35739"/>
    <cellStyle name="Percent 2 4 2 3 2 5" xfId="35740"/>
    <cellStyle name="Percent 2 4 2 3 2 6" xfId="35741"/>
    <cellStyle name="Percent 2 4 2 3 3" xfId="35742"/>
    <cellStyle name="Percent 2 4 2 3 3 2" xfId="35743"/>
    <cellStyle name="Percent 2 4 2 3 3 2 2" xfId="35744"/>
    <cellStyle name="Percent 2 4 2 3 3 3" xfId="35745"/>
    <cellStyle name="Percent 2 4 2 3 3 3 2" xfId="35746"/>
    <cellStyle name="Percent 2 4 2 3 3 4" xfId="35747"/>
    <cellStyle name="Percent 2 4 2 3 3 4 2" xfId="35748"/>
    <cellStyle name="Percent 2 4 2 3 3 5" xfId="35749"/>
    <cellStyle name="Percent 2 4 2 3 3 6" xfId="35750"/>
    <cellStyle name="Percent 2 4 2 3 4" xfId="35751"/>
    <cellStyle name="Percent 2 4 2 3 4 2" xfId="35752"/>
    <cellStyle name="Percent 2 4 2 3 4 2 2" xfId="35753"/>
    <cellStyle name="Percent 2 4 2 3 4 3" xfId="35754"/>
    <cellStyle name="Percent 2 4 2 3 4 3 2" xfId="35755"/>
    <cellStyle name="Percent 2 4 2 3 4 4" xfId="35756"/>
    <cellStyle name="Percent 2 4 2 3 4 4 2" xfId="35757"/>
    <cellStyle name="Percent 2 4 2 3 4 5" xfId="35758"/>
    <cellStyle name="Percent 2 4 2 3 4 6" xfId="35759"/>
    <cellStyle name="Percent 2 4 2 3 5" xfId="35760"/>
    <cellStyle name="Percent 2 4 2 3 5 2" xfId="35761"/>
    <cellStyle name="Percent 2 4 2 3 5 2 2" xfId="35762"/>
    <cellStyle name="Percent 2 4 2 3 5 3" xfId="35763"/>
    <cellStyle name="Percent 2 4 2 3 5 3 2" xfId="35764"/>
    <cellStyle name="Percent 2 4 2 3 5 4" xfId="35765"/>
    <cellStyle name="Percent 2 4 2 3 5 5" xfId="35766"/>
    <cellStyle name="Percent 2 4 2 3 6" xfId="35767"/>
    <cellStyle name="Percent 2 4 2 3 6 2" xfId="35768"/>
    <cellStyle name="Percent 2 4 2 3 7" xfId="35769"/>
    <cellStyle name="Percent 2 4 2 3 7 2" xfId="35770"/>
    <cellStyle name="Percent 2 4 2 3 8" xfId="35771"/>
    <cellStyle name="Percent 2 4 2 3 8 2" xfId="35772"/>
    <cellStyle name="Percent 2 4 2 3 9" xfId="35773"/>
    <cellStyle name="Percent 2 4 2 4" xfId="35774"/>
    <cellStyle name="Percent 2 4 2 4 10" xfId="35775"/>
    <cellStyle name="Percent 2 4 2 4 2" xfId="35776"/>
    <cellStyle name="Percent 2 4 2 4 2 2" xfId="35777"/>
    <cellStyle name="Percent 2 4 2 4 2 2 2" xfId="35778"/>
    <cellStyle name="Percent 2 4 2 4 2 3" xfId="35779"/>
    <cellStyle name="Percent 2 4 2 4 2 3 2" xfId="35780"/>
    <cellStyle name="Percent 2 4 2 4 2 4" xfId="35781"/>
    <cellStyle name="Percent 2 4 2 4 2 4 2" xfId="35782"/>
    <cellStyle name="Percent 2 4 2 4 2 5" xfId="35783"/>
    <cellStyle name="Percent 2 4 2 4 2 6" xfId="35784"/>
    <cellStyle name="Percent 2 4 2 4 3" xfId="35785"/>
    <cellStyle name="Percent 2 4 2 4 3 2" xfId="35786"/>
    <cellStyle name="Percent 2 4 2 4 3 2 2" xfId="35787"/>
    <cellStyle name="Percent 2 4 2 4 3 3" xfId="35788"/>
    <cellStyle name="Percent 2 4 2 4 3 3 2" xfId="35789"/>
    <cellStyle name="Percent 2 4 2 4 3 4" xfId="35790"/>
    <cellStyle name="Percent 2 4 2 4 3 4 2" xfId="35791"/>
    <cellStyle name="Percent 2 4 2 4 3 5" xfId="35792"/>
    <cellStyle name="Percent 2 4 2 4 3 6" xfId="35793"/>
    <cellStyle name="Percent 2 4 2 4 4" xfId="35794"/>
    <cellStyle name="Percent 2 4 2 4 4 2" xfId="35795"/>
    <cellStyle name="Percent 2 4 2 4 4 2 2" xfId="35796"/>
    <cellStyle name="Percent 2 4 2 4 4 3" xfId="35797"/>
    <cellStyle name="Percent 2 4 2 4 4 3 2" xfId="35798"/>
    <cellStyle name="Percent 2 4 2 4 4 4" xfId="35799"/>
    <cellStyle name="Percent 2 4 2 4 4 4 2" xfId="35800"/>
    <cellStyle name="Percent 2 4 2 4 4 5" xfId="35801"/>
    <cellStyle name="Percent 2 4 2 4 4 6" xfId="35802"/>
    <cellStyle name="Percent 2 4 2 4 5" xfId="35803"/>
    <cellStyle name="Percent 2 4 2 4 5 2" xfId="35804"/>
    <cellStyle name="Percent 2 4 2 4 5 2 2" xfId="35805"/>
    <cellStyle name="Percent 2 4 2 4 5 3" xfId="35806"/>
    <cellStyle name="Percent 2 4 2 4 5 3 2" xfId="35807"/>
    <cellStyle name="Percent 2 4 2 4 5 4" xfId="35808"/>
    <cellStyle name="Percent 2 4 2 4 5 5" xfId="35809"/>
    <cellStyle name="Percent 2 4 2 4 6" xfId="35810"/>
    <cellStyle name="Percent 2 4 2 4 6 2" xfId="35811"/>
    <cellStyle name="Percent 2 4 2 4 7" xfId="35812"/>
    <cellStyle name="Percent 2 4 2 4 7 2" xfId="35813"/>
    <cellStyle name="Percent 2 4 2 4 8" xfId="35814"/>
    <cellStyle name="Percent 2 4 2 4 8 2" xfId="35815"/>
    <cellStyle name="Percent 2 4 2 4 9" xfId="35816"/>
    <cellStyle name="Percent 2 4 2 5" xfId="35817"/>
    <cellStyle name="Percent 2 4 2 5 2" xfId="35818"/>
    <cellStyle name="Percent 2 4 2 5 2 2" xfId="35819"/>
    <cellStyle name="Percent 2 4 2 5 3" xfId="35820"/>
    <cellStyle name="Percent 2 4 2 5 3 2" xfId="35821"/>
    <cellStyle name="Percent 2 4 2 5 4" xfId="35822"/>
    <cellStyle name="Percent 2 4 2 5 4 2" xfId="35823"/>
    <cellStyle name="Percent 2 4 2 5 5" xfId="35824"/>
    <cellStyle name="Percent 2 4 2 5 6" xfId="35825"/>
    <cellStyle name="Percent 2 4 2 6" xfId="35826"/>
    <cellStyle name="Percent 2 4 2 6 2" xfId="35827"/>
    <cellStyle name="Percent 2 4 2 6 2 2" xfId="35828"/>
    <cellStyle name="Percent 2 4 2 6 3" xfId="35829"/>
    <cellStyle name="Percent 2 4 2 6 3 2" xfId="35830"/>
    <cellStyle name="Percent 2 4 2 6 4" xfId="35831"/>
    <cellStyle name="Percent 2 4 2 6 4 2" xfId="35832"/>
    <cellStyle name="Percent 2 4 2 6 5" xfId="35833"/>
    <cellStyle name="Percent 2 4 2 6 6" xfId="35834"/>
    <cellStyle name="Percent 2 4 2 7" xfId="35835"/>
    <cellStyle name="Percent 2 4 2 7 2" xfId="35836"/>
    <cellStyle name="Percent 2 4 2 7 2 2" xfId="35837"/>
    <cellStyle name="Percent 2 4 2 7 3" xfId="35838"/>
    <cellStyle name="Percent 2 4 2 7 3 2" xfId="35839"/>
    <cellStyle name="Percent 2 4 2 7 4" xfId="35840"/>
    <cellStyle name="Percent 2 4 2 7 4 2" xfId="35841"/>
    <cellStyle name="Percent 2 4 2 7 5" xfId="35842"/>
    <cellStyle name="Percent 2 4 2 7 6" xfId="35843"/>
    <cellStyle name="Percent 2 4 2 8" xfId="35844"/>
    <cellStyle name="Percent 2 4 2 8 2" xfId="35845"/>
    <cellStyle name="Percent 2 4 2 8 2 2" xfId="35846"/>
    <cellStyle name="Percent 2 4 2 8 3" xfId="35847"/>
    <cellStyle name="Percent 2 4 2 8 3 2" xfId="35848"/>
    <cellStyle name="Percent 2 4 2 8 4" xfId="35849"/>
    <cellStyle name="Percent 2 4 2 8 5" xfId="35850"/>
    <cellStyle name="Percent 2 4 2 9" xfId="35851"/>
    <cellStyle name="Percent 2 4 2 9 2" xfId="35852"/>
    <cellStyle name="Percent 2 4 3" xfId="35853"/>
    <cellStyle name="Percent 2 4 3 10" xfId="35854"/>
    <cellStyle name="Percent 2 4 3 10 2" xfId="35855"/>
    <cellStyle name="Percent 2 4 3 11" xfId="35856"/>
    <cellStyle name="Percent 2 4 3 11 2" xfId="35857"/>
    <cellStyle name="Percent 2 4 3 12" xfId="35858"/>
    <cellStyle name="Percent 2 4 3 13" xfId="35859"/>
    <cellStyle name="Percent 2 4 3 2" xfId="35860"/>
    <cellStyle name="Percent 2 4 3 2 10" xfId="35861"/>
    <cellStyle name="Percent 2 4 3 2 11" xfId="35862"/>
    <cellStyle name="Percent 2 4 3 2 2" xfId="35863"/>
    <cellStyle name="Percent 2 4 3 2 2 2" xfId="35864"/>
    <cellStyle name="Percent 2 4 3 2 2 2 2" xfId="35865"/>
    <cellStyle name="Percent 2 4 3 2 2 3" xfId="35866"/>
    <cellStyle name="Percent 2 4 3 2 2 3 2" xfId="35867"/>
    <cellStyle name="Percent 2 4 3 2 2 4" xfId="35868"/>
    <cellStyle name="Percent 2 4 3 2 2 4 2" xfId="35869"/>
    <cellStyle name="Percent 2 4 3 2 2 5" xfId="35870"/>
    <cellStyle name="Percent 2 4 3 2 2 6" xfId="35871"/>
    <cellStyle name="Percent 2 4 3 2 3" xfId="35872"/>
    <cellStyle name="Percent 2 4 3 2 3 2" xfId="35873"/>
    <cellStyle name="Percent 2 4 3 2 3 2 2" xfId="35874"/>
    <cellStyle name="Percent 2 4 3 2 3 3" xfId="35875"/>
    <cellStyle name="Percent 2 4 3 2 3 3 2" xfId="35876"/>
    <cellStyle name="Percent 2 4 3 2 3 4" xfId="35877"/>
    <cellStyle name="Percent 2 4 3 2 3 4 2" xfId="35878"/>
    <cellStyle name="Percent 2 4 3 2 3 5" xfId="35879"/>
    <cellStyle name="Percent 2 4 3 2 3 6" xfId="35880"/>
    <cellStyle name="Percent 2 4 3 2 4" xfId="35881"/>
    <cellStyle name="Percent 2 4 3 2 4 2" xfId="35882"/>
    <cellStyle name="Percent 2 4 3 2 4 2 2" xfId="35883"/>
    <cellStyle name="Percent 2 4 3 2 4 3" xfId="35884"/>
    <cellStyle name="Percent 2 4 3 2 4 3 2" xfId="35885"/>
    <cellStyle name="Percent 2 4 3 2 4 4" xfId="35886"/>
    <cellStyle name="Percent 2 4 3 2 4 4 2" xfId="35887"/>
    <cellStyle name="Percent 2 4 3 2 4 5" xfId="35888"/>
    <cellStyle name="Percent 2 4 3 2 4 6" xfId="35889"/>
    <cellStyle name="Percent 2 4 3 2 5" xfId="35890"/>
    <cellStyle name="Percent 2 4 3 2 5 2" xfId="35891"/>
    <cellStyle name="Percent 2 4 3 2 5 2 2" xfId="35892"/>
    <cellStyle name="Percent 2 4 3 2 5 3" xfId="35893"/>
    <cellStyle name="Percent 2 4 3 2 5 3 2" xfId="35894"/>
    <cellStyle name="Percent 2 4 3 2 5 4" xfId="35895"/>
    <cellStyle name="Percent 2 4 3 2 5 4 2" xfId="35896"/>
    <cellStyle name="Percent 2 4 3 2 5 5" xfId="35897"/>
    <cellStyle name="Percent 2 4 3 2 5 6" xfId="35898"/>
    <cellStyle name="Percent 2 4 3 2 6" xfId="35899"/>
    <cellStyle name="Percent 2 4 3 2 6 2" xfId="35900"/>
    <cellStyle name="Percent 2 4 3 2 6 2 2" xfId="35901"/>
    <cellStyle name="Percent 2 4 3 2 6 3" xfId="35902"/>
    <cellStyle name="Percent 2 4 3 2 6 3 2" xfId="35903"/>
    <cellStyle name="Percent 2 4 3 2 6 4" xfId="35904"/>
    <cellStyle name="Percent 2 4 3 2 6 5" xfId="35905"/>
    <cellStyle name="Percent 2 4 3 2 7" xfId="35906"/>
    <cellStyle name="Percent 2 4 3 2 7 2" xfId="35907"/>
    <cellStyle name="Percent 2 4 3 2 8" xfId="35908"/>
    <cellStyle name="Percent 2 4 3 2 8 2" xfId="35909"/>
    <cellStyle name="Percent 2 4 3 2 9" xfId="35910"/>
    <cellStyle name="Percent 2 4 3 2 9 2" xfId="35911"/>
    <cellStyle name="Percent 2 4 3 3" xfId="35912"/>
    <cellStyle name="Percent 2 4 3 3 10" xfId="35913"/>
    <cellStyle name="Percent 2 4 3 3 2" xfId="35914"/>
    <cellStyle name="Percent 2 4 3 3 2 2" xfId="35915"/>
    <cellStyle name="Percent 2 4 3 3 2 2 2" xfId="35916"/>
    <cellStyle name="Percent 2 4 3 3 2 3" xfId="35917"/>
    <cellStyle name="Percent 2 4 3 3 2 3 2" xfId="35918"/>
    <cellStyle name="Percent 2 4 3 3 2 4" xfId="35919"/>
    <cellStyle name="Percent 2 4 3 3 2 4 2" xfId="35920"/>
    <cellStyle name="Percent 2 4 3 3 2 5" xfId="35921"/>
    <cellStyle name="Percent 2 4 3 3 2 6" xfId="35922"/>
    <cellStyle name="Percent 2 4 3 3 3" xfId="35923"/>
    <cellStyle name="Percent 2 4 3 3 3 2" xfId="35924"/>
    <cellStyle name="Percent 2 4 3 3 3 2 2" xfId="35925"/>
    <cellStyle name="Percent 2 4 3 3 3 3" xfId="35926"/>
    <cellStyle name="Percent 2 4 3 3 3 3 2" xfId="35927"/>
    <cellStyle name="Percent 2 4 3 3 3 4" xfId="35928"/>
    <cellStyle name="Percent 2 4 3 3 3 4 2" xfId="35929"/>
    <cellStyle name="Percent 2 4 3 3 3 5" xfId="35930"/>
    <cellStyle name="Percent 2 4 3 3 3 6" xfId="35931"/>
    <cellStyle name="Percent 2 4 3 3 4" xfId="35932"/>
    <cellStyle name="Percent 2 4 3 3 4 2" xfId="35933"/>
    <cellStyle name="Percent 2 4 3 3 4 2 2" xfId="35934"/>
    <cellStyle name="Percent 2 4 3 3 4 3" xfId="35935"/>
    <cellStyle name="Percent 2 4 3 3 4 3 2" xfId="35936"/>
    <cellStyle name="Percent 2 4 3 3 4 4" xfId="35937"/>
    <cellStyle name="Percent 2 4 3 3 4 4 2" xfId="35938"/>
    <cellStyle name="Percent 2 4 3 3 4 5" xfId="35939"/>
    <cellStyle name="Percent 2 4 3 3 4 6" xfId="35940"/>
    <cellStyle name="Percent 2 4 3 3 5" xfId="35941"/>
    <cellStyle name="Percent 2 4 3 3 5 2" xfId="35942"/>
    <cellStyle name="Percent 2 4 3 3 5 2 2" xfId="35943"/>
    <cellStyle name="Percent 2 4 3 3 5 3" xfId="35944"/>
    <cellStyle name="Percent 2 4 3 3 5 3 2" xfId="35945"/>
    <cellStyle name="Percent 2 4 3 3 5 4" xfId="35946"/>
    <cellStyle name="Percent 2 4 3 3 5 5" xfId="35947"/>
    <cellStyle name="Percent 2 4 3 3 6" xfId="35948"/>
    <cellStyle name="Percent 2 4 3 3 6 2" xfId="35949"/>
    <cellStyle name="Percent 2 4 3 3 7" xfId="35950"/>
    <cellStyle name="Percent 2 4 3 3 7 2" xfId="35951"/>
    <cellStyle name="Percent 2 4 3 3 8" xfId="35952"/>
    <cellStyle name="Percent 2 4 3 3 8 2" xfId="35953"/>
    <cellStyle name="Percent 2 4 3 3 9" xfId="35954"/>
    <cellStyle name="Percent 2 4 3 4" xfId="35955"/>
    <cellStyle name="Percent 2 4 3 4 10" xfId="35956"/>
    <cellStyle name="Percent 2 4 3 4 2" xfId="35957"/>
    <cellStyle name="Percent 2 4 3 4 2 2" xfId="35958"/>
    <cellStyle name="Percent 2 4 3 4 2 2 2" xfId="35959"/>
    <cellStyle name="Percent 2 4 3 4 2 3" xfId="35960"/>
    <cellStyle name="Percent 2 4 3 4 2 3 2" xfId="35961"/>
    <cellStyle name="Percent 2 4 3 4 2 4" xfId="35962"/>
    <cellStyle name="Percent 2 4 3 4 2 4 2" xfId="35963"/>
    <cellStyle name="Percent 2 4 3 4 2 5" xfId="35964"/>
    <cellStyle name="Percent 2 4 3 4 2 6" xfId="35965"/>
    <cellStyle name="Percent 2 4 3 4 3" xfId="35966"/>
    <cellStyle name="Percent 2 4 3 4 3 2" xfId="35967"/>
    <cellStyle name="Percent 2 4 3 4 3 2 2" xfId="35968"/>
    <cellStyle name="Percent 2 4 3 4 3 3" xfId="35969"/>
    <cellStyle name="Percent 2 4 3 4 3 3 2" xfId="35970"/>
    <cellStyle name="Percent 2 4 3 4 3 4" xfId="35971"/>
    <cellStyle name="Percent 2 4 3 4 3 4 2" xfId="35972"/>
    <cellStyle name="Percent 2 4 3 4 3 5" xfId="35973"/>
    <cellStyle name="Percent 2 4 3 4 3 6" xfId="35974"/>
    <cellStyle name="Percent 2 4 3 4 4" xfId="35975"/>
    <cellStyle name="Percent 2 4 3 4 4 2" xfId="35976"/>
    <cellStyle name="Percent 2 4 3 4 4 2 2" xfId="35977"/>
    <cellStyle name="Percent 2 4 3 4 4 3" xfId="35978"/>
    <cellStyle name="Percent 2 4 3 4 4 3 2" xfId="35979"/>
    <cellStyle name="Percent 2 4 3 4 4 4" xfId="35980"/>
    <cellStyle name="Percent 2 4 3 4 4 4 2" xfId="35981"/>
    <cellStyle name="Percent 2 4 3 4 4 5" xfId="35982"/>
    <cellStyle name="Percent 2 4 3 4 4 6" xfId="35983"/>
    <cellStyle name="Percent 2 4 3 4 5" xfId="35984"/>
    <cellStyle name="Percent 2 4 3 4 5 2" xfId="35985"/>
    <cellStyle name="Percent 2 4 3 4 5 2 2" xfId="35986"/>
    <cellStyle name="Percent 2 4 3 4 5 3" xfId="35987"/>
    <cellStyle name="Percent 2 4 3 4 5 3 2" xfId="35988"/>
    <cellStyle name="Percent 2 4 3 4 5 4" xfId="35989"/>
    <cellStyle name="Percent 2 4 3 4 5 5" xfId="35990"/>
    <cellStyle name="Percent 2 4 3 4 6" xfId="35991"/>
    <cellStyle name="Percent 2 4 3 4 6 2" xfId="35992"/>
    <cellStyle name="Percent 2 4 3 4 7" xfId="35993"/>
    <cellStyle name="Percent 2 4 3 4 7 2" xfId="35994"/>
    <cellStyle name="Percent 2 4 3 4 8" xfId="35995"/>
    <cellStyle name="Percent 2 4 3 4 8 2" xfId="35996"/>
    <cellStyle name="Percent 2 4 3 4 9" xfId="35997"/>
    <cellStyle name="Percent 2 4 3 5" xfId="35998"/>
    <cellStyle name="Percent 2 4 3 5 2" xfId="35999"/>
    <cellStyle name="Percent 2 4 3 5 2 2" xfId="36000"/>
    <cellStyle name="Percent 2 4 3 5 3" xfId="36001"/>
    <cellStyle name="Percent 2 4 3 5 3 2" xfId="36002"/>
    <cellStyle name="Percent 2 4 3 5 4" xfId="36003"/>
    <cellStyle name="Percent 2 4 3 5 4 2" xfId="36004"/>
    <cellStyle name="Percent 2 4 3 5 5" xfId="36005"/>
    <cellStyle name="Percent 2 4 3 5 6" xfId="36006"/>
    <cellStyle name="Percent 2 4 3 6" xfId="36007"/>
    <cellStyle name="Percent 2 4 3 6 2" xfId="36008"/>
    <cellStyle name="Percent 2 4 3 6 2 2" xfId="36009"/>
    <cellStyle name="Percent 2 4 3 6 3" xfId="36010"/>
    <cellStyle name="Percent 2 4 3 6 3 2" xfId="36011"/>
    <cellStyle name="Percent 2 4 3 6 4" xfId="36012"/>
    <cellStyle name="Percent 2 4 3 6 4 2" xfId="36013"/>
    <cellStyle name="Percent 2 4 3 6 5" xfId="36014"/>
    <cellStyle name="Percent 2 4 3 6 6" xfId="36015"/>
    <cellStyle name="Percent 2 4 3 7" xfId="36016"/>
    <cellStyle name="Percent 2 4 3 7 2" xfId="36017"/>
    <cellStyle name="Percent 2 4 3 7 2 2" xfId="36018"/>
    <cellStyle name="Percent 2 4 3 7 3" xfId="36019"/>
    <cellStyle name="Percent 2 4 3 7 3 2" xfId="36020"/>
    <cellStyle name="Percent 2 4 3 7 4" xfId="36021"/>
    <cellStyle name="Percent 2 4 3 7 4 2" xfId="36022"/>
    <cellStyle name="Percent 2 4 3 7 5" xfId="36023"/>
    <cellStyle name="Percent 2 4 3 7 6" xfId="36024"/>
    <cellStyle name="Percent 2 4 3 8" xfId="36025"/>
    <cellStyle name="Percent 2 4 3 8 2" xfId="36026"/>
    <cellStyle name="Percent 2 4 3 8 2 2" xfId="36027"/>
    <cellStyle name="Percent 2 4 3 8 3" xfId="36028"/>
    <cellStyle name="Percent 2 4 3 8 3 2" xfId="36029"/>
    <cellStyle name="Percent 2 4 3 8 4" xfId="36030"/>
    <cellStyle name="Percent 2 4 3 8 5" xfId="36031"/>
    <cellStyle name="Percent 2 4 3 9" xfId="36032"/>
    <cellStyle name="Percent 2 4 3 9 2" xfId="36033"/>
    <cellStyle name="Percent 2 4 4" xfId="36034"/>
    <cellStyle name="Percent 2 4 4 10" xfId="36035"/>
    <cellStyle name="Percent 2 4 4 10 2" xfId="36036"/>
    <cellStyle name="Percent 2 4 4 11" xfId="36037"/>
    <cellStyle name="Percent 2 4 4 12" xfId="36038"/>
    <cellStyle name="Percent 2 4 4 2" xfId="36039"/>
    <cellStyle name="Percent 2 4 4 2 10" xfId="36040"/>
    <cellStyle name="Percent 2 4 4 2 2" xfId="36041"/>
    <cellStyle name="Percent 2 4 4 2 2 2" xfId="36042"/>
    <cellStyle name="Percent 2 4 4 2 2 2 2" xfId="36043"/>
    <cellStyle name="Percent 2 4 4 2 2 3" xfId="36044"/>
    <cellStyle name="Percent 2 4 4 2 2 3 2" xfId="36045"/>
    <cellStyle name="Percent 2 4 4 2 2 4" xfId="36046"/>
    <cellStyle name="Percent 2 4 4 2 2 4 2" xfId="36047"/>
    <cellStyle name="Percent 2 4 4 2 2 5" xfId="36048"/>
    <cellStyle name="Percent 2 4 4 2 2 6" xfId="36049"/>
    <cellStyle name="Percent 2 4 4 2 3" xfId="36050"/>
    <cellStyle name="Percent 2 4 4 2 3 2" xfId="36051"/>
    <cellStyle name="Percent 2 4 4 2 3 2 2" xfId="36052"/>
    <cellStyle name="Percent 2 4 4 2 3 3" xfId="36053"/>
    <cellStyle name="Percent 2 4 4 2 3 3 2" xfId="36054"/>
    <cellStyle name="Percent 2 4 4 2 3 4" xfId="36055"/>
    <cellStyle name="Percent 2 4 4 2 3 4 2" xfId="36056"/>
    <cellStyle name="Percent 2 4 4 2 3 5" xfId="36057"/>
    <cellStyle name="Percent 2 4 4 2 3 6" xfId="36058"/>
    <cellStyle name="Percent 2 4 4 2 4" xfId="36059"/>
    <cellStyle name="Percent 2 4 4 2 4 2" xfId="36060"/>
    <cellStyle name="Percent 2 4 4 2 4 2 2" xfId="36061"/>
    <cellStyle name="Percent 2 4 4 2 4 3" xfId="36062"/>
    <cellStyle name="Percent 2 4 4 2 4 3 2" xfId="36063"/>
    <cellStyle name="Percent 2 4 4 2 4 4" xfId="36064"/>
    <cellStyle name="Percent 2 4 4 2 4 4 2" xfId="36065"/>
    <cellStyle name="Percent 2 4 4 2 4 5" xfId="36066"/>
    <cellStyle name="Percent 2 4 4 2 4 6" xfId="36067"/>
    <cellStyle name="Percent 2 4 4 2 5" xfId="36068"/>
    <cellStyle name="Percent 2 4 4 2 5 2" xfId="36069"/>
    <cellStyle name="Percent 2 4 4 2 5 2 2" xfId="36070"/>
    <cellStyle name="Percent 2 4 4 2 5 3" xfId="36071"/>
    <cellStyle name="Percent 2 4 4 2 5 3 2" xfId="36072"/>
    <cellStyle name="Percent 2 4 4 2 5 4" xfId="36073"/>
    <cellStyle name="Percent 2 4 4 2 5 5" xfId="36074"/>
    <cellStyle name="Percent 2 4 4 2 6" xfId="36075"/>
    <cellStyle name="Percent 2 4 4 2 6 2" xfId="36076"/>
    <cellStyle name="Percent 2 4 4 2 7" xfId="36077"/>
    <cellStyle name="Percent 2 4 4 2 7 2" xfId="36078"/>
    <cellStyle name="Percent 2 4 4 2 8" xfId="36079"/>
    <cellStyle name="Percent 2 4 4 2 8 2" xfId="36080"/>
    <cellStyle name="Percent 2 4 4 2 9" xfId="36081"/>
    <cellStyle name="Percent 2 4 4 3" xfId="36082"/>
    <cellStyle name="Percent 2 4 4 3 10" xfId="36083"/>
    <cellStyle name="Percent 2 4 4 3 2" xfId="36084"/>
    <cellStyle name="Percent 2 4 4 3 2 2" xfId="36085"/>
    <cellStyle name="Percent 2 4 4 3 2 2 2" xfId="36086"/>
    <cellStyle name="Percent 2 4 4 3 2 3" xfId="36087"/>
    <cellStyle name="Percent 2 4 4 3 2 3 2" xfId="36088"/>
    <cellStyle name="Percent 2 4 4 3 2 4" xfId="36089"/>
    <cellStyle name="Percent 2 4 4 3 2 4 2" xfId="36090"/>
    <cellStyle name="Percent 2 4 4 3 2 5" xfId="36091"/>
    <cellStyle name="Percent 2 4 4 3 2 6" xfId="36092"/>
    <cellStyle name="Percent 2 4 4 3 3" xfId="36093"/>
    <cellStyle name="Percent 2 4 4 3 3 2" xfId="36094"/>
    <cellStyle name="Percent 2 4 4 3 3 2 2" xfId="36095"/>
    <cellStyle name="Percent 2 4 4 3 3 3" xfId="36096"/>
    <cellStyle name="Percent 2 4 4 3 3 3 2" xfId="36097"/>
    <cellStyle name="Percent 2 4 4 3 3 4" xfId="36098"/>
    <cellStyle name="Percent 2 4 4 3 3 4 2" xfId="36099"/>
    <cellStyle name="Percent 2 4 4 3 3 5" xfId="36100"/>
    <cellStyle name="Percent 2 4 4 3 3 6" xfId="36101"/>
    <cellStyle name="Percent 2 4 4 3 4" xfId="36102"/>
    <cellStyle name="Percent 2 4 4 3 4 2" xfId="36103"/>
    <cellStyle name="Percent 2 4 4 3 4 2 2" xfId="36104"/>
    <cellStyle name="Percent 2 4 4 3 4 3" xfId="36105"/>
    <cellStyle name="Percent 2 4 4 3 4 3 2" xfId="36106"/>
    <cellStyle name="Percent 2 4 4 3 4 4" xfId="36107"/>
    <cellStyle name="Percent 2 4 4 3 4 4 2" xfId="36108"/>
    <cellStyle name="Percent 2 4 4 3 4 5" xfId="36109"/>
    <cellStyle name="Percent 2 4 4 3 4 6" xfId="36110"/>
    <cellStyle name="Percent 2 4 4 3 5" xfId="36111"/>
    <cellStyle name="Percent 2 4 4 3 5 2" xfId="36112"/>
    <cellStyle name="Percent 2 4 4 3 5 2 2" xfId="36113"/>
    <cellStyle name="Percent 2 4 4 3 5 3" xfId="36114"/>
    <cellStyle name="Percent 2 4 4 3 5 3 2" xfId="36115"/>
    <cellStyle name="Percent 2 4 4 3 5 4" xfId="36116"/>
    <cellStyle name="Percent 2 4 4 3 5 5" xfId="36117"/>
    <cellStyle name="Percent 2 4 4 3 6" xfId="36118"/>
    <cellStyle name="Percent 2 4 4 3 6 2" xfId="36119"/>
    <cellStyle name="Percent 2 4 4 3 7" xfId="36120"/>
    <cellStyle name="Percent 2 4 4 3 7 2" xfId="36121"/>
    <cellStyle name="Percent 2 4 4 3 8" xfId="36122"/>
    <cellStyle name="Percent 2 4 4 3 8 2" xfId="36123"/>
    <cellStyle name="Percent 2 4 4 3 9" xfId="36124"/>
    <cellStyle name="Percent 2 4 4 4" xfId="36125"/>
    <cellStyle name="Percent 2 4 4 4 2" xfId="36126"/>
    <cellStyle name="Percent 2 4 4 4 2 2" xfId="36127"/>
    <cellStyle name="Percent 2 4 4 4 3" xfId="36128"/>
    <cellStyle name="Percent 2 4 4 4 3 2" xfId="36129"/>
    <cellStyle name="Percent 2 4 4 4 4" xfId="36130"/>
    <cellStyle name="Percent 2 4 4 4 4 2" xfId="36131"/>
    <cellStyle name="Percent 2 4 4 4 5" xfId="36132"/>
    <cellStyle name="Percent 2 4 4 4 6" xfId="36133"/>
    <cellStyle name="Percent 2 4 4 5" xfId="36134"/>
    <cellStyle name="Percent 2 4 4 5 2" xfId="36135"/>
    <cellStyle name="Percent 2 4 4 5 2 2" xfId="36136"/>
    <cellStyle name="Percent 2 4 4 5 3" xfId="36137"/>
    <cellStyle name="Percent 2 4 4 5 3 2" xfId="36138"/>
    <cellStyle name="Percent 2 4 4 5 4" xfId="36139"/>
    <cellStyle name="Percent 2 4 4 5 4 2" xfId="36140"/>
    <cellStyle name="Percent 2 4 4 5 5" xfId="36141"/>
    <cellStyle name="Percent 2 4 4 5 6" xfId="36142"/>
    <cellStyle name="Percent 2 4 4 6" xfId="36143"/>
    <cellStyle name="Percent 2 4 4 6 2" xfId="36144"/>
    <cellStyle name="Percent 2 4 4 6 2 2" xfId="36145"/>
    <cellStyle name="Percent 2 4 4 6 3" xfId="36146"/>
    <cellStyle name="Percent 2 4 4 6 3 2" xfId="36147"/>
    <cellStyle name="Percent 2 4 4 6 4" xfId="36148"/>
    <cellStyle name="Percent 2 4 4 6 4 2" xfId="36149"/>
    <cellStyle name="Percent 2 4 4 6 5" xfId="36150"/>
    <cellStyle name="Percent 2 4 4 6 6" xfId="36151"/>
    <cellStyle name="Percent 2 4 4 7" xfId="36152"/>
    <cellStyle name="Percent 2 4 4 7 2" xfId="36153"/>
    <cellStyle name="Percent 2 4 4 7 2 2" xfId="36154"/>
    <cellStyle name="Percent 2 4 4 7 3" xfId="36155"/>
    <cellStyle name="Percent 2 4 4 7 3 2" xfId="36156"/>
    <cellStyle name="Percent 2 4 4 7 4" xfId="36157"/>
    <cellStyle name="Percent 2 4 4 7 5" xfId="36158"/>
    <cellStyle name="Percent 2 4 4 8" xfId="36159"/>
    <cellStyle name="Percent 2 4 4 8 2" xfId="36160"/>
    <cellStyle name="Percent 2 4 4 9" xfId="36161"/>
    <cellStyle name="Percent 2 4 4 9 2" xfId="36162"/>
    <cellStyle name="Percent 2 4 5" xfId="36163"/>
    <cellStyle name="Percent 2 4 5 10" xfId="36164"/>
    <cellStyle name="Percent 2 4 5 11" xfId="36165"/>
    <cellStyle name="Percent 2 4 5 2" xfId="36166"/>
    <cellStyle name="Percent 2 4 5 2 2" xfId="36167"/>
    <cellStyle name="Percent 2 4 5 2 2 2" xfId="36168"/>
    <cellStyle name="Percent 2 4 5 2 3" xfId="36169"/>
    <cellStyle name="Percent 2 4 5 2 3 2" xfId="36170"/>
    <cellStyle name="Percent 2 4 5 2 4" xfId="36171"/>
    <cellStyle name="Percent 2 4 5 2 4 2" xfId="36172"/>
    <cellStyle name="Percent 2 4 5 2 5" xfId="36173"/>
    <cellStyle name="Percent 2 4 5 2 6" xfId="36174"/>
    <cellStyle name="Percent 2 4 5 3" xfId="36175"/>
    <cellStyle name="Percent 2 4 5 3 2" xfId="36176"/>
    <cellStyle name="Percent 2 4 5 3 2 2" xfId="36177"/>
    <cellStyle name="Percent 2 4 5 3 3" xfId="36178"/>
    <cellStyle name="Percent 2 4 5 3 3 2" xfId="36179"/>
    <cellStyle name="Percent 2 4 5 3 4" xfId="36180"/>
    <cellStyle name="Percent 2 4 5 3 4 2" xfId="36181"/>
    <cellStyle name="Percent 2 4 5 3 5" xfId="36182"/>
    <cellStyle name="Percent 2 4 5 3 6" xfId="36183"/>
    <cellStyle name="Percent 2 4 5 4" xfId="36184"/>
    <cellStyle name="Percent 2 4 5 4 2" xfId="36185"/>
    <cellStyle name="Percent 2 4 5 4 2 2" xfId="36186"/>
    <cellStyle name="Percent 2 4 5 4 3" xfId="36187"/>
    <cellStyle name="Percent 2 4 5 4 3 2" xfId="36188"/>
    <cellStyle name="Percent 2 4 5 4 4" xfId="36189"/>
    <cellStyle name="Percent 2 4 5 4 4 2" xfId="36190"/>
    <cellStyle name="Percent 2 4 5 4 5" xfId="36191"/>
    <cellStyle name="Percent 2 4 5 4 6" xfId="36192"/>
    <cellStyle name="Percent 2 4 5 5" xfId="36193"/>
    <cellStyle name="Percent 2 4 5 5 2" xfId="36194"/>
    <cellStyle name="Percent 2 4 5 5 2 2" xfId="36195"/>
    <cellStyle name="Percent 2 4 5 5 3" xfId="36196"/>
    <cellStyle name="Percent 2 4 5 5 3 2" xfId="36197"/>
    <cellStyle name="Percent 2 4 5 5 4" xfId="36198"/>
    <cellStyle name="Percent 2 4 5 5 4 2" xfId="36199"/>
    <cellStyle name="Percent 2 4 5 5 5" xfId="36200"/>
    <cellStyle name="Percent 2 4 5 5 6" xfId="36201"/>
    <cellStyle name="Percent 2 4 5 6" xfId="36202"/>
    <cellStyle name="Percent 2 4 5 6 2" xfId="36203"/>
    <cellStyle name="Percent 2 4 5 6 2 2" xfId="36204"/>
    <cellStyle name="Percent 2 4 5 6 3" xfId="36205"/>
    <cellStyle name="Percent 2 4 5 6 3 2" xfId="36206"/>
    <cellStyle name="Percent 2 4 5 6 4" xfId="36207"/>
    <cellStyle name="Percent 2 4 5 6 5" xfId="36208"/>
    <cellStyle name="Percent 2 4 5 7" xfId="36209"/>
    <cellStyle name="Percent 2 4 5 7 2" xfId="36210"/>
    <cellStyle name="Percent 2 4 5 8" xfId="36211"/>
    <cellStyle name="Percent 2 4 5 8 2" xfId="36212"/>
    <cellStyle name="Percent 2 4 5 9" xfId="36213"/>
    <cellStyle name="Percent 2 4 5 9 2" xfId="36214"/>
    <cellStyle name="Percent 2 4 6" xfId="36215"/>
    <cellStyle name="Percent 2 4 6 10" xfId="36216"/>
    <cellStyle name="Percent 2 4 6 2" xfId="36217"/>
    <cellStyle name="Percent 2 4 6 2 2" xfId="36218"/>
    <cellStyle name="Percent 2 4 6 2 2 2" xfId="36219"/>
    <cellStyle name="Percent 2 4 6 2 3" xfId="36220"/>
    <cellStyle name="Percent 2 4 6 2 3 2" xfId="36221"/>
    <cellStyle name="Percent 2 4 6 2 4" xfId="36222"/>
    <cellStyle name="Percent 2 4 6 2 4 2" xfId="36223"/>
    <cellStyle name="Percent 2 4 6 2 5" xfId="36224"/>
    <cellStyle name="Percent 2 4 6 2 6" xfId="36225"/>
    <cellStyle name="Percent 2 4 6 3" xfId="36226"/>
    <cellStyle name="Percent 2 4 6 3 2" xfId="36227"/>
    <cellStyle name="Percent 2 4 6 3 2 2" xfId="36228"/>
    <cellStyle name="Percent 2 4 6 3 3" xfId="36229"/>
    <cellStyle name="Percent 2 4 6 3 3 2" xfId="36230"/>
    <cellStyle name="Percent 2 4 6 3 4" xfId="36231"/>
    <cellStyle name="Percent 2 4 6 3 4 2" xfId="36232"/>
    <cellStyle name="Percent 2 4 6 3 5" xfId="36233"/>
    <cellStyle name="Percent 2 4 6 3 6" xfId="36234"/>
    <cellStyle name="Percent 2 4 6 4" xfId="36235"/>
    <cellStyle name="Percent 2 4 6 4 2" xfId="36236"/>
    <cellStyle name="Percent 2 4 6 4 2 2" xfId="36237"/>
    <cellStyle name="Percent 2 4 6 4 3" xfId="36238"/>
    <cellStyle name="Percent 2 4 6 4 3 2" xfId="36239"/>
    <cellStyle name="Percent 2 4 6 4 4" xfId="36240"/>
    <cellStyle name="Percent 2 4 6 4 4 2" xfId="36241"/>
    <cellStyle name="Percent 2 4 6 4 5" xfId="36242"/>
    <cellStyle name="Percent 2 4 6 4 6" xfId="36243"/>
    <cellStyle name="Percent 2 4 6 5" xfId="36244"/>
    <cellStyle name="Percent 2 4 6 5 2" xfId="36245"/>
    <cellStyle name="Percent 2 4 6 5 2 2" xfId="36246"/>
    <cellStyle name="Percent 2 4 6 5 3" xfId="36247"/>
    <cellStyle name="Percent 2 4 6 5 3 2" xfId="36248"/>
    <cellStyle name="Percent 2 4 6 5 4" xfId="36249"/>
    <cellStyle name="Percent 2 4 6 5 5" xfId="36250"/>
    <cellStyle name="Percent 2 4 6 6" xfId="36251"/>
    <cellStyle name="Percent 2 4 6 6 2" xfId="36252"/>
    <cellStyle name="Percent 2 4 6 7" xfId="36253"/>
    <cellStyle name="Percent 2 4 6 7 2" xfId="36254"/>
    <cellStyle name="Percent 2 4 6 8" xfId="36255"/>
    <cellStyle name="Percent 2 4 6 8 2" xfId="36256"/>
    <cellStyle name="Percent 2 4 6 9" xfId="36257"/>
    <cellStyle name="Percent 2 4 7" xfId="36258"/>
    <cellStyle name="Percent 2 4 7 10" xfId="36259"/>
    <cellStyle name="Percent 2 4 7 2" xfId="36260"/>
    <cellStyle name="Percent 2 4 7 2 2" xfId="36261"/>
    <cellStyle name="Percent 2 4 7 2 2 2" xfId="36262"/>
    <cellStyle name="Percent 2 4 7 2 3" xfId="36263"/>
    <cellStyle name="Percent 2 4 7 2 3 2" xfId="36264"/>
    <cellStyle name="Percent 2 4 7 2 4" xfId="36265"/>
    <cellStyle name="Percent 2 4 7 2 4 2" xfId="36266"/>
    <cellStyle name="Percent 2 4 7 2 5" xfId="36267"/>
    <cellStyle name="Percent 2 4 7 2 6" xfId="36268"/>
    <cellStyle name="Percent 2 4 7 3" xfId="36269"/>
    <cellStyle name="Percent 2 4 7 3 2" xfId="36270"/>
    <cellStyle name="Percent 2 4 7 3 2 2" xfId="36271"/>
    <cellStyle name="Percent 2 4 7 3 3" xfId="36272"/>
    <cellStyle name="Percent 2 4 7 3 3 2" xfId="36273"/>
    <cellStyle name="Percent 2 4 7 3 4" xfId="36274"/>
    <cellStyle name="Percent 2 4 7 3 4 2" xfId="36275"/>
    <cellStyle name="Percent 2 4 7 3 5" xfId="36276"/>
    <cellStyle name="Percent 2 4 7 3 6" xfId="36277"/>
    <cellStyle name="Percent 2 4 7 4" xfId="36278"/>
    <cellStyle name="Percent 2 4 7 4 2" xfId="36279"/>
    <cellStyle name="Percent 2 4 7 4 2 2" xfId="36280"/>
    <cellStyle name="Percent 2 4 7 4 3" xfId="36281"/>
    <cellStyle name="Percent 2 4 7 4 3 2" xfId="36282"/>
    <cellStyle name="Percent 2 4 7 4 4" xfId="36283"/>
    <cellStyle name="Percent 2 4 7 4 4 2" xfId="36284"/>
    <cellStyle name="Percent 2 4 7 4 5" xfId="36285"/>
    <cellStyle name="Percent 2 4 7 4 6" xfId="36286"/>
    <cellStyle name="Percent 2 4 7 5" xfId="36287"/>
    <cellStyle name="Percent 2 4 7 5 2" xfId="36288"/>
    <cellStyle name="Percent 2 4 7 5 2 2" xfId="36289"/>
    <cellStyle name="Percent 2 4 7 5 3" xfId="36290"/>
    <cellStyle name="Percent 2 4 7 5 3 2" xfId="36291"/>
    <cellStyle name="Percent 2 4 7 5 4" xfId="36292"/>
    <cellStyle name="Percent 2 4 7 5 5" xfId="36293"/>
    <cellStyle name="Percent 2 4 7 6" xfId="36294"/>
    <cellStyle name="Percent 2 4 7 6 2" xfId="36295"/>
    <cellStyle name="Percent 2 4 7 7" xfId="36296"/>
    <cellStyle name="Percent 2 4 7 7 2" xfId="36297"/>
    <cellStyle name="Percent 2 4 7 8" xfId="36298"/>
    <cellStyle name="Percent 2 4 7 8 2" xfId="36299"/>
    <cellStyle name="Percent 2 4 7 9" xfId="36300"/>
    <cellStyle name="Percent 2 4 8" xfId="36301"/>
    <cellStyle name="Percent 2 4 8 2" xfId="36302"/>
    <cellStyle name="Percent 2 4 8 2 2" xfId="36303"/>
    <cellStyle name="Percent 2 4 8 3" xfId="36304"/>
    <cellStyle name="Percent 2 4 8 3 2" xfId="36305"/>
    <cellStyle name="Percent 2 4 8 4" xfId="36306"/>
    <cellStyle name="Percent 2 4 8 4 2" xfId="36307"/>
    <cellStyle name="Percent 2 4 8 5" xfId="36308"/>
    <cellStyle name="Percent 2 4 8 6" xfId="36309"/>
    <cellStyle name="Percent 2 4 9" xfId="36310"/>
    <cellStyle name="Percent 2 4 9 2" xfId="36311"/>
    <cellStyle name="Percent 2 4 9 2 2" xfId="36312"/>
    <cellStyle name="Percent 2 4 9 3" xfId="36313"/>
    <cellStyle name="Percent 2 4 9 3 2" xfId="36314"/>
    <cellStyle name="Percent 2 4 9 4" xfId="36315"/>
    <cellStyle name="Percent 2 4 9 4 2" xfId="36316"/>
    <cellStyle name="Percent 2 4 9 5" xfId="36317"/>
    <cellStyle name="Percent 2 4 9 6" xfId="36318"/>
    <cellStyle name="Percent 2 5" xfId="36319"/>
    <cellStyle name="Percent 2 5 10" xfId="36320"/>
    <cellStyle name="Percent 2 5 10 2" xfId="36321"/>
    <cellStyle name="Percent 2 5 10 2 2" xfId="36322"/>
    <cellStyle name="Percent 2 5 10 3" xfId="36323"/>
    <cellStyle name="Percent 2 5 10 3 2" xfId="36324"/>
    <cellStyle name="Percent 2 5 10 4" xfId="36325"/>
    <cellStyle name="Percent 2 5 11" xfId="36326"/>
    <cellStyle name="Percent 2 5 11 2" xfId="36327"/>
    <cellStyle name="Percent 2 5 11 3" xfId="36328"/>
    <cellStyle name="Percent 2 5 12" xfId="36329"/>
    <cellStyle name="Percent 2 5 12 2" xfId="36330"/>
    <cellStyle name="Percent 2 5 13" xfId="36331"/>
    <cellStyle name="Percent 2 5 13 2" xfId="36332"/>
    <cellStyle name="Percent 2 5 14" xfId="36333"/>
    <cellStyle name="Percent 2 5 15" xfId="36334"/>
    <cellStyle name="Percent 2 5 2" xfId="36335"/>
    <cellStyle name="Percent 2 5 2 10" xfId="36336"/>
    <cellStyle name="Percent 2 5 2 10 2" xfId="36337"/>
    <cellStyle name="Percent 2 5 2 11" xfId="36338"/>
    <cellStyle name="Percent 2 5 2 11 2" xfId="36339"/>
    <cellStyle name="Percent 2 5 2 12" xfId="36340"/>
    <cellStyle name="Percent 2 5 2 2" xfId="36341"/>
    <cellStyle name="Percent 2 5 2 2 10" xfId="36342"/>
    <cellStyle name="Percent 2 5 2 2 2" xfId="36343"/>
    <cellStyle name="Percent 2 5 2 2 2 2" xfId="36344"/>
    <cellStyle name="Percent 2 5 2 2 2 2 2" xfId="36345"/>
    <cellStyle name="Percent 2 5 2 2 2 2 2 2" xfId="36346"/>
    <cellStyle name="Percent 2 5 2 2 2 2 2 3" xfId="36347"/>
    <cellStyle name="Percent 2 5 2 2 2 2 3" xfId="36348"/>
    <cellStyle name="Percent 2 5 2 2 2 2 3 2" xfId="36349"/>
    <cellStyle name="Percent 2 5 2 2 2 2 4" xfId="36350"/>
    <cellStyle name="Percent 2 5 2 2 2 2 4 2" xfId="36351"/>
    <cellStyle name="Percent 2 5 2 2 2 2 5" xfId="36352"/>
    <cellStyle name="Percent 2 5 2 2 2 3" xfId="36353"/>
    <cellStyle name="Percent 2 5 2 2 2 3 2" xfId="36354"/>
    <cellStyle name="Percent 2 5 2 2 2 3 2 2" xfId="36355"/>
    <cellStyle name="Percent 2 5 2 2 2 3 3" xfId="36356"/>
    <cellStyle name="Percent 2 5 2 2 2 3 3 2" xfId="36357"/>
    <cellStyle name="Percent 2 5 2 2 2 3 4" xfId="36358"/>
    <cellStyle name="Percent 2 5 2 2 2 4" xfId="36359"/>
    <cellStyle name="Percent 2 5 2 2 2 4 2" xfId="36360"/>
    <cellStyle name="Percent 2 5 2 2 2 4 3" xfId="36361"/>
    <cellStyle name="Percent 2 5 2 2 2 5" xfId="36362"/>
    <cellStyle name="Percent 2 5 2 2 2 5 2" xfId="36363"/>
    <cellStyle name="Percent 2 5 2 2 2 6" xfId="36364"/>
    <cellStyle name="Percent 2 5 2 2 2 6 2" xfId="36365"/>
    <cellStyle name="Percent 2 5 2 2 2 7" xfId="36366"/>
    <cellStyle name="Percent 2 5 2 2 3" xfId="36367"/>
    <cellStyle name="Percent 2 5 2 2 3 2" xfId="36368"/>
    <cellStyle name="Percent 2 5 2 2 3 2 2" xfId="36369"/>
    <cellStyle name="Percent 2 5 2 2 3 2 2 2" xfId="36370"/>
    <cellStyle name="Percent 2 5 2 2 3 2 2 3" xfId="36371"/>
    <cellStyle name="Percent 2 5 2 2 3 2 3" xfId="36372"/>
    <cellStyle name="Percent 2 5 2 2 3 2 3 2" xfId="36373"/>
    <cellStyle name="Percent 2 5 2 2 3 2 4" xfId="36374"/>
    <cellStyle name="Percent 2 5 2 2 3 2 4 2" xfId="36375"/>
    <cellStyle name="Percent 2 5 2 2 3 2 5" xfId="36376"/>
    <cellStyle name="Percent 2 5 2 2 3 3" xfId="36377"/>
    <cellStyle name="Percent 2 5 2 2 3 3 2" xfId="36378"/>
    <cellStyle name="Percent 2 5 2 2 3 3 2 2" xfId="36379"/>
    <cellStyle name="Percent 2 5 2 2 3 3 3" xfId="36380"/>
    <cellStyle name="Percent 2 5 2 2 3 3 3 2" xfId="36381"/>
    <cellStyle name="Percent 2 5 2 2 3 3 4" xfId="36382"/>
    <cellStyle name="Percent 2 5 2 2 3 4" xfId="36383"/>
    <cellStyle name="Percent 2 5 2 2 3 4 2" xfId="36384"/>
    <cellStyle name="Percent 2 5 2 2 3 4 3" xfId="36385"/>
    <cellStyle name="Percent 2 5 2 2 3 5" xfId="36386"/>
    <cellStyle name="Percent 2 5 2 2 3 5 2" xfId="36387"/>
    <cellStyle name="Percent 2 5 2 2 3 6" xfId="36388"/>
    <cellStyle name="Percent 2 5 2 2 3 6 2" xfId="36389"/>
    <cellStyle name="Percent 2 5 2 2 3 7" xfId="36390"/>
    <cellStyle name="Percent 2 5 2 2 4" xfId="36391"/>
    <cellStyle name="Percent 2 5 2 2 4 2" xfId="36392"/>
    <cellStyle name="Percent 2 5 2 2 4 2 2" xfId="36393"/>
    <cellStyle name="Percent 2 5 2 2 4 2 2 2" xfId="36394"/>
    <cellStyle name="Percent 2 5 2 2 4 2 3" xfId="36395"/>
    <cellStyle name="Percent 2 5 2 2 4 2 3 2" xfId="36396"/>
    <cellStyle name="Percent 2 5 2 2 4 2 4" xfId="36397"/>
    <cellStyle name="Percent 2 5 2 2 4 3" xfId="36398"/>
    <cellStyle name="Percent 2 5 2 2 4 3 2" xfId="36399"/>
    <cellStyle name="Percent 2 5 2 2 4 3 3" xfId="36400"/>
    <cellStyle name="Percent 2 5 2 2 4 4" xfId="36401"/>
    <cellStyle name="Percent 2 5 2 2 4 4 2" xfId="36402"/>
    <cellStyle name="Percent 2 5 2 2 4 5" xfId="36403"/>
    <cellStyle name="Percent 2 5 2 2 4 5 2" xfId="36404"/>
    <cellStyle name="Percent 2 5 2 2 4 6" xfId="36405"/>
    <cellStyle name="Percent 2 5 2 2 5" xfId="36406"/>
    <cellStyle name="Percent 2 5 2 2 5 2" xfId="36407"/>
    <cellStyle name="Percent 2 5 2 2 5 2 2" xfId="36408"/>
    <cellStyle name="Percent 2 5 2 2 5 3" xfId="36409"/>
    <cellStyle name="Percent 2 5 2 2 5 3 2" xfId="36410"/>
    <cellStyle name="Percent 2 5 2 2 5 4" xfId="36411"/>
    <cellStyle name="Percent 2 5 2 2 6" xfId="36412"/>
    <cellStyle name="Percent 2 5 2 2 6 2" xfId="36413"/>
    <cellStyle name="Percent 2 5 2 2 6 2 2" xfId="36414"/>
    <cellStyle name="Percent 2 5 2 2 6 3" xfId="36415"/>
    <cellStyle name="Percent 2 5 2 2 6 3 2" xfId="36416"/>
    <cellStyle name="Percent 2 5 2 2 6 4" xfId="36417"/>
    <cellStyle name="Percent 2 5 2 2 7" xfId="36418"/>
    <cellStyle name="Percent 2 5 2 2 7 2" xfId="36419"/>
    <cellStyle name="Percent 2 5 2 2 7 3" xfId="36420"/>
    <cellStyle name="Percent 2 5 2 2 8" xfId="36421"/>
    <cellStyle name="Percent 2 5 2 2 8 2" xfId="36422"/>
    <cellStyle name="Percent 2 5 2 2 9" xfId="36423"/>
    <cellStyle name="Percent 2 5 2 2 9 2" xfId="36424"/>
    <cellStyle name="Percent 2 5 2 3" xfId="36425"/>
    <cellStyle name="Percent 2 5 2 3 2" xfId="36426"/>
    <cellStyle name="Percent 2 5 2 3 2 2" xfId="36427"/>
    <cellStyle name="Percent 2 5 2 3 2 2 2" xfId="36428"/>
    <cellStyle name="Percent 2 5 2 3 2 2 2 2" xfId="36429"/>
    <cellStyle name="Percent 2 5 2 3 2 2 2 3" xfId="36430"/>
    <cellStyle name="Percent 2 5 2 3 2 2 3" xfId="36431"/>
    <cellStyle name="Percent 2 5 2 3 2 2 3 2" xfId="36432"/>
    <cellStyle name="Percent 2 5 2 3 2 2 4" xfId="36433"/>
    <cellStyle name="Percent 2 5 2 3 2 2 4 2" xfId="36434"/>
    <cellStyle name="Percent 2 5 2 3 2 2 5" xfId="36435"/>
    <cellStyle name="Percent 2 5 2 3 2 3" xfId="36436"/>
    <cellStyle name="Percent 2 5 2 3 2 3 2" xfId="36437"/>
    <cellStyle name="Percent 2 5 2 3 2 3 2 2" xfId="36438"/>
    <cellStyle name="Percent 2 5 2 3 2 3 3" xfId="36439"/>
    <cellStyle name="Percent 2 5 2 3 2 3 3 2" xfId="36440"/>
    <cellStyle name="Percent 2 5 2 3 2 3 4" xfId="36441"/>
    <cellStyle name="Percent 2 5 2 3 2 4" xfId="36442"/>
    <cellStyle name="Percent 2 5 2 3 2 4 2" xfId="36443"/>
    <cellStyle name="Percent 2 5 2 3 2 4 3" xfId="36444"/>
    <cellStyle name="Percent 2 5 2 3 2 5" xfId="36445"/>
    <cellStyle name="Percent 2 5 2 3 2 5 2" xfId="36446"/>
    <cellStyle name="Percent 2 5 2 3 2 6" xfId="36447"/>
    <cellStyle name="Percent 2 5 2 3 2 6 2" xfId="36448"/>
    <cellStyle name="Percent 2 5 2 3 2 7" xfId="36449"/>
    <cellStyle name="Percent 2 5 2 3 3" xfId="36450"/>
    <cellStyle name="Percent 2 5 2 3 3 2" xfId="36451"/>
    <cellStyle name="Percent 2 5 2 3 3 2 2" xfId="36452"/>
    <cellStyle name="Percent 2 5 2 3 3 2 3" xfId="36453"/>
    <cellStyle name="Percent 2 5 2 3 3 3" xfId="36454"/>
    <cellStyle name="Percent 2 5 2 3 3 3 2" xfId="36455"/>
    <cellStyle name="Percent 2 5 2 3 3 4" xfId="36456"/>
    <cellStyle name="Percent 2 5 2 3 3 4 2" xfId="36457"/>
    <cellStyle name="Percent 2 5 2 3 3 5" xfId="36458"/>
    <cellStyle name="Percent 2 5 2 3 4" xfId="36459"/>
    <cellStyle name="Percent 2 5 2 3 4 2" xfId="36460"/>
    <cellStyle name="Percent 2 5 2 3 4 2 2" xfId="36461"/>
    <cellStyle name="Percent 2 5 2 3 4 3" xfId="36462"/>
    <cellStyle name="Percent 2 5 2 3 4 3 2" xfId="36463"/>
    <cellStyle name="Percent 2 5 2 3 4 4" xfId="36464"/>
    <cellStyle name="Percent 2 5 2 3 5" xfId="36465"/>
    <cellStyle name="Percent 2 5 2 3 5 2" xfId="36466"/>
    <cellStyle name="Percent 2 5 2 3 5 3" xfId="36467"/>
    <cellStyle name="Percent 2 5 2 3 6" xfId="36468"/>
    <cellStyle name="Percent 2 5 2 3 6 2" xfId="36469"/>
    <cellStyle name="Percent 2 5 2 3 7" xfId="36470"/>
    <cellStyle name="Percent 2 5 2 3 7 2" xfId="36471"/>
    <cellStyle name="Percent 2 5 2 3 8" xfId="36472"/>
    <cellStyle name="Percent 2 5 2 4" xfId="36473"/>
    <cellStyle name="Percent 2 5 2 4 2" xfId="36474"/>
    <cellStyle name="Percent 2 5 2 4 2 2" xfId="36475"/>
    <cellStyle name="Percent 2 5 2 4 2 2 2" xfId="36476"/>
    <cellStyle name="Percent 2 5 2 4 2 2 3" xfId="36477"/>
    <cellStyle name="Percent 2 5 2 4 2 3" xfId="36478"/>
    <cellStyle name="Percent 2 5 2 4 2 3 2" xfId="36479"/>
    <cellStyle name="Percent 2 5 2 4 2 4" xfId="36480"/>
    <cellStyle name="Percent 2 5 2 4 2 4 2" xfId="36481"/>
    <cellStyle name="Percent 2 5 2 4 2 5" xfId="36482"/>
    <cellStyle name="Percent 2 5 2 4 3" xfId="36483"/>
    <cellStyle name="Percent 2 5 2 4 3 2" xfId="36484"/>
    <cellStyle name="Percent 2 5 2 4 3 2 2" xfId="36485"/>
    <cellStyle name="Percent 2 5 2 4 3 3" xfId="36486"/>
    <cellStyle name="Percent 2 5 2 4 3 3 2" xfId="36487"/>
    <cellStyle name="Percent 2 5 2 4 3 4" xfId="36488"/>
    <cellStyle name="Percent 2 5 2 4 4" xfId="36489"/>
    <cellStyle name="Percent 2 5 2 4 4 2" xfId="36490"/>
    <cellStyle name="Percent 2 5 2 4 4 3" xfId="36491"/>
    <cellStyle name="Percent 2 5 2 4 5" xfId="36492"/>
    <cellStyle name="Percent 2 5 2 4 5 2" xfId="36493"/>
    <cellStyle name="Percent 2 5 2 4 6" xfId="36494"/>
    <cellStyle name="Percent 2 5 2 4 6 2" xfId="36495"/>
    <cellStyle name="Percent 2 5 2 4 7" xfId="36496"/>
    <cellStyle name="Percent 2 5 2 5" xfId="36497"/>
    <cellStyle name="Percent 2 5 2 5 2" xfId="36498"/>
    <cellStyle name="Percent 2 5 2 5 2 2" xfId="36499"/>
    <cellStyle name="Percent 2 5 2 5 2 2 2" xfId="36500"/>
    <cellStyle name="Percent 2 5 2 5 2 2 3" xfId="36501"/>
    <cellStyle name="Percent 2 5 2 5 2 3" xfId="36502"/>
    <cellStyle name="Percent 2 5 2 5 2 3 2" xfId="36503"/>
    <cellStyle name="Percent 2 5 2 5 2 4" xfId="36504"/>
    <cellStyle name="Percent 2 5 2 5 2 4 2" xfId="36505"/>
    <cellStyle name="Percent 2 5 2 5 2 5" xfId="36506"/>
    <cellStyle name="Percent 2 5 2 5 3" xfId="36507"/>
    <cellStyle name="Percent 2 5 2 5 3 2" xfId="36508"/>
    <cellStyle name="Percent 2 5 2 5 3 2 2" xfId="36509"/>
    <cellStyle name="Percent 2 5 2 5 3 3" xfId="36510"/>
    <cellStyle name="Percent 2 5 2 5 3 3 2" xfId="36511"/>
    <cellStyle name="Percent 2 5 2 5 3 4" xfId="36512"/>
    <cellStyle name="Percent 2 5 2 5 4" xfId="36513"/>
    <cellStyle name="Percent 2 5 2 5 4 2" xfId="36514"/>
    <cellStyle name="Percent 2 5 2 5 4 3" xfId="36515"/>
    <cellStyle name="Percent 2 5 2 5 5" xfId="36516"/>
    <cellStyle name="Percent 2 5 2 5 5 2" xfId="36517"/>
    <cellStyle name="Percent 2 5 2 5 6" xfId="36518"/>
    <cellStyle name="Percent 2 5 2 5 6 2" xfId="36519"/>
    <cellStyle name="Percent 2 5 2 5 7" xfId="36520"/>
    <cellStyle name="Percent 2 5 2 6" xfId="36521"/>
    <cellStyle name="Percent 2 5 2 6 2" xfId="36522"/>
    <cellStyle name="Percent 2 5 2 6 2 2" xfId="36523"/>
    <cellStyle name="Percent 2 5 2 6 2 2 2" xfId="36524"/>
    <cellStyle name="Percent 2 5 2 6 2 3" xfId="36525"/>
    <cellStyle name="Percent 2 5 2 6 2 3 2" xfId="36526"/>
    <cellStyle name="Percent 2 5 2 6 2 4" xfId="36527"/>
    <cellStyle name="Percent 2 5 2 6 3" xfId="36528"/>
    <cellStyle name="Percent 2 5 2 6 3 2" xfId="36529"/>
    <cellStyle name="Percent 2 5 2 6 3 3" xfId="36530"/>
    <cellStyle name="Percent 2 5 2 6 4" xfId="36531"/>
    <cellStyle name="Percent 2 5 2 6 4 2" xfId="36532"/>
    <cellStyle name="Percent 2 5 2 6 5" xfId="36533"/>
    <cellStyle name="Percent 2 5 2 6 5 2" xfId="36534"/>
    <cellStyle name="Percent 2 5 2 6 6" xfId="36535"/>
    <cellStyle name="Percent 2 5 2 7" xfId="36536"/>
    <cellStyle name="Percent 2 5 2 7 2" xfId="36537"/>
    <cellStyle name="Percent 2 5 2 7 2 2" xfId="36538"/>
    <cellStyle name="Percent 2 5 2 7 3" xfId="36539"/>
    <cellStyle name="Percent 2 5 2 7 3 2" xfId="36540"/>
    <cellStyle name="Percent 2 5 2 7 4" xfId="36541"/>
    <cellStyle name="Percent 2 5 2 8" xfId="36542"/>
    <cellStyle name="Percent 2 5 2 8 2" xfId="36543"/>
    <cellStyle name="Percent 2 5 2 8 2 2" xfId="36544"/>
    <cellStyle name="Percent 2 5 2 8 3" xfId="36545"/>
    <cellStyle name="Percent 2 5 2 8 3 2" xfId="36546"/>
    <cellStyle name="Percent 2 5 2 8 4" xfId="36547"/>
    <cellStyle name="Percent 2 5 2 9" xfId="36548"/>
    <cellStyle name="Percent 2 5 2 9 2" xfId="36549"/>
    <cellStyle name="Percent 2 5 2 9 3" xfId="36550"/>
    <cellStyle name="Percent 2 5 3" xfId="36551"/>
    <cellStyle name="Percent 2 5 3 10" xfId="36552"/>
    <cellStyle name="Percent 2 5 3 10 2" xfId="36553"/>
    <cellStyle name="Percent 2 5 3 11" xfId="36554"/>
    <cellStyle name="Percent 2 5 3 2" xfId="36555"/>
    <cellStyle name="Percent 2 5 3 2 2" xfId="36556"/>
    <cellStyle name="Percent 2 5 3 2 2 2" xfId="36557"/>
    <cellStyle name="Percent 2 5 3 2 2 2 2" xfId="36558"/>
    <cellStyle name="Percent 2 5 3 2 2 2 2 2" xfId="36559"/>
    <cellStyle name="Percent 2 5 3 2 2 2 2 3" xfId="36560"/>
    <cellStyle name="Percent 2 5 3 2 2 2 3" xfId="36561"/>
    <cellStyle name="Percent 2 5 3 2 2 2 3 2" xfId="36562"/>
    <cellStyle name="Percent 2 5 3 2 2 2 4" xfId="36563"/>
    <cellStyle name="Percent 2 5 3 2 2 2 4 2" xfId="36564"/>
    <cellStyle name="Percent 2 5 3 2 2 2 5" xfId="36565"/>
    <cellStyle name="Percent 2 5 3 2 2 3" xfId="36566"/>
    <cellStyle name="Percent 2 5 3 2 2 3 2" xfId="36567"/>
    <cellStyle name="Percent 2 5 3 2 2 3 2 2" xfId="36568"/>
    <cellStyle name="Percent 2 5 3 2 2 3 3" xfId="36569"/>
    <cellStyle name="Percent 2 5 3 2 2 3 3 2" xfId="36570"/>
    <cellStyle name="Percent 2 5 3 2 2 3 4" xfId="36571"/>
    <cellStyle name="Percent 2 5 3 2 2 4" xfId="36572"/>
    <cellStyle name="Percent 2 5 3 2 2 4 2" xfId="36573"/>
    <cellStyle name="Percent 2 5 3 2 2 4 3" xfId="36574"/>
    <cellStyle name="Percent 2 5 3 2 2 5" xfId="36575"/>
    <cellStyle name="Percent 2 5 3 2 2 5 2" xfId="36576"/>
    <cellStyle name="Percent 2 5 3 2 2 6" xfId="36577"/>
    <cellStyle name="Percent 2 5 3 2 2 6 2" xfId="36578"/>
    <cellStyle name="Percent 2 5 3 2 2 7" xfId="36579"/>
    <cellStyle name="Percent 2 5 3 2 3" xfId="36580"/>
    <cellStyle name="Percent 2 5 3 2 3 2" xfId="36581"/>
    <cellStyle name="Percent 2 5 3 2 3 2 2" xfId="36582"/>
    <cellStyle name="Percent 2 5 3 2 3 2 3" xfId="36583"/>
    <cellStyle name="Percent 2 5 3 2 3 3" xfId="36584"/>
    <cellStyle name="Percent 2 5 3 2 3 3 2" xfId="36585"/>
    <cellStyle name="Percent 2 5 3 2 3 4" xfId="36586"/>
    <cellStyle name="Percent 2 5 3 2 3 4 2" xfId="36587"/>
    <cellStyle name="Percent 2 5 3 2 3 5" xfId="36588"/>
    <cellStyle name="Percent 2 5 3 2 4" xfId="36589"/>
    <cellStyle name="Percent 2 5 3 2 4 2" xfId="36590"/>
    <cellStyle name="Percent 2 5 3 2 4 2 2" xfId="36591"/>
    <cellStyle name="Percent 2 5 3 2 4 3" xfId="36592"/>
    <cellStyle name="Percent 2 5 3 2 4 3 2" xfId="36593"/>
    <cellStyle name="Percent 2 5 3 2 4 4" xfId="36594"/>
    <cellStyle name="Percent 2 5 3 2 5" xfId="36595"/>
    <cellStyle name="Percent 2 5 3 2 5 2" xfId="36596"/>
    <cellStyle name="Percent 2 5 3 2 5 3" xfId="36597"/>
    <cellStyle name="Percent 2 5 3 2 6" xfId="36598"/>
    <cellStyle name="Percent 2 5 3 2 6 2" xfId="36599"/>
    <cellStyle name="Percent 2 5 3 2 7" xfId="36600"/>
    <cellStyle name="Percent 2 5 3 2 7 2" xfId="36601"/>
    <cellStyle name="Percent 2 5 3 2 8" xfId="36602"/>
    <cellStyle name="Percent 2 5 3 3" xfId="36603"/>
    <cellStyle name="Percent 2 5 3 3 2" xfId="36604"/>
    <cellStyle name="Percent 2 5 3 3 2 2" xfId="36605"/>
    <cellStyle name="Percent 2 5 3 3 2 2 2" xfId="36606"/>
    <cellStyle name="Percent 2 5 3 3 2 2 3" xfId="36607"/>
    <cellStyle name="Percent 2 5 3 3 2 3" xfId="36608"/>
    <cellStyle name="Percent 2 5 3 3 2 3 2" xfId="36609"/>
    <cellStyle name="Percent 2 5 3 3 2 4" xfId="36610"/>
    <cellStyle name="Percent 2 5 3 3 2 4 2" xfId="36611"/>
    <cellStyle name="Percent 2 5 3 3 2 5" xfId="36612"/>
    <cellStyle name="Percent 2 5 3 3 3" xfId="36613"/>
    <cellStyle name="Percent 2 5 3 3 3 2" xfId="36614"/>
    <cellStyle name="Percent 2 5 3 3 3 2 2" xfId="36615"/>
    <cellStyle name="Percent 2 5 3 3 3 3" xfId="36616"/>
    <cellStyle name="Percent 2 5 3 3 3 3 2" xfId="36617"/>
    <cellStyle name="Percent 2 5 3 3 3 4" xfId="36618"/>
    <cellStyle name="Percent 2 5 3 3 4" xfId="36619"/>
    <cellStyle name="Percent 2 5 3 3 4 2" xfId="36620"/>
    <cellStyle name="Percent 2 5 3 3 4 3" xfId="36621"/>
    <cellStyle name="Percent 2 5 3 3 5" xfId="36622"/>
    <cellStyle name="Percent 2 5 3 3 5 2" xfId="36623"/>
    <cellStyle name="Percent 2 5 3 3 6" xfId="36624"/>
    <cellStyle name="Percent 2 5 3 3 6 2" xfId="36625"/>
    <cellStyle name="Percent 2 5 3 3 7" xfId="36626"/>
    <cellStyle name="Percent 2 5 3 4" xfId="36627"/>
    <cellStyle name="Percent 2 5 3 4 2" xfId="36628"/>
    <cellStyle name="Percent 2 5 3 4 2 2" xfId="36629"/>
    <cellStyle name="Percent 2 5 3 4 2 2 2" xfId="36630"/>
    <cellStyle name="Percent 2 5 3 4 2 2 3" xfId="36631"/>
    <cellStyle name="Percent 2 5 3 4 2 3" xfId="36632"/>
    <cellStyle name="Percent 2 5 3 4 2 3 2" xfId="36633"/>
    <cellStyle name="Percent 2 5 3 4 2 4" xfId="36634"/>
    <cellStyle name="Percent 2 5 3 4 2 4 2" xfId="36635"/>
    <cellStyle name="Percent 2 5 3 4 2 5" xfId="36636"/>
    <cellStyle name="Percent 2 5 3 4 3" xfId="36637"/>
    <cellStyle name="Percent 2 5 3 4 3 2" xfId="36638"/>
    <cellStyle name="Percent 2 5 3 4 3 2 2" xfId="36639"/>
    <cellStyle name="Percent 2 5 3 4 3 3" xfId="36640"/>
    <cellStyle name="Percent 2 5 3 4 3 3 2" xfId="36641"/>
    <cellStyle name="Percent 2 5 3 4 3 4" xfId="36642"/>
    <cellStyle name="Percent 2 5 3 4 4" xfId="36643"/>
    <cellStyle name="Percent 2 5 3 4 4 2" xfId="36644"/>
    <cellStyle name="Percent 2 5 3 4 4 3" xfId="36645"/>
    <cellStyle name="Percent 2 5 3 4 5" xfId="36646"/>
    <cellStyle name="Percent 2 5 3 4 5 2" xfId="36647"/>
    <cellStyle name="Percent 2 5 3 4 6" xfId="36648"/>
    <cellStyle name="Percent 2 5 3 4 6 2" xfId="36649"/>
    <cellStyle name="Percent 2 5 3 4 7" xfId="36650"/>
    <cellStyle name="Percent 2 5 3 5" xfId="36651"/>
    <cellStyle name="Percent 2 5 3 5 2" xfId="36652"/>
    <cellStyle name="Percent 2 5 3 5 2 2" xfId="36653"/>
    <cellStyle name="Percent 2 5 3 5 2 2 2" xfId="36654"/>
    <cellStyle name="Percent 2 5 3 5 2 3" xfId="36655"/>
    <cellStyle name="Percent 2 5 3 5 2 3 2" xfId="36656"/>
    <cellStyle name="Percent 2 5 3 5 2 4" xfId="36657"/>
    <cellStyle name="Percent 2 5 3 5 3" xfId="36658"/>
    <cellStyle name="Percent 2 5 3 5 3 2" xfId="36659"/>
    <cellStyle name="Percent 2 5 3 5 3 3" xfId="36660"/>
    <cellStyle name="Percent 2 5 3 5 4" xfId="36661"/>
    <cellStyle name="Percent 2 5 3 5 4 2" xfId="36662"/>
    <cellStyle name="Percent 2 5 3 5 5" xfId="36663"/>
    <cellStyle name="Percent 2 5 3 5 5 2" xfId="36664"/>
    <cellStyle name="Percent 2 5 3 5 6" xfId="36665"/>
    <cellStyle name="Percent 2 5 3 6" xfId="36666"/>
    <cellStyle name="Percent 2 5 3 6 2" xfId="36667"/>
    <cellStyle name="Percent 2 5 3 6 2 2" xfId="36668"/>
    <cellStyle name="Percent 2 5 3 6 3" xfId="36669"/>
    <cellStyle name="Percent 2 5 3 6 3 2" xfId="36670"/>
    <cellStyle name="Percent 2 5 3 6 4" xfId="36671"/>
    <cellStyle name="Percent 2 5 3 7" xfId="36672"/>
    <cellStyle name="Percent 2 5 3 7 2" xfId="36673"/>
    <cellStyle name="Percent 2 5 3 7 2 2" xfId="36674"/>
    <cellStyle name="Percent 2 5 3 7 3" xfId="36675"/>
    <cellStyle name="Percent 2 5 3 7 3 2" xfId="36676"/>
    <cellStyle name="Percent 2 5 3 7 4" xfId="36677"/>
    <cellStyle name="Percent 2 5 3 8" xfId="36678"/>
    <cellStyle name="Percent 2 5 3 8 2" xfId="36679"/>
    <cellStyle name="Percent 2 5 3 8 3" xfId="36680"/>
    <cellStyle name="Percent 2 5 3 9" xfId="36681"/>
    <cellStyle name="Percent 2 5 3 9 2" xfId="36682"/>
    <cellStyle name="Percent 2 5 4" xfId="36683"/>
    <cellStyle name="Percent 2 5 4 10" xfId="36684"/>
    <cellStyle name="Percent 2 5 4 2" xfId="36685"/>
    <cellStyle name="Percent 2 5 4 2 2" xfId="36686"/>
    <cellStyle name="Percent 2 5 4 2 2 2" xfId="36687"/>
    <cellStyle name="Percent 2 5 4 2 2 2 2" xfId="36688"/>
    <cellStyle name="Percent 2 5 4 2 2 2 3" xfId="36689"/>
    <cellStyle name="Percent 2 5 4 2 2 3" xfId="36690"/>
    <cellStyle name="Percent 2 5 4 2 2 3 2" xfId="36691"/>
    <cellStyle name="Percent 2 5 4 2 2 4" xfId="36692"/>
    <cellStyle name="Percent 2 5 4 2 2 4 2" xfId="36693"/>
    <cellStyle name="Percent 2 5 4 2 2 5" xfId="36694"/>
    <cellStyle name="Percent 2 5 4 2 3" xfId="36695"/>
    <cellStyle name="Percent 2 5 4 2 3 2" xfId="36696"/>
    <cellStyle name="Percent 2 5 4 2 3 2 2" xfId="36697"/>
    <cellStyle name="Percent 2 5 4 2 3 3" xfId="36698"/>
    <cellStyle name="Percent 2 5 4 2 3 3 2" xfId="36699"/>
    <cellStyle name="Percent 2 5 4 2 3 4" xfId="36700"/>
    <cellStyle name="Percent 2 5 4 2 4" xfId="36701"/>
    <cellStyle name="Percent 2 5 4 2 4 2" xfId="36702"/>
    <cellStyle name="Percent 2 5 4 2 4 3" xfId="36703"/>
    <cellStyle name="Percent 2 5 4 2 5" xfId="36704"/>
    <cellStyle name="Percent 2 5 4 2 5 2" xfId="36705"/>
    <cellStyle name="Percent 2 5 4 2 6" xfId="36706"/>
    <cellStyle name="Percent 2 5 4 2 6 2" xfId="36707"/>
    <cellStyle name="Percent 2 5 4 2 7" xfId="36708"/>
    <cellStyle name="Percent 2 5 4 3" xfId="36709"/>
    <cellStyle name="Percent 2 5 4 3 2" xfId="36710"/>
    <cellStyle name="Percent 2 5 4 3 2 2" xfId="36711"/>
    <cellStyle name="Percent 2 5 4 3 2 2 2" xfId="36712"/>
    <cellStyle name="Percent 2 5 4 3 2 2 3" xfId="36713"/>
    <cellStyle name="Percent 2 5 4 3 2 3" xfId="36714"/>
    <cellStyle name="Percent 2 5 4 3 2 3 2" xfId="36715"/>
    <cellStyle name="Percent 2 5 4 3 2 4" xfId="36716"/>
    <cellStyle name="Percent 2 5 4 3 2 4 2" xfId="36717"/>
    <cellStyle name="Percent 2 5 4 3 2 5" xfId="36718"/>
    <cellStyle name="Percent 2 5 4 3 3" xfId="36719"/>
    <cellStyle name="Percent 2 5 4 3 3 2" xfId="36720"/>
    <cellStyle name="Percent 2 5 4 3 3 2 2" xfId="36721"/>
    <cellStyle name="Percent 2 5 4 3 3 3" xfId="36722"/>
    <cellStyle name="Percent 2 5 4 3 3 3 2" xfId="36723"/>
    <cellStyle name="Percent 2 5 4 3 3 4" xfId="36724"/>
    <cellStyle name="Percent 2 5 4 3 4" xfId="36725"/>
    <cellStyle name="Percent 2 5 4 3 4 2" xfId="36726"/>
    <cellStyle name="Percent 2 5 4 3 4 3" xfId="36727"/>
    <cellStyle name="Percent 2 5 4 3 5" xfId="36728"/>
    <cellStyle name="Percent 2 5 4 3 5 2" xfId="36729"/>
    <cellStyle name="Percent 2 5 4 3 6" xfId="36730"/>
    <cellStyle name="Percent 2 5 4 3 6 2" xfId="36731"/>
    <cellStyle name="Percent 2 5 4 3 7" xfId="36732"/>
    <cellStyle name="Percent 2 5 4 4" xfId="36733"/>
    <cellStyle name="Percent 2 5 4 4 2" xfId="36734"/>
    <cellStyle name="Percent 2 5 4 4 2 2" xfId="36735"/>
    <cellStyle name="Percent 2 5 4 4 2 2 2" xfId="36736"/>
    <cellStyle name="Percent 2 5 4 4 2 3" xfId="36737"/>
    <cellStyle name="Percent 2 5 4 4 2 3 2" xfId="36738"/>
    <cellStyle name="Percent 2 5 4 4 2 4" xfId="36739"/>
    <cellStyle name="Percent 2 5 4 4 3" xfId="36740"/>
    <cellStyle name="Percent 2 5 4 4 3 2" xfId="36741"/>
    <cellStyle name="Percent 2 5 4 4 3 3" xfId="36742"/>
    <cellStyle name="Percent 2 5 4 4 4" xfId="36743"/>
    <cellStyle name="Percent 2 5 4 4 4 2" xfId="36744"/>
    <cellStyle name="Percent 2 5 4 4 5" xfId="36745"/>
    <cellStyle name="Percent 2 5 4 4 5 2" xfId="36746"/>
    <cellStyle name="Percent 2 5 4 4 6" xfId="36747"/>
    <cellStyle name="Percent 2 5 4 5" xfId="36748"/>
    <cellStyle name="Percent 2 5 4 5 2" xfId="36749"/>
    <cellStyle name="Percent 2 5 4 5 2 2" xfId="36750"/>
    <cellStyle name="Percent 2 5 4 5 3" xfId="36751"/>
    <cellStyle name="Percent 2 5 4 5 3 2" xfId="36752"/>
    <cellStyle name="Percent 2 5 4 5 4" xfId="36753"/>
    <cellStyle name="Percent 2 5 4 6" xfId="36754"/>
    <cellStyle name="Percent 2 5 4 6 2" xfId="36755"/>
    <cellStyle name="Percent 2 5 4 6 2 2" xfId="36756"/>
    <cellStyle name="Percent 2 5 4 6 3" xfId="36757"/>
    <cellStyle name="Percent 2 5 4 6 3 2" xfId="36758"/>
    <cellStyle name="Percent 2 5 4 6 4" xfId="36759"/>
    <cellStyle name="Percent 2 5 4 7" xfId="36760"/>
    <cellStyle name="Percent 2 5 4 7 2" xfId="36761"/>
    <cellStyle name="Percent 2 5 4 7 3" xfId="36762"/>
    <cellStyle name="Percent 2 5 4 8" xfId="36763"/>
    <cellStyle name="Percent 2 5 4 8 2" xfId="36764"/>
    <cellStyle name="Percent 2 5 4 9" xfId="36765"/>
    <cellStyle name="Percent 2 5 4 9 2" xfId="36766"/>
    <cellStyle name="Percent 2 5 5" xfId="36767"/>
    <cellStyle name="Percent 2 5 5 2" xfId="36768"/>
    <cellStyle name="Percent 2 5 5 2 2" xfId="36769"/>
    <cellStyle name="Percent 2 5 5 2 2 2" xfId="36770"/>
    <cellStyle name="Percent 2 5 5 2 2 2 2" xfId="36771"/>
    <cellStyle name="Percent 2 5 5 2 2 2 3" xfId="36772"/>
    <cellStyle name="Percent 2 5 5 2 2 3" xfId="36773"/>
    <cellStyle name="Percent 2 5 5 2 2 3 2" xfId="36774"/>
    <cellStyle name="Percent 2 5 5 2 2 4" xfId="36775"/>
    <cellStyle name="Percent 2 5 5 2 2 4 2" xfId="36776"/>
    <cellStyle name="Percent 2 5 5 2 2 5" xfId="36777"/>
    <cellStyle name="Percent 2 5 5 2 3" xfId="36778"/>
    <cellStyle name="Percent 2 5 5 2 3 2" xfId="36779"/>
    <cellStyle name="Percent 2 5 5 2 3 2 2" xfId="36780"/>
    <cellStyle name="Percent 2 5 5 2 3 3" xfId="36781"/>
    <cellStyle name="Percent 2 5 5 2 3 3 2" xfId="36782"/>
    <cellStyle name="Percent 2 5 5 2 3 4" xfId="36783"/>
    <cellStyle name="Percent 2 5 5 2 4" xfId="36784"/>
    <cellStyle name="Percent 2 5 5 2 4 2" xfId="36785"/>
    <cellStyle name="Percent 2 5 5 2 4 3" xfId="36786"/>
    <cellStyle name="Percent 2 5 5 2 5" xfId="36787"/>
    <cellStyle name="Percent 2 5 5 2 5 2" xfId="36788"/>
    <cellStyle name="Percent 2 5 5 2 6" xfId="36789"/>
    <cellStyle name="Percent 2 5 5 2 6 2" xfId="36790"/>
    <cellStyle name="Percent 2 5 5 2 7" xfId="36791"/>
    <cellStyle name="Percent 2 5 5 3" xfId="36792"/>
    <cellStyle name="Percent 2 5 5 3 2" xfId="36793"/>
    <cellStyle name="Percent 2 5 5 3 2 2" xfId="36794"/>
    <cellStyle name="Percent 2 5 5 3 2 3" xfId="36795"/>
    <cellStyle name="Percent 2 5 5 3 3" xfId="36796"/>
    <cellStyle name="Percent 2 5 5 3 3 2" xfId="36797"/>
    <cellStyle name="Percent 2 5 5 3 4" xfId="36798"/>
    <cellStyle name="Percent 2 5 5 3 4 2" xfId="36799"/>
    <cellStyle name="Percent 2 5 5 3 5" xfId="36800"/>
    <cellStyle name="Percent 2 5 5 4" xfId="36801"/>
    <cellStyle name="Percent 2 5 5 4 2" xfId="36802"/>
    <cellStyle name="Percent 2 5 5 4 2 2" xfId="36803"/>
    <cellStyle name="Percent 2 5 5 4 3" xfId="36804"/>
    <cellStyle name="Percent 2 5 5 4 3 2" xfId="36805"/>
    <cellStyle name="Percent 2 5 5 4 4" xfId="36806"/>
    <cellStyle name="Percent 2 5 5 5" xfId="36807"/>
    <cellStyle name="Percent 2 5 5 5 2" xfId="36808"/>
    <cellStyle name="Percent 2 5 5 5 3" xfId="36809"/>
    <cellStyle name="Percent 2 5 5 6" xfId="36810"/>
    <cellStyle name="Percent 2 5 5 6 2" xfId="36811"/>
    <cellStyle name="Percent 2 5 5 7" xfId="36812"/>
    <cellStyle name="Percent 2 5 5 7 2" xfId="36813"/>
    <cellStyle name="Percent 2 5 5 8" xfId="36814"/>
    <cellStyle name="Percent 2 5 6" xfId="36815"/>
    <cellStyle name="Percent 2 5 6 2" xfId="36816"/>
    <cellStyle name="Percent 2 5 6 2 2" xfId="36817"/>
    <cellStyle name="Percent 2 5 6 2 2 2" xfId="36818"/>
    <cellStyle name="Percent 2 5 6 2 2 3" xfId="36819"/>
    <cellStyle name="Percent 2 5 6 2 3" xfId="36820"/>
    <cellStyle name="Percent 2 5 6 2 3 2" xfId="36821"/>
    <cellStyle name="Percent 2 5 6 2 4" xfId="36822"/>
    <cellStyle name="Percent 2 5 6 2 4 2" xfId="36823"/>
    <cellStyle name="Percent 2 5 6 2 5" xfId="36824"/>
    <cellStyle name="Percent 2 5 6 3" xfId="36825"/>
    <cellStyle name="Percent 2 5 6 3 2" xfId="36826"/>
    <cellStyle name="Percent 2 5 6 3 2 2" xfId="36827"/>
    <cellStyle name="Percent 2 5 6 3 3" xfId="36828"/>
    <cellStyle name="Percent 2 5 6 3 3 2" xfId="36829"/>
    <cellStyle name="Percent 2 5 6 3 4" xfId="36830"/>
    <cellStyle name="Percent 2 5 6 4" xfId="36831"/>
    <cellStyle name="Percent 2 5 6 4 2" xfId="36832"/>
    <cellStyle name="Percent 2 5 6 4 3" xfId="36833"/>
    <cellStyle name="Percent 2 5 6 5" xfId="36834"/>
    <cellStyle name="Percent 2 5 6 5 2" xfId="36835"/>
    <cellStyle name="Percent 2 5 6 6" xfId="36836"/>
    <cellStyle name="Percent 2 5 6 6 2" xfId="36837"/>
    <cellStyle name="Percent 2 5 6 7" xfId="36838"/>
    <cellStyle name="Percent 2 5 7" xfId="36839"/>
    <cellStyle name="Percent 2 5 7 2" xfId="36840"/>
    <cellStyle name="Percent 2 5 7 2 2" xfId="36841"/>
    <cellStyle name="Percent 2 5 7 2 2 2" xfId="36842"/>
    <cellStyle name="Percent 2 5 7 2 2 3" xfId="36843"/>
    <cellStyle name="Percent 2 5 7 2 3" xfId="36844"/>
    <cellStyle name="Percent 2 5 7 2 3 2" xfId="36845"/>
    <cellStyle name="Percent 2 5 7 2 4" xfId="36846"/>
    <cellStyle name="Percent 2 5 7 2 4 2" xfId="36847"/>
    <cellStyle name="Percent 2 5 7 2 5" xfId="36848"/>
    <cellStyle name="Percent 2 5 7 3" xfId="36849"/>
    <cellStyle name="Percent 2 5 7 3 2" xfId="36850"/>
    <cellStyle name="Percent 2 5 7 3 2 2" xfId="36851"/>
    <cellStyle name="Percent 2 5 7 3 3" xfId="36852"/>
    <cellStyle name="Percent 2 5 7 3 3 2" xfId="36853"/>
    <cellStyle name="Percent 2 5 7 3 4" xfId="36854"/>
    <cellStyle name="Percent 2 5 7 4" xfId="36855"/>
    <cellStyle name="Percent 2 5 7 4 2" xfId="36856"/>
    <cellStyle name="Percent 2 5 7 4 3" xfId="36857"/>
    <cellStyle name="Percent 2 5 7 5" xfId="36858"/>
    <cellStyle name="Percent 2 5 7 5 2" xfId="36859"/>
    <cellStyle name="Percent 2 5 7 6" xfId="36860"/>
    <cellStyle name="Percent 2 5 7 6 2" xfId="36861"/>
    <cellStyle name="Percent 2 5 7 7" xfId="36862"/>
    <cellStyle name="Percent 2 5 8" xfId="36863"/>
    <cellStyle name="Percent 2 5 8 2" xfId="36864"/>
    <cellStyle name="Percent 2 5 8 2 2" xfId="36865"/>
    <cellStyle name="Percent 2 5 8 2 2 2" xfId="36866"/>
    <cellStyle name="Percent 2 5 8 2 3" xfId="36867"/>
    <cellStyle name="Percent 2 5 8 2 3 2" xfId="36868"/>
    <cellStyle name="Percent 2 5 8 2 4" xfId="36869"/>
    <cellStyle name="Percent 2 5 8 3" xfId="36870"/>
    <cellStyle name="Percent 2 5 8 3 2" xfId="36871"/>
    <cellStyle name="Percent 2 5 8 3 3" xfId="36872"/>
    <cellStyle name="Percent 2 5 8 4" xfId="36873"/>
    <cellStyle name="Percent 2 5 8 4 2" xfId="36874"/>
    <cellStyle name="Percent 2 5 8 5" xfId="36875"/>
    <cellStyle name="Percent 2 5 8 5 2" xfId="36876"/>
    <cellStyle name="Percent 2 5 8 6" xfId="36877"/>
    <cellStyle name="Percent 2 5 9" xfId="36878"/>
    <cellStyle name="Percent 2 5 9 2" xfId="36879"/>
    <cellStyle name="Percent 2 5 9 2 2" xfId="36880"/>
    <cellStyle name="Percent 2 5 9 3" xfId="36881"/>
    <cellStyle name="Percent 2 5 9 3 2" xfId="36882"/>
    <cellStyle name="Percent 2 5 9 4" xfId="36883"/>
    <cellStyle name="Percent 2 6" xfId="36884"/>
    <cellStyle name="Percent 2 6 10" xfId="36885"/>
    <cellStyle name="Percent 2 6 10 2" xfId="36886"/>
    <cellStyle name="Percent 2 6 11" xfId="36887"/>
    <cellStyle name="Percent 2 6 2" xfId="36888"/>
    <cellStyle name="Percent 2 6 2 2" xfId="36889"/>
    <cellStyle name="Percent 2 6 2 2 2" xfId="36890"/>
    <cellStyle name="Percent 2 6 2 2 2 2" xfId="36891"/>
    <cellStyle name="Percent 2 6 2 2 2 2 2" xfId="36892"/>
    <cellStyle name="Percent 2 6 2 2 2 2 3" xfId="36893"/>
    <cellStyle name="Percent 2 6 2 2 2 3" xfId="36894"/>
    <cellStyle name="Percent 2 6 2 2 2 3 2" xfId="36895"/>
    <cellStyle name="Percent 2 6 2 2 2 4" xfId="36896"/>
    <cellStyle name="Percent 2 6 2 2 2 4 2" xfId="36897"/>
    <cellStyle name="Percent 2 6 2 2 2 5" xfId="36898"/>
    <cellStyle name="Percent 2 6 2 2 3" xfId="36899"/>
    <cellStyle name="Percent 2 6 2 2 3 2" xfId="36900"/>
    <cellStyle name="Percent 2 6 2 2 3 2 2" xfId="36901"/>
    <cellStyle name="Percent 2 6 2 2 3 3" xfId="36902"/>
    <cellStyle name="Percent 2 6 2 2 3 3 2" xfId="36903"/>
    <cellStyle name="Percent 2 6 2 2 3 4" xfId="36904"/>
    <cellStyle name="Percent 2 6 2 2 4" xfId="36905"/>
    <cellStyle name="Percent 2 6 2 2 4 2" xfId="36906"/>
    <cellStyle name="Percent 2 6 2 2 4 3" xfId="36907"/>
    <cellStyle name="Percent 2 6 2 2 5" xfId="36908"/>
    <cellStyle name="Percent 2 6 2 2 5 2" xfId="36909"/>
    <cellStyle name="Percent 2 6 2 2 6" xfId="36910"/>
    <cellStyle name="Percent 2 6 2 2 6 2" xfId="36911"/>
    <cellStyle name="Percent 2 6 2 2 7" xfId="36912"/>
    <cellStyle name="Percent 2 6 2 3" xfId="36913"/>
    <cellStyle name="Percent 2 6 2 3 2" xfId="36914"/>
    <cellStyle name="Percent 2 6 2 3 2 2" xfId="36915"/>
    <cellStyle name="Percent 2 6 2 3 2 3" xfId="36916"/>
    <cellStyle name="Percent 2 6 2 3 3" xfId="36917"/>
    <cellStyle name="Percent 2 6 2 3 3 2" xfId="36918"/>
    <cellStyle name="Percent 2 6 2 3 4" xfId="36919"/>
    <cellStyle name="Percent 2 6 2 3 4 2" xfId="36920"/>
    <cellStyle name="Percent 2 6 2 3 5" xfId="36921"/>
    <cellStyle name="Percent 2 6 2 4" xfId="36922"/>
    <cellStyle name="Percent 2 6 2 4 2" xfId="36923"/>
    <cellStyle name="Percent 2 6 2 4 2 2" xfId="36924"/>
    <cellStyle name="Percent 2 6 2 4 3" xfId="36925"/>
    <cellStyle name="Percent 2 6 2 4 3 2" xfId="36926"/>
    <cellStyle name="Percent 2 6 2 4 4" xfId="36927"/>
    <cellStyle name="Percent 2 6 2 5" xfId="36928"/>
    <cellStyle name="Percent 2 6 2 5 2" xfId="36929"/>
    <cellStyle name="Percent 2 6 2 5 3" xfId="36930"/>
    <cellStyle name="Percent 2 6 2 6" xfId="36931"/>
    <cellStyle name="Percent 2 6 2 6 2" xfId="36932"/>
    <cellStyle name="Percent 2 6 2 7" xfId="36933"/>
    <cellStyle name="Percent 2 6 2 7 2" xfId="36934"/>
    <cellStyle name="Percent 2 6 2 8" xfId="36935"/>
    <cellStyle name="Percent 2 6 3" xfId="36936"/>
    <cellStyle name="Percent 2 6 3 2" xfId="36937"/>
    <cellStyle name="Percent 2 6 3 2 2" xfId="36938"/>
    <cellStyle name="Percent 2 6 3 2 2 2" xfId="36939"/>
    <cellStyle name="Percent 2 6 3 2 2 3" xfId="36940"/>
    <cellStyle name="Percent 2 6 3 2 3" xfId="36941"/>
    <cellStyle name="Percent 2 6 3 2 3 2" xfId="36942"/>
    <cellStyle name="Percent 2 6 3 2 4" xfId="36943"/>
    <cellStyle name="Percent 2 6 3 2 4 2" xfId="36944"/>
    <cellStyle name="Percent 2 6 3 2 5" xfId="36945"/>
    <cellStyle name="Percent 2 6 3 3" xfId="36946"/>
    <cellStyle name="Percent 2 6 3 3 2" xfId="36947"/>
    <cellStyle name="Percent 2 6 3 3 2 2" xfId="36948"/>
    <cellStyle name="Percent 2 6 3 3 3" xfId="36949"/>
    <cellStyle name="Percent 2 6 3 3 3 2" xfId="36950"/>
    <cellStyle name="Percent 2 6 3 3 4" xfId="36951"/>
    <cellStyle name="Percent 2 6 3 4" xfId="36952"/>
    <cellStyle name="Percent 2 6 3 4 2" xfId="36953"/>
    <cellStyle name="Percent 2 6 3 4 3" xfId="36954"/>
    <cellStyle name="Percent 2 6 3 5" xfId="36955"/>
    <cellStyle name="Percent 2 6 3 5 2" xfId="36956"/>
    <cellStyle name="Percent 2 6 3 6" xfId="36957"/>
    <cellStyle name="Percent 2 6 3 6 2" xfId="36958"/>
    <cellStyle name="Percent 2 6 3 7" xfId="36959"/>
    <cellStyle name="Percent 2 6 4" xfId="36960"/>
    <cellStyle name="Percent 2 6 4 2" xfId="36961"/>
    <cellStyle name="Percent 2 6 4 2 2" xfId="36962"/>
    <cellStyle name="Percent 2 6 4 2 2 2" xfId="36963"/>
    <cellStyle name="Percent 2 6 4 2 2 3" xfId="36964"/>
    <cellStyle name="Percent 2 6 4 2 3" xfId="36965"/>
    <cellStyle name="Percent 2 6 4 2 3 2" xfId="36966"/>
    <cellStyle name="Percent 2 6 4 2 4" xfId="36967"/>
    <cellStyle name="Percent 2 6 4 2 4 2" xfId="36968"/>
    <cellStyle name="Percent 2 6 4 2 5" xfId="36969"/>
    <cellStyle name="Percent 2 6 4 3" xfId="36970"/>
    <cellStyle name="Percent 2 6 4 3 2" xfId="36971"/>
    <cellStyle name="Percent 2 6 4 3 2 2" xfId="36972"/>
    <cellStyle name="Percent 2 6 4 3 3" xfId="36973"/>
    <cellStyle name="Percent 2 6 4 3 3 2" xfId="36974"/>
    <cellStyle name="Percent 2 6 4 3 4" xfId="36975"/>
    <cellStyle name="Percent 2 6 4 4" xfId="36976"/>
    <cellStyle name="Percent 2 6 4 4 2" xfId="36977"/>
    <cellStyle name="Percent 2 6 4 4 3" xfId="36978"/>
    <cellStyle name="Percent 2 6 4 5" xfId="36979"/>
    <cellStyle name="Percent 2 6 4 5 2" xfId="36980"/>
    <cellStyle name="Percent 2 6 4 6" xfId="36981"/>
    <cellStyle name="Percent 2 6 4 6 2" xfId="36982"/>
    <cellStyle name="Percent 2 6 4 7" xfId="36983"/>
    <cellStyle name="Percent 2 6 5" xfId="36984"/>
    <cellStyle name="Percent 2 6 5 2" xfId="36985"/>
    <cellStyle name="Percent 2 6 5 2 2" xfId="36986"/>
    <cellStyle name="Percent 2 6 5 2 2 2" xfId="36987"/>
    <cellStyle name="Percent 2 6 5 2 3" xfId="36988"/>
    <cellStyle name="Percent 2 6 5 2 3 2" xfId="36989"/>
    <cellStyle name="Percent 2 6 5 2 4" xfId="36990"/>
    <cellStyle name="Percent 2 6 5 3" xfId="36991"/>
    <cellStyle name="Percent 2 6 5 3 2" xfId="36992"/>
    <cellStyle name="Percent 2 6 5 3 3" xfId="36993"/>
    <cellStyle name="Percent 2 6 5 4" xfId="36994"/>
    <cellStyle name="Percent 2 6 5 4 2" xfId="36995"/>
    <cellStyle name="Percent 2 6 5 5" xfId="36996"/>
    <cellStyle name="Percent 2 6 5 5 2" xfId="36997"/>
    <cellStyle name="Percent 2 6 5 6" xfId="36998"/>
    <cellStyle name="Percent 2 6 6" xfId="36999"/>
    <cellStyle name="Percent 2 6 6 2" xfId="37000"/>
    <cellStyle name="Percent 2 6 6 2 2" xfId="37001"/>
    <cellStyle name="Percent 2 6 6 3" xfId="37002"/>
    <cellStyle name="Percent 2 6 6 3 2" xfId="37003"/>
    <cellStyle name="Percent 2 6 6 4" xfId="37004"/>
    <cellStyle name="Percent 2 6 7" xfId="37005"/>
    <cellStyle name="Percent 2 6 7 2" xfId="37006"/>
    <cellStyle name="Percent 2 6 7 2 2" xfId="37007"/>
    <cellStyle name="Percent 2 6 7 3" xfId="37008"/>
    <cellStyle name="Percent 2 6 7 3 2" xfId="37009"/>
    <cellStyle name="Percent 2 6 7 4" xfId="37010"/>
    <cellStyle name="Percent 2 6 8" xfId="37011"/>
    <cellStyle name="Percent 2 6 8 2" xfId="37012"/>
    <cellStyle name="Percent 2 6 8 3" xfId="37013"/>
    <cellStyle name="Percent 2 6 9" xfId="37014"/>
    <cellStyle name="Percent 2 6 9 2" xfId="37015"/>
    <cellStyle name="Percent 2 7" xfId="37016"/>
    <cellStyle name="Percent 2 7 10" xfId="37017"/>
    <cellStyle name="Percent 2 7 2" xfId="37018"/>
    <cellStyle name="Percent 2 7 2 2" xfId="37019"/>
    <cellStyle name="Percent 2 7 2 2 2" xfId="37020"/>
    <cellStyle name="Percent 2 7 2 2 2 2" xfId="37021"/>
    <cellStyle name="Percent 2 7 2 2 2 3" xfId="37022"/>
    <cellStyle name="Percent 2 7 2 2 3" xfId="37023"/>
    <cellStyle name="Percent 2 7 2 2 3 2" xfId="37024"/>
    <cellStyle name="Percent 2 7 2 2 4" xfId="37025"/>
    <cellStyle name="Percent 2 7 2 2 4 2" xfId="37026"/>
    <cellStyle name="Percent 2 7 2 2 5" xfId="37027"/>
    <cellStyle name="Percent 2 7 2 3" xfId="37028"/>
    <cellStyle name="Percent 2 7 2 3 2" xfId="37029"/>
    <cellStyle name="Percent 2 7 2 3 2 2" xfId="37030"/>
    <cellStyle name="Percent 2 7 2 3 3" xfId="37031"/>
    <cellStyle name="Percent 2 7 2 3 3 2" xfId="37032"/>
    <cellStyle name="Percent 2 7 2 3 4" xfId="37033"/>
    <cellStyle name="Percent 2 7 2 4" xfId="37034"/>
    <cellStyle name="Percent 2 7 2 4 2" xfId="37035"/>
    <cellStyle name="Percent 2 7 2 4 3" xfId="37036"/>
    <cellStyle name="Percent 2 7 2 5" xfId="37037"/>
    <cellStyle name="Percent 2 7 2 5 2" xfId="37038"/>
    <cellStyle name="Percent 2 7 2 6" xfId="37039"/>
    <cellStyle name="Percent 2 7 2 6 2" xfId="37040"/>
    <cellStyle name="Percent 2 7 2 7" xfId="37041"/>
    <cellStyle name="Percent 2 7 3" xfId="37042"/>
    <cellStyle name="Percent 2 7 3 2" xfId="37043"/>
    <cellStyle name="Percent 2 7 3 2 2" xfId="37044"/>
    <cellStyle name="Percent 2 7 3 2 2 2" xfId="37045"/>
    <cellStyle name="Percent 2 7 3 2 2 3" xfId="37046"/>
    <cellStyle name="Percent 2 7 3 2 3" xfId="37047"/>
    <cellStyle name="Percent 2 7 3 2 3 2" xfId="37048"/>
    <cellStyle name="Percent 2 7 3 2 4" xfId="37049"/>
    <cellStyle name="Percent 2 7 3 2 4 2" xfId="37050"/>
    <cellStyle name="Percent 2 7 3 2 5" xfId="37051"/>
    <cellStyle name="Percent 2 7 3 3" xfId="37052"/>
    <cellStyle name="Percent 2 7 3 3 2" xfId="37053"/>
    <cellStyle name="Percent 2 7 3 3 2 2" xfId="37054"/>
    <cellStyle name="Percent 2 7 3 3 3" xfId="37055"/>
    <cellStyle name="Percent 2 7 3 3 3 2" xfId="37056"/>
    <cellStyle name="Percent 2 7 3 3 4" xfId="37057"/>
    <cellStyle name="Percent 2 7 3 4" xfId="37058"/>
    <cellStyle name="Percent 2 7 3 4 2" xfId="37059"/>
    <cellStyle name="Percent 2 7 3 4 3" xfId="37060"/>
    <cellStyle name="Percent 2 7 3 5" xfId="37061"/>
    <cellStyle name="Percent 2 7 3 5 2" xfId="37062"/>
    <cellStyle name="Percent 2 7 3 6" xfId="37063"/>
    <cellStyle name="Percent 2 7 3 6 2" xfId="37064"/>
    <cellStyle name="Percent 2 7 3 7" xfId="37065"/>
    <cellStyle name="Percent 2 7 4" xfId="37066"/>
    <cellStyle name="Percent 2 7 4 2" xfId="37067"/>
    <cellStyle name="Percent 2 7 4 2 2" xfId="37068"/>
    <cellStyle name="Percent 2 7 4 2 2 2" xfId="37069"/>
    <cellStyle name="Percent 2 7 4 2 3" xfId="37070"/>
    <cellStyle name="Percent 2 7 4 2 3 2" xfId="37071"/>
    <cellStyle name="Percent 2 7 4 2 4" xfId="37072"/>
    <cellStyle name="Percent 2 7 4 3" xfId="37073"/>
    <cellStyle name="Percent 2 7 4 3 2" xfId="37074"/>
    <cellStyle name="Percent 2 7 4 3 3" xfId="37075"/>
    <cellStyle name="Percent 2 7 4 4" xfId="37076"/>
    <cellStyle name="Percent 2 7 4 4 2" xfId="37077"/>
    <cellStyle name="Percent 2 7 4 5" xfId="37078"/>
    <cellStyle name="Percent 2 7 4 5 2" xfId="37079"/>
    <cellStyle name="Percent 2 7 4 6" xfId="37080"/>
    <cellStyle name="Percent 2 7 5" xfId="37081"/>
    <cellStyle name="Percent 2 7 5 2" xfId="37082"/>
    <cellStyle name="Percent 2 7 5 2 2" xfId="37083"/>
    <cellStyle name="Percent 2 7 5 3" xfId="37084"/>
    <cellStyle name="Percent 2 7 5 3 2" xfId="37085"/>
    <cellStyle name="Percent 2 7 5 4" xfId="37086"/>
    <cellStyle name="Percent 2 7 6" xfId="37087"/>
    <cellStyle name="Percent 2 7 6 2" xfId="37088"/>
    <cellStyle name="Percent 2 7 6 2 2" xfId="37089"/>
    <cellStyle name="Percent 2 7 6 3" xfId="37090"/>
    <cellStyle name="Percent 2 7 6 3 2" xfId="37091"/>
    <cellStyle name="Percent 2 7 6 4" xfId="37092"/>
    <cellStyle name="Percent 2 7 7" xfId="37093"/>
    <cellStyle name="Percent 2 7 7 2" xfId="37094"/>
    <cellStyle name="Percent 2 7 7 3" xfId="37095"/>
    <cellStyle name="Percent 2 7 8" xfId="37096"/>
    <cellStyle name="Percent 2 7 8 2" xfId="37097"/>
    <cellStyle name="Percent 2 7 9" xfId="37098"/>
    <cellStyle name="Percent 2 7 9 2" xfId="37099"/>
    <cellStyle name="Percent 2 8" xfId="37100"/>
    <cellStyle name="Percent 2 8 2" xfId="37101"/>
    <cellStyle name="Percent 2 8 2 2" xfId="37102"/>
    <cellStyle name="Percent 2 8 2 2 2" xfId="37103"/>
    <cellStyle name="Percent 2 8 2 3" xfId="37104"/>
    <cellStyle name="Percent 2 8 2 3 2" xfId="37105"/>
    <cellStyle name="Percent 2 8 2 4" xfId="37106"/>
    <cellStyle name="Percent 2 8 3" xfId="37107"/>
    <cellStyle name="Percent 2 8 3 2" xfId="37108"/>
    <cellStyle name="Percent 2 8 3 3" xfId="37109"/>
    <cellStyle name="Percent 2 8 4" xfId="37110"/>
    <cellStyle name="Percent 2 8 4 2" xfId="37111"/>
    <cellStyle name="Percent 2 8 5" xfId="37112"/>
    <cellStyle name="Percent 2 8 5 2" xfId="37113"/>
    <cellStyle name="Percent 2 8 6" xfId="37114"/>
    <cellStyle name="Percent 2 9" xfId="37115"/>
    <cellStyle name="Percent 2 9 2" xfId="37116"/>
    <cellStyle name="Percent 2 9 2 2" xfId="37117"/>
    <cellStyle name="Percent 2 9 3" xfId="37118"/>
    <cellStyle name="Percent 2 9 3 2" xfId="37119"/>
    <cellStyle name="Percent 2 9 4" xfId="37120"/>
    <cellStyle name="Percent 20" xfId="37121"/>
    <cellStyle name="Percent 21" xfId="37122"/>
    <cellStyle name="Percent 22" xfId="37123"/>
    <cellStyle name="Percent 23" xfId="37124"/>
    <cellStyle name="Percent 24" xfId="37125"/>
    <cellStyle name="Percent 25" xfId="37126"/>
    <cellStyle name="Percent 26" xfId="37127"/>
    <cellStyle name="Percent 27" xfId="37128"/>
    <cellStyle name="Percent 28" xfId="37129"/>
    <cellStyle name="Percent 29" xfId="37130"/>
    <cellStyle name="Percent 3" xfId="37131"/>
    <cellStyle name="Percent 3 2" xfId="37132"/>
    <cellStyle name="Percent 3 2 2" xfId="37133"/>
    <cellStyle name="Percent 3 3" xfId="37134"/>
    <cellStyle name="Percent 30" xfId="37135"/>
    <cellStyle name="Percent 31" xfId="37136"/>
    <cellStyle name="Percent 32" xfId="37137"/>
    <cellStyle name="Percent 33" xfId="37138"/>
    <cellStyle name="Percent 34" xfId="37139"/>
    <cellStyle name="Percent 35" xfId="37140"/>
    <cellStyle name="Percent 36" xfId="37141"/>
    <cellStyle name="Percent 37" xfId="37142"/>
    <cellStyle name="Percent 38" xfId="37143"/>
    <cellStyle name="Percent 39" xfId="37144"/>
    <cellStyle name="Percent 4" xfId="37145"/>
    <cellStyle name="Percent 4 2" xfId="37146"/>
    <cellStyle name="Percent 4 2 2" xfId="37147"/>
    <cellStyle name="Percent 4 2 2 2" xfId="37148"/>
    <cellStyle name="Percent 4 2 2 2 2" xfId="37149"/>
    <cellStyle name="Percent 4 2 2 3" xfId="37150"/>
    <cellStyle name="Percent 4 2 2 4" xfId="37151"/>
    <cellStyle name="Percent 4 2 3" xfId="37152"/>
    <cellStyle name="Percent 4 2 3 2" xfId="37153"/>
    <cellStyle name="Percent 4 2 4" xfId="37154"/>
    <cellStyle name="Percent 4 2 5" xfId="37155"/>
    <cellStyle name="Percent 4 2 6" xfId="37156"/>
    <cellStyle name="Percent 4 3" xfId="37157"/>
    <cellStyle name="Percent 4 3 2" xfId="37158"/>
    <cellStyle name="Percent 4 3 2 2" xfId="37159"/>
    <cellStyle name="Percent 4 3 3" xfId="37160"/>
    <cellStyle name="Percent 4 3 4" xfId="37161"/>
    <cellStyle name="Percent 4 3 5" xfId="37162"/>
    <cellStyle name="Percent 4 4" xfId="37163"/>
    <cellStyle name="Percent 4 4 2" xfId="37164"/>
    <cellStyle name="Percent 4 4 2 2" xfId="37165"/>
    <cellStyle name="Percent 4 4 3" xfId="37166"/>
    <cellStyle name="Percent 4 4 4" xfId="37167"/>
    <cellStyle name="Percent 4 4 5" xfId="37168"/>
    <cellStyle name="Percent 4 5" xfId="37169"/>
    <cellStyle name="Percent 4 5 2" xfId="37170"/>
    <cellStyle name="Percent 4 5 2 2" xfId="37171"/>
    <cellStyle name="Percent 4 5 3" xfId="37172"/>
    <cellStyle name="Percent 4 5 4" xfId="37173"/>
    <cellStyle name="Percent 4 6" xfId="37174"/>
    <cellStyle name="Percent 4 6 2" xfId="37175"/>
    <cellStyle name="Percent 4 7" xfId="37176"/>
    <cellStyle name="Percent 4 8" xfId="37177"/>
    <cellStyle name="Percent 4 9" xfId="37178"/>
    <cellStyle name="Percent 40" xfId="37179"/>
    <cellStyle name="Percent 41" xfId="37180"/>
    <cellStyle name="Percent 42" xfId="37181"/>
    <cellStyle name="Percent 43" xfId="37182"/>
    <cellStyle name="Percent 44" xfId="37183"/>
    <cellStyle name="Percent 45" xfId="37184"/>
    <cellStyle name="Percent 46" xfId="37185"/>
    <cellStyle name="Percent 47" xfId="37186"/>
    <cellStyle name="Percent 48" xfId="37187"/>
    <cellStyle name="Percent 49" xfId="37188"/>
    <cellStyle name="Percent 5" xfId="37189"/>
    <cellStyle name="Percent 5 10" xfId="37190"/>
    <cellStyle name="Percent 5 10 2" xfId="37191"/>
    <cellStyle name="Percent 5 11" xfId="37192"/>
    <cellStyle name="Percent 5 12" xfId="37193"/>
    <cellStyle name="Percent 5 2" xfId="37194"/>
    <cellStyle name="Percent 5 2 2" xfId="37195"/>
    <cellStyle name="Percent 5 2 2 2" xfId="37196"/>
    <cellStyle name="Percent 5 2 2 2 2" xfId="37197"/>
    <cellStyle name="Percent 5 2 2 2 2 2" xfId="37198"/>
    <cellStyle name="Percent 5 2 2 2 2 3" xfId="37199"/>
    <cellStyle name="Percent 5 2 2 2 3" xfId="37200"/>
    <cellStyle name="Percent 5 2 2 2 3 2" xfId="37201"/>
    <cellStyle name="Percent 5 2 2 2 4" xfId="37202"/>
    <cellStyle name="Percent 5 2 2 2 4 2" xfId="37203"/>
    <cellStyle name="Percent 5 2 2 2 5" xfId="37204"/>
    <cellStyle name="Percent 5 2 2 3" xfId="37205"/>
    <cellStyle name="Percent 5 2 2 3 2" xfId="37206"/>
    <cellStyle name="Percent 5 2 2 3 2 2" xfId="37207"/>
    <cellStyle name="Percent 5 2 2 3 3" xfId="37208"/>
    <cellStyle name="Percent 5 2 2 3 3 2" xfId="37209"/>
    <cellStyle name="Percent 5 2 2 3 4" xfId="37210"/>
    <cellStyle name="Percent 5 2 2 4" xfId="37211"/>
    <cellStyle name="Percent 5 2 2 4 2" xfId="37212"/>
    <cellStyle name="Percent 5 2 2 4 3" xfId="37213"/>
    <cellStyle name="Percent 5 2 2 5" xfId="37214"/>
    <cellStyle name="Percent 5 2 2 5 2" xfId="37215"/>
    <cellStyle name="Percent 5 2 2 6" xfId="37216"/>
    <cellStyle name="Percent 5 2 2 6 2" xfId="37217"/>
    <cellStyle name="Percent 5 2 2 7" xfId="37218"/>
    <cellStyle name="Percent 5 2 3" xfId="37219"/>
    <cellStyle name="Percent 5 2 3 2" xfId="37220"/>
    <cellStyle name="Percent 5 2 3 2 2" xfId="37221"/>
    <cellStyle name="Percent 5 2 3 2 3" xfId="37222"/>
    <cellStyle name="Percent 5 2 3 3" xfId="37223"/>
    <cellStyle name="Percent 5 2 3 3 2" xfId="37224"/>
    <cellStyle name="Percent 5 2 3 4" xfId="37225"/>
    <cellStyle name="Percent 5 2 3 4 2" xfId="37226"/>
    <cellStyle name="Percent 5 2 3 5" xfId="37227"/>
    <cellStyle name="Percent 5 2 4" xfId="37228"/>
    <cellStyle name="Percent 5 2 4 2" xfId="37229"/>
    <cellStyle name="Percent 5 2 4 2 2" xfId="37230"/>
    <cellStyle name="Percent 5 2 4 3" xfId="37231"/>
    <cellStyle name="Percent 5 2 4 3 2" xfId="37232"/>
    <cellStyle name="Percent 5 2 4 4" xfId="37233"/>
    <cellStyle name="Percent 5 2 5" xfId="37234"/>
    <cellStyle name="Percent 5 2 5 2" xfId="37235"/>
    <cellStyle name="Percent 5 2 5 3" xfId="37236"/>
    <cellStyle name="Percent 5 2 6" xfId="37237"/>
    <cellStyle name="Percent 5 2 6 2" xfId="37238"/>
    <cellStyle name="Percent 5 2 7" xfId="37239"/>
    <cellStyle name="Percent 5 2 7 2" xfId="37240"/>
    <cellStyle name="Percent 5 2 8" xfId="37241"/>
    <cellStyle name="Percent 5 2 9" xfId="37242"/>
    <cellStyle name="Percent 5 3" xfId="37243"/>
    <cellStyle name="Percent 5 3 2" xfId="37244"/>
    <cellStyle name="Percent 5 3 2 2" xfId="37245"/>
    <cellStyle name="Percent 5 3 2 2 2" xfId="37246"/>
    <cellStyle name="Percent 5 3 2 2 3" xfId="37247"/>
    <cellStyle name="Percent 5 3 2 3" xfId="37248"/>
    <cellStyle name="Percent 5 3 2 3 2" xfId="37249"/>
    <cellStyle name="Percent 5 3 2 4" xfId="37250"/>
    <cellStyle name="Percent 5 3 2 4 2" xfId="37251"/>
    <cellStyle name="Percent 5 3 2 5" xfId="37252"/>
    <cellStyle name="Percent 5 3 3" xfId="37253"/>
    <cellStyle name="Percent 5 3 3 2" xfId="37254"/>
    <cellStyle name="Percent 5 3 3 2 2" xfId="37255"/>
    <cellStyle name="Percent 5 3 3 3" xfId="37256"/>
    <cellStyle name="Percent 5 3 3 3 2" xfId="37257"/>
    <cellStyle name="Percent 5 3 3 4" xfId="37258"/>
    <cellStyle name="Percent 5 3 4" xfId="37259"/>
    <cellStyle name="Percent 5 3 4 2" xfId="37260"/>
    <cellStyle name="Percent 5 3 4 3" xfId="37261"/>
    <cellStyle name="Percent 5 3 5" xfId="37262"/>
    <cellStyle name="Percent 5 3 5 2" xfId="37263"/>
    <cellStyle name="Percent 5 3 6" xfId="37264"/>
    <cellStyle name="Percent 5 3 6 2" xfId="37265"/>
    <cellStyle name="Percent 5 3 7" xfId="37266"/>
    <cellStyle name="Percent 5 4" xfId="37267"/>
    <cellStyle name="Percent 5 4 2" xfId="37268"/>
    <cellStyle name="Percent 5 4 2 2" xfId="37269"/>
    <cellStyle name="Percent 5 4 2 2 2" xfId="37270"/>
    <cellStyle name="Percent 5 4 2 2 3" xfId="37271"/>
    <cellStyle name="Percent 5 4 2 3" xfId="37272"/>
    <cellStyle name="Percent 5 4 2 3 2" xfId="37273"/>
    <cellStyle name="Percent 5 4 2 4" xfId="37274"/>
    <cellStyle name="Percent 5 4 2 4 2" xfId="37275"/>
    <cellStyle name="Percent 5 4 2 5" xfId="37276"/>
    <cellStyle name="Percent 5 4 3" xfId="37277"/>
    <cellStyle name="Percent 5 4 3 2" xfId="37278"/>
    <cellStyle name="Percent 5 4 3 2 2" xfId="37279"/>
    <cellStyle name="Percent 5 4 3 3" xfId="37280"/>
    <cellStyle name="Percent 5 4 3 3 2" xfId="37281"/>
    <cellStyle name="Percent 5 4 3 4" xfId="37282"/>
    <cellStyle name="Percent 5 4 4" xfId="37283"/>
    <cellStyle name="Percent 5 4 4 2" xfId="37284"/>
    <cellStyle name="Percent 5 4 4 3" xfId="37285"/>
    <cellStyle name="Percent 5 4 5" xfId="37286"/>
    <cellStyle name="Percent 5 4 5 2" xfId="37287"/>
    <cellStyle name="Percent 5 4 6" xfId="37288"/>
    <cellStyle name="Percent 5 4 6 2" xfId="37289"/>
    <cellStyle name="Percent 5 4 7" xfId="37290"/>
    <cellStyle name="Percent 5 5" xfId="37291"/>
    <cellStyle name="Percent 5 5 2" xfId="37292"/>
    <cellStyle name="Percent 5 5 2 2" xfId="37293"/>
    <cellStyle name="Percent 5 5 2 2 2" xfId="37294"/>
    <cellStyle name="Percent 5 5 2 3" xfId="37295"/>
    <cellStyle name="Percent 5 5 2 3 2" xfId="37296"/>
    <cellStyle name="Percent 5 5 2 4" xfId="37297"/>
    <cellStyle name="Percent 5 5 3" xfId="37298"/>
    <cellStyle name="Percent 5 5 3 2" xfId="37299"/>
    <cellStyle name="Percent 5 5 3 3" xfId="37300"/>
    <cellStyle name="Percent 5 5 4" xfId="37301"/>
    <cellStyle name="Percent 5 5 4 2" xfId="37302"/>
    <cellStyle name="Percent 5 5 5" xfId="37303"/>
    <cellStyle name="Percent 5 5 5 2" xfId="37304"/>
    <cellStyle name="Percent 5 5 6" xfId="37305"/>
    <cellStyle name="Percent 5 6" xfId="37306"/>
    <cellStyle name="Percent 5 6 2" xfId="37307"/>
    <cellStyle name="Percent 5 6 2 2" xfId="37308"/>
    <cellStyle name="Percent 5 6 3" xfId="37309"/>
    <cellStyle name="Percent 5 6 3 2" xfId="37310"/>
    <cellStyle name="Percent 5 6 4" xfId="37311"/>
    <cellStyle name="Percent 5 7" xfId="37312"/>
    <cellStyle name="Percent 5 7 2" xfId="37313"/>
    <cellStyle name="Percent 5 7 2 2" xfId="37314"/>
    <cellStyle name="Percent 5 7 3" xfId="37315"/>
    <cellStyle name="Percent 5 7 3 2" xfId="37316"/>
    <cellStyle name="Percent 5 7 4" xfId="37317"/>
    <cellStyle name="Percent 5 8" xfId="37318"/>
    <cellStyle name="Percent 5 8 2" xfId="37319"/>
    <cellStyle name="Percent 5 8 3" xfId="37320"/>
    <cellStyle name="Percent 5 9" xfId="37321"/>
    <cellStyle name="Percent 5 9 2" xfId="37322"/>
    <cellStyle name="Percent 50" xfId="37323"/>
    <cellStyle name="Percent 51" xfId="37324"/>
    <cellStyle name="Percent 52" xfId="43937"/>
    <cellStyle name="Percent 6" xfId="37325"/>
    <cellStyle name="Percent 6 2" xfId="37326"/>
    <cellStyle name="Percent 6 3" xfId="37327"/>
    <cellStyle name="Percent 7" xfId="37328"/>
    <cellStyle name="Percent 7 10" xfId="37329"/>
    <cellStyle name="Percent 7 10 2" xfId="37330"/>
    <cellStyle name="Percent 7 10 2 2" xfId="37331"/>
    <cellStyle name="Percent 7 10 2 2 2" xfId="37332"/>
    <cellStyle name="Percent 7 10 2 2 2 2" xfId="37333"/>
    <cellStyle name="Percent 7 10 2 2 3" xfId="37334"/>
    <cellStyle name="Percent 7 10 2 3" xfId="37335"/>
    <cellStyle name="Percent 7 10 2 3 2" xfId="37336"/>
    <cellStyle name="Percent 7 10 2 4" xfId="37337"/>
    <cellStyle name="Percent 7 10 3" xfId="37338"/>
    <cellStyle name="Percent 7 10 3 2" xfId="37339"/>
    <cellStyle name="Percent 7 10 3 2 2" xfId="37340"/>
    <cellStyle name="Percent 7 10 3 3" xfId="37341"/>
    <cellStyle name="Percent 7 10 3 4" xfId="37342"/>
    <cellStyle name="Percent 7 10 4" xfId="37343"/>
    <cellStyle name="Percent 7 10 4 2" xfId="37344"/>
    <cellStyle name="Percent 7 10 4 2 2" xfId="37345"/>
    <cellStyle name="Percent 7 10 4 3" xfId="37346"/>
    <cellStyle name="Percent 7 10 4 4" xfId="37347"/>
    <cellStyle name="Percent 7 10 5" xfId="37348"/>
    <cellStyle name="Percent 7 10 5 2" xfId="37349"/>
    <cellStyle name="Percent 7 10 6" xfId="37350"/>
    <cellStyle name="Percent 7 10 7" xfId="37351"/>
    <cellStyle name="Percent 7 10 8" xfId="37352"/>
    <cellStyle name="Percent 7 11" xfId="37353"/>
    <cellStyle name="Percent 7 11 2" xfId="37354"/>
    <cellStyle name="Percent 7 11 2 2" xfId="37355"/>
    <cellStyle name="Percent 7 11 2 2 2" xfId="37356"/>
    <cellStyle name="Percent 7 11 2 3" xfId="37357"/>
    <cellStyle name="Percent 7 11 2 4" xfId="37358"/>
    <cellStyle name="Percent 7 11 3" xfId="37359"/>
    <cellStyle name="Percent 7 11 3 2" xfId="37360"/>
    <cellStyle name="Percent 7 11 3 3" xfId="37361"/>
    <cellStyle name="Percent 7 11 4" xfId="37362"/>
    <cellStyle name="Percent 7 11 5" xfId="37363"/>
    <cellStyle name="Percent 7 11 6" xfId="37364"/>
    <cellStyle name="Percent 7 11 7" xfId="37365"/>
    <cellStyle name="Percent 7 12" xfId="37366"/>
    <cellStyle name="Percent 7 12 2" xfId="37367"/>
    <cellStyle name="Percent 7 12 2 2" xfId="37368"/>
    <cellStyle name="Percent 7 12 3" xfId="37369"/>
    <cellStyle name="Percent 7 12 4" xfId="37370"/>
    <cellStyle name="Percent 7 13" xfId="37371"/>
    <cellStyle name="Percent 7 13 2" xfId="37372"/>
    <cellStyle name="Percent 7 13 2 2" xfId="37373"/>
    <cellStyle name="Percent 7 13 3" xfId="37374"/>
    <cellStyle name="Percent 7 13 4" xfId="37375"/>
    <cellStyle name="Percent 7 14" xfId="37376"/>
    <cellStyle name="Percent 7 14 2" xfId="37377"/>
    <cellStyle name="Percent 7 14 3" xfId="37378"/>
    <cellStyle name="Percent 7 15" xfId="37379"/>
    <cellStyle name="Percent 7 16" xfId="37380"/>
    <cellStyle name="Percent 7 17" xfId="37381"/>
    <cellStyle name="Percent 7 18" xfId="37382"/>
    <cellStyle name="Percent 7 19" xfId="37383"/>
    <cellStyle name="Percent 7 2" xfId="37384"/>
    <cellStyle name="Percent 7 2 10" xfId="37385"/>
    <cellStyle name="Percent 7 2 10 2" xfId="37386"/>
    <cellStyle name="Percent 7 2 10 2 2" xfId="37387"/>
    <cellStyle name="Percent 7 2 10 2 2 2" xfId="37388"/>
    <cellStyle name="Percent 7 2 10 2 3" xfId="37389"/>
    <cellStyle name="Percent 7 2 10 3" xfId="37390"/>
    <cellStyle name="Percent 7 2 10 3 2" xfId="37391"/>
    <cellStyle name="Percent 7 2 10 4" xfId="37392"/>
    <cellStyle name="Percent 7 2 11" xfId="37393"/>
    <cellStyle name="Percent 7 2 11 2" xfId="37394"/>
    <cellStyle name="Percent 7 2 11 2 2" xfId="37395"/>
    <cellStyle name="Percent 7 2 11 3" xfId="37396"/>
    <cellStyle name="Percent 7 2 11 4" xfId="37397"/>
    <cellStyle name="Percent 7 2 12" xfId="37398"/>
    <cellStyle name="Percent 7 2 12 2" xfId="37399"/>
    <cellStyle name="Percent 7 2 12 2 2" xfId="37400"/>
    <cellStyle name="Percent 7 2 12 3" xfId="37401"/>
    <cellStyle name="Percent 7 2 13" xfId="37402"/>
    <cellStyle name="Percent 7 2 13 2" xfId="37403"/>
    <cellStyle name="Percent 7 2 14" xfId="37404"/>
    <cellStyle name="Percent 7 2 15" xfId="37405"/>
    <cellStyle name="Percent 7 2 2" xfId="37406"/>
    <cellStyle name="Percent 7 2 2 10" xfId="37407"/>
    <cellStyle name="Percent 7 2 2 10 2" xfId="37408"/>
    <cellStyle name="Percent 7 2 2 10 2 2" xfId="37409"/>
    <cellStyle name="Percent 7 2 2 10 3" xfId="37410"/>
    <cellStyle name="Percent 7 2 2 11" xfId="37411"/>
    <cellStyle name="Percent 7 2 2 11 2" xfId="37412"/>
    <cellStyle name="Percent 7 2 2 11 2 2" xfId="37413"/>
    <cellStyle name="Percent 7 2 2 11 3" xfId="37414"/>
    <cellStyle name="Percent 7 2 2 12" xfId="37415"/>
    <cellStyle name="Percent 7 2 2 12 2" xfId="37416"/>
    <cellStyle name="Percent 7 2 2 13" xfId="37417"/>
    <cellStyle name="Percent 7 2 2 2" xfId="37418"/>
    <cellStyle name="Percent 7 2 2 2 10" xfId="37419"/>
    <cellStyle name="Percent 7 2 2 2 10 2" xfId="37420"/>
    <cellStyle name="Percent 7 2 2 2 10 3" xfId="37421"/>
    <cellStyle name="Percent 7 2 2 2 11" xfId="37422"/>
    <cellStyle name="Percent 7 2 2 2 11 2" xfId="37423"/>
    <cellStyle name="Percent 7 2 2 2 12" xfId="37424"/>
    <cellStyle name="Percent 7 2 2 2 2" xfId="37425"/>
    <cellStyle name="Percent 7 2 2 2 2 10" xfId="37426"/>
    <cellStyle name="Percent 7 2 2 2 2 10 2" xfId="37427"/>
    <cellStyle name="Percent 7 2 2 2 2 11" xfId="37428"/>
    <cellStyle name="Percent 7 2 2 2 2 2" xfId="37429"/>
    <cellStyle name="Percent 7 2 2 2 2 2 2" xfId="37430"/>
    <cellStyle name="Percent 7 2 2 2 2 2 2 2" xfId="37431"/>
    <cellStyle name="Percent 7 2 2 2 2 2 2 2 2" xfId="37432"/>
    <cellStyle name="Percent 7 2 2 2 2 2 2 2 2 2" xfId="37433"/>
    <cellStyle name="Percent 7 2 2 2 2 2 2 2 2 2 2" xfId="37434"/>
    <cellStyle name="Percent 7 2 2 2 2 2 2 2 2 2 3" xfId="37435"/>
    <cellStyle name="Percent 7 2 2 2 2 2 2 2 2 3" xfId="37436"/>
    <cellStyle name="Percent 7 2 2 2 2 2 2 2 2 4" xfId="37437"/>
    <cellStyle name="Percent 7 2 2 2 2 2 2 2 3" xfId="37438"/>
    <cellStyle name="Percent 7 2 2 2 2 2 2 2 3 2" xfId="37439"/>
    <cellStyle name="Percent 7 2 2 2 2 2 2 2 3 3" xfId="37440"/>
    <cellStyle name="Percent 7 2 2 2 2 2 2 2 4" xfId="37441"/>
    <cellStyle name="Percent 7 2 2 2 2 2 2 2 4 2" xfId="37442"/>
    <cellStyle name="Percent 7 2 2 2 2 2 2 2 4 3" xfId="37443"/>
    <cellStyle name="Percent 7 2 2 2 2 2 2 2 5" xfId="37444"/>
    <cellStyle name="Percent 7 2 2 2 2 2 2 2 6" xfId="37445"/>
    <cellStyle name="Percent 7 2 2 2 2 2 2 3" xfId="37446"/>
    <cellStyle name="Percent 7 2 2 2 2 2 2 3 2" xfId="37447"/>
    <cellStyle name="Percent 7 2 2 2 2 2 2 3 2 2" xfId="37448"/>
    <cellStyle name="Percent 7 2 2 2 2 2 2 3 2 3" xfId="37449"/>
    <cellStyle name="Percent 7 2 2 2 2 2 2 3 3" xfId="37450"/>
    <cellStyle name="Percent 7 2 2 2 2 2 2 3 4" xfId="37451"/>
    <cellStyle name="Percent 7 2 2 2 2 2 2 4" xfId="37452"/>
    <cellStyle name="Percent 7 2 2 2 2 2 2 4 2" xfId="37453"/>
    <cellStyle name="Percent 7 2 2 2 2 2 2 4 3" xfId="37454"/>
    <cellStyle name="Percent 7 2 2 2 2 2 2 5" xfId="37455"/>
    <cellStyle name="Percent 7 2 2 2 2 2 2 5 2" xfId="37456"/>
    <cellStyle name="Percent 7 2 2 2 2 2 2 5 3" xfId="37457"/>
    <cellStyle name="Percent 7 2 2 2 2 2 2 6" xfId="37458"/>
    <cellStyle name="Percent 7 2 2 2 2 2 2 7" xfId="37459"/>
    <cellStyle name="Percent 7 2 2 2 2 2 3" xfId="37460"/>
    <cellStyle name="Percent 7 2 2 2 2 2 3 2" xfId="37461"/>
    <cellStyle name="Percent 7 2 2 2 2 2 3 2 2" xfId="37462"/>
    <cellStyle name="Percent 7 2 2 2 2 2 3 2 2 2" xfId="37463"/>
    <cellStyle name="Percent 7 2 2 2 2 2 3 2 2 3" xfId="37464"/>
    <cellStyle name="Percent 7 2 2 2 2 2 3 2 3" xfId="37465"/>
    <cellStyle name="Percent 7 2 2 2 2 2 3 2 4" xfId="37466"/>
    <cellStyle name="Percent 7 2 2 2 2 2 3 3" xfId="37467"/>
    <cellStyle name="Percent 7 2 2 2 2 2 3 3 2" xfId="37468"/>
    <cellStyle name="Percent 7 2 2 2 2 2 3 3 3" xfId="37469"/>
    <cellStyle name="Percent 7 2 2 2 2 2 3 4" xfId="37470"/>
    <cellStyle name="Percent 7 2 2 2 2 2 3 4 2" xfId="37471"/>
    <cellStyle name="Percent 7 2 2 2 2 2 3 4 3" xfId="37472"/>
    <cellStyle name="Percent 7 2 2 2 2 2 3 5" xfId="37473"/>
    <cellStyle name="Percent 7 2 2 2 2 2 3 6" xfId="37474"/>
    <cellStyle name="Percent 7 2 2 2 2 2 4" xfId="37475"/>
    <cellStyle name="Percent 7 2 2 2 2 2 4 2" xfId="37476"/>
    <cellStyle name="Percent 7 2 2 2 2 2 4 2 2" xfId="37477"/>
    <cellStyle name="Percent 7 2 2 2 2 2 4 2 3" xfId="37478"/>
    <cellStyle name="Percent 7 2 2 2 2 2 4 3" xfId="37479"/>
    <cellStyle name="Percent 7 2 2 2 2 2 4 4" xfId="37480"/>
    <cellStyle name="Percent 7 2 2 2 2 2 5" xfId="37481"/>
    <cellStyle name="Percent 7 2 2 2 2 2 5 2" xfId="37482"/>
    <cellStyle name="Percent 7 2 2 2 2 2 5 3" xfId="37483"/>
    <cellStyle name="Percent 7 2 2 2 2 2 6" xfId="37484"/>
    <cellStyle name="Percent 7 2 2 2 2 2 6 2" xfId="37485"/>
    <cellStyle name="Percent 7 2 2 2 2 2 6 3" xfId="37486"/>
    <cellStyle name="Percent 7 2 2 2 2 2 7" xfId="37487"/>
    <cellStyle name="Percent 7 2 2 2 2 2 7 2" xfId="37488"/>
    <cellStyle name="Percent 7 2 2 2 2 2 8" xfId="37489"/>
    <cellStyle name="Percent 7 2 2 2 2 3" xfId="37490"/>
    <cellStyle name="Percent 7 2 2 2 2 3 2" xfId="37491"/>
    <cellStyle name="Percent 7 2 2 2 2 3 2 2" xfId="37492"/>
    <cellStyle name="Percent 7 2 2 2 2 3 2 2 2" xfId="37493"/>
    <cellStyle name="Percent 7 2 2 2 2 3 2 2 2 2" xfId="37494"/>
    <cellStyle name="Percent 7 2 2 2 2 3 2 2 2 2 2" xfId="37495"/>
    <cellStyle name="Percent 7 2 2 2 2 3 2 2 2 2 3" xfId="37496"/>
    <cellStyle name="Percent 7 2 2 2 2 3 2 2 2 3" xfId="37497"/>
    <cellStyle name="Percent 7 2 2 2 2 3 2 2 2 4" xfId="37498"/>
    <cellStyle name="Percent 7 2 2 2 2 3 2 2 3" xfId="37499"/>
    <cellStyle name="Percent 7 2 2 2 2 3 2 2 3 2" xfId="37500"/>
    <cellStyle name="Percent 7 2 2 2 2 3 2 2 3 3" xfId="37501"/>
    <cellStyle name="Percent 7 2 2 2 2 3 2 2 4" xfId="37502"/>
    <cellStyle name="Percent 7 2 2 2 2 3 2 2 4 2" xfId="37503"/>
    <cellStyle name="Percent 7 2 2 2 2 3 2 2 4 3" xfId="37504"/>
    <cellStyle name="Percent 7 2 2 2 2 3 2 2 5" xfId="37505"/>
    <cellStyle name="Percent 7 2 2 2 2 3 2 2 6" xfId="37506"/>
    <cellStyle name="Percent 7 2 2 2 2 3 2 3" xfId="37507"/>
    <cellStyle name="Percent 7 2 2 2 2 3 2 3 2" xfId="37508"/>
    <cellStyle name="Percent 7 2 2 2 2 3 2 3 2 2" xfId="37509"/>
    <cellStyle name="Percent 7 2 2 2 2 3 2 3 2 3" xfId="37510"/>
    <cellStyle name="Percent 7 2 2 2 2 3 2 3 3" xfId="37511"/>
    <cellStyle name="Percent 7 2 2 2 2 3 2 3 4" xfId="37512"/>
    <cellStyle name="Percent 7 2 2 2 2 3 2 4" xfId="37513"/>
    <cellStyle name="Percent 7 2 2 2 2 3 2 4 2" xfId="37514"/>
    <cellStyle name="Percent 7 2 2 2 2 3 2 4 3" xfId="37515"/>
    <cellStyle name="Percent 7 2 2 2 2 3 2 5" xfId="37516"/>
    <cellStyle name="Percent 7 2 2 2 2 3 2 5 2" xfId="37517"/>
    <cellStyle name="Percent 7 2 2 2 2 3 2 5 3" xfId="37518"/>
    <cellStyle name="Percent 7 2 2 2 2 3 2 6" xfId="37519"/>
    <cellStyle name="Percent 7 2 2 2 2 3 2 7" xfId="37520"/>
    <cellStyle name="Percent 7 2 2 2 2 3 3" xfId="37521"/>
    <cellStyle name="Percent 7 2 2 2 2 3 3 2" xfId="37522"/>
    <cellStyle name="Percent 7 2 2 2 2 3 3 2 2" xfId="37523"/>
    <cellStyle name="Percent 7 2 2 2 2 3 3 2 2 2" xfId="37524"/>
    <cellStyle name="Percent 7 2 2 2 2 3 3 2 2 3" xfId="37525"/>
    <cellStyle name="Percent 7 2 2 2 2 3 3 2 3" xfId="37526"/>
    <cellStyle name="Percent 7 2 2 2 2 3 3 2 4" xfId="37527"/>
    <cellStyle name="Percent 7 2 2 2 2 3 3 3" xfId="37528"/>
    <cellStyle name="Percent 7 2 2 2 2 3 3 3 2" xfId="37529"/>
    <cellStyle name="Percent 7 2 2 2 2 3 3 3 3" xfId="37530"/>
    <cellStyle name="Percent 7 2 2 2 2 3 3 4" xfId="37531"/>
    <cellStyle name="Percent 7 2 2 2 2 3 3 4 2" xfId="37532"/>
    <cellStyle name="Percent 7 2 2 2 2 3 3 4 3" xfId="37533"/>
    <cellStyle name="Percent 7 2 2 2 2 3 3 5" xfId="37534"/>
    <cellStyle name="Percent 7 2 2 2 2 3 3 6" xfId="37535"/>
    <cellStyle name="Percent 7 2 2 2 2 3 4" xfId="37536"/>
    <cellStyle name="Percent 7 2 2 2 2 3 4 2" xfId="37537"/>
    <cellStyle name="Percent 7 2 2 2 2 3 4 2 2" xfId="37538"/>
    <cellStyle name="Percent 7 2 2 2 2 3 4 2 3" xfId="37539"/>
    <cellStyle name="Percent 7 2 2 2 2 3 4 3" xfId="37540"/>
    <cellStyle name="Percent 7 2 2 2 2 3 4 4" xfId="37541"/>
    <cellStyle name="Percent 7 2 2 2 2 3 5" xfId="37542"/>
    <cellStyle name="Percent 7 2 2 2 2 3 5 2" xfId="37543"/>
    <cellStyle name="Percent 7 2 2 2 2 3 5 3" xfId="37544"/>
    <cellStyle name="Percent 7 2 2 2 2 3 6" xfId="37545"/>
    <cellStyle name="Percent 7 2 2 2 2 3 6 2" xfId="37546"/>
    <cellStyle name="Percent 7 2 2 2 2 3 6 3" xfId="37547"/>
    <cellStyle name="Percent 7 2 2 2 2 3 7" xfId="37548"/>
    <cellStyle name="Percent 7 2 2 2 2 3 8" xfId="37549"/>
    <cellStyle name="Percent 7 2 2 2 2 4" xfId="37550"/>
    <cellStyle name="Percent 7 2 2 2 2 4 2" xfId="37551"/>
    <cellStyle name="Percent 7 2 2 2 2 4 2 2" xfId="37552"/>
    <cellStyle name="Percent 7 2 2 2 2 4 2 2 2" xfId="37553"/>
    <cellStyle name="Percent 7 2 2 2 2 4 2 2 2 2" xfId="37554"/>
    <cellStyle name="Percent 7 2 2 2 2 4 2 2 2 2 2" xfId="37555"/>
    <cellStyle name="Percent 7 2 2 2 2 4 2 2 2 2 3" xfId="37556"/>
    <cellStyle name="Percent 7 2 2 2 2 4 2 2 2 3" xfId="37557"/>
    <cellStyle name="Percent 7 2 2 2 2 4 2 2 2 4" xfId="37558"/>
    <cellStyle name="Percent 7 2 2 2 2 4 2 2 3" xfId="37559"/>
    <cellStyle name="Percent 7 2 2 2 2 4 2 2 3 2" xfId="37560"/>
    <cellStyle name="Percent 7 2 2 2 2 4 2 2 3 3" xfId="37561"/>
    <cellStyle name="Percent 7 2 2 2 2 4 2 2 4" xfId="37562"/>
    <cellStyle name="Percent 7 2 2 2 2 4 2 2 4 2" xfId="37563"/>
    <cellStyle name="Percent 7 2 2 2 2 4 2 2 4 3" xfId="37564"/>
    <cellStyle name="Percent 7 2 2 2 2 4 2 2 5" xfId="37565"/>
    <cellStyle name="Percent 7 2 2 2 2 4 2 2 6" xfId="37566"/>
    <cellStyle name="Percent 7 2 2 2 2 4 2 3" xfId="37567"/>
    <cellStyle name="Percent 7 2 2 2 2 4 2 3 2" xfId="37568"/>
    <cellStyle name="Percent 7 2 2 2 2 4 2 3 2 2" xfId="37569"/>
    <cellStyle name="Percent 7 2 2 2 2 4 2 3 2 3" xfId="37570"/>
    <cellStyle name="Percent 7 2 2 2 2 4 2 3 3" xfId="37571"/>
    <cellStyle name="Percent 7 2 2 2 2 4 2 3 4" xfId="37572"/>
    <cellStyle name="Percent 7 2 2 2 2 4 2 4" xfId="37573"/>
    <cellStyle name="Percent 7 2 2 2 2 4 2 4 2" xfId="37574"/>
    <cellStyle name="Percent 7 2 2 2 2 4 2 4 3" xfId="37575"/>
    <cellStyle name="Percent 7 2 2 2 2 4 2 5" xfId="37576"/>
    <cellStyle name="Percent 7 2 2 2 2 4 2 5 2" xfId="37577"/>
    <cellStyle name="Percent 7 2 2 2 2 4 2 5 3" xfId="37578"/>
    <cellStyle name="Percent 7 2 2 2 2 4 2 6" xfId="37579"/>
    <cellStyle name="Percent 7 2 2 2 2 4 2 7" xfId="37580"/>
    <cellStyle name="Percent 7 2 2 2 2 4 3" xfId="37581"/>
    <cellStyle name="Percent 7 2 2 2 2 4 3 2" xfId="37582"/>
    <cellStyle name="Percent 7 2 2 2 2 4 3 2 2" xfId="37583"/>
    <cellStyle name="Percent 7 2 2 2 2 4 3 2 2 2" xfId="37584"/>
    <cellStyle name="Percent 7 2 2 2 2 4 3 2 2 3" xfId="37585"/>
    <cellStyle name="Percent 7 2 2 2 2 4 3 2 3" xfId="37586"/>
    <cellStyle name="Percent 7 2 2 2 2 4 3 2 4" xfId="37587"/>
    <cellStyle name="Percent 7 2 2 2 2 4 3 3" xfId="37588"/>
    <cellStyle name="Percent 7 2 2 2 2 4 3 3 2" xfId="37589"/>
    <cellStyle name="Percent 7 2 2 2 2 4 3 3 3" xfId="37590"/>
    <cellStyle name="Percent 7 2 2 2 2 4 3 4" xfId="37591"/>
    <cellStyle name="Percent 7 2 2 2 2 4 3 4 2" xfId="37592"/>
    <cellStyle name="Percent 7 2 2 2 2 4 3 4 3" xfId="37593"/>
    <cellStyle name="Percent 7 2 2 2 2 4 3 5" xfId="37594"/>
    <cellStyle name="Percent 7 2 2 2 2 4 3 6" xfId="37595"/>
    <cellStyle name="Percent 7 2 2 2 2 4 4" xfId="37596"/>
    <cellStyle name="Percent 7 2 2 2 2 4 4 2" xfId="37597"/>
    <cellStyle name="Percent 7 2 2 2 2 4 4 2 2" xfId="37598"/>
    <cellStyle name="Percent 7 2 2 2 2 4 4 2 3" xfId="37599"/>
    <cellStyle name="Percent 7 2 2 2 2 4 4 3" xfId="37600"/>
    <cellStyle name="Percent 7 2 2 2 2 4 4 4" xfId="37601"/>
    <cellStyle name="Percent 7 2 2 2 2 4 5" xfId="37602"/>
    <cellStyle name="Percent 7 2 2 2 2 4 5 2" xfId="37603"/>
    <cellStyle name="Percent 7 2 2 2 2 4 5 3" xfId="37604"/>
    <cellStyle name="Percent 7 2 2 2 2 4 6" xfId="37605"/>
    <cellStyle name="Percent 7 2 2 2 2 4 6 2" xfId="37606"/>
    <cellStyle name="Percent 7 2 2 2 2 4 6 3" xfId="37607"/>
    <cellStyle name="Percent 7 2 2 2 2 4 7" xfId="37608"/>
    <cellStyle name="Percent 7 2 2 2 2 4 8" xfId="37609"/>
    <cellStyle name="Percent 7 2 2 2 2 5" xfId="37610"/>
    <cellStyle name="Percent 7 2 2 2 2 5 2" xfId="37611"/>
    <cellStyle name="Percent 7 2 2 2 2 5 2 2" xfId="37612"/>
    <cellStyle name="Percent 7 2 2 2 2 5 2 2 2" xfId="37613"/>
    <cellStyle name="Percent 7 2 2 2 2 5 2 2 2 2" xfId="37614"/>
    <cellStyle name="Percent 7 2 2 2 2 5 2 2 2 3" xfId="37615"/>
    <cellStyle name="Percent 7 2 2 2 2 5 2 2 3" xfId="37616"/>
    <cellStyle name="Percent 7 2 2 2 2 5 2 2 4" xfId="37617"/>
    <cellStyle name="Percent 7 2 2 2 2 5 2 3" xfId="37618"/>
    <cellStyle name="Percent 7 2 2 2 2 5 2 3 2" xfId="37619"/>
    <cellStyle name="Percent 7 2 2 2 2 5 2 3 3" xfId="37620"/>
    <cellStyle name="Percent 7 2 2 2 2 5 2 4" xfId="37621"/>
    <cellStyle name="Percent 7 2 2 2 2 5 2 4 2" xfId="37622"/>
    <cellStyle name="Percent 7 2 2 2 2 5 2 4 3" xfId="37623"/>
    <cellStyle name="Percent 7 2 2 2 2 5 2 5" xfId="37624"/>
    <cellStyle name="Percent 7 2 2 2 2 5 2 6" xfId="37625"/>
    <cellStyle name="Percent 7 2 2 2 2 5 3" xfId="37626"/>
    <cellStyle name="Percent 7 2 2 2 2 5 3 2" xfId="37627"/>
    <cellStyle name="Percent 7 2 2 2 2 5 3 2 2" xfId="37628"/>
    <cellStyle name="Percent 7 2 2 2 2 5 3 2 3" xfId="37629"/>
    <cellStyle name="Percent 7 2 2 2 2 5 3 3" xfId="37630"/>
    <cellStyle name="Percent 7 2 2 2 2 5 3 4" xfId="37631"/>
    <cellStyle name="Percent 7 2 2 2 2 5 4" xfId="37632"/>
    <cellStyle name="Percent 7 2 2 2 2 5 4 2" xfId="37633"/>
    <cellStyle name="Percent 7 2 2 2 2 5 4 3" xfId="37634"/>
    <cellStyle name="Percent 7 2 2 2 2 5 5" xfId="37635"/>
    <cellStyle name="Percent 7 2 2 2 2 5 5 2" xfId="37636"/>
    <cellStyle name="Percent 7 2 2 2 2 5 5 3" xfId="37637"/>
    <cellStyle name="Percent 7 2 2 2 2 5 6" xfId="37638"/>
    <cellStyle name="Percent 7 2 2 2 2 5 7" xfId="37639"/>
    <cellStyle name="Percent 7 2 2 2 2 6" xfId="37640"/>
    <cellStyle name="Percent 7 2 2 2 2 6 2" xfId="37641"/>
    <cellStyle name="Percent 7 2 2 2 2 6 2 2" xfId="37642"/>
    <cellStyle name="Percent 7 2 2 2 2 6 2 2 2" xfId="37643"/>
    <cellStyle name="Percent 7 2 2 2 2 6 2 2 3" xfId="37644"/>
    <cellStyle name="Percent 7 2 2 2 2 6 2 3" xfId="37645"/>
    <cellStyle name="Percent 7 2 2 2 2 6 2 4" xfId="37646"/>
    <cellStyle name="Percent 7 2 2 2 2 6 3" xfId="37647"/>
    <cellStyle name="Percent 7 2 2 2 2 6 3 2" xfId="37648"/>
    <cellStyle name="Percent 7 2 2 2 2 6 3 3" xfId="37649"/>
    <cellStyle name="Percent 7 2 2 2 2 6 4" xfId="37650"/>
    <cellStyle name="Percent 7 2 2 2 2 6 4 2" xfId="37651"/>
    <cellStyle name="Percent 7 2 2 2 2 6 4 3" xfId="37652"/>
    <cellStyle name="Percent 7 2 2 2 2 6 5" xfId="37653"/>
    <cellStyle name="Percent 7 2 2 2 2 6 6" xfId="37654"/>
    <cellStyle name="Percent 7 2 2 2 2 7" xfId="37655"/>
    <cellStyle name="Percent 7 2 2 2 2 7 2" xfId="37656"/>
    <cellStyle name="Percent 7 2 2 2 2 7 2 2" xfId="37657"/>
    <cellStyle name="Percent 7 2 2 2 2 7 2 3" xfId="37658"/>
    <cellStyle name="Percent 7 2 2 2 2 7 3" xfId="37659"/>
    <cellStyle name="Percent 7 2 2 2 2 7 4" xfId="37660"/>
    <cellStyle name="Percent 7 2 2 2 2 8" xfId="37661"/>
    <cellStyle name="Percent 7 2 2 2 2 8 2" xfId="37662"/>
    <cellStyle name="Percent 7 2 2 2 2 8 3" xfId="37663"/>
    <cellStyle name="Percent 7 2 2 2 2 9" xfId="37664"/>
    <cellStyle name="Percent 7 2 2 2 2 9 2" xfId="37665"/>
    <cellStyle name="Percent 7 2 2 2 2 9 3" xfId="37666"/>
    <cellStyle name="Percent 7 2 2 2 3" xfId="37667"/>
    <cellStyle name="Percent 7 2 2 2 3 2" xfId="37668"/>
    <cellStyle name="Percent 7 2 2 2 3 2 2" xfId="37669"/>
    <cellStyle name="Percent 7 2 2 2 3 2 2 2" xfId="37670"/>
    <cellStyle name="Percent 7 2 2 2 3 2 2 2 2" xfId="37671"/>
    <cellStyle name="Percent 7 2 2 2 3 2 2 2 2 2" xfId="37672"/>
    <cellStyle name="Percent 7 2 2 2 3 2 2 2 2 3" xfId="37673"/>
    <cellStyle name="Percent 7 2 2 2 3 2 2 2 3" xfId="37674"/>
    <cellStyle name="Percent 7 2 2 2 3 2 2 2 4" xfId="37675"/>
    <cellStyle name="Percent 7 2 2 2 3 2 2 3" xfId="37676"/>
    <cellStyle name="Percent 7 2 2 2 3 2 2 3 2" xfId="37677"/>
    <cellStyle name="Percent 7 2 2 2 3 2 2 3 3" xfId="37678"/>
    <cellStyle name="Percent 7 2 2 2 3 2 2 4" xfId="37679"/>
    <cellStyle name="Percent 7 2 2 2 3 2 2 4 2" xfId="37680"/>
    <cellStyle name="Percent 7 2 2 2 3 2 2 4 3" xfId="37681"/>
    <cellStyle name="Percent 7 2 2 2 3 2 2 5" xfId="37682"/>
    <cellStyle name="Percent 7 2 2 2 3 2 2 6" xfId="37683"/>
    <cellStyle name="Percent 7 2 2 2 3 2 3" xfId="37684"/>
    <cellStyle name="Percent 7 2 2 2 3 2 3 2" xfId="37685"/>
    <cellStyle name="Percent 7 2 2 2 3 2 3 2 2" xfId="37686"/>
    <cellStyle name="Percent 7 2 2 2 3 2 3 2 3" xfId="37687"/>
    <cellStyle name="Percent 7 2 2 2 3 2 3 3" xfId="37688"/>
    <cellStyle name="Percent 7 2 2 2 3 2 3 4" xfId="37689"/>
    <cellStyle name="Percent 7 2 2 2 3 2 4" xfId="37690"/>
    <cellStyle name="Percent 7 2 2 2 3 2 4 2" xfId="37691"/>
    <cellStyle name="Percent 7 2 2 2 3 2 4 3" xfId="37692"/>
    <cellStyle name="Percent 7 2 2 2 3 2 5" xfId="37693"/>
    <cellStyle name="Percent 7 2 2 2 3 2 5 2" xfId="37694"/>
    <cellStyle name="Percent 7 2 2 2 3 2 5 3" xfId="37695"/>
    <cellStyle name="Percent 7 2 2 2 3 2 6" xfId="37696"/>
    <cellStyle name="Percent 7 2 2 2 3 2 6 2" xfId="37697"/>
    <cellStyle name="Percent 7 2 2 2 3 2 7" xfId="37698"/>
    <cellStyle name="Percent 7 2 2 2 3 3" xfId="37699"/>
    <cellStyle name="Percent 7 2 2 2 3 3 2" xfId="37700"/>
    <cellStyle name="Percent 7 2 2 2 3 3 2 2" xfId="37701"/>
    <cellStyle name="Percent 7 2 2 2 3 3 2 2 2" xfId="37702"/>
    <cellStyle name="Percent 7 2 2 2 3 3 2 2 3" xfId="37703"/>
    <cellStyle name="Percent 7 2 2 2 3 3 2 3" xfId="37704"/>
    <cellStyle name="Percent 7 2 2 2 3 3 2 4" xfId="37705"/>
    <cellStyle name="Percent 7 2 2 2 3 3 3" xfId="37706"/>
    <cellStyle name="Percent 7 2 2 2 3 3 3 2" xfId="37707"/>
    <cellStyle name="Percent 7 2 2 2 3 3 3 3" xfId="37708"/>
    <cellStyle name="Percent 7 2 2 2 3 3 4" xfId="37709"/>
    <cellStyle name="Percent 7 2 2 2 3 3 4 2" xfId="37710"/>
    <cellStyle name="Percent 7 2 2 2 3 3 4 3" xfId="37711"/>
    <cellStyle name="Percent 7 2 2 2 3 3 5" xfId="37712"/>
    <cellStyle name="Percent 7 2 2 2 3 3 6" xfId="37713"/>
    <cellStyle name="Percent 7 2 2 2 3 4" xfId="37714"/>
    <cellStyle name="Percent 7 2 2 2 3 4 2" xfId="37715"/>
    <cellStyle name="Percent 7 2 2 2 3 4 2 2" xfId="37716"/>
    <cellStyle name="Percent 7 2 2 2 3 4 2 3" xfId="37717"/>
    <cellStyle name="Percent 7 2 2 2 3 4 3" xfId="37718"/>
    <cellStyle name="Percent 7 2 2 2 3 4 4" xfId="37719"/>
    <cellStyle name="Percent 7 2 2 2 3 5" xfId="37720"/>
    <cellStyle name="Percent 7 2 2 2 3 5 2" xfId="37721"/>
    <cellStyle name="Percent 7 2 2 2 3 5 3" xfId="37722"/>
    <cellStyle name="Percent 7 2 2 2 3 6" xfId="37723"/>
    <cellStyle name="Percent 7 2 2 2 3 6 2" xfId="37724"/>
    <cellStyle name="Percent 7 2 2 2 3 6 3" xfId="37725"/>
    <cellStyle name="Percent 7 2 2 2 3 7" xfId="37726"/>
    <cellStyle name="Percent 7 2 2 2 3 7 2" xfId="37727"/>
    <cellStyle name="Percent 7 2 2 2 3 8" xfId="37728"/>
    <cellStyle name="Percent 7 2 2 2 4" xfId="37729"/>
    <cellStyle name="Percent 7 2 2 2 4 2" xfId="37730"/>
    <cellStyle name="Percent 7 2 2 2 4 2 2" xfId="37731"/>
    <cellStyle name="Percent 7 2 2 2 4 2 2 2" xfId="37732"/>
    <cellStyle name="Percent 7 2 2 2 4 2 2 2 2" xfId="37733"/>
    <cellStyle name="Percent 7 2 2 2 4 2 2 2 2 2" xfId="37734"/>
    <cellStyle name="Percent 7 2 2 2 4 2 2 2 2 3" xfId="37735"/>
    <cellStyle name="Percent 7 2 2 2 4 2 2 2 3" xfId="37736"/>
    <cellStyle name="Percent 7 2 2 2 4 2 2 2 4" xfId="37737"/>
    <cellStyle name="Percent 7 2 2 2 4 2 2 3" xfId="37738"/>
    <cellStyle name="Percent 7 2 2 2 4 2 2 3 2" xfId="37739"/>
    <cellStyle name="Percent 7 2 2 2 4 2 2 3 3" xfId="37740"/>
    <cellStyle name="Percent 7 2 2 2 4 2 2 4" xfId="37741"/>
    <cellStyle name="Percent 7 2 2 2 4 2 2 4 2" xfId="37742"/>
    <cellStyle name="Percent 7 2 2 2 4 2 2 4 3" xfId="37743"/>
    <cellStyle name="Percent 7 2 2 2 4 2 2 5" xfId="37744"/>
    <cellStyle name="Percent 7 2 2 2 4 2 2 6" xfId="37745"/>
    <cellStyle name="Percent 7 2 2 2 4 2 3" xfId="37746"/>
    <cellStyle name="Percent 7 2 2 2 4 2 3 2" xfId="37747"/>
    <cellStyle name="Percent 7 2 2 2 4 2 3 2 2" xfId="37748"/>
    <cellStyle name="Percent 7 2 2 2 4 2 3 2 3" xfId="37749"/>
    <cellStyle name="Percent 7 2 2 2 4 2 3 3" xfId="37750"/>
    <cellStyle name="Percent 7 2 2 2 4 2 3 4" xfId="37751"/>
    <cellStyle name="Percent 7 2 2 2 4 2 4" xfId="37752"/>
    <cellStyle name="Percent 7 2 2 2 4 2 4 2" xfId="37753"/>
    <cellStyle name="Percent 7 2 2 2 4 2 4 3" xfId="37754"/>
    <cellStyle name="Percent 7 2 2 2 4 2 5" xfId="37755"/>
    <cellStyle name="Percent 7 2 2 2 4 2 5 2" xfId="37756"/>
    <cellStyle name="Percent 7 2 2 2 4 2 5 3" xfId="37757"/>
    <cellStyle name="Percent 7 2 2 2 4 2 6" xfId="37758"/>
    <cellStyle name="Percent 7 2 2 2 4 2 6 2" xfId="37759"/>
    <cellStyle name="Percent 7 2 2 2 4 2 7" xfId="37760"/>
    <cellStyle name="Percent 7 2 2 2 4 3" xfId="37761"/>
    <cellStyle name="Percent 7 2 2 2 4 3 2" xfId="37762"/>
    <cellStyle name="Percent 7 2 2 2 4 3 2 2" xfId="37763"/>
    <cellStyle name="Percent 7 2 2 2 4 3 2 2 2" xfId="37764"/>
    <cellStyle name="Percent 7 2 2 2 4 3 2 2 3" xfId="37765"/>
    <cellStyle name="Percent 7 2 2 2 4 3 2 3" xfId="37766"/>
    <cellStyle name="Percent 7 2 2 2 4 3 2 4" xfId="37767"/>
    <cellStyle name="Percent 7 2 2 2 4 3 3" xfId="37768"/>
    <cellStyle name="Percent 7 2 2 2 4 3 3 2" xfId="37769"/>
    <cellStyle name="Percent 7 2 2 2 4 3 3 3" xfId="37770"/>
    <cellStyle name="Percent 7 2 2 2 4 3 4" xfId="37771"/>
    <cellStyle name="Percent 7 2 2 2 4 3 4 2" xfId="37772"/>
    <cellStyle name="Percent 7 2 2 2 4 3 4 3" xfId="37773"/>
    <cellStyle name="Percent 7 2 2 2 4 3 5" xfId="37774"/>
    <cellStyle name="Percent 7 2 2 2 4 3 6" xfId="37775"/>
    <cellStyle name="Percent 7 2 2 2 4 4" xfId="37776"/>
    <cellStyle name="Percent 7 2 2 2 4 4 2" xfId="37777"/>
    <cellStyle name="Percent 7 2 2 2 4 4 2 2" xfId="37778"/>
    <cellStyle name="Percent 7 2 2 2 4 4 2 3" xfId="37779"/>
    <cellStyle name="Percent 7 2 2 2 4 4 3" xfId="37780"/>
    <cellStyle name="Percent 7 2 2 2 4 4 4" xfId="37781"/>
    <cellStyle name="Percent 7 2 2 2 4 5" xfId="37782"/>
    <cellStyle name="Percent 7 2 2 2 4 5 2" xfId="37783"/>
    <cellStyle name="Percent 7 2 2 2 4 5 3" xfId="37784"/>
    <cellStyle name="Percent 7 2 2 2 4 6" xfId="37785"/>
    <cellStyle name="Percent 7 2 2 2 4 6 2" xfId="37786"/>
    <cellStyle name="Percent 7 2 2 2 4 6 3" xfId="37787"/>
    <cellStyle name="Percent 7 2 2 2 4 7" xfId="37788"/>
    <cellStyle name="Percent 7 2 2 2 4 7 2" xfId="37789"/>
    <cellStyle name="Percent 7 2 2 2 4 8" xfId="37790"/>
    <cellStyle name="Percent 7 2 2 2 5" xfId="37791"/>
    <cellStyle name="Percent 7 2 2 2 5 2" xfId="37792"/>
    <cellStyle name="Percent 7 2 2 2 5 2 2" xfId="37793"/>
    <cellStyle name="Percent 7 2 2 2 5 2 2 2" xfId="37794"/>
    <cellStyle name="Percent 7 2 2 2 5 2 2 2 2" xfId="37795"/>
    <cellStyle name="Percent 7 2 2 2 5 2 2 2 2 2" xfId="37796"/>
    <cellStyle name="Percent 7 2 2 2 5 2 2 2 2 3" xfId="37797"/>
    <cellStyle name="Percent 7 2 2 2 5 2 2 2 3" xfId="37798"/>
    <cellStyle name="Percent 7 2 2 2 5 2 2 2 4" xfId="37799"/>
    <cellStyle name="Percent 7 2 2 2 5 2 2 3" xfId="37800"/>
    <cellStyle name="Percent 7 2 2 2 5 2 2 3 2" xfId="37801"/>
    <cellStyle name="Percent 7 2 2 2 5 2 2 3 3" xfId="37802"/>
    <cellStyle name="Percent 7 2 2 2 5 2 2 4" xfId="37803"/>
    <cellStyle name="Percent 7 2 2 2 5 2 2 4 2" xfId="37804"/>
    <cellStyle name="Percent 7 2 2 2 5 2 2 4 3" xfId="37805"/>
    <cellStyle name="Percent 7 2 2 2 5 2 2 5" xfId="37806"/>
    <cellStyle name="Percent 7 2 2 2 5 2 2 6" xfId="37807"/>
    <cellStyle name="Percent 7 2 2 2 5 2 3" xfId="37808"/>
    <cellStyle name="Percent 7 2 2 2 5 2 3 2" xfId="37809"/>
    <cellStyle name="Percent 7 2 2 2 5 2 3 2 2" xfId="37810"/>
    <cellStyle name="Percent 7 2 2 2 5 2 3 2 3" xfId="37811"/>
    <cellStyle name="Percent 7 2 2 2 5 2 3 3" xfId="37812"/>
    <cellStyle name="Percent 7 2 2 2 5 2 3 4" xfId="37813"/>
    <cellStyle name="Percent 7 2 2 2 5 2 4" xfId="37814"/>
    <cellStyle name="Percent 7 2 2 2 5 2 4 2" xfId="37815"/>
    <cellStyle name="Percent 7 2 2 2 5 2 4 3" xfId="37816"/>
    <cellStyle name="Percent 7 2 2 2 5 2 5" xfId="37817"/>
    <cellStyle name="Percent 7 2 2 2 5 2 5 2" xfId="37818"/>
    <cellStyle name="Percent 7 2 2 2 5 2 5 3" xfId="37819"/>
    <cellStyle name="Percent 7 2 2 2 5 2 6" xfId="37820"/>
    <cellStyle name="Percent 7 2 2 2 5 2 7" xfId="37821"/>
    <cellStyle name="Percent 7 2 2 2 5 3" xfId="37822"/>
    <cellStyle name="Percent 7 2 2 2 5 3 2" xfId="37823"/>
    <cellStyle name="Percent 7 2 2 2 5 3 2 2" xfId="37824"/>
    <cellStyle name="Percent 7 2 2 2 5 3 2 2 2" xfId="37825"/>
    <cellStyle name="Percent 7 2 2 2 5 3 2 2 3" xfId="37826"/>
    <cellStyle name="Percent 7 2 2 2 5 3 2 3" xfId="37827"/>
    <cellStyle name="Percent 7 2 2 2 5 3 2 4" xfId="37828"/>
    <cellStyle name="Percent 7 2 2 2 5 3 3" xfId="37829"/>
    <cellStyle name="Percent 7 2 2 2 5 3 3 2" xfId="37830"/>
    <cellStyle name="Percent 7 2 2 2 5 3 3 3" xfId="37831"/>
    <cellStyle name="Percent 7 2 2 2 5 3 4" xfId="37832"/>
    <cellStyle name="Percent 7 2 2 2 5 3 4 2" xfId="37833"/>
    <cellStyle name="Percent 7 2 2 2 5 3 4 3" xfId="37834"/>
    <cellStyle name="Percent 7 2 2 2 5 3 5" xfId="37835"/>
    <cellStyle name="Percent 7 2 2 2 5 3 6" xfId="37836"/>
    <cellStyle name="Percent 7 2 2 2 5 4" xfId="37837"/>
    <cellStyle name="Percent 7 2 2 2 5 4 2" xfId="37838"/>
    <cellStyle name="Percent 7 2 2 2 5 4 2 2" xfId="37839"/>
    <cellStyle name="Percent 7 2 2 2 5 4 2 3" xfId="37840"/>
    <cellStyle name="Percent 7 2 2 2 5 4 3" xfId="37841"/>
    <cellStyle name="Percent 7 2 2 2 5 4 4" xfId="37842"/>
    <cellStyle name="Percent 7 2 2 2 5 5" xfId="37843"/>
    <cellStyle name="Percent 7 2 2 2 5 5 2" xfId="37844"/>
    <cellStyle name="Percent 7 2 2 2 5 5 3" xfId="37845"/>
    <cellStyle name="Percent 7 2 2 2 5 6" xfId="37846"/>
    <cellStyle name="Percent 7 2 2 2 5 6 2" xfId="37847"/>
    <cellStyle name="Percent 7 2 2 2 5 6 3" xfId="37848"/>
    <cellStyle name="Percent 7 2 2 2 5 7" xfId="37849"/>
    <cellStyle name="Percent 7 2 2 2 5 7 2" xfId="37850"/>
    <cellStyle name="Percent 7 2 2 2 5 8" xfId="37851"/>
    <cellStyle name="Percent 7 2 2 2 6" xfId="37852"/>
    <cellStyle name="Percent 7 2 2 2 6 2" xfId="37853"/>
    <cellStyle name="Percent 7 2 2 2 6 2 2" xfId="37854"/>
    <cellStyle name="Percent 7 2 2 2 6 2 2 2" xfId="37855"/>
    <cellStyle name="Percent 7 2 2 2 6 2 2 2 2" xfId="37856"/>
    <cellStyle name="Percent 7 2 2 2 6 2 2 2 3" xfId="37857"/>
    <cellStyle name="Percent 7 2 2 2 6 2 2 3" xfId="37858"/>
    <cellStyle name="Percent 7 2 2 2 6 2 2 4" xfId="37859"/>
    <cellStyle name="Percent 7 2 2 2 6 2 3" xfId="37860"/>
    <cellStyle name="Percent 7 2 2 2 6 2 3 2" xfId="37861"/>
    <cellStyle name="Percent 7 2 2 2 6 2 3 3" xfId="37862"/>
    <cellStyle name="Percent 7 2 2 2 6 2 4" xfId="37863"/>
    <cellStyle name="Percent 7 2 2 2 6 2 4 2" xfId="37864"/>
    <cellStyle name="Percent 7 2 2 2 6 2 4 3" xfId="37865"/>
    <cellStyle name="Percent 7 2 2 2 6 2 5" xfId="37866"/>
    <cellStyle name="Percent 7 2 2 2 6 2 6" xfId="37867"/>
    <cellStyle name="Percent 7 2 2 2 6 3" xfId="37868"/>
    <cellStyle name="Percent 7 2 2 2 6 3 2" xfId="37869"/>
    <cellStyle name="Percent 7 2 2 2 6 3 2 2" xfId="37870"/>
    <cellStyle name="Percent 7 2 2 2 6 3 2 3" xfId="37871"/>
    <cellStyle name="Percent 7 2 2 2 6 3 3" xfId="37872"/>
    <cellStyle name="Percent 7 2 2 2 6 3 4" xfId="37873"/>
    <cellStyle name="Percent 7 2 2 2 6 4" xfId="37874"/>
    <cellStyle name="Percent 7 2 2 2 6 4 2" xfId="37875"/>
    <cellStyle name="Percent 7 2 2 2 6 4 3" xfId="37876"/>
    <cellStyle name="Percent 7 2 2 2 6 5" xfId="37877"/>
    <cellStyle name="Percent 7 2 2 2 6 5 2" xfId="37878"/>
    <cellStyle name="Percent 7 2 2 2 6 5 3" xfId="37879"/>
    <cellStyle name="Percent 7 2 2 2 6 6" xfId="37880"/>
    <cellStyle name="Percent 7 2 2 2 6 6 2" xfId="37881"/>
    <cellStyle name="Percent 7 2 2 2 6 7" xfId="37882"/>
    <cellStyle name="Percent 7 2 2 2 7" xfId="37883"/>
    <cellStyle name="Percent 7 2 2 2 7 2" xfId="37884"/>
    <cellStyle name="Percent 7 2 2 2 7 2 2" xfId="37885"/>
    <cellStyle name="Percent 7 2 2 2 7 2 2 2" xfId="37886"/>
    <cellStyle name="Percent 7 2 2 2 7 2 2 3" xfId="37887"/>
    <cellStyle name="Percent 7 2 2 2 7 2 3" xfId="37888"/>
    <cellStyle name="Percent 7 2 2 2 7 2 4" xfId="37889"/>
    <cellStyle name="Percent 7 2 2 2 7 3" xfId="37890"/>
    <cellStyle name="Percent 7 2 2 2 7 3 2" xfId="37891"/>
    <cellStyle name="Percent 7 2 2 2 7 3 3" xfId="37892"/>
    <cellStyle name="Percent 7 2 2 2 7 4" xfId="37893"/>
    <cellStyle name="Percent 7 2 2 2 7 4 2" xfId="37894"/>
    <cellStyle name="Percent 7 2 2 2 7 4 3" xfId="37895"/>
    <cellStyle name="Percent 7 2 2 2 7 5" xfId="37896"/>
    <cellStyle name="Percent 7 2 2 2 7 6" xfId="37897"/>
    <cellStyle name="Percent 7 2 2 2 8" xfId="37898"/>
    <cellStyle name="Percent 7 2 2 2 8 2" xfId="37899"/>
    <cellStyle name="Percent 7 2 2 2 8 2 2" xfId="37900"/>
    <cellStyle name="Percent 7 2 2 2 8 2 3" xfId="37901"/>
    <cellStyle name="Percent 7 2 2 2 8 3" xfId="37902"/>
    <cellStyle name="Percent 7 2 2 2 8 4" xfId="37903"/>
    <cellStyle name="Percent 7 2 2 2 9" xfId="37904"/>
    <cellStyle name="Percent 7 2 2 2 9 2" xfId="37905"/>
    <cellStyle name="Percent 7 2 2 2 9 3" xfId="37906"/>
    <cellStyle name="Percent 7 2 2 3" xfId="37907"/>
    <cellStyle name="Percent 7 2 2 3 10" xfId="37908"/>
    <cellStyle name="Percent 7 2 2 3 10 2" xfId="37909"/>
    <cellStyle name="Percent 7 2 2 3 11" xfId="37910"/>
    <cellStyle name="Percent 7 2 2 3 2" xfId="37911"/>
    <cellStyle name="Percent 7 2 2 3 2 2" xfId="37912"/>
    <cellStyle name="Percent 7 2 2 3 2 2 2" xfId="37913"/>
    <cellStyle name="Percent 7 2 2 3 2 2 2 2" xfId="37914"/>
    <cellStyle name="Percent 7 2 2 3 2 2 2 2 2" xfId="37915"/>
    <cellStyle name="Percent 7 2 2 3 2 2 2 2 2 2" xfId="37916"/>
    <cellStyle name="Percent 7 2 2 3 2 2 2 2 2 3" xfId="37917"/>
    <cellStyle name="Percent 7 2 2 3 2 2 2 2 3" xfId="37918"/>
    <cellStyle name="Percent 7 2 2 3 2 2 2 2 4" xfId="37919"/>
    <cellStyle name="Percent 7 2 2 3 2 2 2 3" xfId="37920"/>
    <cellStyle name="Percent 7 2 2 3 2 2 2 3 2" xfId="37921"/>
    <cellStyle name="Percent 7 2 2 3 2 2 2 3 3" xfId="37922"/>
    <cellStyle name="Percent 7 2 2 3 2 2 2 4" xfId="37923"/>
    <cellStyle name="Percent 7 2 2 3 2 2 2 4 2" xfId="37924"/>
    <cellStyle name="Percent 7 2 2 3 2 2 2 4 3" xfId="37925"/>
    <cellStyle name="Percent 7 2 2 3 2 2 2 5" xfId="37926"/>
    <cellStyle name="Percent 7 2 2 3 2 2 2 6" xfId="37927"/>
    <cellStyle name="Percent 7 2 2 3 2 2 3" xfId="37928"/>
    <cellStyle name="Percent 7 2 2 3 2 2 3 2" xfId="37929"/>
    <cellStyle name="Percent 7 2 2 3 2 2 3 2 2" xfId="37930"/>
    <cellStyle name="Percent 7 2 2 3 2 2 3 2 3" xfId="37931"/>
    <cellStyle name="Percent 7 2 2 3 2 2 3 3" xfId="37932"/>
    <cellStyle name="Percent 7 2 2 3 2 2 3 4" xfId="37933"/>
    <cellStyle name="Percent 7 2 2 3 2 2 4" xfId="37934"/>
    <cellStyle name="Percent 7 2 2 3 2 2 4 2" xfId="37935"/>
    <cellStyle name="Percent 7 2 2 3 2 2 4 3" xfId="37936"/>
    <cellStyle name="Percent 7 2 2 3 2 2 5" xfId="37937"/>
    <cellStyle name="Percent 7 2 2 3 2 2 5 2" xfId="37938"/>
    <cellStyle name="Percent 7 2 2 3 2 2 5 3" xfId="37939"/>
    <cellStyle name="Percent 7 2 2 3 2 2 6" xfId="37940"/>
    <cellStyle name="Percent 7 2 2 3 2 2 6 2" xfId="37941"/>
    <cellStyle name="Percent 7 2 2 3 2 2 7" xfId="37942"/>
    <cellStyle name="Percent 7 2 2 3 2 3" xfId="37943"/>
    <cellStyle name="Percent 7 2 2 3 2 3 2" xfId="37944"/>
    <cellStyle name="Percent 7 2 2 3 2 3 2 2" xfId="37945"/>
    <cellStyle name="Percent 7 2 2 3 2 3 2 2 2" xfId="37946"/>
    <cellStyle name="Percent 7 2 2 3 2 3 2 2 3" xfId="37947"/>
    <cellStyle name="Percent 7 2 2 3 2 3 2 3" xfId="37948"/>
    <cellStyle name="Percent 7 2 2 3 2 3 2 4" xfId="37949"/>
    <cellStyle name="Percent 7 2 2 3 2 3 3" xfId="37950"/>
    <cellStyle name="Percent 7 2 2 3 2 3 3 2" xfId="37951"/>
    <cellStyle name="Percent 7 2 2 3 2 3 3 3" xfId="37952"/>
    <cellStyle name="Percent 7 2 2 3 2 3 4" xfId="37953"/>
    <cellStyle name="Percent 7 2 2 3 2 3 4 2" xfId="37954"/>
    <cellStyle name="Percent 7 2 2 3 2 3 4 3" xfId="37955"/>
    <cellStyle name="Percent 7 2 2 3 2 3 5" xfId="37956"/>
    <cellStyle name="Percent 7 2 2 3 2 3 6" xfId="37957"/>
    <cellStyle name="Percent 7 2 2 3 2 4" xfId="37958"/>
    <cellStyle name="Percent 7 2 2 3 2 4 2" xfId="37959"/>
    <cellStyle name="Percent 7 2 2 3 2 4 2 2" xfId="37960"/>
    <cellStyle name="Percent 7 2 2 3 2 4 2 3" xfId="37961"/>
    <cellStyle name="Percent 7 2 2 3 2 4 3" xfId="37962"/>
    <cellStyle name="Percent 7 2 2 3 2 4 4" xfId="37963"/>
    <cellStyle name="Percent 7 2 2 3 2 5" xfId="37964"/>
    <cellStyle name="Percent 7 2 2 3 2 5 2" xfId="37965"/>
    <cellStyle name="Percent 7 2 2 3 2 5 3" xfId="37966"/>
    <cellStyle name="Percent 7 2 2 3 2 6" xfId="37967"/>
    <cellStyle name="Percent 7 2 2 3 2 6 2" xfId="37968"/>
    <cellStyle name="Percent 7 2 2 3 2 6 3" xfId="37969"/>
    <cellStyle name="Percent 7 2 2 3 2 7" xfId="37970"/>
    <cellStyle name="Percent 7 2 2 3 2 7 2" xfId="37971"/>
    <cellStyle name="Percent 7 2 2 3 2 8" xfId="37972"/>
    <cellStyle name="Percent 7 2 2 3 3" xfId="37973"/>
    <cellStyle name="Percent 7 2 2 3 3 2" xfId="37974"/>
    <cellStyle name="Percent 7 2 2 3 3 2 2" xfId="37975"/>
    <cellStyle name="Percent 7 2 2 3 3 2 2 2" xfId="37976"/>
    <cellStyle name="Percent 7 2 2 3 3 2 2 2 2" xfId="37977"/>
    <cellStyle name="Percent 7 2 2 3 3 2 2 2 2 2" xfId="37978"/>
    <cellStyle name="Percent 7 2 2 3 3 2 2 2 2 3" xfId="37979"/>
    <cellStyle name="Percent 7 2 2 3 3 2 2 2 3" xfId="37980"/>
    <cellStyle name="Percent 7 2 2 3 3 2 2 2 4" xfId="37981"/>
    <cellStyle name="Percent 7 2 2 3 3 2 2 3" xfId="37982"/>
    <cellStyle name="Percent 7 2 2 3 3 2 2 3 2" xfId="37983"/>
    <cellStyle name="Percent 7 2 2 3 3 2 2 3 3" xfId="37984"/>
    <cellStyle name="Percent 7 2 2 3 3 2 2 4" xfId="37985"/>
    <cellStyle name="Percent 7 2 2 3 3 2 2 4 2" xfId="37986"/>
    <cellStyle name="Percent 7 2 2 3 3 2 2 4 3" xfId="37987"/>
    <cellStyle name="Percent 7 2 2 3 3 2 2 5" xfId="37988"/>
    <cellStyle name="Percent 7 2 2 3 3 2 2 6" xfId="37989"/>
    <cellStyle name="Percent 7 2 2 3 3 2 3" xfId="37990"/>
    <cellStyle name="Percent 7 2 2 3 3 2 3 2" xfId="37991"/>
    <cellStyle name="Percent 7 2 2 3 3 2 3 2 2" xfId="37992"/>
    <cellStyle name="Percent 7 2 2 3 3 2 3 2 3" xfId="37993"/>
    <cellStyle name="Percent 7 2 2 3 3 2 3 3" xfId="37994"/>
    <cellStyle name="Percent 7 2 2 3 3 2 3 4" xfId="37995"/>
    <cellStyle name="Percent 7 2 2 3 3 2 4" xfId="37996"/>
    <cellStyle name="Percent 7 2 2 3 3 2 4 2" xfId="37997"/>
    <cellStyle name="Percent 7 2 2 3 3 2 4 3" xfId="37998"/>
    <cellStyle name="Percent 7 2 2 3 3 2 5" xfId="37999"/>
    <cellStyle name="Percent 7 2 2 3 3 2 5 2" xfId="38000"/>
    <cellStyle name="Percent 7 2 2 3 3 2 5 3" xfId="38001"/>
    <cellStyle name="Percent 7 2 2 3 3 2 6" xfId="38002"/>
    <cellStyle name="Percent 7 2 2 3 3 2 6 2" xfId="38003"/>
    <cellStyle name="Percent 7 2 2 3 3 2 7" xfId="38004"/>
    <cellStyle name="Percent 7 2 2 3 3 3" xfId="38005"/>
    <cellStyle name="Percent 7 2 2 3 3 3 2" xfId="38006"/>
    <cellStyle name="Percent 7 2 2 3 3 3 2 2" xfId="38007"/>
    <cellStyle name="Percent 7 2 2 3 3 3 2 2 2" xfId="38008"/>
    <cellStyle name="Percent 7 2 2 3 3 3 2 2 3" xfId="38009"/>
    <cellStyle name="Percent 7 2 2 3 3 3 2 3" xfId="38010"/>
    <cellStyle name="Percent 7 2 2 3 3 3 2 4" xfId="38011"/>
    <cellStyle name="Percent 7 2 2 3 3 3 3" xfId="38012"/>
    <cellStyle name="Percent 7 2 2 3 3 3 3 2" xfId="38013"/>
    <cellStyle name="Percent 7 2 2 3 3 3 3 3" xfId="38014"/>
    <cellStyle name="Percent 7 2 2 3 3 3 4" xfId="38015"/>
    <cellStyle name="Percent 7 2 2 3 3 3 4 2" xfId="38016"/>
    <cellStyle name="Percent 7 2 2 3 3 3 4 3" xfId="38017"/>
    <cellStyle name="Percent 7 2 2 3 3 3 5" xfId="38018"/>
    <cellStyle name="Percent 7 2 2 3 3 3 6" xfId="38019"/>
    <cellStyle name="Percent 7 2 2 3 3 4" xfId="38020"/>
    <cellStyle name="Percent 7 2 2 3 3 4 2" xfId="38021"/>
    <cellStyle name="Percent 7 2 2 3 3 4 2 2" xfId="38022"/>
    <cellStyle name="Percent 7 2 2 3 3 4 2 3" xfId="38023"/>
    <cellStyle name="Percent 7 2 2 3 3 4 3" xfId="38024"/>
    <cellStyle name="Percent 7 2 2 3 3 4 4" xfId="38025"/>
    <cellStyle name="Percent 7 2 2 3 3 5" xfId="38026"/>
    <cellStyle name="Percent 7 2 2 3 3 5 2" xfId="38027"/>
    <cellStyle name="Percent 7 2 2 3 3 5 3" xfId="38028"/>
    <cellStyle name="Percent 7 2 2 3 3 6" xfId="38029"/>
    <cellStyle name="Percent 7 2 2 3 3 6 2" xfId="38030"/>
    <cellStyle name="Percent 7 2 2 3 3 6 3" xfId="38031"/>
    <cellStyle name="Percent 7 2 2 3 3 7" xfId="38032"/>
    <cellStyle name="Percent 7 2 2 3 3 7 2" xfId="38033"/>
    <cellStyle name="Percent 7 2 2 3 3 8" xfId="38034"/>
    <cellStyle name="Percent 7 2 2 3 4" xfId="38035"/>
    <cellStyle name="Percent 7 2 2 3 4 2" xfId="38036"/>
    <cellStyle name="Percent 7 2 2 3 4 2 2" xfId="38037"/>
    <cellStyle name="Percent 7 2 2 3 4 2 2 2" xfId="38038"/>
    <cellStyle name="Percent 7 2 2 3 4 2 2 2 2" xfId="38039"/>
    <cellStyle name="Percent 7 2 2 3 4 2 2 2 2 2" xfId="38040"/>
    <cellStyle name="Percent 7 2 2 3 4 2 2 2 2 3" xfId="38041"/>
    <cellStyle name="Percent 7 2 2 3 4 2 2 2 3" xfId="38042"/>
    <cellStyle name="Percent 7 2 2 3 4 2 2 2 4" xfId="38043"/>
    <cellStyle name="Percent 7 2 2 3 4 2 2 3" xfId="38044"/>
    <cellStyle name="Percent 7 2 2 3 4 2 2 3 2" xfId="38045"/>
    <cellStyle name="Percent 7 2 2 3 4 2 2 3 3" xfId="38046"/>
    <cellStyle name="Percent 7 2 2 3 4 2 2 4" xfId="38047"/>
    <cellStyle name="Percent 7 2 2 3 4 2 2 4 2" xfId="38048"/>
    <cellStyle name="Percent 7 2 2 3 4 2 2 4 3" xfId="38049"/>
    <cellStyle name="Percent 7 2 2 3 4 2 2 5" xfId="38050"/>
    <cellStyle name="Percent 7 2 2 3 4 2 2 6" xfId="38051"/>
    <cellStyle name="Percent 7 2 2 3 4 2 3" xfId="38052"/>
    <cellStyle name="Percent 7 2 2 3 4 2 3 2" xfId="38053"/>
    <cellStyle name="Percent 7 2 2 3 4 2 3 2 2" xfId="38054"/>
    <cellStyle name="Percent 7 2 2 3 4 2 3 2 3" xfId="38055"/>
    <cellStyle name="Percent 7 2 2 3 4 2 3 3" xfId="38056"/>
    <cellStyle name="Percent 7 2 2 3 4 2 3 4" xfId="38057"/>
    <cellStyle name="Percent 7 2 2 3 4 2 4" xfId="38058"/>
    <cellStyle name="Percent 7 2 2 3 4 2 4 2" xfId="38059"/>
    <cellStyle name="Percent 7 2 2 3 4 2 4 3" xfId="38060"/>
    <cellStyle name="Percent 7 2 2 3 4 2 5" xfId="38061"/>
    <cellStyle name="Percent 7 2 2 3 4 2 5 2" xfId="38062"/>
    <cellStyle name="Percent 7 2 2 3 4 2 5 3" xfId="38063"/>
    <cellStyle name="Percent 7 2 2 3 4 2 6" xfId="38064"/>
    <cellStyle name="Percent 7 2 2 3 4 2 6 2" xfId="38065"/>
    <cellStyle name="Percent 7 2 2 3 4 2 7" xfId="38066"/>
    <cellStyle name="Percent 7 2 2 3 4 3" xfId="38067"/>
    <cellStyle name="Percent 7 2 2 3 4 3 2" xfId="38068"/>
    <cellStyle name="Percent 7 2 2 3 4 3 2 2" xfId="38069"/>
    <cellStyle name="Percent 7 2 2 3 4 3 2 2 2" xfId="38070"/>
    <cellStyle name="Percent 7 2 2 3 4 3 2 2 3" xfId="38071"/>
    <cellStyle name="Percent 7 2 2 3 4 3 2 3" xfId="38072"/>
    <cellStyle name="Percent 7 2 2 3 4 3 2 4" xfId="38073"/>
    <cellStyle name="Percent 7 2 2 3 4 3 3" xfId="38074"/>
    <cellStyle name="Percent 7 2 2 3 4 3 3 2" xfId="38075"/>
    <cellStyle name="Percent 7 2 2 3 4 3 3 3" xfId="38076"/>
    <cellStyle name="Percent 7 2 2 3 4 3 4" xfId="38077"/>
    <cellStyle name="Percent 7 2 2 3 4 3 4 2" xfId="38078"/>
    <cellStyle name="Percent 7 2 2 3 4 3 4 3" xfId="38079"/>
    <cellStyle name="Percent 7 2 2 3 4 3 5" xfId="38080"/>
    <cellStyle name="Percent 7 2 2 3 4 3 6" xfId="38081"/>
    <cellStyle name="Percent 7 2 2 3 4 4" xfId="38082"/>
    <cellStyle name="Percent 7 2 2 3 4 4 2" xfId="38083"/>
    <cellStyle name="Percent 7 2 2 3 4 4 2 2" xfId="38084"/>
    <cellStyle name="Percent 7 2 2 3 4 4 2 3" xfId="38085"/>
    <cellStyle name="Percent 7 2 2 3 4 4 3" xfId="38086"/>
    <cellStyle name="Percent 7 2 2 3 4 4 4" xfId="38087"/>
    <cellStyle name="Percent 7 2 2 3 4 5" xfId="38088"/>
    <cellStyle name="Percent 7 2 2 3 4 5 2" xfId="38089"/>
    <cellStyle name="Percent 7 2 2 3 4 5 3" xfId="38090"/>
    <cellStyle name="Percent 7 2 2 3 4 6" xfId="38091"/>
    <cellStyle name="Percent 7 2 2 3 4 6 2" xfId="38092"/>
    <cellStyle name="Percent 7 2 2 3 4 6 3" xfId="38093"/>
    <cellStyle name="Percent 7 2 2 3 4 7" xfId="38094"/>
    <cellStyle name="Percent 7 2 2 3 4 7 2" xfId="38095"/>
    <cellStyle name="Percent 7 2 2 3 4 8" xfId="38096"/>
    <cellStyle name="Percent 7 2 2 3 5" xfId="38097"/>
    <cellStyle name="Percent 7 2 2 3 5 2" xfId="38098"/>
    <cellStyle name="Percent 7 2 2 3 5 2 2" xfId="38099"/>
    <cellStyle name="Percent 7 2 2 3 5 2 2 2" xfId="38100"/>
    <cellStyle name="Percent 7 2 2 3 5 2 2 2 2" xfId="38101"/>
    <cellStyle name="Percent 7 2 2 3 5 2 2 2 3" xfId="38102"/>
    <cellStyle name="Percent 7 2 2 3 5 2 2 3" xfId="38103"/>
    <cellStyle name="Percent 7 2 2 3 5 2 2 4" xfId="38104"/>
    <cellStyle name="Percent 7 2 2 3 5 2 3" xfId="38105"/>
    <cellStyle name="Percent 7 2 2 3 5 2 3 2" xfId="38106"/>
    <cellStyle name="Percent 7 2 2 3 5 2 3 3" xfId="38107"/>
    <cellStyle name="Percent 7 2 2 3 5 2 4" xfId="38108"/>
    <cellStyle name="Percent 7 2 2 3 5 2 4 2" xfId="38109"/>
    <cellStyle name="Percent 7 2 2 3 5 2 4 3" xfId="38110"/>
    <cellStyle name="Percent 7 2 2 3 5 2 5" xfId="38111"/>
    <cellStyle name="Percent 7 2 2 3 5 2 6" xfId="38112"/>
    <cellStyle name="Percent 7 2 2 3 5 3" xfId="38113"/>
    <cellStyle name="Percent 7 2 2 3 5 3 2" xfId="38114"/>
    <cellStyle name="Percent 7 2 2 3 5 3 2 2" xfId="38115"/>
    <cellStyle name="Percent 7 2 2 3 5 3 2 3" xfId="38116"/>
    <cellStyle name="Percent 7 2 2 3 5 3 3" xfId="38117"/>
    <cellStyle name="Percent 7 2 2 3 5 3 4" xfId="38118"/>
    <cellStyle name="Percent 7 2 2 3 5 4" xfId="38119"/>
    <cellStyle name="Percent 7 2 2 3 5 4 2" xfId="38120"/>
    <cellStyle name="Percent 7 2 2 3 5 4 3" xfId="38121"/>
    <cellStyle name="Percent 7 2 2 3 5 5" xfId="38122"/>
    <cellStyle name="Percent 7 2 2 3 5 5 2" xfId="38123"/>
    <cellStyle name="Percent 7 2 2 3 5 5 3" xfId="38124"/>
    <cellStyle name="Percent 7 2 2 3 5 6" xfId="38125"/>
    <cellStyle name="Percent 7 2 2 3 5 6 2" xfId="38126"/>
    <cellStyle name="Percent 7 2 2 3 5 7" xfId="38127"/>
    <cellStyle name="Percent 7 2 2 3 6" xfId="38128"/>
    <cellStyle name="Percent 7 2 2 3 6 2" xfId="38129"/>
    <cellStyle name="Percent 7 2 2 3 6 2 2" xfId="38130"/>
    <cellStyle name="Percent 7 2 2 3 6 2 2 2" xfId="38131"/>
    <cellStyle name="Percent 7 2 2 3 6 2 2 3" xfId="38132"/>
    <cellStyle name="Percent 7 2 2 3 6 2 3" xfId="38133"/>
    <cellStyle name="Percent 7 2 2 3 6 2 4" xfId="38134"/>
    <cellStyle name="Percent 7 2 2 3 6 3" xfId="38135"/>
    <cellStyle name="Percent 7 2 2 3 6 3 2" xfId="38136"/>
    <cellStyle name="Percent 7 2 2 3 6 3 3" xfId="38137"/>
    <cellStyle name="Percent 7 2 2 3 6 4" xfId="38138"/>
    <cellStyle name="Percent 7 2 2 3 6 4 2" xfId="38139"/>
    <cellStyle name="Percent 7 2 2 3 6 4 3" xfId="38140"/>
    <cellStyle name="Percent 7 2 2 3 6 5" xfId="38141"/>
    <cellStyle name="Percent 7 2 2 3 6 5 2" xfId="38142"/>
    <cellStyle name="Percent 7 2 2 3 6 6" xfId="38143"/>
    <cellStyle name="Percent 7 2 2 3 7" xfId="38144"/>
    <cellStyle name="Percent 7 2 2 3 7 2" xfId="38145"/>
    <cellStyle name="Percent 7 2 2 3 7 2 2" xfId="38146"/>
    <cellStyle name="Percent 7 2 2 3 7 2 3" xfId="38147"/>
    <cellStyle name="Percent 7 2 2 3 7 3" xfId="38148"/>
    <cellStyle name="Percent 7 2 2 3 7 4" xfId="38149"/>
    <cellStyle name="Percent 7 2 2 3 8" xfId="38150"/>
    <cellStyle name="Percent 7 2 2 3 8 2" xfId="38151"/>
    <cellStyle name="Percent 7 2 2 3 8 3" xfId="38152"/>
    <cellStyle name="Percent 7 2 2 3 9" xfId="38153"/>
    <cellStyle name="Percent 7 2 2 3 9 2" xfId="38154"/>
    <cellStyle name="Percent 7 2 2 3 9 3" xfId="38155"/>
    <cellStyle name="Percent 7 2 2 4" xfId="38156"/>
    <cellStyle name="Percent 7 2 2 4 2" xfId="38157"/>
    <cellStyle name="Percent 7 2 2 4 2 2" xfId="38158"/>
    <cellStyle name="Percent 7 2 2 4 2 2 2" xfId="38159"/>
    <cellStyle name="Percent 7 2 2 4 2 2 2 2" xfId="38160"/>
    <cellStyle name="Percent 7 2 2 4 2 2 2 2 2" xfId="38161"/>
    <cellStyle name="Percent 7 2 2 4 2 2 2 2 3" xfId="38162"/>
    <cellStyle name="Percent 7 2 2 4 2 2 2 3" xfId="38163"/>
    <cellStyle name="Percent 7 2 2 4 2 2 2 4" xfId="38164"/>
    <cellStyle name="Percent 7 2 2 4 2 2 3" xfId="38165"/>
    <cellStyle name="Percent 7 2 2 4 2 2 3 2" xfId="38166"/>
    <cellStyle name="Percent 7 2 2 4 2 2 3 3" xfId="38167"/>
    <cellStyle name="Percent 7 2 2 4 2 2 4" xfId="38168"/>
    <cellStyle name="Percent 7 2 2 4 2 2 4 2" xfId="38169"/>
    <cellStyle name="Percent 7 2 2 4 2 2 4 3" xfId="38170"/>
    <cellStyle name="Percent 7 2 2 4 2 2 5" xfId="38171"/>
    <cellStyle name="Percent 7 2 2 4 2 2 5 2" xfId="38172"/>
    <cellStyle name="Percent 7 2 2 4 2 2 6" xfId="38173"/>
    <cellStyle name="Percent 7 2 2 4 2 3" xfId="38174"/>
    <cellStyle name="Percent 7 2 2 4 2 3 2" xfId="38175"/>
    <cellStyle name="Percent 7 2 2 4 2 3 2 2" xfId="38176"/>
    <cellStyle name="Percent 7 2 2 4 2 3 2 3" xfId="38177"/>
    <cellStyle name="Percent 7 2 2 4 2 3 3" xfId="38178"/>
    <cellStyle name="Percent 7 2 2 4 2 3 4" xfId="38179"/>
    <cellStyle name="Percent 7 2 2 4 2 4" xfId="38180"/>
    <cellStyle name="Percent 7 2 2 4 2 4 2" xfId="38181"/>
    <cellStyle name="Percent 7 2 2 4 2 4 3" xfId="38182"/>
    <cellStyle name="Percent 7 2 2 4 2 5" xfId="38183"/>
    <cellStyle name="Percent 7 2 2 4 2 5 2" xfId="38184"/>
    <cellStyle name="Percent 7 2 2 4 2 5 3" xfId="38185"/>
    <cellStyle name="Percent 7 2 2 4 2 6" xfId="38186"/>
    <cellStyle name="Percent 7 2 2 4 2 6 2" xfId="38187"/>
    <cellStyle name="Percent 7 2 2 4 2 7" xfId="38188"/>
    <cellStyle name="Percent 7 2 2 4 3" xfId="38189"/>
    <cellStyle name="Percent 7 2 2 4 3 2" xfId="38190"/>
    <cellStyle name="Percent 7 2 2 4 3 2 2" xfId="38191"/>
    <cellStyle name="Percent 7 2 2 4 3 2 2 2" xfId="38192"/>
    <cellStyle name="Percent 7 2 2 4 3 2 2 3" xfId="38193"/>
    <cellStyle name="Percent 7 2 2 4 3 2 3" xfId="38194"/>
    <cellStyle name="Percent 7 2 2 4 3 2 3 2" xfId="38195"/>
    <cellStyle name="Percent 7 2 2 4 3 2 4" xfId="38196"/>
    <cellStyle name="Percent 7 2 2 4 3 3" xfId="38197"/>
    <cellStyle name="Percent 7 2 2 4 3 3 2" xfId="38198"/>
    <cellStyle name="Percent 7 2 2 4 3 3 3" xfId="38199"/>
    <cellStyle name="Percent 7 2 2 4 3 4" xfId="38200"/>
    <cellStyle name="Percent 7 2 2 4 3 4 2" xfId="38201"/>
    <cellStyle name="Percent 7 2 2 4 3 4 3" xfId="38202"/>
    <cellStyle name="Percent 7 2 2 4 3 5" xfId="38203"/>
    <cellStyle name="Percent 7 2 2 4 3 5 2" xfId="38204"/>
    <cellStyle name="Percent 7 2 2 4 3 6" xfId="38205"/>
    <cellStyle name="Percent 7 2 2 4 4" xfId="38206"/>
    <cellStyle name="Percent 7 2 2 4 4 2" xfId="38207"/>
    <cellStyle name="Percent 7 2 2 4 4 2 2" xfId="38208"/>
    <cellStyle name="Percent 7 2 2 4 4 2 2 2" xfId="38209"/>
    <cellStyle name="Percent 7 2 2 4 4 2 3" xfId="38210"/>
    <cellStyle name="Percent 7 2 2 4 4 3" xfId="38211"/>
    <cellStyle name="Percent 7 2 2 4 4 3 2" xfId="38212"/>
    <cellStyle name="Percent 7 2 2 4 4 4" xfId="38213"/>
    <cellStyle name="Percent 7 2 2 4 5" xfId="38214"/>
    <cellStyle name="Percent 7 2 2 4 5 2" xfId="38215"/>
    <cellStyle name="Percent 7 2 2 4 5 2 2" xfId="38216"/>
    <cellStyle name="Percent 7 2 2 4 5 3" xfId="38217"/>
    <cellStyle name="Percent 7 2 2 4 6" xfId="38218"/>
    <cellStyle name="Percent 7 2 2 4 6 2" xfId="38219"/>
    <cellStyle name="Percent 7 2 2 4 6 2 2" xfId="38220"/>
    <cellStyle name="Percent 7 2 2 4 6 3" xfId="38221"/>
    <cellStyle name="Percent 7 2 2 4 7" xfId="38222"/>
    <cellStyle name="Percent 7 2 2 4 7 2" xfId="38223"/>
    <cellStyle name="Percent 7 2 2 4 8" xfId="38224"/>
    <cellStyle name="Percent 7 2 2 5" xfId="38225"/>
    <cellStyle name="Percent 7 2 2 5 2" xfId="38226"/>
    <cellStyle name="Percent 7 2 2 5 2 2" xfId="38227"/>
    <cellStyle name="Percent 7 2 2 5 2 2 2" xfId="38228"/>
    <cellStyle name="Percent 7 2 2 5 2 2 2 2" xfId="38229"/>
    <cellStyle name="Percent 7 2 2 5 2 2 2 2 2" xfId="38230"/>
    <cellStyle name="Percent 7 2 2 5 2 2 2 2 3" xfId="38231"/>
    <cellStyle name="Percent 7 2 2 5 2 2 2 3" xfId="38232"/>
    <cellStyle name="Percent 7 2 2 5 2 2 2 4" xfId="38233"/>
    <cellStyle name="Percent 7 2 2 5 2 2 3" xfId="38234"/>
    <cellStyle name="Percent 7 2 2 5 2 2 3 2" xfId="38235"/>
    <cellStyle name="Percent 7 2 2 5 2 2 3 3" xfId="38236"/>
    <cellStyle name="Percent 7 2 2 5 2 2 4" xfId="38237"/>
    <cellStyle name="Percent 7 2 2 5 2 2 4 2" xfId="38238"/>
    <cellStyle name="Percent 7 2 2 5 2 2 4 3" xfId="38239"/>
    <cellStyle name="Percent 7 2 2 5 2 2 5" xfId="38240"/>
    <cellStyle name="Percent 7 2 2 5 2 2 5 2" xfId="38241"/>
    <cellStyle name="Percent 7 2 2 5 2 2 6" xfId="38242"/>
    <cellStyle name="Percent 7 2 2 5 2 3" xfId="38243"/>
    <cellStyle name="Percent 7 2 2 5 2 3 2" xfId="38244"/>
    <cellStyle name="Percent 7 2 2 5 2 3 2 2" xfId="38245"/>
    <cellStyle name="Percent 7 2 2 5 2 3 2 3" xfId="38246"/>
    <cellStyle name="Percent 7 2 2 5 2 3 3" xfId="38247"/>
    <cellStyle name="Percent 7 2 2 5 2 3 4" xfId="38248"/>
    <cellStyle name="Percent 7 2 2 5 2 4" xfId="38249"/>
    <cellStyle name="Percent 7 2 2 5 2 4 2" xfId="38250"/>
    <cellStyle name="Percent 7 2 2 5 2 4 3" xfId="38251"/>
    <cellStyle name="Percent 7 2 2 5 2 5" xfId="38252"/>
    <cellStyle name="Percent 7 2 2 5 2 5 2" xfId="38253"/>
    <cellStyle name="Percent 7 2 2 5 2 5 3" xfId="38254"/>
    <cellStyle name="Percent 7 2 2 5 2 6" xfId="38255"/>
    <cellStyle name="Percent 7 2 2 5 2 6 2" xfId="38256"/>
    <cellStyle name="Percent 7 2 2 5 2 7" xfId="38257"/>
    <cellStyle name="Percent 7 2 2 5 3" xfId="38258"/>
    <cellStyle name="Percent 7 2 2 5 3 2" xfId="38259"/>
    <cellStyle name="Percent 7 2 2 5 3 2 2" xfId="38260"/>
    <cellStyle name="Percent 7 2 2 5 3 2 2 2" xfId="38261"/>
    <cellStyle name="Percent 7 2 2 5 3 2 2 3" xfId="38262"/>
    <cellStyle name="Percent 7 2 2 5 3 2 3" xfId="38263"/>
    <cellStyle name="Percent 7 2 2 5 3 2 3 2" xfId="38264"/>
    <cellStyle name="Percent 7 2 2 5 3 2 4" xfId="38265"/>
    <cellStyle name="Percent 7 2 2 5 3 3" xfId="38266"/>
    <cellStyle name="Percent 7 2 2 5 3 3 2" xfId="38267"/>
    <cellStyle name="Percent 7 2 2 5 3 3 3" xfId="38268"/>
    <cellStyle name="Percent 7 2 2 5 3 4" xfId="38269"/>
    <cellStyle name="Percent 7 2 2 5 3 4 2" xfId="38270"/>
    <cellStyle name="Percent 7 2 2 5 3 4 3" xfId="38271"/>
    <cellStyle name="Percent 7 2 2 5 3 5" xfId="38272"/>
    <cellStyle name="Percent 7 2 2 5 3 5 2" xfId="38273"/>
    <cellStyle name="Percent 7 2 2 5 3 6" xfId="38274"/>
    <cellStyle name="Percent 7 2 2 5 4" xfId="38275"/>
    <cellStyle name="Percent 7 2 2 5 4 2" xfId="38276"/>
    <cellStyle name="Percent 7 2 2 5 4 2 2" xfId="38277"/>
    <cellStyle name="Percent 7 2 2 5 4 2 2 2" xfId="38278"/>
    <cellStyle name="Percent 7 2 2 5 4 2 3" xfId="38279"/>
    <cellStyle name="Percent 7 2 2 5 4 3" xfId="38280"/>
    <cellStyle name="Percent 7 2 2 5 4 3 2" xfId="38281"/>
    <cellStyle name="Percent 7 2 2 5 4 4" xfId="38282"/>
    <cellStyle name="Percent 7 2 2 5 5" xfId="38283"/>
    <cellStyle name="Percent 7 2 2 5 5 2" xfId="38284"/>
    <cellStyle name="Percent 7 2 2 5 5 2 2" xfId="38285"/>
    <cellStyle name="Percent 7 2 2 5 5 3" xfId="38286"/>
    <cellStyle name="Percent 7 2 2 5 6" xfId="38287"/>
    <cellStyle name="Percent 7 2 2 5 6 2" xfId="38288"/>
    <cellStyle name="Percent 7 2 2 5 6 2 2" xfId="38289"/>
    <cellStyle name="Percent 7 2 2 5 6 3" xfId="38290"/>
    <cellStyle name="Percent 7 2 2 5 7" xfId="38291"/>
    <cellStyle name="Percent 7 2 2 5 7 2" xfId="38292"/>
    <cellStyle name="Percent 7 2 2 5 8" xfId="38293"/>
    <cellStyle name="Percent 7 2 2 6" xfId="38294"/>
    <cellStyle name="Percent 7 2 2 6 2" xfId="38295"/>
    <cellStyle name="Percent 7 2 2 6 2 2" xfId="38296"/>
    <cellStyle name="Percent 7 2 2 6 2 2 2" xfId="38297"/>
    <cellStyle name="Percent 7 2 2 6 2 2 2 2" xfId="38298"/>
    <cellStyle name="Percent 7 2 2 6 2 2 2 2 2" xfId="38299"/>
    <cellStyle name="Percent 7 2 2 6 2 2 2 2 3" xfId="38300"/>
    <cellStyle name="Percent 7 2 2 6 2 2 2 3" xfId="38301"/>
    <cellStyle name="Percent 7 2 2 6 2 2 2 4" xfId="38302"/>
    <cellStyle name="Percent 7 2 2 6 2 2 3" xfId="38303"/>
    <cellStyle name="Percent 7 2 2 6 2 2 3 2" xfId="38304"/>
    <cellStyle name="Percent 7 2 2 6 2 2 3 3" xfId="38305"/>
    <cellStyle name="Percent 7 2 2 6 2 2 4" xfId="38306"/>
    <cellStyle name="Percent 7 2 2 6 2 2 4 2" xfId="38307"/>
    <cellStyle name="Percent 7 2 2 6 2 2 4 3" xfId="38308"/>
    <cellStyle name="Percent 7 2 2 6 2 2 5" xfId="38309"/>
    <cellStyle name="Percent 7 2 2 6 2 2 5 2" xfId="38310"/>
    <cellStyle name="Percent 7 2 2 6 2 2 6" xfId="38311"/>
    <cellStyle name="Percent 7 2 2 6 2 3" xfId="38312"/>
    <cellStyle name="Percent 7 2 2 6 2 3 2" xfId="38313"/>
    <cellStyle name="Percent 7 2 2 6 2 3 2 2" xfId="38314"/>
    <cellStyle name="Percent 7 2 2 6 2 3 2 3" xfId="38315"/>
    <cellStyle name="Percent 7 2 2 6 2 3 3" xfId="38316"/>
    <cellStyle name="Percent 7 2 2 6 2 3 4" xfId="38317"/>
    <cellStyle name="Percent 7 2 2 6 2 4" xfId="38318"/>
    <cellStyle name="Percent 7 2 2 6 2 4 2" xfId="38319"/>
    <cellStyle name="Percent 7 2 2 6 2 4 3" xfId="38320"/>
    <cellStyle name="Percent 7 2 2 6 2 5" xfId="38321"/>
    <cellStyle name="Percent 7 2 2 6 2 5 2" xfId="38322"/>
    <cellStyle name="Percent 7 2 2 6 2 5 3" xfId="38323"/>
    <cellStyle name="Percent 7 2 2 6 2 6" xfId="38324"/>
    <cellStyle name="Percent 7 2 2 6 2 6 2" xfId="38325"/>
    <cellStyle name="Percent 7 2 2 6 2 7" xfId="38326"/>
    <cellStyle name="Percent 7 2 2 6 3" xfId="38327"/>
    <cellStyle name="Percent 7 2 2 6 3 2" xfId="38328"/>
    <cellStyle name="Percent 7 2 2 6 3 2 2" xfId="38329"/>
    <cellStyle name="Percent 7 2 2 6 3 2 2 2" xfId="38330"/>
    <cellStyle name="Percent 7 2 2 6 3 2 2 3" xfId="38331"/>
    <cellStyle name="Percent 7 2 2 6 3 2 3" xfId="38332"/>
    <cellStyle name="Percent 7 2 2 6 3 2 3 2" xfId="38333"/>
    <cellStyle name="Percent 7 2 2 6 3 2 4" xfId="38334"/>
    <cellStyle name="Percent 7 2 2 6 3 3" xfId="38335"/>
    <cellStyle name="Percent 7 2 2 6 3 3 2" xfId="38336"/>
    <cellStyle name="Percent 7 2 2 6 3 3 3" xfId="38337"/>
    <cellStyle name="Percent 7 2 2 6 3 4" xfId="38338"/>
    <cellStyle name="Percent 7 2 2 6 3 4 2" xfId="38339"/>
    <cellStyle name="Percent 7 2 2 6 3 4 3" xfId="38340"/>
    <cellStyle name="Percent 7 2 2 6 3 5" xfId="38341"/>
    <cellStyle name="Percent 7 2 2 6 3 5 2" xfId="38342"/>
    <cellStyle name="Percent 7 2 2 6 3 6" xfId="38343"/>
    <cellStyle name="Percent 7 2 2 6 4" xfId="38344"/>
    <cellStyle name="Percent 7 2 2 6 4 2" xfId="38345"/>
    <cellStyle name="Percent 7 2 2 6 4 2 2" xfId="38346"/>
    <cellStyle name="Percent 7 2 2 6 4 2 3" xfId="38347"/>
    <cellStyle name="Percent 7 2 2 6 4 3" xfId="38348"/>
    <cellStyle name="Percent 7 2 2 6 4 3 2" xfId="38349"/>
    <cellStyle name="Percent 7 2 2 6 4 4" xfId="38350"/>
    <cellStyle name="Percent 7 2 2 6 5" xfId="38351"/>
    <cellStyle name="Percent 7 2 2 6 5 2" xfId="38352"/>
    <cellStyle name="Percent 7 2 2 6 5 2 2" xfId="38353"/>
    <cellStyle name="Percent 7 2 2 6 5 3" xfId="38354"/>
    <cellStyle name="Percent 7 2 2 6 6" xfId="38355"/>
    <cellStyle name="Percent 7 2 2 6 6 2" xfId="38356"/>
    <cellStyle name="Percent 7 2 2 6 6 3" xfId="38357"/>
    <cellStyle name="Percent 7 2 2 6 7" xfId="38358"/>
    <cellStyle name="Percent 7 2 2 6 7 2" xfId="38359"/>
    <cellStyle name="Percent 7 2 2 6 8" xfId="38360"/>
    <cellStyle name="Percent 7 2 2 7" xfId="38361"/>
    <cellStyle name="Percent 7 2 2 7 2" xfId="38362"/>
    <cellStyle name="Percent 7 2 2 7 2 2" xfId="38363"/>
    <cellStyle name="Percent 7 2 2 7 2 2 2" xfId="38364"/>
    <cellStyle name="Percent 7 2 2 7 2 2 2 2" xfId="38365"/>
    <cellStyle name="Percent 7 2 2 7 2 2 2 3" xfId="38366"/>
    <cellStyle name="Percent 7 2 2 7 2 2 3" xfId="38367"/>
    <cellStyle name="Percent 7 2 2 7 2 2 4" xfId="38368"/>
    <cellStyle name="Percent 7 2 2 7 2 3" xfId="38369"/>
    <cellStyle name="Percent 7 2 2 7 2 3 2" xfId="38370"/>
    <cellStyle name="Percent 7 2 2 7 2 3 3" xfId="38371"/>
    <cellStyle name="Percent 7 2 2 7 2 4" xfId="38372"/>
    <cellStyle name="Percent 7 2 2 7 2 4 2" xfId="38373"/>
    <cellStyle name="Percent 7 2 2 7 2 4 3" xfId="38374"/>
    <cellStyle name="Percent 7 2 2 7 2 5" xfId="38375"/>
    <cellStyle name="Percent 7 2 2 7 2 5 2" xfId="38376"/>
    <cellStyle name="Percent 7 2 2 7 2 6" xfId="38377"/>
    <cellStyle name="Percent 7 2 2 7 3" xfId="38378"/>
    <cellStyle name="Percent 7 2 2 7 3 2" xfId="38379"/>
    <cellStyle name="Percent 7 2 2 7 3 2 2" xfId="38380"/>
    <cellStyle name="Percent 7 2 2 7 3 2 3" xfId="38381"/>
    <cellStyle name="Percent 7 2 2 7 3 3" xfId="38382"/>
    <cellStyle name="Percent 7 2 2 7 3 4" xfId="38383"/>
    <cellStyle name="Percent 7 2 2 7 4" xfId="38384"/>
    <cellStyle name="Percent 7 2 2 7 4 2" xfId="38385"/>
    <cellStyle name="Percent 7 2 2 7 4 3" xfId="38386"/>
    <cellStyle name="Percent 7 2 2 7 5" xfId="38387"/>
    <cellStyle name="Percent 7 2 2 7 5 2" xfId="38388"/>
    <cellStyle name="Percent 7 2 2 7 5 3" xfId="38389"/>
    <cellStyle name="Percent 7 2 2 7 6" xfId="38390"/>
    <cellStyle name="Percent 7 2 2 7 6 2" xfId="38391"/>
    <cellStyle name="Percent 7 2 2 7 7" xfId="38392"/>
    <cellStyle name="Percent 7 2 2 8" xfId="38393"/>
    <cellStyle name="Percent 7 2 2 8 2" xfId="38394"/>
    <cellStyle name="Percent 7 2 2 8 2 2" xfId="38395"/>
    <cellStyle name="Percent 7 2 2 8 2 2 2" xfId="38396"/>
    <cellStyle name="Percent 7 2 2 8 2 2 3" xfId="38397"/>
    <cellStyle name="Percent 7 2 2 8 2 3" xfId="38398"/>
    <cellStyle name="Percent 7 2 2 8 2 3 2" xfId="38399"/>
    <cellStyle name="Percent 7 2 2 8 2 4" xfId="38400"/>
    <cellStyle name="Percent 7 2 2 8 3" xfId="38401"/>
    <cellStyle name="Percent 7 2 2 8 3 2" xfId="38402"/>
    <cellStyle name="Percent 7 2 2 8 3 3" xfId="38403"/>
    <cellStyle name="Percent 7 2 2 8 4" xfId="38404"/>
    <cellStyle name="Percent 7 2 2 8 4 2" xfId="38405"/>
    <cellStyle name="Percent 7 2 2 8 4 3" xfId="38406"/>
    <cellStyle name="Percent 7 2 2 8 5" xfId="38407"/>
    <cellStyle name="Percent 7 2 2 8 5 2" xfId="38408"/>
    <cellStyle name="Percent 7 2 2 8 6" xfId="38409"/>
    <cellStyle name="Percent 7 2 2 9" xfId="38410"/>
    <cellStyle name="Percent 7 2 2 9 2" xfId="38411"/>
    <cellStyle name="Percent 7 2 2 9 2 2" xfId="38412"/>
    <cellStyle name="Percent 7 2 2 9 2 2 2" xfId="38413"/>
    <cellStyle name="Percent 7 2 2 9 2 3" xfId="38414"/>
    <cellStyle name="Percent 7 2 2 9 3" xfId="38415"/>
    <cellStyle name="Percent 7 2 2 9 3 2" xfId="38416"/>
    <cellStyle name="Percent 7 2 2 9 4" xfId="38417"/>
    <cellStyle name="Percent 7 2 3" xfId="38418"/>
    <cellStyle name="Percent 7 2 3 10" xfId="38419"/>
    <cellStyle name="Percent 7 2 3 10 2" xfId="38420"/>
    <cellStyle name="Percent 7 2 3 10 2 2" xfId="38421"/>
    <cellStyle name="Percent 7 2 3 10 3" xfId="38422"/>
    <cellStyle name="Percent 7 2 3 11" xfId="38423"/>
    <cellStyle name="Percent 7 2 3 11 2" xfId="38424"/>
    <cellStyle name="Percent 7 2 3 12" xfId="38425"/>
    <cellStyle name="Percent 7 2 3 2" xfId="38426"/>
    <cellStyle name="Percent 7 2 3 2 10" xfId="38427"/>
    <cellStyle name="Percent 7 2 3 2 10 2" xfId="38428"/>
    <cellStyle name="Percent 7 2 3 2 11" xfId="38429"/>
    <cellStyle name="Percent 7 2 3 2 2" xfId="38430"/>
    <cellStyle name="Percent 7 2 3 2 2 2" xfId="38431"/>
    <cellStyle name="Percent 7 2 3 2 2 2 2" xfId="38432"/>
    <cellStyle name="Percent 7 2 3 2 2 2 2 2" xfId="38433"/>
    <cellStyle name="Percent 7 2 3 2 2 2 2 2 2" xfId="38434"/>
    <cellStyle name="Percent 7 2 3 2 2 2 2 2 2 2" xfId="38435"/>
    <cellStyle name="Percent 7 2 3 2 2 2 2 2 2 3" xfId="38436"/>
    <cellStyle name="Percent 7 2 3 2 2 2 2 2 3" xfId="38437"/>
    <cellStyle name="Percent 7 2 3 2 2 2 2 2 4" xfId="38438"/>
    <cellStyle name="Percent 7 2 3 2 2 2 2 3" xfId="38439"/>
    <cellStyle name="Percent 7 2 3 2 2 2 2 3 2" xfId="38440"/>
    <cellStyle name="Percent 7 2 3 2 2 2 2 3 3" xfId="38441"/>
    <cellStyle name="Percent 7 2 3 2 2 2 2 4" xfId="38442"/>
    <cellStyle name="Percent 7 2 3 2 2 2 2 4 2" xfId="38443"/>
    <cellStyle name="Percent 7 2 3 2 2 2 2 4 3" xfId="38444"/>
    <cellStyle name="Percent 7 2 3 2 2 2 2 5" xfId="38445"/>
    <cellStyle name="Percent 7 2 3 2 2 2 2 6" xfId="38446"/>
    <cellStyle name="Percent 7 2 3 2 2 2 3" xfId="38447"/>
    <cellStyle name="Percent 7 2 3 2 2 2 3 2" xfId="38448"/>
    <cellStyle name="Percent 7 2 3 2 2 2 3 2 2" xfId="38449"/>
    <cellStyle name="Percent 7 2 3 2 2 2 3 2 3" xfId="38450"/>
    <cellStyle name="Percent 7 2 3 2 2 2 3 3" xfId="38451"/>
    <cellStyle name="Percent 7 2 3 2 2 2 3 4" xfId="38452"/>
    <cellStyle name="Percent 7 2 3 2 2 2 4" xfId="38453"/>
    <cellStyle name="Percent 7 2 3 2 2 2 4 2" xfId="38454"/>
    <cellStyle name="Percent 7 2 3 2 2 2 4 3" xfId="38455"/>
    <cellStyle name="Percent 7 2 3 2 2 2 5" xfId="38456"/>
    <cellStyle name="Percent 7 2 3 2 2 2 5 2" xfId="38457"/>
    <cellStyle name="Percent 7 2 3 2 2 2 5 3" xfId="38458"/>
    <cellStyle name="Percent 7 2 3 2 2 2 6" xfId="38459"/>
    <cellStyle name="Percent 7 2 3 2 2 2 6 2" xfId="38460"/>
    <cellStyle name="Percent 7 2 3 2 2 2 7" xfId="38461"/>
    <cellStyle name="Percent 7 2 3 2 2 3" xfId="38462"/>
    <cellStyle name="Percent 7 2 3 2 2 3 2" xfId="38463"/>
    <cellStyle name="Percent 7 2 3 2 2 3 2 2" xfId="38464"/>
    <cellStyle name="Percent 7 2 3 2 2 3 2 2 2" xfId="38465"/>
    <cellStyle name="Percent 7 2 3 2 2 3 2 2 3" xfId="38466"/>
    <cellStyle name="Percent 7 2 3 2 2 3 2 3" xfId="38467"/>
    <cellStyle name="Percent 7 2 3 2 2 3 2 4" xfId="38468"/>
    <cellStyle name="Percent 7 2 3 2 2 3 3" xfId="38469"/>
    <cellStyle name="Percent 7 2 3 2 2 3 3 2" xfId="38470"/>
    <cellStyle name="Percent 7 2 3 2 2 3 3 3" xfId="38471"/>
    <cellStyle name="Percent 7 2 3 2 2 3 4" xfId="38472"/>
    <cellStyle name="Percent 7 2 3 2 2 3 4 2" xfId="38473"/>
    <cellStyle name="Percent 7 2 3 2 2 3 4 3" xfId="38474"/>
    <cellStyle name="Percent 7 2 3 2 2 3 5" xfId="38475"/>
    <cellStyle name="Percent 7 2 3 2 2 3 6" xfId="38476"/>
    <cellStyle name="Percent 7 2 3 2 2 4" xfId="38477"/>
    <cellStyle name="Percent 7 2 3 2 2 4 2" xfId="38478"/>
    <cellStyle name="Percent 7 2 3 2 2 4 2 2" xfId="38479"/>
    <cellStyle name="Percent 7 2 3 2 2 4 2 3" xfId="38480"/>
    <cellStyle name="Percent 7 2 3 2 2 4 3" xfId="38481"/>
    <cellStyle name="Percent 7 2 3 2 2 4 4" xfId="38482"/>
    <cellStyle name="Percent 7 2 3 2 2 5" xfId="38483"/>
    <cellStyle name="Percent 7 2 3 2 2 5 2" xfId="38484"/>
    <cellStyle name="Percent 7 2 3 2 2 5 3" xfId="38485"/>
    <cellStyle name="Percent 7 2 3 2 2 6" xfId="38486"/>
    <cellStyle name="Percent 7 2 3 2 2 6 2" xfId="38487"/>
    <cellStyle name="Percent 7 2 3 2 2 6 3" xfId="38488"/>
    <cellStyle name="Percent 7 2 3 2 2 7" xfId="38489"/>
    <cellStyle name="Percent 7 2 3 2 2 7 2" xfId="38490"/>
    <cellStyle name="Percent 7 2 3 2 2 8" xfId="38491"/>
    <cellStyle name="Percent 7 2 3 2 3" xfId="38492"/>
    <cellStyle name="Percent 7 2 3 2 3 2" xfId="38493"/>
    <cellStyle name="Percent 7 2 3 2 3 2 2" xfId="38494"/>
    <cellStyle name="Percent 7 2 3 2 3 2 2 2" xfId="38495"/>
    <cellStyle name="Percent 7 2 3 2 3 2 2 2 2" xfId="38496"/>
    <cellStyle name="Percent 7 2 3 2 3 2 2 2 2 2" xfId="38497"/>
    <cellStyle name="Percent 7 2 3 2 3 2 2 2 2 3" xfId="38498"/>
    <cellStyle name="Percent 7 2 3 2 3 2 2 2 3" xfId="38499"/>
    <cellStyle name="Percent 7 2 3 2 3 2 2 2 4" xfId="38500"/>
    <cellStyle name="Percent 7 2 3 2 3 2 2 3" xfId="38501"/>
    <cellStyle name="Percent 7 2 3 2 3 2 2 3 2" xfId="38502"/>
    <cellStyle name="Percent 7 2 3 2 3 2 2 3 3" xfId="38503"/>
    <cellStyle name="Percent 7 2 3 2 3 2 2 4" xfId="38504"/>
    <cellStyle name="Percent 7 2 3 2 3 2 2 4 2" xfId="38505"/>
    <cellStyle name="Percent 7 2 3 2 3 2 2 4 3" xfId="38506"/>
    <cellStyle name="Percent 7 2 3 2 3 2 2 5" xfId="38507"/>
    <cellStyle name="Percent 7 2 3 2 3 2 2 6" xfId="38508"/>
    <cellStyle name="Percent 7 2 3 2 3 2 3" xfId="38509"/>
    <cellStyle name="Percent 7 2 3 2 3 2 3 2" xfId="38510"/>
    <cellStyle name="Percent 7 2 3 2 3 2 3 2 2" xfId="38511"/>
    <cellStyle name="Percent 7 2 3 2 3 2 3 2 3" xfId="38512"/>
    <cellStyle name="Percent 7 2 3 2 3 2 3 3" xfId="38513"/>
    <cellStyle name="Percent 7 2 3 2 3 2 3 4" xfId="38514"/>
    <cellStyle name="Percent 7 2 3 2 3 2 4" xfId="38515"/>
    <cellStyle name="Percent 7 2 3 2 3 2 4 2" xfId="38516"/>
    <cellStyle name="Percent 7 2 3 2 3 2 4 3" xfId="38517"/>
    <cellStyle name="Percent 7 2 3 2 3 2 5" xfId="38518"/>
    <cellStyle name="Percent 7 2 3 2 3 2 5 2" xfId="38519"/>
    <cellStyle name="Percent 7 2 3 2 3 2 5 3" xfId="38520"/>
    <cellStyle name="Percent 7 2 3 2 3 2 6" xfId="38521"/>
    <cellStyle name="Percent 7 2 3 2 3 2 6 2" xfId="38522"/>
    <cellStyle name="Percent 7 2 3 2 3 2 7" xfId="38523"/>
    <cellStyle name="Percent 7 2 3 2 3 3" xfId="38524"/>
    <cellStyle name="Percent 7 2 3 2 3 3 2" xfId="38525"/>
    <cellStyle name="Percent 7 2 3 2 3 3 2 2" xfId="38526"/>
    <cellStyle name="Percent 7 2 3 2 3 3 2 2 2" xfId="38527"/>
    <cellStyle name="Percent 7 2 3 2 3 3 2 2 3" xfId="38528"/>
    <cellStyle name="Percent 7 2 3 2 3 3 2 3" xfId="38529"/>
    <cellStyle name="Percent 7 2 3 2 3 3 2 4" xfId="38530"/>
    <cellStyle name="Percent 7 2 3 2 3 3 3" xfId="38531"/>
    <cellStyle name="Percent 7 2 3 2 3 3 3 2" xfId="38532"/>
    <cellStyle name="Percent 7 2 3 2 3 3 3 3" xfId="38533"/>
    <cellStyle name="Percent 7 2 3 2 3 3 4" xfId="38534"/>
    <cellStyle name="Percent 7 2 3 2 3 3 4 2" xfId="38535"/>
    <cellStyle name="Percent 7 2 3 2 3 3 4 3" xfId="38536"/>
    <cellStyle name="Percent 7 2 3 2 3 3 5" xfId="38537"/>
    <cellStyle name="Percent 7 2 3 2 3 3 6" xfId="38538"/>
    <cellStyle name="Percent 7 2 3 2 3 4" xfId="38539"/>
    <cellStyle name="Percent 7 2 3 2 3 4 2" xfId="38540"/>
    <cellStyle name="Percent 7 2 3 2 3 4 2 2" xfId="38541"/>
    <cellStyle name="Percent 7 2 3 2 3 4 2 3" xfId="38542"/>
    <cellStyle name="Percent 7 2 3 2 3 4 3" xfId="38543"/>
    <cellStyle name="Percent 7 2 3 2 3 4 4" xfId="38544"/>
    <cellStyle name="Percent 7 2 3 2 3 5" xfId="38545"/>
    <cellStyle name="Percent 7 2 3 2 3 5 2" xfId="38546"/>
    <cellStyle name="Percent 7 2 3 2 3 5 3" xfId="38547"/>
    <cellStyle name="Percent 7 2 3 2 3 6" xfId="38548"/>
    <cellStyle name="Percent 7 2 3 2 3 6 2" xfId="38549"/>
    <cellStyle name="Percent 7 2 3 2 3 6 3" xfId="38550"/>
    <cellStyle name="Percent 7 2 3 2 3 7" xfId="38551"/>
    <cellStyle name="Percent 7 2 3 2 3 7 2" xfId="38552"/>
    <cellStyle name="Percent 7 2 3 2 3 8" xfId="38553"/>
    <cellStyle name="Percent 7 2 3 2 4" xfId="38554"/>
    <cellStyle name="Percent 7 2 3 2 4 2" xfId="38555"/>
    <cellStyle name="Percent 7 2 3 2 4 2 2" xfId="38556"/>
    <cellStyle name="Percent 7 2 3 2 4 2 2 2" xfId="38557"/>
    <cellStyle name="Percent 7 2 3 2 4 2 2 2 2" xfId="38558"/>
    <cellStyle name="Percent 7 2 3 2 4 2 2 2 2 2" xfId="38559"/>
    <cellStyle name="Percent 7 2 3 2 4 2 2 2 2 3" xfId="38560"/>
    <cellStyle name="Percent 7 2 3 2 4 2 2 2 3" xfId="38561"/>
    <cellStyle name="Percent 7 2 3 2 4 2 2 2 4" xfId="38562"/>
    <cellStyle name="Percent 7 2 3 2 4 2 2 3" xfId="38563"/>
    <cellStyle name="Percent 7 2 3 2 4 2 2 3 2" xfId="38564"/>
    <cellStyle name="Percent 7 2 3 2 4 2 2 3 3" xfId="38565"/>
    <cellStyle name="Percent 7 2 3 2 4 2 2 4" xfId="38566"/>
    <cellStyle name="Percent 7 2 3 2 4 2 2 4 2" xfId="38567"/>
    <cellStyle name="Percent 7 2 3 2 4 2 2 4 3" xfId="38568"/>
    <cellStyle name="Percent 7 2 3 2 4 2 2 5" xfId="38569"/>
    <cellStyle name="Percent 7 2 3 2 4 2 2 6" xfId="38570"/>
    <cellStyle name="Percent 7 2 3 2 4 2 3" xfId="38571"/>
    <cellStyle name="Percent 7 2 3 2 4 2 3 2" xfId="38572"/>
    <cellStyle name="Percent 7 2 3 2 4 2 3 2 2" xfId="38573"/>
    <cellStyle name="Percent 7 2 3 2 4 2 3 2 3" xfId="38574"/>
    <cellStyle name="Percent 7 2 3 2 4 2 3 3" xfId="38575"/>
    <cellStyle name="Percent 7 2 3 2 4 2 3 4" xfId="38576"/>
    <cellStyle name="Percent 7 2 3 2 4 2 4" xfId="38577"/>
    <cellStyle name="Percent 7 2 3 2 4 2 4 2" xfId="38578"/>
    <cellStyle name="Percent 7 2 3 2 4 2 4 3" xfId="38579"/>
    <cellStyle name="Percent 7 2 3 2 4 2 5" xfId="38580"/>
    <cellStyle name="Percent 7 2 3 2 4 2 5 2" xfId="38581"/>
    <cellStyle name="Percent 7 2 3 2 4 2 5 3" xfId="38582"/>
    <cellStyle name="Percent 7 2 3 2 4 2 6" xfId="38583"/>
    <cellStyle name="Percent 7 2 3 2 4 2 6 2" xfId="38584"/>
    <cellStyle name="Percent 7 2 3 2 4 2 7" xfId="38585"/>
    <cellStyle name="Percent 7 2 3 2 4 3" xfId="38586"/>
    <cellStyle name="Percent 7 2 3 2 4 3 2" xfId="38587"/>
    <cellStyle name="Percent 7 2 3 2 4 3 2 2" xfId="38588"/>
    <cellStyle name="Percent 7 2 3 2 4 3 2 2 2" xfId="38589"/>
    <cellStyle name="Percent 7 2 3 2 4 3 2 2 3" xfId="38590"/>
    <cellStyle name="Percent 7 2 3 2 4 3 2 3" xfId="38591"/>
    <cellStyle name="Percent 7 2 3 2 4 3 2 4" xfId="38592"/>
    <cellStyle name="Percent 7 2 3 2 4 3 3" xfId="38593"/>
    <cellStyle name="Percent 7 2 3 2 4 3 3 2" xfId="38594"/>
    <cellStyle name="Percent 7 2 3 2 4 3 3 3" xfId="38595"/>
    <cellStyle name="Percent 7 2 3 2 4 3 4" xfId="38596"/>
    <cellStyle name="Percent 7 2 3 2 4 3 4 2" xfId="38597"/>
    <cellStyle name="Percent 7 2 3 2 4 3 4 3" xfId="38598"/>
    <cellStyle name="Percent 7 2 3 2 4 3 5" xfId="38599"/>
    <cellStyle name="Percent 7 2 3 2 4 3 6" xfId="38600"/>
    <cellStyle name="Percent 7 2 3 2 4 4" xfId="38601"/>
    <cellStyle name="Percent 7 2 3 2 4 4 2" xfId="38602"/>
    <cellStyle name="Percent 7 2 3 2 4 4 2 2" xfId="38603"/>
    <cellStyle name="Percent 7 2 3 2 4 4 2 3" xfId="38604"/>
    <cellStyle name="Percent 7 2 3 2 4 4 3" xfId="38605"/>
    <cellStyle name="Percent 7 2 3 2 4 4 4" xfId="38606"/>
    <cellStyle name="Percent 7 2 3 2 4 5" xfId="38607"/>
    <cellStyle name="Percent 7 2 3 2 4 5 2" xfId="38608"/>
    <cellStyle name="Percent 7 2 3 2 4 5 3" xfId="38609"/>
    <cellStyle name="Percent 7 2 3 2 4 6" xfId="38610"/>
    <cellStyle name="Percent 7 2 3 2 4 6 2" xfId="38611"/>
    <cellStyle name="Percent 7 2 3 2 4 6 3" xfId="38612"/>
    <cellStyle name="Percent 7 2 3 2 4 7" xfId="38613"/>
    <cellStyle name="Percent 7 2 3 2 4 7 2" xfId="38614"/>
    <cellStyle name="Percent 7 2 3 2 4 8" xfId="38615"/>
    <cellStyle name="Percent 7 2 3 2 5" xfId="38616"/>
    <cellStyle name="Percent 7 2 3 2 5 2" xfId="38617"/>
    <cellStyle name="Percent 7 2 3 2 5 2 2" xfId="38618"/>
    <cellStyle name="Percent 7 2 3 2 5 2 2 2" xfId="38619"/>
    <cellStyle name="Percent 7 2 3 2 5 2 2 2 2" xfId="38620"/>
    <cellStyle name="Percent 7 2 3 2 5 2 2 2 3" xfId="38621"/>
    <cellStyle name="Percent 7 2 3 2 5 2 2 3" xfId="38622"/>
    <cellStyle name="Percent 7 2 3 2 5 2 2 4" xfId="38623"/>
    <cellStyle name="Percent 7 2 3 2 5 2 3" xfId="38624"/>
    <cellStyle name="Percent 7 2 3 2 5 2 3 2" xfId="38625"/>
    <cellStyle name="Percent 7 2 3 2 5 2 3 3" xfId="38626"/>
    <cellStyle name="Percent 7 2 3 2 5 2 4" xfId="38627"/>
    <cellStyle name="Percent 7 2 3 2 5 2 4 2" xfId="38628"/>
    <cellStyle name="Percent 7 2 3 2 5 2 4 3" xfId="38629"/>
    <cellStyle name="Percent 7 2 3 2 5 2 5" xfId="38630"/>
    <cellStyle name="Percent 7 2 3 2 5 2 6" xfId="38631"/>
    <cellStyle name="Percent 7 2 3 2 5 3" xfId="38632"/>
    <cellStyle name="Percent 7 2 3 2 5 3 2" xfId="38633"/>
    <cellStyle name="Percent 7 2 3 2 5 3 2 2" xfId="38634"/>
    <cellStyle name="Percent 7 2 3 2 5 3 2 3" xfId="38635"/>
    <cellStyle name="Percent 7 2 3 2 5 3 3" xfId="38636"/>
    <cellStyle name="Percent 7 2 3 2 5 3 4" xfId="38637"/>
    <cellStyle name="Percent 7 2 3 2 5 4" xfId="38638"/>
    <cellStyle name="Percent 7 2 3 2 5 4 2" xfId="38639"/>
    <cellStyle name="Percent 7 2 3 2 5 4 3" xfId="38640"/>
    <cellStyle name="Percent 7 2 3 2 5 5" xfId="38641"/>
    <cellStyle name="Percent 7 2 3 2 5 5 2" xfId="38642"/>
    <cellStyle name="Percent 7 2 3 2 5 5 3" xfId="38643"/>
    <cellStyle name="Percent 7 2 3 2 5 6" xfId="38644"/>
    <cellStyle name="Percent 7 2 3 2 5 6 2" xfId="38645"/>
    <cellStyle name="Percent 7 2 3 2 5 7" xfId="38646"/>
    <cellStyle name="Percent 7 2 3 2 6" xfId="38647"/>
    <cellStyle name="Percent 7 2 3 2 6 2" xfId="38648"/>
    <cellStyle name="Percent 7 2 3 2 6 2 2" xfId="38649"/>
    <cellStyle name="Percent 7 2 3 2 6 2 2 2" xfId="38650"/>
    <cellStyle name="Percent 7 2 3 2 6 2 2 3" xfId="38651"/>
    <cellStyle name="Percent 7 2 3 2 6 2 3" xfId="38652"/>
    <cellStyle name="Percent 7 2 3 2 6 2 4" xfId="38653"/>
    <cellStyle name="Percent 7 2 3 2 6 3" xfId="38654"/>
    <cellStyle name="Percent 7 2 3 2 6 3 2" xfId="38655"/>
    <cellStyle name="Percent 7 2 3 2 6 3 3" xfId="38656"/>
    <cellStyle name="Percent 7 2 3 2 6 4" xfId="38657"/>
    <cellStyle name="Percent 7 2 3 2 6 4 2" xfId="38658"/>
    <cellStyle name="Percent 7 2 3 2 6 4 3" xfId="38659"/>
    <cellStyle name="Percent 7 2 3 2 6 5" xfId="38660"/>
    <cellStyle name="Percent 7 2 3 2 6 5 2" xfId="38661"/>
    <cellStyle name="Percent 7 2 3 2 6 6" xfId="38662"/>
    <cellStyle name="Percent 7 2 3 2 7" xfId="38663"/>
    <cellStyle name="Percent 7 2 3 2 7 2" xfId="38664"/>
    <cellStyle name="Percent 7 2 3 2 7 2 2" xfId="38665"/>
    <cellStyle name="Percent 7 2 3 2 7 2 3" xfId="38666"/>
    <cellStyle name="Percent 7 2 3 2 7 3" xfId="38667"/>
    <cellStyle name="Percent 7 2 3 2 7 4" xfId="38668"/>
    <cellStyle name="Percent 7 2 3 2 8" xfId="38669"/>
    <cellStyle name="Percent 7 2 3 2 8 2" xfId="38670"/>
    <cellStyle name="Percent 7 2 3 2 8 3" xfId="38671"/>
    <cellStyle name="Percent 7 2 3 2 9" xfId="38672"/>
    <cellStyle name="Percent 7 2 3 2 9 2" xfId="38673"/>
    <cellStyle name="Percent 7 2 3 2 9 3" xfId="38674"/>
    <cellStyle name="Percent 7 2 3 3" xfId="38675"/>
    <cellStyle name="Percent 7 2 3 3 2" xfId="38676"/>
    <cellStyle name="Percent 7 2 3 3 2 2" xfId="38677"/>
    <cellStyle name="Percent 7 2 3 3 2 2 2" xfId="38678"/>
    <cellStyle name="Percent 7 2 3 3 2 2 2 2" xfId="38679"/>
    <cellStyle name="Percent 7 2 3 3 2 2 2 2 2" xfId="38680"/>
    <cellStyle name="Percent 7 2 3 3 2 2 2 2 3" xfId="38681"/>
    <cellStyle name="Percent 7 2 3 3 2 2 2 3" xfId="38682"/>
    <cellStyle name="Percent 7 2 3 3 2 2 2 4" xfId="38683"/>
    <cellStyle name="Percent 7 2 3 3 2 2 3" xfId="38684"/>
    <cellStyle name="Percent 7 2 3 3 2 2 3 2" xfId="38685"/>
    <cellStyle name="Percent 7 2 3 3 2 2 3 3" xfId="38686"/>
    <cellStyle name="Percent 7 2 3 3 2 2 4" xfId="38687"/>
    <cellStyle name="Percent 7 2 3 3 2 2 4 2" xfId="38688"/>
    <cellStyle name="Percent 7 2 3 3 2 2 4 3" xfId="38689"/>
    <cellStyle name="Percent 7 2 3 3 2 2 5" xfId="38690"/>
    <cellStyle name="Percent 7 2 3 3 2 2 5 2" xfId="38691"/>
    <cellStyle name="Percent 7 2 3 3 2 2 6" xfId="38692"/>
    <cellStyle name="Percent 7 2 3 3 2 3" xfId="38693"/>
    <cellStyle name="Percent 7 2 3 3 2 3 2" xfId="38694"/>
    <cellStyle name="Percent 7 2 3 3 2 3 2 2" xfId="38695"/>
    <cellStyle name="Percent 7 2 3 3 2 3 2 3" xfId="38696"/>
    <cellStyle name="Percent 7 2 3 3 2 3 3" xfId="38697"/>
    <cellStyle name="Percent 7 2 3 3 2 3 4" xfId="38698"/>
    <cellStyle name="Percent 7 2 3 3 2 4" xfId="38699"/>
    <cellStyle name="Percent 7 2 3 3 2 4 2" xfId="38700"/>
    <cellStyle name="Percent 7 2 3 3 2 4 3" xfId="38701"/>
    <cellStyle name="Percent 7 2 3 3 2 5" xfId="38702"/>
    <cellStyle name="Percent 7 2 3 3 2 5 2" xfId="38703"/>
    <cellStyle name="Percent 7 2 3 3 2 5 3" xfId="38704"/>
    <cellStyle name="Percent 7 2 3 3 2 6" xfId="38705"/>
    <cellStyle name="Percent 7 2 3 3 2 6 2" xfId="38706"/>
    <cellStyle name="Percent 7 2 3 3 2 7" xfId="38707"/>
    <cellStyle name="Percent 7 2 3 3 3" xfId="38708"/>
    <cellStyle name="Percent 7 2 3 3 3 2" xfId="38709"/>
    <cellStyle name="Percent 7 2 3 3 3 2 2" xfId="38710"/>
    <cellStyle name="Percent 7 2 3 3 3 2 2 2" xfId="38711"/>
    <cellStyle name="Percent 7 2 3 3 3 2 2 3" xfId="38712"/>
    <cellStyle name="Percent 7 2 3 3 3 2 3" xfId="38713"/>
    <cellStyle name="Percent 7 2 3 3 3 2 3 2" xfId="38714"/>
    <cellStyle name="Percent 7 2 3 3 3 2 4" xfId="38715"/>
    <cellStyle name="Percent 7 2 3 3 3 3" xfId="38716"/>
    <cellStyle name="Percent 7 2 3 3 3 3 2" xfId="38717"/>
    <cellStyle name="Percent 7 2 3 3 3 3 3" xfId="38718"/>
    <cellStyle name="Percent 7 2 3 3 3 4" xfId="38719"/>
    <cellStyle name="Percent 7 2 3 3 3 4 2" xfId="38720"/>
    <cellStyle name="Percent 7 2 3 3 3 4 3" xfId="38721"/>
    <cellStyle name="Percent 7 2 3 3 3 5" xfId="38722"/>
    <cellStyle name="Percent 7 2 3 3 3 5 2" xfId="38723"/>
    <cellStyle name="Percent 7 2 3 3 3 6" xfId="38724"/>
    <cellStyle name="Percent 7 2 3 3 4" xfId="38725"/>
    <cellStyle name="Percent 7 2 3 3 4 2" xfId="38726"/>
    <cellStyle name="Percent 7 2 3 3 4 2 2" xfId="38727"/>
    <cellStyle name="Percent 7 2 3 3 4 2 2 2" xfId="38728"/>
    <cellStyle name="Percent 7 2 3 3 4 2 3" xfId="38729"/>
    <cellStyle name="Percent 7 2 3 3 4 3" xfId="38730"/>
    <cellStyle name="Percent 7 2 3 3 4 3 2" xfId="38731"/>
    <cellStyle name="Percent 7 2 3 3 4 4" xfId="38732"/>
    <cellStyle name="Percent 7 2 3 3 5" xfId="38733"/>
    <cellStyle name="Percent 7 2 3 3 5 2" xfId="38734"/>
    <cellStyle name="Percent 7 2 3 3 5 2 2" xfId="38735"/>
    <cellStyle name="Percent 7 2 3 3 5 3" xfId="38736"/>
    <cellStyle name="Percent 7 2 3 3 6" xfId="38737"/>
    <cellStyle name="Percent 7 2 3 3 6 2" xfId="38738"/>
    <cellStyle name="Percent 7 2 3 3 6 2 2" xfId="38739"/>
    <cellStyle name="Percent 7 2 3 3 6 3" xfId="38740"/>
    <cellStyle name="Percent 7 2 3 3 7" xfId="38741"/>
    <cellStyle name="Percent 7 2 3 3 7 2" xfId="38742"/>
    <cellStyle name="Percent 7 2 3 3 8" xfId="38743"/>
    <cellStyle name="Percent 7 2 3 4" xfId="38744"/>
    <cellStyle name="Percent 7 2 3 4 2" xfId="38745"/>
    <cellStyle name="Percent 7 2 3 4 2 2" xfId="38746"/>
    <cellStyle name="Percent 7 2 3 4 2 2 2" xfId="38747"/>
    <cellStyle name="Percent 7 2 3 4 2 2 2 2" xfId="38748"/>
    <cellStyle name="Percent 7 2 3 4 2 2 2 2 2" xfId="38749"/>
    <cellStyle name="Percent 7 2 3 4 2 2 2 2 3" xfId="38750"/>
    <cellStyle name="Percent 7 2 3 4 2 2 2 3" xfId="38751"/>
    <cellStyle name="Percent 7 2 3 4 2 2 2 4" xfId="38752"/>
    <cellStyle name="Percent 7 2 3 4 2 2 3" xfId="38753"/>
    <cellStyle name="Percent 7 2 3 4 2 2 3 2" xfId="38754"/>
    <cellStyle name="Percent 7 2 3 4 2 2 3 3" xfId="38755"/>
    <cellStyle name="Percent 7 2 3 4 2 2 4" xfId="38756"/>
    <cellStyle name="Percent 7 2 3 4 2 2 4 2" xfId="38757"/>
    <cellStyle name="Percent 7 2 3 4 2 2 4 3" xfId="38758"/>
    <cellStyle name="Percent 7 2 3 4 2 2 5" xfId="38759"/>
    <cellStyle name="Percent 7 2 3 4 2 2 5 2" xfId="38760"/>
    <cellStyle name="Percent 7 2 3 4 2 2 6" xfId="38761"/>
    <cellStyle name="Percent 7 2 3 4 2 3" xfId="38762"/>
    <cellStyle name="Percent 7 2 3 4 2 3 2" xfId="38763"/>
    <cellStyle name="Percent 7 2 3 4 2 3 2 2" xfId="38764"/>
    <cellStyle name="Percent 7 2 3 4 2 3 2 3" xfId="38765"/>
    <cellStyle name="Percent 7 2 3 4 2 3 3" xfId="38766"/>
    <cellStyle name="Percent 7 2 3 4 2 3 4" xfId="38767"/>
    <cellStyle name="Percent 7 2 3 4 2 4" xfId="38768"/>
    <cellStyle name="Percent 7 2 3 4 2 4 2" xfId="38769"/>
    <cellStyle name="Percent 7 2 3 4 2 4 3" xfId="38770"/>
    <cellStyle name="Percent 7 2 3 4 2 5" xfId="38771"/>
    <cellStyle name="Percent 7 2 3 4 2 5 2" xfId="38772"/>
    <cellStyle name="Percent 7 2 3 4 2 5 3" xfId="38773"/>
    <cellStyle name="Percent 7 2 3 4 2 6" xfId="38774"/>
    <cellStyle name="Percent 7 2 3 4 2 6 2" xfId="38775"/>
    <cellStyle name="Percent 7 2 3 4 2 7" xfId="38776"/>
    <cellStyle name="Percent 7 2 3 4 3" xfId="38777"/>
    <cellStyle name="Percent 7 2 3 4 3 2" xfId="38778"/>
    <cellStyle name="Percent 7 2 3 4 3 2 2" xfId="38779"/>
    <cellStyle name="Percent 7 2 3 4 3 2 2 2" xfId="38780"/>
    <cellStyle name="Percent 7 2 3 4 3 2 2 3" xfId="38781"/>
    <cellStyle name="Percent 7 2 3 4 3 2 3" xfId="38782"/>
    <cellStyle name="Percent 7 2 3 4 3 2 3 2" xfId="38783"/>
    <cellStyle name="Percent 7 2 3 4 3 2 4" xfId="38784"/>
    <cellStyle name="Percent 7 2 3 4 3 3" xfId="38785"/>
    <cellStyle name="Percent 7 2 3 4 3 3 2" xfId="38786"/>
    <cellStyle name="Percent 7 2 3 4 3 3 3" xfId="38787"/>
    <cellStyle name="Percent 7 2 3 4 3 4" xfId="38788"/>
    <cellStyle name="Percent 7 2 3 4 3 4 2" xfId="38789"/>
    <cellStyle name="Percent 7 2 3 4 3 4 3" xfId="38790"/>
    <cellStyle name="Percent 7 2 3 4 3 5" xfId="38791"/>
    <cellStyle name="Percent 7 2 3 4 3 5 2" xfId="38792"/>
    <cellStyle name="Percent 7 2 3 4 3 6" xfId="38793"/>
    <cellStyle name="Percent 7 2 3 4 4" xfId="38794"/>
    <cellStyle name="Percent 7 2 3 4 4 2" xfId="38795"/>
    <cellStyle name="Percent 7 2 3 4 4 2 2" xfId="38796"/>
    <cellStyle name="Percent 7 2 3 4 4 2 2 2" xfId="38797"/>
    <cellStyle name="Percent 7 2 3 4 4 2 3" xfId="38798"/>
    <cellStyle name="Percent 7 2 3 4 4 3" xfId="38799"/>
    <cellStyle name="Percent 7 2 3 4 4 3 2" xfId="38800"/>
    <cellStyle name="Percent 7 2 3 4 4 4" xfId="38801"/>
    <cellStyle name="Percent 7 2 3 4 5" xfId="38802"/>
    <cellStyle name="Percent 7 2 3 4 5 2" xfId="38803"/>
    <cellStyle name="Percent 7 2 3 4 5 2 2" xfId="38804"/>
    <cellStyle name="Percent 7 2 3 4 5 3" xfId="38805"/>
    <cellStyle name="Percent 7 2 3 4 6" xfId="38806"/>
    <cellStyle name="Percent 7 2 3 4 6 2" xfId="38807"/>
    <cellStyle name="Percent 7 2 3 4 6 2 2" xfId="38808"/>
    <cellStyle name="Percent 7 2 3 4 6 3" xfId="38809"/>
    <cellStyle name="Percent 7 2 3 4 7" xfId="38810"/>
    <cellStyle name="Percent 7 2 3 4 7 2" xfId="38811"/>
    <cellStyle name="Percent 7 2 3 4 8" xfId="38812"/>
    <cellStyle name="Percent 7 2 3 5" xfId="38813"/>
    <cellStyle name="Percent 7 2 3 5 2" xfId="38814"/>
    <cellStyle name="Percent 7 2 3 5 2 2" xfId="38815"/>
    <cellStyle name="Percent 7 2 3 5 2 2 2" xfId="38816"/>
    <cellStyle name="Percent 7 2 3 5 2 2 2 2" xfId="38817"/>
    <cellStyle name="Percent 7 2 3 5 2 2 2 2 2" xfId="38818"/>
    <cellStyle name="Percent 7 2 3 5 2 2 2 2 3" xfId="38819"/>
    <cellStyle name="Percent 7 2 3 5 2 2 2 3" xfId="38820"/>
    <cellStyle name="Percent 7 2 3 5 2 2 2 4" xfId="38821"/>
    <cellStyle name="Percent 7 2 3 5 2 2 3" xfId="38822"/>
    <cellStyle name="Percent 7 2 3 5 2 2 3 2" xfId="38823"/>
    <cellStyle name="Percent 7 2 3 5 2 2 3 3" xfId="38824"/>
    <cellStyle name="Percent 7 2 3 5 2 2 4" xfId="38825"/>
    <cellStyle name="Percent 7 2 3 5 2 2 4 2" xfId="38826"/>
    <cellStyle name="Percent 7 2 3 5 2 2 4 3" xfId="38827"/>
    <cellStyle name="Percent 7 2 3 5 2 2 5" xfId="38828"/>
    <cellStyle name="Percent 7 2 3 5 2 2 5 2" xfId="38829"/>
    <cellStyle name="Percent 7 2 3 5 2 2 6" xfId="38830"/>
    <cellStyle name="Percent 7 2 3 5 2 3" xfId="38831"/>
    <cellStyle name="Percent 7 2 3 5 2 3 2" xfId="38832"/>
    <cellStyle name="Percent 7 2 3 5 2 3 2 2" xfId="38833"/>
    <cellStyle name="Percent 7 2 3 5 2 3 2 3" xfId="38834"/>
    <cellStyle name="Percent 7 2 3 5 2 3 3" xfId="38835"/>
    <cellStyle name="Percent 7 2 3 5 2 3 4" xfId="38836"/>
    <cellStyle name="Percent 7 2 3 5 2 4" xfId="38837"/>
    <cellStyle name="Percent 7 2 3 5 2 4 2" xfId="38838"/>
    <cellStyle name="Percent 7 2 3 5 2 4 3" xfId="38839"/>
    <cellStyle name="Percent 7 2 3 5 2 5" xfId="38840"/>
    <cellStyle name="Percent 7 2 3 5 2 5 2" xfId="38841"/>
    <cellStyle name="Percent 7 2 3 5 2 5 3" xfId="38842"/>
    <cellStyle name="Percent 7 2 3 5 2 6" xfId="38843"/>
    <cellStyle name="Percent 7 2 3 5 2 6 2" xfId="38844"/>
    <cellStyle name="Percent 7 2 3 5 2 7" xfId="38845"/>
    <cellStyle name="Percent 7 2 3 5 3" xfId="38846"/>
    <cellStyle name="Percent 7 2 3 5 3 2" xfId="38847"/>
    <cellStyle name="Percent 7 2 3 5 3 2 2" xfId="38848"/>
    <cellStyle name="Percent 7 2 3 5 3 2 2 2" xfId="38849"/>
    <cellStyle name="Percent 7 2 3 5 3 2 2 3" xfId="38850"/>
    <cellStyle name="Percent 7 2 3 5 3 2 3" xfId="38851"/>
    <cellStyle name="Percent 7 2 3 5 3 2 3 2" xfId="38852"/>
    <cellStyle name="Percent 7 2 3 5 3 2 4" xfId="38853"/>
    <cellStyle name="Percent 7 2 3 5 3 3" xfId="38854"/>
    <cellStyle name="Percent 7 2 3 5 3 3 2" xfId="38855"/>
    <cellStyle name="Percent 7 2 3 5 3 3 3" xfId="38856"/>
    <cellStyle name="Percent 7 2 3 5 3 4" xfId="38857"/>
    <cellStyle name="Percent 7 2 3 5 3 4 2" xfId="38858"/>
    <cellStyle name="Percent 7 2 3 5 3 4 3" xfId="38859"/>
    <cellStyle name="Percent 7 2 3 5 3 5" xfId="38860"/>
    <cellStyle name="Percent 7 2 3 5 3 5 2" xfId="38861"/>
    <cellStyle name="Percent 7 2 3 5 3 6" xfId="38862"/>
    <cellStyle name="Percent 7 2 3 5 4" xfId="38863"/>
    <cellStyle name="Percent 7 2 3 5 4 2" xfId="38864"/>
    <cellStyle name="Percent 7 2 3 5 4 2 2" xfId="38865"/>
    <cellStyle name="Percent 7 2 3 5 4 2 3" xfId="38866"/>
    <cellStyle name="Percent 7 2 3 5 4 3" xfId="38867"/>
    <cellStyle name="Percent 7 2 3 5 4 3 2" xfId="38868"/>
    <cellStyle name="Percent 7 2 3 5 4 4" xfId="38869"/>
    <cellStyle name="Percent 7 2 3 5 5" xfId="38870"/>
    <cellStyle name="Percent 7 2 3 5 5 2" xfId="38871"/>
    <cellStyle name="Percent 7 2 3 5 5 2 2" xfId="38872"/>
    <cellStyle name="Percent 7 2 3 5 5 3" xfId="38873"/>
    <cellStyle name="Percent 7 2 3 5 6" xfId="38874"/>
    <cellStyle name="Percent 7 2 3 5 6 2" xfId="38875"/>
    <cellStyle name="Percent 7 2 3 5 6 3" xfId="38876"/>
    <cellStyle name="Percent 7 2 3 5 7" xfId="38877"/>
    <cellStyle name="Percent 7 2 3 5 7 2" xfId="38878"/>
    <cellStyle name="Percent 7 2 3 5 8" xfId="38879"/>
    <cellStyle name="Percent 7 2 3 6" xfId="38880"/>
    <cellStyle name="Percent 7 2 3 6 2" xfId="38881"/>
    <cellStyle name="Percent 7 2 3 6 2 2" xfId="38882"/>
    <cellStyle name="Percent 7 2 3 6 2 2 2" xfId="38883"/>
    <cellStyle name="Percent 7 2 3 6 2 2 2 2" xfId="38884"/>
    <cellStyle name="Percent 7 2 3 6 2 2 2 3" xfId="38885"/>
    <cellStyle name="Percent 7 2 3 6 2 2 3" xfId="38886"/>
    <cellStyle name="Percent 7 2 3 6 2 2 4" xfId="38887"/>
    <cellStyle name="Percent 7 2 3 6 2 3" xfId="38888"/>
    <cellStyle name="Percent 7 2 3 6 2 3 2" xfId="38889"/>
    <cellStyle name="Percent 7 2 3 6 2 3 3" xfId="38890"/>
    <cellStyle name="Percent 7 2 3 6 2 4" xfId="38891"/>
    <cellStyle name="Percent 7 2 3 6 2 4 2" xfId="38892"/>
    <cellStyle name="Percent 7 2 3 6 2 4 3" xfId="38893"/>
    <cellStyle name="Percent 7 2 3 6 2 5" xfId="38894"/>
    <cellStyle name="Percent 7 2 3 6 2 5 2" xfId="38895"/>
    <cellStyle name="Percent 7 2 3 6 2 6" xfId="38896"/>
    <cellStyle name="Percent 7 2 3 6 3" xfId="38897"/>
    <cellStyle name="Percent 7 2 3 6 3 2" xfId="38898"/>
    <cellStyle name="Percent 7 2 3 6 3 2 2" xfId="38899"/>
    <cellStyle name="Percent 7 2 3 6 3 2 3" xfId="38900"/>
    <cellStyle name="Percent 7 2 3 6 3 3" xfId="38901"/>
    <cellStyle name="Percent 7 2 3 6 3 4" xfId="38902"/>
    <cellStyle name="Percent 7 2 3 6 4" xfId="38903"/>
    <cellStyle name="Percent 7 2 3 6 4 2" xfId="38904"/>
    <cellStyle name="Percent 7 2 3 6 4 3" xfId="38905"/>
    <cellStyle name="Percent 7 2 3 6 5" xfId="38906"/>
    <cellStyle name="Percent 7 2 3 6 5 2" xfId="38907"/>
    <cellStyle name="Percent 7 2 3 6 5 3" xfId="38908"/>
    <cellStyle name="Percent 7 2 3 6 6" xfId="38909"/>
    <cellStyle name="Percent 7 2 3 6 6 2" xfId="38910"/>
    <cellStyle name="Percent 7 2 3 6 7" xfId="38911"/>
    <cellStyle name="Percent 7 2 3 7" xfId="38912"/>
    <cellStyle name="Percent 7 2 3 7 2" xfId="38913"/>
    <cellStyle name="Percent 7 2 3 7 2 2" xfId="38914"/>
    <cellStyle name="Percent 7 2 3 7 2 2 2" xfId="38915"/>
    <cellStyle name="Percent 7 2 3 7 2 2 3" xfId="38916"/>
    <cellStyle name="Percent 7 2 3 7 2 3" xfId="38917"/>
    <cellStyle name="Percent 7 2 3 7 2 3 2" xfId="38918"/>
    <cellStyle name="Percent 7 2 3 7 2 4" xfId="38919"/>
    <cellStyle name="Percent 7 2 3 7 3" xfId="38920"/>
    <cellStyle name="Percent 7 2 3 7 3 2" xfId="38921"/>
    <cellStyle name="Percent 7 2 3 7 3 3" xfId="38922"/>
    <cellStyle name="Percent 7 2 3 7 4" xfId="38923"/>
    <cellStyle name="Percent 7 2 3 7 4 2" xfId="38924"/>
    <cellStyle name="Percent 7 2 3 7 4 3" xfId="38925"/>
    <cellStyle name="Percent 7 2 3 7 5" xfId="38926"/>
    <cellStyle name="Percent 7 2 3 7 5 2" xfId="38927"/>
    <cellStyle name="Percent 7 2 3 7 6" xfId="38928"/>
    <cellStyle name="Percent 7 2 3 8" xfId="38929"/>
    <cellStyle name="Percent 7 2 3 8 2" xfId="38930"/>
    <cellStyle name="Percent 7 2 3 8 2 2" xfId="38931"/>
    <cellStyle name="Percent 7 2 3 8 2 2 2" xfId="38932"/>
    <cellStyle name="Percent 7 2 3 8 2 3" xfId="38933"/>
    <cellStyle name="Percent 7 2 3 8 3" xfId="38934"/>
    <cellStyle name="Percent 7 2 3 8 3 2" xfId="38935"/>
    <cellStyle name="Percent 7 2 3 8 4" xfId="38936"/>
    <cellStyle name="Percent 7 2 3 9" xfId="38937"/>
    <cellStyle name="Percent 7 2 3 9 2" xfId="38938"/>
    <cellStyle name="Percent 7 2 3 9 2 2" xfId="38939"/>
    <cellStyle name="Percent 7 2 3 9 3" xfId="38940"/>
    <cellStyle name="Percent 7 2 4" xfId="38941"/>
    <cellStyle name="Percent 7 2 4 10" xfId="38942"/>
    <cellStyle name="Percent 7 2 4 10 2" xfId="38943"/>
    <cellStyle name="Percent 7 2 4 11" xfId="38944"/>
    <cellStyle name="Percent 7 2 4 12" xfId="38945"/>
    <cellStyle name="Percent 7 2 4 2" xfId="38946"/>
    <cellStyle name="Percent 7 2 4 2 2" xfId="38947"/>
    <cellStyle name="Percent 7 2 4 2 2 2" xfId="38948"/>
    <cellStyle name="Percent 7 2 4 2 2 2 2" xfId="38949"/>
    <cellStyle name="Percent 7 2 4 2 2 2 2 2" xfId="38950"/>
    <cellStyle name="Percent 7 2 4 2 2 2 2 2 2" xfId="38951"/>
    <cellStyle name="Percent 7 2 4 2 2 2 2 2 3" xfId="38952"/>
    <cellStyle name="Percent 7 2 4 2 2 2 2 3" xfId="38953"/>
    <cellStyle name="Percent 7 2 4 2 2 2 2 4" xfId="38954"/>
    <cellStyle name="Percent 7 2 4 2 2 2 3" xfId="38955"/>
    <cellStyle name="Percent 7 2 4 2 2 2 3 2" xfId="38956"/>
    <cellStyle name="Percent 7 2 4 2 2 2 3 3" xfId="38957"/>
    <cellStyle name="Percent 7 2 4 2 2 2 4" xfId="38958"/>
    <cellStyle name="Percent 7 2 4 2 2 2 4 2" xfId="38959"/>
    <cellStyle name="Percent 7 2 4 2 2 2 4 3" xfId="38960"/>
    <cellStyle name="Percent 7 2 4 2 2 2 5" xfId="38961"/>
    <cellStyle name="Percent 7 2 4 2 2 2 5 2" xfId="38962"/>
    <cellStyle name="Percent 7 2 4 2 2 2 6" xfId="38963"/>
    <cellStyle name="Percent 7 2 4 2 2 3" xfId="38964"/>
    <cellStyle name="Percent 7 2 4 2 2 3 2" xfId="38965"/>
    <cellStyle name="Percent 7 2 4 2 2 3 2 2" xfId="38966"/>
    <cellStyle name="Percent 7 2 4 2 2 3 2 3" xfId="38967"/>
    <cellStyle name="Percent 7 2 4 2 2 3 3" xfId="38968"/>
    <cellStyle name="Percent 7 2 4 2 2 3 4" xfId="38969"/>
    <cellStyle name="Percent 7 2 4 2 2 4" xfId="38970"/>
    <cellStyle name="Percent 7 2 4 2 2 4 2" xfId="38971"/>
    <cellStyle name="Percent 7 2 4 2 2 4 3" xfId="38972"/>
    <cellStyle name="Percent 7 2 4 2 2 5" xfId="38973"/>
    <cellStyle name="Percent 7 2 4 2 2 5 2" xfId="38974"/>
    <cellStyle name="Percent 7 2 4 2 2 5 3" xfId="38975"/>
    <cellStyle name="Percent 7 2 4 2 2 6" xfId="38976"/>
    <cellStyle name="Percent 7 2 4 2 2 6 2" xfId="38977"/>
    <cellStyle name="Percent 7 2 4 2 2 7" xfId="38978"/>
    <cellStyle name="Percent 7 2 4 2 3" xfId="38979"/>
    <cellStyle name="Percent 7 2 4 2 3 2" xfId="38980"/>
    <cellStyle name="Percent 7 2 4 2 3 2 2" xfId="38981"/>
    <cellStyle name="Percent 7 2 4 2 3 2 2 2" xfId="38982"/>
    <cellStyle name="Percent 7 2 4 2 3 2 2 3" xfId="38983"/>
    <cellStyle name="Percent 7 2 4 2 3 2 3" xfId="38984"/>
    <cellStyle name="Percent 7 2 4 2 3 2 3 2" xfId="38985"/>
    <cellStyle name="Percent 7 2 4 2 3 2 4" xfId="38986"/>
    <cellStyle name="Percent 7 2 4 2 3 3" xfId="38987"/>
    <cellStyle name="Percent 7 2 4 2 3 3 2" xfId="38988"/>
    <cellStyle name="Percent 7 2 4 2 3 3 3" xfId="38989"/>
    <cellStyle name="Percent 7 2 4 2 3 4" xfId="38990"/>
    <cellStyle name="Percent 7 2 4 2 3 4 2" xfId="38991"/>
    <cellStyle name="Percent 7 2 4 2 3 4 3" xfId="38992"/>
    <cellStyle name="Percent 7 2 4 2 3 5" xfId="38993"/>
    <cellStyle name="Percent 7 2 4 2 3 5 2" xfId="38994"/>
    <cellStyle name="Percent 7 2 4 2 3 6" xfId="38995"/>
    <cellStyle name="Percent 7 2 4 2 4" xfId="38996"/>
    <cellStyle name="Percent 7 2 4 2 4 2" xfId="38997"/>
    <cellStyle name="Percent 7 2 4 2 4 2 2" xfId="38998"/>
    <cellStyle name="Percent 7 2 4 2 4 2 2 2" xfId="38999"/>
    <cellStyle name="Percent 7 2 4 2 4 2 3" xfId="39000"/>
    <cellStyle name="Percent 7 2 4 2 4 3" xfId="39001"/>
    <cellStyle name="Percent 7 2 4 2 4 3 2" xfId="39002"/>
    <cellStyle name="Percent 7 2 4 2 4 4" xfId="39003"/>
    <cellStyle name="Percent 7 2 4 2 5" xfId="39004"/>
    <cellStyle name="Percent 7 2 4 2 5 2" xfId="39005"/>
    <cellStyle name="Percent 7 2 4 2 5 2 2" xfId="39006"/>
    <cellStyle name="Percent 7 2 4 2 5 3" xfId="39007"/>
    <cellStyle name="Percent 7 2 4 2 6" xfId="39008"/>
    <cellStyle name="Percent 7 2 4 2 6 2" xfId="39009"/>
    <cellStyle name="Percent 7 2 4 2 6 2 2" xfId="39010"/>
    <cellStyle name="Percent 7 2 4 2 6 3" xfId="39011"/>
    <cellStyle name="Percent 7 2 4 2 7" xfId="39012"/>
    <cellStyle name="Percent 7 2 4 2 7 2" xfId="39013"/>
    <cellStyle name="Percent 7 2 4 2 8" xfId="39014"/>
    <cellStyle name="Percent 7 2 4 3" xfId="39015"/>
    <cellStyle name="Percent 7 2 4 3 2" xfId="39016"/>
    <cellStyle name="Percent 7 2 4 3 2 2" xfId="39017"/>
    <cellStyle name="Percent 7 2 4 3 2 2 2" xfId="39018"/>
    <cellStyle name="Percent 7 2 4 3 2 2 2 2" xfId="39019"/>
    <cellStyle name="Percent 7 2 4 3 2 2 2 2 2" xfId="39020"/>
    <cellStyle name="Percent 7 2 4 3 2 2 2 2 3" xfId="39021"/>
    <cellStyle name="Percent 7 2 4 3 2 2 2 3" xfId="39022"/>
    <cellStyle name="Percent 7 2 4 3 2 2 2 4" xfId="39023"/>
    <cellStyle name="Percent 7 2 4 3 2 2 3" xfId="39024"/>
    <cellStyle name="Percent 7 2 4 3 2 2 3 2" xfId="39025"/>
    <cellStyle name="Percent 7 2 4 3 2 2 3 3" xfId="39026"/>
    <cellStyle name="Percent 7 2 4 3 2 2 4" xfId="39027"/>
    <cellStyle name="Percent 7 2 4 3 2 2 4 2" xfId="39028"/>
    <cellStyle name="Percent 7 2 4 3 2 2 4 3" xfId="39029"/>
    <cellStyle name="Percent 7 2 4 3 2 2 5" xfId="39030"/>
    <cellStyle name="Percent 7 2 4 3 2 2 5 2" xfId="39031"/>
    <cellStyle name="Percent 7 2 4 3 2 2 6" xfId="39032"/>
    <cellStyle name="Percent 7 2 4 3 2 3" xfId="39033"/>
    <cellStyle name="Percent 7 2 4 3 2 3 2" xfId="39034"/>
    <cellStyle name="Percent 7 2 4 3 2 3 2 2" xfId="39035"/>
    <cellStyle name="Percent 7 2 4 3 2 3 2 3" xfId="39036"/>
    <cellStyle name="Percent 7 2 4 3 2 3 3" xfId="39037"/>
    <cellStyle name="Percent 7 2 4 3 2 3 4" xfId="39038"/>
    <cellStyle name="Percent 7 2 4 3 2 4" xfId="39039"/>
    <cellStyle name="Percent 7 2 4 3 2 4 2" xfId="39040"/>
    <cellStyle name="Percent 7 2 4 3 2 4 3" xfId="39041"/>
    <cellStyle name="Percent 7 2 4 3 2 5" xfId="39042"/>
    <cellStyle name="Percent 7 2 4 3 2 5 2" xfId="39043"/>
    <cellStyle name="Percent 7 2 4 3 2 5 3" xfId="39044"/>
    <cellStyle name="Percent 7 2 4 3 2 6" xfId="39045"/>
    <cellStyle name="Percent 7 2 4 3 2 6 2" xfId="39046"/>
    <cellStyle name="Percent 7 2 4 3 2 7" xfId="39047"/>
    <cellStyle name="Percent 7 2 4 3 3" xfId="39048"/>
    <cellStyle name="Percent 7 2 4 3 3 2" xfId="39049"/>
    <cellStyle name="Percent 7 2 4 3 3 2 2" xfId="39050"/>
    <cellStyle name="Percent 7 2 4 3 3 2 2 2" xfId="39051"/>
    <cellStyle name="Percent 7 2 4 3 3 2 2 3" xfId="39052"/>
    <cellStyle name="Percent 7 2 4 3 3 2 3" xfId="39053"/>
    <cellStyle name="Percent 7 2 4 3 3 2 3 2" xfId="39054"/>
    <cellStyle name="Percent 7 2 4 3 3 2 4" xfId="39055"/>
    <cellStyle name="Percent 7 2 4 3 3 3" xfId="39056"/>
    <cellStyle name="Percent 7 2 4 3 3 3 2" xfId="39057"/>
    <cellStyle name="Percent 7 2 4 3 3 3 3" xfId="39058"/>
    <cellStyle name="Percent 7 2 4 3 3 4" xfId="39059"/>
    <cellStyle name="Percent 7 2 4 3 3 4 2" xfId="39060"/>
    <cellStyle name="Percent 7 2 4 3 3 4 3" xfId="39061"/>
    <cellStyle name="Percent 7 2 4 3 3 5" xfId="39062"/>
    <cellStyle name="Percent 7 2 4 3 3 5 2" xfId="39063"/>
    <cellStyle name="Percent 7 2 4 3 3 6" xfId="39064"/>
    <cellStyle name="Percent 7 2 4 3 4" xfId="39065"/>
    <cellStyle name="Percent 7 2 4 3 4 2" xfId="39066"/>
    <cellStyle name="Percent 7 2 4 3 4 2 2" xfId="39067"/>
    <cellStyle name="Percent 7 2 4 3 4 2 2 2" xfId="39068"/>
    <cellStyle name="Percent 7 2 4 3 4 2 3" xfId="39069"/>
    <cellStyle name="Percent 7 2 4 3 4 3" xfId="39070"/>
    <cellStyle name="Percent 7 2 4 3 4 3 2" xfId="39071"/>
    <cellStyle name="Percent 7 2 4 3 4 4" xfId="39072"/>
    <cellStyle name="Percent 7 2 4 3 5" xfId="39073"/>
    <cellStyle name="Percent 7 2 4 3 5 2" xfId="39074"/>
    <cellStyle name="Percent 7 2 4 3 5 2 2" xfId="39075"/>
    <cellStyle name="Percent 7 2 4 3 5 3" xfId="39076"/>
    <cellStyle name="Percent 7 2 4 3 6" xfId="39077"/>
    <cellStyle name="Percent 7 2 4 3 6 2" xfId="39078"/>
    <cellStyle name="Percent 7 2 4 3 6 2 2" xfId="39079"/>
    <cellStyle name="Percent 7 2 4 3 6 3" xfId="39080"/>
    <cellStyle name="Percent 7 2 4 3 7" xfId="39081"/>
    <cellStyle name="Percent 7 2 4 3 7 2" xfId="39082"/>
    <cellStyle name="Percent 7 2 4 3 8" xfId="39083"/>
    <cellStyle name="Percent 7 2 4 4" xfId="39084"/>
    <cellStyle name="Percent 7 2 4 4 2" xfId="39085"/>
    <cellStyle name="Percent 7 2 4 4 2 2" xfId="39086"/>
    <cellStyle name="Percent 7 2 4 4 2 2 2" xfId="39087"/>
    <cellStyle name="Percent 7 2 4 4 2 2 2 2" xfId="39088"/>
    <cellStyle name="Percent 7 2 4 4 2 2 2 2 2" xfId="39089"/>
    <cellStyle name="Percent 7 2 4 4 2 2 2 2 3" xfId="39090"/>
    <cellStyle name="Percent 7 2 4 4 2 2 2 3" xfId="39091"/>
    <cellStyle name="Percent 7 2 4 4 2 2 2 4" xfId="39092"/>
    <cellStyle name="Percent 7 2 4 4 2 2 3" xfId="39093"/>
    <cellStyle name="Percent 7 2 4 4 2 2 3 2" xfId="39094"/>
    <cellStyle name="Percent 7 2 4 4 2 2 3 3" xfId="39095"/>
    <cellStyle name="Percent 7 2 4 4 2 2 4" xfId="39096"/>
    <cellStyle name="Percent 7 2 4 4 2 2 4 2" xfId="39097"/>
    <cellStyle name="Percent 7 2 4 4 2 2 4 3" xfId="39098"/>
    <cellStyle name="Percent 7 2 4 4 2 2 5" xfId="39099"/>
    <cellStyle name="Percent 7 2 4 4 2 2 5 2" xfId="39100"/>
    <cellStyle name="Percent 7 2 4 4 2 2 6" xfId="39101"/>
    <cellStyle name="Percent 7 2 4 4 2 3" xfId="39102"/>
    <cellStyle name="Percent 7 2 4 4 2 3 2" xfId="39103"/>
    <cellStyle name="Percent 7 2 4 4 2 3 2 2" xfId="39104"/>
    <cellStyle name="Percent 7 2 4 4 2 3 2 3" xfId="39105"/>
    <cellStyle name="Percent 7 2 4 4 2 3 3" xfId="39106"/>
    <cellStyle name="Percent 7 2 4 4 2 3 4" xfId="39107"/>
    <cellStyle name="Percent 7 2 4 4 2 4" xfId="39108"/>
    <cellStyle name="Percent 7 2 4 4 2 4 2" xfId="39109"/>
    <cellStyle name="Percent 7 2 4 4 2 4 3" xfId="39110"/>
    <cellStyle name="Percent 7 2 4 4 2 5" xfId="39111"/>
    <cellStyle name="Percent 7 2 4 4 2 5 2" xfId="39112"/>
    <cellStyle name="Percent 7 2 4 4 2 5 3" xfId="39113"/>
    <cellStyle name="Percent 7 2 4 4 2 6" xfId="39114"/>
    <cellStyle name="Percent 7 2 4 4 2 6 2" xfId="39115"/>
    <cellStyle name="Percent 7 2 4 4 2 7" xfId="39116"/>
    <cellStyle name="Percent 7 2 4 4 3" xfId="39117"/>
    <cellStyle name="Percent 7 2 4 4 3 2" xfId="39118"/>
    <cellStyle name="Percent 7 2 4 4 3 2 2" xfId="39119"/>
    <cellStyle name="Percent 7 2 4 4 3 2 2 2" xfId="39120"/>
    <cellStyle name="Percent 7 2 4 4 3 2 2 3" xfId="39121"/>
    <cellStyle name="Percent 7 2 4 4 3 2 3" xfId="39122"/>
    <cellStyle name="Percent 7 2 4 4 3 2 3 2" xfId="39123"/>
    <cellStyle name="Percent 7 2 4 4 3 2 4" xfId="39124"/>
    <cellStyle name="Percent 7 2 4 4 3 3" xfId="39125"/>
    <cellStyle name="Percent 7 2 4 4 3 3 2" xfId="39126"/>
    <cellStyle name="Percent 7 2 4 4 3 3 3" xfId="39127"/>
    <cellStyle name="Percent 7 2 4 4 3 4" xfId="39128"/>
    <cellStyle name="Percent 7 2 4 4 3 4 2" xfId="39129"/>
    <cellStyle name="Percent 7 2 4 4 3 4 3" xfId="39130"/>
    <cellStyle name="Percent 7 2 4 4 3 5" xfId="39131"/>
    <cellStyle name="Percent 7 2 4 4 3 5 2" xfId="39132"/>
    <cellStyle name="Percent 7 2 4 4 3 6" xfId="39133"/>
    <cellStyle name="Percent 7 2 4 4 4" xfId="39134"/>
    <cellStyle name="Percent 7 2 4 4 4 2" xfId="39135"/>
    <cellStyle name="Percent 7 2 4 4 4 2 2" xfId="39136"/>
    <cellStyle name="Percent 7 2 4 4 4 2 2 2" xfId="39137"/>
    <cellStyle name="Percent 7 2 4 4 4 2 3" xfId="39138"/>
    <cellStyle name="Percent 7 2 4 4 4 3" xfId="39139"/>
    <cellStyle name="Percent 7 2 4 4 4 3 2" xfId="39140"/>
    <cellStyle name="Percent 7 2 4 4 4 4" xfId="39141"/>
    <cellStyle name="Percent 7 2 4 4 5" xfId="39142"/>
    <cellStyle name="Percent 7 2 4 4 5 2" xfId="39143"/>
    <cellStyle name="Percent 7 2 4 4 5 2 2" xfId="39144"/>
    <cellStyle name="Percent 7 2 4 4 5 3" xfId="39145"/>
    <cellStyle name="Percent 7 2 4 4 6" xfId="39146"/>
    <cellStyle name="Percent 7 2 4 4 6 2" xfId="39147"/>
    <cellStyle name="Percent 7 2 4 4 6 2 2" xfId="39148"/>
    <cellStyle name="Percent 7 2 4 4 6 3" xfId="39149"/>
    <cellStyle name="Percent 7 2 4 4 7" xfId="39150"/>
    <cellStyle name="Percent 7 2 4 4 7 2" xfId="39151"/>
    <cellStyle name="Percent 7 2 4 4 8" xfId="39152"/>
    <cellStyle name="Percent 7 2 4 5" xfId="39153"/>
    <cellStyle name="Percent 7 2 4 5 2" xfId="39154"/>
    <cellStyle name="Percent 7 2 4 5 2 2" xfId="39155"/>
    <cellStyle name="Percent 7 2 4 5 2 2 2" xfId="39156"/>
    <cellStyle name="Percent 7 2 4 5 2 2 2 2" xfId="39157"/>
    <cellStyle name="Percent 7 2 4 5 2 2 2 3" xfId="39158"/>
    <cellStyle name="Percent 7 2 4 5 2 2 3" xfId="39159"/>
    <cellStyle name="Percent 7 2 4 5 2 2 3 2" xfId="39160"/>
    <cellStyle name="Percent 7 2 4 5 2 2 4" xfId="39161"/>
    <cellStyle name="Percent 7 2 4 5 2 3" xfId="39162"/>
    <cellStyle name="Percent 7 2 4 5 2 3 2" xfId="39163"/>
    <cellStyle name="Percent 7 2 4 5 2 3 3" xfId="39164"/>
    <cellStyle name="Percent 7 2 4 5 2 4" xfId="39165"/>
    <cellStyle name="Percent 7 2 4 5 2 4 2" xfId="39166"/>
    <cellStyle name="Percent 7 2 4 5 2 4 3" xfId="39167"/>
    <cellStyle name="Percent 7 2 4 5 2 5" xfId="39168"/>
    <cellStyle name="Percent 7 2 4 5 2 5 2" xfId="39169"/>
    <cellStyle name="Percent 7 2 4 5 2 6" xfId="39170"/>
    <cellStyle name="Percent 7 2 4 5 3" xfId="39171"/>
    <cellStyle name="Percent 7 2 4 5 3 2" xfId="39172"/>
    <cellStyle name="Percent 7 2 4 5 3 2 2" xfId="39173"/>
    <cellStyle name="Percent 7 2 4 5 3 2 2 2" xfId="39174"/>
    <cellStyle name="Percent 7 2 4 5 3 2 3" xfId="39175"/>
    <cellStyle name="Percent 7 2 4 5 3 3" xfId="39176"/>
    <cellStyle name="Percent 7 2 4 5 3 3 2" xfId="39177"/>
    <cellStyle name="Percent 7 2 4 5 3 4" xfId="39178"/>
    <cellStyle name="Percent 7 2 4 5 4" xfId="39179"/>
    <cellStyle name="Percent 7 2 4 5 4 2" xfId="39180"/>
    <cellStyle name="Percent 7 2 4 5 4 2 2" xfId="39181"/>
    <cellStyle name="Percent 7 2 4 5 4 3" xfId="39182"/>
    <cellStyle name="Percent 7 2 4 5 5" xfId="39183"/>
    <cellStyle name="Percent 7 2 4 5 5 2" xfId="39184"/>
    <cellStyle name="Percent 7 2 4 5 5 2 2" xfId="39185"/>
    <cellStyle name="Percent 7 2 4 5 5 3" xfId="39186"/>
    <cellStyle name="Percent 7 2 4 5 6" xfId="39187"/>
    <cellStyle name="Percent 7 2 4 5 6 2" xfId="39188"/>
    <cellStyle name="Percent 7 2 4 5 7" xfId="39189"/>
    <cellStyle name="Percent 7 2 4 6" xfId="39190"/>
    <cellStyle name="Percent 7 2 4 6 2" xfId="39191"/>
    <cellStyle name="Percent 7 2 4 6 2 2" xfId="39192"/>
    <cellStyle name="Percent 7 2 4 6 2 2 2" xfId="39193"/>
    <cellStyle name="Percent 7 2 4 6 2 2 3" xfId="39194"/>
    <cellStyle name="Percent 7 2 4 6 2 3" xfId="39195"/>
    <cellStyle name="Percent 7 2 4 6 2 3 2" xfId="39196"/>
    <cellStyle name="Percent 7 2 4 6 2 4" xfId="39197"/>
    <cellStyle name="Percent 7 2 4 6 3" xfId="39198"/>
    <cellStyle name="Percent 7 2 4 6 3 2" xfId="39199"/>
    <cellStyle name="Percent 7 2 4 6 3 3" xfId="39200"/>
    <cellStyle name="Percent 7 2 4 6 4" xfId="39201"/>
    <cellStyle name="Percent 7 2 4 6 4 2" xfId="39202"/>
    <cellStyle name="Percent 7 2 4 6 4 3" xfId="39203"/>
    <cellStyle name="Percent 7 2 4 6 5" xfId="39204"/>
    <cellStyle name="Percent 7 2 4 6 5 2" xfId="39205"/>
    <cellStyle name="Percent 7 2 4 6 6" xfId="39206"/>
    <cellStyle name="Percent 7 2 4 7" xfId="39207"/>
    <cellStyle name="Percent 7 2 4 7 2" xfId="39208"/>
    <cellStyle name="Percent 7 2 4 7 2 2" xfId="39209"/>
    <cellStyle name="Percent 7 2 4 7 2 2 2" xfId="39210"/>
    <cellStyle name="Percent 7 2 4 7 2 3" xfId="39211"/>
    <cellStyle name="Percent 7 2 4 7 3" xfId="39212"/>
    <cellStyle name="Percent 7 2 4 7 3 2" xfId="39213"/>
    <cellStyle name="Percent 7 2 4 7 4" xfId="39214"/>
    <cellStyle name="Percent 7 2 4 8" xfId="39215"/>
    <cellStyle name="Percent 7 2 4 8 2" xfId="39216"/>
    <cellStyle name="Percent 7 2 4 8 2 2" xfId="39217"/>
    <cellStyle name="Percent 7 2 4 8 3" xfId="39218"/>
    <cellStyle name="Percent 7 2 4 8 4" xfId="39219"/>
    <cellStyle name="Percent 7 2 4 9" xfId="39220"/>
    <cellStyle name="Percent 7 2 4 9 2" xfId="39221"/>
    <cellStyle name="Percent 7 2 4 9 2 2" xfId="39222"/>
    <cellStyle name="Percent 7 2 4 9 3" xfId="39223"/>
    <cellStyle name="Percent 7 2 5" xfId="39224"/>
    <cellStyle name="Percent 7 2 5 2" xfId="39225"/>
    <cellStyle name="Percent 7 2 5 2 2" xfId="39226"/>
    <cellStyle name="Percent 7 2 5 2 2 2" xfId="39227"/>
    <cellStyle name="Percent 7 2 5 2 2 2 2" xfId="39228"/>
    <cellStyle name="Percent 7 2 5 2 2 2 2 2" xfId="39229"/>
    <cellStyle name="Percent 7 2 5 2 2 2 2 3" xfId="39230"/>
    <cellStyle name="Percent 7 2 5 2 2 2 3" xfId="39231"/>
    <cellStyle name="Percent 7 2 5 2 2 2 4" xfId="39232"/>
    <cellStyle name="Percent 7 2 5 2 2 3" xfId="39233"/>
    <cellStyle name="Percent 7 2 5 2 2 3 2" xfId="39234"/>
    <cellStyle name="Percent 7 2 5 2 2 3 3" xfId="39235"/>
    <cellStyle name="Percent 7 2 5 2 2 4" xfId="39236"/>
    <cellStyle name="Percent 7 2 5 2 2 4 2" xfId="39237"/>
    <cellStyle name="Percent 7 2 5 2 2 4 3" xfId="39238"/>
    <cellStyle name="Percent 7 2 5 2 2 5" xfId="39239"/>
    <cellStyle name="Percent 7 2 5 2 2 5 2" xfId="39240"/>
    <cellStyle name="Percent 7 2 5 2 2 6" xfId="39241"/>
    <cellStyle name="Percent 7 2 5 2 3" xfId="39242"/>
    <cellStyle name="Percent 7 2 5 2 3 2" xfId="39243"/>
    <cellStyle name="Percent 7 2 5 2 3 2 2" xfId="39244"/>
    <cellStyle name="Percent 7 2 5 2 3 2 3" xfId="39245"/>
    <cellStyle name="Percent 7 2 5 2 3 3" xfId="39246"/>
    <cellStyle name="Percent 7 2 5 2 3 4" xfId="39247"/>
    <cellStyle name="Percent 7 2 5 2 4" xfId="39248"/>
    <cellStyle name="Percent 7 2 5 2 4 2" xfId="39249"/>
    <cellStyle name="Percent 7 2 5 2 4 3" xfId="39250"/>
    <cellStyle name="Percent 7 2 5 2 5" xfId="39251"/>
    <cellStyle name="Percent 7 2 5 2 5 2" xfId="39252"/>
    <cellStyle name="Percent 7 2 5 2 5 3" xfId="39253"/>
    <cellStyle name="Percent 7 2 5 2 6" xfId="39254"/>
    <cellStyle name="Percent 7 2 5 2 6 2" xfId="39255"/>
    <cellStyle name="Percent 7 2 5 2 7" xfId="39256"/>
    <cellStyle name="Percent 7 2 5 3" xfId="39257"/>
    <cellStyle name="Percent 7 2 5 3 2" xfId="39258"/>
    <cellStyle name="Percent 7 2 5 3 2 2" xfId="39259"/>
    <cellStyle name="Percent 7 2 5 3 2 2 2" xfId="39260"/>
    <cellStyle name="Percent 7 2 5 3 2 2 3" xfId="39261"/>
    <cellStyle name="Percent 7 2 5 3 2 3" xfId="39262"/>
    <cellStyle name="Percent 7 2 5 3 2 3 2" xfId="39263"/>
    <cellStyle name="Percent 7 2 5 3 2 4" xfId="39264"/>
    <cellStyle name="Percent 7 2 5 3 3" xfId="39265"/>
    <cellStyle name="Percent 7 2 5 3 3 2" xfId="39266"/>
    <cellStyle name="Percent 7 2 5 3 3 3" xfId="39267"/>
    <cellStyle name="Percent 7 2 5 3 4" xfId="39268"/>
    <cellStyle name="Percent 7 2 5 3 4 2" xfId="39269"/>
    <cellStyle name="Percent 7 2 5 3 4 3" xfId="39270"/>
    <cellStyle name="Percent 7 2 5 3 5" xfId="39271"/>
    <cellStyle name="Percent 7 2 5 3 5 2" xfId="39272"/>
    <cellStyle name="Percent 7 2 5 3 6" xfId="39273"/>
    <cellStyle name="Percent 7 2 5 4" xfId="39274"/>
    <cellStyle name="Percent 7 2 5 4 2" xfId="39275"/>
    <cellStyle name="Percent 7 2 5 4 2 2" xfId="39276"/>
    <cellStyle name="Percent 7 2 5 4 2 2 2" xfId="39277"/>
    <cellStyle name="Percent 7 2 5 4 2 3" xfId="39278"/>
    <cellStyle name="Percent 7 2 5 4 3" xfId="39279"/>
    <cellStyle name="Percent 7 2 5 4 3 2" xfId="39280"/>
    <cellStyle name="Percent 7 2 5 4 4" xfId="39281"/>
    <cellStyle name="Percent 7 2 5 5" xfId="39282"/>
    <cellStyle name="Percent 7 2 5 5 2" xfId="39283"/>
    <cellStyle name="Percent 7 2 5 5 2 2" xfId="39284"/>
    <cellStyle name="Percent 7 2 5 5 3" xfId="39285"/>
    <cellStyle name="Percent 7 2 5 6" xfId="39286"/>
    <cellStyle name="Percent 7 2 5 6 2" xfId="39287"/>
    <cellStyle name="Percent 7 2 5 6 2 2" xfId="39288"/>
    <cellStyle name="Percent 7 2 5 6 3" xfId="39289"/>
    <cellStyle name="Percent 7 2 5 7" xfId="39290"/>
    <cellStyle name="Percent 7 2 5 7 2" xfId="39291"/>
    <cellStyle name="Percent 7 2 5 8" xfId="39292"/>
    <cellStyle name="Percent 7 2 6" xfId="39293"/>
    <cellStyle name="Percent 7 2 6 2" xfId="39294"/>
    <cellStyle name="Percent 7 2 6 2 2" xfId="39295"/>
    <cellStyle name="Percent 7 2 6 2 2 2" xfId="39296"/>
    <cellStyle name="Percent 7 2 6 2 2 2 2" xfId="39297"/>
    <cellStyle name="Percent 7 2 6 2 2 2 2 2" xfId="39298"/>
    <cellStyle name="Percent 7 2 6 2 2 2 2 3" xfId="39299"/>
    <cellStyle name="Percent 7 2 6 2 2 2 3" xfId="39300"/>
    <cellStyle name="Percent 7 2 6 2 2 2 4" xfId="39301"/>
    <cellStyle name="Percent 7 2 6 2 2 3" xfId="39302"/>
    <cellStyle name="Percent 7 2 6 2 2 3 2" xfId="39303"/>
    <cellStyle name="Percent 7 2 6 2 2 3 3" xfId="39304"/>
    <cellStyle name="Percent 7 2 6 2 2 4" xfId="39305"/>
    <cellStyle name="Percent 7 2 6 2 2 4 2" xfId="39306"/>
    <cellStyle name="Percent 7 2 6 2 2 4 3" xfId="39307"/>
    <cellStyle name="Percent 7 2 6 2 2 5" xfId="39308"/>
    <cellStyle name="Percent 7 2 6 2 2 5 2" xfId="39309"/>
    <cellStyle name="Percent 7 2 6 2 2 6" xfId="39310"/>
    <cellStyle name="Percent 7 2 6 2 3" xfId="39311"/>
    <cellStyle name="Percent 7 2 6 2 3 2" xfId="39312"/>
    <cellStyle name="Percent 7 2 6 2 3 2 2" xfId="39313"/>
    <cellStyle name="Percent 7 2 6 2 3 2 3" xfId="39314"/>
    <cellStyle name="Percent 7 2 6 2 3 3" xfId="39315"/>
    <cellStyle name="Percent 7 2 6 2 3 4" xfId="39316"/>
    <cellStyle name="Percent 7 2 6 2 4" xfId="39317"/>
    <cellStyle name="Percent 7 2 6 2 4 2" xfId="39318"/>
    <cellStyle name="Percent 7 2 6 2 4 3" xfId="39319"/>
    <cellStyle name="Percent 7 2 6 2 5" xfId="39320"/>
    <cellStyle name="Percent 7 2 6 2 5 2" xfId="39321"/>
    <cellStyle name="Percent 7 2 6 2 5 3" xfId="39322"/>
    <cellStyle name="Percent 7 2 6 2 6" xfId="39323"/>
    <cellStyle name="Percent 7 2 6 2 6 2" xfId="39324"/>
    <cellStyle name="Percent 7 2 6 2 7" xfId="39325"/>
    <cellStyle name="Percent 7 2 6 3" xfId="39326"/>
    <cellStyle name="Percent 7 2 6 3 2" xfId="39327"/>
    <cellStyle name="Percent 7 2 6 3 2 2" xfId="39328"/>
    <cellStyle name="Percent 7 2 6 3 2 2 2" xfId="39329"/>
    <cellStyle name="Percent 7 2 6 3 2 2 3" xfId="39330"/>
    <cellStyle name="Percent 7 2 6 3 2 3" xfId="39331"/>
    <cellStyle name="Percent 7 2 6 3 2 3 2" xfId="39332"/>
    <cellStyle name="Percent 7 2 6 3 2 4" xfId="39333"/>
    <cellStyle name="Percent 7 2 6 3 3" xfId="39334"/>
    <cellStyle name="Percent 7 2 6 3 3 2" xfId="39335"/>
    <cellStyle name="Percent 7 2 6 3 3 3" xfId="39336"/>
    <cellStyle name="Percent 7 2 6 3 4" xfId="39337"/>
    <cellStyle name="Percent 7 2 6 3 4 2" xfId="39338"/>
    <cellStyle name="Percent 7 2 6 3 4 3" xfId="39339"/>
    <cellStyle name="Percent 7 2 6 3 5" xfId="39340"/>
    <cellStyle name="Percent 7 2 6 3 5 2" xfId="39341"/>
    <cellStyle name="Percent 7 2 6 3 6" xfId="39342"/>
    <cellStyle name="Percent 7 2 6 4" xfId="39343"/>
    <cellStyle name="Percent 7 2 6 4 2" xfId="39344"/>
    <cellStyle name="Percent 7 2 6 4 2 2" xfId="39345"/>
    <cellStyle name="Percent 7 2 6 4 2 2 2" xfId="39346"/>
    <cellStyle name="Percent 7 2 6 4 2 3" xfId="39347"/>
    <cellStyle name="Percent 7 2 6 4 3" xfId="39348"/>
    <cellStyle name="Percent 7 2 6 4 3 2" xfId="39349"/>
    <cellStyle name="Percent 7 2 6 4 4" xfId="39350"/>
    <cellStyle name="Percent 7 2 6 5" xfId="39351"/>
    <cellStyle name="Percent 7 2 6 5 2" xfId="39352"/>
    <cellStyle name="Percent 7 2 6 5 2 2" xfId="39353"/>
    <cellStyle name="Percent 7 2 6 5 3" xfId="39354"/>
    <cellStyle name="Percent 7 2 6 6" xfId="39355"/>
    <cellStyle name="Percent 7 2 6 6 2" xfId="39356"/>
    <cellStyle name="Percent 7 2 6 6 2 2" xfId="39357"/>
    <cellStyle name="Percent 7 2 6 6 3" xfId="39358"/>
    <cellStyle name="Percent 7 2 6 7" xfId="39359"/>
    <cellStyle name="Percent 7 2 6 7 2" xfId="39360"/>
    <cellStyle name="Percent 7 2 6 8" xfId="39361"/>
    <cellStyle name="Percent 7 2 7" xfId="39362"/>
    <cellStyle name="Percent 7 2 7 2" xfId="39363"/>
    <cellStyle name="Percent 7 2 7 2 2" xfId="39364"/>
    <cellStyle name="Percent 7 2 7 2 2 2" xfId="39365"/>
    <cellStyle name="Percent 7 2 7 2 2 2 2" xfId="39366"/>
    <cellStyle name="Percent 7 2 7 2 2 2 2 2" xfId="39367"/>
    <cellStyle name="Percent 7 2 7 2 2 2 2 3" xfId="39368"/>
    <cellStyle name="Percent 7 2 7 2 2 2 3" xfId="39369"/>
    <cellStyle name="Percent 7 2 7 2 2 2 4" xfId="39370"/>
    <cellStyle name="Percent 7 2 7 2 2 3" xfId="39371"/>
    <cellStyle name="Percent 7 2 7 2 2 3 2" xfId="39372"/>
    <cellStyle name="Percent 7 2 7 2 2 3 3" xfId="39373"/>
    <cellStyle name="Percent 7 2 7 2 2 4" xfId="39374"/>
    <cellStyle name="Percent 7 2 7 2 2 4 2" xfId="39375"/>
    <cellStyle name="Percent 7 2 7 2 2 4 3" xfId="39376"/>
    <cellStyle name="Percent 7 2 7 2 2 5" xfId="39377"/>
    <cellStyle name="Percent 7 2 7 2 2 5 2" xfId="39378"/>
    <cellStyle name="Percent 7 2 7 2 2 6" xfId="39379"/>
    <cellStyle name="Percent 7 2 7 2 3" xfId="39380"/>
    <cellStyle name="Percent 7 2 7 2 3 2" xfId="39381"/>
    <cellStyle name="Percent 7 2 7 2 3 2 2" xfId="39382"/>
    <cellStyle name="Percent 7 2 7 2 3 2 3" xfId="39383"/>
    <cellStyle name="Percent 7 2 7 2 3 3" xfId="39384"/>
    <cellStyle name="Percent 7 2 7 2 3 4" xfId="39385"/>
    <cellStyle name="Percent 7 2 7 2 4" xfId="39386"/>
    <cellStyle name="Percent 7 2 7 2 4 2" xfId="39387"/>
    <cellStyle name="Percent 7 2 7 2 4 3" xfId="39388"/>
    <cellStyle name="Percent 7 2 7 2 5" xfId="39389"/>
    <cellStyle name="Percent 7 2 7 2 5 2" xfId="39390"/>
    <cellStyle name="Percent 7 2 7 2 5 3" xfId="39391"/>
    <cellStyle name="Percent 7 2 7 2 6" xfId="39392"/>
    <cellStyle name="Percent 7 2 7 2 6 2" xfId="39393"/>
    <cellStyle name="Percent 7 2 7 2 7" xfId="39394"/>
    <cellStyle name="Percent 7 2 7 3" xfId="39395"/>
    <cellStyle name="Percent 7 2 7 3 2" xfId="39396"/>
    <cellStyle name="Percent 7 2 7 3 2 2" xfId="39397"/>
    <cellStyle name="Percent 7 2 7 3 2 2 2" xfId="39398"/>
    <cellStyle name="Percent 7 2 7 3 2 2 3" xfId="39399"/>
    <cellStyle name="Percent 7 2 7 3 2 3" xfId="39400"/>
    <cellStyle name="Percent 7 2 7 3 2 3 2" xfId="39401"/>
    <cellStyle name="Percent 7 2 7 3 2 4" xfId="39402"/>
    <cellStyle name="Percent 7 2 7 3 3" xfId="39403"/>
    <cellStyle name="Percent 7 2 7 3 3 2" xfId="39404"/>
    <cellStyle name="Percent 7 2 7 3 3 3" xfId="39405"/>
    <cellStyle name="Percent 7 2 7 3 4" xfId="39406"/>
    <cellStyle name="Percent 7 2 7 3 4 2" xfId="39407"/>
    <cellStyle name="Percent 7 2 7 3 4 3" xfId="39408"/>
    <cellStyle name="Percent 7 2 7 3 5" xfId="39409"/>
    <cellStyle name="Percent 7 2 7 3 5 2" xfId="39410"/>
    <cellStyle name="Percent 7 2 7 3 6" xfId="39411"/>
    <cellStyle name="Percent 7 2 7 4" xfId="39412"/>
    <cellStyle name="Percent 7 2 7 4 2" xfId="39413"/>
    <cellStyle name="Percent 7 2 7 4 2 2" xfId="39414"/>
    <cellStyle name="Percent 7 2 7 4 2 2 2" xfId="39415"/>
    <cellStyle name="Percent 7 2 7 4 2 3" xfId="39416"/>
    <cellStyle name="Percent 7 2 7 4 3" xfId="39417"/>
    <cellStyle name="Percent 7 2 7 4 3 2" xfId="39418"/>
    <cellStyle name="Percent 7 2 7 4 4" xfId="39419"/>
    <cellStyle name="Percent 7 2 7 5" xfId="39420"/>
    <cellStyle name="Percent 7 2 7 5 2" xfId="39421"/>
    <cellStyle name="Percent 7 2 7 5 2 2" xfId="39422"/>
    <cellStyle name="Percent 7 2 7 5 3" xfId="39423"/>
    <cellStyle name="Percent 7 2 7 6" xfId="39424"/>
    <cellStyle name="Percent 7 2 7 6 2" xfId="39425"/>
    <cellStyle name="Percent 7 2 7 6 2 2" xfId="39426"/>
    <cellStyle name="Percent 7 2 7 6 3" xfId="39427"/>
    <cellStyle name="Percent 7 2 7 7" xfId="39428"/>
    <cellStyle name="Percent 7 2 7 7 2" xfId="39429"/>
    <cellStyle name="Percent 7 2 7 8" xfId="39430"/>
    <cellStyle name="Percent 7 2 8" xfId="39431"/>
    <cellStyle name="Percent 7 2 8 2" xfId="39432"/>
    <cellStyle name="Percent 7 2 8 2 2" xfId="39433"/>
    <cellStyle name="Percent 7 2 8 2 2 2" xfId="39434"/>
    <cellStyle name="Percent 7 2 8 2 2 2 2" xfId="39435"/>
    <cellStyle name="Percent 7 2 8 2 2 2 3" xfId="39436"/>
    <cellStyle name="Percent 7 2 8 2 2 3" xfId="39437"/>
    <cellStyle name="Percent 7 2 8 2 2 3 2" xfId="39438"/>
    <cellStyle name="Percent 7 2 8 2 2 4" xfId="39439"/>
    <cellStyle name="Percent 7 2 8 2 3" xfId="39440"/>
    <cellStyle name="Percent 7 2 8 2 3 2" xfId="39441"/>
    <cellStyle name="Percent 7 2 8 2 3 3" xfId="39442"/>
    <cellStyle name="Percent 7 2 8 2 4" xfId="39443"/>
    <cellStyle name="Percent 7 2 8 2 4 2" xfId="39444"/>
    <cellStyle name="Percent 7 2 8 2 4 3" xfId="39445"/>
    <cellStyle name="Percent 7 2 8 2 5" xfId="39446"/>
    <cellStyle name="Percent 7 2 8 2 5 2" xfId="39447"/>
    <cellStyle name="Percent 7 2 8 2 6" xfId="39448"/>
    <cellStyle name="Percent 7 2 8 3" xfId="39449"/>
    <cellStyle name="Percent 7 2 8 3 2" xfId="39450"/>
    <cellStyle name="Percent 7 2 8 3 2 2" xfId="39451"/>
    <cellStyle name="Percent 7 2 8 3 2 2 2" xfId="39452"/>
    <cellStyle name="Percent 7 2 8 3 2 3" xfId="39453"/>
    <cellStyle name="Percent 7 2 8 3 3" xfId="39454"/>
    <cellStyle name="Percent 7 2 8 3 3 2" xfId="39455"/>
    <cellStyle name="Percent 7 2 8 3 4" xfId="39456"/>
    <cellStyle name="Percent 7 2 8 4" xfId="39457"/>
    <cellStyle name="Percent 7 2 8 4 2" xfId="39458"/>
    <cellStyle name="Percent 7 2 8 4 2 2" xfId="39459"/>
    <cellStyle name="Percent 7 2 8 4 3" xfId="39460"/>
    <cellStyle name="Percent 7 2 8 5" xfId="39461"/>
    <cellStyle name="Percent 7 2 8 5 2" xfId="39462"/>
    <cellStyle name="Percent 7 2 8 5 2 2" xfId="39463"/>
    <cellStyle name="Percent 7 2 8 5 3" xfId="39464"/>
    <cellStyle name="Percent 7 2 8 6" xfId="39465"/>
    <cellStyle name="Percent 7 2 8 6 2" xfId="39466"/>
    <cellStyle name="Percent 7 2 8 7" xfId="39467"/>
    <cellStyle name="Percent 7 2 9" xfId="39468"/>
    <cellStyle name="Percent 7 2 9 2" xfId="39469"/>
    <cellStyle name="Percent 7 2 9 2 2" xfId="39470"/>
    <cellStyle name="Percent 7 2 9 2 2 2" xfId="39471"/>
    <cellStyle name="Percent 7 2 9 2 2 3" xfId="39472"/>
    <cellStyle name="Percent 7 2 9 2 3" xfId="39473"/>
    <cellStyle name="Percent 7 2 9 2 3 2" xfId="39474"/>
    <cellStyle name="Percent 7 2 9 2 4" xfId="39475"/>
    <cellStyle name="Percent 7 2 9 3" xfId="39476"/>
    <cellStyle name="Percent 7 2 9 3 2" xfId="39477"/>
    <cellStyle name="Percent 7 2 9 3 3" xfId="39478"/>
    <cellStyle name="Percent 7 2 9 4" xfId="39479"/>
    <cellStyle name="Percent 7 2 9 4 2" xfId="39480"/>
    <cellStyle name="Percent 7 2 9 4 3" xfId="39481"/>
    <cellStyle name="Percent 7 2 9 5" xfId="39482"/>
    <cellStyle name="Percent 7 2 9 5 2" xfId="39483"/>
    <cellStyle name="Percent 7 2 9 6" xfId="39484"/>
    <cellStyle name="Percent 7 3" xfId="39485"/>
    <cellStyle name="Percent 7 3 10" xfId="39486"/>
    <cellStyle name="Percent 7 3 10 2" xfId="39487"/>
    <cellStyle name="Percent 7 3 10 2 2" xfId="39488"/>
    <cellStyle name="Percent 7 3 10 3" xfId="39489"/>
    <cellStyle name="Percent 7 3 10 4" xfId="39490"/>
    <cellStyle name="Percent 7 3 11" xfId="39491"/>
    <cellStyle name="Percent 7 3 11 2" xfId="39492"/>
    <cellStyle name="Percent 7 3 11 2 2" xfId="39493"/>
    <cellStyle name="Percent 7 3 11 3" xfId="39494"/>
    <cellStyle name="Percent 7 3 11 4" xfId="39495"/>
    <cellStyle name="Percent 7 3 12" xfId="39496"/>
    <cellStyle name="Percent 7 3 12 2" xfId="39497"/>
    <cellStyle name="Percent 7 3 13" xfId="39498"/>
    <cellStyle name="Percent 7 3 14" xfId="39499"/>
    <cellStyle name="Percent 7 3 15" xfId="39500"/>
    <cellStyle name="Percent 7 3 2" xfId="39501"/>
    <cellStyle name="Percent 7 3 2 10" xfId="39502"/>
    <cellStyle name="Percent 7 3 2 10 2" xfId="39503"/>
    <cellStyle name="Percent 7 3 2 10 2 2" xfId="39504"/>
    <cellStyle name="Percent 7 3 2 10 3" xfId="39505"/>
    <cellStyle name="Percent 7 3 2 11" xfId="39506"/>
    <cellStyle name="Percent 7 3 2 11 2" xfId="39507"/>
    <cellStyle name="Percent 7 3 2 12" xfId="39508"/>
    <cellStyle name="Percent 7 3 2 13" xfId="39509"/>
    <cellStyle name="Percent 7 3 2 2" xfId="39510"/>
    <cellStyle name="Percent 7 3 2 2 10" xfId="39511"/>
    <cellStyle name="Percent 7 3 2 2 10 2" xfId="39512"/>
    <cellStyle name="Percent 7 3 2 2 11" xfId="39513"/>
    <cellStyle name="Percent 7 3 2 2 2" xfId="39514"/>
    <cellStyle name="Percent 7 3 2 2 2 2" xfId="39515"/>
    <cellStyle name="Percent 7 3 2 2 2 2 2" xfId="39516"/>
    <cellStyle name="Percent 7 3 2 2 2 2 2 2" xfId="39517"/>
    <cellStyle name="Percent 7 3 2 2 2 2 2 2 2" xfId="39518"/>
    <cellStyle name="Percent 7 3 2 2 2 2 2 2 2 2" xfId="39519"/>
    <cellStyle name="Percent 7 3 2 2 2 2 2 2 2 3" xfId="39520"/>
    <cellStyle name="Percent 7 3 2 2 2 2 2 2 3" xfId="39521"/>
    <cellStyle name="Percent 7 3 2 2 2 2 2 2 4" xfId="39522"/>
    <cellStyle name="Percent 7 3 2 2 2 2 2 3" xfId="39523"/>
    <cellStyle name="Percent 7 3 2 2 2 2 2 3 2" xfId="39524"/>
    <cellStyle name="Percent 7 3 2 2 2 2 2 3 3" xfId="39525"/>
    <cellStyle name="Percent 7 3 2 2 2 2 2 4" xfId="39526"/>
    <cellStyle name="Percent 7 3 2 2 2 2 2 4 2" xfId="39527"/>
    <cellStyle name="Percent 7 3 2 2 2 2 2 4 3" xfId="39528"/>
    <cellStyle name="Percent 7 3 2 2 2 2 2 5" xfId="39529"/>
    <cellStyle name="Percent 7 3 2 2 2 2 2 6" xfId="39530"/>
    <cellStyle name="Percent 7 3 2 2 2 2 3" xfId="39531"/>
    <cellStyle name="Percent 7 3 2 2 2 2 3 2" xfId="39532"/>
    <cellStyle name="Percent 7 3 2 2 2 2 3 2 2" xfId="39533"/>
    <cellStyle name="Percent 7 3 2 2 2 2 3 2 3" xfId="39534"/>
    <cellStyle name="Percent 7 3 2 2 2 2 3 3" xfId="39535"/>
    <cellStyle name="Percent 7 3 2 2 2 2 3 4" xfId="39536"/>
    <cellStyle name="Percent 7 3 2 2 2 2 4" xfId="39537"/>
    <cellStyle name="Percent 7 3 2 2 2 2 4 2" xfId="39538"/>
    <cellStyle name="Percent 7 3 2 2 2 2 4 3" xfId="39539"/>
    <cellStyle name="Percent 7 3 2 2 2 2 5" xfId="39540"/>
    <cellStyle name="Percent 7 3 2 2 2 2 5 2" xfId="39541"/>
    <cellStyle name="Percent 7 3 2 2 2 2 5 3" xfId="39542"/>
    <cellStyle name="Percent 7 3 2 2 2 2 6" xfId="39543"/>
    <cellStyle name="Percent 7 3 2 2 2 2 6 2" xfId="39544"/>
    <cellStyle name="Percent 7 3 2 2 2 2 7" xfId="39545"/>
    <cellStyle name="Percent 7 3 2 2 2 3" xfId="39546"/>
    <cellStyle name="Percent 7 3 2 2 2 3 2" xfId="39547"/>
    <cellStyle name="Percent 7 3 2 2 2 3 2 2" xfId="39548"/>
    <cellStyle name="Percent 7 3 2 2 2 3 2 2 2" xfId="39549"/>
    <cellStyle name="Percent 7 3 2 2 2 3 2 2 3" xfId="39550"/>
    <cellStyle name="Percent 7 3 2 2 2 3 2 3" xfId="39551"/>
    <cellStyle name="Percent 7 3 2 2 2 3 2 4" xfId="39552"/>
    <cellStyle name="Percent 7 3 2 2 2 3 3" xfId="39553"/>
    <cellStyle name="Percent 7 3 2 2 2 3 3 2" xfId="39554"/>
    <cellStyle name="Percent 7 3 2 2 2 3 3 3" xfId="39555"/>
    <cellStyle name="Percent 7 3 2 2 2 3 4" xfId="39556"/>
    <cellStyle name="Percent 7 3 2 2 2 3 4 2" xfId="39557"/>
    <cellStyle name="Percent 7 3 2 2 2 3 4 3" xfId="39558"/>
    <cellStyle name="Percent 7 3 2 2 2 3 5" xfId="39559"/>
    <cellStyle name="Percent 7 3 2 2 2 3 6" xfId="39560"/>
    <cellStyle name="Percent 7 3 2 2 2 4" xfId="39561"/>
    <cellStyle name="Percent 7 3 2 2 2 4 2" xfId="39562"/>
    <cellStyle name="Percent 7 3 2 2 2 4 2 2" xfId="39563"/>
    <cellStyle name="Percent 7 3 2 2 2 4 2 3" xfId="39564"/>
    <cellStyle name="Percent 7 3 2 2 2 4 3" xfId="39565"/>
    <cellStyle name="Percent 7 3 2 2 2 4 4" xfId="39566"/>
    <cellStyle name="Percent 7 3 2 2 2 5" xfId="39567"/>
    <cellStyle name="Percent 7 3 2 2 2 5 2" xfId="39568"/>
    <cellStyle name="Percent 7 3 2 2 2 5 3" xfId="39569"/>
    <cellStyle name="Percent 7 3 2 2 2 6" xfId="39570"/>
    <cellStyle name="Percent 7 3 2 2 2 6 2" xfId="39571"/>
    <cellStyle name="Percent 7 3 2 2 2 6 3" xfId="39572"/>
    <cellStyle name="Percent 7 3 2 2 2 7" xfId="39573"/>
    <cellStyle name="Percent 7 3 2 2 2 7 2" xfId="39574"/>
    <cellStyle name="Percent 7 3 2 2 2 8" xfId="39575"/>
    <cellStyle name="Percent 7 3 2 2 3" xfId="39576"/>
    <cellStyle name="Percent 7 3 2 2 3 2" xfId="39577"/>
    <cellStyle name="Percent 7 3 2 2 3 2 2" xfId="39578"/>
    <cellStyle name="Percent 7 3 2 2 3 2 2 2" xfId="39579"/>
    <cellStyle name="Percent 7 3 2 2 3 2 2 2 2" xfId="39580"/>
    <cellStyle name="Percent 7 3 2 2 3 2 2 2 2 2" xfId="39581"/>
    <cellStyle name="Percent 7 3 2 2 3 2 2 2 2 3" xfId="39582"/>
    <cellStyle name="Percent 7 3 2 2 3 2 2 2 3" xfId="39583"/>
    <cellStyle name="Percent 7 3 2 2 3 2 2 2 4" xfId="39584"/>
    <cellStyle name="Percent 7 3 2 2 3 2 2 3" xfId="39585"/>
    <cellStyle name="Percent 7 3 2 2 3 2 2 3 2" xfId="39586"/>
    <cellStyle name="Percent 7 3 2 2 3 2 2 3 3" xfId="39587"/>
    <cellStyle name="Percent 7 3 2 2 3 2 2 4" xfId="39588"/>
    <cellStyle name="Percent 7 3 2 2 3 2 2 4 2" xfId="39589"/>
    <cellStyle name="Percent 7 3 2 2 3 2 2 4 3" xfId="39590"/>
    <cellStyle name="Percent 7 3 2 2 3 2 2 5" xfId="39591"/>
    <cellStyle name="Percent 7 3 2 2 3 2 2 6" xfId="39592"/>
    <cellStyle name="Percent 7 3 2 2 3 2 3" xfId="39593"/>
    <cellStyle name="Percent 7 3 2 2 3 2 3 2" xfId="39594"/>
    <cellStyle name="Percent 7 3 2 2 3 2 3 2 2" xfId="39595"/>
    <cellStyle name="Percent 7 3 2 2 3 2 3 2 3" xfId="39596"/>
    <cellStyle name="Percent 7 3 2 2 3 2 3 3" xfId="39597"/>
    <cellStyle name="Percent 7 3 2 2 3 2 3 4" xfId="39598"/>
    <cellStyle name="Percent 7 3 2 2 3 2 4" xfId="39599"/>
    <cellStyle name="Percent 7 3 2 2 3 2 4 2" xfId="39600"/>
    <cellStyle name="Percent 7 3 2 2 3 2 4 3" xfId="39601"/>
    <cellStyle name="Percent 7 3 2 2 3 2 5" xfId="39602"/>
    <cellStyle name="Percent 7 3 2 2 3 2 5 2" xfId="39603"/>
    <cellStyle name="Percent 7 3 2 2 3 2 5 3" xfId="39604"/>
    <cellStyle name="Percent 7 3 2 2 3 2 6" xfId="39605"/>
    <cellStyle name="Percent 7 3 2 2 3 2 6 2" xfId="39606"/>
    <cellStyle name="Percent 7 3 2 2 3 2 7" xfId="39607"/>
    <cellStyle name="Percent 7 3 2 2 3 3" xfId="39608"/>
    <cellStyle name="Percent 7 3 2 2 3 3 2" xfId="39609"/>
    <cellStyle name="Percent 7 3 2 2 3 3 2 2" xfId="39610"/>
    <cellStyle name="Percent 7 3 2 2 3 3 2 2 2" xfId="39611"/>
    <cellStyle name="Percent 7 3 2 2 3 3 2 2 3" xfId="39612"/>
    <cellStyle name="Percent 7 3 2 2 3 3 2 3" xfId="39613"/>
    <cellStyle name="Percent 7 3 2 2 3 3 2 4" xfId="39614"/>
    <cellStyle name="Percent 7 3 2 2 3 3 3" xfId="39615"/>
    <cellStyle name="Percent 7 3 2 2 3 3 3 2" xfId="39616"/>
    <cellStyle name="Percent 7 3 2 2 3 3 3 3" xfId="39617"/>
    <cellStyle name="Percent 7 3 2 2 3 3 4" xfId="39618"/>
    <cellStyle name="Percent 7 3 2 2 3 3 4 2" xfId="39619"/>
    <cellStyle name="Percent 7 3 2 2 3 3 4 3" xfId="39620"/>
    <cellStyle name="Percent 7 3 2 2 3 3 5" xfId="39621"/>
    <cellStyle name="Percent 7 3 2 2 3 3 6" xfId="39622"/>
    <cellStyle name="Percent 7 3 2 2 3 4" xfId="39623"/>
    <cellStyle name="Percent 7 3 2 2 3 4 2" xfId="39624"/>
    <cellStyle name="Percent 7 3 2 2 3 4 2 2" xfId="39625"/>
    <cellStyle name="Percent 7 3 2 2 3 4 2 3" xfId="39626"/>
    <cellStyle name="Percent 7 3 2 2 3 4 3" xfId="39627"/>
    <cellStyle name="Percent 7 3 2 2 3 4 4" xfId="39628"/>
    <cellStyle name="Percent 7 3 2 2 3 5" xfId="39629"/>
    <cellStyle name="Percent 7 3 2 2 3 5 2" xfId="39630"/>
    <cellStyle name="Percent 7 3 2 2 3 5 3" xfId="39631"/>
    <cellStyle name="Percent 7 3 2 2 3 6" xfId="39632"/>
    <cellStyle name="Percent 7 3 2 2 3 6 2" xfId="39633"/>
    <cellStyle name="Percent 7 3 2 2 3 6 3" xfId="39634"/>
    <cellStyle name="Percent 7 3 2 2 3 7" xfId="39635"/>
    <cellStyle name="Percent 7 3 2 2 3 7 2" xfId="39636"/>
    <cellStyle name="Percent 7 3 2 2 3 8" xfId="39637"/>
    <cellStyle name="Percent 7 3 2 2 4" xfId="39638"/>
    <cellStyle name="Percent 7 3 2 2 4 2" xfId="39639"/>
    <cellStyle name="Percent 7 3 2 2 4 2 2" xfId="39640"/>
    <cellStyle name="Percent 7 3 2 2 4 2 2 2" xfId="39641"/>
    <cellStyle name="Percent 7 3 2 2 4 2 2 2 2" xfId="39642"/>
    <cellStyle name="Percent 7 3 2 2 4 2 2 2 2 2" xfId="39643"/>
    <cellStyle name="Percent 7 3 2 2 4 2 2 2 2 3" xfId="39644"/>
    <cellStyle name="Percent 7 3 2 2 4 2 2 2 3" xfId="39645"/>
    <cellStyle name="Percent 7 3 2 2 4 2 2 2 4" xfId="39646"/>
    <cellStyle name="Percent 7 3 2 2 4 2 2 3" xfId="39647"/>
    <cellStyle name="Percent 7 3 2 2 4 2 2 3 2" xfId="39648"/>
    <cellStyle name="Percent 7 3 2 2 4 2 2 3 3" xfId="39649"/>
    <cellStyle name="Percent 7 3 2 2 4 2 2 4" xfId="39650"/>
    <cellStyle name="Percent 7 3 2 2 4 2 2 4 2" xfId="39651"/>
    <cellStyle name="Percent 7 3 2 2 4 2 2 4 3" xfId="39652"/>
    <cellStyle name="Percent 7 3 2 2 4 2 2 5" xfId="39653"/>
    <cellStyle name="Percent 7 3 2 2 4 2 2 6" xfId="39654"/>
    <cellStyle name="Percent 7 3 2 2 4 2 3" xfId="39655"/>
    <cellStyle name="Percent 7 3 2 2 4 2 3 2" xfId="39656"/>
    <cellStyle name="Percent 7 3 2 2 4 2 3 2 2" xfId="39657"/>
    <cellStyle name="Percent 7 3 2 2 4 2 3 2 3" xfId="39658"/>
    <cellStyle name="Percent 7 3 2 2 4 2 3 3" xfId="39659"/>
    <cellStyle name="Percent 7 3 2 2 4 2 3 4" xfId="39660"/>
    <cellStyle name="Percent 7 3 2 2 4 2 4" xfId="39661"/>
    <cellStyle name="Percent 7 3 2 2 4 2 4 2" xfId="39662"/>
    <cellStyle name="Percent 7 3 2 2 4 2 4 3" xfId="39663"/>
    <cellStyle name="Percent 7 3 2 2 4 2 5" xfId="39664"/>
    <cellStyle name="Percent 7 3 2 2 4 2 5 2" xfId="39665"/>
    <cellStyle name="Percent 7 3 2 2 4 2 5 3" xfId="39666"/>
    <cellStyle name="Percent 7 3 2 2 4 2 6" xfId="39667"/>
    <cellStyle name="Percent 7 3 2 2 4 2 6 2" xfId="39668"/>
    <cellStyle name="Percent 7 3 2 2 4 2 7" xfId="39669"/>
    <cellStyle name="Percent 7 3 2 2 4 3" xfId="39670"/>
    <cellStyle name="Percent 7 3 2 2 4 3 2" xfId="39671"/>
    <cellStyle name="Percent 7 3 2 2 4 3 2 2" xfId="39672"/>
    <cellStyle name="Percent 7 3 2 2 4 3 2 2 2" xfId="39673"/>
    <cellStyle name="Percent 7 3 2 2 4 3 2 2 3" xfId="39674"/>
    <cellStyle name="Percent 7 3 2 2 4 3 2 3" xfId="39675"/>
    <cellStyle name="Percent 7 3 2 2 4 3 2 4" xfId="39676"/>
    <cellStyle name="Percent 7 3 2 2 4 3 3" xfId="39677"/>
    <cellStyle name="Percent 7 3 2 2 4 3 3 2" xfId="39678"/>
    <cellStyle name="Percent 7 3 2 2 4 3 3 3" xfId="39679"/>
    <cellStyle name="Percent 7 3 2 2 4 3 4" xfId="39680"/>
    <cellStyle name="Percent 7 3 2 2 4 3 4 2" xfId="39681"/>
    <cellStyle name="Percent 7 3 2 2 4 3 4 3" xfId="39682"/>
    <cellStyle name="Percent 7 3 2 2 4 3 5" xfId="39683"/>
    <cellStyle name="Percent 7 3 2 2 4 3 6" xfId="39684"/>
    <cellStyle name="Percent 7 3 2 2 4 4" xfId="39685"/>
    <cellStyle name="Percent 7 3 2 2 4 4 2" xfId="39686"/>
    <cellStyle name="Percent 7 3 2 2 4 4 2 2" xfId="39687"/>
    <cellStyle name="Percent 7 3 2 2 4 4 2 3" xfId="39688"/>
    <cellStyle name="Percent 7 3 2 2 4 4 3" xfId="39689"/>
    <cellStyle name="Percent 7 3 2 2 4 4 4" xfId="39690"/>
    <cellStyle name="Percent 7 3 2 2 4 5" xfId="39691"/>
    <cellStyle name="Percent 7 3 2 2 4 5 2" xfId="39692"/>
    <cellStyle name="Percent 7 3 2 2 4 5 3" xfId="39693"/>
    <cellStyle name="Percent 7 3 2 2 4 6" xfId="39694"/>
    <cellStyle name="Percent 7 3 2 2 4 6 2" xfId="39695"/>
    <cellStyle name="Percent 7 3 2 2 4 6 3" xfId="39696"/>
    <cellStyle name="Percent 7 3 2 2 4 7" xfId="39697"/>
    <cellStyle name="Percent 7 3 2 2 4 7 2" xfId="39698"/>
    <cellStyle name="Percent 7 3 2 2 4 8" xfId="39699"/>
    <cellStyle name="Percent 7 3 2 2 5" xfId="39700"/>
    <cellStyle name="Percent 7 3 2 2 5 2" xfId="39701"/>
    <cellStyle name="Percent 7 3 2 2 5 2 2" xfId="39702"/>
    <cellStyle name="Percent 7 3 2 2 5 2 2 2" xfId="39703"/>
    <cellStyle name="Percent 7 3 2 2 5 2 2 2 2" xfId="39704"/>
    <cellStyle name="Percent 7 3 2 2 5 2 2 2 3" xfId="39705"/>
    <cellStyle name="Percent 7 3 2 2 5 2 2 3" xfId="39706"/>
    <cellStyle name="Percent 7 3 2 2 5 2 2 4" xfId="39707"/>
    <cellStyle name="Percent 7 3 2 2 5 2 3" xfId="39708"/>
    <cellStyle name="Percent 7 3 2 2 5 2 3 2" xfId="39709"/>
    <cellStyle name="Percent 7 3 2 2 5 2 3 3" xfId="39710"/>
    <cellStyle name="Percent 7 3 2 2 5 2 4" xfId="39711"/>
    <cellStyle name="Percent 7 3 2 2 5 2 4 2" xfId="39712"/>
    <cellStyle name="Percent 7 3 2 2 5 2 4 3" xfId="39713"/>
    <cellStyle name="Percent 7 3 2 2 5 2 5" xfId="39714"/>
    <cellStyle name="Percent 7 3 2 2 5 2 6" xfId="39715"/>
    <cellStyle name="Percent 7 3 2 2 5 3" xfId="39716"/>
    <cellStyle name="Percent 7 3 2 2 5 3 2" xfId="39717"/>
    <cellStyle name="Percent 7 3 2 2 5 3 2 2" xfId="39718"/>
    <cellStyle name="Percent 7 3 2 2 5 3 2 3" xfId="39719"/>
    <cellStyle name="Percent 7 3 2 2 5 3 3" xfId="39720"/>
    <cellStyle name="Percent 7 3 2 2 5 3 4" xfId="39721"/>
    <cellStyle name="Percent 7 3 2 2 5 4" xfId="39722"/>
    <cellStyle name="Percent 7 3 2 2 5 4 2" xfId="39723"/>
    <cellStyle name="Percent 7 3 2 2 5 4 3" xfId="39724"/>
    <cellStyle name="Percent 7 3 2 2 5 5" xfId="39725"/>
    <cellStyle name="Percent 7 3 2 2 5 5 2" xfId="39726"/>
    <cellStyle name="Percent 7 3 2 2 5 5 3" xfId="39727"/>
    <cellStyle name="Percent 7 3 2 2 5 6" xfId="39728"/>
    <cellStyle name="Percent 7 3 2 2 5 6 2" xfId="39729"/>
    <cellStyle name="Percent 7 3 2 2 5 7" xfId="39730"/>
    <cellStyle name="Percent 7 3 2 2 6" xfId="39731"/>
    <cellStyle name="Percent 7 3 2 2 6 2" xfId="39732"/>
    <cellStyle name="Percent 7 3 2 2 6 2 2" xfId="39733"/>
    <cellStyle name="Percent 7 3 2 2 6 2 2 2" xfId="39734"/>
    <cellStyle name="Percent 7 3 2 2 6 2 2 3" xfId="39735"/>
    <cellStyle name="Percent 7 3 2 2 6 2 3" xfId="39736"/>
    <cellStyle name="Percent 7 3 2 2 6 2 4" xfId="39737"/>
    <cellStyle name="Percent 7 3 2 2 6 3" xfId="39738"/>
    <cellStyle name="Percent 7 3 2 2 6 3 2" xfId="39739"/>
    <cellStyle name="Percent 7 3 2 2 6 3 3" xfId="39740"/>
    <cellStyle name="Percent 7 3 2 2 6 4" xfId="39741"/>
    <cellStyle name="Percent 7 3 2 2 6 4 2" xfId="39742"/>
    <cellStyle name="Percent 7 3 2 2 6 4 3" xfId="39743"/>
    <cellStyle name="Percent 7 3 2 2 6 5" xfId="39744"/>
    <cellStyle name="Percent 7 3 2 2 6 5 2" xfId="39745"/>
    <cellStyle name="Percent 7 3 2 2 6 6" xfId="39746"/>
    <cellStyle name="Percent 7 3 2 2 7" xfId="39747"/>
    <cellStyle name="Percent 7 3 2 2 7 2" xfId="39748"/>
    <cellStyle name="Percent 7 3 2 2 7 2 2" xfId="39749"/>
    <cellStyle name="Percent 7 3 2 2 7 2 3" xfId="39750"/>
    <cellStyle name="Percent 7 3 2 2 7 3" xfId="39751"/>
    <cellStyle name="Percent 7 3 2 2 7 4" xfId="39752"/>
    <cellStyle name="Percent 7 3 2 2 8" xfId="39753"/>
    <cellStyle name="Percent 7 3 2 2 8 2" xfId="39754"/>
    <cellStyle name="Percent 7 3 2 2 8 3" xfId="39755"/>
    <cellStyle name="Percent 7 3 2 2 9" xfId="39756"/>
    <cellStyle name="Percent 7 3 2 2 9 2" xfId="39757"/>
    <cellStyle name="Percent 7 3 2 2 9 3" xfId="39758"/>
    <cellStyle name="Percent 7 3 2 3" xfId="39759"/>
    <cellStyle name="Percent 7 3 2 3 2" xfId="39760"/>
    <cellStyle name="Percent 7 3 2 3 2 2" xfId="39761"/>
    <cellStyle name="Percent 7 3 2 3 2 2 2" xfId="39762"/>
    <cellStyle name="Percent 7 3 2 3 2 2 2 2" xfId="39763"/>
    <cellStyle name="Percent 7 3 2 3 2 2 2 2 2" xfId="39764"/>
    <cellStyle name="Percent 7 3 2 3 2 2 2 2 3" xfId="39765"/>
    <cellStyle name="Percent 7 3 2 3 2 2 2 3" xfId="39766"/>
    <cellStyle name="Percent 7 3 2 3 2 2 2 4" xfId="39767"/>
    <cellStyle name="Percent 7 3 2 3 2 2 3" xfId="39768"/>
    <cellStyle name="Percent 7 3 2 3 2 2 3 2" xfId="39769"/>
    <cellStyle name="Percent 7 3 2 3 2 2 3 3" xfId="39770"/>
    <cellStyle name="Percent 7 3 2 3 2 2 4" xfId="39771"/>
    <cellStyle name="Percent 7 3 2 3 2 2 4 2" xfId="39772"/>
    <cellStyle name="Percent 7 3 2 3 2 2 4 3" xfId="39773"/>
    <cellStyle name="Percent 7 3 2 3 2 2 5" xfId="39774"/>
    <cellStyle name="Percent 7 3 2 3 2 2 5 2" xfId="39775"/>
    <cellStyle name="Percent 7 3 2 3 2 2 6" xfId="39776"/>
    <cellStyle name="Percent 7 3 2 3 2 3" xfId="39777"/>
    <cellStyle name="Percent 7 3 2 3 2 3 2" xfId="39778"/>
    <cellStyle name="Percent 7 3 2 3 2 3 2 2" xfId="39779"/>
    <cellStyle name="Percent 7 3 2 3 2 3 2 3" xfId="39780"/>
    <cellStyle name="Percent 7 3 2 3 2 3 3" xfId="39781"/>
    <cellStyle name="Percent 7 3 2 3 2 3 4" xfId="39782"/>
    <cellStyle name="Percent 7 3 2 3 2 4" xfId="39783"/>
    <cellStyle name="Percent 7 3 2 3 2 4 2" xfId="39784"/>
    <cellStyle name="Percent 7 3 2 3 2 4 3" xfId="39785"/>
    <cellStyle name="Percent 7 3 2 3 2 5" xfId="39786"/>
    <cellStyle name="Percent 7 3 2 3 2 5 2" xfId="39787"/>
    <cellStyle name="Percent 7 3 2 3 2 5 3" xfId="39788"/>
    <cellStyle name="Percent 7 3 2 3 2 6" xfId="39789"/>
    <cellStyle name="Percent 7 3 2 3 2 6 2" xfId="39790"/>
    <cellStyle name="Percent 7 3 2 3 2 7" xfId="39791"/>
    <cellStyle name="Percent 7 3 2 3 3" xfId="39792"/>
    <cellStyle name="Percent 7 3 2 3 3 2" xfId="39793"/>
    <cellStyle name="Percent 7 3 2 3 3 2 2" xfId="39794"/>
    <cellStyle name="Percent 7 3 2 3 3 2 2 2" xfId="39795"/>
    <cellStyle name="Percent 7 3 2 3 3 2 2 3" xfId="39796"/>
    <cellStyle name="Percent 7 3 2 3 3 2 3" xfId="39797"/>
    <cellStyle name="Percent 7 3 2 3 3 2 3 2" xfId="39798"/>
    <cellStyle name="Percent 7 3 2 3 3 2 4" xfId="39799"/>
    <cellStyle name="Percent 7 3 2 3 3 3" xfId="39800"/>
    <cellStyle name="Percent 7 3 2 3 3 3 2" xfId="39801"/>
    <cellStyle name="Percent 7 3 2 3 3 3 3" xfId="39802"/>
    <cellStyle name="Percent 7 3 2 3 3 4" xfId="39803"/>
    <cellStyle name="Percent 7 3 2 3 3 4 2" xfId="39804"/>
    <cellStyle name="Percent 7 3 2 3 3 4 3" xfId="39805"/>
    <cellStyle name="Percent 7 3 2 3 3 5" xfId="39806"/>
    <cellStyle name="Percent 7 3 2 3 3 5 2" xfId="39807"/>
    <cellStyle name="Percent 7 3 2 3 3 6" xfId="39808"/>
    <cellStyle name="Percent 7 3 2 3 4" xfId="39809"/>
    <cellStyle name="Percent 7 3 2 3 4 2" xfId="39810"/>
    <cellStyle name="Percent 7 3 2 3 4 2 2" xfId="39811"/>
    <cellStyle name="Percent 7 3 2 3 4 2 2 2" xfId="39812"/>
    <cellStyle name="Percent 7 3 2 3 4 2 3" xfId="39813"/>
    <cellStyle name="Percent 7 3 2 3 4 3" xfId="39814"/>
    <cellStyle name="Percent 7 3 2 3 4 3 2" xfId="39815"/>
    <cellStyle name="Percent 7 3 2 3 4 4" xfId="39816"/>
    <cellStyle name="Percent 7 3 2 3 5" xfId="39817"/>
    <cellStyle name="Percent 7 3 2 3 5 2" xfId="39818"/>
    <cellStyle name="Percent 7 3 2 3 5 2 2" xfId="39819"/>
    <cellStyle name="Percent 7 3 2 3 5 3" xfId="39820"/>
    <cellStyle name="Percent 7 3 2 3 6" xfId="39821"/>
    <cellStyle name="Percent 7 3 2 3 6 2" xfId="39822"/>
    <cellStyle name="Percent 7 3 2 3 6 2 2" xfId="39823"/>
    <cellStyle name="Percent 7 3 2 3 6 3" xfId="39824"/>
    <cellStyle name="Percent 7 3 2 3 7" xfId="39825"/>
    <cellStyle name="Percent 7 3 2 3 7 2" xfId="39826"/>
    <cellStyle name="Percent 7 3 2 3 8" xfId="39827"/>
    <cellStyle name="Percent 7 3 2 4" xfId="39828"/>
    <cellStyle name="Percent 7 3 2 4 2" xfId="39829"/>
    <cellStyle name="Percent 7 3 2 4 2 2" xfId="39830"/>
    <cellStyle name="Percent 7 3 2 4 2 2 2" xfId="39831"/>
    <cellStyle name="Percent 7 3 2 4 2 2 2 2" xfId="39832"/>
    <cellStyle name="Percent 7 3 2 4 2 2 2 2 2" xfId="39833"/>
    <cellStyle name="Percent 7 3 2 4 2 2 2 2 3" xfId="39834"/>
    <cellStyle name="Percent 7 3 2 4 2 2 2 3" xfId="39835"/>
    <cellStyle name="Percent 7 3 2 4 2 2 2 4" xfId="39836"/>
    <cellStyle name="Percent 7 3 2 4 2 2 3" xfId="39837"/>
    <cellStyle name="Percent 7 3 2 4 2 2 3 2" xfId="39838"/>
    <cellStyle name="Percent 7 3 2 4 2 2 3 3" xfId="39839"/>
    <cellStyle name="Percent 7 3 2 4 2 2 4" xfId="39840"/>
    <cellStyle name="Percent 7 3 2 4 2 2 4 2" xfId="39841"/>
    <cellStyle name="Percent 7 3 2 4 2 2 4 3" xfId="39842"/>
    <cellStyle name="Percent 7 3 2 4 2 2 5" xfId="39843"/>
    <cellStyle name="Percent 7 3 2 4 2 2 5 2" xfId="39844"/>
    <cellStyle name="Percent 7 3 2 4 2 2 6" xfId="39845"/>
    <cellStyle name="Percent 7 3 2 4 2 3" xfId="39846"/>
    <cellStyle name="Percent 7 3 2 4 2 3 2" xfId="39847"/>
    <cellStyle name="Percent 7 3 2 4 2 3 2 2" xfId="39848"/>
    <cellStyle name="Percent 7 3 2 4 2 3 2 3" xfId="39849"/>
    <cellStyle name="Percent 7 3 2 4 2 3 3" xfId="39850"/>
    <cellStyle name="Percent 7 3 2 4 2 3 4" xfId="39851"/>
    <cellStyle name="Percent 7 3 2 4 2 4" xfId="39852"/>
    <cellStyle name="Percent 7 3 2 4 2 4 2" xfId="39853"/>
    <cellStyle name="Percent 7 3 2 4 2 4 3" xfId="39854"/>
    <cellStyle name="Percent 7 3 2 4 2 5" xfId="39855"/>
    <cellStyle name="Percent 7 3 2 4 2 5 2" xfId="39856"/>
    <cellStyle name="Percent 7 3 2 4 2 5 3" xfId="39857"/>
    <cellStyle name="Percent 7 3 2 4 2 6" xfId="39858"/>
    <cellStyle name="Percent 7 3 2 4 2 6 2" xfId="39859"/>
    <cellStyle name="Percent 7 3 2 4 2 7" xfId="39860"/>
    <cellStyle name="Percent 7 3 2 4 3" xfId="39861"/>
    <cellStyle name="Percent 7 3 2 4 3 2" xfId="39862"/>
    <cellStyle name="Percent 7 3 2 4 3 2 2" xfId="39863"/>
    <cellStyle name="Percent 7 3 2 4 3 2 2 2" xfId="39864"/>
    <cellStyle name="Percent 7 3 2 4 3 2 2 3" xfId="39865"/>
    <cellStyle name="Percent 7 3 2 4 3 2 3" xfId="39866"/>
    <cellStyle name="Percent 7 3 2 4 3 2 3 2" xfId="39867"/>
    <cellStyle name="Percent 7 3 2 4 3 2 4" xfId="39868"/>
    <cellStyle name="Percent 7 3 2 4 3 3" xfId="39869"/>
    <cellStyle name="Percent 7 3 2 4 3 3 2" xfId="39870"/>
    <cellStyle name="Percent 7 3 2 4 3 3 3" xfId="39871"/>
    <cellStyle name="Percent 7 3 2 4 3 4" xfId="39872"/>
    <cellStyle name="Percent 7 3 2 4 3 4 2" xfId="39873"/>
    <cellStyle name="Percent 7 3 2 4 3 4 3" xfId="39874"/>
    <cellStyle name="Percent 7 3 2 4 3 5" xfId="39875"/>
    <cellStyle name="Percent 7 3 2 4 3 5 2" xfId="39876"/>
    <cellStyle name="Percent 7 3 2 4 3 6" xfId="39877"/>
    <cellStyle name="Percent 7 3 2 4 4" xfId="39878"/>
    <cellStyle name="Percent 7 3 2 4 4 2" xfId="39879"/>
    <cellStyle name="Percent 7 3 2 4 4 2 2" xfId="39880"/>
    <cellStyle name="Percent 7 3 2 4 4 2 2 2" xfId="39881"/>
    <cellStyle name="Percent 7 3 2 4 4 2 3" xfId="39882"/>
    <cellStyle name="Percent 7 3 2 4 4 3" xfId="39883"/>
    <cellStyle name="Percent 7 3 2 4 4 3 2" xfId="39884"/>
    <cellStyle name="Percent 7 3 2 4 4 4" xfId="39885"/>
    <cellStyle name="Percent 7 3 2 4 5" xfId="39886"/>
    <cellStyle name="Percent 7 3 2 4 5 2" xfId="39887"/>
    <cellStyle name="Percent 7 3 2 4 5 2 2" xfId="39888"/>
    <cellStyle name="Percent 7 3 2 4 5 3" xfId="39889"/>
    <cellStyle name="Percent 7 3 2 4 6" xfId="39890"/>
    <cellStyle name="Percent 7 3 2 4 6 2" xfId="39891"/>
    <cellStyle name="Percent 7 3 2 4 6 2 2" xfId="39892"/>
    <cellStyle name="Percent 7 3 2 4 6 3" xfId="39893"/>
    <cellStyle name="Percent 7 3 2 4 7" xfId="39894"/>
    <cellStyle name="Percent 7 3 2 4 7 2" xfId="39895"/>
    <cellStyle name="Percent 7 3 2 4 8" xfId="39896"/>
    <cellStyle name="Percent 7 3 2 5" xfId="39897"/>
    <cellStyle name="Percent 7 3 2 5 2" xfId="39898"/>
    <cellStyle name="Percent 7 3 2 5 2 2" xfId="39899"/>
    <cellStyle name="Percent 7 3 2 5 2 2 2" xfId="39900"/>
    <cellStyle name="Percent 7 3 2 5 2 2 2 2" xfId="39901"/>
    <cellStyle name="Percent 7 3 2 5 2 2 2 2 2" xfId="39902"/>
    <cellStyle name="Percent 7 3 2 5 2 2 2 2 3" xfId="39903"/>
    <cellStyle name="Percent 7 3 2 5 2 2 2 3" xfId="39904"/>
    <cellStyle name="Percent 7 3 2 5 2 2 2 4" xfId="39905"/>
    <cellStyle name="Percent 7 3 2 5 2 2 3" xfId="39906"/>
    <cellStyle name="Percent 7 3 2 5 2 2 3 2" xfId="39907"/>
    <cellStyle name="Percent 7 3 2 5 2 2 3 3" xfId="39908"/>
    <cellStyle name="Percent 7 3 2 5 2 2 4" xfId="39909"/>
    <cellStyle name="Percent 7 3 2 5 2 2 4 2" xfId="39910"/>
    <cellStyle name="Percent 7 3 2 5 2 2 4 3" xfId="39911"/>
    <cellStyle name="Percent 7 3 2 5 2 2 5" xfId="39912"/>
    <cellStyle name="Percent 7 3 2 5 2 2 5 2" xfId="39913"/>
    <cellStyle name="Percent 7 3 2 5 2 2 6" xfId="39914"/>
    <cellStyle name="Percent 7 3 2 5 2 3" xfId="39915"/>
    <cellStyle name="Percent 7 3 2 5 2 3 2" xfId="39916"/>
    <cellStyle name="Percent 7 3 2 5 2 3 2 2" xfId="39917"/>
    <cellStyle name="Percent 7 3 2 5 2 3 2 3" xfId="39918"/>
    <cellStyle name="Percent 7 3 2 5 2 3 3" xfId="39919"/>
    <cellStyle name="Percent 7 3 2 5 2 3 4" xfId="39920"/>
    <cellStyle name="Percent 7 3 2 5 2 4" xfId="39921"/>
    <cellStyle name="Percent 7 3 2 5 2 4 2" xfId="39922"/>
    <cellStyle name="Percent 7 3 2 5 2 4 3" xfId="39923"/>
    <cellStyle name="Percent 7 3 2 5 2 5" xfId="39924"/>
    <cellStyle name="Percent 7 3 2 5 2 5 2" xfId="39925"/>
    <cellStyle name="Percent 7 3 2 5 2 5 3" xfId="39926"/>
    <cellStyle name="Percent 7 3 2 5 2 6" xfId="39927"/>
    <cellStyle name="Percent 7 3 2 5 2 6 2" xfId="39928"/>
    <cellStyle name="Percent 7 3 2 5 2 7" xfId="39929"/>
    <cellStyle name="Percent 7 3 2 5 3" xfId="39930"/>
    <cellStyle name="Percent 7 3 2 5 3 2" xfId="39931"/>
    <cellStyle name="Percent 7 3 2 5 3 2 2" xfId="39932"/>
    <cellStyle name="Percent 7 3 2 5 3 2 2 2" xfId="39933"/>
    <cellStyle name="Percent 7 3 2 5 3 2 2 3" xfId="39934"/>
    <cellStyle name="Percent 7 3 2 5 3 2 3" xfId="39935"/>
    <cellStyle name="Percent 7 3 2 5 3 2 3 2" xfId="39936"/>
    <cellStyle name="Percent 7 3 2 5 3 2 4" xfId="39937"/>
    <cellStyle name="Percent 7 3 2 5 3 3" xfId="39938"/>
    <cellStyle name="Percent 7 3 2 5 3 3 2" xfId="39939"/>
    <cellStyle name="Percent 7 3 2 5 3 3 3" xfId="39940"/>
    <cellStyle name="Percent 7 3 2 5 3 4" xfId="39941"/>
    <cellStyle name="Percent 7 3 2 5 3 4 2" xfId="39942"/>
    <cellStyle name="Percent 7 3 2 5 3 4 3" xfId="39943"/>
    <cellStyle name="Percent 7 3 2 5 3 5" xfId="39944"/>
    <cellStyle name="Percent 7 3 2 5 3 5 2" xfId="39945"/>
    <cellStyle name="Percent 7 3 2 5 3 6" xfId="39946"/>
    <cellStyle name="Percent 7 3 2 5 4" xfId="39947"/>
    <cellStyle name="Percent 7 3 2 5 4 2" xfId="39948"/>
    <cellStyle name="Percent 7 3 2 5 4 2 2" xfId="39949"/>
    <cellStyle name="Percent 7 3 2 5 4 2 2 2" xfId="39950"/>
    <cellStyle name="Percent 7 3 2 5 4 2 3" xfId="39951"/>
    <cellStyle name="Percent 7 3 2 5 4 3" xfId="39952"/>
    <cellStyle name="Percent 7 3 2 5 4 3 2" xfId="39953"/>
    <cellStyle name="Percent 7 3 2 5 4 4" xfId="39954"/>
    <cellStyle name="Percent 7 3 2 5 5" xfId="39955"/>
    <cellStyle name="Percent 7 3 2 5 5 2" xfId="39956"/>
    <cellStyle name="Percent 7 3 2 5 5 2 2" xfId="39957"/>
    <cellStyle name="Percent 7 3 2 5 5 3" xfId="39958"/>
    <cellStyle name="Percent 7 3 2 5 6" xfId="39959"/>
    <cellStyle name="Percent 7 3 2 5 6 2" xfId="39960"/>
    <cellStyle name="Percent 7 3 2 5 6 2 2" xfId="39961"/>
    <cellStyle name="Percent 7 3 2 5 6 3" xfId="39962"/>
    <cellStyle name="Percent 7 3 2 5 7" xfId="39963"/>
    <cellStyle name="Percent 7 3 2 5 7 2" xfId="39964"/>
    <cellStyle name="Percent 7 3 2 5 8" xfId="39965"/>
    <cellStyle name="Percent 7 3 2 6" xfId="39966"/>
    <cellStyle name="Percent 7 3 2 6 2" xfId="39967"/>
    <cellStyle name="Percent 7 3 2 6 2 2" xfId="39968"/>
    <cellStyle name="Percent 7 3 2 6 2 2 2" xfId="39969"/>
    <cellStyle name="Percent 7 3 2 6 2 2 2 2" xfId="39970"/>
    <cellStyle name="Percent 7 3 2 6 2 2 2 3" xfId="39971"/>
    <cellStyle name="Percent 7 3 2 6 2 2 3" xfId="39972"/>
    <cellStyle name="Percent 7 3 2 6 2 2 3 2" xfId="39973"/>
    <cellStyle name="Percent 7 3 2 6 2 2 4" xfId="39974"/>
    <cellStyle name="Percent 7 3 2 6 2 3" xfId="39975"/>
    <cellStyle name="Percent 7 3 2 6 2 3 2" xfId="39976"/>
    <cellStyle name="Percent 7 3 2 6 2 3 3" xfId="39977"/>
    <cellStyle name="Percent 7 3 2 6 2 4" xfId="39978"/>
    <cellStyle name="Percent 7 3 2 6 2 4 2" xfId="39979"/>
    <cellStyle name="Percent 7 3 2 6 2 4 3" xfId="39980"/>
    <cellStyle name="Percent 7 3 2 6 2 5" xfId="39981"/>
    <cellStyle name="Percent 7 3 2 6 2 5 2" xfId="39982"/>
    <cellStyle name="Percent 7 3 2 6 2 6" xfId="39983"/>
    <cellStyle name="Percent 7 3 2 6 3" xfId="39984"/>
    <cellStyle name="Percent 7 3 2 6 3 2" xfId="39985"/>
    <cellStyle name="Percent 7 3 2 6 3 2 2" xfId="39986"/>
    <cellStyle name="Percent 7 3 2 6 3 2 2 2" xfId="39987"/>
    <cellStyle name="Percent 7 3 2 6 3 2 3" xfId="39988"/>
    <cellStyle name="Percent 7 3 2 6 3 3" xfId="39989"/>
    <cellStyle name="Percent 7 3 2 6 3 3 2" xfId="39990"/>
    <cellStyle name="Percent 7 3 2 6 3 4" xfId="39991"/>
    <cellStyle name="Percent 7 3 2 6 4" xfId="39992"/>
    <cellStyle name="Percent 7 3 2 6 4 2" xfId="39993"/>
    <cellStyle name="Percent 7 3 2 6 4 2 2" xfId="39994"/>
    <cellStyle name="Percent 7 3 2 6 4 3" xfId="39995"/>
    <cellStyle name="Percent 7 3 2 6 5" xfId="39996"/>
    <cellStyle name="Percent 7 3 2 6 5 2" xfId="39997"/>
    <cellStyle name="Percent 7 3 2 6 5 2 2" xfId="39998"/>
    <cellStyle name="Percent 7 3 2 6 5 3" xfId="39999"/>
    <cellStyle name="Percent 7 3 2 6 6" xfId="40000"/>
    <cellStyle name="Percent 7 3 2 6 6 2" xfId="40001"/>
    <cellStyle name="Percent 7 3 2 6 7" xfId="40002"/>
    <cellStyle name="Percent 7 3 2 7" xfId="40003"/>
    <cellStyle name="Percent 7 3 2 7 2" xfId="40004"/>
    <cellStyle name="Percent 7 3 2 7 2 2" xfId="40005"/>
    <cellStyle name="Percent 7 3 2 7 2 2 2" xfId="40006"/>
    <cellStyle name="Percent 7 3 2 7 2 2 3" xfId="40007"/>
    <cellStyle name="Percent 7 3 2 7 2 3" xfId="40008"/>
    <cellStyle name="Percent 7 3 2 7 2 3 2" xfId="40009"/>
    <cellStyle name="Percent 7 3 2 7 2 4" xfId="40010"/>
    <cellStyle name="Percent 7 3 2 7 3" xfId="40011"/>
    <cellStyle name="Percent 7 3 2 7 3 2" xfId="40012"/>
    <cellStyle name="Percent 7 3 2 7 3 3" xfId="40013"/>
    <cellStyle name="Percent 7 3 2 7 4" xfId="40014"/>
    <cellStyle name="Percent 7 3 2 7 4 2" xfId="40015"/>
    <cellStyle name="Percent 7 3 2 7 4 3" xfId="40016"/>
    <cellStyle name="Percent 7 3 2 7 5" xfId="40017"/>
    <cellStyle name="Percent 7 3 2 7 5 2" xfId="40018"/>
    <cellStyle name="Percent 7 3 2 7 6" xfId="40019"/>
    <cellStyle name="Percent 7 3 2 8" xfId="40020"/>
    <cellStyle name="Percent 7 3 2 8 2" xfId="40021"/>
    <cellStyle name="Percent 7 3 2 8 2 2" xfId="40022"/>
    <cellStyle name="Percent 7 3 2 8 2 2 2" xfId="40023"/>
    <cellStyle name="Percent 7 3 2 8 2 3" xfId="40024"/>
    <cellStyle name="Percent 7 3 2 8 3" xfId="40025"/>
    <cellStyle name="Percent 7 3 2 8 3 2" xfId="40026"/>
    <cellStyle name="Percent 7 3 2 8 4" xfId="40027"/>
    <cellStyle name="Percent 7 3 2 9" xfId="40028"/>
    <cellStyle name="Percent 7 3 2 9 2" xfId="40029"/>
    <cellStyle name="Percent 7 3 2 9 2 2" xfId="40030"/>
    <cellStyle name="Percent 7 3 2 9 3" xfId="40031"/>
    <cellStyle name="Percent 7 3 2 9 4" xfId="40032"/>
    <cellStyle name="Percent 7 3 3" xfId="40033"/>
    <cellStyle name="Percent 7 3 3 10" xfId="40034"/>
    <cellStyle name="Percent 7 3 3 10 2" xfId="40035"/>
    <cellStyle name="Percent 7 3 3 11" xfId="40036"/>
    <cellStyle name="Percent 7 3 3 12" xfId="40037"/>
    <cellStyle name="Percent 7 3 3 2" xfId="40038"/>
    <cellStyle name="Percent 7 3 3 2 2" xfId="40039"/>
    <cellStyle name="Percent 7 3 3 2 2 2" xfId="40040"/>
    <cellStyle name="Percent 7 3 3 2 2 2 2" xfId="40041"/>
    <cellStyle name="Percent 7 3 3 2 2 2 2 2" xfId="40042"/>
    <cellStyle name="Percent 7 3 3 2 2 2 2 2 2" xfId="40043"/>
    <cellStyle name="Percent 7 3 3 2 2 2 2 2 3" xfId="40044"/>
    <cellStyle name="Percent 7 3 3 2 2 2 2 3" xfId="40045"/>
    <cellStyle name="Percent 7 3 3 2 2 2 2 4" xfId="40046"/>
    <cellStyle name="Percent 7 3 3 2 2 2 3" xfId="40047"/>
    <cellStyle name="Percent 7 3 3 2 2 2 3 2" xfId="40048"/>
    <cellStyle name="Percent 7 3 3 2 2 2 3 3" xfId="40049"/>
    <cellStyle name="Percent 7 3 3 2 2 2 4" xfId="40050"/>
    <cellStyle name="Percent 7 3 3 2 2 2 4 2" xfId="40051"/>
    <cellStyle name="Percent 7 3 3 2 2 2 4 3" xfId="40052"/>
    <cellStyle name="Percent 7 3 3 2 2 2 5" xfId="40053"/>
    <cellStyle name="Percent 7 3 3 2 2 2 5 2" xfId="40054"/>
    <cellStyle name="Percent 7 3 3 2 2 2 6" xfId="40055"/>
    <cellStyle name="Percent 7 3 3 2 2 3" xfId="40056"/>
    <cellStyle name="Percent 7 3 3 2 2 3 2" xfId="40057"/>
    <cellStyle name="Percent 7 3 3 2 2 3 2 2" xfId="40058"/>
    <cellStyle name="Percent 7 3 3 2 2 3 2 3" xfId="40059"/>
    <cellStyle name="Percent 7 3 3 2 2 3 3" xfId="40060"/>
    <cellStyle name="Percent 7 3 3 2 2 3 4" xfId="40061"/>
    <cellStyle name="Percent 7 3 3 2 2 4" xfId="40062"/>
    <cellStyle name="Percent 7 3 3 2 2 4 2" xfId="40063"/>
    <cellStyle name="Percent 7 3 3 2 2 4 3" xfId="40064"/>
    <cellStyle name="Percent 7 3 3 2 2 5" xfId="40065"/>
    <cellStyle name="Percent 7 3 3 2 2 5 2" xfId="40066"/>
    <cellStyle name="Percent 7 3 3 2 2 5 3" xfId="40067"/>
    <cellStyle name="Percent 7 3 3 2 2 6" xfId="40068"/>
    <cellStyle name="Percent 7 3 3 2 2 6 2" xfId="40069"/>
    <cellStyle name="Percent 7 3 3 2 2 7" xfId="40070"/>
    <cellStyle name="Percent 7 3 3 2 3" xfId="40071"/>
    <cellStyle name="Percent 7 3 3 2 3 2" xfId="40072"/>
    <cellStyle name="Percent 7 3 3 2 3 2 2" xfId="40073"/>
    <cellStyle name="Percent 7 3 3 2 3 2 2 2" xfId="40074"/>
    <cellStyle name="Percent 7 3 3 2 3 2 2 3" xfId="40075"/>
    <cellStyle name="Percent 7 3 3 2 3 2 3" xfId="40076"/>
    <cellStyle name="Percent 7 3 3 2 3 2 3 2" xfId="40077"/>
    <cellStyle name="Percent 7 3 3 2 3 2 4" xfId="40078"/>
    <cellStyle name="Percent 7 3 3 2 3 3" xfId="40079"/>
    <cellStyle name="Percent 7 3 3 2 3 3 2" xfId="40080"/>
    <cellStyle name="Percent 7 3 3 2 3 3 3" xfId="40081"/>
    <cellStyle name="Percent 7 3 3 2 3 4" xfId="40082"/>
    <cellStyle name="Percent 7 3 3 2 3 4 2" xfId="40083"/>
    <cellStyle name="Percent 7 3 3 2 3 4 3" xfId="40084"/>
    <cellStyle name="Percent 7 3 3 2 3 5" xfId="40085"/>
    <cellStyle name="Percent 7 3 3 2 3 5 2" xfId="40086"/>
    <cellStyle name="Percent 7 3 3 2 3 6" xfId="40087"/>
    <cellStyle name="Percent 7 3 3 2 4" xfId="40088"/>
    <cellStyle name="Percent 7 3 3 2 4 2" xfId="40089"/>
    <cellStyle name="Percent 7 3 3 2 4 2 2" xfId="40090"/>
    <cellStyle name="Percent 7 3 3 2 4 2 2 2" xfId="40091"/>
    <cellStyle name="Percent 7 3 3 2 4 2 3" xfId="40092"/>
    <cellStyle name="Percent 7 3 3 2 4 3" xfId="40093"/>
    <cellStyle name="Percent 7 3 3 2 4 3 2" xfId="40094"/>
    <cellStyle name="Percent 7 3 3 2 4 4" xfId="40095"/>
    <cellStyle name="Percent 7 3 3 2 5" xfId="40096"/>
    <cellStyle name="Percent 7 3 3 2 5 2" xfId="40097"/>
    <cellStyle name="Percent 7 3 3 2 5 2 2" xfId="40098"/>
    <cellStyle name="Percent 7 3 3 2 5 3" xfId="40099"/>
    <cellStyle name="Percent 7 3 3 2 6" xfId="40100"/>
    <cellStyle name="Percent 7 3 3 2 6 2" xfId="40101"/>
    <cellStyle name="Percent 7 3 3 2 6 2 2" xfId="40102"/>
    <cellStyle name="Percent 7 3 3 2 6 3" xfId="40103"/>
    <cellStyle name="Percent 7 3 3 2 7" xfId="40104"/>
    <cellStyle name="Percent 7 3 3 2 7 2" xfId="40105"/>
    <cellStyle name="Percent 7 3 3 2 8" xfId="40106"/>
    <cellStyle name="Percent 7 3 3 3" xfId="40107"/>
    <cellStyle name="Percent 7 3 3 3 2" xfId="40108"/>
    <cellStyle name="Percent 7 3 3 3 2 2" xfId="40109"/>
    <cellStyle name="Percent 7 3 3 3 2 2 2" xfId="40110"/>
    <cellStyle name="Percent 7 3 3 3 2 2 2 2" xfId="40111"/>
    <cellStyle name="Percent 7 3 3 3 2 2 2 2 2" xfId="40112"/>
    <cellStyle name="Percent 7 3 3 3 2 2 2 2 3" xfId="40113"/>
    <cellStyle name="Percent 7 3 3 3 2 2 2 3" xfId="40114"/>
    <cellStyle name="Percent 7 3 3 3 2 2 2 4" xfId="40115"/>
    <cellStyle name="Percent 7 3 3 3 2 2 3" xfId="40116"/>
    <cellStyle name="Percent 7 3 3 3 2 2 3 2" xfId="40117"/>
    <cellStyle name="Percent 7 3 3 3 2 2 3 3" xfId="40118"/>
    <cellStyle name="Percent 7 3 3 3 2 2 4" xfId="40119"/>
    <cellStyle name="Percent 7 3 3 3 2 2 4 2" xfId="40120"/>
    <cellStyle name="Percent 7 3 3 3 2 2 4 3" xfId="40121"/>
    <cellStyle name="Percent 7 3 3 3 2 2 5" xfId="40122"/>
    <cellStyle name="Percent 7 3 3 3 2 2 5 2" xfId="40123"/>
    <cellStyle name="Percent 7 3 3 3 2 2 6" xfId="40124"/>
    <cellStyle name="Percent 7 3 3 3 2 3" xfId="40125"/>
    <cellStyle name="Percent 7 3 3 3 2 3 2" xfId="40126"/>
    <cellStyle name="Percent 7 3 3 3 2 3 2 2" xfId="40127"/>
    <cellStyle name="Percent 7 3 3 3 2 3 2 3" xfId="40128"/>
    <cellStyle name="Percent 7 3 3 3 2 3 3" xfId="40129"/>
    <cellStyle name="Percent 7 3 3 3 2 3 4" xfId="40130"/>
    <cellStyle name="Percent 7 3 3 3 2 4" xfId="40131"/>
    <cellStyle name="Percent 7 3 3 3 2 4 2" xfId="40132"/>
    <cellStyle name="Percent 7 3 3 3 2 4 3" xfId="40133"/>
    <cellStyle name="Percent 7 3 3 3 2 5" xfId="40134"/>
    <cellStyle name="Percent 7 3 3 3 2 5 2" xfId="40135"/>
    <cellStyle name="Percent 7 3 3 3 2 5 3" xfId="40136"/>
    <cellStyle name="Percent 7 3 3 3 2 6" xfId="40137"/>
    <cellStyle name="Percent 7 3 3 3 2 6 2" xfId="40138"/>
    <cellStyle name="Percent 7 3 3 3 2 7" xfId="40139"/>
    <cellStyle name="Percent 7 3 3 3 3" xfId="40140"/>
    <cellStyle name="Percent 7 3 3 3 3 2" xfId="40141"/>
    <cellStyle name="Percent 7 3 3 3 3 2 2" xfId="40142"/>
    <cellStyle name="Percent 7 3 3 3 3 2 2 2" xfId="40143"/>
    <cellStyle name="Percent 7 3 3 3 3 2 2 3" xfId="40144"/>
    <cellStyle name="Percent 7 3 3 3 3 2 3" xfId="40145"/>
    <cellStyle name="Percent 7 3 3 3 3 2 3 2" xfId="40146"/>
    <cellStyle name="Percent 7 3 3 3 3 2 4" xfId="40147"/>
    <cellStyle name="Percent 7 3 3 3 3 3" xfId="40148"/>
    <cellStyle name="Percent 7 3 3 3 3 3 2" xfId="40149"/>
    <cellStyle name="Percent 7 3 3 3 3 3 3" xfId="40150"/>
    <cellStyle name="Percent 7 3 3 3 3 4" xfId="40151"/>
    <cellStyle name="Percent 7 3 3 3 3 4 2" xfId="40152"/>
    <cellStyle name="Percent 7 3 3 3 3 4 3" xfId="40153"/>
    <cellStyle name="Percent 7 3 3 3 3 5" xfId="40154"/>
    <cellStyle name="Percent 7 3 3 3 3 5 2" xfId="40155"/>
    <cellStyle name="Percent 7 3 3 3 3 6" xfId="40156"/>
    <cellStyle name="Percent 7 3 3 3 4" xfId="40157"/>
    <cellStyle name="Percent 7 3 3 3 4 2" xfId="40158"/>
    <cellStyle name="Percent 7 3 3 3 4 2 2" xfId="40159"/>
    <cellStyle name="Percent 7 3 3 3 4 2 2 2" xfId="40160"/>
    <cellStyle name="Percent 7 3 3 3 4 2 3" xfId="40161"/>
    <cellStyle name="Percent 7 3 3 3 4 3" xfId="40162"/>
    <cellStyle name="Percent 7 3 3 3 4 3 2" xfId="40163"/>
    <cellStyle name="Percent 7 3 3 3 4 4" xfId="40164"/>
    <cellStyle name="Percent 7 3 3 3 5" xfId="40165"/>
    <cellStyle name="Percent 7 3 3 3 5 2" xfId="40166"/>
    <cellStyle name="Percent 7 3 3 3 5 2 2" xfId="40167"/>
    <cellStyle name="Percent 7 3 3 3 5 3" xfId="40168"/>
    <cellStyle name="Percent 7 3 3 3 6" xfId="40169"/>
    <cellStyle name="Percent 7 3 3 3 6 2" xfId="40170"/>
    <cellStyle name="Percent 7 3 3 3 6 2 2" xfId="40171"/>
    <cellStyle name="Percent 7 3 3 3 6 3" xfId="40172"/>
    <cellStyle name="Percent 7 3 3 3 7" xfId="40173"/>
    <cellStyle name="Percent 7 3 3 3 7 2" xfId="40174"/>
    <cellStyle name="Percent 7 3 3 3 8" xfId="40175"/>
    <cellStyle name="Percent 7 3 3 4" xfId="40176"/>
    <cellStyle name="Percent 7 3 3 4 2" xfId="40177"/>
    <cellStyle name="Percent 7 3 3 4 2 2" xfId="40178"/>
    <cellStyle name="Percent 7 3 3 4 2 2 2" xfId="40179"/>
    <cellStyle name="Percent 7 3 3 4 2 2 2 2" xfId="40180"/>
    <cellStyle name="Percent 7 3 3 4 2 2 2 2 2" xfId="40181"/>
    <cellStyle name="Percent 7 3 3 4 2 2 2 2 3" xfId="40182"/>
    <cellStyle name="Percent 7 3 3 4 2 2 2 3" xfId="40183"/>
    <cellStyle name="Percent 7 3 3 4 2 2 2 4" xfId="40184"/>
    <cellStyle name="Percent 7 3 3 4 2 2 3" xfId="40185"/>
    <cellStyle name="Percent 7 3 3 4 2 2 3 2" xfId="40186"/>
    <cellStyle name="Percent 7 3 3 4 2 2 3 3" xfId="40187"/>
    <cellStyle name="Percent 7 3 3 4 2 2 4" xfId="40188"/>
    <cellStyle name="Percent 7 3 3 4 2 2 4 2" xfId="40189"/>
    <cellStyle name="Percent 7 3 3 4 2 2 4 3" xfId="40190"/>
    <cellStyle name="Percent 7 3 3 4 2 2 5" xfId="40191"/>
    <cellStyle name="Percent 7 3 3 4 2 2 5 2" xfId="40192"/>
    <cellStyle name="Percent 7 3 3 4 2 2 6" xfId="40193"/>
    <cellStyle name="Percent 7 3 3 4 2 3" xfId="40194"/>
    <cellStyle name="Percent 7 3 3 4 2 3 2" xfId="40195"/>
    <cellStyle name="Percent 7 3 3 4 2 3 2 2" xfId="40196"/>
    <cellStyle name="Percent 7 3 3 4 2 3 2 3" xfId="40197"/>
    <cellStyle name="Percent 7 3 3 4 2 3 3" xfId="40198"/>
    <cellStyle name="Percent 7 3 3 4 2 3 4" xfId="40199"/>
    <cellStyle name="Percent 7 3 3 4 2 4" xfId="40200"/>
    <cellStyle name="Percent 7 3 3 4 2 4 2" xfId="40201"/>
    <cellStyle name="Percent 7 3 3 4 2 4 3" xfId="40202"/>
    <cellStyle name="Percent 7 3 3 4 2 5" xfId="40203"/>
    <cellStyle name="Percent 7 3 3 4 2 5 2" xfId="40204"/>
    <cellStyle name="Percent 7 3 3 4 2 5 3" xfId="40205"/>
    <cellStyle name="Percent 7 3 3 4 2 6" xfId="40206"/>
    <cellStyle name="Percent 7 3 3 4 2 6 2" xfId="40207"/>
    <cellStyle name="Percent 7 3 3 4 2 7" xfId="40208"/>
    <cellStyle name="Percent 7 3 3 4 3" xfId="40209"/>
    <cellStyle name="Percent 7 3 3 4 3 2" xfId="40210"/>
    <cellStyle name="Percent 7 3 3 4 3 2 2" xfId="40211"/>
    <cellStyle name="Percent 7 3 3 4 3 2 2 2" xfId="40212"/>
    <cellStyle name="Percent 7 3 3 4 3 2 2 3" xfId="40213"/>
    <cellStyle name="Percent 7 3 3 4 3 2 3" xfId="40214"/>
    <cellStyle name="Percent 7 3 3 4 3 2 3 2" xfId="40215"/>
    <cellStyle name="Percent 7 3 3 4 3 2 4" xfId="40216"/>
    <cellStyle name="Percent 7 3 3 4 3 3" xfId="40217"/>
    <cellStyle name="Percent 7 3 3 4 3 3 2" xfId="40218"/>
    <cellStyle name="Percent 7 3 3 4 3 3 3" xfId="40219"/>
    <cellStyle name="Percent 7 3 3 4 3 4" xfId="40220"/>
    <cellStyle name="Percent 7 3 3 4 3 4 2" xfId="40221"/>
    <cellStyle name="Percent 7 3 3 4 3 4 3" xfId="40222"/>
    <cellStyle name="Percent 7 3 3 4 3 5" xfId="40223"/>
    <cellStyle name="Percent 7 3 3 4 3 5 2" xfId="40224"/>
    <cellStyle name="Percent 7 3 3 4 3 6" xfId="40225"/>
    <cellStyle name="Percent 7 3 3 4 4" xfId="40226"/>
    <cellStyle name="Percent 7 3 3 4 4 2" xfId="40227"/>
    <cellStyle name="Percent 7 3 3 4 4 2 2" xfId="40228"/>
    <cellStyle name="Percent 7 3 3 4 4 2 2 2" xfId="40229"/>
    <cellStyle name="Percent 7 3 3 4 4 2 3" xfId="40230"/>
    <cellStyle name="Percent 7 3 3 4 4 3" xfId="40231"/>
    <cellStyle name="Percent 7 3 3 4 4 3 2" xfId="40232"/>
    <cellStyle name="Percent 7 3 3 4 4 4" xfId="40233"/>
    <cellStyle name="Percent 7 3 3 4 5" xfId="40234"/>
    <cellStyle name="Percent 7 3 3 4 5 2" xfId="40235"/>
    <cellStyle name="Percent 7 3 3 4 5 2 2" xfId="40236"/>
    <cellStyle name="Percent 7 3 3 4 5 3" xfId="40237"/>
    <cellStyle name="Percent 7 3 3 4 6" xfId="40238"/>
    <cellStyle name="Percent 7 3 3 4 6 2" xfId="40239"/>
    <cellStyle name="Percent 7 3 3 4 6 2 2" xfId="40240"/>
    <cellStyle name="Percent 7 3 3 4 6 3" xfId="40241"/>
    <cellStyle name="Percent 7 3 3 4 7" xfId="40242"/>
    <cellStyle name="Percent 7 3 3 4 7 2" xfId="40243"/>
    <cellStyle name="Percent 7 3 3 4 8" xfId="40244"/>
    <cellStyle name="Percent 7 3 3 5" xfId="40245"/>
    <cellStyle name="Percent 7 3 3 5 2" xfId="40246"/>
    <cellStyle name="Percent 7 3 3 5 2 2" xfId="40247"/>
    <cellStyle name="Percent 7 3 3 5 2 2 2" xfId="40248"/>
    <cellStyle name="Percent 7 3 3 5 2 2 2 2" xfId="40249"/>
    <cellStyle name="Percent 7 3 3 5 2 2 2 3" xfId="40250"/>
    <cellStyle name="Percent 7 3 3 5 2 2 3" xfId="40251"/>
    <cellStyle name="Percent 7 3 3 5 2 2 3 2" xfId="40252"/>
    <cellStyle name="Percent 7 3 3 5 2 2 4" xfId="40253"/>
    <cellStyle name="Percent 7 3 3 5 2 3" xfId="40254"/>
    <cellStyle name="Percent 7 3 3 5 2 3 2" xfId="40255"/>
    <cellStyle name="Percent 7 3 3 5 2 3 3" xfId="40256"/>
    <cellStyle name="Percent 7 3 3 5 2 4" xfId="40257"/>
    <cellStyle name="Percent 7 3 3 5 2 4 2" xfId="40258"/>
    <cellStyle name="Percent 7 3 3 5 2 4 3" xfId="40259"/>
    <cellStyle name="Percent 7 3 3 5 2 5" xfId="40260"/>
    <cellStyle name="Percent 7 3 3 5 2 5 2" xfId="40261"/>
    <cellStyle name="Percent 7 3 3 5 2 6" xfId="40262"/>
    <cellStyle name="Percent 7 3 3 5 3" xfId="40263"/>
    <cellStyle name="Percent 7 3 3 5 3 2" xfId="40264"/>
    <cellStyle name="Percent 7 3 3 5 3 2 2" xfId="40265"/>
    <cellStyle name="Percent 7 3 3 5 3 2 2 2" xfId="40266"/>
    <cellStyle name="Percent 7 3 3 5 3 2 3" xfId="40267"/>
    <cellStyle name="Percent 7 3 3 5 3 3" xfId="40268"/>
    <cellStyle name="Percent 7 3 3 5 3 3 2" xfId="40269"/>
    <cellStyle name="Percent 7 3 3 5 3 4" xfId="40270"/>
    <cellStyle name="Percent 7 3 3 5 4" xfId="40271"/>
    <cellStyle name="Percent 7 3 3 5 4 2" xfId="40272"/>
    <cellStyle name="Percent 7 3 3 5 4 2 2" xfId="40273"/>
    <cellStyle name="Percent 7 3 3 5 4 3" xfId="40274"/>
    <cellStyle name="Percent 7 3 3 5 5" xfId="40275"/>
    <cellStyle name="Percent 7 3 3 5 5 2" xfId="40276"/>
    <cellStyle name="Percent 7 3 3 5 5 2 2" xfId="40277"/>
    <cellStyle name="Percent 7 3 3 5 5 3" xfId="40278"/>
    <cellStyle name="Percent 7 3 3 5 6" xfId="40279"/>
    <cellStyle name="Percent 7 3 3 5 6 2" xfId="40280"/>
    <cellStyle name="Percent 7 3 3 5 7" xfId="40281"/>
    <cellStyle name="Percent 7 3 3 6" xfId="40282"/>
    <cellStyle name="Percent 7 3 3 6 2" xfId="40283"/>
    <cellStyle name="Percent 7 3 3 6 2 2" xfId="40284"/>
    <cellStyle name="Percent 7 3 3 6 2 2 2" xfId="40285"/>
    <cellStyle name="Percent 7 3 3 6 2 2 3" xfId="40286"/>
    <cellStyle name="Percent 7 3 3 6 2 3" xfId="40287"/>
    <cellStyle name="Percent 7 3 3 6 2 3 2" xfId="40288"/>
    <cellStyle name="Percent 7 3 3 6 2 4" xfId="40289"/>
    <cellStyle name="Percent 7 3 3 6 3" xfId="40290"/>
    <cellStyle name="Percent 7 3 3 6 3 2" xfId="40291"/>
    <cellStyle name="Percent 7 3 3 6 3 3" xfId="40292"/>
    <cellStyle name="Percent 7 3 3 6 4" xfId="40293"/>
    <cellStyle name="Percent 7 3 3 6 4 2" xfId="40294"/>
    <cellStyle name="Percent 7 3 3 6 4 3" xfId="40295"/>
    <cellStyle name="Percent 7 3 3 6 5" xfId="40296"/>
    <cellStyle name="Percent 7 3 3 6 5 2" xfId="40297"/>
    <cellStyle name="Percent 7 3 3 6 6" xfId="40298"/>
    <cellStyle name="Percent 7 3 3 7" xfId="40299"/>
    <cellStyle name="Percent 7 3 3 7 2" xfId="40300"/>
    <cellStyle name="Percent 7 3 3 7 2 2" xfId="40301"/>
    <cellStyle name="Percent 7 3 3 7 2 2 2" xfId="40302"/>
    <cellStyle name="Percent 7 3 3 7 2 3" xfId="40303"/>
    <cellStyle name="Percent 7 3 3 7 3" xfId="40304"/>
    <cellStyle name="Percent 7 3 3 7 3 2" xfId="40305"/>
    <cellStyle name="Percent 7 3 3 7 4" xfId="40306"/>
    <cellStyle name="Percent 7 3 3 8" xfId="40307"/>
    <cellStyle name="Percent 7 3 3 8 2" xfId="40308"/>
    <cellStyle name="Percent 7 3 3 8 2 2" xfId="40309"/>
    <cellStyle name="Percent 7 3 3 8 3" xfId="40310"/>
    <cellStyle name="Percent 7 3 3 8 4" xfId="40311"/>
    <cellStyle name="Percent 7 3 3 9" xfId="40312"/>
    <cellStyle name="Percent 7 3 3 9 2" xfId="40313"/>
    <cellStyle name="Percent 7 3 3 9 2 2" xfId="40314"/>
    <cellStyle name="Percent 7 3 3 9 3" xfId="40315"/>
    <cellStyle name="Percent 7 3 4" xfId="40316"/>
    <cellStyle name="Percent 7 3 4 10" xfId="40317"/>
    <cellStyle name="Percent 7 3 4 11" xfId="40318"/>
    <cellStyle name="Percent 7 3 4 12" xfId="40319"/>
    <cellStyle name="Percent 7 3 4 2" xfId="40320"/>
    <cellStyle name="Percent 7 3 4 2 2" xfId="40321"/>
    <cellStyle name="Percent 7 3 4 2 2 2" xfId="40322"/>
    <cellStyle name="Percent 7 3 4 2 2 2 2" xfId="40323"/>
    <cellStyle name="Percent 7 3 4 2 2 2 2 2" xfId="40324"/>
    <cellStyle name="Percent 7 3 4 2 2 2 2 3" xfId="40325"/>
    <cellStyle name="Percent 7 3 4 2 2 2 3" xfId="40326"/>
    <cellStyle name="Percent 7 3 4 2 2 2 3 2" xfId="40327"/>
    <cellStyle name="Percent 7 3 4 2 2 2 4" xfId="40328"/>
    <cellStyle name="Percent 7 3 4 2 2 3" xfId="40329"/>
    <cellStyle name="Percent 7 3 4 2 2 3 2" xfId="40330"/>
    <cellStyle name="Percent 7 3 4 2 2 3 3" xfId="40331"/>
    <cellStyle name="Percent 7 3 4 2 2 4" xfId="40332"/>
    <cellStyle name="Percent 7 3 4 2 2 4 2" xfId="40333"/>
    <cellStyle name="Percent 7 3 4 2 2 4 3" xfId="40334"/>
    <cellStyle name="Percent 7 3 4 2 2 5" xfId="40335"/>
    <cellStyle name="Percent 7 3 4 2 2 5 2" xfId="40336"/>
    <cellStyle name="Percent 7 3 4 2 2 6" xfId="40337"/>
    <cellStyle name="Percent 7 3 4 2 3" xfId="40338"/>
    <cellStyle name="Percent 7 3 4 2 3 2" xfId="40339"/>
    <cellStyle name="Percent 7 3 4 2 3 2 2" xfId="40340"/>
    <cellStyle name="Percent 7 3 4 2 3 2 2 2" xfId="40341"/>
    <cellStyle name="Percent 7 3 4 2 3 2 3" xfId="40342"/>
    <cellStyle name="Percent 7 3 4 2 3 3" xfId="40343"/>
    <cellStyle name="Percent 7 3 4 2 3 3 2" xfId="40344"/>
    <cellStyle name="Percent 7 3 4 2 3 4" xfId="40345"/>
    <cellStyle name="Percent 7 3 4 2 4" xfId="40346"/>
    <cellStyle name="Percent 7 3 4 2 4 2" xfId="40347"/>
    <cellStyle name="Percent 7 3 4 2 4 2 2" xfId="40348"/>
    <cellStyle name="Percent 7 3 4 2 4 3" xfId="40349"/>
    <cellStyle name="Percent 7 3 4 2 4 4" xfId="40350"/>
    <cellStyle name="Percent 7 3 4 2 5" xfId="40351"/>
    <cellStyle name="Percent 7 3 4 2 5 2" xfId="40352"/>
    <cellStyle name="Percent 7 3 4 2 5 2 2" xfId="40353"/>
    <cellStyle name="Percent 7 3 4 2 5 3" xfId="40354"/>
    <cellStyle name="Percent 7 3 4 2 6" xfId="40355"/>
    <cellStyle name="Percent 7 3 4 2 6 2" xfId="40356"/>
    <cellStyle name="Percent 7 3 4 2 7" xfId="40357"/>
    <cellStyle name="Percent 7 3 4 2 8" xfId="40358"/>
    <cellStyle name="Percent 7 3 4 3" xfId="40359"/>
    <cellStyle name="Percent 7 3 4 3 2" xfId="40360"/>
    <cellStyle name="Percent 7 3 4 3 2 2" xfId="40361"/>
    <cellStyle name="Percent 7 3 4 3 2 2 2" xfId="40362"/>
    <cellStyle name="Percent 7 3 4 3 2 2 2 2" xfId="40363"/>
    <cellStyle name="Percent 7 3 4 3 2 2 3" xfId="40364"/>
    <cellStyle name="Percent 7 3 4 3 2 3" xfId="40365"/>
    <cellStyle name="Percent 7 3 4 3 2 3 2" xfId="40366"/>
    <cellStyle name="Percent 7 3 4 3 2 4" xfId="40367"/>
    <cellStyle name="Percent 7 3 4 3 3" xfId="40368"/>
    <cellStyle name="Percent 7 3 4 3 3 2" xfId="40369"/>
    <cellStyle name="Percent 7 3 4 3 3 2 2" xfId="40370"/>
    <cellStyle name="Percent 7 3 4 3 3 3" xfId="40371"/>
    <cellStyle name="Percent 7 3 4 3 3 4" xfId="40372"/>
    <cellStyle name="Percent 7 3 4 3 4" xfId="40373"/>
    <cellStyle name="Percent 7 3 4 3 4 2" xfId="40374"/>
    <cellStyle name="Percent 7 3 4 3 4 2 2" xfId="40375"/>
    <cellStyle name="Percent 7 3 4 3 4 3" xfId="40376"/>
    <cellStyle name="Percent 7 3 4 3 4 4" xfId="40377"/>
    <cellStyle name="Percent 7 3 4 3 5" xfId="40378"/>
    <cellStyle name="Percent 7 3 4 3 5 2" xfId="40379"/>
    <cellStyle name="Percent 7 3 4 3 6" xfId="40380"/>
    <cellStyle name="Percent 7 3 4 3 7" xfId="40381"/>
    <cellStyle name="Percent 7 3 4 3 8" xfId="40382"/>
    <cellStyle name="Percent 7 3 4 4" xfId="40383"/>
    <cellStyle name="Percent 7 3 4 4 2" xfId="40384"/>
    <cellStyle name="Percent 7 3 4 4 2 2" xfId="40385"/>
    <cellStyle name="Percent 7 3 4 4 2 2 2" xfId="40386"/>
    <cellStyle name="Percent 7 3 4 4 2 3" xfId="40387"/>
    <cellStyle name="Percent 7 3 4 4 2 4" xfId="40388"/>
    <cellStyle name="Percent 7 3 4 4 3" xfId="40389"/>
    <cellStyle name="Percent 7 3 4 4 3 2" xfId="40390"/>
    <cellStyle name="Percent 7 3 4 4 3 3" xfId="40391"/>
    <cellStyle name="Percent 7 3 4 4 4" xfId="40392"/>
    <cellStyle name="Percent 7 3 4 4 4 2" xfId="40393"/>
    <cellStyle name="Percent 7 3 4 4 5" xfId="40394"/>
    <cellStyle name="Percent 7 3 4 4 6" xfId="40395"/>
    <cellStyle name="Percent 7 3 4 4 7" xfId="40396"/>
    <cellStyle name="Percent 7 3 4 4 8" xfId="40397"/>
    <cellStyle name="Percent 7 3 4 5" xfId="40398"/>
    <cellStyle name="Percent 7 3 4 5 2" xfId="40399"/>
    <cellStyle name="Percent 7 3 4 5 2 2" xfId="40400"/>
    <cellStyle name="Percent 7 3 4 5 2 3" xfId="40401"/>
    <cellStyle name="Percent 7 3 4 5 3" xfId="40402"/>
    <cellStyle name="Percent 7 3 4 5 3 2" xfId="40403"/>
    <cellStyle name="Percent 7 3 4 5 4" xfId="40404"/>
    <cellStyle name="Percent 7 3 4 5 5" xfId="40405"/>
    <cellStyle name="Percent 7 3 4 5 6" xfId="40406"/>
    <cellStyle name="Percent 7 3 4 5 7" xfId="40407"/>
    <cellStyle name="Percent 7 3 4 6" xfId="40408"/>
    <cellStyle name="Percent 7 3 4 6 2" xfId="40409"/>
    <cellStyle name="Percent 7 3 4 6 2 2" xfId="40410"/>
    <cellStyle name="Percent 7 3 4 6 3" xfId="40411"/>
    <cellStyle name="Percent 7 3 4 6 4" xfId="40412"/>
    <cellStyle name="Percent 7 3 4 7" xfId="40413"/>
    <cellStyle name="Percent 7 3 4 7 2" xfId="40414"/>
    <cellStyle name="Percent 7 3 4 7 3" xfId="40415"/>
    <cellStyle name="Percent 7 3 4 8" xfId="40416"/>
    <cellStyle name="Percent 7 3 4 8 2" xfId="40417"/>
    <cellStyle name="Percent 7 3 4 9" xfId="40418"/>
    <cellStyle name="Percent 7 3 5" xfId="40419"/>
    <cellStyle name="Percent 7 3 5 2" xfId="40420"/>
    <cellStyle name="Percent 7 3 5 2 2" xfId="40421"/>
    <cellStyle name="Percent 7 3 5 2 2 2" xfId="40422"/>
    <cellStyle name="Percent 7 3 5 2 2 2 2" xfId="40423"/>
    <cellStyle name="Percent 7 3 5 2 2 2 2 2" xfId="40424"/>
    <cellStyle name="Percent 7 3 5 2 2 2 2 3" xfId="40425"/>
    <cellStyle name="Percent 7 3 5 2 2 2 3" xfId="40426"/>
    <cellStyle name="Percent 7 3 5 2 2 2 4" xfId="40427"/>
    <cellStyle name="Percent 7 3 5 2 2 3" xfId="40428"/>
    <cellStyle name="Percent 7 3 5 2 2 3 2" xfId="40429"/>
    <cellStyle name="Percent 7 3 5 2 2 3 3" xfId="40430"/>
    <cellStyle name="Percent 7 3 5 2 2 4" xfId="40431"/>
    <cellStyle name="Percent 7 3 5 2 2 4 2" xfId="40432"/>
    <cellStyle name="Percent 7 3 5 2 2 4 3" xfId="40433"/>
    <cellStyle name="Percent 7 3 5 2 2 5" xfId="40434"/>
    <cellStyle name="Percent 7 3 5 2 2 5 2" xfId="40435"/>
    <cellStyle name="Percent 7 3 5 2 2 6" xfId="40436"/>
    <cellStyle name="Percent 7 3 5 2 3" xfId="40437"/>
    <cellStyle name="Percent 7 3 5 2 3 2" xfId="40438"/>
    <cellStyle name="Percent 7 3 5 2 3 2 2" xfId="40439"/>
    <cellStyle name="Percent 7 3 5 2 3 2 3" xfId="40440"/>
    <cellStyle name="Percent 7 3 5 2 3 3" xfId="40441"/>
    <cellStyle name="Percent 7 3 5 2 3 4" xfId="40442"/>
    <cellStyle name="Percent 7 3 5 2 4" xfId="40443"/>
    <cellStyle name="Percent 7 3 5 2 4 2" xfId="40444"/>
    <cellStyle name="Percent 7 3 5 2 4 3" xfId="40445"/>
    <cellStyle name="Percent 7 3 5 2 5" xfId="40446"/>
    <cellStyle name="Percent 7 3 5 2 5 2" xfId="40447"/>
    <cellStyle name="Percent 7 3 5 2 5 3" xfId="40448"/>
    <cellStyle name="Percent 7 3 5 2 6" xfId="40449"/>
    <cellStyle name="Percent 7 3 5 2 6 2" xfId="40450"/>
    <cellStyle name="Percent 7 3 5 2 7" xfId="40451"/>
    <cellStyle name="Percent 7 3 5 3" xfId="40452"/>
    <cellStyle name="Percent 7 3 5 3 2" xfId="40453"/>
    <cellStyle name="Percent 7 3 5 3 2 2" xfId="40454"/>
    <cellStyle name="Percent 7 3 5 3 2 2 2" xfId="40455"/>
    <cellStyle name="Percent 7 3 5 3 2 2 3" xfId="40456"/>
    <cellStyle name="Percent 7 3 5 3 2 3" xfId="40457"/>
    <cellStyle name="Percent 7 3 5 3 2 3 2" xfId="40458"/>
    <cellStyle name="Percent 7 3 5 3 2 4" xfId="40459"/>
    <cellStyle name="Percent 7 3 5 3 3" xfId="40460"/>
    <cellStyle name="Percent 7 3 5 3 3 2" xfId="40461"/>
    <cellStyle name="Percent 7 3 5 3 3 3" xfId="40462"/>
    <cellStyle name="Percent 7 3 5 3 4" xfId="40463"/>
    <cellStyle name="Percent 7 3 5 3 4 2" xfId="40464"/>
    <cellStyle name="Percent 7 3 5 3 4 3" xfId="40465"/>
    <cellStyle name="Percent 7 3 5 3 5" xfId="40466"/>
    <cellStyle name="Percent 7 3 5 3 5 2" xfId="40467"/>
    <cellStyle name="Percent 7 3 5 3 6" xfId="40468"/>
    <cellStyle name="Percent 7 3 5 4" xfId="40469"/>
    <cellStyle name="Percent 7 3 5 4 2" xfId="40470"/>
    <cellStyle name="Percent 7 3 5 4 2 2" xfId="40471"/>
    <cellStyle name="Percent 7 3 5 4 2 2 2" xfId="40472"/>
    <cellStyle name="Percent 7 3 5 4 2 3" xfId="40473"/>
    <cellStyle name="Percent 7 3 5 4 3" xfId="40474"/>
    <cellStyle name="Percent 7 3 5 4 3 2" xfId="40475"/>
    <cellStyle name="Percent 7 3 5 4 4" xfId="40476"/>
    <cellStyle name="Percent 7 3 5 5" xfId="40477"/>
    <cellStyle name="Percent 7 3 5 5 2" xfId="40478"/>
    <cellStyle name="Percent 7 3 5 5 2 2" xfId="40479"/>
    <cellStyle name="Percent 7 3 5 5 3" xfId="40480"/>
    <cellStyle name="Percent 7 3 5 6" xfId="40481"/>
    <cellStyle name="Percent 7 3 5 6 2" xfId="40482"/>
    <cellStyle name="Percent 7 3 5 6 2 2" xfId="40483"/>
    <cellStyle name="Percent 7 3 5 6 3" xfId="40484"/>
    <cellStyle name="Percent 7 3 5 7" xfId="40485"/>
    <cellStyle name="Percent 7 3 5 7 2" xfId="40486"/>
    <cellStyle name="Percent 7 3 5 8" xfId="40487"/>
    <cellStyle name="Percent 7 3 6" xfId="40488"/>
    <cellStyle name="Percent 7 3 6 2" xfId="40489"/>
    <cellStyle name="Percent 7 3 6 2 2" xfId="40490"/>
    <cellStyle name="Percent 7 3 6 2 2 2" xfId="40491"/>
    <cellStyle name="Percent 7 3 6 2 2 2 2" xfId="40492"/>
    <cellStyle name="Percent 7 3 6 2 2 2 2 2" xfId="40493"/>
    <cellStyle name="Percent 7 3 6 2 2 2 2 3" xfId="40494"/>
    <cellStyle name="Percent 7 3 6 2 2 2 3" xfId="40495"/>
    <cellStyle name="Percent 7 3 6 2 2 2 4" xfId="40496"/>
    <cellStyle name="Percent 7 3 6 2 2 3" xfId="40497"/>
    <cellStyle name="Percent 7 3 6 2 2 3 2" xfId="40498"/>
    <cellStyle name="Percent 7 3 6 2 2 3 3" xfId="40499"/>
    <cellStyle name="Percent 7 3 6 2 2 4" xfId="40500"/>
    <cellStyle name="Percent 7 3 6 2 2 4 2" xfId="40501"/>
    <cellStyle name="Percent 7 3 6 2 2 4 3" xfId="40502"/>
    <cellStyle name="Percent 7 3 6 2 2 5" xfId="40503"/>
    <cellStyle name="Percent 7 3 6 2 2 5 2" xfId="40504"/>
    <cellStyle name="Percent 7 3 6 2 2 6" xfId="40505"/>
    <cellStyle name="Percent 7 3 6 2 3" xfId="40506"/>
    <cellStyle name="Percent 7 3 6 2 3 2" xfId="40507"/>
    <cellStyle name="Percent 7 3 6 2 3 2 2" xfId="40508"/>
    <cellStyle name="Percent 7 3 6 2 3 2 3" xfId="40509"/>
    <cellStyle name="Percent 7 3 6 2 3 3" xfId="40510"/>
    <cellStyle name="Percent 7 3 6 2 3 4" xfId="40511"/>
    <cellStyle name="Percent 7 3 6 2 4" xfId="40512"/>
    <cellStyle name="Percent 7 3 6 2 4 2" xfId="40513"/>
    <cellStyle name="Percent 7 3 6 2 4 3" xfId="40514"/>
    <cellStyle name="Percent 7 3 6 2 5" xfId="40515"/>
    <cellStyle name="Percent 7 3 6 2 5 2" xfId="40516"/>
    <cellStyle name="Percent 7 3 6 2 5 3" xfId="40517"/>
    <cellStyle name="Percent 7 3 6 2 6" xfId="40518"/>
    <cellStyle name="Percent 7 3 6 2 6 2" xfId="40519"/>
    <cellStyle name="Percent 7 3 6 2 7" xfId="40520"/>
    <cellStyle name="Percent 7 3 6 3" xfId="40521"/>
    <cellStyle name="Percent 7 3 6 3 2" xfId="40522"/>
    <cellStyle name="Percent 7 3 6 3 2 2" xfId="40523"/>
    <cellStyle name="Percent 7 3 6 3 2 2 2" xfId="40524"/>
    <cellStyle name="Percent 7 3 6 3 2 2 3" xfId="40525"/>
    <cellStyle name="Percent 7 3 6 3 2 3" xfId="40526"/>
    <cellStyle name="Percent 7 3 6 3 2 3 2" xfId="40527"/>
    <cellStyle name="Percent 7 3 6 3 2 4" xfId="40528"/>
    <cellStyle name="Percent 7 3 6 3 3" xfId="40529"/>
    <cellStyle name="Percent 7 3 6 3 3 2" xfId="40530"/>
    <cellStyle name="Percent 7 3 6 3 3 3" xfId="40531"/>
    <cellStyle name="Percent 7 3 6 3 4" xfId="40532"/>
    <cellStyle name="Percent 7 3 6 3 4 2" xfId="40533"/>
    <cellStyle name="Percent 7 3 6 3 4 3" xfId="40534"/>
    <cellStyle name="Percent 7 3 6 3 5" xfId="40535"/>
    <cellStyle name="Percent 7 3 6 3 5 2" xfId="40536"/>
    <cellStyle name="Percent 7 3 6 3 6" xfId="40537"/>
    <cellStyle name="Percent 7 3 6 4" xfId="40538"/>
    <cellStyle name="Percent 7 3 6 4 2" xfId="40539"/>
    <cellStyle name="Percent 7 3 6 4 2 2" xfId="40540"/>
    <cellStyle name="Percent 7 3 6 4 2 2 2" xfId="40541"/>
    <cellStyle name="Percent 7 3 6 4 2 3" xfId="40542"/>
    <cellStyle name="Percent 7 3 6 4 3" xfId="40543"/>
    <cellStyle name="Percent 7 3 6 4 3 2" xfId="40544"/>
    <cellStyle name="Percent 7 3 6 4 4" xfId="40545"/>
    <cellStyle name="Percent 7 3 6 5" xfId="40546"/>
    <cellStyle name="Percent 7 3 6 5 2" xfId="40547"/>
    <cellStyle name="Percent 7 3 6 5 2 2" xfId="40548"/>
    <cellStyle name="Percent 7 3 6 5 3" xfId="40549"/>
    <cellStyle name="Percent 7 3 6 6" xfId="40550"/>
    <cellStyle name="Percent 7 3 6 6 2" xfId="40551"/>
    <cellStyle name="Percent 7 3 6 6 2 2" xfId="40552"/>
    <cellStyle name="Percent 7 3 6 6 3" xfId="40553"/>
    <cellStyle name="Percent 7 3 6 7" xfId="40554"/>
    <cellStyle name="Percent 7 3 6 7 2" xfId="40555"/>
    <cellStyle name="Percent 7 3 6 8" xfId="40556"/>
    <cellStyle name="Percent 7 3 7" xfId="40557"/>
    <cellStyle name="Percent 7 3 7 2" xfId="40558"/>
    <cellStyle name="Percent 7 3 7 2 2" xfId="40559"/>
    <cellStyle name="Percent 7 3 7 2 2 2" xfId="40560"/>
    <cellStyle name="Percent 7 3 7 2 2 2 2" xfId="40561"/>
    <cellStyle name="Percent 7 3 7 2 2 2 3" xfId="40562"/>
    <cellStyle name="Percent 7 3 7 2 2 3" xfId="40563"/>
    <cellStyle name="Percent 7 3 7 2 2 3 2" xfId="40564"/>
    <cellStyle name="Percent 7 3 7 2 2 4" xfId="40565"/>
    <cellStyle name="Percent 7 3 7 2 3" xfId="40566"/>
    <cellStyle name="Percent 7 3 7 2 3 2" xfId="40567"/>
    <cellStyle name="Percent 7 3 7 2 3 3" xfId="40568"/>
    <cellStyle name="Percent 7 3 7 2 4" xfId="40569"/>
    <cellStyle name="Percent 7 3 7 2 4 2" xfId="40570"/>
    <cellStyle name="Percent 7 3 7 2 4 3" xfId="40571"/>
    <cellStyle name="Percent 7 3 7 2 5" xfId="40572"/>
    <cellStyle name="Percent 7 3 7 2 5 2" xfId="40573"/>
    <cellStyle name="Percent 7 3 7 2 6" xfId="40574"/>
    <cellStyle name="Percent 7 3 7 3" xfId="40575"/>
    <cellStyle name="Percent 7 3 7 3 2" xfId="40576"/>
    <cellStyle name="Percent 7 3 7 3 2 2" xfId="40577"/>
    <cellStyle name="Percent 7 3 7 3 2 2 2" xfId="40578"/>
    <cellStyle name="Percent 7 3 7 3 2 3" xfId="40579"/>
    <cellStyle name="Percent 7 3 7 3 3" xfId="40580"/>
    <cellStyle name="Percent 7 3 7 3 3 2" xfId="40581"/>
    <cellStyle name="Percent 7 3 7 3 4" xfId="40582"/>
    <cellStyle name="Percent 7 3 7 4" xfId="40583"/>
    <cellStyle name="Percent 7 3 7 4 2" xfId="40584"/>
    <cellStyle name="Percent 7 3 7 4 2 2" xfId="40585"/>
    <cellStyle name="Percent 7 3 7 4 3" xfId="40586"/>
    <cellStyle name="Percent 7 3 7 4 4" xfId="40587"/>
    <cellStyle name="Percent 7 3 7 5" xfId="40588"/>
    <cellStyle name="Percent 7 3 7 5 2" xfId="40589"/>
    <cellStyle name="Percent 7 3 7 5 2 2" xfId="40590"/>
    <cellStyle name="Percent 7 3 7 5 3" xfId="40591"/>
    <cellStyle name="Percent 7 3 7 6" xfId="40592"/>
    <cellStyle name="Percent 7 3 7 6 2" xfId="40593"/>
    <cellStyle name="Percent 7 3 7 7" xfId="40594"/>
    <cellStyle name="Percent 7 3 7 8" xfId="40595"/>
    <cellStyle name="Percent 7 3 8" xfId="40596"/>
    <cellStyle name="Percent 7 3 8 2" xfId="40597"/>
    <cellStyle name="Percent 7 3 8 2 2" xfId="40598"/>
    <cellStyle name="Percent 7 3 8 2 2 2" xfId="40599"/>
    <cellStyle name="Percent 7 3 8 2 2 2 2" xfId="40600"/>
    <cellStyle name="Percent 7 3 8 2 2 3" xfId="40601"/>
    <cellStyle name="Percent 7 3 8 2 3" xfId="40602"/>
    <cellStyle name="Percent 7 3 8 2 3 2" xfId="40603"/>
    <cellStyle name="Percent 7 3 8 2 4" xfId="40604"/>
    <cellStyle name="Percent 7 3 8 3" xfId="40605"/>
    <cellStyle name="Percent 7 3 8 3 2" xfId="40606"/>
    <cellStyle name="Percent 7 3 8 3 2 2" xfId="40607"/>
    <cellStyle name="Percent 7 3 8 3 3" xfId="40608"/>
    <cellStyle name="Percent 7 3 8 3 4" xfId="40609"/>
    <cellStyle name="Percent 7 3 8 4" xfId="40610"/>
    <cellStyle name="Percent 7 3 8 4 2" xfId="40611"/>
    <cellStyle name="Percent 7 3 8 4 2 2" xfId="40612"/>
    <cellStyle name="Percent 7 3 8 4 3" xfId="40613"/>
    <cellStyle name="Percent 7 3 8 5" xfId="40614"/>
    <cellStyle name="Percent 7 3 8 5 2" xfId="40615"/>
    <cellStyle name="Percent 7 3 8 6" xfId="40616"/>
    <cellStyle name="Percent 7 3 8 7" xfId="40617"/>
    <cellStyle name="Percent 7 3 9" xfId="40618"/>
    <cellStyle name="Percent 7 3 9 2" xfId="40619"/>
    <cellStyle name="Percent 7 3 9 2 2" xfId="40620"/>
    <cellStyle name="Percent 7 3 9 2 2 2" xfId="40621"/>
    <cellStyle name="Percent 7 3 9 2 3" xfId="40622"/>
    <cellStyle name="Percent 7 3 9 3" xfId="40623"/>
    <cellStyle name="Percent 7 3 9 3 2" xfId="40624"/>
    <cellStyle name="Percent 7 3 9 4" xfId="40625"/>
    <cellStyle name="Percent 7 4" xfId="40626"/>
    <cellStyle name="Percent 7 4 10" xfId="40627"/>
    <cellStyle name="Percent 7 4 10 2" xfId="40628"/>
    <cellStyle name="Percent 7 4 10 2 2" xfId="40629"/>
    <cellStyle name="Percent 7 4 10 3" xfId="40630"/>
    <cellStyle name="Percent 7 4 10 4" xfId="40631"/>
    <cellStyle name="Percent 7 4 11" xfId="40632"/>
    <cellStyle name="Percent 7 4 11 2" xfId="40633"/>
    <cellStyle name="Percent 7 4 12" xfId="40634"/>
    <cellStyle name="Percent 7 4 13" xfId="40635"/>
    <cellStyle name="Percent 7 4 14" xfId="40636"/>
    <cellStyle name="Percent 7 4 2" xfId="40637"/>
    <cellStyle name="Percent 7 4 2 10" xfId="40638"/>
    <cellStyle name="Percent 7 4 2 10 2" xfId="40639"/>
    <cellStyle name="Percent 7 4 2 11" xfId="40640"/>
    <cellStyle name="Percent 7 4 2 12" xfId="40641"/>
    <cellStyle name="Percent 7 4 2 2" xfId="40642"/>
    <cellStyle name="Percent 7 4 2 2 2" xfId="40643"/>
    <cellStyle name="Percent 7 4 2 2 2 2" xfId="40644"/>
    <cellStyle name="Percent 7 4 2 2 2 2 2" xfId="40645"/>
    <cellStyle name="Percent 7 4 2 2 2 2 2 2" xfId="40646"/>
    <cellStyle name="Percent 7 4 2 2 2 2 2 2 2" xfId="40647"/>
    <cellStyle name="Percent 7 4 2 2 2 2 2 2 3" xfId="40648"/>
    <cellStyle name="Percent 7 4 2 2 2 2 2 3" xfId="40649"/>
    <cellStyle name="Percent 7 4 2 2 2 2 2 4" xfId="40650"/>
    <cellStyle name="Percent 7 4 2 2 2 2 3" xfId="40651"/>
    <cellStyle name="Percent 7 4 2 2 2 2 3 2" xfId="40652"/>
    <cellStyle name="Percent 7 4 2 2 2 2 3 3" xfId="40653"/>
    <cellStyle name="Percent 7 4 2 2 2 2 4" xfId="40654"/>
    <cellStyle name="Percent 7 4 2 2 2 2 4 2" xfId="40655"/>
    <cellStyle name="Percent 7 4 2 2 2 2 4 3" xfId="40656"/>
    <cellStyle name="Percent 7 4 2 2 2 2 5" xfId="40657"/>
    <cellStyle name="Percent 7 4 2 2 2 2 5 2" xfId="40658"/>
    <cellStyle name="Percent 7 4 2 2 2 2 6" xfId="40659"/>
    <cellStyle name="Percent 7 4 2 2 2 3" xfId="40660"/>
    <cellStyle name="Percent 7 4 2 2 2 3 2" xfId="40661"/>
    <cellStyle name="Percent 7 4 2 2 2 3 2 2" xfId="40662"/>
    <cellStyle name="Percent 7 4 2 2 2 3 2 3" xfId="40663"/>
    <cellStyle name="Percent 7 4 2 2 2 3 3" xfId="40664"/>
    <cellStyle name="Percent 7 4 2 2 2 3 4" xfId="40665"/>
    <cellStyle name="Percent 7 4 2 2 2 4" xfId="40666"/>
    <cellStyle name="Percent 7 4 2 2 2 4 2" xfId="40667"/>
    <cellStyle name="Percent 7 4 2 2 2 4 3" xfId="40668"/>
    <cellStyle name="Percent 7 4 2 2 2 5" xfId="40669"/>
    <cellStyle name="Percent 7 4 2 2 2 5 2" xfId="40670"/>
    <cellStyle name="Percent 7 4 2 2 2 5 3" xfId="40671"/>
    <cellStyle name="Percent 7 4 2 2 2 6" xfId="40672"/>
    <cellStyle name="Percent 7 4 2 2 2 6 2" xfId="40673"/>
    <cellStyle name="Percent 7 4 2 2 2 7" xfId="40674"/>
    <cellStyle name="Percent 7 4 2 2 3" xfId="40675"/>
    <cellStyle name="Percent 7 4 2 2 3 2" xfId="40676"/>
    <cellStyle name="Percent 7 4 2 2 3 2 2" xfId="40677"/>
    <cellStyle name="Percent 7 4 2 2 3 2 2 2" xfId="40678"/>
    <cellStyle name="Percent 7 4 2 2 3 2 2 3" xfId="40679"/>
    <cellStyle name="Percent 7 4 2 2 3 2 3" xfId="40680"/>
    <cellStyle name="Percent 7 4 2 2 3 2 3 2" xfId="40681"/>
    <cellStyle name="Percent 7 4 2 2 3 2 4" xfId="40682"/>
    <cellStyle name="Percent 7 4 2 2 3 3" xfId="40683"/>
    <cellStyle name="Percent 7 4 2 2 3 3 2" xfId="40684"/>
    <cellStyle name="Percent 7 4 2 2 3 3 3" xfId="40685"/>
    <cellStyle name="Percent 7 4 2 2 3 4" xfId="40686"/>
    <cellStyle name="Percent 7 4 2 2 3 4 2" xfId="40687"/>
    <cellStyle name="Percent 7 4 2 2 3 4 3" xfId="40688"/>
    <cellStyle name="Percent 7 4 2 2 3 5" xfId="40689"/>
    <cellStyle name="Percent 7 4 2 2 3 5 2" xfId="40690"/>
    <cellStyle name="Percent 7 4 2 2 3 6" xfId="40691"/>
    <cellStyle name="Percent 7 4 2 2 4" xfId="40692"/>
    <cellStyle name="Percent 7 4 2 2 4 2" xfId="40693"/>
    <cellStyle name="Percent 7 4 2 2 4 2 2" xfId="40694"/>
    <cellStyle name="Percent 7 4 2 2 4 2 2 2" xfId="40695"/>
    <cellStyle name="Percent 7 4 2 2 4 2 3" xfId="40696"/>
    <cellStyle name="Percent 7 4 2 2 4 3" xfId="40697"/>
    <cellStyle name="Percent 7 4 2 2 4 3 2" xfId="40698"/>
    <cellStyle name="Percent 7 4 2 2 4 4" xfId="40699"/>
    <cellStyle name="Percent 7 4 2 2 5" xfId="40700"/>
    <cellStyle name="Percent 7 4 2 2 5 2" xfId="40701"/>
    <cellStyle name="Percent 7 4 2 2 5 2 2" xfId="40702"/>
    <cellStyle name="Percent 7 4 2 2 5 3" xfId="40703"/>
    <cellStyle name="Percent 7 4 2 2 6" xfId="40704"/>
    <cellStyle name="Percent 7 4 2 2 6 2" xfId="40705"/>
    <cellStyle name="Percent 7 4 2 2 6 2 2" xfId="40706"/>
    <cellStyle name="Percent 7 4 2 2 6 3" xfId="40707"/>
    <cellStyle name="Percent 7 4 2 2 7" xfId="40708"/>
    <cellStyle name="Percent 7 4 2 2 7 2" xfId="40709"/>
    <cellStyle name="Percent 7 4 2 2 8" xfId="40710"/>
    <cellStyle name="Percent 7 4 2 3" xfId="40711"/>
    <cellStyle name="Percent 7 4 2 3 2" xfId="40712"/>
    <cellStyle name="Percent 7 4 2 3 2 2" xfId="40713"/>
    <cellStyle name="Percent 7 4 2 3 2 2 2" xfId="40714"/>
    <cellStyle name="Percent 7 4 2 3 2 2 2 2" xfId="40715"/>
    <cellStyle name="Percent 7 4 2 3 2 2 2 2 2" xfId="40716"/>
    <cellStyle name="Percent 7 4 2 3 2 2 2 2 3" xfId="40717"/>
    <cellStyle name="Percent 7 4 2 3 2 2 2 3" xfId="40718"/>
    <cellStyle name="Percent 7 4 2 3 2 2 2 4" xfId="40719"/>
    <cellStyle name="Percent 7 4 2 3 2 2 3" xfId="40720"/>
    <cellStyle name="Percent 7 4 2 3 2 2 3 2" xfId="40721"/>
    <cellStyle name="Percent 7 4 2 3 2 2 3 3" xfId="40722"/>
    <cellStyle name="Percent 7 4 2 3 2 2 4" xfId="40723"/>
    <cellStyle name="Percent 7 4 2 3 2 2 4 2" xfId="40724"/>
    <cellStyle name="Percent 7 4 2 3 2 2 4 3" xfId="40725"/>
    <cellStyle name="Percent 7 4 2 3 2 2 5" xfId="40726"/>
    <cellStyle name="Percent 7 4 2 3 2 2 5 2" xfId="40727"/>
    <cellStyle name="Percent 7 4 2 3 2 2 6" xfId="40728"/>
    <cellStyle name="Percent 7 4 2 3 2 3" xfId="40729"/>
    <cellStyle name="Percent 7 4 2 3 2 3 2" xfId="40730"/>
    <cellStyle name="Percent 7 4 2 3 2 3 2 2" xfId="40731"/>
    <cellStyle name="Percent 7 4 2 3 2 3 2 3" xfId="40732"/>
    <cellStyle name="Percent 7 4 2 3 2 3 3" xfId="40733"/>
    <cellStyle name="Percent 7 4 2 3 2 3 4" xfId="40734"/>
    <cellStyle name="Percent 7 4 2 3 2 4" xfId="40735"/>
    <cellStyle name="Percent 7 4 2 3 2 4 2" xfId="40736"/>
    <cellStyle name="Percent 7 4 2 3 2 4 3" xfId="40737"/>
    <cellStyle name="Percent 7 4 2 3 2 5" xfId="40738"/>
    <cellStyle name="Percent 7 4 2 3 2 5 2" xfId="40739"/>
    <cellStyle name="Percent 7 4 2 3 2 5 3" xfId="40740"/>
    <cellStyle name="Percent 7 4 2 3 2 6" xfId="40741"/>
    <cellStyle name="Percent 7 4 2 3 2 6 2" xfId="40742"/>
    <cellStyle name="Percent 7 4 2 3 2 7" xfId="40743"/>
    <cellStyle name="Percent 7 4 2 3 3" xfId="40744"/>
    <cellStyle name="Percent 7 4 2 3 3 2" xfId="40745"/>
    <cellStyle name="Percent 7 4 2 3 3 2 2" xfId="40746"/>
    <cellStyle name="Percent 7 4 2 3 3 2 2 2" xfId="40747"/>
    <cellStyle name="Percent 7 4 2 3 3 2 2 3" xfId="40748"/>
    <cellStyle name="Percent 7 4 2 3 3 2 3" xfId="40749"/>
    <cellStyle name="Percent 7 4 2 3 3 2 3 2" xfId="40750"/>
    <cellStyle name="Percent 7 4 2 3 3 2 4" xfId="40751"/>
    <cellStyle name="Percent 7 4 2 3 3 3" xfId="40752"/>
    <cellStyle name="Percent 7 4 2 3 3 3 2" xfId="40753"/>
    <cellStyle name="Percent 7 4 2 3 3 3 3" xfId="40754"/>
    <cellStyle name="Percent 7 4 2 3 3 4" xfId="40755"/>
    <cellStyle name="Percent 7 4 2 3 3 4 2" xfId="40756"/>
    <cellStyle name="Percent 7 4 2 3 3 4 3" xfId="40757"/>
    <cellStyle name="Percent 7 4 2 3 3 5" xfId="40758"/>
    <cellStyle name="Percent 7 4 2 3 3 5 2" xfId="40759"/>
    <cellStyle name="Percent 7 4 2 3 3 6" xfId="40760"/>
    <cellStyle name="Percent 7 4 2 3 4" xfId="40761"/>
    <cellStyle name="Percent 7 4 2 3 4 2" xfId="40762"/>
    <cellStyle name="Percent 7 4 2 3 4 2 2" xfId="40763"/>
    <cellStyle name="Percent 7 4 2 3 4 2 2 2" xfId="40764"/>
    <cellStyle name="Percent 7 4 2 3 4 2 3" xfId="40765"/>
    <cellStyle name="Percent 7 4 2 3 4 3" xfId="40766"/>
    <cellStyle name="Percent 7 4 2 3 4 3 2" xfId="40767"/>
    <cellStyle name="Percent 7 4 2 3 4 4" xfId="40768"/>
    <cellStyle name="Percent 7 4 2 3 5" xfId="40769"/>
    <cellStyle name="Percent 7 4 2 3 5 2" xfId="40770"/>
    <cellStyle name="Percent 7 4 2 3 5 2 2" xfId="40771"/>
    <cellStyle name="Percent 7 4 2 3 5 3" xfId="40772"/>
    <cellStyle name="Percent 7 4 2 3 6" xfId="40773"/>
    <cellStyle name="Percent 7 4 2 3 6 2" xfId="40774"/>
    <cellStyle name="Percent 7 4 2 3 6 2 2" xfId="40775"/>
    <cellStyle name="Percent 7 4 2 3 6 3" xfId="40776"/>
    <cellStyle name="Percent 7 4 2 3 7" xfId="40777"/>
    <cellStyle name="Percent 7 4 2 3 7 2" xfId="40778"/>
    <cellStyle name="Percent 7 4 2 3 8" xfId="40779"/>
    <cellStyle name="Percent 7 4 2 4" xfId="40780"/>
    <cellStyle name="Percent 7 4 2 4 2" xfId="40781"/>
    <cellStyle name="Percent 7 4 2 4 2 2" xfId="40782"/>
    <cellStyle name="Percent 7 4 2 4 2 2 2" xfId="40783"/>
    <cellStyle name="Percent 7 4 2 4 2 2 2 2" xfId="40784"/>
    <cellStyle name="Percent 7 4 2 4 2 2 2 2 2" xfId="40785"/>
    <cellStyle name="Percent 7 4 2 4 2 2 2 2 3" xfId="40786"/>
    <cellStyle name="Percent 7 4 2 4 2 2 2 3" xfId="40787"/>
    <cellStyle name="Percent 7 4 2 4 2 2 2 4" xfId="40788"/>
    <cellStyle name="Percent 7 4 2 4 2 2 3" xfId="40789"/>
    <cellStyle name="Percent 7 4 2 4 2 2 3 2" xfId="40790"/>
    <cellStyle name="Percent 7 4 2 4 2 2 3 3" xfId="40791"/>
    <cellStyle name="Percent 7 4 2 4 2 2 4" xfId="40792"/>
    <cellStyle name="Percent 7 4 2 4 2 2 4 2" xfId="40793"/>
    <cellStyle name="Percent 7 4 2 4 2 2 4 3" xfId="40794"/>
    <cellStyle name="Percent 7 4 2 4 2 2 5" xfId="40795"/>
    <cellStyle name="Percent 7 4 2 4 2 2 5 2" xfId="40796"/>
    <cellStyle name="Percent 7 4 2 4 2 2 6" xfId="40797"/>
    <cellStyle name="Percent 7 4 2 4 2 3" xfId="40798"/>
    <cellStyle name="Percent 7 4 2 4 2 3 2" xfId="40799"/>
    <cellStyle name="Percent 7 4 2 4 2 3 2 2" xfId="40800"/>
    <cellStyle name="Percent 7 4 2 4 2 3 2 3" xfId="40801"/>
    <cellStyle name="Percent 7 4 2 4 2 3 3" xfId="40802"/>
    <cellStyle name="Percent 7 4 2 4 2 3 4" xfId="40803"/>
    <cellStyle name="Percent 7 4 2 4 2 4" xfId="40804"/>
    <cellStyle name="Percent 7 4 2 4 2 4 2" xfId="40805"/>
    <cellStyle name="Percent 7 4 2 4 2 4 3" xfId="40806"/>
    <cellStyle name="Percent 7 4 2 4 2 5" xfId="40807"/>
    <cellStyle name="Percent 7 4 2 4 2 5 2" xfId="40808"/>
    <cellStyle name="Percent 7 4 2 4 2 5 3" xfId="40809"/>
    <cellStyle name="Percent 7 4 2 4 2 6" xfId="40810"/>
    <cellStyle name="Percent 7 4 2 4 2 6 2" xfId="40811"/>
    <cellStyle name="Percent 7 4 2 4 2 7" xfId="40812"/>
    <cellStyle name="Percent 7 4 2 4 3" xfId="40813"/>
    <cellStyle name="Percent 7 4 2 4 3 2" xfId="40814"/>
    <cellStyle name="Percent 7 4 2 4 3 2 2" xfId="40815"/>
    <cellStyle name="Percent 7 4 2 4 3 2 2 2" xfId="40816"/>
    <cellStyle name="Percent 7 4 2 4 3 2 2 3" xfId="40817"/>
    <cellStyle name="Percent 7 4 2 4 3 2 3" xfId="40818"/>
    <cellStyle name="Percent 7 4 2 4 3 2 3 2" xfId="40819"/>
    <cellStyle name="Percent 7 4 2 4 3 2 4" xfId="40820"/>
    <cellStyle name="Percent 7 4 2 4 3 3" xfId="40821"/>
    <cellStyle name="Percent 7 4 2 4 3 3 2" xfId="40822"/>
    <cellStyle name="Percent 7 4 2 4 3 3 3" xfId="40823"/>
    <cellStyle name="Percent 7 4 2 4 3 4" xfId="40824"/>
    <cellStyle name="Percent 7 4 2 4 3 4 2" xfId="40825"/>
    <cellStyle name="Percent 7 4 2 4 3 4 3" xfId="40826"/>
    <cellStyle name="Percent 7 4 2 4 3 5" xfId="40827"/>
    <cellStyle name="Percent 7 4 2 4 3 5 2" xfId="40828"/>
    <cellStyle name="Percent 7 4 2 4 3 6" xfId="40829"/>
    <cellStyle name="Percent 7 4 2 4 4" xfId="40830"/>
    <cellStyle name="Percent 7 4 2 4 4 2" xfId="40831"/>
    <cellStyle name="Percent 7 4 2 4 4 2 2" xfId="40832"/>
    <cellStyle name="Percent 7 4 2 4 4 2 2 2" xfId="40833"/>
    <cellStyle name="Percent 7 4 2 4 4 2 3" xfId="40834"/>
    <cellStyle name="Percent 7 4 2 4 4 3" xfId="40835"/>
    <cellStyle name="Percent 7 4 2 4 4 3 2" xfId="40836"/>
    <cellStyle name="Percent 7 4 2 4 4 4" xfId="40837"/>
    <cellStyle name="Percent 7 4 2 4 5" xfId="40838"/>
    <cellStyle name="Percent 7 4 2 4 5 2" xfId="40839"/>
    <cellStyle name="Percent 7 4 2 4 5 2 2" xfId="40840"/>
    <cellStyle name="Percent 7 4 2 4 5 3" xfId="40841"/>
    <cellStyle name="Percent 7 4 2 4 6" xfId="40842"/>
    <cellStyle name="Percent 7 4 2 4 6 2" xfId="40843"/>
    <cellStyle name="Percent 7 4 2 4 6 2 2" xfId="40844"/>
    <cellStyle name="Percent 7 4 2 4 6 3" xfId="40845"/>
    <cellStyle name="Percent 7 4 2 4 7" xfId="40846"/>
    <cellStyle name="Percent 7 4 2 4 7 2" xfId="40847"/>
    <cellStyle name="Percent 7 4 2 4 8" xfId="40848"/>
    <cellStyle name="Percent 7 4 2 5" xfId="40849"/>
    <cellStyle name="Percent 7 4 2 5 2" xfId="40850"/>
    <cellStyle name="Percent 7 4 2 5 2 2" xfId="40851"/>
    <cellStyle name="Percent 7 4 2 5 2 2 2" xfId="40852"/>
    <cellStyle name="Percent 7 4 2 5 2 2 2 2" xfId="40853"/>
    <cellStyle name="Percent 7 4 2 5 2 2 2 3" xfId="40854"/>
    <cellStyle name="Percent 7 4 2 5 2 2 3" xfId="40855"/>
    <cellStyle name="Percent 7 4 2 5 2 2 3 2" xfId="40856"/>
    <cellStyle name="Percent 7 4 2 5 2 2 4" xfId="40857"/>
    <cellStyle name="Percent 7 4 2 5 2 3" xfId="40858"/>
    <cellStyle name="Percent 7 4 2 5 2 3 2" xfId="40859"/>
    <cellStyle name="Percent 7 4 2 5 2 3 3" xfId="40860"/>
    <cellStyle name="Percent 7 4 2 5 2 4" xfId="40861"/>
    <cellStyle name="Percent 7 4 2 5 2 4 2" xfId="40862"/>
    <cellStyle name="Percent 7 4 2 5 2 4 3" xfId="40863"/>
    <cellStyle name="Percent 7 4 2 5 2 5" xfId="40864"/>
    <cellStyle name="Percent 7 4 2 5 2 5 2" xfId="40865"/>
    <cellStyle name="Percent 7 4 2 5 2 6" xfId="40866"/>
    <cellStyle name="Percent 7 4 2 5 3" xfId="40867"/>
    <cellStyle name="Percent 7 4 2 5 3 2" xfId="40868"/>
    <cellStyle name="Percent 7 4 2 5 3 2 2" xfId="40869"/>
    <cellStyle name="Percent 7 4 2 5 3 2 2 2" xfId="40870"/>
    <cellStyle name="Percent 7 4 2 5 3 2 3" xfId="40871"/>
    <cellStyle name="Percent 7 4 2 5 3 3" xfId="40872"/>
    <cellStyle name="Percent 7 4 2 5 3 3 2" xfId="40873"/>
    <cellStyle name="Percent 7 4 2 5 3 4" xfId="40874"/>
    <cellStyle name="Percent 7 4 2 5 4" xfId="40875"/>
    <cellStyle name="Percent 7 4 2 5 4 2" xfId="40876"/>
    <cellStyle name="Percent 7 4 2 5 4 2 2" xfId="40877"/>
    <cellStyle name="Percent 7 4 2 5 4 3" xfId="40878"/>
    <cellStyle name="Percent 7 4 2 5 5" xfId="40879"/>
    <cellStyle name="Percent 7 4 2 5 5 2" xfId="40880"/>
    <cellStyle name="Percent 7 4 2 5 5 2 2" xfId="40881"/>
    <cellStyle name="Percent 7 4 2 5 5 3" xfId="40882"/>
    <cellStyle name="Percent 7 4 2 5 6" xfId="40883"/>
    <cellStyle name="Percent 7 4 2 5 6 2" xfId="40884"/>
    <cellStyle name="Percent 7 4 2 5 7" xfId="40885"/>
    <cellStyle name="Percent 7 4 2 6" xfId="40886"/>
    <cellStyle name="Percent 7 4 2 6 2" xfId="40887"/>
    <cellStyle name="Percent 7 4 2 6 2 2" xfId="40888"/>
    <cellStyle name="Percent 7 4 2 6 2 2 2" xfId="40889"/>
    <cellStyle name="Percent 7 4 2 6 2 2 3" xfId="40890"/>
    <cellStyle name="Percent 7 4 2 6 2 3" xfId="40891"/>
    <cellStyle name="Percent 7 4 2 6 2 3 2" xfId="40892"/>
    <cellStyle name="Percent 7 4 2 6 2 4" xfId="40893"/>
    <cellStyle name="Percent 7 4 2 6 3" xfId="40894"/>
    <cellStyle name="Percent 7 4 2 6 3 2" xfId="40895"/>
    <cellStyle name="Percent 7 4 2 6 3 3" xfId="40896"/>
    <cellStyle name="Percent 7 4 2 6 4" xfId="40897"/>
    <cellStyle name="Percent 7 4 2 6 4 2" xfId="40898"/>
    <cellStyle name="Percent 7 4 2 6 4 3" xfId="40899"/>
    <cellStyle name="Percent 7 4 2 6 5" xfId="40900"/>
    <cellStyle name="Percent 7 4 2 6 5 2" xfId="40901"/>
    <cellStyle name="Percent 7 4 2 6 6" xfId="40902"/>
    <cellStyle name="Percent 7 4 2 7" xfId="40903"/>
    <cellStyle name="Percent 7 4 2 7 2" xfId="40904"/>
    <cellStyle name="Percent 7 4 2 7 2 2" xfId="40905"/>
    <cellStyle name="Percent 7 4 2 7 2 2 2" xfId="40906"/>
    <cellStyle name="Percent 7 4 2 7 2 3" xfId="40907"/>
    <cellStyle name="Percent 7 4 2 7 3" xfId="40908"/>
    <cellStyle name="Percent 7 4 2 7 3 2" xfId="40909"/>
    <cellStyle name="Percent 7 4 2 7 4" xfId="40910"/>
    <cellStyle name="Percent 7 4 2 8" xfId="40911"/>
    <cellStyle name="Percent 7 4 2 8 2" xfId="40912"/>
    <cellStyle name="Percent 7 4 2 8 2 2" xfId="40913"/>
    <cellStyle name="Percent 7 4 2 8 3" xfId="40914"/>
    <cellStyle name="Percent 7 4 2 8 4" xfId="40915"/>
    <cellStyle name="Percent 7 4 2 9" xfId="40916"/>
    <cellStyle name="Percent 7 4 2 9 2" xfId="40917"/>
    <cellStyle name="Percent 7 4 2 9 2 2" xfId="40918"/>
    <cellStyle name="Percent 7 4 2 9 3" xfId="40919"/>
    <cellStyle name="Percent 7 4 3" xfId="40920"/>
    <cellStyle name="Percent 7 4 3 10" xfId="40921"/>
    <cellStyle name="Percent 7 4 3 11" xfId="40922"/>
    <cellStyle name="Percent 7 4 3 12" xfId="40923"/>
    <cellStyle name="Percent 7 4 3 2" xfId="40924"/>
    <cellStyle name="Percent 7 4 3 2 2" xfId="40925"/>
    <cellStyle name="Percent 7 4 3 2 2 2" xfId="40926"/>
    <cellStyle name="Percent 7 4 3 2 2 2 2" xfId="40927"/>
    <cellStyle name="Percent 7 4 3 2 2 2 2 2" xfId="40928"/>
    <cellStyle name="Percent 7 4 3 2 2 2 2 3" xfId="40929"/>
    <cellStyle name="Percent 7 4 3 2 2 2 3" xfId="40930"/>
    <cellStyle name="Percent 7 4 3 2 2 2 3 2" xfId="40931"/>
    <cellStyle name="Percent 7 4 3 2 2 2 4" xfId="40932"/>
    <cellStyle name="Percent 7 4 3 2 2 3" xfId="40933"/>
    <cellStyle name="Percent 7 4 3 2 2 3 2" xfId="40934"/>
    <cellStyle name="Percent 7 4 3 2 2 3 3" xfId="40935"/>
    <cellStyle name="Percent 7 4 3 2 2 4" xfId="40936"/>
    <cellStyle name="Percent 7 4 3 2 2 4 2" xfId="40937"/>
    <cellStyle name="Percent 7 4 3 2 2 4 3" xfId="40938"/>
    <cellStyle name="Percent 7 4 3 2 2 5" xfId="40939"/>
    <cellStyle name="Percent 7 4 3 2 2 5 2" xfId="40940"/>
    <cellStyle name="Percent 7 4 3 2 2 6" xfId="40941"/>
    <cellStyle name="Percent 7 4 3 2 3" xfId="40942"/>
    <cellStyle name="Percent 7 4 3 2 3 2" xfId="40943"/>
    <cellStyle name="Percent 7 4 3 2 3 2 2" xfId="40944"/>
    <cellStyle name="Percent 7 4 3 2 3 2 2 2" xfId="40945"/>
    <cellStyle name="Percent 7 4 3 2 3 2 3" xfId="40946"/>
    <cellStyle name="Percent 7 4 3 2 3 3" xfId="40947"/>
    <cellStyle name="Percent 7 4 3 2 3 3 2" xfId="40948"/>
    <cellStyle name="Percent 7 4 3 2 3 4" xfId="40949"/>
    <cellStyle name="Percent 7 4 3 2 4" xfId="40950"/>
    <cellStyle name="Percent 7 4 3 2 4 2" xfId="40951"/>
    <cellStyle name="Percent 7 4 3 2 4 2 2" xfId="40952"/>
    <cellStyle name="Percent 7 4 3 2 4 3" xfId="40953"/>
    <cellStyle name="Percent 7 4 3 2 4 4" xfId="40954"/>
    <cellStyle name="Percent 7 4 3 2 5" xfId="40955"/>
    <cellStyle name="Percent 7 4 3 2 5 2" xfId="40956"/>
    <cellStyle name="Percent 7 4 3 2 5 2 2" xfId="40957"/>
    <cellStyle name="Percent 7 4 3 2 5 3" xfId="40958"/>
    <cellStyle name="Percent 7 4 3 2 6" xfId="40959"/>
    <cellStyle name="Percent 7 4 3 2 6 2" xfId="40960"/>
    <cellStyle name="Percent 7 4 3 2 7" xfId="40961"/>
    <cellStyle name="Percent 7 4 3 2 8" xfId="40962"/>
    <cellStyle name="Percent 7 4 3 3" xfId="40963"/>
    <cellStyle name="Percent 7 4 3 3 2" xfId="40964"/>
    <cellStyle name="Percent 7 4 3 3 2 2" xfId="40965"/>
    <cellStyle name="Percent 7 4 3 3 2 2 2" xfId="40966"/>
    <cellStyle name="Percent 7 4 3 3 2 2 2 2" xfId="40967"/>
    <cellStyle name="Percent 7 4 3 3 2 2 3" xfId="40968"/>
    <cellStyle name="Percent 7 4 3 3 2 3" xfId="40969"/>
    <cellStyle name="Percent 7 4 3 3 2 3 2" xfId="40970"/>
    <cellStyle name="Percent 7 4 3 3 2 4" xfId="40971"/>
    <cellStyle name="Percent 7 4 3 3 3" xfId="40972"/>
    <cellStyle name="Percent 7 4 3 3 3 2" xfId="40973"/>
    <cellStyle name="Percent 7 4 3 3 3 2 2" xfId="40974"/>
    <cellStyle name="Percent 7 4 3 3 3 3" xfId="40975"/>
    <cellStyle name="Percent 7 4 3 3 3 4" xfId="40976"/>
    <cellStyle name="Percent 7 4 3 3 4" xfId="40977"/>
    <cellStyle name="Percent 7 4 3 3 4 2" xfId="40978"/>
    <cellStyle name="Percent 7 4 3 3 4 2 2" xfId="40979"/>
    <cellStyle name="Percent 7 4 3 3 4 3" xfId="40980"/>
    <cellStyle name="Percent 7 4 3 3 4 4" xfId="40981"/>
    <cellStyle name="Percent 7 4 3 3 5" xfId="40982"/>
    <cellStyle name="Percent 7 4 3 3 5 2" xfId="40983"/>
    <cellStyle name="Percent 7 4 3 3 6" xfId="40984"/>
    <cellStyle name="Percent 7 4 3 3 7" xfId="40985"/>
    <cellStyle name="Percent 7 4 3 3 8" xfId="40986"/>
    <cellStyle name="Percent 7 4 3 4" xfId="40987"/>
    <cellStyle name="Percent 7 4 3 4 2" xfId="40988"/>
    <cellStyle name="Percent 7 4 3 4 2 2" xfId="40989"/>
    <cellStyle name="Percent 7 4 3 4 2 2 2" xfId="40990"/>
    <cellStyle name="Percent 7 4 3 4 2 3" xfId="40991"/>
    <cellStyle name="Percent 7 4 3 4 2 4" xfId="40992"/>
    <cellStyle name="Percent 7 4 3 4 3" xfId="40993"/>
    <cellStyle name="Percent 7 4 3 4 3 2" xfId="40994"/>
    <cellStyle name="Percent 7 4 3 4 3 3" xfId="40995"/>
    <cellStyle name="Percent 7 4 3 4 4" xfId="40996"/>
    <cellStyle name="Percent 7 4 3 4 4 2" xfId="40997"/>
    <cellStyle name="Percent 7 4 3 4 5" xfId="40998"/>
    <cellStyle name="Percent 7 4 3 4 6" xfId="40999"/>
    <cellStyle name="Percent 7 4 3 4 7" xfId="41000"/>
    <cellStyle name="Percent 7 4 3 4 8" xfId="41001"/>
    <cellStyle name="Percent 7 4 3 5" xfId="41002"/>
    <cellStyle name="Percent 7 4 3 5 2" xfId="41003"/>
    <cellStyle name="Percent 7 4 3 5 2 2" xfId="41004"/>
    <cellStyle name="Percent 7 4 3 5 2 3" xfId="41005"/>
    <cellStyle name="Percent 7 4 3 5 3" xfId="41006"/>
    <cellStyle name="Percent 7 4 3 5 3 2" xfId="41007"/>
    <cellStyle name="Percent 7 4 3 5 4" xfId="41008"/>
    <cellStyle name="Percent 7 4 3 5 5" xfId="41009"/>
    <cellStyle name="Percent 7 4 3 5 6" xfId="41010"/>
    <cellStyle name="Percent 7 4 3 5 7" xfId="41011"/>
    <cellStyle name="Percent 7 4 3 6" xfId="41012"/>
    <cellStyle name="Percent 7 4 3 6 2" xfId="41013"/>
    <cellStyle name="Percent 7 4 3 6 2 2" xfId="41014"/>
    <cellStyle name="Percent 7 4 3 6 3" xfId="41015"/>
    <cellStyle name="Percent 7 4 3 6 4" xfId="41016"/>
    <cellStyle name="Percent 7 4 3 7" xfId="41017"/>
    <cellStyle name="Percent 7 4 3 7 2" xfId="41018"/>
    <cellStyle name="Percent 7 4 3 7 3" xfId="41019"/>
    <cellStyle name="Percent 7 4 3 8" xfId="41020"/>
    <cellStyle name="Percent 7 4 3 8 2" xfId="41021"/>
    <cellStyle name="Percent 7 4 3 9" xfId="41022"/>
    <cellStyle name="Percent 7 4 4" xfId="41023"/>
    <cellStyle name="Percent 7 4 4 2" xfId="41024"/>
    <cellStyle name="Percent 7 4 4 2 2" xfId="41025"/>
    <cellStyle name="Percent 7 4 4 2 2 2" xfId="41026"/>
    <cellStyle name="Percent 7 4 4 2 2 2 2" xfId="41027"/>
    <cellStyle name="Percent 7 4 4 2 2 2 2 2" xfId="41028"/>
    <cellStyle name="Percent 7 4 4 2 2 2 2 3" xfId="41029"/>
    <cellStyle name="Percent 7 4 4 2 2 2 3" xfId="41030"/>
    <cellStyle name="Percent 7 4 4 2 2 2 4" xfId="41031"/>
    <cellStyle name="Percent 7 4 4 2 2 3" xfId="41032"/>
    <cellStyle name="Percent 7 4 4 2 2 3 2" xfId="41033"/>
    <cellStyle name="Percent 7 4 4 2 2 3 3" xfId="41034"/>
    <cellStyle name="Percent 7 4 4 2 2 4" xfId="41035"/>
    <cellStyle name="Percent 7 4 4 2 2 4 2" xfId="41036"/>
    <cellStyle name="Percent 7 4 4 2 2 4 3" xfId="41037"/>
    <cellStyle name="Percent 7 4 4 2 2 5" xfId="41038"/>
    <cellStyle name="Percent 7 4 4 2 2 5 2" xfId="41039"/>
    <cellStyle name="Percent 7 4 4 2 2 6" xfId="41040"/>
    <cellStyle name="Percent 7 4 4 2 3" xfId="41041"/>
    <cellStyle name="Percent 7 4 4 2 3 2" xfId="41042"/>
    <cellStyle name="Percent 7 4 4 2 3 2 2" xfId="41043"/>
    <cellStyle name="Percent 7 4 4 2 3 2 3" xfId="41044"/>
    <cellStyle name="Percent 7 4 4 2 3 3" xfId="41045"/>
    <cellStyle name="Percent 7 4 4 2 3 4" xfId="41046"/>
    <cellStyle name="Percent 7 4 4 2 4" xfId="41047"/>
    <cellStyle name="Percent 7 4 4 2 4 2" xfId="41048"/>
    <cellStyle name="Percent 7 4 4 2 4 3" xfId="41049"/>
    <cellStyle name="Percent 7 4 4 2 5" xfId="41050"/>
    <cellStyle name="Percent 7 4 4 2 5 2" xfId="41051"/>
    <cellStyle name="Percent 7 4 4 2 5 3" xfId="41052"/>
    <cellStyle name="Percent 7 4 4 2 6" xfId="41053"/>
    <cellStyle name="Percent 7 4 4 2 6 2" xfId="41054"/>
    <cellStyle name="Percent 7 4 4 2 7" xfId="41055"/>
    <cellStyle name="Percent 7 4 4 3" xfId="41056"/>
    <cellStyle name="Percent 7 4 4 3 2" xfId="41057"/>
    <cellStyle name="Percent 7 4 4 3 2 2" xfId="41058"/>
    <cellStyle name="Percent 7 4 4 3 2 2 2" xfId="41059"/>
    <cellStyle name="Percent 7 4 4 3 2 2 3" xfId="41060"/>
    <cellStyle name="Percent 7 4 4 3 2 3" xfId="41061"/>
    <cellStyle name="Percent 7 4 4 3 2 3 2" xfId="41062"/>
    <cellStyle name="Percent 7 4 4 3 2 4" xfId="41063"/>
    <cellStyle name="Percent 7 4 4 3 3" xfId="41064"/>
    <cellStyle name="Percent 7 4 4 3 3 2" xfId="41065"/>
    <cellStyle name="Percent 7 4 4 3 3 3" xfId="41066"/>
    <cellStyle name="Percent 7 4 4 3 4" xfId="41067"/>
    <cellStyle name="Percent 7 4 4 3 4 2" xfId="41068"/>
    <cellStyle name="Percent 7 4 4 3 4 3" xfId="41069"/>
    <cellStyle name="Percent 7 4 4 3 5" xfId="41070"/>
    <cellStyle name="Percent 7 4 4 3 5 2" xfId="41071"/>
    <cellStyle name="Percent 7 4 4 3 6" xfId="41072"/>
    <cellStyle name="Percent 7 4 4 4" xfId="41073"/>
    <cellStyle name="Percent 7 4 4 4 2" xfId="41074"/>
    <cellStyle name="Percent 7 4 4 4 2 2" xfId="41075"/>
    <cellStyle name="Percent 7 4 4 4 2 2 2" xfId="41076"/>
    <cellStyle name="Percent 7 4 4 4 2 3" xfId="41077"/>
    <cellStyle name="Percent 7 4 4 4 3" xfId="41078"/>
    <cellStyle name="Percent 7 4 4 4 3 2" xfId="41079"/>
    <cellStyle name="Percent 7 4 4 4 4" xfId="41080"/>
    <cellStyle name="Percent 7 4 4 5" xfId="41081"/>
    <cellStyle name="Percent 7 4 4 5 2" xfId="41082"/>
    <cellStyle name="Percent 7 4 4 5 2 2" xfId="41083"/>
    <cellStyle name="Percent 7 4 4 5 3" xfId="41084"/>
    <cellStyle name="Percent 7 4 4 6" xfId="41085"/>
    <cellStyle name="Percent 7 4 4 6 2" xfId="41086"/>
    <cellStyle name="Percent 7 4 4 6 2 2" xfId="41087"/>
    <cellStyle name="Percent 7 4 4 6 3" xfId="41088"/>
    <cellStyle name="Percent 7 4 4 7" xfId="41089"/>
    <cellStyle name="Percent 7 4 4 7 2" xfId="41090"/>
    <cellStyle name="Percent 7 4 4 8" xfId="41091"/>
    <cellStyle name="Percent 7 4 5" xfId="41092"/>
    <cellStyle name="Percent 7 4 5 2" xfId="41093"/>
    <cellStyle name="Percent 7 4 5 2 2" xfId="41094"/>
    <cellStyle name="Percent 7 4 5 2 2 2" xfId="41095"/>
    <cellStyle name="Percent 7 4 5 2 2 2 2" xfId="41096"/>
    <cellStyle name="Percent 7 4 5 2 2 2 2 2" xfId="41097"/>
    <cellStyle name="Percent 7 4 5 2 2 2 2 3" xfId="41098"/>
    <cellStyle name="Percent 7 4 5 2 2 2 3" xfId="41099"/>
    <cellStyle name="Percent 7 4 5 2 2 2 4" xfId="41100"/>
    <cellStyle name="Percent 7 4 5 2 2 3" xfId="41101"/>
    <cellStyle name="Percent 7 4 5 2 2 3 2" xfId="41102"/>
    <cellStyle name="Percent 7 4 5 2 2 3 3" xfId="41103"/>
    <cellStyle name="Percent 7 4 5 2 2 4" xfId="41104"/>
    <cellStyle name="Percent 7 4 5 2 2 4 2" xfId="41105"/>
    <cellStyle name="Percent 7 4 5 2 2 4 3" xfId="41106"/>
    <cellStyle name="Percent 7 4 5 2 2 5" xfId="41107"/>
    <cellStyle name="Percent 7 4 5 2 2 5 2" xfId="41108"/>
    <cellStyle name="Percent 7 4 5 2 2 6" xfId="41109"/>
    <cellStyle name="Percent 7 4 5 2 3" xfId="41110"/>
    <cellStyle name="Percent 7 4 5 2 3 2" xfId="41111"/>
    <cellStyle name="Percent 7 4 5 2 3 2 2" xfId="41112"/>
    <cellStyle name="Percent 7 4 5 2 3 2 3" xfId="41113"/>
    <cellStyle name="Percent 7 4 5 2 3 3" xfId="41114"/>
    <cellStyle name="Percent 7 4 5 2 3 4" xfId="41115"/>
    <cellStyle name="Percent 7 4 5 2 4" xfId="41116"/>
    <cellStyle name="Percent 7 4 5 2 4 2" xfId="41117"/>
    <cellStyle name="Percent 7 4 5 2 4 3" xfId="41118"/>
    <cellStyle name="Percent 7 4 5 2 5" xfId="41119"/>
    <cellStyle name="Percent 7 4 5 2 5 2" xfId="41120"/>
    <cellStyle name="Percent 7 4 5 2 5 3" xfId="41121"/>
    <cellStyle name="Percent 7 4 5 2 6" xfId="41122"/>
    <cellStyle name="Percent 7 4 5 2 6 2" xfId="41123"/>
    <cellStyle name="Percent 7 4 5 2 7" xfId="41124"/>
    <cellStyle name="Percent 7 4 5 3" xfId="41125"/>
    <cellStyle name="Percent 7 4 5 3 2" xfId="41126"/>
    <cellStyle name="Percent 7 4 5 3 2 2" xfId="41127"/>
    <cellStyle name="Percent 7 4 5 3 2 2 2" xfId="41128"/>
    <cellStyle name="Percent 7 4 5 3 2 2 3" xfId="41129"/>
    <cellStyle name="Percent 7 4 5 3 2 3" xfId="41130"/>
    <cellStyle name="Percent 7 4 5 3 2 3 2" xfId="41131"/>
    <cellStyle name="Percent 7 4 5 3 2 4" xfId="41132"/>
    <cellStyle name="Percent 7 4 5 3 3" xfId="41133"/>
    <cellStyle name="Percent 7 4 5 3 3 2" xfId="41134"/>
    <cellStyle name="Percent 7 4 5 3 3 3" xfId="41135"/>
    <cellStyle name="Percent 7 4 5 3 4" xfId="41136"/>
    <cellStyle name="Percent 7 4 5 3 4 2" xfId="41137"/>
    <cellStyle name="Percent 7 4 5 3 4 3" xfId="41138"/>
    <cellStyle name="Percent 7 4 5 3 5" xfId="41139"/>
    <cellStyle name="Percent 7 4 5 3 5 2" xfId="41140"/>
    <cellStyle name="Percent 7 4 5 3 6" xfId="41141"/>
    <cellStyle name="Percent 7 4 5 4" xfId="41142"/>
    <cellStyle name="Percent 7 4 5 4 2" xfId="41143"/>
    <cellStyle name="Percent 7 4 5 4 2 2" xfId="41144"/>
    <cellStyle name="Percent 7 4 5 4 2 2 2" xfId="41145"/>
    <cellStyle name="Percent 7 4 5 4 2 3" xfId="41146"/>
    <cellStyle name="Percent 7 4 5 4 3" xfId="41147"/>
    <cellStyle name="Percent 7 4 5 4 3 2" xfId="41148"/>
    <cellStyle name="Percent 7 4 5 4 4" xfId="41149"/>
    <cellStyle name="Percent 7 4 5 5" xfId="41150"/>
    <cellStyle name="Percent 7 4 5 5 2" xfId="41151"/>
    <cellStyle name="Percent 7 4 5 5 2 2" xfId="41152"/>
    <cellStyle name="Percent 7 4 5 5 3" xfId="41153"/>
    <cellStyle name="Percent 7 4 5 6" xfId="41154"/>
    <cellStyle name="Percent 7 4 5 6 2" xfId="41155"/>
    <cellStyle name="Percent 7 4 5 6 2 2" xfId="41156"/>
    <cellStyle name="Percent 7 4 5 6 3" xfId="41157"/>
    <cellStyle name="Percent 7 4 5 7" xfId="41158"/>
    <cellStyle name="Percent 7 4 5 7 2" xfId="41159"/>
    <cellStyle name="Percent 7 4 5 8" xfId="41160"/>
    <cellStyle name="Percent 7 4 6" xfId="41161"/>
    <cellStyle name="Percent 7 4 6 2" xfId="41162"/>
    <cellStyle name="Percent 7 4 6 2 2" xfId="41163"/>
    <cellStyle name="Percent 7 4 6 2 2 2" xfId="41164"/>
    <cellStyle name="Percent 7 4 6 2 2 2 2" xfId="41165"/>
    <cellStyle name="Percent 7 4 6 2 2 2 3" xfId="41166"/>
    <cellStyle name="Percent 7 4 6 2 2 3" xfId="41167"/>
    <cellStyle name="Percent 7 4 6 2 2 3 2" xfId="41168"/>
    <cellStyle name="Percent 7 4 6 2 2 4" xfId="41169"/>
    <cellStyle name="Percent 7 4 6 2 3" xfId="41170"/>
    <cellStyle name="Percent 7 4 6 2 3 2" xfId="41171"/>
    <cellStyle name="Percent 7 4 6 2 3 3" xfId="41172"/>
    <cellStyle name="Percent 7 4 6 2 4" xfId="41173"/>
    <cellStyle name="Percent 7 4 6 2 4 2" xfId="41174"/>
    <cellStyle name="Percent 7 4 6 2 4 3" xfId="41175"/>
    <cellStyle name="Percent 7 4 6 2 5" xfId="41176"/>
    <cellStyle name="Percent 7 4 6 2 5 2" xfId="41177"/>
    <cellStyle name="Percent 7 4 6 2 6" xfId="41178"/>
    <cellStyle name="Percent 7 4 6 3" xfId="41179"/>
    <cellStyle name="Percent 7 4 6 3 2" xfId="41180"/>
    <cellStyle name="Percent 7 4 6 3 2 2" xfId="41181"/>
    <cellStyle name="Percent 7 4 6 3 2 2 2" xfId="41182"/>
    <cellStyle name="Percent 7 4 6 3 2 3" xfId="41183"/>
    <cellStyle name="Percent 7 4 6 3 3" xfId="41184"/>
    <cellStyle name="Percent 7 4 6 3 3 2" xfId="41185"/>
    <cellStyle name="Percent 7 4 6 3 4" xfId="41186"/>
    <cellStyle name="Percent 7 4 6 4" xfId="41187"/>
    <cellStyle name="Percent 7 4 6 4 2" xfId="41188"/>
    <cellStyle name="Percent 7 4 6 4 2 2" xfId="41189"/>
    <cellStyle name="Percent 7 4 6 4 3" xfId="41190"/>
    <cellStyle name="Percent 7 4 6 4 4" xfId="41191"/>
    <cellStyle name="Percent 7 4 6 5" xfId="41192"/>
    <cellStyle name="Percent 7 4 6 5 2" xfId="41193"/>
    <cellStyle name="Percent 7 4 6 5 2 2" xfId="41194"/>
    <cellStyle name="Percent 7 4 6 5 3" xfId="41195"/>
    <cellStyle name="Percent 7 4 6 6" xfId="41196"/>
    <cellStyle name="Percent 7 4 6 6 2" xfId="41197"/>
    <cellStyle name="Percent 7 4 6 7" xfId="41198"/>
    <cellStyle name="Percent 7 4 6 8" xfId="41199"/>
    <cellStyle name="Percent 7 4 7" xfId="41200"/>
    <cellStyle name="Percent 7 4 7 2" xfId="41201"/>
    <cellStyle name="Percent 7 4 7 2 2" xfId="41202"/>
    <cellStyle name="Percent 7 4 7 2 2 2" xfId="41203"/>
    <cellStyle name="Percent 7 4 7 2 2 2 2" xfId="41204"/>
    <cellStyle name="Percent 7 4 7 2 2 3" xfId="41205"/>
    <cellStyle name="Percent 7 4 7 2 3" xfId="41206"/>
    <cellStyle name="Percent 7 4 7 2 3 2" xfId="41207"/>
    <cellStyle name="Percent 7 4 7 2 4" xfId="41208"/>
    <cellStyle name="Percent 7 4 7 3" xfId="41209"/>
    <cellStyle name="Percent 7 4 7 3 2" xfId="41210"/>
    <cellStyle name="Percent 7 4 7 3 2 2" xfId="41211"/>
    <cellStyle name="Percent 7 4 7 3 3" xfId="41212"/>
    <cellStyle name="Percent 7 4 7 3 4" xfId="41213"/>
    <cellStyle name="Percent 7 4 7 4" xfId="41214"/>
    <cellStyle name="Percent 7 4 7 4 2" xfId="41215"/>
    <cellStyle name="Percent 7 4 7 4 2 2" xfId="41216"/>
    <cellStyle name="Percent 7 4 7 4 3" xfId="41217"/>
    <cellStyle name="Percent 7 4 7 5" xfId="41218"/>
    <cellStyle name="Percent 7 4 7 5 2" xfId="41219"/>
    <cellStyle name="Percent 7 4 7 6" xfId="41220"/>
    <cellStyle name="Percent 7 4 7 7" xfId="41221"/>
    <cellStyle name="Percent 7 4 8" xfId="41222"/>
    <cellStyle name="Percent 7 4 8 2" xfId="41223"/>
    <cellStyle name="Percent 7 4 8 2 2" xfId="41224"/>
    <cellStyle name="Percent 7 4 8 2 2 2" xfId="41225"/>
    <cellStyle name="Percent 7 4 8 2 3" xfId="41226"/>
    <cellStyle name="Percent 7 4 8 3" xfId="41227"/>
    <cellStyle name="Percent 7 4 8 3 2" xfId="41228"/>
    <cellStyle name="Percent 7 4 8 4" xfId="41229"/>
    <cellStyle name="Percent 7 4 9" xfId="41230"/>
    <cellStyle name="Percent 7 4 9 2" xfId="41231"/>
    <cellStyle name="Percent 7 4 9 2 2" xfId="41232"/>
    <cellStyle name="Percent 7 4 9 3" xfId="41233"/>
    <cellStyle name="Percent 7 4 9 4" xfId="41234"/>
    <cellStyle name="Percent 7 5" xfId="41235"/>
    <cellStyle name="Percent 7 5 10" xfId="41236"/>
    <cellStyle name="Percent 7 5 10 2" xfId="41237"/>
    <cellStyle name="Percent 7 5 11" xfId="41238"/>
    <cellStyle name="Percent 7 5 12" xfId="41239"/>
    <cellStyle name="Percent 7 5 13" xfId="41240"/>
    <cellStyle name="Percent 7 5 2" xfId="41241"/>
    <cellStyle name="Percent 7 5 2 2" xfId="41242"/>
    <cellStyle name="Percent 7 5 2 2 2" xfId="41243"/>
    <cellStyle name="Percent 7 5 2 2 2 2" xfId="41244"/>
    <cellStyle name="Percent 7 5 2 2 2 2 2" xfId="41245"/>
    <cellStyle name="Percent 7 5 2 2 2 2 2 2" xfId="41246"/>
    <cellStyle name="Percent 7 5 2 2 2 2 2 3" xfId="41247"/>
    <cellStyle name="Percent 7 5 2 2 2 2 3" xfId="41248"/>
    <cellStyle name="Percent 7 5 2 2 2 2 4" xfId="41249"/>
    <cellStyle name="Percent 7 5 2 2 2 3" xfId="41250"/>
    <cellStyle name="Percent 7 5 2 2 2 3 2" xfId="41251"/>
    <cellStyle name="Percent 7 5 2 2 2 3 3" xfId="41252"/>
    <cellStyle name="Percent 7 5 2 2 2 4" xfId="41253"/>
    <cellStyle name="Percent 7 5 2 2 2 4 2" xfId="41254"/>
    <cellStyle name="Percent 7 5 2 2 2 4 3" xfId="41255"/>
    <cellStyle name="Percent 7 5 2 2 2 5" xfId="41256"/>
    <cellStyle name="Percent 7 5 2 2 2 5 2" xfId="41257"/>
    <cellStyle name="Percent 7 5 2 2 2 6" xfId="41258"/>
    <cellStyle name="Percent 7 5 2 2 3" xfId="41259"/>
    <cellStyle name="Percent 7 5 2 2 3 2" xfId="41260"/>
    <cellStyle name="Percent 7 5 2 2 3 2 2" xfId="41261"/>
    <cellStyle name="Percent 7 5 2 2 3 2 3" xfId="41262"/>
    <cellStyle name="Percent 7 5 2 2 3 3" xfId="41263"/>
    <cellStyle name="Percent 7 5 2 2 3 4" xfId="41264"/>
    <cellStyle name="Percent 7 5 2 2 4" xfId="41265"/>
    <cellStyle name="Percent 7 5 2 2 4 2" xfId="41266"/>
    <cellStyle name="Percent 7 5 2 2 4 3" xfId="41267"/>
    <cellStyle name="Percent 7 5 2 2 5" xfId="41268"/>
    <cellStyle name="Percent 7 5 2 2 5 2" xfId="41269"/>
    <cellStyle name="Percent 7 5 2 2 5 3" xfId="41270"/>
    <cellStyle name="Percent 7 5 2 2 6" xfId="41271"/>
    <cellStyle name="Percent 7 5 2 2 6 2" xfId="41272"/>
    <cellStyle name="Percent 7 5 2 2 7" xfId="41273"/>
    <cellStyle name="Percent 7 5 2 3" xfId="41274"/>
    <cellStyle name="Percent 7 5 2 3 2" xfId="41275"/>
    <cellStyle name="Percent 7 5 2 3 2 2" xfId="41276"/>
    <cellStyle name="Percent 7 5 2 3 2 2 2" xfId="41277"/>
    <cellStyle name="Percent 7 5 2 3 2 2 3" xfId="41278"/>
    <cellStyle name="Percent 7 5 2 3 2 3" xfId="41279"/>
    <cellStyle name="Percent 7 5 2 3 2 3 2" xfId="41280"/>
    <cellStyle name="Percent 7 5 2 3 2 4" xfId="41281"/>
    <cellStyle name="Percent 7 5 2 3 3" xfId="41282"/>
    <cellStyle name="Percent 7 5 2 3 3 2" xfId="41283"/>
    <cellStyle name="Percent 7 5 2 3 3 3" xfId="41284"/>
    <cellStyle name="Percent 7 5 2 3 4" xfId="41285"/>
    <cellStyle name="Percent 7 5 2 3 4 2" xfId="41286"/>
    <cellStyle name="Percent 7 5 2 3 4 3" xfId="41287"/>
    <cellStyle name="Percent 7 5 2 3 5" xfId="41288"/>
    <cellStyle name="Percent 7 5 2 3 5 2" xfId="41289"/>
    <cellStyle name="Percent 7 5 2 3 6" xfId="41290"/>
    <cellStyle name="Percent 7 5 2 4" xfId="41291"/>
    <cellStyle name="Percent 7 5 2 4 2" xfId="41292"/>
    <cellStyle name="Percent 7 5 2 4 2 2" xfId="41293"/>
    <cellStyle name="Percent 7 5 2 4 2 2 2" xfId="41294"/>
    <cellStyle name="Percent 7 5 2 4 2 3" xfId="41295"/>
    <cellStyle name="Percent 7 5 2 4 3" xfId="41296"/>
    <cellStyle name="Percent 7 5 2 4 3 2" xfId="41297"/>
    <cellStyle name="Percent 7 5 2 4 4" xfId="41298"/>
    <cellStyle name="Percent 7 5 2 5" xfId="41299"/>
    <cellStyle name="Percent 7 5 2 5 2" xfId="41300"/>
    <cellStyle name="Percent 7 5 2 5 2 2" xfId="41301"/>
    <cellStyle name="Percent 7 5 2 5 3" xfId="41302"/>
    <cellStyle name="Percent 7 5 2 6" xfId="41303"/>
    <cellStyle name="Percent 7 5 2 6 2" xfId="41304"/>
    <cellStyle name="Percent 7 5 2 6 2 2" xfId="41305"/>
    <cellStyle name="Percent 7 5 2 6 3" xfId="41306"/>
    <cellStyle name="Percent 7 5 2 7" xfId="41307"/>
    <cellStyle name="Percent 7 5 2 7 2" xfId="41308"/>
    <cellStyle name="Percent 7 5 2 8" xfId="41309"/>
    <cellStyle name="Percent 7 5 3" xfId="41310"/>
    <cellStyle name="Percent 7 5 3 2" xfId="41311"/>
    <cellStyle name="Percent 7 5 3 2 2" xfId="41312"/>
    <cellStyle name="Percent 7 5 3 2 2 2" xfId="41313"/>
    <cellStyle name="Percent 7 5 3 2 2 2 2" xfId="41314"/>
    <cellStyle name="Percent 7 5 3 2 2 2 2 2" xfId="41315"/>
    <cellStyle name="Percent 7 5 3 2 2 2 2 3" xfId="41316"/>
    <cellStyle name="Percent 7 5 3 2 2 2 3" xfId="41317"/>
    <cellStyle name="Percent 7 5 3 2 2 2 4" xfId="41318"/>
    <cellStyle name="Percent 7 5 3 2 2 3" xfId="41319"/>
    <cellStyle name="Percent 7 5 3 2 2 3 2" xfId="41320"/>
    <cellStyle name="Percent 7 5 3 2 2 3 3" xfId="41321"/>
    <cellStyle name="Percent 7 5 3 2 2 4" xfId="41322"/>
    <cellStyle name="Percent 7 5 3 2 2 4 2" xfId="41323"/>
    <cellStyle name="Percent 7 5 3 2 2 4 3" xfId="41324"/>
    <cellStyle name="Percent 7 5 3 2 2 5" xfId="41325"/>
    <cellStyle name="Percent 7 5 3 2 2 5 2" xfId="41326"/>
    <cellStyle name="Percent 7 5 3 2 2 6" xfId="41327"/>
    <cellStyle name="Percent 7 5 3 2 3" xfId="41328"/>
    <cellStyle name="Percent 7 5 3 2 3 2" xfId="41329"/>
    <cellStyle name="Percent 7 5 3 2 3 2 2" xfId="41330"/>
    <cellStyle name="Percent 7 5 3 2 3 2 3" xfId="41331"/>
    <cellStyle name="Percent 7 5 3 2 3 3" xfId="41332"/>
    <cellStyle name="Percent 7 5 3 2 3 4" xfId="41333"/>
    <cellStyle name="Percent 7 5 3 2 4" xfId="41334"/>
    <cellStyle name="Percent 7 5 3 2 4 2" xfId="41335"/>
    <cellStyle name="Percent 7 5 3 2 4 3" xfId="41336"/>
    <cellStyle name="Percent 7 5 3 2 5" xfId="41337"/>
    <cellStyle name="Percent 7 5 3 2 5 2" xfId="41338"/>
    <cellStyle name="Percent 7 5 3 2 5 3" xfId="41339"/>
    <cellStyle name="Percent 7 5 3 2 6" xfId="41340"/>
    <cellStyle name="Percent 7 5 3 2 6 2" xfId="41341"/>
    <cellStyle name="Percent 7 5 3 2 7" xfId="41342"/>
    <cellStyle name="Percent 7 5 3 3" xfId="41343"/>
    <cellStyle name="Percent 7 5 3 3 2" xfId="41344"/>
    <cellStyle name="Percent 7 5 3 3 2 2" xfId="41345"/>
    <cellStyle name="Percent 7 5 3 3 2 2 2" xfId="41346"/>
    <cellStyle name="Percent 7 5 3 3 2 2 3" xfId="41347"/>
    <cellStyle name="Percent 7 5 3 3 2 3" xfId="41348"/>
    <cellStyle name="Percent 7 5 3 3 2 3 2" xfId="41349"/>
    <cellStyle name="Percent 7 5 3 3 2 4" xfId="41350"/>
    <cellStyle name="Percent 7 5 3 3 3" xfId="41351"/>
    <cellStyle name="Percent 7 5 3 3 3 2" xfId="41352"/>
    <cellStyle name="Percent 7 5 3 3 3 3" xfId="41353"/>
    <cellStyle name="Percent 7 5 3 3 4" xfId="41354"/>
    <cellStyle name="Percent 7 5 3 3 4 2" xfId="41355"/>
    <cellStyle name="Percent 7 5 3 3 4 3" xfId="41356"/>
    <cellStyle name="Percent 7 5 3 3 5" xfId="41357"/>
    <cellStyle name="Percent 7 5 3 3 5 2" xfId="41358"/>
    <cellStyle name="Percent 7 5 3 3 6" xfId="41359"/>
    <cellStyle name="Percent 7 5 3 4" xfId="41360"/>
    <cellStyle name="Percent 7 5 3 4 2" xfId="41361"/>
    <cellStyle name="Percent 7 5 3 4 2 2" xfId="41362"/>
    <cellStyle name="Percent 7 5 3 4 2 2 2" xfId="41363"/>
    <cellStyle name="Percent 7 5 3 4 2 3" xfId="41364"/>
    <cellStyle name="Percent 7 5 3 4 3" xfId="41365"/>
    <cellStyle name="Percent 7 5 3 4 3 2" xfId="41366"/>
    <cellStyle name="Percent 7 5 3 4 4" xfId="41367"/>
    <cellStyle name="Percent 7 5 3 5" xfId="41368"/>
    <cellStyle name="Percent 7 5 3 5 2" xfId="41369"/>
    <cellStyle name="Percent 7 5 3 5 2 2" xfId="41370"/>
    <cellStyle name="Percent 7 5 3 5 3" xfId="41371"/>
    <cellStyle name="Percent 7 5 3 6" xfId="41372"/>
    <cellStyle name="Percent 7 5 3 6 2" xfId="41373"/>
    <cellStyle name="Percent 7 5 3 6 2 2" xfId="41374"/>
    <cellStyle name="Percent 7 5 3 6 3" xfId="41375"/>
    <cellStyle name="Percent 7 5 3 7" xfId="41376"/>
    <cellStyle name="Percent 7 5 3 7 2" xfId="41377"/>
    <cellStyle name="Percent 7 5 3 8" xfId="41378"/>
    <cellStyle name="Percent 7 5 4" xfId="41379"/>
    <cellStyle name="Percent 7 5 4 2" xfId="41380"/>
    <cellStyle name="Percent 7 5 4 2 2" xfId="41381"/>
    <cellStyle name="Percent 7 5 4 2 2 2" xfId="41382"/>
    <cellStyle name="Percent 7 5 4 2 2 2 2" xfId="41383"/>
    <cellStyle name="Percent 7 5 4 2 2 2 2 2" xfId="41384"/>
    <cellStyle name="Percent 7 5 4 2 2 2 2 3" xfId="41385"/>
    <cellStyle name="Percent 7 5 4 2 2 2 3" xfId="41386"/>
    <cellStyle name="Percent 7 5 4 2 2 2 4" xfId="41387"/>
    <cellStyle name="Percent 7 5 4 2 2 3" xfId="41388"/>
    <cellStyle name="Percent 7 5 4 2 2 3 2" xfId="41389"/>
    <cellStyle name="Percent 7 5 4 2 2 3 3" xfId="41390"/>
    <cellStyle name="Percent 7 5 4 2 2 4" xfId="41391"/>
    <cellStyle name="Percent 7 5 4 2 2 4 2" xfId="41392"/>
    <cellStyle name="Percent 7 5 4 2 2 4 3" xfId="41393"/>
    <cellStyle name="Percent 7 5 4 2 2 5" xfId="41394"/>
    <cellStyle name="Percent 7 5 4 2 2 5 2" xfId="41395"/>
    <cellStyle name="Percent 7 5 4 2 2 6" xfId="41396"/>
    <cellStyle name="Percent 7 5 4 2 3" xfId="41397"/>
    <cellStyle name="Percent 7 5 4 2 3 2" xfId="41398"/>
    <cellStyle name="Percent 7 5 4 2 3 2 2" xfId="41399"/>
    <cellStyle name="Percent 7 5 4 2 3 2 3" xfId="41400"/>
    <cellStyle name="Percent 7 5 4 2 3 3" xfId="41401"/>
    <cellStyle name="Percent 7 5 4 2 3 4" xfId="41402"/>
    <cellStyle name="Percent 7 5 4 2 4" xfId="41403"/>
    <cellStyle name="Percent 7 5 4 2 4 2" xfId="41404"/>
    <cellStyle name="Percent 7 5 4 2 4 3" xfId="41405"/>
    <cellStyle name="Percent 7 5 4 2 5" xfId="41406"/>
    <cellStyle name="Percent 7 5 4 2 5 2" xfId="41407"/>
    <cellStyle name="Percent 7 5 4 2 5 3" xfId="41408"/>
    <cellStyle name="Percent 7 5 4 2 6" xfId="41409"/>
    <cellStyle name="Percent 7 5 4 2 6 2" xfId="41410"/>
    <cellStyle name="Percent 7 5 4 2 7" xfId="41411"/>
    <cellStyle name="Percent 7 5 4 3" xfId="41412"/>
    <cellStyle name="Percent 7 5 4 3 2" xfId="41413"/>
    <cellStyle name="Percent 7 5 4 3 2 2" xfId="41414"/>
    <cellStyle name="Percent 7 5 4 3 2 2 2" xfId="41415"/>
    <cellStyle name="Percent 7 5 4 3 2 2 3" xfId="41416"/>
    <cellStyle name="Percent 7 5 4 3 2 3" xfId="41417"/>
    <cellStyle name="Percent 7 5 4 3 2 3 2" xfId="41418"/>
    <cellStyle name="Percent 7 5 4 3 2 4" xfId="41419"/>
    <cellStyle name="Percent 7 5 4 3 3" xfId="41420"/>
    <cellStyle name="Percent 7 5 4 3 3 2" xfId="41421"/>
    <cellStyle name="Percent 7 5 4 3 3 3" xfId="41422"/>
    <cellStyle name="Percent 7 5 4 3 4" xfId="41423"/>
    <cellStyle name="Percent 7 5 4 3 4 2" xfId="41424"/>
    <cellStyle name="Percent 7 5 4 3 4 3" xfId="41425"/>
    <cellStyle name="Percent 7 5 4 3 5" xfId="41426"/>
    <cellStyle name="Percent 7 5 4 3 5 2" xfId="41427"/>
    <cellStyle name="Percent 7 5 4 3 6" xfId="41428"/>
    <cellStyle name="Percent 7 5 4 4" xfId="41429"/>
    <cellStyle name="Percent 7 5 4 4 2" xfId="41430"/>
    <cellStyle name="Percent 7 5 4 4 2 2" xfId="41431"/>
    <cellStyle name="Percent 7 5 4 4 2 2 2" xfId="41432"/>
    <cellStyle name="Percent 7 5 4 4 2 3" xfId="41433"/>
    <cellStyle name="Percent 7 5 4 4 3" xfId="41434"/>
    <cellStyle name="Percent 7 5 4 4 3 2" xfId="41435"/>
    <cellStyle name="Percent 7 5 4 4 4" xfId="41436"/>
    <cellStyle name="Percent 7 5 4 5" xfId="41437"/>
    <cellStyle name="Percent 7 5 4 5 2" xfId="41438"/>
    <cellStyle name="Percent 7 5 4 5 2 2" xfId="41439"/>
    <cellStyle name="Percent 7 5 4 5 3" xfId="41440"/>
    <cellStyle name="Percent 7 5 4 6" xfId="41441"/>
    <cellStyle name="Percent 7 5 4 6 2" xfId="41442"/>
    <cellStyle name="Percent 7 5 4 6 2 2" xfId="41443"/>
    <cellStyle name="Percent 7 5 4 6 3" xfId="41444"/>
    <cellStyle name="Percent 7 5 4 7" xfId="41445"/>
    <cellStyle name="Percent 7 5 4 7 2" xfId="41446"/>
    <cellStyle name="Percent 7 5 4 8" xfId="41447"/>
    <cellStyle name="Percent 7 5 5" xfId="41448"/>
    <cellStyle name="Percent 7 5 5 2" xfId="41449"/>
    <cellStyle name="Percent 7 5 5 2 2" xfId="41450"/>
    <cellStyle name="Percent 7 5 5 2 2 2" xfId="41451"/>
    <cellStyle name="Percent 7 5 5 2 2 2 2" xfId="41452"/>
    <cellStyle name="Percent 7 5 5 2 2 2 3" xfId="41453"/>
    <cellStyle name="Percent 7 5 5 2 2 3" xfId="41454"/>
    <cellStyle name="Percent 7 5 5 2 2 3 2" xfId="41455"/>
    <cellStyle name="Percent 7 5 5 2 2 4" xfId="41456"/>
    <cellStyle name="Percent 7 5 5 2 3" xfId="41457"/>
    <cellStyle name="Percent 7 5 5 2 3 2" xfId="41458"/>
    <cellStyle name="Percent 7 5 5 2 3 3" xfId="41459"/>
    <cellStyle name="Percent 7 5 5 2 4" xfId="41460"/>
    <cellStyle name="Percent 7 5 5 2 4 2" xfId="41461"/>
    <cellStyle name="Percent 7 5 5 2 4 3" xfId="41462"/>
    <cellStyle name="Percent 7 5 5 2 5" xfId="41463"/>
    <cellStyle name="Percent 7 5 5 2 5 2" xfId="41464"/>
    <cellStyle name="Percent 7 5 5 2 6" xfId="41465"/>
    <cellStyle name="Percent 7 5 5 3" xfId="41466"/>
    <cellStyle name="Percent 7 5 5 3 2" xfId="41467"/>
    <cellStyle name="Percent 7 5 5 3 2 2" xfId="41468"/>
    <cellStyle name="Percent 7 5 5 3 2 2 2" xfId="41469"/>
    <cellStyle name="Percent 7 5 5 3 2 3" xfId="41470"/>
    <cellStyle name="Percent 7 5 5 3 3" xfId="41471"/>
    <cellStyle name="Percent 7 5 5 3 3 2" xfId="41472"/>
    <cellStyle name="Percent 7 5 5 3 4" xfId="41473"/>
    <cellStyle name="Percent 7 5 5 4" xfId="41474"/>
    <cellStyle name="Percent 7 5 5 4 2" xfId="41475"/>
    <cellStyle name="Percent 7 5 5 4 2 2" xfId="41476"/>
    <cellStyle name="Percent 7 5 5 4 3" xfId="41477"/>
    <cellStyle name="Percent 7 5 5 4 4" xfId="41478"/>
    <cellStyle name="Percent 7 5 5 5" xfId="41479"/>
    <cellStyle name="Percent 7 5 5 5 2" xfId="41480"/>
    <cellStyle name="Percent 7 5 5 5 2 2" xfId="41481"/>
    <cellStyle name="Percent 7 5 5 5 3" xfId="41482"/>
    <cellStyle name="Percent 7 5 5 6" xfId="41483"/>
    <cellStyle name="Percent 7 5 5 6 2" xfId="41484"/>
    <cellStyle name="Percent 7 5 5 7" xfId="41485"/>
    <cellStyle name="Percent 7 5 5 8" xfId="41486"/>
    <cellStyle name="Percent 7 5 6" xfId="41487"/>
    <cellStyle name="Percent 7 5 6 2" xfId="41488"/>
    <cellStyle name="Percent 7 5 6 2 2" xfId="41489"/>
    <cellStyle name="Percent 7 5 6 2 2 2" xfId="41490"/>
    <cellStyle name="Percent 7 5 6 2 2 2 2" xfId="41491"/>
    <cellStyle name="Percent 7 5 6 2 2 3" xfId="41492"/>
    <cellStyle name="Percent 7 5 6 2 3" xfId="41493"/>
    <cellStyle name="Percent 7 5 6 2 3 2" xfId="41494"/>
    <cellStyle name="Percent 7 5 6 2 4" xfId="41495"/>
    <cellStyle name="Percent 7 5 6 3" xfId="41496"/>
    <cellStyle name="Percent 7 5 6 3 2" xfId="41497"/>
    <cellStyle name="Percent 7 5 6 3 2 2" xfId="41498"/>
    <cellStyle name="Percent 7 5 6 3 3" xfId="41499"/>
    <cellStyle name="Percent 7 5 6 3 4" xfId="41500"/>
    <cellStyle name="Percent 7 5 6 4" xfId="41501"/>
    <cellStyle name="Percent 7 5 6 4 2" xfId="41502"/>
    <cellStyle name="Percent 7 5 6 4 2 2" xfId="41503"/>
    <cellStyle name="Percent 7 5 6 4 3" xfId="41504"/>
    <cellStyle name="Percent 7 5 6 5" xfId="41505"/>
    <cellStyle name="Percent 7 5 6 5 2" xfId="41506"/>
    <cellStyle name="Percent 7 5 6 6" xfId="41507"/>
    <cellStyle name="Percent 7 5 6 7" xfId="41508"/>
    <cellStyle name="Percent 7 5 7" xfId="41509"/>
    <cellStyle name="Percent 7 5 7 2" xfId="41510"/>
    <cellStyle name="Percent 7 5 7 2 2" xfId="41511"/>
    <cellStyle name="Percent 7 5 7 2 2 2" xfId="41512"/>
    <cellStyle name="Percent 7 5 7 2 3" xfId="41513"/>
    <cellStyle name="Percent 7 5 7 3" xfId="41514"/>
    <cellStyle name="Percent 7 5 7 3 2" xfId="41515"/>
    <cellStyle name="Percent 7 5 7 4" xfId="41516"/>
    <cellStyle name="Percent 7 5 8" xfId="41517"/>
    <cellStyle name="Percent 7 5 8 2" xfId="41518"/>
    <cellStyle name="Percent 7 5 8 2 2" xfId="41519"/>
    <cellStyle name="Percent 7 5 8 3" xfId="41520"/>
    <cellStyle name="Percent 7 5 8 4" xfId="41521"/>
    <cellStyle name="Percent 7 5 9" xfId="41522"/>
    <cellStyle name="Percent 7 5 9 2" xfId="41523"/>
    <cellStyle name="Percent 7 5 9 2 2" xfId="41524"/>
    <cellStyle name="Percent 7 5 9 3" xfId="41525"/>
    <cellStyle name="Percent 7 5 9 4" xfId="41526"/>
    <cellStyle name="Percent 7 6" xfId="41527"/>
    <cellStyle name="Percent 7 6 10" xfId="41528"/>
    <cellStyle name="Percent 7 6 11" xfId="41529"/>
    <cellStyle name="Percent 7 6 12" xfId="41530"/>
    <cellStyle name="Percent 7 6 2" xfId="41531"/>
    <cellStyle name="Percent 7 6 2 2" xfId="41532"/>
    <cellStyle name="Percent 7 6 2 2 2" xfId="41533"/>
    <cellStyle name="Percent 7 6 2 2 2 2" xfId="41534"/>
    <cellStyle name="Percent 7 6 2 2 2 2 2" xfId="41535"/>
    <cellStyle name="Percent 7 6 2 2 2 2 3" xfId="41536"/>
    <cellStyle name="Percent 7 6 2 2 2 3" xfId="41537"/>
    <cellStyle name="Percent 7 6 2 2 2 3 2" xfId="41538"/>
    <cellStyle name="Percent 7 6 2 2 2 4" xfId="41539"/>
    <cellStyle name="Percent 7 6 2 2 3" xfId="41540"/>
    <cellStyle name="Percent 7 6 2 2 3 2" xfId="41541"/>
    <cellStyle name="Percent 7 6 2 2 3 3" xfId="41542"/>
    <cellStyle name="Percent 7 6 2 2 4" xfId="41543"/>
    <cellStyle name="Percent 7 6 2 2 4 2" xfId="41544"/>
    <cellStyle name="Percent 7 6 2 2 4 3" xfId="41545"/>
    <cellStyle name="Percent 7 6 2 2 5" xfId="41546"/>
    <cellStyle name="Percent 7 6 2 2 5 2" xfId="41547"/>
    <cellStyle name="Percent 7 6 2 2 6" xfId="41548"/>
    <cellStyle name="Percent 7 6 2 3" xfId="41549"/>
    <cellStyle name="Percent 7 6 2 3 2" xfId="41550"/>
    <cellStyle name="Percent 7 6 2 3 2 2" xfId="41551"/>
    <cellStyle name="Percent 7 6 2 3 2 2 2" xfId="41552"/>
    <cellStyle name="Percent 7 6 2 3 2 3" xfId="41553"/>
    <cellStyle name="Percent 7 6 2 3 3" xfId="41554"/>
    <cellStyle name="Percent 7 6 2 3 3 2" xfId="41555"/>
    <cellStyle name="Percent 7 6 2 3 4" xfId="41556"/>
    <cellStyle name="Percent 7 6 2 4" xfId="41557"/>
    <cellStyle name="Percent 7 6 2 4 2" xfId="41558"/>
    <cellStyle name="Percent 7 6 2 4 2 2" xfId="41559"/>
    <cellStyle name="Percent 7 6 2 4 3" xfId="41560"/>
    <cellStyle name="Percent 7 6 2 4 4" xfId="41561"/>
    <cellStyle name="Percent 7 6 2 5" xfId="41562"/>
    <cellStyle name="Percent 7 6 2 5 2" xfId="41563"/>
    <cellStyle name="Percent 7 6 2 5 2 2" xfId="41564"/>
    <cellStyle name="Percent 7 6 2 5 3" xfId="41565"/>
    <cellStyle name="Percent 7 6 2 6" xfId="41566"/>
    <cellStyle name="Percent 7 6 2 6 2" xfId="41567"/>
    <cellStyle name="Percent 7 6 2 7" xfId="41568"/>
    <cellStyle name="Percent 7 6 2 8" xfId="41569"/>
    <cellStyle name="Percent 7 6 3" xfId="41570"/>
    <cellStyle name="Percent 7 6 3 2" xfId="41571"/>
    <cellStyle name="Percent 7 6 3 2 2" xfId="41572"/>
    <cellStyle name="Percent 7 6 3 2 2 2" xfId="41573"/>
    <cellStyle name="Percent 7 6 3 2 2 2 2" xfId="41574"/>
    <cellStyle name="Percent 7 6 3 2 2 3" xfId="41575"/>
    <cellStyle name="Percent 7 6 3 2 3" xfId="41576"/>
    <cellStyle name="Percent 7 6 3 2 3 2" xfId="41577"/>
    <cellStyle name="Percent 7 6 3 2 4" xfId="41578"/>
    <cellStyle name="Percent 7 6 3 3" xfId="41579"/>
    <cellStyle name="Percent 7 6 3 3 2" xfId="41580"/>
    <cellStyle name="Percent 7 6 3 3 2 2" xfId="41581"/>
    <cellStyle name="Percent 7 6 3 3 3" xfId="41582"/>
    <cellStyle name="Percent 7 6 3 3 4" xfId="41583"/>
    <cellStyle name="Percent 7 6 3 4" xfId="41584"/>
    <cellStyle name="Percent 7 6 3 4 2" xfId="41585"/>
    <cellStyle name="Percent 7 6 3 4 2 2" xfId="41586"/>
    <cellStyle name="Percent 7 6 3 4 3" xfId="41587"/>
    <cellStyle name="Percent 7 6 3 4 4" xfId="41588"/>
    <cellStyle name="Percent 7 6 3 5" xfId="41589"/>
    <cellStyle name="Percent 7 6 3 5 2" xfId="41590"/>
    <cellStyle name="Percent 7 6 3 6" xfId="41591"/>
    <cellStyle name="Percent 7 6 3 7" xfId="41592"/>
    <cellStyle name="Percent 7 6 3 8" xfId="41593"/>
    <cellStyle name="Percent 7 6 4" xfId="41594"/>
    <cellStyle name="Percent 7 6 4 2" xfId="41595"/>
    <cellStyle name="Percent 7 6 4 2 2" xfId="41596"/>
    <cellStyle name="Percent 7 6 4 2 2 2" xfId="41597"/>
    <cellStyle name="Percent 7 6 4 2 3" xfId="41598"/>
    <cellStyle name="Percent 7 6 4 2 4" xfId="41599"/>
    <cellStyle name="Percent 7 6 4 3" xfId="41600"/>
    <cellStyle name="Percent 7 6 4 3 2" xfId="41601"/>
    <cellStyle name="Percent 7 6 4 3 3" xfId="41602"/>
    <cellStyle name="Percent 7 6 4 4" xfId="41603"/>
    <cellStyle name="Percent 7 6 4 4 2" xfId="41604"/>
    <cellStyle name="Percent 7 6 4 5" xfId="41605"/>
    <cellStyle name="Percent 7 6 4 6" xfId="41606"/>
    <cellStyle name="Percent 7 6 4 7" xfId="41607"/>
    <cellStyle name="Percent 7 6 4 8" xfId="41608"/>
    <cellStyle name="Percent 7 6 5" xfId="41609"/>
    <cellStyle name="Percent 7 6 5 2" xfId="41610"/>
    <cellStyle name="Percent 7 6 5 2 2" xfId="41611"/>
    <cellStyle name="Percent 7 6 5 2 3" xfId="41612"/>
    <cellStyle name="Percent 7 6 5 3" xfId="41613"/>
    <cellStyle name="Percent 7 6 5 3 2" xfId="41614"/>
    <cellStyle name="Percent 7 6 5 4" xfId="41615"/>
    <cellStyle name="Percent 7 6 5 5" xfId="41616"/>
    <cellStyle name="Percent 7 6 5 6" xfId="41617"/>
    <cellStyle name="Percent 7 6 5 7" xfId="41618"/>
    <cellStyle name="Percent 7 6 6" xfId="41619"/>
    <cellStyle name="Percent 7 6 6 2" xfId="41620"/>
    <cellStyle name="Percent 7 6 6 2 2" xfId="41621"/>
    <cellStyle name="Percent 7 6 6 3" xfId="41622"/>
    <cellStyle name="Percent 7 6 6 4" xfId="41623"/>
    <cellStyle name="Percent 7 6 7" xfId="41624"/>
    <cellStyle name="Percent 7 6 7 2" xfId="41625"/>
    <cellStyle name="Percent 7 6 7 3" xfId="41626"/>
    <cellStyle name="Percent 7 6 8" xfId="41627"/>
    <cellStyle name="Percent 7 6 8 2" xfId="41628"/>
    <cellStyle name="Percent 7 6 9" xfId="41629"/>
    <cellStyle name="Percent 7 7" xfId="41630"/>
    <cellStyle name="Percent 7 7 10" xfId="41631"/>
    <cellStyle name="Percent 7 7 11" xfId="41632"/>
    <cellStyle name="Percent 7 7 12" xfId="41633"/>
    <cellStyle name="Percent 7 7 2" xfId="41634"/>
    <cellStyle name="Percent 7 7 2 2" xfId="41635"/>
    <cellStyle name="Percent 7 7 2 2 2" xfId="41636"/>
    <cellStyle name="Percent 7 7 2 2 2 2" xfId="41637"/>
    <cellStyle name="Percent 7 7 2 2 2 2 2" xfId="41638"/>
    <cellStyle name="Percent 7 7 2 2 2 2 3" xfId="41639"/>
    <cellStyle name="Percent 7 7 2 2 2 3" xfId="41640"/>
    <cellStyle name="Percent 7 7 2 2 2 3 2" xfId="41641"/>
    <cellStyle name="Percent 7 7 2 2 2 4" xfId="41642"/>
    <cellStyle name="Percent 7 7 2 2 3" xfId="41643"/>
    <cellStyle name="Percent 7 7 2 2 3 2" xfId="41644"/>
    <cellStyle name="Percent 7 7 2 2 3 3" xfId="41645"/>
    <cellStyle name="Percent 7 7 2 2 4" xfId="41646"/>
    <cellStyle name="Percent 7 7 2 2 4 2" xfId="41647"/>
    <cellStyle name="Percent 7 7 2 2 4 3" xfId="41648"/>
    <cellStyle name="Percent 7 7 2 2 5" xfId="41649"/>
    <cellStyle name="Percent 7 7 2 2 5 2" xfId="41650"/>
    <cellStyle name="Percent 7 7 2 2 6" xfId="41651"/>
    <cellStyle name="Percent 7 7 2 3" xfId="41652"/>
    <cellStyle name="Percent 7 7 2 3 2" xfId="41653"/>
    <cellStyle name="Percent 7 7 2 3 2 2" xfId="41654"/>
    <cellStyle name="Percent 7 7 2 3 2 2 2" xfId="41655"/>
    <cellStyle name="Percent 7 7 2 3 2 3" xfId="41656"/>
    <cellStyle name="Percent 7 7 2 3 3" xfId="41657"/>
    <cellStyle name="Percent 7 7 2 3 3 2" xfId="41658"/>
    <cellStyle name="Percent 7 7 2 3 4" xfId="41659"/>
    <cellStyle name="Percent 7 7 2 4" xfId="41660"/>
    <cellStyle name="Percent 7 7 2 4 2" xfId="41661"/>
    <cellStyle name="Percent 7 7 2 4 2 2" xfId="41662"/>
    <cellStyle name="Percent 7 7 2 4 3" xfId="41663"/>
    <cellStyle name="Percent 7 7 2 4 4" xfId="41664"/>
    <cellStyle name="Percent 7 7 2 5" xfId="41665"/>
    <cellStyle name="Percent 7 7 2 5 2" xfId="41666"/>
    <cellStyle name="Percent 7 7 2 5 2 2" xfId="41667"/>
    <cellStyle name="Percent 7 7 2 5 3" xfId="41668"/>
    <cellStyle name="Percent 7 7 2 6" xfId="41669"/>
    <cellStyle name="Percent 7 7 2 6 2" xfId="41670"/>
    <cellStyle name="Percent 7 7 2 7" xfId="41671"/>
    <cellStyle name="Percent 7 7 2 8" xfId="41672"/>
    <cellStyle name="Percent 7 7 3" xfId="41673"/>
    <cellStyle name="Percent 7 7 3 2" xfId="41674"/>
    <cellStyle name="Percent 7 7 3 2 2" xfId="41675"/>
    <cellStyle name="Percent 7 7 3 2 2 2" xfId="41676"/>
    <cellStyle name="Percent 7 7 3 2 2 2 2" xfId="41677"/>
    <cellStyle name="Percent 7 7 3 2 2 3" xfId="41678"/>
    <cellStyle name="Percent 7 7 3 2 3" xfId="41679"/>
    <cellStyle name="Percent 7 7 3 2 3 2" xfId="41680"/>
    <cellStyle name="Percent 7 7 3 2 4" xfId="41681"/>
    <cellStyle name="Percent 7 7 3 3" xfId="41682"/>
    <cellStyle name="Percent 7 7 3 3 2" xfId="41683"/>
    <cellStyle name="Percent 7 7 3 3 2 2" xfId="41684"/>
    <cellStyle name="Percent 7 7 3 3 3" xfId="41685"/>
    <cellStyle name="Percent 7 7 3 3 4" xfId="41686"/>
    <cellStyle name="Percent 7 7 3 4" xfId="41687"/>
    <cellStyle name="Percent 7 7 3 4 2" xfId="41688"/>
    <cellStyle name="Percent 7 7 3 4 2 2" xfId="41689"/>
    <cellStyle name="Percent 7 7 3 4 3" xfId="41690"/>
    <cellStyle name="Percent 7 7 3 4 4" xfId="41691"/>
    <cellStyle name="Percent 7 7 3 5" xfId="41692"/>
    <cellStyle name="Percent 7 7 3 5 2" xfId="41693"/>
    <cellStyle name="Percent 7 7 3 6" xfId="41694"/>
    <cellStyle name="Percent 7 7 3 7" xfId="41695"/>
    <cellStyle name="Percent 7 7 3 8" xfId="41696"/>
    <cellStyle name="Percent 7 7 4" xfId="41697"/>
    <cellStyle name="Percent 7 7 4 2" xfId="41698"/>
    <cellStyle name="Percent 7 7 4 2 2" xfId="41699"/>
    <cellStyle name="Percent 7 7 4 2 2 2" xfId="41700"/>
    <cellStyle name="Percent 7 7 4 2 3" xfId="41701"/>
    <cellStyle name="Percent 7 7 4 2 4" xfId="41702"/>
    <cellStyle name="Percent 7 7 4 3" xfId="41703"/>
    <cellStyle name="Percent 7 7 4 3 2" xfId="41704"/>
    <cellStyle name="Percent 7 7 4 3 3" xfId="41705"/>
    <cellStyle name="Percent 7 7 4 4" xfId="41706"/>
    <cellStyle name="Percent 7 7 4 4 2" xfId="41707"/>
    <cellStyle name="Percent 7 7 4 5" xfId="41708"/>
    <cellStyle name="Percent 7 7 4 6" xfId="41709"/>
    <cellStyle name="Percent 7 7 4 7" xfId="41710"/>
    <cellStyle name="Percent 7 7 4 8" xfId="41711"/>
    <cellStyle name="Percent 7 7 5" xfId="41712"/>
    <cellStyle name="Percent 7 7 5 2" xfId="41713"/>
    <cellStyle name="Percent 7 7 5 2 2" xfId="41714"/>
    <cellStyle name="Percent 7 7 5 2 3" xfId="41715"/>
    <cellStyle name="Percent 7 7 5 3" xfId="41716"/>
    <cellStyle name="Percent 7 7 5 3 2" xfId="41717"/>
    <cellStyle name="Percent 7 7 5 4" xfId="41718"/>
    <cellStyle name="Percent 7 7 5 5" xfId="41719"/>
    <cellStyle name="Percent 7 7 5 6" xfId="41720"/>
    <cellStyle name="Percent 7 7 5 7" xfId="41721"/>
    <cellStyle name="Percent 7 7 6" xfId="41722"/>
    <cellStyle name="Percent 7 7 6 2" xfId="41723"/>
    <cellStyle name="Percent 7 7 6 2 2" xfId="41724"/>
    <cellStyle name="Percent 7 7 6 3" xfId="41725"/>
    <cellStyle name="Percent 7 7 6 4" xfId="41726"/>
    <cellStyle name="Percent 7 7 7" xfId="41727"/>
    <cellStyle name="Percent 7 7 7 2" xfId="41728"/>
    <cellStyle name="Percent 7 7 7 3" xfId="41729"/>
    <cellStyle name="Percent 7 7 8" xfId="41730"/>
    <cellStyle name="Percent 7 7 8 2" xfId="41731"/>
    <cellStyle name="Percent 7 7 9" xfId="41732"/>
    <cellStyle name="Percent 7 8" xfId="41733"/>
    <cellStyle name="Percent 7 8 2" xfId="41734"/>
    <cellStyle name="Percent 7 8 2 2" xfId="41735"/>
    <cellStyle name="Percent 7 8 2 2 2" xfId="41736"/>
    <cellStyle name="Percent 7 8 2 2 2 2" xfId="41737"/>
    <cellStyle name="Percent 7 8 2 2 2 2 2" xfId="41738"/>
    <cellStyle name="Percent 7 8 2 2 2 2 3" xfId="41739"/>
    <cellStyle name="Percent 7 8 2 2 2 3" xfId="41740"/>
    <cellStyle name="Percent 7 8 2 2 2 4" xfId="41741"/>
    <cellStyle name="Percent 7 8 2 2 3" xfId="41742"/>
    <cellStyle name="Percent 7 8 2 2 3 2" xfId="41743"/>
    <cellStyle name="Percent 7 8 2 2 3 3" xfId="41744"/>
    <cellStyle name="Percent 7 8 2 2 4" xfId="41745"/>
    <cellStyle name="Percent 7 8 2 2 4 2" xfId="41746"/>
    <cellStyle name="Percent 7 8 2 2 4 3" xfId="41747"/>
    <cellStyle name="Percent 7 8 2 2 5" xfId="41748"/>
    <cellStyle name="Percent 7 8 2 2 5 2" xfId="41749"/>
    <cellStyle name="Percent 7 8 2 2 6" xfId="41750"/>
    <cellStyle name="Percent 7 8 2 3" xfId="41751"/>
    <cellStyle name="Percent 7 8 2 3 2" xfId="41752"/>
    <cellStyle name="Percent 7 8 2 3 2 2" xfId="41753"/>
    <cellStyle name="Percent 7 8 2 3 2 3" xfId="41754"/>
    <cellStyle name="Percent 7 8 2 3 3" xfId="41755"/>
    <cellStyle name="Percent 7 8 2 3 4" xfId="41756"/>
    <cellStyle name="Percent 7 8 2 4" xfId="41757"/>
    <cellStyle name="Percent 7 8 2 4 2" xfId="41758"/>
    <cellStyle name="Percent 7 8 2 4 3" xfId="41759"/>
    <cellStyle name="Percent 7 8 2 5" xfId="41760"/>
    <cellStyle name="Percent 7 8 2 5 2" xfId="41761"/>
    <cellStyle name="Percent 7 8 2 5 3" xfId="41762"/>
    <cellStyle name="Percent 7 8 2 6" xfId="41763"/>
    <cellStyle name="Percent 7 8 2 6 2" xfId="41764"/>
    <cellStyle name="Percent 7 8 2 7" xfId="41765"/>
    <cellStyle name="Percent 7 8 3" xfId="41766"/>
    <cellStyle name="Percent 7 8 3 2" xfId="41767"/>
    <cellStyle name="Percent 7 8 3 2 2" xfId="41768"/>
    <cellStyle name="Percent 7 8 3 2 2 2" xfId="41769"/>
    <cellStyle name="Percent 7 8 3 2 2 3" xfId="41770"/>
    <cellStyle name="Percent 7 8 3 2 3" xfId="41771"/>
    <cellStyle name="Percent 7 8 3 2 3 2" xfId="41772"/>
    <cellStyle name="Percent 7 8 3 2 4" xfId="41773"/>
    <cellStyle name="Percent 7 8 3 3" xfId="41774"/>
    <cellStyle name="Percent 7 8 3 3 2" xfId="41775"/>
    <cellStyle name="Percent 7 8 3 3 3" xfId="41776"/>
    <cellStyle name="Percent 7 8 3 4" xfId="41777"/>
    <cellStyle name="Percent 7 8 3 4 2" xfId="41778"/>
    <cellStyle name="Percent 7 8 3 4 3" xfId="41779"/>
    <cellStyle name="Percent 7 8 3 5" xfId="41780"/>
    <cellStyle name="Percent 7 8 3 5 2" xfId="41781"/>
    <cellStyle name="Percent 7 8 3 6" xfId="41782"/>
    <cellStyle name="Percent 7 8 4" xfId="41783"/>
    <cellStyle name="Percent 7 8 4 2" xfId="41784"/>
    <cellStyle name="Percent 7 8 4 2 2" xfId="41785"/>
    <cellStyle name="Percent 7 8 4 2 2 2" xfId="41786"/>
    <cellStyle name="Percent 7 8 4 2 3" xfId="41787"/>
    <cellStyle name="Percent 7 8 4 3" xfId="41788"/>
    <cellStyle name="Percent 7 8 4 3 2" xfId="41789"/>
    <cellStyle name="Percent 7 8 4 4" xfId="41790"/>
    <cellStyle name="Percent 7 8 5" xfId="41791"/>
    <cellStyle name="Percent 7 8 5 2" xfId="41792"/>
    <cellStyle name="Percent 7 8 5 2 2" xfId="41793"/>
    <cellStyle name="Percent 7 8 5 3" xfId="41794"/>
    <cellStyle name="Percent 7 8 6" xfId="41795"/>
    <cellStyle name="Percent 7 8 6 2" xfId="41796"/>
    <cellStyle name="Percent 7 8 6 2 2" xfId="41797"/>
    <cellStyle name="Percent 7 8 6 3" xfId="41798"/>
    <cellStyle name="Percent 7 8 7" xfId="41799"/>
    <cellStyle name="Percent 7 8 7 2" xfId="41800"/>
    <cellStyle name="Percent 7 8 8" xfId="41801"/>
    <cellStyle name="Percent 7 9" xfId="41802"/>
    <cellStyle name="Percent 7 9 2" xfId="41803"/>
    <cellStyle name="Percent 7 9 2 2" xfId="41804"/>
    <cellStyle name="Percent 7 9 2 2 2" xfId="41805"/>
    <cellStyle name="Percent 7 9 2 2 2 2" xfId="41806"/>
    <cellStyle name="Percent 7 9 2 2 2 3" xfId="41807"/>
    <cellStyle name="Percent 7 9 2 2 3" xfId="41808"/>
    <cellStyle name="Percent 7 9 2 2 3 2" xfId="41809"/>
    <cellStyle name="Percent 7 9 2 2 4" xfId="41810"/>
    <cellStyle name="Percent 7 9 2 3" xfId="41811"/>
    <cellStyle name="Percent 7 9 2 3 2" xfId="41812"/>
    <cellStyle name="Percent 7 9 2 3 3" xfId="41813"/>
    <cellStyle name="Percent 7 9 2 4" xfId="41814"/>
    <cellStyle name="Percent 7 9 2 4 2" xfId="41815"/>
    <cellStyle name="Percent 7 9 2 4 3" xfId="41816"/>
    <cellStyle name="Percent 7 9 2 5" xfId="41817"/>
    <cellStyle name="Percent 7 9 2 5 2" xfId="41818"/>
    <cellStyle name="Percent 7 9 2 6" xfId="41819"/>
    <cellStyle name="Percent 7 9 3" xfId="41820"/>
    <cellStyle name="Percent 7 9 3 2" xfId="41821"/>
    <cellStyle name="Percent 7 9 3 2 2" xfId="41822"/>
    <cellStyle name="Percent 7 9 3 2 2 2" xfId="41823"/>
    <cellStyle name="Percent 7 9 3 2 3" xfId="41824"/>
    <cellStyle name="Percent 7 9 3 3" xfId="41825"/>
    <cellStyle name="Percent 7 9 3 3 2" xfId="41826"/>
    <cellStyle name="Percent 7 9 3 4" xfId="41827"/>
    <cellStyle name="Percent 7 9 4" xfId="41828"/>
    <cellStyle name="Percent 7 9 4 2" xfId="41829"/>
    <cellStyle name="Percent 7 9 4 2 2" xfId="41830"/>
    <cellStyle name="Percent 7 9 4 3" xfId="41831"/>
    <cellStyle name="Percent 7 9 4 4" xfId="41832"/>
    <cellStyle name="Percent 7 9 5" xfId="41833"/>
    <cellStyle name="Percent 7 9 5 2" xfId="41834"/>
    <cellStyle name="Percent 7 9 5 2 2" xfId="41835"/>
    <cellStyle name="Percent 7 9 5 3" xfId="41836"/>
    <cellStyle name="Percent 7 9 6" xfId="41837"/>
    <cellStyle name="Percent 7 9 6 2" xfId="41838"/>
    <cellStyle name="Percent 7 9 7" xfId="41839"/>
    <cellStyle name="Percent 7 9 8" xfId="41840"/>
    <cellStyle name="Percent 8" xfId="41841"/>
    <cellStyle name="Percent 8 10" xfId="41842"/>
    <cellStyle name="Percent 8 10 2" xfId="41843"/>
    <cellStyle name="Percent 8 10 2 2" xfId="41844"/>
    <cellStyle name="Percent 8 10 3" xfId="41845"/>
    <cellStyle name="Percent 8 10 3 2" xfId="41846"/>
    <cellStyle name="Percent 8 10 4" xfId="41847"/>
    <cellStyle name="Percent 8 10 4 2" xfId="41848"/>
    <cellStyle name="Percent 8 10 5" xfId="41849"/>
    <cellStyle name="Percent 8 10 6" xfId="41850"/>
    <cellStyle name="Percent 8 11" xfId="41851"/>
    <cellStyle name="Percent 8 11 2" xfId="41852"/>
    <cellStyle name="Percent 8 11 2 2" xfId="41853"/>
    <cellStyle name="Percent 8 11 3" xfId="41854"/>
    <cellStyle name="Percent 8 11 3 2" xfId="41855"/>
    <cellStyle name="Percent 8 11 4" xfId="41856"/>
    <cellStyle name="Percent 8 11 4 2" xfId="41857"/>
    <cellStyle name="Percent 8 11 5" xfId="41858"/>
    <cellStyle name="Percent 8 11 6" xfId="41859"/>
    <cellStyle name="Percent 8 12" xfId="41860"/>
    <cellStyle name="Percent 8 12 2" xfId="41861"/>
    <cellStyle name="Percent 8 12 2 2" xfId="41862"/>
    <cellStyle name="Percent 8 12 3" xfId="41863"/>
    <cellStyle name="Percent 8 12 3 2" xfId="41864"/>
    <cellStyle name="Percent 8 12 4" xfId="41865"/>
    <cellStyle name="Percent 8 12 4 2" xfId="41866"/>
    <cellStyle name="Percent 8 12 5" xfId="41867"/>
    <cellStyle name="Percent 8 12 6" xfId="41868"/>
    <cellStyle name="Percent 8 13" xfId="41869"/>
    <cellStyle name="Percent 8 13 2" xfId="41870"/>
    <cellStyle name="Percent 8 13 2 2" xfId="41871"/>
    <cellStyle name="Percent 8 13 3" xfId="41872"/>
    <cellStyle name="Percent 8 13 3 2" xfId="41873"/>
    <cellStyle name="Percent 8 13 4" xfId="41874"/>
    <cellStyle name="Percent 8 13 5" xfId="41875"/>
    <cellStyle name="Percent 8 14" xfId="41876"/>
    <cellStyle name="Percent 8 14 2" xfId="41877"/>
    <cellStyle name="Percent 8 15" xfId="41878"/>
    <cellStyle name="Percent 8 15 2" xfId="41879"/>
    <cellStyle name="Percent 8 16" xfId="41880"/>
    <cellStyle name="Percent 8 16 2" xfId="41881"/>
    <cellStyle name="Percent 8 17" xfId="41882"/>
    <cellStyle name="Percent 8 18" xfId="41883"/>
    <cellStyle name="Percent 8 19" xfId="41884"/>
    <cellStyle name="Percent 8 2" xfId="41885"/>
    <cellStyle name="Percent 8 2 10" xfId="41886"/>
    <cellStyle name="Percent 8 2 10 2" xfId="41887"/>
    <cellStyle name="Percent 8 2 10 2 2" xfId="41888"/>
    <cellStyle name="Percent 8 2 10 3" xfId="41889"/>
    <cellStyle name="Percent 8 2 10 3 2" xfId="41890"/>
    <cellStyle name="Percent 8 2 10 4" xfId="41891"/>
    <cellStyle name="Percent 8 2 10 4 2" xfId="41892"/>
    <cellStyle name="Percent 8 2 10 5" xfId="41893"/>
    <cellStyle name="Percent 8 2 10 6" xfId="41894"/>
    <cellStyle name="Percent 8 2 11" xfId="41895"/>
    <cellStyle name="Percent 8 2 11 2" xfId="41896"/>
    <cellStyle name="Percent 8 2 11 2 2" xfId="41897"/>
    <cellStyle name="Percent 8 2 11 3" xfId="41898"/>
    <cellStyle name="Percent 8 2 11 3 2" xfId="41899"/>
    <cellStyle name="Percent 8 2 11 4" xfId="41900"/>
    <cellStyle name="Percent 8 2 11 5" xfId="41901"/>
    <cellStyle name="Percent 8 2 12" xfId="41902"/>
    <cellStyle name="Percent 8 2 12 2" xfId="41903"/>
    <cellStyle name="Percent 8 2 13" xfId="41904"/>
    <cellStyle name="Percent 8 2 13 2" xfId="41905"/>
    <cellStyle name="Percent 8 2 14" xfId="41906"/>
    <cellStyle name="Percent 8 2 14 2" xfId="41907"/>
    <cellStyle name="Percent 8 2 15" xfId="41908"/>
    <cellStyle name="Percent 8 2 16" xfId="41909"/>
    <cellStyle name="Percent 8 2 2" xfId="41910"/>
    <cellStyle name="Percent 8 2 2 10" xfId="41911"/>
    <cellStyle name="Percent 8 2 2 10 2" xfId="41912"/>
    <cellStyle name="Percent 8 2 2 11" xfId="41913"/>
    <cellStyle name="Percent 8 2 2 11 2" xfId="41914"/>
    <cellStyle name="Percent 8 2 2 12" xfId="41915"/>
    <cellStyle name="Percent 8 2 2 13" xfId="41916"/>
    <cellStyle name="Percent 8 2 2 2" xfId="41917"/>
    <cellStyle name="Percent 8 2 2 2 10" xfId="41918"/>
    <cellStyle name="Percent 8 2 2 2 11" xfId="41919"/>
    <cellStyle name="Percent 8 2 2 2 2" xfId="41920"/>
    <cellStyle name="Percent 8 2 2 2 2 2" xfId="41921"/>
    <cellStyle name="Percent 8 2 2 2 2 2 2" xfId="41922"/>
    <cellStyle name="Percent 8 2 2 2 2 3" xfId="41923"/>
    <cellStyle name="Percent 8 2 2 2 2 3 2" xfId="41924"/>
    <cellStyle name="Percent 8 2 2 2 2 4" xfId="41925"/>
    <cellStyle name="Percent 8 2 2 2 2 4 2" xfId="41926"/>
    <cellStyle name="Percent 8 2 2 2 2 5" xfId="41927"/>
    <cellStyle name="Percent 8 2 2 2 2 6" xfId="41928"/>
    <cellStyle name="Percent 8 2 2 2 3" xfId="41929"/>
    <cellStyle name="Percent 8 2 2 2 3 2" xfId="41930"/>
    <cellStyle name="Percent 8 2 2 2 3 2 2" xfId="41931"/>
    <cellStyle name="Percent 8 2 2 2 3 3" xfId="41932"/>
    <cellStyle name="Percent 8 2 2 2 3 3 2" xfId="41933"/>
    <cellStyle name="Percent 8 2 2 2 3 4" xfId="41934"/>
    <cellStyle name="Percent 8 2 2 2 3 4 2" xfId="41935"/>
    <cellStyle name="Percent 8 2 2 2 3 5" xfId="41936"/>
    <cellStyle name="Percent 8 2 2 2 3 6" xfId="41937"/>
    <cellStyle name="Percent 8 2 2 2 4" xfId="41938"/>
    <cellStyle name="Percent 8 2 2 2 4 2" xfId="41939"/>
    <cellStyle name="Percent 8 2 2 2 4 2 2" xfId="41940"/>
    <cellStyle name="Percent 8 2 2 2 4 3" xfId="41941"/>
    <cellStyle name="Percent 8 2 2 2 4 3 2" xfId="41942"/>
    <cellStyle name="Percent 8 2 2 2 4 4" xfId="41943"/>
    <cellStyle name="Percent 8 2 2 2 4 4 2" xfId="41944"/>
    <cellStyle name="Percent 8 2 2 2 4 5" xfId="41945"/>
    <cellStyle name="Percent 8 2 2 2 4 6" xfId="41946"/>
    <cellStyle name="Percent 8 2 2 2 5" xfId="41947"/>
    <cellStyle name="Percent 8 2 2 2 5 2" xfId="41948"/>
    <cellStyle name="Percent 8 2 2 2 5 2 2" xfId="41949"/>
    <cellStyle name="Percent 8 2 2 2 5 3" xfId="41950"/>
    <cellStyle name="Percent 8 2 2 2 5 3 2" xfId="41951"/>
    <cellStyle name="Percent 8 2 2 2 5 4" xfId="41952"/>
    <cellStyle name="Percent 8 2 2 2 5 4 2" xfId="41953"/>
    <cellStyle name="Percent 8 2 2 2 5 5" xfId="41954"/>
    <cellStyle name="Percent 8 2 2 2 5 6" xfId="41955"/>
    <cellStyle name="Percent 8 2 2 2 6" xfId="41956"/>
    <cellStyle name="Percent 8 2 2 2 6 2" xfId="41957"/>
    <cellStyle name="Percent 8 2 2 2 6 2 2" xfId="41958"/>
    <cellStyle name="Percent 8 2 2 2 6 3" xfId="41959"/>
    <cellStyle name="Percent 8 2 2 2 6 3 2" xfId="41960"/>
    <cellStyle name="Percent 8 2 2 2 6 4" xfId="41961"/>
    <cellStyle name="Percent 8 2 2 2 6 5" xfId="41962"/>
    <cellStyle name="Percent 8 2 2 2 7" xfId="41963"/>
    <cellStyle name="Percent 8 2 2 2 7 2" xfId="41964"/>
    <cellStyle name="Percent 8 2 2 2 8" xfId="41965"/>
    <cellStyle name="Percent 8 2 2 2 8 2" xfId="41966"/>
    <cellStyle name="Percent 8 2 2 2 9" xfId="41967"/>
    <cellStyle name="Percent 8 2 2 2 9 2" xfId="41968"/>
    <cellStyle name="Percent 8 2 2 3" xfId="41969"/>
    <cellStyle name="Percent 8 2 2 3 10" xfId="41970"/>
    <cellStyle name="Percent 8 2 2 3 2" xfId="41971"/>
    <cellStyle name="Percent 8 2 2 3 2 2" xfId="41972"/>
    <cellStyle name="Percent 8 2 2 3 2 2 2" xfId="41973"/>
    <cellStyle name="Percent 8 2 2 3 2 3" xfId="41974"/>
    <cellStyle name="Percent 8 2 2 3 2 3 2" xfId="41975"/>
    <cellStyle name="Percent 8 2 2 3 2 4" xfId="41976"/>
    <cellStyle name="Percent 8 2 2 3 2 4 2" xfId="41977"/>
    <cellStyle name="Percent 8 2 2 3 2 5" xfId="41978"/>
    <cellStyle name="Percent 8 2 2 3 2 6" xfId="41979"/>
    <cellStyle name="Percent 8 2 2 3 3" xfId="41980"/>
    <cellStyle name="Percent 8 2 2 3 3 2" xfId="41981"/>
    <cellStyle name="Percent 8 2 2 3 3 2 2" xfId="41982"/>
    <cellStyle name="Percent 8 2 2 3 3 3" xfId="41983"/>
    <cellStyle name="Percent 8 2 2 3 3 3 2" xfId="41984"/>
    <cellStyle name="Percent 8 2 2 3 3 4" xfId="41985"/>
    <cellStyle name="Percent 8 2 2 3 3 4 2" xfId="41986"/>
    <cellStyle name="Percent 8 2 2 3 3 5" xfId="41987"/>
    <cellStyle name="Percent 8 2 2 3 3 6" xfId="41988"/>
    <cellStyle name="Percent 8 2 2 3 4" xfId="41989"/>
    <cellStyle name="Percent 8 2 2 3 4 2" xfId="41990"/>
    <cellStyle name="Percent 8 2 2 3 4 2 2" xfId="41991"/>
    <cellStyle name="Percent 8 2 2 3 4 3" xfId="41992"/>
    <cellStyle name="Percent 8 2 2 3 4 3 2" xfId="41993"/>
    <cellStyle name="Percent 8 2 2 3 4 4" xfId="41994"/>
    <cellStyle name="Percent 8 2 2 3 4 4 2" xfId="41995"/>
    <cellStyle name="Percent 8 2 2 3 4 5" xfId="41996"/>
    <cellStyle name="Percent 8 2 2 3 4 6" xfId="41997"/>
    <cellStyle name="Percent 8 2 2 3 5" xfId="41998"/>
    <cellStyle name="Percent 8 2 2 3 5 2" xfId="41999"/>
    <cellStyle name="Percent 8 2 2 3 5 2 2" xfId="42000"/>
    <cellStyle name="Percent 8 2 2 3 5 3" xfId="42001"/>
    <cellStyle name="Percent 8 2 2 3 5 3 2" xfId="42002"/>
    <cellStyle name="Percent 8 2 2 3 5 4" xfId="42003"/>
    <cellStyle name="Percent 8 2 2 3 5 5" xfId="42004"/>
    <cellStyle name="Percent 8 2 2 3 6" xfId="42005"/>
    <cellStyle name="Percent 8 2 2 3 6 2" xfId="42006"/>
    <cellStyle name="Percent 8 2 2 3 7" xfId="42007"/>
    <cellStyle name="Percent 8 2 2 3 7 2" xfId="42008"/>
    <cellStyle name="Percent 8 2 2 3 8" xfId="42009"/>
    <cellStyle name="Percent 8 2 2 3 8 2" xfId="42010"/>
    <cellStyle name="Percent 8 2 2 3 9" xfId="42011"/>
    <cellStyle name="Percent 8 2 2 4" xfId="42012"/>
    <cellStyle name="Percent 8 2 2 4 10" xfId="42013"/>
    <cellStyle name="Percent 8 2 2 4 2" xfId="42014"/>
    <cellStyle name="Percent 8 2 2 4 2 2" xfId="42015"/>
    <cellStyle name="Percent 8 2 2 4 2 2 2" xfId="42016"/>
    <cellStyle name="Percent 8 2 2 4 2 3" xfId="42017"/>
    <cellStyle name="Percent 8 2 2 4 2 3 2" xfId="42018"/>
    <cellStyle name="Percent 8 2 2 4 2 4" xfId="42019"/>
    <cellStyle name="Percent 8 2 2 4 2 4 2" xfId="42020"/>
    <cellStyle name="Percent 8 2 2 4 2 5" xfId="42021"/>
    <cellStyle name="Percent 8 2 2 4 2 6" xfId="42022"/>
    <cellStyle name="Percent 8 2 2 4 3" xfId="42023"/>
    <cellStyle name="Percent 8 2 2 4 3 2" xfId="42024"/>
    <cellStyle name="Percent 8 2 2 4 3 2 2" xfId="42025"/>
    <cellStyle name="Percent 8 2 2 4 3 3" xfId="42026"/>
    <cellStyle name="Percent 8 2 2 4 3 3 2" xfId="42027"/>
    <cellStyle name="Percent 8 2 2 4 3 4" xfId="42028"/>
    <cellStyle name="Percent 8 2 2 4 3 4 2" xfId="42029"/>
    <cellStyle name="Percent 8 2 2 4 3 5" xfId="42030"/>
    <cellStyle name="Percent 8 2 2 4 3 6" xfId="42031"/>
    <cellStyle name="Percent 8 2 2 4 4" xfId="42032"/>
    <cellStyle name="Percent 8 2 2 4 4 2" xfId="42033"/>
    <cellStyle name="Percent 8 2 2 4 4 2 2" xfId="42034"/>
    <cellStyle name="Percent 8 2 2 4 4 3" xfId="42035"/>
    <cellStyle name="Percent 8 2 2 4 4 3 2" xfId="42036"/>
    <cellStyle name="Percent 8 2 2 4 4 4" xfId="42037"/>
    <cellStyle name="Percent 8 2 2 4 4 4 2" xfId="42038"/>
    <cellStyle name="Percent 8 2 2 4 4 5" xfId="42039"/>
    <cellStyle name="Percent 8 2 2 4 4 6" xfId="42040"/>
    <cellStyle name="Percent 8 2 2 4 5" xfId="42041"/>
    <cellStyle name="Percent 8 2 2 4 5 2" xfId="42042"/>
    <cellStyle name="Percent 8 2 2 4 5 2 2" xfId="42043"/>
    <cellStyle name="Percent 8 2 2 4 5 3" xfId="42044"/>
    <cellStyle name="Percent 8 2 2 4 5 3 2" xfId="42045"/>
    <cellStyle name="Percent 8 2 2 4 5 4" xfId="42046"/>
    <cellStyle name="Percent 8 2 2 4 5 5" xfId="42047"/>
    <cellStyle name="Percent 8 2 2 4 6" xfId="42048"/>
    <cellStyle name="Percent 8 2 2 4 6 2" xfId="42049"/>
    <cellStyle name="Percent 8 2 2 4 7" xfId="42050"/>
    <cellStyle name="Percent 8 2 2 4 7 2" xfId="42051"/>
    <cellStyle name="Percent 8 2 2 4 8" xfId="42052"/>
    <cellStyle name="Percent 8 2 2 4 8 2" xfId="42053"/>
    <cellStyle name="Percent 8 2 2 4 9" xfId="42054"/>
    <cellStyle name="Percent 8 2 2 5" xfId="42055"/>
    <cellStyle name="Percent 8 2 2 5 2" xfId="42056"/>
    <cellStyle name="Percent 8 2 2 5 2 2" xfId="42057"/>
    <cellStyle name="Percent 8 2 2 5 3" xfId="42058"/>
    <cellStyle name="Percent 8 2 2 5 3 2" xfId="42059"/>
    <cellStyle name="Percent 8 2 2 5 4" xfId="42060"/>
    <cellStyle name="Percent 8 2 2 5 4 2" xfId="42061"/>
    <cellStyle name="Percent 8 2 2 5 5" xfId="42062"/>
    <cellStyle name="Percent 8 2 2 5 6" xfId="42063"/>
    <cellStyle name="Percent 8 2 2 6" xfId="42064"/>
    <cellStyle name="Percent 8 2 2 6 2" xfId="42065"/>
    <cellStyle name="Percent 8 2 2 6 2 2" xfId="42066"/>
    <cellStyle name="Percent 8 2 2 6 3" xfId="42067"/>
    <cellStyle name="Percent 8 2 2 6 3 2" xfId="42068"/>
    <cellStyle name="Percent 8 2 2 6 4" xfId="42069"/>
    <cellStyle name="Percent 8 2 2 6 4 2" xfId="42070"/>
    <cellStyle name="Percent 8 2 2 6 5" xfId="42071"/>
    <cellStyle name="Percent 8 2 2 6 6" xfId="42072"/>
    <cellStyle name="Percent 8 2 2 7" xfId="42073"/>
    <cellStyle name="Percent 8 2 2 7 2" xfId="42074"/>
    <cellStyle name="Percent 8 2 2 7 2 2" xfId="42075"/>
    <cellStyle name="Percent 8 2 2 7 3" xfId="42076"/>
    <cellStyle name="Percent 8 2 2 7 3 2" xfId="42077"/>
    <cellStyle name="Percent 8 2 2 7 4" xfId="42078"/>
    <cellStyle name="Percent 8 2 2 7 4 2" xfId="42079"/>
    <cellStyle name="Percent 8 2 2 7 5" xfId="42080"/>
    <cellStyle name="Percent 8 2 2 7 6" xfId="42081"/>
    <cellStyle name="Percent 8 2 2 8" xfId="42082"/>
    <cellStyle name="Percent 8 2 2 8 2" xfId="42083"/>
    <cellStyle name="Percent 8 2 2 8 2 2" xfId="42084"/>
    <cellStyle name="Percent 8 2 2 8 3" xfId="42085"/>
    <cellStyle name="Percent 8 2 2 8 3 2" xfId="42086"/>
    <cellStyle name="Percent 8 2 2 8 4" xfId="42087"/>
    <cellStyle name="Percent 8 2 2 8 5" xfId="42088"/>
    <cellStyle name="Percent 8 2 2 9" xfId="42089"/>
    <cellStyle name="Percent 8 2 2 9 2" xfId="42090"/>
    <cellStyle name="Percent 8 2 3" xfId="42091"/>
    <cellStyle name="Percent 8 2 3 10" xfId="42092"/>
    <cellStyle name="Percent 8 2 3 10 2" xfId="42093"/>
    <cellStyle name="Percent 8 2 3 11" xfId="42094"/>
    <cellStyle name="Percent 8 2 3 11 2" xfId="42095"/>
    <cellStyle name="Percent 8 2 3 12" xfId="42096"/>
    <cellStyle name="Percent 8 2 3 13" xfId="42097"/>
    <cellStyle name="Percent 8 2 3 2" xfId="42098"/>
    <cellStyle name="Percent 8 2 3 2 10" xfId="42099"/>
    <cellStyle name="Percent 8 2 3 2 11" xfId="42100"/>
    <cellStyle name="Percent 8 2 3 2 2" xfId="42101"/>
    <cellStyle name="Percent 8 2 3 2 2 2" xfId="42102"/>
    <cellStyle name="Percent 8 2 3 2 2 2 2" xfId="42103"/>
    <cellStyle name="Percent 8 2 3 2 2 3" xfId="42104"/>
    <cellStyle name="Percent 8 2 3 2 2 3 2" xfId="42105"/>
    <cellStyle name="Percent 8 2 3 2 2 4" xfId="42106"/>
    <cellStyle name="Percent 8 2 3 2 2 4 2" xfId="42107"/>
    <cellStyle name="Percent 8 2 3 2 2 5" xfId="42108"/>
    <cellStyle name="Percent 8 2 3 2 2 6" xfId="42109"/>
    <cellStyle name="Percent 8 2 3 2 3" xfId="42110"/>
    <cellStyle name="Percent 8 2 3 2 3 2" xfId="42111"/>
    <cellStyle name="Percent 8 2 3 2 3 2 2" xfId="42112"/>
    <cellStyle name="Percent 8 2 3 2 3 3" xfId="42113"/>
    <cellStyle name="Percent 8 2 3 2 3 3 2" xfId="42114"/>
    <cellStyle name="Percent 8 2 3 2 3 4" xfId="42115"/>
    <cellStyle name="Percent 8 2 3 2 3 4 2" xfId="42116"/>
    <cellStyle name="Percent 8 2 3 2 3 5" xfId="42117"/>
    <cellStyle name="Percent 8 2 3 2 3 6" xfId="42118"/>
    <cellStyle name="Percent 8 2 3 2 4" xfId="42119"/>
    <cellStyle name="Percent 8 2 3 2 4 2" xfId="42120"/>
    <cellStyle name="Percent 8 2 3 2 4 2 2" xfId="42121"/>
    <cellStyle name="Percent 8 2 3 2 4 3" xfId="42122"/>
    <cellStyle name="Percent 8 2 3 2 4 3 2" xfId="42123"/>
    <cellStyle name="Percent 8 2 3 2 4 4" xfId="42124"/>
    <cellStyle name="Percent 8 2 3 2 4 4 2" xfId="42125"/>
    <cellStyle name="Percent 8 2 3 2 4 5" xfId="42126"/>
    <cellStyle name="Percent 8 2 3 2 4 6" xfId="42127"/>
    <cellStyle name="Percent 8 2 3 2 5" xfId="42128"/>
    <cellStyle name="Percent 8 2 3 2 5 2" xfId="42129"/>
    <cellStyle name="Percent 8 2 3 2 5 2 2" xfId="42130"/>
    <cellStyle name="Percent 8 2 3 2 5 3" xfId="42131"/>
    <cellStyle name="Percent 8 2 3 2 5 3 2" xfId="42132"/>
    <cellStyle name="Percent 8 2 3 2 5 4" xfId="42133"/>
    <cellStyle name="Percent 8 2 3 2 5 4 2" xfId="42134"/>
    <cellStyle name="Percent 8 2 3 2 5 5" xfId="42135"/>
    <cellStyle name="Percent 8 2 3 2 5 6" xfId="42136"/>
    <cellStyle name="Percent 8 2 3 2 6" xfId="42137"/>
    <cellStyle name="Percent 8 2 3 2 6 2" xfId="42138"/>
    <cellStyle name="Percent 8 2 3 2 6 2 2" xfId="42139"/>
    <cellStyle name="Percent 8 2 3 2 6 3" xfId="42140"/>
    <cellStyle name="Percent 8 2 3 2 6 3 2" xfId="42141"/>
    <cellStyle name="Percent 8 2 3 2 6 4" xfId="42142"/>
    <cellStyle name="Percent 8 2 3 2 6 5" xfId="42143"/>
    <cellStyle name="Percent 8 2 3 2 7" xfId="42144"/>
    <cellStyle name="Percent 8 2 3 2 7 2" xfId="42145"/>
    <cellStyle name="Percent 8 2 3 2 8" xfId="42146"/>
    <cellStyle name="Percent 8 2 3 2 8 2" xfId="42147"/>
    <cellStyle name="Percent 8 2 3 2 9" xfId="42148"/>
    <cellStyle name="Percent 8 2 3 2 9 2" xfId="42149"/>
    <cellStyle name="Percent 8 2 3 3" xfId="42150"/>
    <cellStyle name="Percent 8 2 3 3 10" xfId="42151"/>
    <cellStyle name="Percent 8 2 3 3 2" xfId="42152"/>
    <cellStyle name="Percent 8 2 3 3 2 2" xfId="42153"/>
    <cellStyle name="Percent 8 2 3 3 2 2 2" xfId="42154"/>
    <cellStyle name="Percent 8 2 3 3 2 3" xfId="42155"/>
    <cellStyle name="Percent 8 2 3 3 2 3 2" xfId="42156"/>
    <cellStyle name="Percent 8 2 3 3 2 4" xfId="42157"/>
    <cellStyle name="Percent 8 2 3 3 2 4 2" xfId="42158"/>
    <cellStyle name="Percent 8 2 3 3 2 5" xfId="42159"/>
    <cellStyle name="Percent 8 2 3 3 2 6" xfId="42160"/>
    <cellStyle name="Percent 8 2 3 3 3" xfId="42161"/>
    <cellStyle name="Percent 8 2 3 3 3 2" xfId="42162"/>
    <cellStyle name="Percent 8 2 3 3 3 2 2" xfId="42163"/>
    <cellStyle name="Percent 8 2 3 3 3 3" xfId="42164"/>
    <cellStyle name="Percent 8 2 3 3 3 3 2" xfId="42165"/>
    <cellStyle name="Percent 8 2 3 3 3 4" xfId="42166"/>
    <cellStyle name="Percent 8 2 3 3 3 4 2" xfId="42167"/>
    <cellStyle name="Percent 8 2 3 3 3 5" xfId="42168"/>
    <cellStyle name="Percent 8 2 3 3 3 6" xfId="42169"/>
    <cellStyle name="Percent 8 2 3 3 4" xfId="42170"/>
    <cellStyle name="Percent 8 2 3 3 4 2" xfId="42171"/>
    <cellStyle name="Percent 8 2 3 3 4 2 2" xfId="42172"/>
    <cellStyle name="Percent 8 2 3 3 4 3" xfId="42173"/>
    <cellStyle name="Percent 8 2 3 3 4 3 2" xfId="42174"/>
    <cellStyle name="Percent 8 2 3 3 4 4" xfId="42175"/>
    <cellStyle name="Percent 8 2 3 3 4 4 2" xfId="42176"/>
    <cellStyle name="Percent 8 2 3 3 4 5" xfId="42177"/>
    <cellStyle name="Percent 8 2 3 3 4 6" xfId="42178"/>
    <cellStyle name="Percent 8 2 3 3 5" xfId="42179"/>
    <cellStyle name="Percent 8 2 3 3 5 2" xfId="42180"/>
    <cellStyle name="Percent 8 2 3 3 5 2 2" xfId="42181"/>
    <cellStyle name="Percent 8 2 3 3 5 3" xfId="42182"/>
    <cellStyle name="Percent 8 2 3 3 5 3 2" xfId="42183"/>
    <cellStyle name="Percent 8 2 3 3 5 4" xfId="42184"/>
    <cellStyle name="Percent 8 2 3 3 5 5" xfId="42185"/>
    <cellStyle name="Percent 8 2 3 3 6" xfId="42186"/>
    <cellStyle name="Percent 8 2 3 3 6 2" xfId="42187"/>
    <cellStyle name="Percent 8 2 3 3 7" xfId="42188"/>
    <cellStyle name="Percent 8 2 3 3 7 2" xfId="42189"/>
    <cellStyle name="Percent 8 2 3 3 8" xfId="42190"/>
    <cellStyle name="Percent 8 2 3 3 8 2" xfId="42191"/>
    <cellStyle name="Percent 8 2 3 3 9" xfId="42192"/>
    <cellStyle name="Percent 8 2 3 4" xfId="42193"/>
    <cellStyle name="Percent 8 2 3 4 10" xfId="42194"/>
    <cellStyle name="Percent 8 2 3 4 2" xfId="42195"/>
    <cellStyle name="Percent 8 2 3 4 2 2" xfId="42196"/>
    <cellStyle name="Percent 8 2 3 4 2 2 2" xfId="42197"/>
    <cellStyle name="Percent 8 2 3 4 2 3" xfId="42198"/>
    <cellStyle name="Percent 8 2 3 4 2 3 2" xfId="42199"/>
    <cellStyle name="Percent 8 2 3 4 2 4" xfId="42200"/>
    <cellStyle name="Percent 8 2 3 4 2 4 2" xfId="42201"/>
    <cellStyle name="Percent 8 2 3 4 2 5" xfId="42202"/>
    <cellStyle name="Percent 8 2 3 4 2 6" xfId="42203"/>
    <cellStyle name="Percent 8 2 3 4 3" xfId="42204"/>
    <cellStyle name="Percent 8 2 3 4 3 2" xfId="42205"/>
    <cellStyle name="Percent 8 2 3 4 3 2 2" xfId="42206"/>
    <cellStyle name="Percent 8 2 3 4 3 3" xfId="42207"/>
    <cellStyle name="Percent 8 2 3 4 3 3 2" xfId="42208"/>
    <cellStyle name="Percent 8 2 3 4 3 4" xfId="42209"/>
    <cellStyle name="Percent 8 2 3 4 3 4 2" xfId="42210"/>
    <cellStyle name="Percent 8 2 3 4 3 5" xfId="42211"/>
    <cellStyle name="Percent 8 2 3 4 3 6" xfId="42212"/>
    <cellStyle name="Percent 8 2 3 4 4" xfId="42213"/>
    <cellStyle name="Percent 8 2 3 4 4 2" xfId="42214"/>
    <cellStyle name="Percent 8 2 3 4 4 2 2" xfId="42215"/>
    <cellStyle name="Percent 8 2 3 4 4 3" xfId="42216"/>
    <cellStyle name="Percent 8 2 3 4 4 3 2" xfId="42217"/>
    <cellStyle name="Percent 8 2 3 4 4 4" xfId="42218"/>
    <cellStyle name="Percent 8 2 3 4 4 4 2" xfId="42219"/>
    <cellStyle name="Percent 8 2 3 4 4 5" xfId="42220"/>
    <cellStyle name="Percent 8 2 3 4 4 6" xfId="42221"/>
    <cellStyle name="Percent 8 2 3 4 5" xfId="42222"/>
    <cellStyle name="Percent 8 2 3 4 5 2" xfId="42223"/>
    <cellStyle name="Percent 8 2 3 4 5 2 2" xfId="42224"/>
    <cellStyle name="Percent 8 2 3 4 5 3" xfId="42225"/>
    <cellStyle name="Percent 8 2 3 4 5 3 2" xfId="42226"/>
    <cellStyle name="Percent 8 2 3 4 5 4" xfId="42227"/>
    <cellStyle name="Percent 8 2 3 4 5 5" xfId="42228"/>
    <cellStyle name="Percent 8 2 3 4 6" xfId="42229"/>
    <cellStyle name="Percent 8 2 3 4 6 2" xfId="42230"/>
    <cellStyle name="Percent 8 2 3 4 7" xfId="42231"/>
    <cellStyle name="Percent 8 2 3 4 7 2" xfId="42232"/>
    <cellStyle name="Percent 8 2 3 4 8" xfId="42233"/>
    <cellStyle name="Percent 8 2 3 4 8 2" xfId="42234"/>
    <cellStyle name="Percent 8 2 3 4 9" xfId="42235"/>
    <cellStyle name="Percent 8 2 3 5" xfId="42236"/>
    <cellStyle name="Percent 8 2 3 5 2" xfId="42237"/>
    <cellStyle name="Percent 8 2 3 5 2 2" xfId="42238"/>
    <cellStyle name="Percent 8 2 3 5 3" xfId="42239"/>
    <cellStyle name="Percent 8 2 3 5 3 2" xfId="42240"/>
    <cellStyle name="Percent 8 2 3 5 4" xfId="42241"/>
    <cellStyle name="Percent 8 2 3 5 4 2" xfId="42242"/>
    <cellStyle name="Percent 8 2 3 5 5" xfId="42243"/>
    <cellStyle name="Percent 8 2 3 5 6" xfId="42244"/>
    <cellStyle name="Percent 8 2 3 6" xfId="42245"/>
    <cellStyle name="Percent 8 2 3 6 2" xfId="42246"/>
    <cellStyle name="Percent 8 2 3 6 2 2" xfId="42247"/>
    <cellStyle name="Percent 8 2 3 6 3" xfId="42248"/>
    <cellStyle name="Percent 8 2 3 6 3 2" xfId="42249"/>
    <cellStyle name="Percent 8 2 3 6 4" xfId="42250"/>
    <cellStyle name="Percent 8 2 3 6 4 2" xfId="42251"/>
    <cellStyle name="Percent 8 2 3 6 5" xfId="42252"/>
    <cellStyle name="Percent 8 2 3 6 6" xfId="42253"/>
    <cellStyle name="Percent 8 2 3 7" xfId="42254"/>
    <cellStyle name="Percent 8 2 3 7 2" xfId="42255"/>
    <cellStyle name="Percent 8 2 3 7 2 2" xfId="42256"/>
    <cellStyle name="Percent 8 2 3 7 3" xfId="42257"/>
    <cellStyle name="Percent 8 2 3 7 3 2" xfId="42258"/>
    <cellStyle name="Percent 8 2 3 7 4" xfId="42259"/>
    <cellStyle name="Percent 8 2 3 7 4 2" xfId="42260"/>
    <cellStyle name="Percent 8 2 3 7 5" xfId="42261"/>
    <cellStyle name="Percent 8 2 3 7 6" xfId="42262"/>
    <cellStyle name="Percent 8 2 3 8" xfId="42263"/>
    <cellStyle name="Percent 8 2 3 8 2" xfId="42264"/>
    <cellStyle name="Percent 8 2 3 8 2 2" xfId="42265"/>
    <cellStyle name="Percent 8 2 3 8 3" xfId="42266"/>
    <cellStyle name="Percent 8 2 3 8 3 2" xfId="42267"/>
    <cellStyle name="Percent 8 2 3 8 4" xfId="42268"/>
    <cellStyle name="Percent 8 2 3 8 5" xfId="42269"/>
    <cellStyle name="Percent 8 2 3 9" xfId="42270"/>
    <cellStyle name="Percent 8 2 3 9 2" xfId="42271"/>
    <cellStyle name="Percent 8 2 4" xfId="42272"/>
    <cellStyle name="Percent 8 2 4 10" xfId="42273"/>
    <cellStyle name="Percent 8 2 4 10 2" xfId="42274"/>
    <cellStyle name="Percent 8 2 4 11" xfId="42275"/>
    <cellStyle name="Percent 8 2 4 12" xfId="42276"/>
    <cellStyle name="Percent 8 2 4 2" xfId="42277"/>
    <cellStyle name="Percent 8 2 4 2 10" xfId="42278"/>
    <cellStyle name="Percent 8 2 4 2 2" xfId="42279"/>
    <cellStyle name="Percent 8 2 4 2 2 2" xfId="42280"/>
    <cellStyle name="Percent 8 2 4 2 2 2 2" xfId="42281"/>
    <cellStyle name="Percent 8 2 4 2 2 3" xfId="42282"/>
    <cellStyle name="Percent 8 2 4 2 2 3 2" xfId="42283"/>
    <cellStyle name="Percent 8 2 4 2 2 4" xfId="42284"/>
    <cellStyle name="Percent 8 2 4 2 2 4 2" xfId="42285"/>
    <cellStyle name="Percent 8 2 4 2 2 5" xfId="42286"/>
    <cellStyle name="Percent 8 2 4 2 2 6" xfId="42287"/>
    <cellStyle name="Percent 8 2 4 2 3" xfId="42288"/>
    <cellStyle name="Percent 8 2 4 2 3 2" xfId="42289"/>
    <cellStyle name="Percent 8 2 4 2 3 2 2" xfId="42290"/>
    <cellStyle name="Percent 8 2 4 2 3 3" xfId="42291"/>
    <cellStyle name="Percent 8 2 4 2 3 3 2" xfId="42292"/>
    <cellStyle name="Percent 8 2 4 2 3 4" xfId="42293"/>
    <cellStyle name="Percent 8 2 4 2 3 4 2" xfId="42294"/>
    <cellStyle name="Percent 8 2 4 2 3 5" xfId="42295"/>
    <cellStyle name="Percent 8 2 4 2 3 6" xfId="42296"/>
    <cellStyle name="Percent 8 2 4 2 4" xfId="42297"/>
    <cellStyle name="Percent 8 2 4 2 4 2" xfId="42298"/>
    <cellStyle name="Percent 8 2 4 2 4 2 2" xfId="42299"/>
    <cellStyle name="Percent 8 2 4 2 4 3" xfId="42300"/>
    <cellStyle name="Percent 8 2 4 2 4 3 2" xfId="42301"/>
    <cellStyle name="Percent 8 2 4 2 4 4" xfId="42302"/>
    <cellStyle name="Percent 8 2 4 2 4 4 2" xfId="42303"/>
    <cellStyle name="Percent 8 2 4 2 4 5" xfId="42304"/>
    <cellStyle name="Percent 8 2 4 2 4 6" xfId="42305"/>
    <cellStyle name="Percent 8 2 4 2 5" xfId="42306"/>
    <cellStyle name="Percent 8 2 4 2 5 2" xfId="42307"/>
    <cellStyle name="Percent 8 2 4 2 5 2 2" xfId="42308"/>
    <cellStyle name="Percent 8 2 4 2 5 3" xfId="42309"/>
    <cellStyle name="Percent 8 2 4 2 5 3 2" xfId="42310"/>
    <cellStyle name="Percent 8 2 4 2 5 4" xfId="42311"/>
    <cellStyle name="Percent 8 2 4 2 5 5" xfId="42312"/>
    <cellStyle name="Percent 8 2 4 2 6" xfId="42313"/>
    <cellStyle name="Percent 8 2 4 2 6 2" xfId="42314"/>
    <cellStyle name="Percent 8 2 4 2 7" xfId="42315"/>
    <cellStyle name="Percent 8 2 4 2 7 2" xfId="42316"/>
    <cellStyle name="Percent 8 2 4 2 8" xfId="42317"/>
    <cellStyle name="Percent 8 2 4 2 8 2" xfId="42318"/>
    <cellStyle name="Percent 8 2 4 2 9" xfId="42319"/>
    <cellStyle name="Percent 8 2 4 3" xfId="42320"/>
    <cellStyle name="Percent 8 2 4 3 10" xfId="42321"/>
    <cellStyle name="Percent 8 2 4 3 2" xfId="42322"/>
    <cellStyle name="Percent 8 2 4 3 2 2" xfId="42323"/>
    <cellStyle name="Percent 8 2 4 3 2 2 2" xfId="42324"/>
    <cellStyle name="Percent 8 2 4 3 2 3" xfId="42325"/>
    <cellStyle name="Percent 8 2 4 3 2 3 2" xfId="42326"/>
    <cellStyle name="Percent 8 2 4 3 2 4" xfId="42327"/>
    <cellStyle name="Percent 8 2 4 3 2 4 2" xfId="42328"/>
    <cellStyle name="Percent 8 2 4 3 2 5" xfId="42329"/>
    <cellStyle name="Percent 8 2 4 3 2 6" xfId="42330"/>
    <cellStyle name="Percent 8 2 4 3 3" xfId="42331"/>
    <cellStyle name="Percent 8 2 4 3 3 2" xfId="42332"/>
    <cellStyle name="Percent 8 2 4 3 3 2 2" xfId="42333"/>
    <cellStyle name="Percent 8 2 4 3 3 3" xfId="42334"/>
    <cellStyle name="Percent 8 2 4 3 3 3 2" xfId="42335"/>
    <cellStyle name="Percent 8 2 4 3 3 4" xfId="42336"/>
    <cellStyle name="Percent 8 2 4 3 3 4 2" xfId="42337"/>
    <cellStyle name="Percent 8 2 4 3 3 5" xfId="42338"/>
    <cellStyle name="Percent 8 2 4 3 3 6" xfId="42339"/>
    <cellStyle name="Percent 8 2 4 3 4" xfId="42340"/>
    <cellStyle name="Percent 8 2 4 3 4 2" xfId="42341"/>
    <cellStyle name="Percent 8 2 4 3 4 2 2" xfId="42342"/>
    <cellStyle name="Percent 8 2 4 3 4 3" xfId="42343"/>
    <cellStyle name="Percent 8 2 4 3 4 3 2" xfId="42344"/>
    <cellStyle name="Percent 8 2 4 3 4 4" xfId="42345"/>
    <cellStyle name="Percent 8 2 4 3 4 4 2" xfId="42346"/>
    <cellStyle name="Percent 8 2 4 3 4 5" xfId="42347"/>
    <cellStyle name="Percent 8 2 4 3 4 6" xfId="42348"/>
    <cellStyle name="Percent 8 2 4 3 5" xfId="42349"/>
    <cellStyle name="Percent 8 2 4 3 5 2" xfId="42350"/>
    <cellStyle name="Percent 8 2 4 3 5 2 2" xfId="42351"/>
    <cellStyle name="Percent 8 2 4 3 5 3" xfId="42352"/>
    <cellStyle name="Percent 8 2 4 3 5 3 2" xfId="42353"/>
    <cellStyle name="Percent 8 2 4 3 5 4" xfId="42354"/>
    <cellStyle name="Percent 8 2 4 3 5 5" xfId="42355"/>
    <cellStyle name="Percent 8 2 4 3 6" xfId="42356"/>
    <cellStyle name="Percent 8 2 4 3 6 2" xfId="42357"/>
    <cellStyle name="Percent 8 2 4 3 7" xfId="42358"/>
    <cellStyle name="Percent 8 2 4 3 7 2" xfId="42359"/>
    <cellStyle name="Percent 8 2 4 3 8" xfId="42360"/>
    <cellStyle name="Percent 8 2 4 3 8 2" xfId="42361"/>
    <cellStyle name="Percent 8 2 4 3 9" xfId="42362"/>
    <cellStyle name="Percent 8 2 4 4" xfId="42363"/>
    <cellStyle name="Percent 8 2 4 4 2" xfId="42364"/>
    <cellStyle name="Percent 8 2 4 4 2 2" xfId="42365"/>
    <cellStyle name="Percent 8 2 4 4 3" xfId="42366"/>
    <cellStyle name="Percent 8 2 4 4 3 2" xfId="42367"/>
    <cellStyle name="Percent 8 2 4 4 4" xfId="42368"/>
    <cellStyle name="Percent 8 2 4 4 4 2" xfId="42369"/>
    <cellStyle name="Percent 8 2 4 4 5" xfId="42370"/>
    <cellStyle name="Percent 8 2 4 4 6" xfId="42371"/>
    <cellStyle name="Percent 8 2 4 5" xfId="42372"/>
    <cellStyle name="Percent 8 2 4 5 2" xfId="42373"/>
    <cellStyle name="Percent 8 2 4 5 2 2" xfId="42374"/>
    <cellStyle name="Percent 8 2 4 5 3" xfId="42375"/>
    <cellStyle name="Percent 8 2 4 5 3 2" xfId="42376"/>
    <cellStyle name="Percent 8 2 4 5 4" xfId="42377"/>
    <cellStyle name="Percent 8 2 4 5 4 2" xfId="42378"/>
    <cellStyle name="Percent 8 2 4 5 5" xfId="42379"/>
    <cellStyle name="Percent 8 2 4 5 6" xfId="42380"/>
    <cellStyle name="Percent 8 2 4 6" xfId="42381"/>
    <cellStyle name="Percent 8 2 4 6 2" xfId="42382"/>
    <cellStyle name="Percent 8 2 4 6 2 2" xfId="42383"/>
    <cellStyle name="Percent 8 2 4 6 3" xfId="42384"/>
    <cellStyle name="Percent 8 2 4 6 3 2" xfId="42385"/>
    <cellStyle name="Percent 8 2 4 6 4" xfId="42386"/>
    <cellStyle name="Percent 8 2 4 6 4 2" xfId="42387"/>
    <cellStyle name="Percent 8 2 4 6 5" xfId="42388"/>
    <cellStyle name="Percent 8 2 4 6 6" xfId="42389"/>
    <cellStyle name="Percent 8 2 4 7" xfId="42390"/>
    <cellStyle name="Percent 8 2 4 7 2" xfId="42391"/>
    <cellStyle name="Percent 8 2 4 7 2 2" xfId="42392"/>
    <cellStyle name="Percent 8 2 4 7 3" xfId="42393"/>
    <cellStyle name="Percent 8 2 4 7 3 2" xfId="42394"/>
    <cellStyle name="Percent 8 2 4 7 4" xfId="42395"/>
    <cellStyle name="Percent 8 2 4 7 5" xfId="42396"/>
    <cellStyle name="Percent 8 2 4 8" xfId="42397"/>
    <cellStyle name="Percent 8 2 4 8 2" xfId="42398"/>
    <cellStyle name="Percent 8 2 4 9" xfId="42399"/>
    <cellStyle name="Percent 8 2 4 9 2" xfId="42400"/>
    <cellStyle name="Percent 8 2 5" xfId="42401"/>
    <cellStyle name="Percent 8 2 5 10" xfId="42402"/>
    <cellStyle name="Percent 8 2 5 11" xfId="42403"/>
    <cellStyle name="Percent 8 2 5 2" xfId="42404"/>
    <cellStyle name="Percent 8 2 5 2 2" xfId="42405"/>
    <cellStyle name="Percent 8 2 5 2 2 2" xfId="42406"/>
    <cellStyle name="Percent 8 2 5 2 3" xfId="42407"/>
    <cellStyle name="Percent 8 2 5 2 3 2" xfId="42408"/>
    <cellStyle name="Percent 8 2 5 2 4" xfId="42409"/>
    <cellStyle name="Percent 8 2 5 2 4 2" xfId="42410"/>
    <cellStyle name="Percent 8 2 5 2 5" xfId="42411"/>
    <cellStyle name="Percent 8 2 5 2 6" xfId="42412"/>
    <cellStyle name="Percent 8 2 5 3" xfId="42413"/>
    <cellStyle name="Percent 8 2 5 3 2" xfId="42414"/>
    <cellStyle name="Percent 8 2 5 3 2 2" xfId="42415"/>
    <cellStyle name="Percent 8 2 5 3 3" xfId="42416"/>
    <cellStyle name="Percent 8 2 5 3 3 2" xfId="42417"/>
    <cellStyle name="Percent 8 2 5 3 4" xfId="42418"/>
    <cellStyle name="Percent 8 2 5 3 4 2" xfId="42419"/>
    <cellStyle name="Percent 8 2 5 3 5" xfId="42420"/>
    <cellStyle name="Percent 8 2 5 3 6" xfId="42421"/>
    <cellStyle name="Percent 8 2 5 4" xfId="42422"/>
    <cellStyle name="Percent 8 2 5 4 2" xfId="42423"/>
    <cellStyle name="Percent 8 2 5 4 2 2" xfId="42424"/>
    <cellStyle name="Percent 8 2 5 4 3" xfId="42425"/>
    <cellStyle name="Percent 8 2 5 4 3 2" xfId="42426"/>
    <cellStyle name="Percent 8 2 5 4 4" xfId="42427"/>
    <cellStyle name="Percent 8 2 5 4 4 2" xfId="42428"/>
    <cellStyle name="Percent 8 2 5 4 5" xfId="42429"/>
    <cellStyle name="Percent 8 2 5 4 6" xfId="42430"/>
    <cellStyle name="Percent 8 2 5 5" xfId="42431"/>
    <cellStyle name="Percent 8 2 5 5 2" xfId="42432"/>
    <cellStyle name="Percent 8 2 5 5 2 2" xfId="42433"/>
    <cellStyle name="Percent 8 2 5 5 3" xfId="42434"/>
    <cellStyle name="Percent 8 2 5 5 3 2" xfId="42435"/>
    <cellStyle name="Percent 8 2 5 5 4" xfId="42436"/>
    <cellStyle name="Percent 8 2 5 5 4 2" xfId="42437"/>
    <cellStyle name="Percent 8 2 5 5 5" xfId="42438"/>
    <cellStyle name="Percent 8 2 5 5 6" xfId="42439"/>
    <cellStyle name="Percent 8 2 5 6" xfId="42440"/>
    <cellStyle name="Percent 8 2 5 6 2" xfId="42441"/>
    <cellStyle name="Percent 8 2 5 6 2 2" xfId="42442"/>
    <cellStyle name="Percent 8 2 5 6 3" xfId="42443"/>
    <cellStyle name="Percent 8 2 5 6 3 2" xfId="42444"/>
    <cellStyle name="Percent 8 2 5 6 4" xfId="42445"/>
    <cellStyle name="Percent 8 2 5 6 5" xfId="42446"/>
    <cellStyle name="Percent 8 2 5 7" xfId="42447"/>
    <cellStyle name="Percent 8 2 5 7 2" xfId="42448"/>
    <cellStyle name="Percent 8 2 5 8" xfId="42449"/>
    <cellStyle name="Percent 8 2 5 8 2" xfId="42450"/>
    <cellStyle name="Percent 8 2 5 9" xfId="42451"/>
    <cellStyle name="Percent 8 2 5 9 2" xfId="42452"/>
    <cellStyle name="Percent 8 2 6" xfId="42453"/>
    <cellStyle name="Percent 8 2 6 10" xfId="42454"/>
    <cellStyle name="Percent 8 2 6 2" xfId="42455"/>
    <cellStyle name="Percent 8 2 6 2 2" xfId="42456"/>
    <cellStyle name="Percent 8 2 6 2 2 2" xfId="42457"/>
    <cellStyle name="Percent 8 2 6 2 3" xfId="42458"/>
    <cellStyle name="Percent 8 2 6 2 3 2" xfId="42459"/>
    <cellStyle name="Percent 8 2 6 2 4" xfId="42460"/>
    <cellStyle name="Percent 8 2 6 2 4 2" xfId="42461"/>
    <cellStyle name="Percent 8 2 6 2 5" xfId="42462"/>
    <cellStyle name="Percent 8 2 6 2 6" xfId="42463"/>
    <cellStyle name="Percent 8 2 6 3" xfId="42464"/>
    <cellStyle name="Percent 8 2 6 3 2" xfId="42465"/>
    <cellStyle name="Percent 8 2 6 3 2 2" xfId="42466"/>
    <cellStyle name="Percent 8 2 6 3 3" xfId="42467"/>
    <cellStyle name="Percent 8 2 6 3 3 2" xfId="42468"/>
    <cellStyle name="Percent 8 2 6 3 4" xfId="42469"/>
    <cellStyle name="Percent 8 2 6 3 4 2" xfId="42470"/>
    <cellStyle name="Percent 8 2 6 3 5" xfId="42471"/>
    <cellStyle name="Percent 8 2 6 3 6" xfId="42472"/>
    <cellStyle name="Percent 8 2 6 4" xfId="42473"/>
    <cellStyle name="Percent 8 2 6 4 2" xfId="42474"/>
    <cellStyle name="Percent 8 2 6 4 2 2" xfId="42475"/>
    <cellStyle name="Percent 8 2 6 4 3" xfId="42476"/>
    <cellStyle name="Percent 8 2 6 4 3 2" xfId="42477"/>
    <cellStyle name="Percent 8 2 6 4 4" xfId="42478"/>
    <cellStyle name="Percent 8 2 6 4 4 2" xfId="42479"/>
    <cellStyle name="Percent 8 2 6 4 5" xfId="42480"/>
    <cellStyle name="Percent 8 2 6 4 6" xfId="42481"/>
    <cellStyle name="Percent 8 2 6 5" xfId="42482"/>
    <cellStyle name="Percent 8 2 6 5 2" xfId="42483"/>
    <cellStyle name="Percent 8 2 6 5 2 2" xfId="42484"/>
    <cellStyle name="Percent 8 2 6 5 3" xfId="42485"/>
    <cellStyle name="Percent 8 2 6 5 3 2" xfId="42486"/>
    <cellStyle name="Percent 8 2 6 5 4" xfId="42487"/>
    <cellStyle name="Percent 8 2 6 5 5" xfId="42488"/>
    <cellStyle name="Percent 8 2 6 6" xfId="42489"/>
    <cellStyle name="Percent 8 2 6 6 2" xfId="42490"/>
    <cellStyle name="Percent 8 2 6 7" xfId="42491"/>
    <cellStyle name="Percent 8 2 6 7 2" xfId="42492"/>
    <cellStyle name="Percent 8 2 6 8" xfId="42493"/>
    <cellStyle name="Percent 8 2 6 8 2" xfId="42494"/>
    <cellStyle name="Percent 8 2 6 9" xfId="42495"/>
    <cellStyle name="Percent 8 2 7" xfId="42496"/>
    <cellStyle name="Percent 8 2 7 10" xfId="42497"/>
    <cellStyle name="Percent 8 2 7 2" xfId="42498"/>
    <cellStyle name="Percent 8 2 7 2 2" xfId="42499"/>
    <cellStyle name="Percent 8 2 7 2 2 2" xfId="42500"/>
    <cellStyle name="Percent 8 2 7 2 3" xfId="42501"/>
    <cellStyle name="Percent 8 2 7 2 3 2" xfId="42502"/>
    <cellStyle name="Percent 8 2 7 2 4" xfId="42503"/>
    <cellStyle name="Percent 8 2 7 2 4 2" xfId="42504"/>
    <cellStyle name="Percent 8 2 7 2 5" xfId="42505"/>
    <cellStyle name="Percent 8 2 7 2 6" xfId="42506"/>
    <cellStyle name="Percent 8 2 7 3" xfId="42507"/>
    <cellStyle name="Percent 8 2 7 3 2" xfId="42508"/>
    <cellStyle name="Percent 8 2 7 3 2 2" xfId="42509"/>
    <cellStyle name="Percent 8 2 7 3 3" xfId="42510"/>
    <cellStyle name="Percent 8 2 7 3 3 2" xfId="42511"/>
    <cellStyle name="Percent 8 2 7 3 4" xfId="42512"/>
    <cellStyle name="Percent 8 2 7 3 4 2" xfId="42513"/>
    <cellStyle name="Percent 8 2 7 3 5" xfId="42514"/>
    <cellStyle name="Percent 8 2 7 3 6" xfId="42515"/>
    <cellStyle name="Percent 8 2 7 4" xfId="42516"/>
    <cellStyle name="Percent 8 2 7 4 2" xfId="42517"/>
    <cellStyle name="Percent 8 2 7 4 2 2" xfId="42518"/>
    <cellStyle name="Percent 8 2 7 4 3" xfId="42519"/>
    <cellStyle name="Percent 8 2 7 4 3 2" xfId="42520"/>
    <cellStyle name="Percent 8 2 7 4 4" xfId="42521"/>
    <cellStyle name="Percent 8 2 7 4 4 2" xfId="42522"/>
    <cellStyle name="Percent 8 2 7 4 5" xfId="42523"/>
    <cellStyle name="Percent 8 2 7 4 6" xfId="42524"/>
    <cellStyle name="Percent 8 2 7 5" xfId="42525"/>
    <cellStyle name="Percent 8 2 7 5 2" xfId="42526"/>
    <cellStyle name="Percent 8 2 7 5 2 2" xfId="42527"/>
    <cellStyle name="Percent 8 2 7 5 3" xfId="42528"/>
    <cellStyle name="Percent 8 2 7 5 3 2" xfId="42529"/>
    <cellStyle name="Percent 8 2 7 5 4" xfId="42530"/>
    <cellStyle name="Percent 8 2 7 5 5" xfId="42531"/>
    <cellStyle name="Percent 8 2 7 6" xfId="42532"/>
    <cellStyle name="Percent 8 2 7 6 2" xfId="42533"/>
    <cellStyle name="Percent 8 2 7 7" xfId="42534"/>
    <cellStyle name="Percent 8 2 7 7 2" xfId="42535"/>
    <cellStyle name="Percent 8 2 7 8" xfId="42536"/>
    <cellStyle name="Percent 8 2 7 8 2" xfId="42537"/>
    <cellStyle name="Percent 8 2 7 9" xfId="42538"/>
    <cellStyle name="Percent 8 2 8" xfId="42539"/>
    <cellStyle name="Percent 8 2 8 2" xfId="42540"/>
    <cellStyle name="Percent 8 2 8 2 2" xfId="42541"/>
    <cellStyle name="Percent 8 2 8 3" xfId="42542"/>
    <cellStyle name="Percent 8 2 8 3 2" xfId="42543"/>
    <cellStyle name="Percent 8 2 8 4" xfId="42544"/>
    <cellStyle name="Percent 8 2 8 4 2" xfId="42545"/>
    <cellStyle name="Percent 8 2 8 5" xfId="42546"/>
    <cellStyle name="Percent 8 2 8 6" xfId="42547"/>
    <cellStyle name="Percent 8 2 9" xfId="42548"/>
    <cellStyle name="Percent 8 2 9 2" xfId="42549"/>
    <cellStyle name="Percent 8 2 9 2 2" xfId="42550"/>
    <cellStyle name="Percent 8 2 9 3" xfId="42551"/>
    <cellStyle name="Percent 8 2 9 3 2" xfId="42552"/>
    <cellStyle name="Percent 8 2 9 4" xfId="42553"/>
    <cellStyle name="Percent 8 2 9 4 2" xfId="42554"/>
    <cellStyle name="Percent 8 2 9 5" xfId="42555"/>
    <cellStyle name="Percent 8 2 9 6" xfId="42556"/>
    <cellStyle name="Percent 8 20" xfId="42557"/>
    <cellStyle name="Percent 8 3" xfId="42558"/>
    <cellStyle name="Percent 8 3 10" xfId="42559"/>
    <cellStyle name="Percent 8 3 10 2" xfId="42560"/>
    <cellStyle name="Percent 8 3 10 2 2" xfId="42561"/>
    <cellStyle name="Percent 8 3 10 3" xfId="42562"/>
    <cellStyle name="Percent 8 3 10 3 2" xfId="42563"/>
    <cellStyle name="Percent 8 3 10 4" xfId="42564"/>
    <cellStyle name="Percent 8 3 10 4 2" xfId="42565"/>
    <cellStyle name="Percent 8 3 10 5" xfId="42566"/>
    <cellStyle name="Percent 8 3 10 6" xfId="42567"/>
    <cellStyle name="Percent 8 3 11" xfId="42568"/>
    <cellStyle name="Percent 8 3 11 2" xfId="42569"/>
    <cellStyle name="Percent 8 3 11 2 2" xfId="42570"/>
    <cellStyle name="Percent 8 3 11 3" xfId="42571"/>
    <cellStyle name="Percent 8 3 11 3 2" xfId="42572"/>
    <cellStyle name="Percent 8 3 11 4" xfId="42573"/>
    <cellStyle name="Percent 8 3 11 5" xfId="42574"/>
    <cellStyle name="Percent 8 3 12" xfId="42575"/>
    <cellStyle name="Percent 8 3 12 2" xfId="42576"/>
    <cellStyle name="Percent 8 3 13" xfId="42577"/>
    <cellStyle name="Percent 8 3 13 2" xfId="42578"/>
    <cellStyle name="Percent 8 3 14" xfId="42579"/>
    <cellStyle name="Percent 8 3 14 2" xfId="42580"/>
    <cellStyle name="Percent 8 3 15" xfId="42581"/>
    <cellStyle name="Percent 8 3 16" xfId="42582"/>
    <cellStyle name="Percent 8 3 2" xfId="42583"/>
    <cellStyle name="Percent 8 3 2 10" xfId="42584"/>
    <cellStyle name="Percent 8 3 2 10 2" xfId="42585"/>
    <cellStyle name="Percent 8 3 2 11" xfId="42586"/>
    <cellStyle name="Percent 8 3 2 11 2" xfId="42587"/>
    <cellStyle name="Percent 8 3 2 12" xfId="42588"/>
    <cellStyle name="Percent 8 3 2 13" xfId="42589"/>
    <cellStyle name="Percent 8 3 2 2" xfId="42590"/>
    <cellStyle name="Percent 8 3 2 2 10" xfId="42591"/>
    <cellStyle name="Percent 8 3 2 2 11" xfId="42592"/>
    <cellStyle name="Percent 8 3 2 2 2" xfId="42593"/>
    <cellStyle name="Percent 8 3 2 2 2 2" xfId="42594"/>
    <cellStyle name="Percent 8 3 2 2 2 2 2" xfId="42595"/>
    <cellStyle name="Percent 8 3 2 2 2 3" xfId="42596"/>
    <cellStyle name="Percent 8 3 2 2 2 3 2" xfId="42597"/>
    <cellStyle name="Percent 8 3 2 2 2 4" xfId="42598"/>
    <cellStyle name="Percent 8 3 2 2 2 4 2" xfId="42599"/>
    <cellStyle name="Percent 8 3 2 2 2 5" xfId="42600"/>
    <cellStyle name="Percent 8 3 2 2 2 6" xfId="42601"/>
    <cellStyle name="Percent 8 3 2 2 3" xfId="42602"/>
    <cellStyle name="Percent 8 3 2 2 3 2" xfId="42603"/>
    <cellStyle name="Percent 8 3 2 2 3 2 2" xfId="42604"/>
    <cellStyle name="Percent 8 3 2 2 3 3" xfId="42605"/>
    <cellStyle name="Percent 8 3 2 2 3 3 2" xfId="42606"/>
    <cellStyle name="Percent 8 3 2 2 3 4" xfId="42607"/>
    <cellStyle name="Percent 8 3 2 2 3 4 2" xfId="42608"/>
    <cellStyle name="Percent 8 3 2 2 3 5" xfId="42609"/>
    <cellStyle name="Percent 8 3 2 2 3 6" xfId="42610"/>
    <cellStyle name="Percent 8 3 2 2 4" xfId="42611"/>
    <cellStyle name="Percent 8 3 2 2 4 2" xfId="42612"/>
    <cellStyle name="Percent 8 3 2 2 4 2 2" xfId="42613"/>
    <cellStyle name="Percent 8 3 2 2 4 3" xfId="42614"/>
    <cellStyle name="Percent 8 3 2 2 4 3 2" xfId="42615"/>
    <cellStyle name="Percent 8 3 2 2 4 4" xfId="42616"/>
    <cellStyle name="Percent 8 3 2 2 4 4 2" xfId="42617"/>
    <cellStyle name="Percent 8 3 2 2 4 5" xfId="42618"/>
    <cellStyle name="Percent 8 3 2 2 4 6" xfId="42619"/>
    <cellStyle name="Percent 8 3 2 2 5" xfId="42620"/>
    <cellStyle name="Percent 8 3 2 2 5 2" xfId="42621"/>
    <cellStyle name="Percent 8 3 2 2 5 2 2" xfId="42622"/>
    <cellStyle name="Percent 8 3 2 2 5 3" xfId="42623"/>
    <cellStyle name="Percent 8 3 2 2 5 3 2" xfId="42624"/>
    <cellStyle name="Percent 8 3 2 2 5 4" xfId="42625"/>
    <cellStyle name="Percent 8 3 2 2 5 4 2" xfId="42626"/>
    <cellStyle name="Percent 8 3 2 2 5 5" xfId="42627"/>
    <cellStyle name="Percent 8 3 2 2 5 6" xfId="42628"/>
    <cellStyle name="Percent 8 3 2 2 6" xfId="42629"/>
    <cellStyle name="Percent 8 3 2 2 6 2" xfId="42630"/>
    <cellStyle name="Percent 8 3 2 2 6 2 2" xfId="42631"/>
    <cellStyle name="Percent 8 3 2 2 6 3" xfId="42632"/>
    <cellStyle name="Percent 8 3 2 2 6 3 2" xfId="42633"/>
    <cellStyle name="Percent 8 3 2 2 6 4" xfId="42634"/>
    <cellStyle name="Percent 8 3 2 2 6 5" xfId="42635"/>
    <cellStyle name="Percent 8 3 2 2 7" xfId="42636"/>
    <cellStyle name="Percent 8 3 2 2 7 2" xfId="42637"/>
    <cellStyle name="Percent 8 3 2 2 8" xfId="42638"/>
    <cellStyle name="Percent 8 3 2 2 8 2" xfId="42639"/>
    <cellStyle name="Percent 8 3 2 2 9" xfId="42640"/>
    <cellStyle name="Percent 8 3 2 2 9 2" xfId="42641"/>
    <cellStyle name="Percent 8 3 2 3" xfId="42642"/>
    <cellStyle name="Percent 8 3 2 3 10" xfId="42643"/>
    <cellStyle name="Percent 8 3 2 3 2" xfId="42644"/>
    <cellStyle name="Percent 8 3 2 3 2 2" xfId="42645"/>
    <cellStyle name="Percent 8 3 2 3 2 2 2" xfId="42646"/>
    <cellStyle name="Percent 8 3 2 3 2 3" xfId="42647"/>
    <cellStyle name="Percent 8 3 2 3 2 3 2" xfId="42648"/>
    <cellStyle name="Percent 8 3 2 3 2 4" xfId="42649"/>
    <cellStyle name="Percent 8 3 2 3 2 4 2" xfId="42650"/>
    <cellStyle name="Percent 8 3 2 3 2 5" xfId="42651"/>
    <cellStyle name="Percent 8 3 2 3 2 6" xfId="42652"/>
    <cellStyle name="Percent 8 3 2 3 3" xfId="42653"/>
    <cellStyle name="Percent 8 3 2 3 3 2" xfId="42654"/>
    <cellStyle name="Percent 8 3 2 3 3 2 2" xfId="42655"/>
    <cellStyle name="Percent 8 3 2 3 3 3" xfId="42656"/>
    <cellStyle name="Percent 8 3 2 3 3 3 2" xfId="42657"/>
    <cellStyle name="Percent 8 3 2 3 3 4" xfId="42658"/>
    <cellStyle name="Percent 8 3 2 3 3 4 2" xfId="42659"/>
    <cellStyle name="Percent 8 3 2 3 3 5" xfId="42660"/>
    <cellStyle name="Percent 8 3 2 3 3 6" xfId="42661"/>
    <cellStyle name="Percent 8 3 2 3 4" xfId="42662"/>
    <cellStyle name="Percent 8 3 2 3 4 2" xfId="42663"/>
    <cellStyle name="Percent 8 3 2 3 4 2 2" xfId="42664"/>
    <cellStyle name="Percent 8 3 2 3 4 3" xfId="42665"/>
    <cellStyle name="Percent 8 3 2 3 4 3 2" xfId="42666"/>
    <cellStyle name="Percent 8 3 2 3 4 4" xfId="42667"/>
    <cellStyle name="Percent 8 3 2 3 4 4 2" xfId="42668"/>
    <cellStyle name="Percent 8 3 2 3 4 5" xfId="42669"/>
    <cellStyle name="Percent 8 3 2 3 4 6" xfId="42670"/>
    <cellStyle name="Percent 8 3 2 3 5" xfId="42671"/>
    <cellStyle name="Percent 8 3 2 3 5 2" xfId="42672"/>
    <cellStyle name="Percent 8 3 2 3 5 2 2" xfId="42673"/>
    <cellStyle name="Percent 8 3 2 3 5 3" xfId="42674"/>
    <cellStyle name="Percent 8 3 2 3 5 3 2" xfId="42675"/>
    <cellStyle name="Percent 8 3 2 3 5 4" xfId="42676"/>
    <cellStyle name="Percent 8 3 2 3 5 5" xfId="42677"/>
    <cellStyle name="Percent 8 3 2 3 6" xfId="42678"/>
    <cellStyle name="Percent 8 3 2 3 6 2" xfId="42679"/>
    <cellStyle name="Percent 8 3 2 3 7" xfId="42680"/>
    <cellStyle name="Percent 8 3 2 3 7 2" xfId="42681"/>
    <cellStyle name="Percent 8 3 2 3 8" xfId="42682"/>
    <cellStyle name="Percent 8 3 2 3 8 2" xfId="42683"/>
    <cellStyle name="Percent 8 3 2 3 9" xfId="42684"/>
    <cellStyle name="Percent 8 3 2 4" xfId="42685"/>
    <cellStyle name="Percent 8 3 2 4 10" xfId="42686"/>
    <cellStyle name="Percent 8 3 2 4 2" xfId="42687"/>
    <cellStyle name="Percent 8 3 2 4 2 2" xfId="42688"/>
    <cellStyle name="Percent 8 3 2 4 2 2 2" xfId="42689"/>
    <cellStyle name="Percent 8 3 2 4 2 3" xfId="42690"/>
    <cellStyle name="Percent 8 3 2 4 2 3 2" xfId="42691"/>
    <cellStyle name="Percent 8 3 2 4 2 4" xfId="42692"/>
    <cellStyle name="Percent 8 3 2 4 2 4 2" xfId="42693"/>
    <cellStyle name="Percent 8 3 2 4 2 5" xfId="42694"/>
    <cellStyle name="Percent 8 3 2 4 2 6" xfId="42695"/>
    <cellStyle name="Percent 8 3 2 4 3" xfId="42696"/>
    <cellStyle name="Percent 8 3 2 4 3 2" xfId="42697"/>
    <cellStyle name="Percent 8 3 2 4 3 2 2" xfId="42698"/>
    <cellStyle name="Percent 8 3 2 4 3 3" xfId="42699"/>
    <cellStyle name="Percent 8 3 2 4 3 3 2" xfId="42700"/>
    <cellStyle name="Percent 8 3 2 4 3 4" xfId="42701"/>
    <cellStyle name="Percent 8 3 2 4 3 4 2" xfId="42702"/>
    <cellStyle name="Percent 8 3 2 4 3 5" xfId="42703"/>
    <cellStyle name="Percent 8 3 2 4 3 6" xfId="42704"/>
    <cellStyle name="Percent 8 3 2 4 4" xfId="42705"/>
    <cellStyle name="Percent 8 3 2 4 4 2" xfId="42706"/>
    <cellStyle name="Percent 8 3 2 4 4 2 2" xfId="42707"/>
    <cellStyle name="Percent 8 3 2 4 4 3" xfId="42708"/>
    <cellStyle name="Percent 8 3 2 4 4 3 2" xfId="42709"/>
    <cellStyle name="Percent 8 3 2 4 4 4" xfId="42710"/>
    <cellStyle name="Percent 8 3 2 4 4 4 2" xfId="42711"/>
    <cellStyle name="Percent 8 3 2 4 4 5" xfId="42712"/>
    <cellStyle name="Percent 8 3 2 4 4 6" xfId="42713"/>
    <cellStyle name="Percent 8 3 2 4 5" xfId="42714"/>
    <cellStyle name="Percent 8 3 2 4 5 2" xfId="42715"/>
    <cellStyle name="Percent 8 3 2 4 5 2 2" xfId="42716"/>
    <cellStyle name="Percent 8 3 2 4 5 3" xfId="42717"/>
    <cellStyle name="Percent 8 3 2 4 5 3 2" xfId="42718"/>
    <cellStyle name="Percent 8 3 2 4 5 4" xfId="42719"/>
    <cellStyle name="Percent 8 3 2 4 5 5" xfId="42720"/>
    <cellStyle name="Percent 8 3 2 4 6" xfId="42721"/>
    <cellStyle name="Percent 8 3 2 4 6 2" xfId="42722"/>
    <cellStyle name="Percent 8 3 2 4 7" xfId="42723"/>
    <cellStyle name="Percent 8 3 2 4 7 2" xfId="42724"/>
    <cellStyle name="Percent 8 3 2 4 8" xfId="42725"/>
    <cellStyle name="Percent 8 3 2 4 8 2" xfId="42726"/>
    <cellStyle name="Percent 8 3 2 4 9" xfId="42727"/>
    <cellStyle name="Percent 8 3 2 5" xfId="42728"/>
    <cellStyle name="Percent 8 3 2 5 2" xfId="42729"/>
    <cellStyle name="Percent 8 3 2 5 2 2" xfId="42730"/>
    <cellStyle name="Percent 8 3 2 5 3" xfId="42731"/>
    <cellStyle name="Percent 8 3 2 5 3 2" xfId="42732"/>
    <cellStyle name="Percent 8 3 2 5 4" xfId="42733"/>
    <cellStyle name="Percent 8 3 2 5 4 2" xfId="42734"/>
    <cellStyle name="Percent 8 3 2 5 5" xfId="42735"/>
    <cellStyle name="Percent 8 3 2 5 6" xfId="42736"/>
    <cellStyle name="Percent 8 3 2 6" xfId="42737"/>
    <cellStyle name="Percent 8 3 2 6 2" xfId="42738"/>
    <cellStyle name="Percent 8 3 2 6 2 2" xfId="42739"/>
    <cellStyle name="Percent 8 3 2 6 3" xfId="42740"/>
    <cellStyle name="Percent 8 3 2 6 3 2" xfId="42741"/>
    <cellStyle name="Percent 8 3 2 6 4" xfId="42742"/>
    <cellStyle name="Percent 8 3 2 6 4 2" xfId="42743"/>
    <cellStyle name="Percent 8 3 2 6 5" xfId="42744"/>
    <cellStyle name="Percent 8 3 2 6 6" xfId="42745"/>
    <cellStyle name="Percent 8 3 2 7" xfId="42746"/>
    <cellStyle name="Percent 8 3 2 7 2" xfId="42747"/>
    <cellStyle name="Percent 8 3 2 7 2 2" xfId="42748"/>
    <cellStyle name="Percent 8 3 2 7 3" xfId="42749"/>
    <cellStyle name="Percent 8 3 2 7 3 2" xfId="42750"/>
    <cellStyle name="Percent 8 3 2 7 4" xfId="42751"/>
    <cellStyle name="Percent 8 3 2 7 4 2" xfId="42752"/>
    <cellStyle name="Percent 8 3 2 7 5" xfId="42753"/>
    <cellStyle name="Percent 8 3 2 7 6" xfId="42754"/>
    <cellStyle name="Percent 8 3 2 8" xfId="42755"/>
    <cellStyle name="Percent 8 3 2 8 2" xfId="42756"/>
    <cellStyle name="Percent 8 3 2 8 2 2" xfId="42757"/>
    <cellStyle name="Percent 8 3 2 8 3" xfId="42758"/>
    <cellStyle name="Percent 8 3 2 8 3 2" xfId="42759"/>
    <cellStyle name="Percent 8 3 2 8 4" xfId="42760"/>
    <cellStyle name="Percent 8 3 2 8 5" xfId="42761"/>
    <cellStyle name="Percent 8 3 2 9" xfId="42762"/>
    <cellStyle name="Percent 8 3 2 9 2" xfId="42763"/>
    <cellStyle name="Percent 8 3 3" xfId="42764"/>
    <cellStyle name="Percent 8 3 3 10" xfId="42765"/>
    <cellStyle name="Percent 8 3 3 10 2" xfId="42766"/>
    <cellStyle name="Percent 8 3 3 11" xfId="42767"/>
    <cellStyle name="Percent 8 3 3 11 2" xfId="42768"/>
    <cellStyle name="Percent 8 3 3 12" xfId="42769"/>
    <cellStyle name="Percent 8 3 3 13" xfId="42770"/>
    <cellStyle name="Percent 8 3 3 2" xfId="42771"/>
    <cellStyle name="Percent 8 3 3 2 10" xfId="42772"/>
    <cellStyle name="Percent 8 3 3 2 11" xfId="42773"/>
    <cellStyle name="Percent 8 3 3 2 2" xfId="42774"/>
    <cellStyle name="Percent 8 3 3 2 2 2" xfId="42775"/>
    <cellStyle name="Percent 8 3 3 2 2 2 2" xfId="42776"/>
    <cellStyle name="Percent 8 3 3 2 2 3" xfId="42777"/>
    <cellStyle name="Percent 8 3 3 2 2 3 2" xfId="42778"/>
    <cellStyle name="Percent 8 3 3 2 2 4" xfId="42779"/>
    <cellStyle name="Percent 8 3 3 2 2 4 2" xfId="42780"/>
    <cellStyle name="Percent 8 3 3 2 2 5" xfId="42781"/>
    <cellStyle name="Percent 8 3 3 2 2 6" xfId="42782"/>
    <cellStyle name="Percent 8 3 3 2 3" xfId="42783"/>
    <cellStyle name="Percent 8 3 3 2 3 2" xfId="42784"/>
    <cellStyle name="Percent 8 3 3 2 3 2 2" xfId="42785"/>
    <cellStyle name="Percent 8 3 3 2 3 3" xfId="42786"/>
    <cellStyle name="Percent 8 3 3 2 3 3 2" xfId="42787"/>
    <cellStyle name="Percent 8 3 3 2 3 4" xfId="42788"/>
    <cellStyle name="Percent 8 3 3 2 3 4 2" xfId="42789"/>
    <cellStyle name="Percent 8 3 3 2 3 5" xfId="42790"/>
    <cellStyle name="Percent 8 3 3 2 3 6" xfId="42791"/>
    <cellStyle name="Percent 8 3 3 2 4" xfId="42792"/>
    <cellStyle name="Percent 8 3 3 2 4 2" xfId="42793"/>
    <cellStyle name="Percent 8 3 3 2 4 2 2" xfId="42794"/>
    <cellStyle name="Percent 8 3 3 2 4 3" xfId="42795"/>
    <cellStyle name="Percent 8 3 3 2 4 3 2" xfId="42796"/>
    <cellStyle name="Percent 8 3 3 2 4 4" xfId="42797"/>
    <cellStyle name="Percent 8 3 3 2 4 4 2" xfId="42798"/>
    <cellStyle name="Percent 8 3 3 2 4 5" xfId="42799"/>
    <cellStyle name="Percent 8 3 3 2 4 6" xfId="42800"/>
    <cellStyle name="Percent 8 3 3 2 5" xfId="42801"/>
    <cellStyle name="Percent 8 3 3 2 5 2" xfId="42802"/>
    <cellStyle name="Percent 8 3 3 2 5 2 2" xfId="42803"/>
    <cellStyle name="Percent 8 3 3 2 5 3" xfId="42804"/>
    <cellStyle name="Percent 8 3 3 2 5 3 2" xfId="42805"/>
    <cellStyle name="Percent 8 3 3 2 5 4" xfId="42806"/>
    <cellStyle name="Percent 8 3 3 2 5 4 2" xfId="42807"/>
    <cellStyle name="Percent 8 3 3 2 5 5" xfId="42808"/>
    <cellStyle name="Percent 8 3 3 2 5 6" xfId="42809"/>
    <cellStyle name="Percent 8 3 3 2 6" xfId="42810"/>
    <cellStyle name="Percent 8 3 3 2 6 2" xfId="42811"/>
    <cellStyle name="Percent 8 3 3 2 6 2 2" xfId="42812"/>
    <cellStyle name="Percent 8 3 3 2 6 3" xfId="42813"/>
    <cellStyle name="Percent 8 3 3 2 6 3 2" xfId="42814"/>
    <cellStyle name="Percent 8 3 3 2 6 4" xfId="42815"/>
    <cellStyle name="Percent 8 3 3 2 6 5" xfId="42816"/>
    <cellStyle name="Percent 8 3 3 2 7" xfId="42817"/>
    <cellStyle name="Percent 8 3 3 2 7 2" xfId="42818"/>
    <cellStyle name="Percent 8 3 3 2 8" xfId="42819"/>
    <cellStyle name="Percent 8 3 3 2 8 2" xfId="42820"/>
    <cellStyle name="Percent 8 3 3 2 9" xfId="42821"/>
    <cellStyle name="Percent 8 3 3 2 9 2" xfId="42822"/>
    <cellStyle name="Percent 8 3 3 3" xfId="42823"/>
    <cellStyle name="Percent 8 3 3 3 10" xfId="42824"/>
    <cellStyle name="Percent 8 3 3 3 2" xfId="42825"/>
    <cellStyle name="Percent 8 3 3 3 2 2" xfId="42826"/>
    <cellStyle name="Percent 8 3 3 3 2 2 2" xfId="42827"/>
    <cellStyle name="Percent 8 3 3 3 2 3" xfId="42828"/>
    <cellStyle name="Percent 8 3 3 3 2 3 2" xfId="42829"/>
    <cellStyle name="Percent 8 3 3 3 2 4" xfId="42830"/>
    <cellStyle name="Percent 8 3 3 3 2 4 2" xfId="42831"/>
    <cellStyle name="Percent 8 3 3 3 2 5" xfId="42832"/>
    <cellStyle name="Percent 8 3 3 3 2 6" xfId="42833"/>
    <cellStyle name="Percent 8 3 3 3 3" xfId="42834"/>
    <cellStyle name="Percent 8 3 3 3 3 2" xfId="42835"/>
    <cellStyle name="Percent 8 3 3 3 3 2 2" xfId="42836"/>
    <cellStyle name="Percent 8 3 3 3 3 3" xfId="42837"/>
    <cellStyle name="Percent 8 3 3 3 3 3 2" xfId="42838"/>
    <cellStyle name="Percent 8 3 3 3 3 4" xfId="42839"/>
    <cellStyle name="Percent 8 3 3 3 3 4 2" xfId="42840"/>
    <cellStyle name="Percent 8 3 3 3 3 5" xfId="42841"/>
    <cellStyle name="Percent 8 3 3 3 3 6" xfId="42842"/>
    <cellStyle name="Percent 8 3 3 3 4" xfId="42843"/>
    <cellStyle name="Percent 8 3 3 3 4 2" xfId="42844"/>
    <cellStyle name="Percent 8 3 3 3 4 2 2" xfId="42845"/>
    <cellStyle name="Percent 8 3 3 3 4 3" xfId="42846"/>
    <cellStyle name="Percent 8 3 3 3 4 3 2" xfId="42847"/>
    <cellStyle name="Percent 8 3 3 3 4 4" xfId="42848"/>
    <cellStyle name="Percent 8 3 3 3 4 4 2" xfId="42849"/>
    <cellStyle name="Percent 8 3 3 3 4 5" xfId="42850"/>
    <cellStyle name="Percent 8 3 3 3 4 6" xfId="42851"/>
    <cellStyle name="Percent 8 3 3 3 5" xfId="42852"/>
    <cellStyle name="Percent 8 3 3 3 5 2" xfId="42853"/>
    <cellStyle name="Percent 8 3 3 3 5 2 2" xfId="42854"/>
    <cellStyle name="Percent 8 3 3 3 5 3" xfId="42855"/>
    <cellStyle name="Percent 8 3 3 3 5 3 2" xfId="42856"/>
    <cellStyle name="Percent 8 3 3 3 5 4" xfId="42857"/>
    <cellStyle name="Percent 8 3 3 3 5 5" xfId="42858"/>
    <cellStyle name="Percent 8 3 3 3 6" xfId="42859"/>
    <cellStyle name="Percent 8 3 3 3 6 2" xfId="42860"/>
    <cellStyle name="Percent 8 3 3 3 7" xfId="42861"/>
    <cellStyle name="Percent 8 3 3 3 7 2" xfId="42862"/>
    <cellStyle name="Percent 8 3 3 3 8" xfId="42863"/>
    <cellStyle name="Percent 8 3 3 3 8 2" xfId="42864"/>
    <cellStyle name="Percent 8 3 3 3 9" xfId="42865"/>
    <cellStyle name="Percent 8 3 3 4" xfId="42866"/>
    <cellStyle name="Percent 8 3 3 4 10" xfId="42867"/>
    <cellStyle name="Percent 8 3 3 4 2" xfId="42868"/>
    <cellStyle name="Percent 8 3 3 4 2 2" xfId="42869"/>
    <cellStyle name="Percent 8 3 3 4 2 2 2" xfId="42870"/>
    <cellStyle name="Percent 8 3 3 4 2 3" xfId="42871"/>
    <cellStyle name="Percent 8 3 3 4 2 3 2" xfId="42872"/>
    <cellStyle name="Percent 8 3 3 4 2 4" xfId="42873"/>
    <cellStyle name="Percent 8 3 3 4 2 4 2" xfId="42874"/>
    <cellStyle name="Percent 8 3 3 4 2 5" xfId="42875"/>
    <cellStyle name="Percent 8 3 3 4 2 6" xfId="42876"/>
    <cellStyle name="Percent 8 3 3 4 3" xfId="42877"/>
    <cellStyle name="Percent 8 3 3 4 3 2" xfId="42878"/>
    <cellStyle name="Percent 8 3 3 4 3 2 2" xfId="42879"/>
    <cellStyle name="Percent 8 3 3 4 3 3" xfId="42880"/>
    <cellStyle name="Percent 8 3 3 4 3 3 2" xfId="42881"/>
    <cellStyle name="Percent 8 3 3 4 3 4" xfId="42882"/>
    <cellStyle name="Percent 8 3 3 4 3 4 2" xfId="42883"/>
    <cellStyle name="Percent 8 3 3 4 3 5" xfId="42884"/>
    <cellStyle name="Percent 8 3 3 4 3 6" xfId="42885"/>
    <cellStyle name="Percent 8 3 3 4 4" xfId="42886"/>
    <cellStyle name="Percent 8 3 3 4 4 2" xfId="42887"/>
    <cellStyle name="Percent 8 3 3 4 4 2 2" xfId="42888"/>
    <cellStyle name="Percent 8 3 3 4 4 3" xfId="42889"/>
    <cellStyle name="Percent 8 3 3 4 4 3 2" xfId="42890"/>
    <cellStyle name="Percent 8 3 3 4 4 4" xfId="42891"/>
    <cellStyle name="Percent 8 3 3 4 4 4 2" xfId="42892"/>
    <cellStyle name="Percent 8 3 3 4 4 5" xfId="42893"/>
    <cellStyle name="Percent 8 3 3 4 4 6" xfId="42894"/>
    <cellStyle name="Percent 8 3 3 4 5" xfId="42895"/>
    <cellStyle name="Percent 8 3 3 4 5 2" xfId="42896"/>
    <cellStyle name="Percent 8 3 3 4 5 2 2" xfId="42897"/>
    <cellStyle name="Percent 8 3 3 4 5 3" xfId="42898"/>
    <cellStyle name="Percent 8 3 3 4 5 3 2" xfId="42899"/>
    <cellStyle name="Percent 8 3 3 4 5 4" xfId="42900"/>
    <cellStyle name="Percent 8 3 3 4 5 5" xfId="42901"/>
    <cellStyle name="Percent 8 3 3 4 6" xfId="42902"/>
    <cellStyle name="Percent 8 3 3 4 6 2" xfId="42903"/>
    <cellStyle name="Percent 8 3 3 4 7" xfId="42904"/>
    <cellStyle name="Percent 8 3 3 4 7 2" xfId="42905"/>
    <cellStyle name="Percent 8 3 3 4 8" xfId="42906"/>
    <cellStyle name="Percent 8 3 3 4 8 2" xfId="42907"/>
    <cellStyle name="Percent 8 3 3 4 9" xfId="42908"/>
    <cellStyle name="Percent 8 3 3 5" xfId="42909"/>
    <cellStyle name="Percent 8 3 3 5 2" xfId="42910"/>
    <cellStyle name="Percent 8 3 3 5 2 2" xfId="42911"/>
    <cellStyle name="Percent 8 3 3 5 3" xfId="42912"/>
    <cellStyle name="Percent 8 3 3 5 3 2" xfId="42913"/>
    <cellStyle name="Percent 8 3 3 5 4" xfId="42914"/>
    <cellStyle name="Percent 8 3 3 5 4 2" xfId="42915"/>
    <cellStyle name="Percent 8 3 3 5 5" xfId="42916"/>
    <cellStyle name="Percent 8 3 3 5 6" xfId="42917"/>
    <cellStyle name="Percent 8 3 3 6" xfId="42918"/>
    <cellStyle name="Percent 8 3 3 6 2" xfId="42919"/>
    <cellStyle name="Percent 8 3 3 6 2 2" xfId="42920"/>
    <cellStyle name="Percent 8 3 3 6 3" xfId="42921"/>
    <cellStyle name="Percent 8 3 3 6 3 2" xfId="42922"/>
    <cellStyle name="Percent 8 3 3 6 4" xfId="42923"/>
    <cellStyle name="Percent 8 3 3 6 4 2" xfId="42924"/>
    <cellStyle name="Percent 8 3 3 6 5" xfId="42925"/>
    <cellStyle name="Percent 8 3 3 6 6" xfId="42926"/>
    <cellStyle name="Percent 8 3 3 7" xfId="42927"/>
    <cellStyle name="Percent 8 3 3 7 2" xfId="42928"/>
    <cellStyle name="Percent 8 3 3 7 2 2" xfId="42929"/>
    <cellStyle name="Percent 8 3 3 7 3" xfId="42930"/>
    <cellStyle name="Percent 8 3 3 7 3 2" xfId="42931"/>
    <cellStyle name="Percent 8 3 3 7 4" xfId="42932"/>
    <cellStyle name="Percent 8 3 3 7 4 2" xfId="42933"/>
    <cellStyle name="Percent 8 3 3 7 5" xfId="42934"/>
    <cellStyle name="Percent 8 3 3 7 6" xfId="42935"/>
    <cellStyle name="Percent 8 3 3 8" xfId="42936"/>
    <cellStyle name="Percent 8 3 3 8 2" xfId="42937"/>
    <cellStyle name="Percent 8 3 3 8 2 2" xfId="42938"/>
    <cellStyle name="Percent 8 3 3 8 3" xfId="42939"/>
    <cellStyle name="Percent 8 3 3 8 3 2" xfId="42940"/>
    <cellStyle name="Percent 8 3 3 8 4" xfId="42941"/>
    <cellStyle name="Percent 8 3 3 8 5" xfId="42942"/>
    <cellStyle name="Percent 8 3 3 9" xfId="42943"/>
    <cellStyle name="Percent 8 3 3 9 2" xfId="42944"/>
    <cellStyle name="Percent 8 3 4" xfId="42945"/>
    <cellStyle name="Percent 8 3 4 10" xfId="42946"/>
    <cellStyle name="Percent 8 3 4 10 2" xfId="42947"/>
    <cellStyle name="Percent 8 3 4 11" xfId="42948"/>
    <cellStyle name="Percent 8 3 4 12" xfId="42949"/>
    <cellStyle name="Percent 8 3 4 2" xfId="42950"/>
    <cellStyle name="Percent 8 3 4 2 10" xfId="42951"/>
    <cellStyle name="Percent 8 3 4 2 2" xfId="42952"/>
    <cellStyle name="Percent 8 3 4 2 2 2" xfId="42953"/>
    <cellStyle name="Percent 8 3 4 2 2 2 2" xfId="42954"/>
    <cellStyle name="Percent 8 3 4 2 2 3" xfId="42955"/>
    <cellStyle name="Percent 8 3 4 2 2 3 2" xfId="42956"/>
    <cellStyle name="Percent 8 3 4 2 2 4" xfId="42957"/>
    <cellStyle name="Percent 8 3 4 2 2 4 2" xfId="42958"/>
    <cellStyle name="Percent 8 3 4 2 2 5" xfId="42959"/>
    <cellStyle name="Percent 8 3 4 2 2 6" xfId="42960"/>
    <cellStyle name="Percent 8 3 4 2 3" xfId="42961"/>
    <cellStyle name="Percent 8 3 4 2 3 2" xfId="42962"/>
    <cellStyle name="Percent 8 3 4 2 3 2 2" xfId="42963"/>
    <cellStyle name="Percent 8 3 4 2 3 3" xfId="42964"/>
    <cellStyle name="Percent 8 3 4 2 3 3 2" xfId="42965"/>
    <cellStyle name="Percent 8 3 4 2 3 4" xfId="42966"/>
    <cellStyle name="Percent 8 3 4 2 3 4 2" xfId="42967"/>
    <cellStyle name="Percent 8 3 4 2 3 5" xfId="42968"/>
    <cellStyle name="Percent 8 3 4 2 3 6" xfId="42969"/>
    <cellStyle name="Percent 8 3 4 2 4" xfId="42970"/>
    <cellStyle name="Percent 8 3 4 2 4 2" xfId="42971"/>
    <cellStyle name="Percent 8 3 4 2 4 2 2" xfId="42972"/>
    <cellStyle name="Percent 8 3 4 2 4 3" xfId="42973"/>
    <cellStyle name="Percent 8 3 4 2 4 3 2" xfId="42974"/>
    <cellStyle name="Percent 8 3 4 2 4 4" xfId="42975"/>
    <cellStyle name="Percent 8 3 4 2 4 4 2" xfId="42976"/>
    <cellStyle name="Percent 8 3 4 2 4 5" xfId="42977"/>
    <cellStyle name="Percent 8 3 4 2 4 6" xfId="42978"/>
    <cellStyle name="Percent 8 3 4 2 5" xfId="42979"/>
    <cellStyle name="Percent 8 3 4 2 5 2" xfId="42980"/>
    <cellStyle name="Percent 8 3 4 2 5 2 2" xfId="42981"/>
    <cellStyle name="Percent 8 3 4 2 5 3" xfId="42982"/>
    <cellStyle name="Percent 8 3 4 2 5 3 2" xfId="42983"/>
    <cellStyle name="Percent 8 3 4 2 5 4" xfId="42984"/>
    <cellStyle name="Percent 8 3 4 2 5 5" xfId="42985"/>
    <cellStyle name="Percent 8 3 4 2 6" xfId="42986"/>
    <cellStyle name="Percent 8 3 4 2 6 2" xfId="42987"/>
    <cellStyle name="Percent 8 3 4 2 7" xfId="42988"/>
    <cellStyle name="Percent 8 3 4 2 7 2" xfId="42989"/>
    <cellStyle name="Percent 8 3 4 2 8" xfId="42990"/>
    <cellStyle name="Percent 8 3 4 2 8 2" xfId="42991"/>
    <cellStyle name="Percent 8 3 4 2 9" xfId="42992"/>
    <cellStyle name="Percent 8 3 4 3" xfId="42993"/>
    <cellStyle name="Percent 8 3 4 3 10" xfId="42994"/>
    <cellStyle name="Percent 8 3 4 3 2" xfId="42995"/>
    <cellStyle name="Percent 8 3 4 3 2 2" xfId="42996"/>
    <cellStyle name="Percent 8 3 4 3 2 2 2" xfId="42997"/>
    <cellStyle name="Percent 8 3 4 3 2 3" xfId="42998"/>
    <cellStyle name="Percent 8 3 4 3 2 3 2" xfId="42999"/>
    <cellStyle name="Percent 8 3 4 3 2 4" xfId="43000"/>
    <cellStyle name="Percent 8 3 4 3 2 4 2" xfId="43001"/>
    <cellStyle name="Percent 8 3 4 3 2 5" xfId="43002"/>
    <cellStyle name="Percent 8 3 4 3 2 6" xfId="43003"/>
    <cellStyle name="Percent 8 3 4 3 3" xfId="43004"/>
    <cellStyle name="Percent 8 3 4 3 3 2" xfId="43005"/>
    <cellStyle name="Percent 8 3 4 3 3 2 2" xfId="43006"/>
    <cellStyle name="Percent 8 3 4 3 3 3" xfId="43007"/>
    <cellStyle name="Percent 8 3 4 3 3 3 2" xfId="43008"/>
    <cellStyle name="Percent 8 3 4 3 3 4" xfId="43009"/>
    <cellStyle name="Percent 8 3 4 3 3 4 2" xfId="43010"/>
    <cellStyle name="Percent 8 3 4 3 3 5" xfId="43011"/>
    <cellStyle name="Percent 8 3 4 3 3 6" xfId="43012"/>
    <cellStyle name="Percent 8 3 4 3 4" xfId="43013"/>
    <cellStyle name="Percent 8 3 4 3 4 2" xfId="43014"/>
    <cellStyle name="Percent 8 3 4 3 4 2 2" xfId="43015"/>
    <cellStyle name="Percent 8 3 4 3 4 3" xfId="43016"/>
    <cellStyle name="Percent 8 3 4 3 4 3 2" xfId="43017"/>
    <cellStyle name="Percent 8 3 4 3 4 4" xfId="43018"/>
    <cellStyle name="Percent 8 3 4 3 4 4 2" xfId="43019"/>
    <cellStyle name="Percent 8 3 4 3 4 5" xfId="43020"/>
    <cellStyle name="Percent 8 3 4 3 4 6" xfId="43021"/>
    <cellStyle name="Percent 8 3 4 3 5" xfId="43022"/>
    <cellStyle name="Percent 8 3 4 3 5 2" xfId="43023"/>
    <cellStyle name="Percent 8 3 4 3 5 2 2" xfId="43024"/>
    <cellStyle name="Percent 8 3 4 3 5 3" xfId="43025"/>
    <cellStyle name="Percent 8 3 4 3 5 3 2" xfId="43026"/>
    <cellStyle name="Percent 8 3 4 3 5 4" xfId="43027"/>
    <cellStyle name="Percent 8 3 4 3 5 5" xfId="43028"/>
    <cellStyle name="Percent 8 3 4 3 6" xfId="43029"/>
    <cellStyle name="Percent 8 3 4 3 6 2" xfId="43030"/>
    <cellStyle name="Percent 8 3 4 3 7" xfId="43031"/>
    <cellStyle name="Percent 8 3 4 3 7 2" xfId="43032"/>
    <cellStyle name="Percent 8 3 4 3 8" xfId="43033"/>
    <cellStyle name="Percent 8 3 4 3 8 2" xfId="43034"/>
    <cellStyle name="Percent 8 3 4 3 9" xfId="43035"/>
    <cellStyle name="Percent 8 3 4 4" xfId="43036"/>
    <cellStyle name="Percent 8 3 4 4 2" xfId="43037"/>
    <cellStyle name="Percent 8 3 4 4 2 2" xfId="43038"/>
    <cellStyle name="Percent 8 3 4 4 3" xfId="43039"/>
    <cellStyle name="Percent 8 3 4 4 3 2" xfId="43040"/>
    <cellStyle name="Percent 8 3 4 4 4" xfId="43041"/>
    <cellStyle name="Percent 8 3 4 4 4 2" xfId="43042"/>
    <cellStyle name="Percent 8 3 4 4 5" xfId="43043"/>
    <cellStyle name="Percent 8 3 4 4 6" xfId="43044"/>
    <cellStyle name="Percent 8 3 4 5" xfId="43045"/>
    <cellStyle name="Percent 8 3 4 5 2" xfId="43046"/>
    <cellStyle name="Percent 8 3 4 5 2 2" xfId="43047"/>
    <cellStyle name="Percent 8 3 4 5 3" xfId="43048"/>
    <cellStyle name="Percent 8 3 4 5 3 2" xfId="43049"/>
    <cellStyle name="Percent 8 3 4 5 4" xfId="43050"/>
    <cellStyle name="Percent 8 3 4 5 4 2" xfId="43051"/>
    <cellStyle name="Percent 8 3 4 5 5" xfId="43052"/>
    <cellStyle name="Percent 8 3 4 5 6" xfId="43053"/>
    <cellStyle name="Percent 8 3 4 6" xfId="43054"/>
    <cellStyle name="Percent 8 3 4 6 2" xfId="43055"/>
    <cellStyle name="Percent 8 3 4 6 2 2" xfId="43056"/>
    <cellStyle name="Percent 8 3 4 6 3" xfId="43057"/>
    <cellStyle name="Percent 8 3 4 6 3 2" xfId="43058"/>
    <cellStyle name="Percent 8 3 4 6 4" xfId="43059"/>
    <cellStyle name="Percent 8 3 4 6 4 2" xfId="43060"/>
    <cellStyle name="Percent 8 3 4 6 5" xfId="43061"/>
    <cellStyle name="Percent 8 3 4 6 6" xfId="43062"/>
    <cellStyle name="Percent 8 3 4 7" xfId="43063"/>
    <cellStyle name="Percent 8 3 4 7 2" xfId="43064"/>
    <cellStyle name="Percent 8 3 4 7 2 2" xfId="43065"/>
    <cellStyle name="Percent 8 3 4 7 3" xfId="43066"/>
    <cellStyle name="Percent 8 3 4 7 3 2" xfId="43067"/>
    <cellStyle name="Percent 8 3 4 7 4" xfId="43068"/>
    <cellStyle name="Percent 8 3 4 7 5" xfId="43069"/>
    <cellStyle name="Percent 8 3 4 8" xfId="43070"/>
    <cellStyle name="Percent 8 3 4 8 2" xfId="43071"/>
    <cellStyle name="Percent 8 3 4 9" xfId="43072"/>
    <cellStyle name="Percent 8 3 4 9 2" xfId="43073"/>
    <cellStyle name="Percent 8 3 5" xfId="43074"/>
    <cellStyle name="Percent 8 3 5 10" xfId="43075"/>
    <cellStyle name="Percent 8 3 5 11" xfId="43076"/>
    <cellStyle name="Percent 8 3 5 2" xfId="43077"/>
    <cellStyle name="Percent 8 3 5 2 2" xfId="43078"/>
    <cellStyle name="Percent 8 3 5 2 2 2" xfId="43079"/>
    <cellStyle name="Percent 8 3 5 2 3" xfId="43080"/>
    <cellStyle name="Percent 8 3 5 2 3 2" xfId="43081"/>
    <cellStyle name="Percent 8 3 5 2 4" xfId="43082"/>
    <cellStyle name="Percent 8 3 5 2 4 2" xfId="43083"/>
    <cellStyle name="Percent 8 3 5 2 5" xfId="43084"/>
    <cellStyle name="Percent 8 3 5 2 6" xfId="43085"/>
    <cellStyle name="Percent 8 3 5 3" xfId="43086"/>
    <cellStyle name="Percent 8 3 5 3 2" xfId="43087"/>
    <cellStyle name="Percent 8 3 5 3 2 2" xfId="43088"/>
    <cellStyle name="Percent 8 3 5 3 3" xfId="43089"/>
    <cellStyle name="Percent 8 3 5 3 3 2" xfId="43090"/>
    <cellStyle name="Percent 8 3 5 3 4" xfId="43091"/>
    <cellStyle name="Percent 8 3 5 3 4 2" xfId="43092"/>
    <cellStyle name="Percent 8 3 5 3 5" xfId="43093"/>
    <cellStyle name="Percent 8 3 5 3 6" xfId="43094"/>
    <cellStyle name="Percent 8 3 5 4" xfId="43095"/>
    <cellStyle name="Percent 8 3 5 4 2" xfId="43096"/>
    <cellStyle name="Percent 8 3 5 4 2 2" xfId="43097"/>
    <cellStyle name="Percent 8 3 5 4 3" xfId="43098"/>
    <cellStyle name="Percent 8 3 5 4 3 2" xfId="43099"/>
    <cellStyle name="Percent 8 3 5 4 4" xfId="43100"/>
    <cellStyle name="Percent 8 3 5 4 4 2" xfId="43101"/>
    <cellStyle name="Percent 8 3 5 4 5" xfId="43102"/>
    <cellStyle name="Percent 8 3 5 4 6" xfId="43103"/>
    <cellStyle name="Percent 8 3 5 5" xfId="43104"/>
    <cellStyle name="Percent 8 3 5 5 2" xfId="43105"/>
    <cellStyle name="Percent 8 3 5 5 2 2" xfId="43106"/>
    <cellStyle name="Percent 8 3 5 5 3" xfId="43107"/>
    <cellStyle name="Percent 8 3 5 5 3 2" xfId="43108"/>
    <cellStyle name="Percent 8 3 5 5 4" xfId="43109"/>
    <cellStyle name="Percent 8 3 5 5 4 2" xfId="43110"/>
    <cellStyle name="Percent 8 3 5 5 5" xfId="43111"/>
    <cellStyle name="Percent 8 3 5 5 6" xfId="43112"/>
    <cellStyle name="Percent 8 3 5 6" xfId="43113"/>
    <cellStyle name="Percent 8 3 5 6 2" xfId="43114"/>
    <cellStyle name="Percent 8 3 5 6 2 2" xfId="43115"/>
    <cellStyle name="Percent 8 3 5 6 3" xfId="43116"/>
    <cellStyle name="Percent 8 3 5 6 3 2" xfId="43117"/>
    <cellStyle name="Percent 8 3 5 6 4" xfId="43118"/>
    <cellStyle name="Percent 8 3 5 6 5" xfId="43119"/>
    <cellStyle name="Percent 8 3 5 7" xfId="43120"/>
    <cellStyle name="Percent 8 3 5 7 2" xfId="43121"/>
    <cellStyle name="Percent 8 3 5 8" xfId="43122"/>
    <cellStyle name="Percent 8 3 5 8 2" xfId="43123"/>
    <cellStyle name="Percent 8 3 5 9" xfId="43124"/>
    <cellStyle name="Percent 8 3 5 9 2" xfId="43125"/>
    <cellStyle name="Percent 8 3 6" xfId="43126"/>
    <cellStyle name="Percent 8 3 6 10" xfId="43127"/>
    <cellStyle name="Percent 8 3 6 2" xfId="43128"/>
    <cellStyle name="Percent 8 3 6 2 2" xfId="43129"/>
    <cellStyle name="Percent 8 3 6 2 2 2" xfId="43130"/>
    <cellStyle name="Percent 8 3 6 2 3" xfId="43131"/>
    <cellStyle name="Percent 8 3 6 2 3 2" xfId="43132"/>
    <cellStyle name="Percent 8 3 6 2 4" xfId="43133"/>
    <cellStyle name="Percent 8 3 6 2 4 2" xfId="43134"/>
    <cellStyle name="Percent 8 3 6 2 5" xfId="43135"/>
    <cellStyle name="Percent 8 3 6 2 6" xfId="43136"/>
    <cellStyle name="Percent 8 3 6 3" xfId="43137"/>
    <cellStyle name="Percent 8 3 6 3 2" xfId="43138"/>
    <cellStyle name="Percent 8 3 6 3 2 2" xfId="43139"/>
    <cellStyle name="Percent 8 3 6 3 3" xfId="43140"/>
    <cellStyle name="Percent 8 3 6 3 3 2" xfId="43141"/>
    <cellStyle name="Percent 8 3 6 3 4" xfId="43142"/>
    <cellStyle name="Percent 8 3 6 3 4 2" xfId="43143"/>
    <cellStyle name="Percent 8 3 6 3 5" xfId="43144"/>
    <cellStyle name="Percent 8 3 6 3 6" xfId="43145"/>
    <cellStyle name="Percent 8 3 6 4" xfId="43146"/>
    <cellStyle name="Percent 8 3 6 4 2" xfId="43147"/>
    <cellStyle name="Percent 8 3 6 4 2 2" xfId="43148"/>
    <cellStyle name="Percent 8 3 6 4 3" xfId="43149"/>
    <cellStyle name="Percent 8 3 6 4 3 2" xfId="43150"/>
    <cellStyle name="Percent 8 3 6 4 4" xfId="43151"/>
    <cellStyle name="Percent 8 3 6 4 4 2" xfId="43152"/>
    <cellStyle name="Percent 8 3 6 4 5" xfId="43153"/>
    <cellStyle name="Percent 8 3 6 4 6" xfId="43154"/>
    <cellStyle name="Percent 8 3 6 5" xfId="43155"/>
    <cellStyle name="Percent 8 3 6 5 2" xfId="43156"/>
    <cellStyle name="Percent 8 3 6 5 2 2" xfId="43157"/>
    <cellStyle name="Percent 8 3 6 5 3" xfId="43158"/>
    <cellStyle name="Percent 8 3 6 5 3 2" xfId="43159"/>
    <cellStyle name="Percent 8 3 6 5 4" xfId="43160"/>
    <cellStyle name="Percent 8 3 6 5 5" xfId="43161"/>
    <cellStyle name="Percent 8 3 6 6" xfId="43162"/>
    <cellStyle name="Percent 8 3 6 6 2" xfId="43163"/>
    <cellStyle name="Percent 8 3 6 7" xfId="43164"/>
    <cellStyle name="Percent 8 3 6 7 2" xfId="43165"/>
    <cellStyle name="Percent 8 3 6 8" xfId="43166"/>
    <cellStyle name="Percent 8 3 6 8 2" xfId="43167"/>
    <cellStyle name="Percent 8 3 6 9" xfId="43168"/>
    <cellStyle name="Percent 8 3 7" xfId="43169"/>
    <cellStyle name="Percent 8 3 7 10" xfId="43170"/>
    <cellStyle name="Percent 8 3 7 2" xfId="43171"/>
    <cellStyle name="Percent 8 3 7 2 2" xfId="43172"/>
    <cellStyle name="Percent 8 3 7 2 2 2" xfId="43173"/>
    <cellStyle name="Percent 8 3 7 2 3" xfId="43174"/>
    <cellStyle name="Percent 8 3 7 2 3 2" xfId="43175"/>
    <cellStyle name="Percent 8 3 7 2 4" xfId="43176"/>
    <cellStyle name="Percent 8 3 7 2 4 2" xfId="43177"/>
    <cellStyle name="Percent 8 3 7 2 5" xfId="43178"/>
    <cellStyle name="Percent 8 3 7 2 6" xfId="43179"/>
    <cellStyle name="Percent 8 3 7 3" xfId="43180"/>
    <cellStyle name="Percent 8 3 7 3 2" xfId="43181"/>
    <cellStyle name="Percent 8 3 7 3 2 2" xfId="43182"/>
    <cellStyle name="Percent 8 3 7 3 3" xfId="43183"/>
    <cellStyle name="Percent 8 3 7 3 3 2" xfId="43184"/>
    <cellStyle name="Percent 8 3 7 3 4" xfId="43185"/>
    <cellStyle name="Percent 8 3 7 3 4 2" xfId="43186"/>
    <cellStyle name="Percent 8 3 7 3 5" xfId="43187"/>
    <cellStyle name="Percent 8 3 7 3 6" xfId="43188"/>
    <cellStyle name="Percent 8 3 7 4" xfId="43189"/>
    <cellStyle name="Percent 8 3 7 4 2" xfId="43190"/>
    <cellStyle name="Percent 8 3 7 4 2 2" xfId="43191"/>
    <cellStyle name="Percent 8 3 7 4 3" xfId="43192"/>
    <cellStyle name="Percent 8 3 7 4 3 2" xfId="43193"/>
    <cellStyle name="Percent 8 3 7 4 4" xfId="43194"/>
    <cellStyle name="Percent 8 3 7 4 4 2" xfId="43195"/>
    <cellStyle name="Percent 8 3 7 4 5" xfId="43196"/>
    <cellStyle name="Percent 8 3 7 4 6" xfId="43197"/>
    <cellStyle name="Percent 8 3 7 5" xfId="43198"/>
    <cellStyle name="Percent 8 3 7 5 2" xfId="43199"/>
    <cellStyle name="Percent 8 3 7 5 2 2" xfId="43200"/>
    <cellStyle name="Percent 8 3 7 5 3" xfId="43201"/>
    <cellStyle name="Percent 8 3 7 5 3 2" xfId="43202"/>
    <cellStyle name="Percent 8 3 7 5 4" xfId="43203"/>
    <cellStyle name="Percent 8 3 7 5 5" xfId="43204"/>
    <cellStyle name="Percent 8 3 7 6" xfId="43205"/>
    <cellStyle name="Percent 8 3 7 6 2" xfId="43206"/>
    <cellStyle name="Percent 8 3 7 7" xfId="43207"/>
    <cellStyle name="Percent 8 3 7 7 2" xfId="43208"/>
    <cellStyle name="Percent 8 3 7 8" xfId="43209"/>
    <cellStyle name="Percent 8 3 7 8 2" xfId="43210"/>
    <cellStyle name="Percent 8 3 7 9" xfId="43211"/>
    <cellStyle name="Percent 8 3 8" xfId="43212"/>
    <cellStyle name="Percent 8 3 8 2" xfId="43213"/>
    <cellStyle name="Percent 8 3 8 2 2" xfId="43214"/>
    <cellStyle name="Percent 8 3 8 3" xfId="43215"/>
    <cellStyle name="Percent 8 3 8 3 2" xfId="43216"/>
    <cellStyle name="Percent 8 3 8 4" xfId="43217"/>
    <cellStyle name="Percent 8 3 8 4 2" xfId="43218"/>
    <cellStyle name="Percent 8 3 8 5" xfId="43219"/>
    <cellStyle name="Percent 8 3 8 6" xfId="43220"/>
    <cellStyle name="Percent 8 3 9" xfId="43221"/>
    <cellStyle name="Percent 8 3 9 2" xfId="43222"/>
    <cellStyle name="Percent 8 3 9 2 2" xfId="43223"/>
    <cellStyle name="Percent 8 3 9 3" xfId="43224"/>
    <cellStyle name="Percent 8 3 9 3 2" xfId="43225"/>
    <cellStyle name="Percent 8 3 9 4" xfId="43226"/>
    <cellStyle name="Percent 8 3 9 4 2" xfId="43227"/>
    <cellStyle name="Percent 8 3 9 5" xfId="43228"/>
    <cellStyle name="Percent 8 3 9 6" xfId="43229"/>
    <cellStyle name="Percent 8 4" xfId="43230"/>
    <cellStyle name="Percent 8 4 10" xfId="43231"/>
    <cellStyle name="Percent 8 4 10 2" xfId="43232"/>
    <cellStyle name="Percent 8 4 11" xfId="43233"/>
    <cellStyle name="Percent 8 4 11 2" xfId="43234"/>
    <cellStyle name="Percent 8 4 12" xfId="43235"/>
    <cellStyle name="Percent 8 4 13" xfId="43236"/>
    <cellStyle name="Percent 8 4 2" xfId="43237"/>
    <cellStyle name="Percent 8 4 2 10" xfId="43238"/>
    <cellStyle name="Percent 8 4 2 11" xfId="43239"/>
    <cellStyle name="Percent 8 4 2 2" xfId="43240"/>
    <cellStyle name="Percent 8 4 2 2 2" xfId="43241"/>
    <cellStyle name="Percent 8 4 2 2 2 2" xfId="43242"/>
    <cellStyle name="Percent 8 4 2 2 3" xfId="43243"/>
    <cellStyle name="Percent 8 4 2 2 3 2" xfId="43244"/>
    <cellStyle name="Percent 8 4 2 2 4" xfId="43245"/>
    <cellStyle name="Percent 8 4 2 2 4 2" xfId="43246"/>
    <cellStyle name="Percent 8 4 2 2 5" xfId="43247"/>
    <cellStyle name="Percent 8 4 2 2 6" xfId="43248"/>
    <cellStyle name="Percent 8 4 2 3" xfId="43249"/>
    <cellStyle name="Percent 8 4 2 3 2" xfId="43250"/>
    <cellStyle name="Percent 8 4 2 3 2 2" xfId="43251"/>
    <cellStyle name="Percent 8 4 2 3 3" xfId="43252"/>
    <cellStyle name="Percent 8 4 2 3 3 2" xfId="43253"/>
    <cellStyle name="Percent 8 4 2 3 4" xfId="43254"/>
    <cellStyle name="Percent 8 4 2 3 4 2" xfId="43255"/>
    <cellStyle name="Percent 8 4 2 3 5" xfId="43256"/>
    <cellStyle name="Percent 8 4 2 3 6" xfId="43257"/>
    <cellStyle name="Percent 8 4 2 4" xfId="43258"/>
    <cellStyle name="Percent 8 4 2 4 2" xfId="43259"/>
    <cellStyle name="Percent 8 4 2 4 2 2" xfId="43260"/>
    <cellStyle name="Percent 8 4 2 4 3" xfId="43261"/>
    <cellStyle name="Percent 8 4 2 4 3 2" xfId="43262"/>
    <cellStyle name="Percent 8 4 2 4 4" xfId="43263"/>
    <cellStyle name="Percent 8 4 2 4 4 2" xfId="43264"/>
    <cellStyle name="Percent 8 4 2 4 5" xfId="43265"/>
    <cellStyle name="Percent 8 4 2 4 6" xfId="43266"/>
    <cellStyle name="Percent 8 4 2 5" xfId="43267"/>
    <cellStyle name="Percent 8 4 2 5 2" xfId="43268"/>
    <cellStyle name="Percent 8 4 2 5 2 2" xfId="43269"/>
    <cellStyle name="Percent 8 4 2 5 3" xfId="43270"/>
    <cellStyle name="Percent 8 4 2 5 3 2" xfId="43271"/>
    <cellStyle name="Percent 8 4 2 5 4" xfId="43272"/>
    <cellStyle name="Percent 8 4 2 5 4 2" xfId="43273"/>
    <cellStyle name="Percent 8 4 2 5 5" xfId="43274"/>
    <cellStyle name="Percent 8 4 2 5 6" xfId="43275"/>
    <cellStyle name="Percent 8 4 2 6" xfId="43276"/>
    <cellStyle name="Percent 8 4 2 6 2" xfId="43277"/>
    <cellStyle name="Percent 8 4 2 6 2 2" xfId="43278"/>
    <cellStyle name="Percent 8 4 2 6 3" xfId="43279"/>
    <cellStyle name="Percent 8 4 2 6 3 2" xfId="43280"/>
    <cellStyle name="Percent 8 4 2 6 4" xfId="43281"/>
    <cellStyle name="Percent 8 4 2 6 5" xfId="43282"/>
    <cellStyle name="Percent 8 4 2 7" xfId="43283"/>
    <cellStyle name="Percent 8 4 2 7 2" xfId="43284"/>
    <cellStyle name="Percent 8 4 2 8" xfId="43285"/>
    <cellStyle name="Percent 8 4 2 8 2" xfId="43286"/>
    <cellStyle name="Percent 8 4 2 9" xfId="43287"/>
    <cellStyle name="Percent 8 4 2 9 2" xfId="43288"/>
    <cellStyle name="Percent 8 4 3" xfId="43289"/>
    <cellStyle name="Percent 8 4 3 10" xfId="43290"/>
    <cellStyle name="Percent 8 4 3 2" xfId="43291"/>
    <cellStyle name="Percent 8 4 3 2 2" xfId="43292"/>
    <cellStyle name="Percent 8 4 3 2 2 2" xfId="43293"/>
    <cellStyle name="Percent 8 4 3 2 3" xfId="43294"/>
    <cellStyle name="Percent 8 4 3 2 3 2" xfId="43295"/>
    <cellStyle name="Percent 8 4 3 2 4" xfId="43296"/>
    <cellStyle name="Percent 8 4 3 2 4 2" xfId="43297"/>
    <cellStyle name="Percent 8 4 3 2 5" xfId="43298"/>
    <cellStyle name="Percent 8 4 3 2 6" xfId="43299"/>
    <cellStyle name="Percent 8 4 3 3" xfId="43300"/>
    <cellStyle name="Percent 8 4 3 3 2" xfId="43301"/>
    <cellStyle name="Percent 8 4 3 3 2 2" xfId="43302"/>
    <cellStyle name="Percent 8 4 3 3 3" xfId="43303"/>
    <cellStyle name="Percent 8 4 3 3 3 2" xfId="43304"/>
    <cellStyle name="Percent 8 4 3 3 4" xfId="43305"/>
    <cellStyle name="Percent 8 4 3 3 4 2" xfId="43306"/>
    <cellStyle name="Percent 8 4 3 3 5" xfId="43307"/>
    <cellStyle name="Percent 8 4 3 3 6" xfId="43308"/>
    <cellStyle name="Percent 8 4 3 4" xfId="43309"/>
    <cellStyle name="Percent 8 4 3 4 2" xfId="43310"/>
    <cellStyle name="Percent 8 4 3 4 2 2" xfId="43311"/>
    <cellStyle name="Percent 8 4 3 4 3" xfId="43312"/>
    <cellStyle name="Percent 8 4 3 4 3 2" xfId="43313"/>
    <cellStyle name="Percent 8 4 3 4 4" xfId="43314"/>
    <cellStyle name="Percent 8 4 3 4 4 2" xfId="43315"/>
    <cellStyle name="Percent 8 4 3 4 5" xfId="43316"/>
    <cellStyle name="Percent 8 4 3 4 6" xfId="43317"/>
    <cellStyle name="Percent 8 4 3 5" xfId="43318"/>
    <cellStyle name="Percent 8 4 3 5 2" xfId="43319"/>
    <cellStyle name="Percent 8 4 3 5 2 2" xfId="43320"/>
    <cellStyle name="Percent 8 4 3 5 3" xfId="43321"/>
    <cellStyle name="Percent 8 4 3 5 3 2" xfId="43322"/>
    <cellStyle name="Percent 8 4 3 5 4" xfId="43323"/>
    <cellStyle name="Percent 8 4 3 5 5" xfId="43324"/>
    <cellStyle name="Percent 8 4 3 6" xfId="43325"/>
    <cellStyle name="Percent 8 4 3 6 2" xfId="43326"/>
    <cellStyle name="Percent 8 4 3 7" xfId="43327"/>
    <cellStyle name="Percent 8 4 3 7 2" xfId="43328"/>
    <cellStyle name="Percent 8 4 3 8" xfId="43329"/>
    <cellStyle name="Percent 8 4 3 8 2" xfId="43330"/>
    <cellStyle name="Percent 8 4 3 9" xfId="43331"/>
    <cellStyle name="Percent 8 4 4" xfId="43332"/>
    <cellStyle name="Percent 8 4 4 10" xfId="43333"/>
    <cellStyle name="Percent 8 4 4 2" xfId="43334"/>
    <cellStyle name="Percent 8 4 4 2 2" xfId="43335"/>
    <cellStyle name="Percent 8 4 4 2 2 2" xfId="43336"/>
    <cellStyle name="Percent 8 4 4 2 3" xfId="43337"/>
    <cellStyle name="Percent 8 4 4 2 3 2" xfId="43338"/>
    <cellStyle name="Percent 8 4 4 2 4" xfId="43339"/>
    <cellStyle name="Percent 8 4 4 2 4 2" xfId="43340"/>
    <cellStyle name="Percent 8 4 4 2 5" xfId="43341"/>
    <cellStyle name="Percent 8 4 4 2 6" xfId="43342"/>
    <cellStyle name="Percent 8 4 4 3" xfId="43343"/>
    <cellStyle name="Percent 8 4 4 3 2" xfId="43344"/>
    <cellStyle name="Percent 8 4 4 3 2 2" xfId="43345"/>
    <cellStyle name="Percent 8 4 4 3 3" xfId="43346"/>
    <cellStyle name="Percent 8 4 4 3 3 2" xfId="43347"/>
    <cellStyle name="Percent 8 4 4 3 4" xfId="43348"/>
    <cellStyle name="Percent 8 4 4 3 4 2" xfId="43349"/>
    <cellStyle name="Percent 8 4 4 3 5" xfId="43350"/>
    <cellStyle name="Percent 8 4 4 3 6" xfId="43351"/>
    <cellStyle name="Percent 8 4 4 4" xfId="43352"/>
    <cellStyle name="Percent 8 4 4 4 2" xfId="43353"/>
    <cellStyle name="Percent 8 4 4 4 2 2" xfId="43354"/>
    <cellStyle name="Percent 8 4 4 4 3" xfId="43355"/>
    <cellStyle name="Percent 8 4 4 4 3 2" xfId="43356"/>
    <cellStyle name="Percent 8 4 4 4 4" xfId="43357"/>
    <cellStyle name="Percent 8 4 4 4 4 2" xfId="43358"/>
    <cellStyle name="Percent 8 4 4 4 5" xfId="43359"/>
    <cellStyle name="Percent 8 4 4 4 6" xfId="43360"/>
    <cellStyle name="Percent 8 4 4 5" xfId="43361"/>
    <cellStyle name="Percent 8 4 4 5 2" xfId="43362"/>
    <cellStyle name="Percent 8 4 4 5 2 2" xfId="43363"/>
    <cellStyle name="Percent 8 4 4 5 3" xfId="43364"/>
    <cellStyle name="Percent 8 4 4 5 3 2" xfId="43365"/>
    <cellStyle name="Percent 8 4 4 5 4" xfId="43366"/>
    <cellStyle name="Percent 8 4 4 5 5" xfId="43367"/>
    <cellStyle name="Percent 8 4 4 6" xfId="43368"/>
    <cellStyle name="Percent 8 4 4 6 2" xfId="43369"/>
    <cellStyle name="Percent 8 4 4 7" xfId="43370"/>
    <cellStyle name="Percent 8 4 4 7 2" xfId="43371"/>
    <cellStyle name="Percent 8 4 4 8" xfId="43372"/>
    <cellStyle name="Percent 8 4 4 8 2" xfId="43373"/>
    <cellStyle name="Percent 8 4 4 9" xfId="43374"/>
    <cellStyle name="Percent 8 4 5" xfId="43375"/>
    <cellStyle name="Percent 8 4 5 2" xfId="43376"/>
    <cellStyle name="Percent 8 4 5 2 2" xfId="43377"/>
    <cellStyle name="Percent 8 4 5 3" xfId="43378"/>
    <cellStyle name="Percent 8 4 5 3 2" xfId="43379"/>
    <cellStyle name="Percent 8 4 5 4" xfId="43380"/>
    <cellStyle name="Percent 8 4 5 4 2" xfId="43381"/>
    <cellStyle name="Percent 8 4 5 5" xfId="43382"/>
    <cellStyle name="Percent 8 4 5 6" xfId="43383"/>
    <cellStyle name="Percent 8 4 6" xfId="43384"/>
    <cellStyle name="Percent 8 4 6 2" xfId="43385"/>
    <cellStyle name="Percent 8 4 6 2 2" xfId="43386"/>
    <cellStyle name="Percent 8 4 6 3" xfId="43387"/>
    <cellStyle name="Percent 8 4 6 3 2" xfId="43388"/>
    <cellStyle name="Percent 8 4 6 4" xfId="43389"/>
    <cellStyle name="Percent 8 4 6 4 2" xfId="43390"/>
    <cellStyle name="Percent 8 4 6 5" xfId="43391"/>
    <cellStyle name="Percent 8 4 6 6" xfId="43392"/>
    <cellStyle name="Percent 8 4 7" xfId="43393"/>
    <cellStyle name="Percent 8 4 7 2" xfId="43394"/>
    <cellStyle name="Percent 8 4 7 2 2" xfId="43395"/>
    <cellStyle name="Percent 8 4 7 3" xfId="43396"/>
    <cellStyle name="Percent 8 4 7 3 2" xfId="43397"/>
    <cellStyle name="Percent 8 4 7 4" xfId="43398"/>
    <cellStyle name="Percent 8 4 7 4 2" xfId="43399"/>
    <cellStyle name="Percent 8 4 7 5" xfId="43400"/>
    <cellStyle name="Percent 8 4 7 6" xfId="43401"/>
    <cellStyle name="Percent 8 4 8" xfId="43402"/>
    <cellStyle name="Percent 8 4 8 2" xfId="43403"/>
    <cellStyle name="Percent 8 4 8 2 2" xfId="43404"/>
    <cellStyle name="Percent 8 4 8 3" xfId="43405"/>
    <cellStyle name="Percent 8 4 8 3 2" xfId="43406"/>
    <cellStyle name="Percent 8 4 8 4" xfId="43407"/>
    <cellStyle name="Percent 8 4 8 5" xfId="43408"/>
    <cellStyle name="Percent 8 4 9" xfId="43409"/>
    <cellStyle name="Percent 8 4 9 2" xfId="43410"/>
    <cellStyle name="Percent 8 5" xfId="43411"/>
    <cellStyle name="Percent 8 5 10" xfId="43412"/>
    <cellStyle name="Percent 8 5 10 2" xfId="43413"/>
    <cellStyle name="Percent 8 5 11" xfId="43414"/>
    <cellStyle name="Percent 8 5 11 2" xfId="43415"/>
    <cellStyle name="Percent 8 5 12" xfId="43416"/>
    <cellStyle name="Percent 8 5 13" xfId="43417"/>
    <cellStyle name="Percent 8 5 2" xfId="43418"/>
    <cellStyle name="Percent 8 5 2 10" xfId="43419"/>
    <cellStyle name="Percent 8 5 2 11" xfId="43420"/>
    <cellStyle name="Percent 8 5 2 2" xfId="43421"/>
    <cellStyle name="Percent 8 5 2 2 2" xfId="43422"/>
    <cellStyle name="Percent 8 5 2 2 2 2" xfId="43423"/>
    <cellStyle name="Percent 8 5 2 2 3" xfId="43424"/>
    <cellStyle name="Percent 8 5 2 2 3 2" xfId="43425"/>
    <cellStyle name="Percent 8 5 2 2 4" xfId="43426"/>
    <cellStyle name="Percent 8 5 2 2 4 2" xfId="43427"/>
    <cellStyle name="Percent 8 5 2 2 5" xfId="43428"/>
    <cellStyle name="Percent 8 5 2 2 6" xfId="43429"/>
    <cellStyle name="Percent 8 5 2 3" xfId="43430"/>
    <cellStyle name="Percent 8 5 2 3 2" xfId="43431"/>
    <cellStyle name="Percent 8 5 2 3 2 2" xfId="43432"/>
    <cellStyle name="Percent 8 5 2 3 3" xfId="43433"/>
    <cellStyle name="Percent 8 5 2 3 3 2" xfId="43434"/>
    <cellStyle name="Percent 8 5 2 3 4" xfId="43435"/>
    <cellStyle name="Percent 8 5 2 3 4 2" xfId="43436"/>
    <cellStyle name="Percent 8 5 2 3 5" xfId="43437"/>
    <cellStyle name="Percent 8 5 2 3 6" xfId="43438"/>
    <cellStyle name="Percent 8 5 2 4" xfId="43439"/>
    <cellStyle name="Percent 8 5 2 4 2" xfId="43440"/>
    <cellStyle name="Percent 8 5 2 4 2 2" xfId="43441"/>
    <cellStyle name="Percent 8 5 2 4 3" xfId="43442"/>
    <cellStyle name="Percent 8 5 2 4 3 2" xfId="43443"/>
    <cellStyle name="Percent 8 5 2 4 4" xfId="43444"/>
    <cellStyle name="Percent 8 5 2 4 4 2" xfId="43445"/>
    <cellStyle name="Percent 8 5 2 4 5" xfId="43446"/>
    <cellStyle name="Percent 8 5 2 4 6" xfId="43447"/>
    <cellStyle name="Percent 8 5 2 5" xfId="43448"/>
    <cellStyle name="Percent 8 5 2 5 2" xfId="43449"/>
    <cellStyle name="Percent 8 5 2 5 2 2" xfId="43450"/>
    <cellStyle name="Percent 8 5 2 5 3" xfId="43451"/>
    <cellStyle name="Percent 8 5 2 5 3 2" xfId="43452"/>
    <cellStyle name="Percent 8 5 2 5 4" xfId="43453"/>
    <cellStyle name="Percent 8 5 2 5 4 2" xfId="43454"/>
    <cellStyle name="Percent 8 5 2 5 5" xfId="43455"/>
    <cellStyle name="Percent 8 5 2 5 6" xfId="43456"/>
    <cellStyle name="Percent 8 5 2 6" xfId="43457"/>
    <cellStyle name="Percent 8 5 2 6 2" xfId="43458"/>
    <cellStyle name="Percent 8 5 2 6 2 2" xfId="43459"/>
    <cellStyle name="Percent 8 5 2 6 3" xfId="43460"/>
    <cellStyle name="Percent 8 5 2 6 3 2" xfId="43461"/>
    <cellStyle name="Percent 8 5 2 6 4" xfId="43462"/>
    <cellStyle name="Percent 8 5 2 6 5" xfId="43463"/>
    <cellStyle name="Percent 8 5 2 7" xfId="43464"/>
    <cellStyle name="Percent 8 5 2 7 2" xfId="43465"/>
    <cellStyle name="Percent 8 5 2 8" xfId="43466"/>
    <cellStyle name="Percent 8 5 2 8 2" xfId="43467"/>
    <cellStyle name="Percent 8 5 2 9" xfId="43468"/>
    <cellStyle name="Percent 8 5 2 9 2" xfId="43469"/>
    <cellStyle name="Percent 8 5 3" xfId="43470"/>
    <cellStyle name="Percent 8 5 3 10" xfId="43471"/>
    <cellStyle name="Percent 8 5 3 2" xfId="43472"/>
    <cellStyle name="Percent 8 5 3 2 2" xfId="43473"/>
    <cellStyle name="Percent 8 5 3 2 2 2" xfId="43474"/>
    <cellStyle name="Percent 8 5 3 2 3" xfId="43475"/>
    <cellStyle name="Percent 8 5 3 2 3 2" xfId="43476"/>
    <cellStyle name="Percent 8 5 3 2 4" xfId="43477"/>
    <cellStyle name="Percent 8 5 3 2 4 2" xfId="43478"/>
    <cellStyle name="Percent 8 5 3 2 5" xfId="43479"/>
    <cellStyle name="Percent 8 5 3 2 6" xfId="43480"/>
    <cellStyle name="Percent 8 5 3 3" xfId="43481"/>
    <cellStyle name="Percent 8 5 3 3 2" xfId="43482"/>
    <cellStyle name="Percent 8 5 3 3 2 2" xfId="43483"/>
    <cellStyle name="Percent 8 5 3 3 3" xfId="43484"/>
    <cellStyle name="Percent 8 5 3 3 3 2" xfId="43485"/>
    <cellStyle name="Percent 8 5 3 3 4" xfId="43486"/>
    <cellStyle name="Percent 8 5 3 3 4 2" xfId="43487"/>
    <cellStyle name="Percent 8 5 3 3 5" xfId="43488"/>
    <cellStyle name="Percent 8 5 3 3 6" xfId="43489"/>
    <cellStyle name="Percent 8 5 3 4" xfId="43490"/>
    <cellStyle name="Percent 8 5 3 4 2" xfId="43491"/>
    <cellStyle name="Percent 8 5 3 4 2 2" xfId="43492"/>
    <cellStyle name="Percent 8 5 3 4 3" xfId="43493"/>
    <cellStyle name="Percent 8 5 3 4 3 2" xfId="43494"/>
    <cellStyle name="Percent 8 5 3 4 4" xfId="43495"/>
    <cellStyle name="Percent 8 5 3 4 4 2" xfId="43496"/>
    <cellStyle name="Percent 8 5 3 4 5" xfId="43497"/>
    <cellStyle name="Percent 8 5 3 4 6" xfId="43498"/>
    <cellStyle name="Percent 8 5 3 5" xfId="43499"/>
    <cellStyle name="Percent 8 5 3 5 2" xfId="43500"/>
    <cellStyle name="Percent 8 5 3 5 2 2" xfId="43501"/>
    <cellStyle name="Percent 8 5 3 5 3" xfId="43502"/>
    <cellStyle name="Percent 8 5 3 5 3 2" xfId="43503"/>
    <cellStyle name="Percent 8 5 3 5 4" xfId="43504"/>
    <cellStyle name="Percent 8 5 3 5 5" xfId="43505"/>
    <cellStyle name="Percent 8 5 3 6" xfId="43506"/>
    <cellStyle name="Percent 8 5 3 6 2" xfId="43507"/>
    <cellStyle name="Percent 8 5 3 7" xfId="43508"/>
    <cellStyle name="Percent 8 5 3 7 2" xfId="43509"/>
    <cellStyle name="Percent 8 5 3 8" xfId="43510"/>
    <cellStyle name="Percent 8 5 3 8 2" xfId="43511"/>
    <cellStyle name="Percent 8 5 3 9" xfId="43512"/>
    <cellStyle name="Percent 8 5 4" xfId="43513"/>
    <cellStyle name="Percent 8 5 4 10" xfId="43514"/>
    <cellStyle name="Percent 8 5 4 2" xfId="43515"/>
    <cellStyle name="Percent 8 5 4 2 2" xfId="43516"/>
    <cellStyle name="Percent 8 5 4 2 2 2" xfId="43517"/>
    <cellStyle name="Percent 8 5 4 2 3" xfId="43518"/>
    <cellStyle name="Percent 8 5 4 2 3 2" xfId="43519"/>
    <cellStyle name="Percent 8 5 4 2 4" xfId="43520"/>
    <cellStyle name="Percent 8 5 4 2 4 2" xfId="43521"/>
    <cellStyle name="Percent 8 5 4 2 5" xfId="43522"/>
    <cellStyle name="Percent 8 5 4 2 6" xfId="43523"/>
    <cellStyle name="Percent 8 5 4 3" xfId="43524"/>
    <cellStyle name="Percent 8 5 4 3 2" xfId="43525"/>
    <cellStyle name="Percent 8 5 4 3 2 2" xfId="43526"/>
    <cellStyle name="Percent 8 5 4 3 3" xfId="43527"/>
    <cellStyle name="Percent 8 5 4 3 3 2" xfId="43528"/>
    <cellStyle name="Percent 8 5 4 3 4" xfId="43529"/>
    <cellStyle name="Percent 8 5 4 3 4 2" xfId="43530"/>
    <cellStyle name="Percent 8 5 4 3 5" xfId="43531"/>
    <cellStyle name="Percent 8 5 4 3 6" xfId="43532"/>
    <cellStyle name="Percent 8 5 4 4" xfId="43533"/>
    <cellStyle name="Percent 8 5 4 4 2" xfId="43534"/>
    <cellStyle name="Percent 8 5 4 4 2 2" xfId="43535"/>
    <cellStyle name="Percent 8 5 4 4 3" xfId="43536"/>
    <cellStyle name="Percent 8 5 4 4 3 2" xfId="43537"/>
    <cellStyle name="Percent 8 5 4 4 4" xfId="43538"/>
    <cellStyle name="Percent 8 5 4 4 4 2" xfId="43539"/>
    <cellStyle name="Percent 8 5 4 4 5" xfId="43540"/>
    <cellStyle name="Percent 8 5 4 4 6" xfId="43541"/>
    <cellStyle name="Percent 8 5 4 5" xfId="43542"/>
    <cellStyle name="Percent 8 5 4 5 2" xfId="43543"/>
    <cellStyle name="Percent 8 5 4 5 2 2" xfId="43544"/>
    <cellStyle name="Percent 8 5 4 5 3" xfId="43545"/>
    <cellStyle name="Percent 8 5 4 5 3 2" xfId="43546"/>
    <cellStyle name="Percent 8 5 4 5 4" xfId="43547"/>
    <cellStyle name="Percent 8 5 4 5 5" xfId="43548"/>
    <cellStyle name="Percent 8 5 4 6" xfId="43549"/>
    <cellStyle name="Percent 8 5 4 6 2" xfId="43550"/>
    <cellStyle name="Percent 8 5 4 7" xfId="43551"/>
    <cellStyle name="Percent 8 5 4 7 2" xfId="43552"/>
    <cellStyle name="Percent 8 5 4 8" xfId="43553"/>
    <cellStyle name="Percent 8 5 4 8 2" xfId="43554"/>
    <cellStyle name="Percent 8 5 4 9" xfId="43555"/>
    <cellStyle name="Percent 8 5 5" xfId="43556"/>
    <cellStyle name="Percent 8 5 5 2" xfId="43557"/>
    <cellStyle name="Percent 8 5 5 2 2" xfId="43558"/>
    <cellStyle name="Percent 8 5 5 3" xfId="43559"/>
    <cellStyle name="Percent 8 5 5 3 2" xfId="43560"/>
    <cellStyle name="Percent 8 5 5 4" xfId="43561"/>
    <cellStyle name="Percent 8 5 5 4 2" xfId="43562"/>
    <cellStyle name="Percent 8 5 5 5" xfId="43563"/>
    <cellStyle name="Percent 8 5 5 6" xfId="43564"/>
    <cellStyle name="Percent 8 5 6" xfId="43565"/>
    <cellStyle name="Percent 8 5 6 2" xfId="43566"/>
    <cellStyle name="Percent 8 5 6 2 2" xfId="43567"/>
    <cellStyle name="Percent 8 5 6 3" xfId="43568"/>
    <cellStyle name="Percent 8 5 6 3 2" xfId="43569"/>
    <cellStyle name="Percent 8 5 6 4" xfId="43570"/>
    <cellStyle name="Percent 8 5 6 4 2" xfId="43571"/>
    <cellStyle name="Percent 8 5 6 5" xfId="43572"/>
    <cellStyle name="Percent 8 5 6 6" xfId="43573"/>
    <cellStyle name="Percent 8 5 7" xfId="43574"/>
    <cellStyle name="Percent 8 5 7 2" xfId="43575"/>
    <cellStyle name="Percent 8 5 7 2 2" xfId="43576"/>
    <cellStyle name="Percent 8 5 7 3" xfId="43577"/>
    <cellStyle name="Percent 8 5 7 3 2" xfId="43578"/>
    <cellStyle name="Percent 8 5 7 4" xfId="43579"/>
    <cellStyle name="Percent 8 5 7 4 2" xfId="43580"/>
    <cellStyle name="Percent 8 5 7 5" xfId="43581"/>
    <cellStyle name="Percent 8 5 7 6" xfId="43582"/>
    <cellStyle name="Percent 8 5 8" xfId="43583"/>
    <cellStyle name="Percent 8 5 8 2" xfId="43584"/>
    <cellStyle name="Percent 8 5 8 2 2" xfId="43585"/>
    <cellStyle name="Percent 8 5 8 3" xfId="43586"/>
    <cellStyle name="Percent 8 5 8 3 2" xfId="43587"/>
    <cellStyle name="Percent 8 5 8 4" xfId="43588"/>
    <cellStyle name="Percent 8 5 8 5" xfId="43589"/>
    <cellStyle name="Percent 8 5 9" xfId="43590"/>
    <cellStyle name="Percent 8 5 9 2" xfId="43591"/>
    <cellStyle name="Percent 8 6" xfId="43592"/>
    <cellStyle name="Percent 8 6 10" xfId="43593"/>
    <cellStyle name="Percent 8 6 10 2" xfId="43594"/>
    <cellStyle name="Percent 8 6 11" xfId="43595"/>
    <cellStyle name="Percent 8 6 12" xfId="43596"/>
    <cellStyle name="Percent 8 6 2" xfId="43597"/>
    <cellStyle name="Percent 8 6 2 10" xfId="43598"/>
    <cellStyle name="Percent 8 6 2 2" xfId="43599"/>
    <cellStyle name="Percent 8 6 2 2 2" xfId="43600"/>
    <cellStyle name="Percent 8 6 2 2 2 2" xfId="43601"/>
    <cellStyle name="Percent 8 6 2 2 3" xfId="43602"/>
    <cellStyle name="Percent 8 6 2 2 3 2" xfId="43603"/>
    <cellStyle name="Percent 8 6 2 2 4" xfId="43604"/>
    <cellStyle name="Percent 8 6 2 2 4 2" xfId="43605"/>
    <cellStyle name="Percent 8 6 2 2 5" xfId="43606"/>
    <cellStyle name="Percent 8 6 2 2 6" xfId="43607"/>
    <cellStyle name="Percent 8 6 2 3" xfId="43608"/>
    <cellStyle name="Percent 8 6 2 3 2" xfId="43609"/>
    <cellStyle name="Percent 8 6 2 3 2 2" xfId="43610"/>
    <cellStyle name="Percent 8 6 2 3 3" xfId="43611"/>
    <cellStyle name="Percent 8 6 2 3 3 2" xfId="43612"/>
    <cellStyle name="Percent 8 6 2 3 4" xfId="43613"/>
    <cellStyle name="Percent 8 6 2 3 4 2" xfId="43614"/>
    <cellStyle name="Percent 8 6 2 3 5" xfId="43615"/>
    <cellStyle name="Percent 8 6 2 3 6" xfId="43616"/>
    <cellStyle name="Percent 8 6 2 4" xfId="43617"/>
    <cellStyle name="Percent 8 6 2 4 2" xfId="43618"/>
    <cellStyle name="Percent 8 6 2 4 2 2" xfId="43619"/>
    <cellStyle name="Percent 8 6 2 4 3" xfId="43620"/>
    <cellStyle name="Percent 8 6 2 4 3 2" xfId="43621"/>
    <cellStyle name="Percent 8 6 2 4 4" xfId="43622"/>
    <cellStyle name="Percent 8 6 2 4 4 2" xfId="43623"/>
    <cellStyle name="Percent 8 6 2 4 5" xfId="43624"/>
    <cellStyle name="Percent 8 6 2 4 6" xfId="43625"/>
    <cellStyle name="Percent 8 6 2 5" xfId="43626"/>
    <cellStyle name="Percent 8 6 2 5 2" xfId="43627"/>
    <cellStyle name="Percent 8 6 2 5 2 2" xfId="43628"/>
    <cellStyle name="Percent 8 6 2 5 3" xfId="43629"/>
    <cellStyle name="Percent 8 6 2 5 3 2" xfId="43630"/>
    <cellStyle name="Percent 8 6 2 5 4" xfId="43631"/>
    <cellStyle name="Percent 8 6 2 5 5" xfId="43632"/>
    <cellStyle name="Percent 8 6 2 6" xfId="43633"/>
    <cellStyle name="Percent 8 6 2 6 2" xfId="43634"/>
    <cellStyle name="Percent 8 6 2 7" xfId="43635"/>
    <cellStyle name="Percent 8 6 2 7 2" xfId="43636"/>
    <cellStyle name="Percent 8 6 2 8" xfId="43637"/>
    <cellStyle name="Percent 8 6 2 8 2" xfId="43638"/>
    <cellStyle name="Percent 8 6 2 9" xfId="43639"/>
    <cellStyle name="Percent 8 6 3" xfId="43640"/>
    <cellStyle name="Percent 8 6 3 10" xfId="43641"/>
    <cellStyle name="Percent 8 6 3 2" xfId="43642"/>
    <cellStyle name="Percent 8 6 3 2 2" xfId="43643"/>
    <cellStyle name="Percent 8 6 3 2 2 2" xfId="43644"/>
    <cellStyle name="Percent 8 6 3 2 3" xfId="43645"/>
    <cellStyle name="Percent 8 6 3 2 3 2" xfId="43646"/>
    <cellStyle name="Percent 8 6 3 2 4" xfId="43647"/>
    <cellStyle name="Percent 8 6 3 2 4 2" xfId="43648"/>
    <cellStyle name="Percent 8 6 3 2 5" xfId="43649"/>
    <cellStyle name="Percent 8 6 3 2 6" xfId="43650"/>
    <cellStyle name="Percent 8 6 3 3" xfId="43651"/>
    <cellStyle name="Percent 8 6 3 3 2" xfId="43652"/>
    <cellStyle name="Percent 8 6 3 3 2 2" xfId="43653"/>
    <cellStyle name="Percent 8 6 3 3 3" xfId="43654"/>
    <cellStyle name="Percent 8 6 3 3 3 2" xfId="43655"/>
    <cellStyle name="Percent 8 6 3 3 4" xfId="43656"/>
    <cellStyle name="Percent 8 6 3 3 4 2" xfId="43657"/>
    <cellStyle name="Percent 8 6 3 3 5" xfId="43658"/>
    <cellStyle name="Percent 8 6 3 3 6" xfId="43659"/>
    <cellStyle name="Percent 8 6 3 4" xfId="43660"/>
    <cellStyle name="Percent 8 6 3 4 2" xfId="43661"/>
    <cellStyle name="Percent 8 6 3 4 2 2" xfId="43662"/>
    <cellStyle name="Percent 8 6 3 4 3" xfId="43663"/>
    <cellStyle name="Percent 8 6 3 4 3 2" xfId="43664"/>
    <cellStyle name="Percent 8 6 3 4 4" xfId="43665"/>
    <cellStyle name="Percent 8 6 3 4 4 2" xfId="43666"/>
    <cellStyle name="Percent 8 6 3 4 5" xfId="43667"/>
    <cellStyle name="Percent 8 6 3 4 6" xfId="43668"/>
    <cellStyle name="Percent 8 6 3 5" xfId="43669"/>
    <cellStyle name="Percent 8 6 3 5 2" xfId="43670"/>
    <cellStyle name="Percent 8 6 3 5 2 2" xfId="43671"/>
    <cellStyle name="Percent 8 6 3 5 3" xfId="43672"/>
    <cellStyle name="Percent 8 6 3 5 3 2" xfId="43673"/>
    <cellStyle name="Percent 8 6 3 5 4" xfId="43674"/>
    <cellStyle name="Percent 8 6 3 5 5" xfId="43675"/>
    <cellStyle name="Percent 8 6 3 6" xfId="43676"/>
    <cellStyle name="Percent 8 6 3 6 2" xfId="43677"/>
    <cellStyle name="Percent 8 6 3 7" xfId="43678"/>
    <cellStyle name="Percent 8 6 3 7 2" xfId="43679"/>
    <cellStyle name="Percent 8 6 3 8" xfId="43680"/>
    <cellStyle name="Percent 8 6 3 8 2" xfId="43681"/>
    <cellStyle name="Percent 8 6 3 9" xfId="43682"/>
    <cellStyle name="Percent 8 6 4" xfId="43683"/>
    <cellStyle name="Percent 8 6 4 2" xfId="43684"/>
    <cellStyle name="Percent 8 6 4 2 2" xfId="43685"/>
    <cellStyle name="Percent 8 6 4 3" xfId="43686"/>
    <cellStyle name="Percent 8 6 4 3 2" xfId="43687"/>
    <cellStyle name="Percent 8 6 4 4" xfId="43688"/>
    <cellStyle name="Percent 8 6 4 4 2" xfId="43689"/>
    <cellStyle name="Percent 8 6 4 5" xfId="43690"/>
    <cellStyle name="Percent 8 6 4 6" xfId="43691"/>
    <cellStyle name="Percent 8 6 5" xfId="43692"/>
    <cellStyle name="Percent 8 6 5 2" xfId="43693"/>
    <cellStyle name="Percent 8 6 5 2 2" xfId="43694"/>
    <cellStyle name="Percent 8 6 5 3" xfId="43695"/>
    <cellStyle name="Percent 8 6 5 3 2" xfId="43696"/>
    <cellStyle name="Percent 8 6 5 4" xfId="43697"/>
    <cellStyle name="Percent 8 6 5 4 2" xfId="43698"/>
    <cellStyle name="Percent 8 6 5 5" xfId="43699"/>
    <cellStyle name="Percent 8 6 5 6" xfId="43700"/>
    <cellStyle name="Percent 8 6 6" xfId="43701"/>
    <cellStyle name="Percent 8 6 6 2" xfId="43702"/>
    <cellStyle name="Percent 8 6 6 2 2" xfId="43703"/>
    <cellStyle name="Percent 8 6 6 3" xfId="43704"/>
    <cellStyle name="Percent 8 6 6 3 2" xfId="43705"/>
    <cellStyle name="Percent 8 6 6 4" xfId="43706"/>
    <cellStyle name="Percent 8 6 6 4 2" xfId="43707"/>
    <cellStyle name="Percent 8 6 6 5" xfId="43708"/>
    <cellStyle name="Percent 8 6 6 6" xfId="43709"/>
    <cellStyle name="Percent 8 6 7" xfId="43710"/>
    <cellStyle name="Percent 8 6 7 2" xfId="43711"/>
    <cellStyle name="Percent 8 6 7 2 2" xfId="43712"/>
    <cellStyle name="Percent 8 6 7 3" xfId="43713"/>
    <cellStyle name="Percent 8 6 7 3 2" xfId="43714"/>
    <cellStyle name="Percent 8 6 7 4" xfId="43715"/>
    <cellStyle name="Percent 8 6 7 5" xfId="43716"/>
    <cellStyle name="Percent 8 6 8" xfId="43717"/>
    <cellStyle name="Percent 8 6 8 2" xfId="43718"/>
    <cellStyle name="Percent 8 6 9" xfId="43719"/>
    <cellStyle name="Percent 8 6 9 2" xfId="43720"/>
    <cellStyle name="Percent 8 7" xfId="43721"/>
    <cellStyle name="Percent 8 7 10" xfId="43722"/>
    <cellStyle name="Percent 8 7 11" xfId="43723"/>
    <cellStyle name="Percent 8 7 2" xfId="43724"/>
    <cellStyle name="Percent 8 7 2 2" xfId="43725"/>
    <cellStyle name="Percent 8 7 2 2 2" xfId="43726"/>
    <cellStyle name="Percent 8 7 2 3" xfId="43727"/>
    <cellStyle name="Percent 8 7 2 3 2" xfId="43728"/>
    <cellStyle name="Percent 8 7 2 4" xfId="43729"/>
    <cellStyle name="Percent 8 7 2 4 2" xfId="43730"/>
    <cellStyle name="Percent 8 7 2 5" xfId="43731"/>
    <cellStyle name="Percent 8 7 2 6" xfId="43732"/>
    <cellStyle name="Percent 8 7 3" xfId="43733"/>
    <cellStyle name="Percent 8 7 3 2" xfId="43734"/>
    <cellStyle name="Percent 8 7 3 2 2" xfId="43735"/>
    <cellStyle name="Percent 8 7 3 3" xfId="43736"/>
    <cellStyle name="Percent 8 7 3 3 2" xfId="43737"/>
    <cellStyle name="Percent 8 7 3 4" xfId="43738"/>
    <cellStyle name="Percent 8 7 3 4 2" xfId="43739"/>
    <cellStyle name="Percent 8 7 3 5" xfId="43740"/>
    <cellStyle name="Percent 8 7 3 6" xfId="43741"/>
    <cellStyle name="Percent 8 7 4" xfId="43742"/>
    <cellStyle name="Percent 8 7 4 2" xfId="43743"/>
    <cellStyle name="Percent 8 7 4 2 2" xfId="43744"/>
    <cellStyle name="Percent 8 7 4 3" xfId="43745"/>
    <cellStyle name="Percent 8 7 4 3 2" xfId="43746"/>
    <cellStyle name="Percent 8 7 4 4" xfId="43747"/>
    <cellStyle name="Percent 8 7 4 4 2" xfId="43748"/>
    <cellStyle name="Percent 8 7 4 5" xfId="43749"/>
    <cellStyle name="Percent 8 7 4 6" xfId="43750"/>
    <cellStyle name="Percent 8 7 5" xfId="43751"/>
    <cellStyle name="Percent 8 7 5 2" xfId="43752"/>
    <cellStyle name="Percent 8 7 5 2 2" xfId="43753"/>
    <cellStyle name="Percent 8 7 5 3" xfId="43754"/>
    <cellStyle name="Percent 8 7 5 3 2" xfId="43755"/>
    <cellStyle name="Percent 8 7 5 4" xfId="43756"/>
    <cellStyle name="Percent 8 7 5 4 2" xfId="43757"/>
    <cellStyle name="Percent 8 7 5 5" xfId="43758"/>
    <cellStyle name="Percent 8 7 5 6" xfId="43759"/>
    <cellStyle name="Percent 8 7 6" xfId="43760"/>
    <cellStyle name="Percent 8 7 6 2" xfId="43761"/>
    <cellStyle name="Percent 8 7 6 2 2" xfId="43762"/>
    <cellStyle name="Percent 8 7 6 3" xfId="43763"/>
    <cellStyle name="Percent 8 7 6 3 2" xfId="43764"/>
    <cellStyle name="Percent 8 7 6 4" xfId="43765"/>
    <cellStyle name="Percent 8 7 6 5" xfId="43766"/>
    <cellStyle name="Percent 8 7 7" xfId="43767"/>
    <cellStyle name="Percent 8 7 7 2" xfId="43768"/>
    <cellStyle name="Percent 8 7 8" xfId="43769"/>
    <cellStyle name="Percent 8 7 8 2" xfId="43770"/>
    <cellStyle name="Percent 8 7 9" xfId="43771"/>
    <cellStyle name="Percent 8 7 9 2" xfId="43772"/>
    <cellStyle name="Percent 8 8" xfId="43773"/>
    <cellStyle name="Percent 8 8 10" xfId="43774"/>
    <cellStyle name="Percent 8 8 2" xfId="43775"/>
    <cellStyle name="Percent 8 8 2 2" xfId="43776"/>
    <cellStyle name="Percent 8 8 2 2 2" xfId="43777"/>
    <cellStyle name="Percent 8 8 2 3" xfId="43778"/>
    <cellStyle name="Percent 8 8 2 3 2" xfId="43779"/>
    <cellStyle name="Percent 8 8 2 4" xfId="43780"/>
    <cellStyle name="Percent 8 8 2 4 2" xfId="43781"/>
    <cellStyle name="Percent 8 8 2 5" xfId="43782"/>
    <cellStyle name="Percent 8 8 2 6" xfId="43783"/>
    <cellStyle name="Percent 8 8 3" xfId="43784"/>
    <cellStyle name="Percent 8 8 3 2" xfId="43785"/>
    <cellStyle name="Percent 8 8 3 2 2" xfId="43786"/>
    <cellStyle name="Percent 8 8 3 3" xfId="43787"/>
    <cellStyle name="Percent 8 8 3 3 2" xfId="43788"/>
    <cellStyle name="Percent 8 8 3 4" xfId="43789"/>
    <cellStyle name="Percent 8 8 3 4 2" xfId="43790"/>
    <cellStyle name="Percent 8 8 3 5" xfId="43791"/>
    <cellStyle name="Percent 8 8 3 6" xfId="43792"/>
    <cellStyle name="Percent 8 8 4" xfId="43793"/>
    <cellStyle name="Percent 8 8 4 2" xfId="43794"/>
    <cellStyle name="Percent 8 8 4 2 2" xfId="43795"/>
    <cellStyle name="Percent 8 8 4 3" xfId="43796"/>
    <cellStyle name="Percent 8 8 4 3 2" xfId="43797"/>
    <cellStyle name="Percent 8 8 4 4" xfId="43798"/>
    <cellStyle name="Percent 8 8 4 4 2" xfId="43799"/>
    <cellStyle name="Percent 8 8 4 5" xfId="43800"/>
    <cellStyle name="Percent 8 8 4 6" xfId="43801"/>
    <cellStyle name="Percent 8 8 5" xfId="43802"/>
    <cellStyle name="Percent 8 8 5 2" xfId="43803"/>
    <cellStyle name="Percent 8 8 5 2 2" xfId="43804"/>
    <cellStyle name="Percent 8 8 5 3" xfId="43805"/>
    <cellStyle name="Percent 8 8 5 3 2" xfId="43806"/>
    <cellStyle name="Percent 8 8 5 4" xfId="43807"/>
    <cellStyle name="Percent 8 8 5 5" xfId="43808"/>
    <cellStyle name="Percent 8 8 6" xfId="43809"/>
    <cellStyle name="Percent 8 8 6 2" xfId="43810"/>
    <cellStyle name="Percent 8 8 7" xfId="43811"/>
    <cellStyle name="Percent 8 8 7 2" xfId="43812"/>
    <cellStyle name="Percent 8 8 8" xfId="43813"/>
    <cellStyle name="Percent 8 8 8 2" xfId="43814"/>
    <cellStyle name="Percent 8 8 9" xfId="43815"/>
    <cellStyle name="Percent 8 9" xfId="43816"/>
    <cellStyle name="Percent 8 9 10" xfId="43817"/>
    <cellStyle name="Percent 8 9 2" xfId="43818"/>
    <cellStyle name="Percent 8 9 2 2" xfId="43819"/>
    <cellStyle name="Percent 8 9 2 2 2" xfId="43820"/>
    <cellStyle name="Percent 8 9 2 3" xfId="43821"/>
    <cellStyle name="Percent 8 9 2 3 2" xfId="43822"/>
    <cellStyle name="Percent 8 9 2 4" xfId="43823"/>
    <cellStyle name="Percent 8 9 2 4 2" xfId="43824"/>
    <cellStyle name="Percent 8 9 2 5" xfId="43825"/>
    <cellStyle name="Percent 8 9 2 6" xfId="43826"/>
    <cellStyle name="Percent 8 9 3" xfId="43827"/>
    <cellStyle name="Percent 8 9 3 2" xfId="43828"/>
    <cellStyle name="Percent 8 9 3 2 2" xfId="43829"/>
    <cellStyle name="Percent 8 9 3 3" xfId="43830"/>
    <cellStyle name="Percent 8 9 3 3 2" xfId="43831"/>
    <cellStyle name="Percent 8 9 3 4" xfId="43832"/>
    <cellStyle name="Percent 8 9 3 4 2" xfId="43833"/>
    <cellStyle name="Percent 8 9 3 5" xfId="43834"/>
    <cellStyle name="Percent 8 9 3 6" xfId="43835"/>
    <cellStyle name="Percent 8 9 4" xfId="43836"/>
    <cellStyle name="Percent 8 9 4 2" xfId="43837"/>
    <cellStyle name="Percent 8 9 4 2 2" xfId="43838"/>
    <cellStyle name="Percent 8 9 4 3" xfId="43839"/>
    <cellStyle name="Percent 8 9 4 3 2" xfId="43840"/>
    <cellStyle name="Percent 8 9 4 4" xfId="43841"/>
    <cellStyle name="Percent 8 9 4 4 2" xfId="43842"/>
    <cellStyle name="Percent 8 9 4 5" xfId="43843"/>
    <cellStyle name="Percent 8 9 4 6" xfId="43844"/>
    <cellStyle name="Percent 8 9 5" xfId="43845"/>
    <cellStyle name="Percent 8 9 5 2" xfId="43846"/>
    <cellStyle name="Percent 8 9 5 2 2" xfId="43847"/>
    <cellStyle name="Percent 8 9 5 3" xfId="43848"/>
    <cellStyle name="Percent 8 9 5 3 2" xfId="43849"/>
    <cellStyle name="Percent 8 9 5 4" xfId="43850"/>
    <cellStyle name="Percent 8 9 5 5" xfId="43851"/>
    <cellStyle name="Percent 8 9 6" xfId="43852"/>
    <cellStyle name="Percent 8 9 6 2" xfId="43853"/>
    <cellStyle name="Percent 8 9 7" xfId="43854"/>
    <cellStyle name="Percent 8 9 7 2" xfId="43855"/>
    <cellStyle name="Percent 8 9 8" xfId="43856"/>
    <cellStyle name="Percent 8 9 8 2" xfId="43857"/>
    <cellStyle name="Percent 8 9 9" xfId="43858"/>
    <cellStyle name="Percent 9" xfId="43859"/>
    <cellStyle name="Percent 9 2" xfId="43860"/>
    <cellStyle name="Percent 9 2 2" xfId="43861"/>
    <cellStyle name="Percent 9 3" xfId="43862"/>
    <cellStyle name="Phase" xfId="43863"/>
    <cellStyle name="Proposal" xfId="43864"/>
    <cellStyle name="PSChar" xfId="63"/>
    <cellStyle name="PSDate" xfId="43865"/>
    <cellStyle name="PSDec" xfId="64"/>
    <cellStyle name="PSDetail" xfId="43866"/>
    <cellStyle name="PSHeading" xfId="65"/>
    <cellStyle name="PSInt" xfId="43867"/>
    <cellStyle name="PSSpacer" xfId="43868"/>
    <cellStyle name="R01A" xfId="43869"/>
    <cellStyle name="Rangename" xfId="43870"/>
    <cellStyle name="Rangenames" xfId="43871"/>
    <cellStyle name="Result field" xfId="43872"/>
    <cellStyle name="Result field 2" xfId="43873"/>
    <cellStyle name="Result field_KY NBV" xfId="43874"/>
    <cellStyle name="RowLevel_" xfId="43875"/>
    <cellStyle name="Schedule Heading" xfId="43876"/>
    <cellStyle name="Screen Display Heading" xfId="43877"/>
    <cellStyle name="Setup" xfId="43878"/>
    <cellStyle name="Shade" xfId="43879"/>
    <cellStyle name="Shading" xfId="43880"/>
    <cellStyle name="SMALL HEADINGS" xfId="43881"/>
    <cellStyle name="Standard_By Team" xfId="43882"/>
    <cellStyle name="Style 1" xfId="43883"/>
    <cellStyle name="SUB HEADING" xfId="43884"/>
    <cellStyle name="Subheading" xfId="43885"/>
    <cellStyle name="Summary Column Cell" xfId="43886"/>
    <cellStyle name="Summary Column Cell 2" xfId="43887"/>
    <cellStyle name="Summary Column Cell_KY NBV" xfId="43888"/>
    <cellStyle name="Title 2" xfId="43889"/>
    <cellStyle name="Title 3" xfId="43890"/>
    <cellStyle name="Total 2" xfId="43891"/>
    <cellStyle name="Total 2 2" xfId="43892"/>
    <cellStyle name="Total 2 3" xfId="43893"/>
    <cellStyle name="Total 2 4" xfId="43894"/>
    <cellStyle name="Total 2 5" xfId="43895"/>
    <cellStyle name="Total 2 6" xfId="43896"/>
    <cellStyle name="Total 3" xfId="43897"/>
    <cellStyle name="Total 3 2" xfId="43898"/>
    <cellStyle name="Total 4" xfId="43899"/>
    <cellStyle name="Total 5" xfId="43900"/>
    <cellStyle name="Transition" xfId="43901"/>
    <cellStyle name="ubordinated Debt" xfId="43902"/>
    <cellStyle name="Undefined" xfId="43903"/>
    <cellStyle name="UNITS" xfId="43904"/>
    <cellStyle name="Unprot" xfId="43905"/>
    <cellStyle name="Unprot 2" xfId="43906"/>
    <cellStyle name="Unprot 3" xfId="43907"/>
    <cellStyle name="Unprot 4" xfId="43908"/>
    <cellStyle name="Unprot 5" xfId="43909"/>
    <cellStyle name="Unprot$" xfId="43910"/>
    <cellStyle name="Unprot$ 2" xfId="43911"/>
    <cellStyle name="Unprot$ 3" xfId="43912"/>
    <cellStyle name="Unprot$ 4" xfId="43913"/>
    <cellStyle name="Unprot$ 5" xfId="43914"/>
    <cellStyle name="Unprot_0308 USFE&amp;G Financial Results Summary" xfId="43915"/>
    <cellStyle name="Unprotect" xfId="43916"/>
    <cellStyle name="UNSHADED" xfId="43917"/>
    <cellStyle name="Variable Inputs" xfId="43918"/>
    <cellStyle name="Variable Inputs 2" xfId="43919"/>
    <cellStyle name="Variable Inputs 3" xfId="43920"/>
    <cellStyle name="Variable Inputs 4" xfId="43921"/>
    <cellStyle name="Variable Inputs 5" xfId="43922"/>
    <cellStyle name="Variable Inputs 6" xfId="43923"/>
    <cellStyle name="Variable Inputs 7" xfId="43924"/>
    <cellStyle name="Variable Inputs 8" xfId="43925"/>
    <cellStyle name="Variable Inputs 9" xfId="43926"/>
    <cellStyle name="Währung [0]_fee projec" xfId="43927"/>
    <cellStyle name="Währung_fee projec" xfId="43928"/>
    <cellStyle name="Warning Text 2" xfId="43929"/>
    <cellStyle name="Warning Text 2 2" xfId="43930"/>
    <cellStyle name="Warning Text 3" xfId="43931"/>
    <cellStyle name="years" xfId="43932"/>
    <cellStyle name="콤마 [0]_VERA" xfId="43933"/>
    <cellStyle name="콤마_VERA" xfId="43934"/>
    <cellStyle name="하이퍼링크_VERA" xfId="43935"/>
  </cellStyles>
  <dxfs count="0"/>
  <tableStyles count="0" defaultTableStyle="TableStyleMedium9" defaultPivotStyle="PivotStyleLight16"/>
  <colors>
    <mruColors>
      <color rgb="FF0000FF"/>
      <color rgb="FF00FF00"/>
      <color rgb="FF9966FF"/>
      <color rgb="FF3333FF"/>
      <color rgb="FFFF0066"/>
      <color rgb="FF66CCFF"/>
      <color rgb="FF000099"/>
      <color rgb="FF9933FF"/>
      <color rgb="FFFA9500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07" Type="http://schemas.openxmlformats.org/officeDocument/2006/relationships/customXml" Target="../customXml/item1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theme" Target="theme/theme1.xml"/><Relationship Id="rId108" Type="http://schemas.openxmlformats.org/officeDocument/2006/relationships/customXml" Target="../customXml/item2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ustomXml" Target="../customXml/item3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579120</xdr:colOff>
      <xdr:row>44</xdr:row>
      <xdr:rowOff>0</xdr:rowOff>
    </xdr:from>
    <xdr:to>
      <xdr:col>22</xdr:col>
      <xdr:colOff>579120</xdr:colOff>
      <xdr:row>44</xdr:row>
      <xdr:rowOff>0</xdr:rowOff>
    </xdr:to>
    <xdr:sp macro="" textlink="">
      <xdr:nvSpPr>
        <xdr:cNvPr id="71709" name="Line 2"/>
        <xdr:cNvSpPr>
          <a:spLocks noChangeShapeType="1"/>
        </xdr:cNvSpPr>
      </xdr:nvSpPr>
      <xdr:spPr bwMode="auto">
        <a:xfrm flipV="1">
          <a:off x="19453860" y="135407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624840</xdr:colOff>
      <xdr:row>53</xdr:row>
      <xdr:rowOff>144780</xdr:rowOff>
    </xdr:from>
    <xdr:to>
      <xdr:col>19</xdr:col>
      <xdr:colOff>624840</xdr:colOff>
      <xdr:row>56</xdr:row>
      <xdr:rowOff>7620</xdr:rowOff>
    </xdr:to>
    <xdr:sp macro="" textlink="">
      <xdr:nvSpPr>
        <xdr:cNvPr id="14346" name="Line 1"/>
        <xdr:cNvSpPr>
          <a:spLocks noChangeShapeType="1"/>
        </xdr:cNvSpPr>
      </xdr:nvSpPr>
      <xdr:spPr bwMode="auto">
        <a:xfrm flipV="1">
          <a:off x="15339060" y="10271760"/>
          <a:ext cx="0" cy="44196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624840</xdr:colOff>
      <xdr:row>53</xdr:row>
      <xdr:rowOff>144780</xdr:rowOff>
    </xdr:from>
    <xdr:to>
      <xdr:col>19</xdr:col>
      <xdr:colOff>624840</xdr:colOff>
      <xdr:row>56</xdr:row>
      <xdr:rowOff>7620</xdr:rowOff>
    </xdr:to>
    <xdr:sp macro="" textlink="">
      <xdr:nvSpPr>
        <xdr:cNvPr id="45066" name="Line 1"/>
        <xdr:cNvSpPr>
          <a:spLocks noChangeShapeType="1"/>
        </xdr:cNvSpPr>
      </xdr:nvSpPr>
      <xdr:spPr bwMode="auto">
        <a:xfrm flipV="1">
          <a:off x="15339060" y="10271760"/>
          <a:ext cx="0" cy="44196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624840</xdr:colOff>
      <xdr:row>53</xdr:row>
      <xdr:rowOff>144780</xdr:rowOff>
    </xdr:from>
    <xdr:to>
      <xdr:col>19</xdr:col>
      <xdr:colOff>624840</xdr:colOff>
      <xdr:row>56</xdr:row>
      <xdr:rowOff>7620</xdr:rowOff>
    </xdr:to>
    <xdr:sp macro="" textlink="">
      <xdr:nvSpPr>
        <xdr:cNvPr id="15370" name="Line 1"/>
        <xdr:cNvSpPr>
          <a:spLocks noChangeShapeType="1"/>
        </xdr:cNvSpPr>
      </xdr:nvSpPr>
      <xdr:spPr bwMode="auto">
        <a:xfrm flipV="1">
          <a:off x="15339060" y="10271760"/>
          <a:ext cx="0" cy="44196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624840</xdr:colOff>
      <xdr:row>53</xdr:row>
      <xdr:rowOff>144780</xdr:rowOff>
    </xdr:from>
    <xdr:to>
      <xdr:col>19</xdr:col>
      <xdr:colOff>624840</xdr:colOff>
      <xdr:row>56</xdr:row>
      <xdr:rowOff>7620</xdr:rowOff>
    </xdr:to>
    <xdr:sp macro="" textlink="">
      <xdr:nvSpPr>
        <xdr:cNvPr id="16394" name="Line 1"/>
        <xdr:cNvSpPr>
          <a:spLocks noChangeShapeType="1"/>
        </xdr:cNvSpPr>
      </xdr:nvSpPr>
      <xdr:spPr bwMode="auto">
        <a:xfrm flipV="1">
          <a:off x="15339060" y="10271760"/>
          <a:ext cx="0" cy="44196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624840</xdr:colOff>
      <xdr:row>53</xdr:row>
      <xdr:rowOff>144780</xdr:rowOff>
    </xdr:from>
    <xdr:to>
      <xdr:col>19</xdr:col>
      <xdr:colOff>624840</xdr:colOff>
      <xdr:row>56</xdr:row>
      <xdr:rowOff>7620</xdr:rowOff>
    </xdr:to>
    <xdr:sp macro="" textlink="">
      <xdr:nvSpPr>
        <xdr:cNvPr id="17418" name="Line 1"/>
        <xdr:cNvSpPr>
          <a:spLocks noChangeShapeType="1"/>
        </xdr:cNvSpPr>
      </xdr:nvSpPr>
      <xdr:spPr bwMode="auto">
        <a:xfrm flipV="1">
          <a:off x="15811500" y="10271760"/>
          <a:ext cx="0" cy="44196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624840</xdr:colOff>
      <xdr:row>53</xdr:row>
      <xdr:rowOff>144780</xdr:rowOff>
    </xdr:from>
    <xdr:to>
      <xdr:col>19</xdr:col>
      <xdr:colOff>624840</xdr:colOff>
      <xdr:row>56</xdr:row>
      <xdr:rowOff>7620</xdr:rowOff>
    </xdr:to>
    <xdr:sp macro="" textlink="">
      <xdr:nvSpPr>
        <xdr:cNvPr id="18442" name="Line 1"/>
        <xdr:cNvSpPr>
          <a:spLocks noChangeShapeType="1"/>
        </xdr:cNvSpPr>
      </xdr:nvSpPr>
      <xdr:spPr bwMode="auto">
        <a:xfrm flipV="1">
          <a:off x="15659100" y="10271760"/>
          <a:ext cx="0" cy="44196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624840</xdr:colOff>
      <xdr:row>53</xdr:row>
      <xdr:rowOff>144780</xdr:rowOff>
    </xdr:from>
    <xdr:to>
      <xdr:col>19</xdr:col>
      <xdr:colOff>624840</xdr:colOff>
      <xdr:row>56</xdr:row>
      <xdr:rowOff>7620</xdr:rowOff>
    </xdr:to>
    <xdr:sp macro="" textlink="">
      <xdr:nvSpPr>
        <xdr:cNvPr id="19466" name="Line 1"/>
        <xdr:cNvSpPr>
          <a:spLocks noChangeShapeType="1"/>
        </xdr:cNvSpPr>
      </xdr:nvSpPr>
      <xdr:spPr bwMode="auto">
        <a:xfrm flipV="1">
          <a:off x="15659100" y="10271760"/>
          <a:ext cx="0" cy="44196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624840</xdr:colOff>
      <xdr:row>53</xdr:row>
      <xdr:rowOff>144780</xdr:rowOff>
    </xdr:from>
    <xdr:to>
      <xdr:col>19</xdr:col>
      <xdr:colOff>624840</xdr:colOff>
      <xdr:row>56</xdr:row>
      <xdr:rowOff>7620</xdr:rowOff>
    </xdr:to>
    <xdr:sp macro="" textlink="">
      <xdr:nvSpPr>
        <xdr:cNvPr id="41994" name="Line 1"/>
        <xdr:cNvSpPr>
          <a:spLocks noChangeShapeType="1"/>
        </xdr:cNvSpPr>
      </xdr:nvSpPr>
      <xdr:spPr bwMode="auto">
        <a:xfrm flipV="1">
          <a:off x="15659100" y="10271760"/>
          <a:ext cx="0" cy="44196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624840</xdr:colOff>
      <xdr:row>53</xdr:row>
      <xdr:rowOff>144780</xdr:rowOff>
    </xdr:from>
    <xdr:to>
      <xdr:col>19</xdr:col>
      <xdr:colOff>624840</xdr:colOff>
      <xdr:row>56</xdr:row>
      <xdr:rowOff>7620</xdr:rowOff>
    </xdr:to>
    <xdr:sp macro="" textlink="">
      <xdr:nvSpPr>
        <xdr:cNvPr id="20490" name="Line 1"/>
        <xdr:cNvSpPr>
          <a:spLocks noChangeShapeType="1"/>
        </xdr:cNvSpPr>
      </xdr:nvSpPr>
      <xdr:spPr bwMode="auto">
        <a:xfrm flipV="1">
          <a:off x="15659100" y="10271760"/>
          <a:ext cx="0" cy="44196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624840</xdr:colOff>
      <xdr:row>60</xdr:row>
      <xdr:rowOff>144780</xdr:rowOff>
    </xdr:from>
    <xdr:to>
      <xdr:col>19</xdr:col>
      <xdr:colOff>624840</xdr:colOff>
      <xdr:row>63</xdr:row>
      <xdr:rowOff>7620</xdr:rowOff>
    </xdr:to>
    <xdr:sp macro="" textlink="">
      <xdr:nvSpPr>
        <xdr:cNvPr id="21514" name="Line 1"/>
        <xdr:cNvSpPr>
          <a:spLocks noChangeShapeType="1"/>
        </xdr:cNvSpPr>
      </xdr:nvSpPr>
      <xdr:spPr bwMode="auto">
        <a:xfrm flipV="1">
          <a:off x="15339060" y="11605260"/>
          <a:ext cx="0" cy="44196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548640</xdr:colOff>
      <xdr:row>42</xdr:row>
      <xdr:rowOff>106680</xdr:rowOff>
    </xdr:from>
    <xdr:to>
      <xdr:col>5</xdr:col>
      <xdr:colOff>548640</xdr:colOff>
      <xdr:row>44</xdr:row>
      <xdr:rowOff>121920</xdr:rowOff>
    </xdr:to>
    <xdr:sp macro="" textlink="">
      <xdr:nvSpPr>
        <xdr:cNvPr id="66570" name="Line 1"/>
        <xdr:cNvSpPr>
          <a:spLocks noChangeShapeType="1"/>
        </xdr:cNvSpPr>
      </xdr:nvSpPr>
      <xdr:spPr bwMode="auto">
        <a:xfrm flipV="1">
          <a:off x="6408420" y="6819900"/>
          <a:ext cx="0" cy="35052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8</xdr:col>
      <xdr:colOff>548640</xdr:colOff>
      <xdr:row>42</xdr:row>
      <xdr:rowOff>106680</xdr:rowOff>
    </xdr:from>
    <xdr:to>
      <xdr:col>8</xdr:col>
      <xdr:colOff>548640</xdr:colOff>
      <xdr:row>44</xdr:row>
      <xdr:rowOff>121920</xdr:rowOff>
    </xdr:to>
    <xdr:sp macro="" textlink="">
      <xdr:nvSpPr>
        <xdr:cNvPr id="3" name="Line 1"/>
        <xdr:cNvSpPr>
          <a:spLocks noChangeShapeType="1"/>
        </xdr:cNvSpPr>
      </xdr:nvSpPr>
      <xdr:spPr bwMode="auto">
        <a:xfrm flipV="1">
          <a:off x="6406515" y="6964680"/>
          <a:ext cx="0" cy="35814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15</xdr:col>
      <xdr:colOff>508000</xdr:colOff>
      <xdr:row>42</xdr:row>
      <xdr:rowOff>127000</xdr:rowOff>
    </xdr:from>
    <xdr:to>
      <xdr:col>15</xdr:col>
      <xdr:colOff>508000</xdr:colOff>
      <xdr:row>44</xdr:row>
      <xdr:rowOff>142240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 flipV="1">
          <a:off x="14612620" y="6840220"/>
          <a:ext cx="0" cy="35052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10</xdr:col>
      <xdr:colOff>548640</xdr:colOff>
      <xdr:row>42</xdr:row>
      <xdr:rowOff>106680</xdr:rowOff>
    </xdr:from>
    <xdr:to>
      <xdr:col>10</xdr:col>
      <xdr:colOff>548640</xdr:colOff>
      <xdr:row>44</xdr:row>
      <xdr:rowOff>121920</xdr:rowOff>
    </xdr:to>
    <xdr:sp macro="" textlink="">
      <xdr:nvSpPr>
        <xdr:cNvPr id="5" name="Line 1"/>
        <xdr:cNvSpPr>
          <a:spLocks noChangeShapeType="1"/>
        </xdr:cNvSpPr>
      </xdr:nvSpPr>
      <xdr:spPr bwMode="auto">
        <a:xfrm flipV="1">
          <a:off x="6406515" y="7307580"/>
          <a:ext cx="0" cy="35814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844974</xdr:colOff>
      <xdr:row>72</xdr:row>
      <xdr:rowOff>144780</xdr:rowOff>
    </xdr:from>
    <xdr:to>
      <xdr:col>19</xdr:col>
      <xdr:colOff>844974</xdr:colOff>
      <xdr:row>75</xdr:row>
      <xdr:rowOff>7620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 flipV="1">
          <a:off x="13867554" y="12230100"/>
          <a:ext cx="0" cy="36576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101</xdr:col>
      <xdr:colOff>502920</xdr:colOff>
      <xdr:row>385</xdr:row>
      <xdr:rowOff>30480</xdr:rowOff>
    </xdr:from>
    <xdr:to>
      <xdr:col>101</xdr:col>
      <xdr:colOff>502920</xdr:colOff>
      <xdr:row>386</xdr:row>
      <xdr:rowOff>7620</xdr:rowOff>
    </xdr:to>
    <xdr:sp macro="" textlink="">
      <xdr:nvSpPr>
        <xdr:cNvPr id="25665" name="Line 1"/>
        <xdr:cNvSpPr>
          <a:spLocks noChangeShapeType="1"/>
        </xdr:cNvSpPr>
      </xdr:nvSpPr>
      <xdr:spPr bwMode="auto">
        <a:xfrm flipV="1">
          <a:off x="92964000" y="94800420"/>
          <a:ext cx="0" cy="16764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58</xdr:col>
      <xdr:colOff>7620</xdr:colOff>
      <xdr:row>259</xdr:row>
      <xdr:rowOff>106680</xdr:rowOff>
    </xdr:from>
    <xdr:to>
      <xdr:col>58</xdr:col>
      <xdr:colOff>152400</xdr:colOff>
      <xdr:row>259</xdr:row>
      <xdr:rowOff>106680</xdr:rowOff>
    </xdr:to>
    <xdr:sp macro="" textlink="">
      <xdr:nvSpPr>
        <xdr:cNvPr id="25666" name="Line 2"/>
        <xdr:cNvSpPr>
          <a:spLocks noChangeShapeType="1"/>
        </xdr:cNvSpPr>
      </xdr:nvSpPr>
      <xdr:spPr bwMode="auto">
        <a:xfrm>
          <a:off x="59154060" y="57462420"/>
          <a:ext cx="14478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624840</xdr:colOff>
      <xdr:row>102</xdr:row>
      <xdr:rowOff>144780</xdr:rowOff>
    </xdr:from>
    <xdr:to>
      <xdr:col>19</xdr:col>
      <xdr:colOff>624840</xdr:colOff>
      <xdr:row>105</xdr:row>
      <xdr:rowOff>7620</xdr:rowOff>
    </xdr:to>
    <xdr:sp macro="" textlink="">
      <xdr:nvSpPr>
        <xdr:cNvPr id="50187" name="Line 1"/>
        <xdr:cNvSpPr>
          <a:spLocks noChangeShapeType="1"/>
        </xdr:cNvSpPr>
      </xdr:nvSpPr>
      <xdr:spPr bwMode="auto">
        <a:xfrm flipV="1">
          <a:off x="17350740" y="11605260"/>
          <a:ext cx="0" cy="44196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45720</xdr:colOff>
      <xdr:row>26</xdr:row>
      <xdr:rowOff>114300</xdr:rowOff>
    </xdr:from>
    <xdr:to>
      <xdr:col>8</xdr:col>
      <xdr:colOff>495300</xdr:colOff>
      <xdr:row>26</xdr:row>
      <xdr:rowOff>114300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 flipH="1">
          <a:off x="4434840" y="4472940"/>
          <a:ext cx="44958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1295400</xdr:colOff>
      <xdr:row>25</xdr:row>
      <xdr:rowOff>99060</xdr:rowOff>
    </xdr:from>
    <xdr:to>
      <xdr:col>8</xdr:col>
      <xdr:colOff>480060</xdr:colOff>
      <xdr:row>25</xdr:row>
      <xdr:rowOff>99060</xdr:rowOff>
    </xdr:to>
    <xdr:sp macro="" textlink="">
      <xdr:nvSpPr>
        <xdr:cNvPr id="69644" name="Line 1"/>
        <xdr:cNvSpPr>
          <a:spLocks noChangeShapeType="1"/>
        </xdr:cNvSpPr>
      </xdr:nvSpPr>
      <xdr:spPr bwMode="auto">
        <a:xfrm flipH="1">
          <a:off x="6377940" y="4861560"/>
          <a:ext cx="48006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548640</xdr:colOff>
      <xdr:row>25</xdr:row>
      <xdr:rowOff>106680</xdr:rowOff>
    </xdr:from>
    <xdr:to>
      <xdr:col>3</xdr:col>
      <xdr:colOff>548640</xdr:colOff>
      <xdr:row>27</xdr:row>
      <xdr:rowOff>121920</xdr:rowOff>
    </xdr:to>
    <xdr:sp macro="" textlink="">
      <xdr:nvSpPr>
        <xdr:cNvPr id="67594" name="Line 1"/>
        <xdr:cNvSpPr>
          <a:spLocks noChangeShapeType="1"/>
        </xdr:cNvSpPr>
      </xdr:nvSpPr>
      <xdr:spPr bwMode="auto">
        <a:xfrm flipV="1">
          <a:off x="2575560" y="4297680"/>
          <a:ext cx="0" cy="35052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7</xdr:col>
      <xdr:colOff>548640</xdr:colOff>
      <xdr:row>25</xdr:row>
      <xdr:rowOff>106680</xdr:rowOff>
    </xdr:from>
    <xdr:to>
      <xdr:col>7</xdr:col>
      <xdr:colOff>548640</xdr:colOff>
      <xdr:row>27</xdr:row>
      <xdr:rowOff>121920</xdr:rowOff>
    </xdr:to>
    <xdr:sp macro="" textlink="">
      <xdr:nvSpPr>
        <xdr:cNvPr id="3" name="Line 1"/>
        <xdr:cNvSpPr>
          <a:spLocks noChangeShapeType="1"/>
        </xdr:cNvSpPr>
      </xdr:nvSpPr>
      <xdr:spPr bwMode="auto">
        <a:xfrm flipV="1">
          <a:off x="2722880" y="4424680"/>
          <a:ext cx="0" cy="36068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11</xdr:col>
      <xdr:colOff>548640</xdr:colOff>
      <xdr:row>25</xdr:row>
      <xdr:rowOff>106680</xdr:rowOff>
    </xdr:from>
    <xdr:to>
      <xdr:col>11</xdr:col>
      <xdr:colOff>548640</xdr:colOff>
      <xdr:row>27</xdr:row>
      <xdr:rowOff>121920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 flipV="1">
          <a:off x="2722880" y="4424680"/>
          <a:ext cx="0" cy="36068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548640</xdr:colOff>
      <xdr:row>25</xdr:row>
      <xdr:rowOff>106680</xdr:rowOff>
    </xdr:from>
    <xdr:to>
      <xdr:col>3</xdr:col>
      <xdr:colOff>548640</xdr:colOff>
      <xdr:row>27</xdr:row>
      <xdr:rowOff>121920</xdr:rowOff>
    </xdr:to>
    <xdr:sp macro="" textlink="">
      <xdr:nvSpPr>
        <xdr:cNvPr id="68618" name="Line 1"/>
        <xdr:cNvSpPr>
          <a:spLocks noChangeShapeType="1"/>
        </xdr:cNvSpPr>
      </xdr:nvSpPr>
      <xdr:spPr bwMode="auto">
        <a:xfrm flipV="1">
          <a:off x="2781300" y="4297680"/>
          <a:ext cx="0" cy="35052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7</xdr:col>
      <xdr:colOff>548640</xdr:colOff>
      <xdr:row>25</xdr:row>
      <xdr:rowOff>106680</xdr:rowOff>
    </xdr:from>
    <xdr:to>
      <xdr:col>7</xdr:col>
      <xdr:colOff>548640</xdr:colOff>
      <xdr:row>27</xdr:row>
      <xdr:rowOff>121920</xdr:rowOff>
    </xdr:to>
    <xdr:sp macro="" textlink="">
      <xdr:nvSpPr>
        <xdr:cNvPr id="3" name="Line 1"/>
        <xdr:cNvSpPr>
          <a:spLocks noChangeShapeType="1"/>
        </xdr:cNvSpPr>
      </xdr:nvSpPr>
      <xdr:spPr bwMode="auto">
        <a:xfrm flipV="1">
          <a:off x="2783840" y="4424680"/>
          <a:ext cx="0" cy="36068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11</xdr:col>
      <xdr:colOff>548640</xdr:colOff>
      <xdr:row>25</xdr:row>
      <xdr:rowOff>106680</xdr:rowOff>
    </xdr:from>
    <xdr:to>
      <xdr:col>11</xdr:col>
      <xdr:colOff>548640</xdr:colOff>
      <xdr:row>27</xdr:row>
      <xdr:rowOff>121920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 flipV="1">
          <a:off x="2783840" y="4424680"/>
          <a:ext cx="0" cy="36068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61</xdr:col>
      <xdr:colOff>731520</xdr:colOff>
      <xdr:row>224</xdr:row>
      <xdr:rowOff>106680</xdr:rowOff>
    </xdr:from>
    <xdr:to>
      <xdr:col>61</xdr:col>
      <xdr:colOff>731520</xdr:colOff>
      <xdr:row>225</xdr:row>
      <xdr:rowOff>152400</xdr:rowOff>
    </xdr:to>
    <xdr:sp macro="" textlink="">
      <xdr:nvSpPr>
        <xdr:cNvPr id="5188" name="Line 11"/>
        <xdr:cNvSpPr>
          <a:spLocks noChangeShapeType="1"/>
        </xdr:cNvSpPr>
      </xdr:nvSpPr>
      <xdr:spPr bwMode="auto">
        <a:xfrm>
          <a:off x="55549800" y="53781960"/>
          <a:ext cx="0" cy="24384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4</xdr:col>
      <xdr:colOff>708660</xdr:colOff>
      <xdr:row>33</xdr:row>
      <xdr:rowOff>68580</xdr:rowOff>
    </xdr:from>
    <xdr:to>
      <xdr:col>4</xdr:col>
      <xdr:colOff>708660</xdr:colOff>
      <xdr:row>34</xdr:row>
      <xdr:rowOff>114300</xdr:rowOff>
    </xdr:to>
    <xdr:sp macro="" textlink="">
      <xdr:nvSpPr>
        <xdr:cNvPr id="5189" name="Line 26"/>
        <xdr:cNvSpPr>
          <a:spLocks noChangeShapeType="1"/>
        </xdr:cNvSpPr>
      </xdr:nvSpPr>
      <xdr:spPr bwMode="auto">
        <a:xfrm flipV="1">
          <a:off x="7520940" y="6233160"/>
          <a:ext cx="0" cy="24384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6</xdr:col>
      <xdr:colOff>708660</xdr:colOff>
      <xdr:row>33</xdr:row>
      <xdr:rowOff>68580</xdr:rowOff>
    </xdr:from>
    <xdr:to>
      <xdr:col>6</xdr:col>
      <xdr:colOff>708660</xdr:colOff>
      <xdr:row>34</xdr:row>
      <xdr:rowOff>114300</xdr:rowOff>
    </xdr:to>
    <xdr:sp macro="" textlink="">
      <xdr:nvSpPr>
        <xdr:cNvPr id="5190" name="Line 27"/>
        <xdr:cNvSpPr>
          <a:spLocks noChangeShapeType="1"/>
        </xdr:cNvSpPr>
      </xdr:nvSpPr>
      <xdr:spPr bwMode="auto">
        <a:xfrm flipV="1">
          <a:off x="8938260" y="6233160"/>
          <a:ext cx="0" cy="24384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68580</xdr:colOff>
      <xdr:row>53</xdr:row>
      <xdr:rowOff>114300</xdr:rowOff>
    </xdr:from>
    <xdr:to>
      <xdr:col>14</xdr:col>
      <xdr:colOff>419100</xdr:colOff>
      <xdr:row>53</xdr:row>
      <xdr:rowOff>114300</xdr:rowOff>
    </xdr:to>
    <xdr:sp macro="" textlink="">
      <xdr:nvSpPr>
        <xdr:cNvPr id="7197" name="Line 2"/>
        <xdr:cNvSpPr>
          <a:spLocks noChangeShapeType="1"/>
        </xdr:cNvSpPr>
      </xdr:nvSpPr>
      <xdr:spPr bwMode="auto">
        <a:xfrm flipH="1" flipV="1">
          <a:off x="16184880" y="11163300"/>
          <a:ext cx="35052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14</xdr:col>
      <xdr:colOff>68580</xdr:colOff>
      <xdr:row>62</xdr:row>
      <xdr:rowOff>114300</xdr:rowOff>
    </xdr:from>
    <xdr:to>
      <xdr:col>14</xdr:col>
      <xdr:colOff>419100</xdr:colOff>
      <xdr:row>62</xdr:row>
      <xdr:rowOff>114300</xdr:rowOff>
    </xdr:to>
    <xdr:sp macro="" textlink="">
      <xdr:nvSpPr>
        <xdr:cNvPr id="7198" name="Line 3"/>
        <xdr:cNvSpPr>
          <a:spLocks noChangeShapeType="1"/>
        </xdr:cNvSpPr>
      </xdr:nvSpPr>
      <xdr:spPr bwMode="auto">
        <a:xfrm flipH="1" flipV="1">
          <a:off x="16184880" y="12877800"/>
          <a:ext cx="35052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14</xdr:col>
      <xdr:colOff>68580</xdr:colOff>
      <xdr:row>64</xdr:row>
      <xdr:rowOff>114300</xdr:rowOff>
    </xdr:from>
    <xdr:to>
      <xdr:col>14</xdr:col>
      <xdr:colOff>419100</xdr:colOff>
      <xdr:row>64</xdr:row>
      <xdr:rowOff>114300</xdr:rowOff>
    </xdr:to>
    <xdr:sp macro="" textlink="">
      <xdr:nvSpPr>
        <xdr:cNvPr id="7199" name="Line 4"/>
        <xdr:cNvSpPr>
          <a:spLocks noChangeShapeType="1"/>
        </xdr:cNvSpPr>
      </xdr:nvSpPr>
      <xdr:spPr bwMode="auto">
        <a:xfrm flipH="1" flipV="1">
          <a:off x="16184880" y="13258800"/>
          <a:ext cx="35052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624840</xdr:colOff>
      <xdr:row>57</xdr:row>
      <xdr:rowOff>144780</xdr:rowOff>
    </xdr:from>
    <xdr:to>
      <xdr:col>19</xdr:col>
      <xdr:colOff>624840</xdr:colOff>
      <xdr:row>60</xdr:row>
      <xdr:rowOff>7620</xdr:rowOff>
    </xdr:to>
    <xdr:sp macro="" textlink="">
      <xdr:nvSpPr>
        <xdr:cNvPr id="11274" name="Line 1"/>
        <xdr:cNvSpPr>
          <a:spLocks noChangeShapeType="1"/>
        </xdr:cNvSpPr>
      </xdr:nvSpPr>
      <xdr:spPr bwMode="auto">
        <a:xfrm flipV="1">
          <a:off x="17000220" y="11033760"/>
          <a:ext cx="0" cy="44196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624840</xdr:colOff>
      <xdr:row>60</xdr:row>
      <xdr:rowOff>144780</xdr:rowOff>
    </xdr:from>
    <xdr:to>
      <xdr:col>19</xdr:col>
      <xdr:colOff>624840</xdr:colOff>
      <xdr:row>63</xdr:row>
      <xdr:rowOff>7620</xdr:rowOff>
    </xdr:to>
    <xdr:sp macro="" textlink="">
      <xdr:nvSpPr>
        <xdr:cNvPr id="12298" name="Line 1"/>
        <xdr:cNvSpPr>
          <a:spLocks noChangeShapeType="1"/>
        </xdr:cNvSpPr>
      </xdr:nvSpPr>
      <xdr:spPr bwMode="auto">
        <a:xfrm flipV="1">
          <a:off x="15339060" y="11605260"/>
          <a:ext cx="0" cy="44196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624840</xdr:colOff>
      <xdr:row>53</xdr:row>
      <xdr:rowOff>144780</xdr:rowOff>
    </xdr:from>
    <xdr:to>
      <xdr:col>19</xdr:col>
      <xdr:colOff>624840</xdr:colOff>
      <xdr:row>56</xdr:row>
      <xdr:rowOff>7620</xdr:rowOff>
    </xdr:to>
    <xdr:sp macro="" textlink="">
      <xdr:nvSpPr>
        <xdr:cNvPr id="13322" name="Line 1"/>
        <xdr:cNvSpPr>
          <a:spLocks noChangeShapeType="1"/>
        </xdr:cNvSpPr>
      </xdr:nvSpPr>
      <xdr:spPr bwMode="auto">
        <a:xfrm flipV="1">
          <a:off x="15339060" y="10271760"/>
          <a:ext cx="0" cy="44196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ate%20Case%20Filings/DEK%20Electric%20Case%202017-00321/SFR%20Model/KPSC%20Electric%20SFRs-2017%20-%20Forecasted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 Tracking"/>
      <sheetName val="LOGO"/>
      <sheetName val="GOTO"/>
      <sheetName val="PRINT"/>
      <sheetName val="BASE PERIOD"/>
      <sheetName val="BP Actual Exp"/>
      <sheetName val="BP Rev by Product"/>
      <sheetName val="BP Actual Rev"/>
      <sheetName val="FORECASTED PERIOD"/>
      <sheetName val="FP Rev by Product"/>
      <sheetName val="BP vs FP by Acct"/>
      <sheetName val="ALLOCTABLE"/>
      <sheetName val="Rate Case Drivers"/>
      <sheetName val="SCH_A"/>
      <sheetName val="Rate Base Ratios"/>
      <sheetName val="SCH_B1"/>
      <sheetName val="SCH B-2"/>
      <sheetName val="SCH B-2.1"/>
      <sheetName val="SCH B-2.2"/>
      <sheetName val="SCH B-2.3"/>
      <sheetName val="SCH B-2.4"/>
      <sheetName val="SCH B-2.5"/>
      <sheetName val="SCH B-2.6"/>
      <sheetName val="SCH B-2.7"/>
      <sheetName val="SCH B-3"/>
      <sheetName val="SCH B-3.1"/>
      <sheetName val="SCH B-3.2 - Proposed"/>
      <sheetName val="SCH B-4"/>
      <sheetName val="SCH_B5s"/>
      <sheetName val="WPB-5's"/>
      <sheetName val="SCH_B6"/>
      <sheetName val="WPB-6's"/>
      <sheetName val="SCH_B7s"/>
      <sheetName val="SCH_B8"/>
      <sheetName val="SCH_C1"/>
      <sheetName val="SCH_C2"/>
      <sheetName val="WPC_2"/>
      <sheetName val="WPC-2e - Adj Summary"/>
      <sheetName val="SCH_C2.1 - Base Period"/>
      <sheetName val="STAFF-DR-01-029b"/>
      <sheetName val="SCH_C2.1 - Forecasted Period"/>
      <sheetName val="SCH_D1"/>
      <sheetName val="SCH_D2.1"/>
      <sheetName val="SCH_D2.2"/>
      <sheetName val="SCH_D2.3"/>
      <sheetName val="SCH_D2.4"/>
      <sheetName val="SCH_D2.5"/>
      <sheetName val="SCH_D2.6"/>
      <sheetName val="SCH_D2.7"/>
      <sheetName val="SCH_D2.8"/>
      <sheetName val="SCH_D2.9"/>
      <sheetName val="SCH_D2.10"/>
      <sheetName val="SCH_D2.11"/>
      <sheetName val="SCH_D2.12"/>
      <sheetName val="SCH_D2.13"/>
      <sheetName val="SCH_D2.14"/>
      <sheetName val="SCH_D2.15"/>
      <sheetName val="SCH_D2.16"/>
      <sheetName val="SCH_D2.17"/>
      <sheetName val="SCH_D2.18"/>
      <sheetName val="SCH_D2.19"/>
      <sheetName val="SCH_D2.20"/>
      <sheetName val="SCH_D2.21"/>
      <sheetName val="SCH_D2.22"/>
      <sheetName val="SCH_D2.23"/>
      <sheetName val="SCH_D2.24"/>
      <sheetName val="SCH_D2.25"/>
      <sheetName val="SCH_D2.26"/>
      <sheetName val="SCH_D2.27"/>
      <sheetName val="SCH_D2.28"/>
      <sheetName val="SCH_D2.29"/>
      <sheetName val="SCH_D2.30"/>
      <sheetName val="SCH_D2.31"/>
      <sheetName val="SCH_D2.32"/>
      <sheetName val="SCH_D2.33"/>
      <sheetName val="SCH_D2.34"/>
      <sheetName val="SCH_D2.35"/>
      <sheetName val="SCH_D2.36"/>
      <sheetName val="SCH_D2.37"/>
      <sheetName val="SCH_D2.38"/>
      <sheetName val="SCH_D3"/>
      <sheetName val="SCH_D4"/>
      <sheetName val="SCH_D5"/>
      <sheetName val="SCH_E1"/>
      <sheetName val="SCH_E2"/>
      <sheetName val="SCH_F1"/>
      <sheetName val="SCH_F2.1"/>
      <sheetName val="SCH_F2.2"/>
      <sheetName val="SCH_F2.3"/>
      <sheetName val="SCH_F3"/>
      <sheetName val="SCH_F4"/>
      <sheetName val="SCH_F5"/>
      <sheetName val="SCH_F6"/>
      <sheetName val="SCH_F7"/>
      <sheetName val="SCH_G1"/>
      <sheetName val="SCH_G2"/>
      <sheetName val="SCH_G3"/>
      <sheetName val="SCH_H"/>
      <sheetName val="SCH_I1 - Total Co"/>
      <sheetName val="SCH_I1 - Elec Only"/>
      <sheetName val="Staff-DR-01-007"/>
      <sheetName val="Staff-DR-01-031"/>
      <sheetName val="SCH_I2.1"/>
      <sheetName val="Base Period Cust"/>
      <sheetName val="KWH Sales"/>
      <sheetName val="SCH_I3"/>
      <sheetName val="SCH_I4"/>
      <sheetName val="SCH_I5"/>
      <sheetName val="SCH_J1 - Base"/>
      <sheetName val="SCH_J1 - Forecast"/>
      <sheetName val="SCH_J2 - Base"/>
      <sheetName val="SCH_J2 - Forecast"/>
      <sheetName val="SCH_J3 - Base"/>
      <sheetName val="SCH_J3 - Forecast"/>
      <sheetName val="SCH_J4"/>
      <sheetName val="SCH K"/>
      <sheetName val="RB vs Cap FP 16(6)(f)"/>
      <sheetName val="RB vs Cap BP Staff D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1" t="str">
            <v>Account ID CB</v>
          </cell>
          <cell r="B1" t="str">
            <v>Account Long Descr CB</v>
          </cell>
          <cell r="C1">
            <v>42735</v>
          </cell>
          <cell r="D1">
            <v>42766</v>
          </cell>
          <cell r="E1">
            <v>42794</v>
          </cell>
          <cell r="F1">
            <v>42825</v>
          </cell>
          <cell r="G1">
            <v>42855</v>
          </cell>
          <cell r="H1">
            <v>42886</v>
          </cell>
          <cell r="I1">
            <v>42916</v>
          </cell>
          <cell r="J1">
            <v>42947</v>
          </cell>
          <cell r="K1">
            <v>42978</v>
          </cell>
          <cell r="L1">
            <v>43008</v>
          </cell>
          <cell r="M1">
            <v>43039</v>
          </cell>
          <cell r="N1">
            <v>43069</v>
          </cell>
        </row>
        <row r="2">
          <cell r="A2">
            <v>403002</v>
          </cell>
          <cell r="B2" t="str">
            <v>Depr-Expense</v>
          </cell>
          <cell r="C2">
            <v>2537047</v>
          </cell>
          <cell r="D2">
            <v>2524945</v>
          </cell>
          <cell r="E2">
            <v>2519867</v>
          </cell>
          <cell r="F2">
            <v>2508876</v>
          </cell>
          <cell r="G2">
            <v>2512947</v>
          </cell>
          <cell r="H2">
            <v>2514502</v>
          </cell>
          <cell r="I2">
            <v>3124053</v>
          </cell>
          <cell r="J2">
            <v>3173848</v>
          </cell>
          <cell r="K2">
            <v>3137956</v>
          </cell>
          <cell r="L2">
            <v>3122944</v>
          </cell>
          <cell r="M2">
            <v>3182896</v>
          </cell>
          <cell r="N2">
            <v>3197981</v>
          </cell>
        </row>
        <row r="3">
          <cell r="A3">
            <v>403151</v>
          </cell>
          <cell r="B3" t="str">
            <v>Depreciation Expense - ARO Ash</v>
          </cell>
          <cell r="C3">
            <v>0</v>
          </cell>
          <cell r="F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>
            <v>404000</v>
          </cell>
          <cell r="B4" t="str">
            <v>Amortization of Deferred Expenses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>
            <v>404200</v>
          </cell>
          <cell r="B5" t="str">
            <v>Amort Of Elec Plt - Software</v>
          </cell>
          <cell r="C5">
            <v>-122995</v>
          </cell>
          <cell r="D5">
            <v>185846</v>
          </cell>
          <cell r="E5">
            <v>184652</v>
          </cell>
          <cell r="F5">
            <v>186401</v>
          </cell>
          <cell r="G5">
            <v>187333</v>
          </cell>
          <cell r="H5">
            <v>187661</v>
          </cell>
          <cell r="I5">
            <v>82841</v>
          </cell>
          <cell r="J5">
            <v>84651</v>
          </cell>
          <cell r="K5">
            <v>84651</v>
          </cell>
          <cell r="L5">
            <v>84651</v>
          </cell>
          <cell r="M5">
            <v>86188</v>
          </cell>
          <cell r="N5">
            <v>86188</v>
          </cell>
        </row>
        <row r="6">
          <cell r="A6">
            <v>407354</v>
          </cell>
          <cell r="B6" t="str">
            <v>DSM Deferral - Electric</v>
          </cell>
          <cell r="C6">
            <v>-73896</v>
          </cell>
          <cell r="D6">
            <v>281236</v>
          </cell>
          <cell r="E6">
            <v>-75145</v>
          </cell>
          <cell r="F6">
            <v>-442920</v>
          </cell>
          <cell r="G6">
            <v>-1079095</v>
          </cell>
          <cell r="H6">
            <v>-676669</v>
          </cell>
          <cell r="I6">
            <v>5100</v>
          </cell>
          <cell r="J6">
            <v>5100</v>
          </cell>
          <cell r="K6">
            <v>5100</v>
          </cell>
          <cell r="L6">
            <v>5100</v>
          </cell>
          <cell r="M6">
            <v>5100</v>
          </cell>
          <cell r="N6">
            <v>5100</v>
          </cell>
        </row>
        <row r="7">
          <cell r="A7">
            <v>407407</v>
          </cell>
          <cell r="B7" t="str">
            <v>Carrying Charges</v>
          </cell>
          <cell r="C7">
            <v>-111055</v>
          </cell>
          <cell r="D7">
            <v>-115015</v>
          </cell>
          <cell r="E7">
            <v>-118681</v>
          </cell>
          <cell r="F7">
            <v>-123359</v>
          </cell>
          <cell r="G7">
            <v>-126528</v>
          </cell>
          <cell r="H7">
            <v>-132578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408040</v>
          </cell>
          <cell r="B8" t="str">
            <v>Taxes Property-Allocated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>
            <v>408050</v>
          </cell>
          <cell r="B9" t="str">
            <v>Municipal License-Electric</v>
          </cell>
          <cell r="D9">
            <v>1890</v>
          </cell>
          <cell r="E9">
            <v>1890</v>
          </cell>
          <cell r="F9">
            <v>1890</v>
          </cell>
          <cell r="G9">
            <v>1890</v>
          </cell>
          <cell r="H9">
            <v>1890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>
            <v>408120</v>
          </cell>
          <cell r="B10" t="str">
            <v>Franchise Tax - Non Electric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>
            <v>408121</v>
          </cell>
          <cell r="B11" t="str">
            <v>Taxes Property-Operating</v>
          </cell>
          <cell r="C11">
            <v>614919</v>
          </cell>
          <cell r="D11">
            <v>725968</v>
          </cell>
          <cell r="E11">
            <v>732101</v>
          </cell>
          <cell r="F11">
            <v>732101</v>
          </cell>
          <cell r="G11">
            <v>732101</v>
          </cell>
          <cell r="H11">
            <v>732101</v>
          </cell>
          <cell r="I11">
            <v>726161</v>
          </cell>
          <cell r="J11">
            <v>726161</v>
          </cell>
          <cell r="K11">
            <v>726161</v>
          </cell>
          <cell r="L11">
            <v>726161</v>
          </cell>
          <cell r="M11">
            <v>726161</v>
          </cell>
          <cell r="N11">
            <v>726161</v>
          </cell>
        </row>
        <row r="12">
          <cell r="A12">
            <v>408150</v>
          </cell>
          <cell r="B12" t="str">
            <v>State Unemployment Tax</v>
          </cell>
          <cell r="C12">
            <v>338</v>
          </cell>
          <cell r="D12">
            <v>11666</v>
          </cell>
          <cell r="E12">
            <v>2265</v>
          </cell>
          <cell r="F12">
            <v>-5033</v>
          </cell>
          <cell r="G12">
            <v>118</v>
          </cell>
          <cell r="H12">
            <v>76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>
            <v>408151</v>
          </cell>
          <cell r="B13" t="str">
            <v>Federal Unemployment Tax</v>
          </cell>
          <cell r="C13">
            <v>154</v>
          </cell>
          <cell r="D13">
            <v>4078</v>
          </cell>
          <cell r="E13">
            <v>-530</v>
          </cell>
          <cell r="F13">
            <v>-757</v>
          </cell>
          <cell r="G13">
            <v>948</v>
          </cell>
          <cell r="H13">
            <v>956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>
            <v>408152</v>
          </cell>
          <cell r="B14" t="str">
            <v>Employer FICA Tax</v>
          </cell>
          <cell r="C14">
            <v>75800</v>
          </cell>
          <cell r="D14">
            <v>82942</v>
          </cell>
          <cell r="E14">
            <v>70849</v>
          </cell>
          <cell r="F14">
            <v>96625</v>
          </cell>
          <cell r="G14">
            <v>72094</v>
          </cell>
          <cell r="H14">
            <v>85401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>
            <v>408153</v>
          </cell>
          <cell r="B15" t="str">
            <v>Employer Local Tax</v>
          </cell>
          <cell r="E15">
            <v>3</v>
          </cell>
          <cell r="H15">
            <v>0</v>
          </cell>
        </row>
        <row r="16">
          <cell r="A16">
            <v>408205</v>
          </cell>
          <cell r="B16" t="str">
            <v>Highway Use Tax</v>
          </cell>
          <cell r="C16">
            <v>0</v>
          </cell>
          <cell r="D16">
            <v>26</v>
          </cell>
          <cell r="F16">
            <v>0</v>
          </cell>
          <cell r="G16">
            <v>29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>
            <v>408470</v>
          </cell>
          <cell r="B17" t="str">
            <v>Franchise Tax</v>
          </cell>
          <cell r="C17">
            <v>24171</v>
          </cell>
          <cell r="F17">
            <v>3407</v>
          </cell>
          <cell r="H17">
            <v>2272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>
            <v>408700</v>
          </cell>
          <cell r="B18" t="str">
            <v>Fed Social Security Tax-Elec</v>
          </cell>
          <cell r="C18">
            <v>5000</v>
          </cell>
          <cell r="F18">
            <v>-15000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>
            <v>408800</v>
          </cell>
          <cell r="B19" t="str">
            <v>Federal Highway Use Tax-Elec</v>
          </cell>
          <cell r="D19">
            <v>3</v>
          </cell>
          <cell r="F19">
            <v>1</v>
          </cell>
          <cell r="G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>
            <v>408851</v>
          </cell>
          <cell r="B20" t="str">
            <v>Sales &amp; Use Tax Exp</v>
          </cell>
          <cell r="C20">
            <v>4</v>
          </cell>
          <cell r="E20">
            <v>-1</v>
          </cell>
          <cell r="F20">
            <v>0</v>
          </cell>
          <cell r="G20">
            <v>-195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>
            <v>408960</v>
          </cell>
          <cell r="B21" t="str">
            <v>Allocated Payroll Taxes</v>
          </cell>
          <cell r="C21">
            <v>148212</v>
          </cell>
          <cell r="D21">
            <v>159781</v>
          </cell>
          <cell r="E21">
            <v>83928</v>
          </cell>
          <cell r="F21">
            <v>-68933</v>
          </cell>
          <cell r="G21">
            <v>82143</v>
          </cell>
          <cell r="H21">
            <v>80643</v>
          </cell>
          <cell r="I21">
            <v>168235</v>
          </cell>
          <cell r="J21">
            <v>167983</v>
          </cell>
          <cell r="K21">
            <v>166305</v>
          </cell>
          <cell r="L21">
            <v>192529</v>
          </cell>
          <cell r="M21">
            <v>173511</v>
          </cell>
          <cell r="N21">
            <v>167703</v>
          </cell>
        </row>
        <row r="22">
          <cell r="A22">
            <v>409102</v>
          </cell>
          <cell r="B22" t="str">
            <v>Sit Exp-Utility</v>
          </cell>
          <cell r="C22">
            <v>-52908</v>
          </cell>
          <cell r="D22">
            <v>-52908</v>
          </cell>
          <cell r="E22">
            <v>-52908</v>
          </cell>
          <cell r="F22">
            <v>-52908</v>
          </cell>
          <cell r="G22">
            <v>-52908</v>
          </cell>
          <cell r="H22">
            <v>-52908</v>
          </cell>
          <cell r="I22">
            <v>-52908</v>
          </cell>
          <cell r="J22">
            <v>-52908</v>
          </cell>
          <cell r="K22">
            <v>-52908</v>
          </cell>
          <cell r="L22">
            <v>-52908</v>
          </cell>
          <cell r="M22">
            <v>-52908</v>
          </cell>
          <cell r="N22">
            <v>-52904</v>
          </cell>
        </row>
        <row r="23">
          <cell r="A23">
            <v>409104</v>
          </cell>
          <cell r="B23" t="str">
            <v>Current State Income Tax - PY</v>
          </cell>
          <cell r="C23">
            <v>-546785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>
            <v>409190</v>
          </cell>
          <cell r="B24" t="str">
            <v>Federal Income Tax-Electric-CY</v>
          </cell>
          <cell r="C24">
            <v>-1644844</v>
          </cell>
          <cell r="D24">
            <v>-1644844</v>
          </cell>
          <cell r="E24">
            <v>-1644844</v>
          </cell>
          <cell r="F24">
            <v>-1644844</v>
          </cell>
          <cell r="G24">
            <v>-1644844</v>
          </cell>
          <cell r="H24">
            <v>-1644844</v>
          </cell>
          <cell r="I24">
            <v>-1644844</v>
          </cell>
          <cell r="J24">
            <v>-1644844</v>
          </cell>
          <cell r="K24">
            <v>-1644844</v>
          </cell>
          <cell r="L24">
            <v>-1644844</v>
          </cell>
          <cell r="M24">
            <v>-1644844</v>
          </cell>
          <cell r="N24">
            <v>-1644845</v>
          </cell>
        </row>
        <row r="25">
          <cell r="A25">
            <v>409191</v>
          </cell>
          <cell r="B25" t="str">
            <v>Fed Income Tax-Electric-PY</v>
          </cell>
          <cell r="C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409194</v>
          </cell>
          <cell r="B26" t="str">
            <v>Current FIT Elec - PY Audit</v>
          </cell>
          <cell r="C26">
            <v>-197047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>
            <v>409195</v>
          </cell>
          <cell r="B27" t="str">
            <v>UTP Tax Expense: Fed Util-PY</v>
          </cell>
          <cell r="C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>
            <v>409197</v>
          </cell>
          <cell r="B28" t="str">
            <v>Current State Inc Tax-Util</v>
          </cell>
          <cell r="C28">
            <v>562990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>
            <v>410100</v>
          </cell>
          <cell r="B29" t="str">
            <v>DFIT: Utility: Current Year</v>
          </cell>
          <cell r="C29">
            <v>2907670</v>
          </cell>
          <cell r="D29">
            <v>2907670</v>
          </cell>
          <cell r="E29">
            <v>2907670</v>
          </cell>
          <cell r="F29">
            <v>2907670</v>
          </cell>
          <cell r="G29">
            <v>2907670</v>
          </cell>
          <cell r="H29">
            <v>2907670</v>
          </cell>
          <cell r="I29">
            <v>2907670</v>
          </cell>
          <cell r="J29">
            <v>2907670</v>
          </cell>
          <cell r="K29">
            <v>2907670</v>
          </cell>
          <cell r="L29">
            <v>2907670</v>
          </cell>
          <cell r="M29">
            <v>2907670</v>
          </cell>
          <cell r="N29">
            <v>2907673</v>
          </cell>
        </row>
        <row r="30">
          <cell r="A30">
            <v>410102</v>
          </cell>
          <cell r="B30" t="str">
            <v>DSIT: Utility: Current Year</v>
          </cell>
          <cell r="C30">
            <v>265871</v>
          </cell>
          <cell r="D30">
            <v>265871</v>
          </cell>
          <cell r="E30">
            <v>265871</v>
          </cell>
          <cell r="F30">
            <v>265871</v>
          </cell>
          <cell r="G30">
            <v>265871</v>
          </cell>
          <cell r="H30">
            <v>265871</v>
          </cell>
          <cell r="I30">
            <v>265871</v>
          </cell>
          <cell r="J30">
            <v>265871</v>
          </cell>
          <cell r="K30">
            <v>265871</v>
          </cell>
          <cell r="L30">
            <v>265871</v>
          </cell>
          <cell r="M30">
            <v>265871</v>
          </cell>
          <cell r="N30">
            <v>265872</v>
          </cell>
        </row>
        <row r="31">
          <cell r="A31">
            <v>410105</v>
          </cell>
          <cell r="B31" t="str">
            <v>DFIT: Utility: Prior Year</v>
          </cell>
          <cell r="C31">
            <v>0</v>
          </cell>
          <cell r="F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>
            <v>410106</v>
          </cell>
          <cell r="B32" t="str">
            <v>DSIT: Utility: Prior Year</v>
          </cell>
          <cell r="C32">
            <v>0</v>
          </cell>
          <cell r="F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>
            <v>411050</v>
          </cell>
          <cell r="B33" t="str">
            <v>Accretion Expense ARO</v>
          </cell>
          <cell r="C33">
            <v>0</v>
          </cell>
          <cell r="F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>
            <v>411051</v>
          </cell>
          <cell r="B34" t="str">
            <v>Accretion Expense-ARO Ash Pond</v>
          </cell>
          <cell r="C34">
            <v>0</v>
          </cell>
          <cell r="F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>
            <v>411100</v>
          </cell>
          <cell r="B35" t="str">
            <v>DFIT: Utility: Curr Year CR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>
            <v>411101</v>
          </cell>
          <cell r="B36" t="str">
            <v>DSIT: Utility: Curr Year CR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>
            <v>411102</v>
          </cell>
          <cell r="B37" t="str">
            <v>DFIT: Utility: Prior Year CR</v>
          </cell>
          <cell r="C37">
            <v>0</v>
          </cell>
          <cell r="F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411103</v>
          </cell>
          <cell r="B38" t="str">
            <v>DSIT: Utility: Prior Year CR</v>
          </cell>
          <cell r="C38">
            <v>0</v>
          </cell>
          <cell r="F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>
            <v>411410</v>
          </cell>
          <cell r="B39" t="str">
            <v>Invest Tax Credit Adj-Electric</v>
          </cell>
          <cell r="C39">
            <v>-1786</v>
          </cell>
          <cell r="D39">
            <v>-924</v>
          </cell>
          <cell r="E39">
            <v>-924</v>
          </cell>
          <cell r="F39">
            <v>-924</v>
          </cell>
          <cell r="G39">
            <v>-924</v>
          </cell>
          <cell r="H39">
            <v>-924</v>
          </cell>
          <cell r="I39">
            <v>-924</v>
          </cell>
          <cell r="J39">
            <v>-924</v>
          </cell>
          <cell r="K39">
            <v>-924</v>
          </cell>
          <cell r="L39">
            <v>-924</v>
          </cell>
          <cell r="M39">
            <v>-924</v>
          </cell>
          <cell r="N39">
            <v>-924</v>
          </cell>
        </row>
        <row r="40">
          <cell r="A40">
            <v>426510</v>
          </cell>
          <cell r="B40" t="str">
            <v>Other</v>
          </cell>
          <cell r="C40">
            <v>-1047271</v>
          </cell>
          <cell r="D40">
            <v>0</v>
          </cell>
          <cell r="E40">
            <v>0</v>
          </cell>
          <cell r="F40">
            <v>71623</v>
          </cell>
          <cell r="G40">
            <v>-22433</v>
          </cell>
          <cell r="H40">
            <v>0</v>
          </cell>
          <cell r="I40">
            <v>58301</v>
          </cell>
          <cell r="J40">
            <v>-15084</v>
          </cell>
          <cell r="K40">
            <v>6751</v>
          </cell>
          <cell r="L40">
            <v>16356</v>
          </cell>
          <cell r="M40">
            <v>-82565</v>
          </cell>
          <cell r="N40">
            <v>-95575</v>
          </cell>
        </row>
        <row r="41">
          <cell r="A41">
            <v>426891</v>
          </cell>
          <cell r="B41" t="str">
            <v>IC Sale of AR Fees VIE</v>
          </cell>
          <cell r="C41">
            <v>32204</v>
          </cell>
          <cell r="D41">
            <v>39962</v>
          </cell>
          <cell r="E41">
            <v>42164</v>
          </cell>
          <cell r="F41">
            <v>38315</v>
          </cell>
          <cell r="G41">
            <v>40189</v>
          </cell>
          <cell r="H41">
            <v>36773</v>
          </cell>
          <cell r="I41">
            <v>25607</v>
          </cell>
          <cell r="J41">
            <v>27842</v>
          </cell>
          <cell r="K41">
            <v>27250</v>
          </cell>
          <cell r="L41">
            <v>0</v>
          </cell>
          <cell r="M41">
            <v>0</v>
          </cell>
          <cell r="N41">
            <v>0</v>
          </cell>
        </row>
        <row r="42">
          <cell r="A42">
            <v>440000</v>
          </cell>
          <cell r="B42" t="str">
            <v>Residential</v>
          </cell>
          <cell r="C42">
            <v>10764634</v>
          </cell>
          <cell r="D42">
            <v>12874646</v>
          </cell>
          <cell r="E42">
            <v>10127950</v>
          </cell>
          <cell r="F42">
            <v>9085273</v>
          </cell>
          <cell r="G42">
            <v>7915095</v>
          </cell>
          <cell r="H42">
            <v>7508314</v>
          </cell>
          <cell r="I42">
            <v>9469175</v>
          </cell>
          <cell r="J42">
            <v>12395394</v>
          </cell>
          <cell r="K42">
            <v>12702058</v>
          </cell>
          <cell r="L42">
            <v>11569355</v>
          </cell>
          <cell r="M42">
            <v>8185453</v>
          </cell>
          <cell r="N42">
            <v>8109915</v>
          </cell>
        </row>
        <row r="43">
          <cell r="A43">
            <v>440990</v>
          </cell>
          <cell r="B43" t="str">
            <v>Residential Unbilled Rev</v>
          </cell>
          <cell r="C43">
            <v>1212394</v>
          </cell>
          <cell r="D43">
            <v>-1263731</v>
          </cell>
          <cell r="E43">
            <v>-836672</v>
          </cell>
          <cell r="F43">
            <v>-528078</v>
          </cell>
          <cell r="G43">
            <v>-339258</v>
          </cell>
          <cell r="H43">
            <v>784453</v>
          </cell>
          <cell r="I43">
            <v>1101729</v>
          </cell>
          <cell r="J43">
            <v>234596</v>
          </cell>
          <cell r="K43">
            <v>-851777</v>
          </cell>
          <cell r="L43">
            <v>-2926539</v>
          </cell>
          <cell r="M43">
            <v>-67129</v>
          </cell>
          <cell r="N43">
            <v>1082282</v>
          </cell>
        </row>
        <row r="44">
          <cell r="A44">
            <v>442100</v>
          </cell>
          <cell r="B44" t="str">
            <v>General Service</v>
          </cell>
          <cell r="C44">
            <v>9044777</v>
          </cell>
          <cell r="D44">
            <v>9229396</v>
          </cell>
          <cell r="E44">
            <v>8637290</v>
          </cell>
          <cell r="F44">
            <v>8398799</v>
          </cell>
          <cell r="G44">
            <v>8187325</v>
          </cell>
          <cell r="H44">
            <v>8137893</v>
          </cell>
          <cell r="I44">
            <v>9474717</v>
          </cell>
          <cell r="J44">
            <v>10323797</v>
          </cell>
          <cell r="K44">
            <v>10314310</v>
          </cell>
          <cell r="L44">
            <v>10200665</v>
          </cell>
          <cell r="M44">
            <v>8945849</v>
          </cell>
          <cell r="N44">
            <v>8634526</v>
          </cell>
        </row>
        <row r="45">
          <cell r="A45">
            <v>442190</v>
          </cell>
          <cell r="B45" t="str">
            <v>General Service Unbilled Rev</v>
          </cell>
          <cell r="C45">
            <v>-134486</v>
          </cell>
          <cell r="D45">
            <v>-235686</v>
          </cell>
          <cell r="E45">
            <v>-289852</v>
          </cell>
          <cell r="F45">
            <v>106074</v>
          </cell>
          <cell r="G45">
            <v>-21272</v>
          </cell>
          <cell r="H45">
            <v>223617</v>
          </cell>
          <cell r="I45">
            <v>588408</v>
          </cell>
          <cell r="J45">
            <v>375156</v>
          </cell>
          <cell r="K45">
            <v>-108433</v>
          </cell>
          <cell r="L45">
            <v>-370491</v>
          </cell>
          <cell r="M45">
            <v>201645</v>
          </cell>
          <cell r="N45">
            <v>-211025</v>
          </cell>
        </row>
        <row r="46">
          <cell r="A46">
            <v>442200</v>
          </cell>
          <cell r="B46" t="str">
            <v>Industrial Service</v>
          </cell>
          <cell r="C46">
            <v>4183045</v>
          </cell>
          <cell r="D46">
            <v>3985183</v>
          </cell>
          <cell r="E46">
            <v>4020096</v>
          </cell>
          <cell r="F46">
            <v>3928177</v>
          </cell>
          <cell r="G46">
            <v>3887686</v>
          </cell>
          <cell r="H46">
            <v>3929156</v>
          </cell>
          <cell r="I46">
            <v>4612828</v>
          </cell>
          <cell r="J46">
            <v>4698988</v>
          </cell>
          <cell r="K46">
            <v>4686098</v>
          </cell>
          <cell r="L46">
            <v>4682103</v>
          </cell>
          <cell r="M46">
            <v>4527381</v>
          </cell>
          <cell r="N46">
            <v>4443138</v>
          </cell>
        </row>
        <row r="47">
          <cell r="A47">
            <v>442290</v>
          </cell>
          <cell r="B47" t="str">
            <v>Industrial Svc Unbilled Rev</v>
          </cell>
          <cell r="C47">
            <v>-153749</v>
          </cell>
          <cell r="D47">
            <v>15961</v>
          </cell>
          <cell r="E47">
            <v>-218848</v>
          </cell>
          <cell r="F47">
            <v>136596</v>
          </cell>
          <cell r="G47">
            <v>-102759</v>
          </cell>
          <cell r="H47">
            <v>162141</v>
          </cell>
          <cell r="I47">
            <v>94679</v>
          </cell>
          <cell r="J47">
            <v>9994</v>
          </cell>
          <cell r="K47">
            <v>15835</v>
          </cell>
          <cell r="L47">
            <v>70916</v>
          </cell>
          <cell r="M47">
            <v>-20930</v>
          </cell>
          <cell r="N47">
            <v>-17901</v>
          </cell>
        </row>
        <row r="48">
          <cell r="A48">
            <v>444000</v>
          </cell>
          <cell r="B48" t="str">
            <v>Public St &amp; Highway Lighting</v>
          </cell>
          <cell r="C48">
            <v>136237</v>
          </cell>
          <cell r="D48">
            <v>116540</v>
          </cell>
          <cell r="E48">
            <v>135023</v>
          </cell>
          <cell r="F48">
            <v>131291</v>
          </cell>
          <cell r="G48">
            <v>130149</v>
          </cell>
          <cell r="H48">
            <v>127100</v>
          </cell>
          <cell r="I48">
            <v>133952</v>
          </cell>
          <cell r="J48">
            <v>137708</v>
          </cell>
          <cell r="K48">
            <v>137324</v>
          </cell>
          <cell r="L48">
            <v>138581</v>
          </cell>
          <cell r="M48">
            <v>136305</v>
          </cell>
          <cell r="N48">
            <v>137774</v>
          </cell>
        </row>
        <row r="49">
          <cell r="A49">
            <v>445000</v>
          </cell>
          <cell r="B49" t="str">
            <v>Other Sales to Public Auth</v>
          </cell>
          <cell r="C49">
            <v>1709352</v>
          </cell>
          <cell r="D49">
            <v>1715247</v>
          </cell>
          <cell r="E49">
            <v>1574174</v>
          </cell>
          <cell r="F49">
            <v>1646049</v>
          </cell>
          <cell r="G49">
            <v>1517430</v>
          </cell>
          <cell r="H49">
            <v>1560495</v>
          </cell>
          <cell r="I49">
            <v>1770066</v>
          </cell>
          <cell r="J49">
            <v>1834370</v>
          </cell>
          <cell r="K49">
            <v>1901140</v>
          </cell>
          <cell r="L49">
            <v>2009173</v>
          </cell>
          <cell r="M49">
            <v>1793742</v>
          </cell>
          <cell r="N49">
            <v>1682453</v>
          </cell>
        </row>
        <row r="50">
          <cell r="A50">
            <v>445090</v>
          </cell>
          <cell r="B50" t="str">
            <v>OPA Unbilled</v>
          </cell>
          <cell r="C50">
            <v>-61084</v>
          </cell>
          <cell r="D50">
            <v>-10057</v>
          </cell>
          <cell r="E50">
            <v>-114799</v>
          </cell>
          <cell r="F50">
            <v>44432</v>
          </cell>
          <cell r="G50">
            <v>-50026</v>
          </cell>
          <cell r="H50">
            <v>63810</v>
          </cell>
          <cell r="I50">
            <v>108023</v>
          </cell>
          <cell r="J50">
            <v>65849</v>
          </cell>
          <cell r="K50">
            <v>49795</v>
          </cell>
          <cell r="L50">
            <v>-89899</v>
          </cell>
          <cell r="M50">
            <v>24909</v>
          </cell>
          <cell r="N50">
            <v>-63736</v>
          </cell>
        </row>
        <row r="51">
          <cell r="A51">
            <v>447150</v>
          </cell>
          <cell r="B51" t="str">
            <v>Sales For Resale - Outside</v>
          </cell>
          <cell r="C51">
            <v>2931217</v>
          </cell>
          <cell r="D51">
            <v>1775211</v>
          </cell>
          <cell r="E51">
            <v>1608680</v>
          </cell>
          <cell r="F51">
            <v>3515082</v>
          </cell>
          <cell r="G51">
            <v>2495303</v>
          </cell>
          <cell r="H51">
            <v>1297999</v>
          </cell>
          <cell r="I51">
            <v>672000</v>
          </cell>
          <cell r="J51">
            <v>835000</v>
          </cell>
          <cell r="K51">
            <v>716000</v>
          </cell>
          <cell r="L51">
            <v>619000</v>
          </cell>
          <cell r="M51">
            <v>898000</v>
          </cell>
          <cell r="N51">
            <v>569000</v>
          </cell>
        </row>
        <row r="52">
          <cell r="A52">
            <v>448000</v>
          </cell>
          <cell r="B52" t="str">
            <v>Interdepartmental Sales-Elec</v>
          </cell>
          <cell r="C52">
            <v>2467</v>
          </cell>
          <cell r="D52">
            <v>9022</v>
          </cell>
          <cell r="E52">
            <v>11880</v>
          </cell>
          <cell r="F52">
            <v>33871</v>
          </cell>
          <cell r="G52">
            <v>-26351</v>
          </cell>
          <cell r="H52">
            <v>2070</v>
          </cell>
          <cell r="I52">
            <v>2989</v>
          </cell>
          <cell r="J52">
            <v>4290</v>
          </cell>
          <cell r="K52">
            <v>3891</v>
          </cell>
          <cell r="L52">
            <v>1790</v>
          </cell>
          <cell r="M52">
            <v>1935</v>
          </cell>
          <cell r="N52">
            <v>4220</v>
          </cell>
        </row>
        <row r="53">
          <cell r="A53">
            <v>449100</v>
          </cell>
          <cell r="B53" t="str">
            <v>Provisions For Rate Refunds</v>
          </cell>
          <cell r="C53">
            <v>-379172</v>
          </cell>
          <cell r="D53">
            <v>93347</v>
          </cell>
          <cell r="E53">
            <v>225359</v>
          </cell>
          <cell r="F53">
            <v>-308596</v>
          </cell>
          <cell r="G53">
            <v>257601</v>
          </cell>
          <cell r="H53">
            <v>684721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>
            <v>450100</v>
          </cell>
          <cell r="B54" t="str">
            <v>Late Pmt and Forf Disc</v>
          </cell>
          <cell r="C54">
            <v>0</v>
          </cell>
          <cell r="F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>
            <v>451100</v>
          </cell>
          <cell r="B55" t="str">
            <v>Misc Service Revenue</v>
          </cell>
          <cell r="C55">
            <v>26203</v>
          </cell>
          <cell r="D55">
            <v>19479</v>
          </cell>
          <cell r="E55">
            <v>18855</v>
          </cell>
          <cell r="F55">
            <v>18420</v>
          </cell>
          <cell r="G55">
            <v>23169</v>
          </cell>
          <cell r="H55">
            <v>29563</v>
          </cell>
          <cell r="I55">
            <v>24792</v>
          </cell>
          <cell r="J55">
            <v>24792</v>
          </cell>
          <cell r="K55">
            <v>24792</v>
          </cell>
          <cell r="L55">
            <v>24792</v>
          </cell>
          <cell r="M55">
            <v>24792</v>
          </cell>
          <cell r="N55">
            <v>24792</v>
          </cell>
        </row>
        <row r="56">
          <cell r="A56">
            <v>453625</v>
          </cell>
          <cell r="B56" t="str">
            <v>Intercompany Sales of Water</v>
          </cell>
          <cell r="C56">
            <v>85000</v>
          </cell>
          <cell r="D56">
            <v>9819</v>
          </cell>
          <cell r="E56">
            <v>9819</v>
          </cell>
          <cell r="F56">
            <v>9819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>
            <v>454200</v>
          </cell>
          <cell r="B57" t="str">
            <v>Pole &amp; Line Attachments</v>
          </cell>
          <cell r="D57">
            <v>32539</v>
          </cell>
          <cell r="E57">
            <v>0</v>
          </cell>
          <cell r="F57">
            <v>36</v>
          </cell>
          <cell r="G57">
            <v>85</v>
          </cell>
          <cell r="H57">
            <v>113</v>
          </cell>
          <cell r="I57">
            <v>14167</v>
          </cell>
          <cell r="J57">
            <v>14167</v>
          </cell>
          <cell r="K57">
            <v>14167</v>
          </cell>
          <cell r="L57">
            <v>14167</v>
          </cell>
          <cell r="M57">
            <v>14167</v>
          </cell>
          <cell r="N57">
            <v>14167</v>
          </cell>
        </row>
        <row r="58">
          <cell r="A58">
            <v>454300</v>
          </cell>
          <cell r="B58" t="str">
            <v>Tower Lease Revenues</v>
          </cell>
          <cell r="C58">
            <v>231</v>
          </cell>
          <cell r="D58">
            <v>231</v>
          </cell>
          <cell r="E58">
            <v>231</v>
          </cell>
          <cell r="F58">
            <v>0</v>
          </cell>
          <cell r="G58">
            <v>231</v>
          </cell>
          <cell r="H58">
            <v>231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>
            <v>454400</v>
          </cell>
          <cell r="B59" t="str">
            <v>Other Electric Rents</v>
          </cell>
          <cell r="C59">
            <v>32503</v>
          </cell>
          <cell r="D59">
            <v>80504</v>
          </cell>
          <cell r="E59">
            <v>66175</v>
          </cell>
          <cell r="F59">
            <v>73505</v>
          </cell>
          <cell r="G59">
            <v>73073</v>
          </cell>
          <cell r="H59">
            <v>75582</v>
          </cell>
          <cell r="I59">
            <v>88167</v>
          </cell>
          <cell r="J59">
            <v>88167</v>
          </cell>
          <cell r="K59">
            <v>88167</v>
          </cell>
          <cell r="L59">
            <v>88167</v>
          </cell>
          <cell r="M59">
            <v>88167</v>
          </cell>
          <cell r="N59">
            <v>88167</v>
          </cell>
        </row>
        <row r="60">
          <cell r="A60">
            <v>454601</v>
          </cell>
          <cell r="B60" t="str">
            <v>Other Miscellaneous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>
            <v>456025</v>
          </cell>
          <cell r="B61" t="str">
            <v>RSG Rev - MISO Make Whole</v>
          </cell>
          <cell r="C61">
            <v>66722</v>
          </cell>
          <cell r="D61">
            <v>172028</v>
          </cell>
          <cell r="E61">
            <v>20831</v>
          </cell>
          <cell r="F61">
            <v>222875</v>
          </cell>
          <cell r="G61">
            <v>20</v>
          </cell>
          <cell r="H61">
            <v>52195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>
            <v>456040</v>
          </cell>
          <cell r="B62" t="str">
            <v>Sales Use Tax Coll Fee</v>
          </cell>
          <cell r="C62">
            <v>50</v>
          </cell>
          <cell r="D62">
            <v>50</v>
          </cell>
          <cell r="E62">
            <v>50</v>
          </cell>
          <cell r="F62">
            <v>50</v>
          </cell>
          <cell r="G62">
            <v>50</v>
          </cell>
          <cell r="H62">
            <v>50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A63">
            <v>456110</v>
          </cell>
          <cell r="B63" t="str">
            <v>Transmission Charge PTP</v>
          </cell>
          <cell r="C63">
            <v>5041</v>
          </cell>
          <cell r="D63">
            <v>5369</v>
          </cell>
          <cell r="E63">
            <v>6684</v>
          </cell>
          <cell r="F63">
            <v>4763</v>
          </cell>
          <cell r="G63">
            <v>3621</v>
          </cell>
          <cell r="H63">
            <v>4619</v>
          </cell>
          <cell r="I63">
            <v>12083</v>
          </cell>
          <cell r="J63">
            <v>12083</v>
          </cell>
          <cell r="K63">
            <v>12083</v>
          </cell>
          <cell r="L63">
            <v>12083</v>
          </cell>
          <cell r="M63">
            <v>12083</v>
          </cell>
          <cell r="N63">
            <v>12083</v>
          </cell>
        </row>
        <row r="64">
          <cell r="A64">
            <v>456111</v>
          </cell>
          <cell r="B64" t="str">
            <v>Other Transmission Revenues</v>
          </cell>
          <cell r="C64">
            <v>304346</v>
          </cell>
          <cell r="D64">
            <v>60201</v>
          </cell>
          <cell r="E64">
            <v>-3379</v>
          </cell>
          <cell r="F64">
            <v>-552</v>
          </cell>
          <cell r="G64">
            <v>-43274</v>
          </cell>
          <cell r="H64">
            <v>121038</v>
          </cell>
          <cell r="I64">
            <v>227410</v>
          </cell>
          <cell r="J64">
            <v>227410</v>
          </cell>
          <cell r="K64">
            <v>227410</v>
          </cell>
          <cell r="L64">
            <v>227410</v>
          </cell>
          <cell r="M64">
            <v>227410</v>
          </cell>
          <cell r="N64">
            <v>227410</v>
          </cell>
        </row>
        <row r="65">
          <cell r="A65">
            <v>456610</v>
          </cell>
          <cell r="B65" t="str">
            <v>Other Electric Revenues</v>
          </cell>
          <cell r="D65">
            <v>15633</v>
          </cell>
          <cell r="E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>
            <v>456970</v>
          </cell>
          <cell r="B66" t="str">
            <v>Wheel Transmission Rev - ED</v>
          </cell>
          <cell r="C66">
            <v>4447</v>
          </cell>
          <cell r="D66">
            <v>5764</v>
          </cell>
          <cell r="E66">
            <v>5591</v>
          </cell>
          <cell r="F66">
            <v>4961</v>
          </cell>
          <cell r="G66">
            <v>5195</v>
          </cell>
          <cell r="H66">
            <v>4031</v>
          </cell>
          <cell r="I66">
            <v>2042</v>
          </cell>
          <cell r="J66">
            <v>2042</v>
          </cell>
          <cell r="K66">
            <v>2042</v>
          </cell>
          <cell r="L66">
            <v>2042</v>
          </cell>
          <cell r="M66">
            <v>2042</v>
          </cell>
          <cell r="N66">
            <v>2042</v>
          </cell>
        </row>
        <row r="67">
          <cell r="A67">
            <v>457100</v>
          </cell>
          <cell r="B67" t="str">
            <v>SC Direct PT Offset</v>
          </cell>
          <cell r="C67">
            <v>0</v>
          </cell>
          <cell r="F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>
            <v>457105</v>
          </cell>
          <cell r="B68" t="str">
            <v>Scheduling &amp; Dispatch Revenues</v>
          </cell>
          <cell r="E68">
            <v>65634</v>
          </cell>
          <cell r="F68">
            <v>13302</v>
          </cell>
          <cell r="G68">
            <v>-1</v>
          </cell>
          <cell r="H68">
            <v>15078</v>
          </cell>
        </row>
        <row r="69">
          <cell r="A69">
            <v>457204</v>
          </cell>
          <cell r="B69" t="str">
            <v>PJM Reactive Rev</v>
          </cell>
          <cell r="C69">
            <v>1100470</v>
          </cell>
          <cell r="D69">
            <v>24057</v>
          </cell>
          <cell r="E69">
            <v>-45057</v>
          </cell>
          <cell r="F69">
            <v>622802</v>
          </cell>
          <cell r="G69">
            <v>177769</v>
          </cell>
          <cell r="H69">
            <v>156769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>
            <v>500000</v>
          </cell>
          <cell r="B70" t="str">
            <v>Suprvsn and Engrg - Steam Oper</v>
          </cell>
          <cell r="C70">
            <v>358766</v>
          </cell>
          <cell r="D70">
            <v>216246</v>
          </cell>
          <cell r="E70">
            <v>312104</v>
          </cell>
          <cell r="F70">
            <v>154115</v>
          </cell>
          <cell r="G70">
            <v>309876</v>
          </cell>
          <cell r="H70">
            <v>256734</v>
          </cell>
          <cell r="I70">
            <v>98265</v>
          </cell>
          <cell r="J70">
            <v>97670</v>
          </cell>
          <cell r="K70">
            <v>100798</v>
          </cell>
          <cell r="L70">
            <v>105976</v>
          </cell>
          <cell r="M70">
            <v>98780</v>
          </cell>
          <cell r="N70">
            <v>99289</v>
          </cell>
        </row>
        <row r="71">
          <cell r="A71">
            <v>501110</v>
          </cell>
          <cell r="B71" t="str">
            <v>Coal Consumed-Fossil Steam</v>
          </cell>
          <cell r="C71">
            <v>6189750</v>
          </cell>
          <cell r="D71">
            <v>9352399</v>
          </cell>
          <cell r="E71">
            <v>7368099</v>
          </cell>
          <cell r="F71">
            <v>9054528</v>
          </cell>
          <cell r="G71">
            <v>7688931</v>
          </cell>
          <cell r="H71">
            <v>6127845</v>
          </cell>
          <cell r="I71">
            <v>6782000</v>
          </cell>
          <cell r="J71">
            <v>7394000</v>
          </cell>
          <cell r="K71">
            <v>7443000</v>
          </cell>
          <cell r="L71">
            <v>6486000</v>
          </cell>
          <cell r="M71">
            <v>6642000</v>
          </cell>
          <cell r="N71">
            <v>6452000</v>
          </cell>
        </row>
        <row r="72">
          <cell r="A72">
            <v>501150</v>
          </cell>
          <cell r="B72" t="str">
            <v>Coal &amp; Other Fuel Handling</v>
          </cell>
          <cell r="C72">
            <v>478191</v>
          </cell>
          <cell r="D72">
            <v>64236</v>
          </cell>
          <cell r="E72">
            <v>115658</v>
          </cell>
          <cell r="F72">
            <v>108966</v>
          </cell>
          <cell r="G72">
            <v>131337</v>
          </cell>
          <cell r="H72">
            <v>113379</v>
          </cell>
          <cell r="I72">
            <v>138863</v>
          </cell>
          <cell r="J72">
            <v>138291</v>
          </cell>
          <cell r="K72">
            <v>138442</v>
          </cell>
          <cell r="L72">
            <v>156236</v>
          </cell>
          <cell r="M72">
            <v>138199</v>
          </cell>
          <cell r="N72">
            <v>138351</v>
          </cell>
        </row>
        <row r="73">
          <cell r="A73">
            <v>501160</v>
          </cell>
          <cell r="B73" t="str">
            <v>Coal Sampling &amp; Testing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>
            <v>501190</v>
          </cell>
          <cell r="B74" t="str">
            <v>Sale Of Fly Ash-Expenses</v>
          </cell>
          <cell r="C74">
            <v>188048</v>
          </cell>
          <cell r="D74">
            <v>14255</v>
          </cell>
          <cell r="E74">
            <v>22671</v>
          </cell>
          <cell r="F74">
            <v>31111</v>
          </cell>
          <cell r="G74">
            <v>19429</v>
          </cell>
          <cell r="H74">
            <v>32435</v>
          </cell>
          <cell r="I74">
            <v>195475</v>
          </cell>
          <cell r="J74">
            <v>195475</v>
          </cell>
          <cell r="K74">
            <v>195475</v>
          </cell>
          <cell r="L74">
            <v>195475</v>
          </cell>
          <cell r="M74">
            <v>195475</v>
          </cell>
          <cell r="N74">
            <v>195475</v>
          </cell>
        </row>
        <row r="75">
          <cell r="A75">
            <v>501310</v>
          </cell>
          <cell r="B75" t="str">
            <v>Oil Consumed-Fossil Steam</v>
          </cell>
          <cell r="C75">
            <v>223682</v>
          </cell>
          <cell r="D75">
            <v>275115</v>
          </cell>
          <cell r="E75">
            <v>116257</v>
          </cell>
          <cell r="F75">
            <v>48065</v>
          </cell>
          <cell r="G75">
            <v>-120684</v>
          </cell>
          <cell r="H75">
            <v>154017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>
            <v>501350</v>
          </cell>
          <cell r="B76" t="str">
            <v>Oil Handling Expense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A77">
            <v>501996</v>
          </cell>
          <cell r="B77" t="str">
            <v>Fuel Expense</v>
          </cell>
          <cell r="C77">
            <v>0</v>
          </cell>
          <cell r="E77">
            <v>0</v>
          </cell>
          <cell r="F77">
            <v>0</v>
          </cell>
          <cell r="H77">
            <v>0</v>
          </cell>
          <cell r="I77">
            <v>567000</v>
          </cell>
          <cell r="J77">
            <v>659000</v>
          </cell>
          <cell r="K77">
            <v>729000</v>
          </cell>
          <cell r="L77">
            <v>676000</v>
          </cell>
          <cell r="M77">
            <v>909000</v>
          </cell>
          <cell r="N77">
            <v>495000</v>
          </cell>
        </row>
        <row r="78">
          <cell r="A78">
            <v>502040</v>
          </cell>
          <cell r="B78" t="str">
            <v>COST OF LIME</v>
          </cell>
          <cell r="C78">
            <v>565241</v>
          </cell>
          <cell r="D78">
            <v>899842</v>
          </cell>
          <cell r="E78">
            <v>657316</v>
          </cell>
          <cell r="F78">
            <v>956771</v>
          </cell>
          <cell r="G78">
            <v>558101</v>
          </cell>
          <cell r="H78">
            <v>526570</v>
          </cell>
          <cell r="I78">
            <v>-37902</v>
          </cell>
          <cell r="J78">
            <v>272981</v>
          </cell>
          <cell r="K78">
            <v>315881</v>
          </cell>
          <cell r="L78">
            <v>-257220</v>
          </cell>
          <cell r="M78">
            <v>-355321</v>
          </cell>
          <cell r="N78">
            <v>261344</v>
          </cell>
        </row>
        <row r="79">
          <cell r="A79">
            <v>502070</v>
          </cell>
          <cell r="B79" t="str">
            <v>Gypsum</v>
          </cell>
          <cell r="I79">
            <v>5000</v>
          </cell>
          <cell r="J79">
            <v>5000</v>
          </cell>
          <cell r="K79">
            <v>5000</v>
          </cell>
          <cell r="L79">
            <v>5000</v>
          </cell>
          <cell r="M79">
            <v>5000</v>
          </cell>
          <cell r="N79">
            <v>0</v>
          </cell>
        </row>
        <row r="80">
          <cell r="A80">
            <v>502100</v>
          </cell>
          <cell r="B80" t="str">
            <v>Fossil Steam Exp-Other</v>
          </cell>
          <cell r="C80">
            <v>276235</v>
          </cell>
          <cell r="D80">
            <v>335629</v>
          </cell>
          <cell r="E80">
            <v>260804</v>
          </cell>
          <cell r="F80">
            <v>340468</v>
          </cell>
          <cell r="G80">
            <v>300401</v>
          </cell>
          <cell r="H80">
            <v>346998</v>
          </cell>
          <cell r="I80">
            <v>798151</v>
          </cell>
          <cell r="J80">
            <v>905744</v>
          </cell>
          <cell r="K80">
            <v>921656</v>
          </cell>
          <cell r="L80">
            <v>829768</v>
          </cell>
          <cell r="M80">
            <v>693175</v>
          </cell>
          <cell r="N80">
            <v>899872</v>
          </cell>
        </row>
        <row r="81">
          <cell r="A81">
            <v>505000</v>
          </cell>
          <cell r="B81" t="str">
            <v>Electric Expenses-Steam Oper</v>
          </cell>
          <cell r="C81">
            <v>59590</v>
          </cell>
          <cell r="D81">
            <v>76168</v>
          </cell>
          <cell r="E81">
            <v>57068</v>
          </cell>
          <cell r="F81">
            <v>81114</v>
          </cell>
          <cell r="G81">
            <v>59996</v>
          </cell>
          <cell r="H81">
            <v>66195</v>
          </cell>
          <cell r="I81">
            <v>44824</v>
          </cell>
          <cell r="J81">
            <v>44823</v>
          </cell>
          <cell r="K81">
            <v>44961</v>
          </cell>
          <cell r="L81">
            <v>64325</v>
          </cell>
          <cell r="M81">
            <v>44739</v>
          </cell>
          <cell r="N81">
            <v>44878</v>
          </cell>
        </row>
        <row r="82">
          <cell r="A82">
            <v>506000</v>
          </cell>
          <cell r="B82" t="str">
            <v>Misc Fossil Power Expenses</v>
          </cell>
          <cell r="C82">
            <v>441290</v>
          </cell>
          <cell r="D82">
            <v>75530</v>
          </cell>
          <cell r="E82">
            <v>143951</v>
          </cell>
          <cell r="F82">
            <v>137200</v>
          </cell>
          <cell r="G82">
            <v>142327</v>
          </cell>
          <cell r="H82">
            <v>107698</v>
          </cell>
          <cell r="I82">
            <v>114575</v>
          </cell>
          <cell r="J82">
            <v>166005</v>
          </cell>
          <cell r="K82">
            <v>108638</v>
          </cell>
          <cell r="L82">
            <v>124526</v>
          </cell>
          <cell r="M82">
            <v>164940</v>
          </cell>
          <cell r="N82">
            <v>111101</v>
          </cell>
        </row>
        <row r="83">
          <cell r="A83">
            <v>509030</v>
          </cell>
          <cell r="B83" t="str">
            <v>SO2 Emission Expense</v>
          </cell>
          <cell r="C83">
            <v>68</v>
          </cell>
          <cell r="D83">
            <v>53</v>
          </cell>
          <cell r="E83">
            <v>49</v>
          </cell>
          <cell r="F83">
            <v>38</v>
          </cell>
          <cell r="G83">
            <v>49</v>
          </cell>
          <cell r="H83">
            <v>45</v>
          </cell>
          <cell r="I83">
            <v>84</v>
          </cell>
          <cell r="J83">
            <v>89</v>
          </cell>
          <cell r="K83">
            <v>94</v>
          </cell>
          <cell r="L83">
            <v>82</v>
          </cell>
          <cell r="M83">
            <v>84</v>
          </cell>
          <cell r="N83">
            <v>82</v>
          </cell>
        </row>
        <row r="84">
          <cell r="A84">
            <v>509210</v>
          </cell>
          <cell r="B84" t="str">
            <v>Seasonal NOx Emission Expense</v>
          </cell>
          <cell r="C84">
            <v>-54</v>
          </cell>
          <cell r="E84">
            <v>-11</v>
          </cell>
          <cell r="F84">
            <v>11</v>
          </cell>
          <cell r="I84">
            <v>2374</v>
          </cell>
          <cell r="J84">
            <v>2561</v>
          </cell>
          <cell r="K84">
            <v>2670</v>
          </cell>
          <cell r="L84">
            <v>2305</v>
          </cell>
          <cell r="M84">
            <v>0</v>
          </cell>
          <cell r="N84">
            <v>0</v>
          </cell>
        </row>
        <row r="85">
          <cell r="A85">
            <v>509212</v>
          </cell>
          <cell r="B85" t="str">
            <v>Annual NOx Emission Expense</v>
          </cell>
          <cell r="C85">
            <v>2678</v>
          </cell>
          <cell r="D85">
            <v>2315</v>
          </cell>
          <cell r="E85">
            <v>1028</v>
          </cell>
          <cell r="F85">
            <v>703</v>
          </cell>
          <cell r="G85">
            <v>629</v>
          </cell>
          <cell r="H85">
            <v>537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A86">
            <v>510000</v>
          </cell>
          <cell r="B86" t="str">
            <v>Suprvsn and Engrng-Steam Maint</v>
          </cell>
          <cell r="C86">
            <v>171031</v>
          </cell>
          <cell r="D86">
            <v>157470</v>
          </cell>
          <cell r="E86">
            <v>153293</v>
          </cell>
          <cell r="F86">
            <v>134684</v>
          </cell>
          <cell r="G86">
            <v>139015</v>
          </cell>
          <cell r="H86">
            <v>158412</v>
          </cell>
          <cell r="I86">
            <v>183461</v>
          </cell>
          <cell r="J86">
            <v>183458</v>
          </cell>
          <cell r="K86">
            <v>183972</v>
          </cell>
          <cell r="L86">
            <v>181829</v>
          </cell>
          <cell r="M86">
            <v>189123</v>
          </cell>
          <cell r="N86">
            <v>183661</v>
          </cell>
        </row>
        <row r="87">
          <cell r="A87">
            <v>510100</v>
          </cell>
          <cell r="B87" t="str">
            <v>Suprvsn &amp; Engrng-Steam Maint R</v>
          </cell>
          <cell r="C87">
            <v>4239</v>
          </cell>
          <cell r="D87">
            <v>1368</v>
          </cell>
          <cell r="E87">
            <v>2830</v>
          </cell>
          <cell r="F87">
            <v>3110</v>
          </cell>
          <cell r="G87">
            <v>2208</v>
          </cell>
          <cell r="H87">
            <v>3046</v>
          </cell>
          <cell r="I87">
            <v>3891</v>
          </cell>
          <cell r="J87">
            <v>3892</v>
          </cell>
          <cell r="K87">
            <v>3893</v>
          </cell>
          <cell r="L87">
            <v>3892</v>
          </cell>
          <cell r="M87">
            <v>3893</v>
          </cell>
          <cell r="N87">
            <v>3892</v>
          </cell>
        </row>
        <row r="88">
          <cell r="A88">
            <v>511000</v>
          </cell>
          <cell r="B88" t="str">
            <v>Maint Of Structures-Steam</v>
          </cell>
          <cell r="C88">
            <v>284649</v>
          </cell>
          <cell r="D88">
            <v>281469</v>
          </cell>
          <cell r="E88">
            <v>275899</v>
          </cell>
          <cell r="F88">
            <v>530210</v>
          </cell>
          <cell r="G88">
            <v>319727</v>
          </cell>
          <cell r="H88">
            <v>348412</v>
          </cell>
          <cell r="I88">
            <v>237200</v>
          </cell>
          <cell r="J88">
            <v>237232</v>
          </cell>
          <cell r="K88">
            <v>237396</v>
          </cell>
          <cell r="L88">
            <v>263003</v>
          </cell>
          <cell r="M88">
            <v>237086</v>
          </cell>
          <cell r="N88">
            <v>238040</v>
          </cell>
        </row>
        <row r="89">
          <cell r="A89">
            <v>512100</v>
          </cell>
          <cell r="B89" t="str">
            <v>Maint Of Boiler Plant-Other</v>
          </cell>
          <cell r="C89">
            <v>483448</v>
          </cell>
          <cell r="D89">
            <v>509567</v>
          </cell>
          <cell r="E89">
            <v>469542</v>
          </cell>
          <cell r="F89">
            <v>626293</v>
          </cell>
          <cell r="G89">
            <v>389447</v>
          </cell>
          <cell r="H89">
            <v>615609</v>
          </cell>
          <cell r="I89">
            <v>447765</v>
          </cell>
          <cell r="J89">
            <v>377771</v>
          </cell>
          <cell r="K89">
            <v>378005</v>
          </cell>
          <cell r="L89">
            <v>414776</v>
          </cell>
          <cell r="M89">
            <v>397582</v>
          </cell>
          <cell r="N89">
            <v>407857</v>
          </cell>
        </row>
        <row r="90">
          <cell r="A90">
            <v>513100</v>
          </cell>
          <cell r="B90" t="str">
            <v>Maint Of Electric Plant-Other</v>
          </cell>
          <cell r="C90">
            <v>69752</v>
          </cell>
          <cell r="D90">
            <v>161743</v>
          </cell>
          <cell r="E90">
            <v>77787</v>
          </cell>
          <cell r="F90">
            <v>8025</v>
          </cell>
          <cell r="G90">
            <v>14451</v>
          </cell>
          <cell r="H90">
            <v>372294</v>
          </cell>
          <cell r="I90">
            <v>16477</v>
          </cell>
          <cell r="J90">
            <v>16489</v>
          </cell>
          <cell r="K90">
            <v>16451</v>
          </cell>
          <cell r="L90">
            <v>16428</v>
          </cell>
          <cell r="M90">
            <v>17824</v>
          </cell>
          <cell r="N90">
            <v>32899</v>
          </cell>
        </row>
        <row r="91">
          <cell r="A91">
            <v>514000</v>
          </cell>
          <cell r="B91" t="str">
            <v>Maintenance - Misc Steam Plant</v>
          </cell>
          <cell r="C91">
            <v>235239</v>
          </cell>
          <cell r="D91">
            <v>85988</v>
          </cell>
          <cell r="E91">
            <v>228980</v>
          </cell>
          <cell r="F91">
            <v>132808</v>
          </cell>
          <cell r="G91">
            <v>174130</v>
          </cell>
          <cell r="H91">
            <v>927328</v>
          </cell>
          <cell r="I91">
            <v>25609</v>
          </cell>
          <cell r="J91">
            <v>25611</v>
          </cell>
          <cell r="K91">
            <v>25671</v>
          </cell>
          <cell r="L91">
            <v>35338</v>
          </cell>
          <cell r="M91">
            <v>25560</v>
          </cell>
          <cell r="N91">
            <v>25633</v>
          </cell>
        </row>
        <row r="92">
          <cell r="A92">
            <v>514300</v>
          </cell>
          <cell r="B92" t="str">
            <v>Maintenance - Misc Steam Plant</v>
          </cell>
          <cell r="C92">
            <v>19</v>
          </cell>
          <cell r="D92">
            <v>46</v>
          </cell>
          <cell r="E92">
            <v>45</v>
          </cell>
          <cell r="F92">
            <v>57</v>
          </cell>
          <cell r="G92">
            <v>58</v>
          </cell>
          <cell r="H92">
            <v>47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>
            <v>546000</v>
          </cell>
          <cell r="B93" t="str">
            <v>Suprvsn and Enginring-CT Oper</v>
          </cell>
          <cell r="C93">
            <v>24593</v>
          </cell>
          <cell r="D93">
            <v>31995</v>
          </cell>
          <cell r="E93">
            <v>33079</v>
          </cell>
          <cell r="F93">
            <v>36570</v>
          </cell>
          <cell r="G93">
            <v>35102</v>
          </cell>
          <cell r="H93">
            <v>30953</v>
          </cell>
          <cell r="I93">
            <v>25705</v>
          </cell>
          <cell r="J93">
            <v>25710</v>
          </cell>
          <cell r="K93">
            <v>25761</v>
          </cell>
          <cell r="L93">
            <v>27256</v>
          </cell>
          <cell r="M93">
            <v>25681</v>
          </cell>
          <cell r="N93">
            <v>25727</v>
          </cell>
        </row>
        <row r="94">
          <cell r="A94">
            <v>547100</v>
          </cell>
          <cell r="B94" t="str">
            <v>Natural Gas</v>
          </cell>
          <cell r="C94">
            <v>-10659</v>
          </cell>
          <cell r="D94">
            <v>100590</v>
          </cell>
          <cell r="E94">
            <v>108101</v>
          </cell>
          <cell r="F94">
            <v>145050</v>
          </cell>
          <cell r="G94">
            <v>0</v>
          </cell>
          <cell r="H94">
            <v>355180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>
            <v>547150</v>
          </cell>
          <cell r="B95" t="str">
            <v>Natural Gas Handling-CT</v>
          </cell>
          <cell r="C95">
            <v>745</v>
          </cell>
          <cell r="D95">
            <v>897</v>
          </cell>
          <cell r="E95">
            <v>793</v>
          </cell>
          <cell r="F95">
            <v>876</v>
          </cell>
          <cell r="G95">
            <v>823</v>
          </cell>
          <cell r="H95">
            <v>1740</v>
          </cell>
          <cell r="I95">
            <v>968</v>
          </cell>
          <cell r="J95">
            <v>968</v>
          </cell>
          <cell r="K95">
            <v>968</v>
          </cell>
          <cell r="L95">
            <v>968</v>
          </cell>
          <cell r="M95">
            <v>968</v>
          </cell>
          <cell r="N95">
            <v>968</v>
          </cell>
        </row>
        <row r="96">
          <cell r="A96">
            <v>547701</v>
          </cell>
          <cell r="B96" t="str">
            <v>Propane Gas</v>
          </cell>
          <cell r="C96">
            <v>290</v>
          </cell>
          <cell r="D96">
            <v>457</v>
          </cell>
          <cell r="E96">
            <v>209</v>
          </cell>
          <cell r="F96">
            <v>254</v>
          </cell>
          <cell r="G96">
            <v>277</v>
          </cell>
          <cell r="H96">
            <v>326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>
            <v>548100</v>
          </cell>
          <cell r="B97" t="str">
            <v>Generation Expenses-Other CT</v>
          </cell>
          <cell r="C97">
            <v>517</v>
          </cell>
          <cell r="D97">
            <v>485</v>
          </cell>
          <cell r="E97">
            <v>237</v>
          </cell>
          <cell r="F97">
            <v>467</v>
          </cell>
          <cell r="G97">
            <v>507</v>
          </cell>
          <cell r="H97">
            <v>1481</v>
          </cell>
          <cell r="I97">
            <v>1972</v>
          </cell>
          <cell r="J97">
            <v>1903</v>
          </cell>
          <cell r="K97">
            <v>1861</v>
          </cell>
          <cell r="L97">
            <v>1971</v>
          </cell>
          <cell r="M97">
            <v>1840</v>
          </cell>
          <cell r="N97">
            <v>1861</v>
          </cell>
        </row>
        <row r="98">
          <cell r="A98">
            <v>548200</v>
          </cell>
          <cell r="B98" t="str">
            <v>Prime Movers - Generators- CT</v>
          </cell>
          <cell r="C98">
            <v>23156</v>
          </cell>
          <cell r="D98">
            <v>30205</v>
          </cell>
          <cell r="E98">
            <v>22235</v>
          </cell>
          <cell r="F98">
            <v>29867</v>
          </cell>
          <cell r="G98">
            <v>22347</v>
          </cell>
          <cell r="H98">
            <v>24017</v>
          </cell>
          <cell r="I98">
            <v>26278</v>
          </cell>
          <cell r="J98">
            <v>26277</v>
          </cell>
          <cell r="K98">
            <v>26367</v>
          </cell>
          <cell r="L98">
            <v>38952</v>
          </cell>
          <cell r="M98">
            <v>26223</v>
          </cell>
          <cell r="N98">
            <v>26313</v>
          </cell>
        </row>
        <row r="99">
          <cell r="A99">
            <v>549000</v>
          </cell>
          <cell r="B99" t="str">
            <v>Misc-Power Generation Expenses</v>
          </cell>
          <cell r="C99">
            <v>77739</v>
          </cell>
          <cell r="D99">
            <v>92270</v>
          </cell>
          <cell r="E99">
            <v>64503</v>
          </cell>
          <cell r="F99">
            <v>83156</v>
          </cell>
          <cell r="G99">
            <v>78211</v>
          </cell>
          <cell r="H99">
            <v>77214</v>
          </cell>
          <cell r="I99">
            <v>66335</v>
          </cell>
          <cell r="J99">
            <v>61413</v>
          </cell>
          <cell r="K99">
            <v>61249</v>
          </cell>
          <cell r="L99">
            <v>80557</v>
          </cell>
          <cell r="M99">
            <v>60960</v>
          </cell>
          <cell r="N99">
            <v>63688</v>
          </cell>
        </row>
        <row r="100">
          <cell r="A100">
            <v>551000</v>
          </cell>
          <cell r="B100" t="str">
            <v>Suprvsn and Enginring-CT Maint</v>
          </cell>
          <cell r="C100">
            <v>4305</v>
          </cell>
          <cell r="D100">
            <v>4695</v>
          </cell>
          <cell r="E100">
            <v>5054</v>
          </cell>
          <cell r="F100">
            <v>6371</v>
          </cell>
          <cell r="G100">
            <v>6426</v>
          </cell>
          <cell r="H100">
            <v>6861</v>
          </cell>
          <cell r="I100">
            <v>28705</v>
          </cell>
          <cell r="J100">
            <v>31409</v>
          </cell>
          <cell r="K100">
            <v>28777</v>
          </cell>
          <cell r="L100">
            <v>28552</v>
          </cell>
          <cell r="M100">
            <v>31365</v>
          </cell>
          <cell r="N100">
            <v>28733</v>
          </cell>
        </row>
        <row r="101">
          <cell r="A101">
            <v>552000</v>
          </cell>
          <cell r="B101" t="str">
            <v>Maintenance Of Structures-CT</v>
          </cell>
          <cell r="C101">
            <v>52452</v>
          </cell>
          <cell r="D101">
            <v>36454</v>
          </cell>
          <cell r="E101">
            <v>10251</v>
          </cell>
          <cell r="F101">
            <v>31361</v>
          </cell>
          <cell r="G101">
            <v>19298</v>
          </cell>
          <cell r="H101">
            <v>6571</v>
          </cell>
          <cell r="I101">
            <v>31984</v>
          </cell>
          <cell r="J101">
            <v>31984</v>
          </cell>
          <cell r="K101">
            <v>31983</v>
          </cell>
          <cell r="L101">
            <v>51982</v>
          </cell>
          <cell r="M101">
            <v>31983</v>
          </cell>
          <cell r="N101">
            <v>31983</v>
          </cell>
        </row>
        <row r="102">
          <cell r="A102">
            <v>553000</v>
          </cell>
          <cell r="B102" t="str">
            <v>Maint-Gentg and Elect Equip-CT</v>
          </cell>
          <cell r="C102">
            <v>1180961</v>
          </cell>
          <cell r="D102">
            <v>94694</v>
          </cell>
          <cell r="E102">
            <v>12375</v>
          </cell>
          <cell r="F102">
            <v>233974</v>
          </cell>
          <cell r="G102">
            <v>145592</v>
          </cell>
          <cell r="H102">
            <v>730193</v>
          </cell>
          <cell r="I102">
            <v>15572</v>
          </cell>
          <cell r="J102">
            <v>6521</v>
          </cell>
          <cell r="K102">
            <v>6424</v>
          </cell>
          <cell r="L102">
            <v>102482</v>
          </cell>
          <cell r="M102">
            <v>563067</v>
          </cell>
          <cell r="N102">
            <v>563121</v>
          </cell>
        </row>
        <row r="103">
          <cell r="A103">
            <v>554000</v>
          </cell>
          <cell r="B103" t="str">
            <v>Misc Power Generation Plant-CT</v>
          </cell>
          <cell r="C103">
            <v>19946</v>
          </cell>
          <cell r="D103">
            <v>18289</v>
          </cell>
          <cell r="E103">
            <v>24117</v>
          </cell>
          <cell r="F103">
            <v>32303</v>
          </cell>
          <cell r="G103">
            <v>23456</v>
          </cell>
          <cell r="H103">
            <v>16619</v>
          </cell>
          <cell r="I103">
            <v>11653</v>
          </cell>
          <cell r="J103">
            <v>11653</v>
          </cell>
          <cell r="K103">
            <v>11671</v>
          </cell>
          <cell r="L103">
            <v>14242</v>
          </cell>
          <cell r="M103">
            <v>11641</v>
          </cell>
          <cell r="N103">
            <v>11660</v>
          </cell>
        </row>
        <row r="104">
          <cell r="A104">
            <v>555028</v>
          </cell>
          <cell r="B104" t="str">
            <v>Purch Pwr - Non-native - net</v>
          </cell>
          <cell r="C104">
            <v>69722</v>
          </cell>
          <cell r="F104">
            <v>67162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A105">
            <v>555190</v>
          </cell>
          <cell r="B105" t="str">
            <v>Capacity Purchase Expense</v>
          </cell>
        </row>
        <row r="106">
          <cell r="A106">
            <v>555202</v>
          </cell>
          <cell r="B106" t="str">
            <v>Purch Power-Fuel Clause</v>
          </cell>
          <cell r="C106">
            <v>7242320</v>
          </cell>
          <cell r="D106">
            <v>426721</v>
          </cell>
          <cell r="E106">
            <v>848576</v>
          </cell>
          <cell r="F106">
            <v>1411560</v>
          </cell>
          <cell r="G106">
            <v>638754</v>
          </cell>
          <cell r="H106">
            <v>3913284</v>
          </cell>
          <cell r="I106">
            <v>2620511</v>
          </cell>
          <cell r="J106">
            <v>3262156</v>
          </cell>
          <cell r="K106">
            <v>2318156</v>
          </cell>
          <cell r="L106">
            <v>1865511</v>
          </cell>
          <cell r="M106">
            <v>1074156</v>
          </cell>
          <cell r="N106">
            <v>1497511</v>
          </cell>
        </row>
        <row r="107">
          <cell r="A107">
            <v>556000</v>
          </cell>
          <cell r="B107" t="str">
            <v>System Cnts &amp; Load Dispatching</v>
          </cell>
          <cell r="C107">
            <v>38</v>
          </cell>
          <cell r="D107">
            <v>169</v>
          </cell>
          <cell r="E107">
            <v>29</v>
          </cell>
          <cell r="F107">
            <v>119</v>
          </cell>
          <cell r="G107">
            <v>168</v>
          </cell>
          <cell r="H107">
            <v>147</v>
          </cell>
          <cell r="I107">
            <v>24</v>
          </cell>
          <cell r="J107">
            <v>24</v>
          </cell>
          <cell r="K107">
            <v>24</v>
          </cell>
          <cell r="L107">
            <v>24</v>
          </cell>
          <cell r="M107">
            <v>24</v>
          </cell>
          <cell r="N107">
            <v>24</v>
          </cell>
        </row>
        <row r="108">
          <cell r="A108">
            <v>557000</v>
          </cell>
          <cell r="B108" t="str">
            <v>Other Expenses-Oper</v>
          </cell>
          <cell r="C108">
            <v>969469</v>
          </cell>
          <cell r="D108">
            <v>896361</v>
          </cell>
          <cell r="E108">
            <v>934137</v>
          </cell>
          <cell r="F108">
            <v>1141812</v>
          </cell>
          <cell r="G108">
            <v>1567993</v>
          </cell>
          <cell r="H108">
            <v>1478598</v>
          </cell>
          <cell r="I108">
            <v>788120</v>
          </cell>
          <cell r="J108">
            <v>932400</v>
          </cell>
          <cell r="K108">
            <v>825810</v>
          </cell>
          <cell r="L108">
            <v>772745</v>
          </cell>
          <cell r="M108">
            <v>875246</v>
          </cell>
          <cell r="N108">
            <v>612715</v>
          </cell>
        </row>
        <row r="109">
          <cell r="A109">
            <v>557450</v>
          </cell>
          <cell r="B109" t="str">
            <v>Commissions/Brokerage Expense</v>
          </cell>
          <cell r="C109">
            <v>3413</v>
          </cell>
          <cell r="D109">
            <v>3059</v>
          </cell>
          <cell r="E109">
            <v>2775</v>
          </cell>
          <cell r="F109">
            <v>2775</v>
          </cell>
          <cell r="G109">
            <v>3110</v>
          </cell>
          <cell r="H109">
            <v>2897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>
            <v>557980</v>
          </cell>
          <cell r="B110" t="str">
            <v>Retail Deferred Fuel Expenses</v>
          </cell>
          <cell r="C110">
            <v>-740995</v>
          </cell>
          <cell r="D110">
            <v>-150770</v>
          </cell>
          <cell r="E110">
            <v>-293962</v>
          </cell>
          <cell r="F110">
            <v>-57271</v>
          </cell>
          <cell r="G110">
            <v>-515826</v>
          </cell>
          <cell r="H110">
            <v>-2760567</v>
          </cell>
          <cell r="I110">
            <v>-196528</v>
          </cell>
          <cell r="J110">
            <v>-226416</v>
          </cell>
          <cell r="K110">
            <v>61472</v>
          </cell>
          <cell r="L110">
            <v>863594</v>
          </cell>
          <cell r="M110">
            <v>244805</v>
          </cell>
          <cell r="N110">
            <v>59730</v>
          </cell>
        </row>
        <row r="111">
          <cell r="A111">
            <v>560000</v>
          </cell>
          <cell r="B111" t="str">
            <v>Supervsn and Engrng-Trans Oper</v>
          </cell>
          <cell r="C111">
            <v>168</v>
          </cell>
          <cell r="D111">
            <v>156</v>
          </cell>
          <cell r="E111">
            <v>238</v>
          </cell>
          <cell r="F111">
            <v>419</v>
          </cell>
          <cell r="G111">
            <v>197</v>
          </cell>
          <cell r="H111">
            <v>255</v>
          </cell>
          <cell r="I111">
            <v>8571</v>
          </cell>
          <cell r="J111">
            <v>11748</v>
          </cell>
          <cell r="K111">
            <v>6489</v>
          </cell>
          <cell r="L111">
            <v>12183</v>
          </cell>
          <cell r="M111">
            <v>3950</v>
          </cell>
          <cell r="N111">
            <v>2612</v>
          </cell>
        </row>
        <row r="112">
          <cell r="A112">
            <v>561100</v>
          </cell>
          <cell r="B112" t="str">
            <v>Load Dispatch-Reliability</v>
          </cell>
          <cell r="C112">
            <v>9039</v>
          </cell>
          <cell r="D112">
            <v>8995</v>
          </cell>
          <cell r="E112">
            <v>8554</v>
          </cell>
          <cell r="F112">
            <v>9759</v>
          </cell>
          <cell r="G112">
            <v>9193</v>
          </cell>
          <cell r="H112">
            <v>8993</v>
          </cell>
          <cell r="I112">
            <v>9970</v>
          </cell>
          <cell r="J112">
            <v>9970</v>
          </cell>
          <cell r="K112">
            <v>9952</v>
          </cell>
          <cell r="L112">
            <v>9958</v>
          </cell>
          <cell r="M112">
            <v>9958</v>
          </cell>
          <cell r="N112">
            <v>9998</v>
          </cell>
        </row>
        <row r="113">
          <cell r="A113">
            <v>561200</v>
          </cell>
          <cell r="B113" t="str">
            <v>Load Dispatch-Mnitor&amp;OprTrnSys</v>
          </cell>
          <cell r="C113">
            <v>42513</v>
          </cell>
          <cell r="D113">
            <v>39986</v>
          </cell>
          <cell r="E113">
            <v>38840</v>
          </cell>
          <cell r="F113">
            <v>46901</v>
          </cell>
          <cell r="G113">
            <v>41676</v>
          </cell>
          <cell r="H113">
            <v>39949</v>
          </cell>
          <cell r="I113">
            <v>44997</v>
          </cell>
          <cell r="J113">
            <v>44998</v>
          </cell>
          <cell r="K113">
            <v>44894</v>
          </cell>
          <cell r="L113">
            <v>44873</v>
          </cell>
          <cell r="M113">
            <v>44874</v>
          </cell>
          <cell r="N113">
            <v>45012</v>
          </cell>
        </row>
        <row r="114">
          <cell r="A114">
            <v>561300</v>
          </cell>
          <cell r="B114" t="str">
            <v>Load Dispatch - TransSvc&amp;Sch</v>
          </cell>
          <cell r="C114">
            <v>5735</v>
          </cell>
          <cell r="D114">
            <v>5474</v>
          </cell>
          <cell r="E114">
            <v>5235</v>
          </cell>
          <cell r="F114">
            <v>6266</v>
          </cell>
          <cell r="G114">
            <v>5693</v>
          </cell>
          <cell r="H114">
            <v>5483</v>
          </cell>
          <cell r="I114">
            <v>6074</v>
          </cell>
          <cell r="J114">
            <v>6075</v>
          </cell>
          <cell r="K114">
            <v>6066</v>
          </cell>
          <cell r="L114">
            <v>6068</v>
          </cell>
          <cell r="M114">
            <v>6069</v>
          </cell>
          <cell r="N114">
            <v>6088</v>
          </cell>
        </row>
        <row r="115">
          <cell r="A115">
            <v>561400</v>
          </cell>
          <cell r="B115" t="str">
            <v>Scheduling-Sys Cntrl&amp;Disp Svs</v>
          </cell>
          <cell r="C115">
            <v>1460340</v>
          </cell>
          <cell r="E115">
            <v>70841</v>
          </cell>
          <cell r="F115">
            <v>487951</v>
          </cell>
          <cell r="G115">
            <v>145656</v>
          </cell>
          <cell r="H115">
            <v>141977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A116">
            <v>561500</v>
          </cell>
          <cell r="B116" t="str">
            <v>ReliabilityPlanning&amp;StdsDev</v>
          </cell>
          <cell r="C116">
            <v>0</v>
          </cell>
          <cell r="E116">
            <v>456</v>
          </cell>
          <cell r="F116">
            <v>968</v>
          </cell>
          <cell r="H116">
            <v>0</v>
          </cell>
          <cell r="I116">
            <v>215</v>
          </cell>
          <cell r="J116">
            <v>215</v>
          </cell>
          <cell r="K116">
            <v>215</v>
          </cell>
          <cell r="L116">
            <v>215</v>
          </cell>
          <cell r="M116">
            <v>215</v>
          </cell>
          <cell r="N116">
            <v>215</v>
          </cell>
        </row>
        <row r="117">
          <cell r="A117">
            <v>561800</v>
          </cell>
          <cell r="B117" t="str">
            <v>ReliabilityPlanning&amp;StdsDev</v>
          </cell>
          <cell r="F117">
            <v>860353</v>
          </cell>
        </row>
        <row r="118">
          <cell r="A118">
            <v>562000</v>
          </cell>
          <cell r="B118" t="str">
            <v>Station Expenses</v>
          </cell>
          <cell r="C118">
            <v>4787</v>
          </cell>
          <cell r="D118">
            <v>18254</v>
          </cell>
          <cell r="E118">
            <v>5039</v>
          </cell>
          <cell r="F118">
            <v>13173</v>
          </cell>
          <cell r="G118">
            <v>17139</v>
          </cell>
          <cell r="H118">
            <v>9059</v>
          </cell>
          <cell r="I118">
            <v>8779</v>
          </cell>
          <cell r="J118">
            <v>8901</v>
          </cell>
          <cell r="K118">
            <v>8491</v>
          </cell>
          <cell r="L118">
            <v>9441</v>
          </cell>
          <cell r="M118">
            <v>8471</v>
          </cell>
          <cell r="N118">
            <v>8636</v>
          </cell>
        </row>
        <row r="119">
          <cell r="A119">
            <v>563000</v>
          </cell>
          <cell r="B119" t="str">
            <v>Overhead Line Expenses-Trans</v>
          </cell>
          <cell r="C119">
            <v>364</v>
          </cell>
          <cell r="D119">
            <v>27842</v>
          </cell>
          <cell r="E119">
            <v>406</v>
          </cell>
          <cell r="F119">
            <v>732</v>
          </cell>
          <cell r="G119">
            <v>9289</v>
          </cell>
          <cell r="H119">
            <v>50</v>
          </cell>
          <cell r="I119">
            <v>1715</v>
          </cell>
          <cell r="J119">
            <v>1739</v>
          </cell>
          <cell r="K119">
            <v>1656</v>
          </cell>
          <cell r="L119">
            <v>2409</v>
          </cell>
          <cell r="M119">
            <v>1652</v>
          </cell>
          <cell r="N119">
            <v>1686</v>
          </cell>
        </row>
        <row r="120">
          <cell r="A120">
            <v>565000</v>
          </cell>
          <cell r="B120" t="str">
            <v>Transm Of Elec By Others</v>
          </cell>
          <cell r="C120">
            <v>1378624</v>
          </cell>
          <cell r="D120">
            <v>1410810</v>
          </cell>
          <cell r="E120">
            <v>1203370</v>
          </cell>
          <cell r="F120">
            <v>555301</v>
          </cell>
          <cell r="G120">
            <v>1231399</v>
          </cell>
          <cell r="H120">
            <v>1222093</v>
          </cell>
          <cell r="I120">
            <v>989738</v>
          </cell>
          <cell r="J120">
            <v>989738</v>
          </cell>
          <cell r="K120">
            <v>989738</v>
          </cell>
          <cell r="L120">
            <v>989738</v>
          </cell>
          <cell r="M120">
            <v>989738</v>
          </cell>
          <cell r="N120">
            <v>989738</v>
          </cell>
        </row>
        <row r="121">
          <cell r="A121">
            <v>566000</v>
          </cell>
          <cell r="B121" t="str">
            <v>Misc Trans Exp-Other</v>
          </cell>
          <cell r="C121">
            <v>17970</v>
          </cell>
          <cell r="D121">
            <v>14313</v>
          </cell>
          <cell r="E121">
            <v>73359</v>
          </cell>
          <cell r="F121">
            <v>16865</v>
          </cell>
          <cell r="G121">
            <v>81773</v>
          </cell>
          <cell r="H121">
            <v>13736</v>
          </cell>
          <cell r="I121">
            <v>9957</v>
          </cell>
          <cell r="J121">
            <v>66864</v>
          </cell>
          <cell r="K121">
            <v>6127</v>
          </cell>
          <cell r="L121">
            <v>6067</v>
          </cell>
          <cell r="M121">
            <v>66505</v>
          </cell>
          <cell r="N121">
            <v>5257</v>
          </cell>
        </row>
        <row r="122">
          <cell r="A122">
            <v>566100</v>
          </cell>
          <cell r="B122" t="str">
            <v>Misc Trans-Trans Lines Related</v>
          </cell>
          <cell r="C122">
            <v>260</v>
          </cell>
          <cell r="D122">
            <v>83</v>
          </cell>
          <cell r="E122">
            <v>60</v>
          </cell>
          <cell r="F122">
            <v>113</v>
          </cell>
          <cell r="G122">
            <v>37</v>
          </cell>
          <cell r="H122">
            <v>36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</row>
        <row r="123">
          <cell r="A123">
            <v>567000</v>
          </cell>
          <cell r="B123" t="str">
            <v>Rents-Trans Oper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A124">
            <v>569000</v>
          </cell>
          <cell r="B124" t="str">
            <v>Maint Of Structures-Trans</v>
          </cell>
          <cell r="C124">
            <v>404</v>
          </cell>
          <cell r="D124">
            <v>65</v>
          </cell>
          <cell r="E124">
            <v>552</v>
          </cell>
          <cell r="F124">
            <v>641</v>
          </cell>
          <cell r="G124">
            <v>1160</v>
          </cell>
          <cell r="H124">
            <v>-790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</row>
        <row r="125">
          <cell r="A125">
            <v>569100</v>
          </cell>
          <cell r="B125" t="str">
            <v>Maint of Computer Hardware</v>
          </cell>
          <cell r="C125">
            <v>71</v>
          </cell>
          <cell r="E125">
            <v>89</v>
          </cell>
          <cell r="F125">
            <v>23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</row>
        <row r="126">
          <cell r="A126">
            <v>569200</v>
          </cell>
          <cell r="B126" t="str">
            <v>Maint Of Computer Software</v>
          </cell>
          <cell r="C126">
            <v>8523</v>
          </cell>
          <cell r="D126">
            <v>9869</v>
          </cell>
          <cell r="E126">
            <v>6901</v>
          </cell>
          <cell r="F126">
            <v>12961</v>
          </cell>
          <cell r="G126">
            <v>7920</v>
          </cell>
          <cell r="H126">
            <v>5434</v>
          </cell>
          <cell r="I126">
            <v>13843</v>
          </cell>
          <cell r="J126">
            <v>14972</v>
          </cell>
          <cell r="K126">
            <v>14225</v>
          </cell>
          <cell r="L126">
            <v>12490</v>
          </cell>
          <cell r="M126">
            <v>16402</v>
          </cell>
          <cell r="N126">
            <v>12186</v>
          </cell>
        </row>
        <row r="127">
          <cell r="A127">
            <v>570100</v>
          </cell>
          <cell r="B127" t="str">
            <v>Maint  Stat Equip-Other- Trans</v>
          </cell>
          <cell r="C127">
            <v>-4600</v>
          </cell>
          <cell r="D127">
            <v>5786</v>
          </cell>
          <cell r="E127">
            <v>9852</v>
          </cell>
          <cell r="F127">
            <v>40202</v>
          </cell>
          <cell r="G127">
            <v>20920</v>
          </cell>
          <cell r="H127">
            <v>14311</v>
          </cell>
          <cell r="I127">
            <v>6140</v>
          </cell>
          <cell r="J127">
            <v>6220</v>
          </cell>
          <cell r="K127">
            <v>5951</v>
          </cell>
          <cell r="L127">
            <v>6713</v>
          </cell>
          <cell r="M127">
            <v>5938</v>
          </cell>
          <cell r="N127">
            <v>6046</v>
          </cell>
        </row>
        <row r="128">
          <cell r="A128">
            <v>570200</v>
          </cell>
          <cell r="B128" t="str">
            <v>Main-Cir BrkrsTrnsf Mtrs-Trans</v>
          </cell>
          <cell r="E128">
            <v>6667</v>
          </cell>
          <cell r="F128">
            <v>2333</v>
          </cell>
          <cell r="G128">
            <v>7457</v>
          </cell>
          <cell r="H128">
            <v>8709</v>
          </cell>
          <cell r="I128">
            <v>16896</v>
          </cell>
          <cell r="J128">
            <v>17132</v>
          </cell>
          <cell r="K128">
            <v>16342</v>
          </cell>
          <cell r="L128">
            <v>15861</v>
          </cell>
          <cell r="M128">
            <v>16305</v>
          </cell>
          <cell r="N128">
            <v>16621</v>
          </cell>
        </row>
        <row r="129">
          <cell r="A129">
            <v>571000</v>
          </cell>
          <cell r="B129" t="str">
            <v>Maint Of Overhead Lines-Trans</v>
          </cell>
          <cell r="C129">
            <v>26170</v>
          </cell>
          <cell r="D129">
            <v>-9309</v>
          </cell>
          <cell r="E129">
            <v>13888</v>
          </cell>
          <cell r="F129">
            <v>30274</v>
          </cell>
          <cell r="G129">
            <v>5874</v>
          </cell>
          <cell r="H129">
            <v>54577</v>
          </cell>
          <cell r="I129">
            <v>28423</v>
          </cell>
          <cell r="J129">
            <v>28924</v>
          </cell>
          <cell r="K129">
            <v>29836</v>
          </cell>
          <cell r="L129">
            <v>35188</v>
          </cell>
          <cell r="M129">
            <v>28747</v>
          </cell>
          <cell r="N129">
            <v>26945</v>
          </cell>
        </row>
        <row r="130">
          <cell r="A130">
            <v>575700</v>
          </cell>
          <cell r="B130" t="str">
            <v>Market Faciliation-Mntr&amp;Comp</v>
          </cell>
          <cell r="C130">
            <v>162974</v>
          </cell>
          <cell r="D130">
            <v>166543</v>
          </cell>
          <cell r="E130">
            <v>139692</v>
          </cell>
          <cell r="F130">
            <v>161428</v>
          </cell>
          <cell r="G130">
            <v>142700</v>
          </cell>
          <cell r="H130">
            <v>32267</v>
          </cell>
          <cell r="I130">
            <v>138601</v>
          </cell>
          <cell r="J130">
            <v>138601</v>
          </cell>
          <cell r="K130">
            <v>138601</v>
          </cell>
          <cell r="L130">
            <v>138601</v>
          </cell>
          <cell r="M130">
            <v>138601</v>
          </cell>
          <cell r="N130">
            <v>138601</v>
          </cell>
        </row>
        <row r="131">
          <cell r="A131">
            <v>580000</v>
          </cell>
          <cell r="B131" t="str">
            <v>Supervsn and Engring-Dist Oper</v>
          </cell>
          <cell r="C131">
            <v>5448</v>
          </cell>
          <cell r="D131">
            <v>3077</v>
          </cell>
          <cell r="E131">
            <v>3483</v>
          </cell>
          <cell r="F131">
            <v>7342</v>
          </cell>
          <cell r="G131">
            <v>4132</v>
          </cell>
          <cell r="H131">
            <v>3616</v>
          </cell>
          <cell r="I131">
            <v>30512</v>
          </cell>
          <cell r="J131">
            <v>40046</v>
          </cell>
          <cell r="K131">
            <v>24269</v>
          </cell>
          <cell r="L131">
            <v>41541</v>
          </cell>
          <cell r="M131">
            <v>16490</v>
          </cell>
          <cell r="N131">
            <v>12474</v>
          </cell>
        </row>
        <row r="132">
          <cell r="A132">
            <v>581004</v>
          </cell>
          <cell r="B132" t="str">
            <v>Load Dispatch-Dist of Elec</v>
          </cell>
          <cell r="C132">
            <v>28916</v>
          </cell>
          <cell r="D132">
            <v>34357</v>
          </cell>
          <cell r="E132">
            <v>32154</v>
          </cell>
          <cell r="F132">
            <v>40547</v>
          </cell>
          <cell r="G132">
            <v>32013</v>
          </cell>
          <cell r="H132">
            <v>32253</v>
          </cell>
          <cell r="I132">
            <v>37523</v>
          </cell>
          <cell r="J132">
            <v>37819</v>
          </cell>
          <cell r="K132">
            <v>37516</v>
          </cell>
          <cell r="L132">
            <v>37621</v>
          </cell>
          <cell r="M132">
            <v>38653</v>
          </cell>
          <cell r="N132">
            <v>38099</v>
          </cell>
        </row>
        <row r="133">
          <cell r="A133">
            <v>582100</v>
          </cell>
          <cell r="B133" t="str">
            <v>Station Expenses-Other-Dist</v>
          </cell>
          <cell r="C133">
            <v>7535</v>
          </cell>
          <cell r="D133">
            <v>20491</v>
          </cell>
          <cell r="E133">
            <v>16776</v>
          </cell>
          <cell r="F133">
            <v>20273</v>
          </cell>
          <cell r="G133">
            <v>17862</v>
          </cell>
          <cell r="H133">
            <v>20178</v>
          </cell>
          <cell r="I133">
            <v>9151</v>
          </cell>
          <cell r="J133">
            <v>9275</v>
          </cell>
          <cell r="K133">
            <v>8859</v>
          </cell>
          <cell r="L133">
            <v>8605</v>
          </cell>
          <cell r="M133">
            <v>8839</v>
          </cell>
          <cell r="N133">
            <v>9006</v>
          </cell>
        </row>
        <row r="134">
          <cell r="A134">
            <v>583100</v>
          </cell>
          <cell r="B134" t="str">
            <v>Overhead Line Exps-Other-Dist</v>
          </cell>
          <cell r="C134">
            <v>-22821</v>
          </cell>
          <cell r="D134">
            <v>8300</v>
          </cell>
          <cell r="E134">
            <v>2721</v>
          </cell>
          <cell r="F134">
            <v>-6214</v>
          </cell>
          <cell r="G134">
            <v>3375</v>
          </cell>
          <cell r="H134">
            <v>2143</v>
          </cell>
          <cell r="I134">
            <v>55529</v>
          </cell>
          <cell r="J134">
            <v>21357</v>
          </cell>
          <cell r="K134">
            <v>20426</v>
          </cell>
          <cell r="L134">
            <v>57595</v>
          </cell>
          <cell r="M134">
            <v>20471</v>
          </cell>
          <cell r="N134">
            <v>22630</v>
          </cell>
        </row>
        <row r="135">
          <cell r="A135">
            <v>583200</v>
          </cell>
          <cell r="B135" t="str">
            <v>Transf Set Rem Reset Test-Dist</v>
          </cell>
          <cell r="C135">
            <v>10865</v>
          </cell>
          <cell r="D135">
            <v>8212</v>
          </cell>
          <cell r="E135">
            <v>8864</v>
          </cell>
          <cell r="F135">
            <v>11067</v>
          </cell>
          <cell r="G135">
            <v>6693</v>
          </cell>
          <cell r="H135">
            <v>7528</v>
          </cell>
          <cell r="I135">
            <v>6201</v>
          </cell>
          <cell r="J135">
            <v>6201</v>
          </cell>
          <cell r="K135">
            <v>6201</v>
          </cell>
          <cell r="L135">
            <v>9302</v>
          </cell>
          <cell r="M135">
            <v>6388</v>
          </cell>
          <cell r="N135">
            <v>6388</v>
          </cell>
        </row>
        <row r="136">
          <cell r="A136">
            <v>584000</v>
          </cell>
          <cell r="B136" t="str">
            <v>Underground Line Expenses-Dist</v>
          </cell>
          <cell r="C136">
            <v>22406</v>
          </cell>
          <cell r="D136">
            <v>37990</v>
          </cell>
          <cell r="E136">
            <v>31451</v>
          </cell>
          <cell r="F136">
            <v>36860</v>
          </cell>
          <cell r="G136">
            <v>55286</v>
          </cell>
          <cell r="H136">
            <v>4848</v>
          </cell>
          <cell r="I136">
            <v>39861</v>
          </cell>
          <cell r="J136">
            <v>56350</v>
          </cell>
          <cell r="K136">
            <v>29571</v>
          </cell>
          <cell r="L136">
            <v>35495</v>
          </cell>
          <cell r="M136">
            <v>28770</v>
          </cell>
          <cell r="N136">
            <v>27736</v>
          </cell>
        </row>
        <row r="137">
          <cell r="A137">
            <v>586000</v>
          </cell>
          <cell r="B137" t="str">
            <v>Meter Expenses-Dist</v>
          </cell>
          <cell r="C137">
            <v>73202</v>
          </cell>
          <cell r="D137">
            <v>68930</v>
          </cell>
          <cell r="E137">
            <v>61309</v>
          </cell>
          <cell r="F137">
            <v>81633</v>
          </cell>
          <cell r="G137">
            <v>57809</v>
          </cell>
          <cell r="H137">
            <v>58189</v>
          </cell>
          <cell r="I137">
            <v>2633</v>
          </cell>
          <cell r="J137">
            <v>1860</v>
          </cell>
          <cell r="K137">
            <v>5305</v>
          </cell>
          <cell r="L137">
            <v>9143</v>
          </cell>
          <cell r="M137">
            <v>5573</v>
          </cell>
          <cell r="N137">
            <v>1953</v>
          </cell>
        </row>
        <row r="138">
          <cell r="A138">
            <v>587000</v>
          </cell>
          <cell r="B138" t="str">
            <v>Cust Install Exp-Other Dist</v>
          </cell>
          <cell r="C138">
            <v>85750</v>
          </cell>
          <cell r="D138">
            <v>60557</v>
          </cell>
          <cell r="E138">
            <v>46019</v>
          </cell>
          <cell r="F138">
            <v>8338</v>
          </cell>
          <cell r="G138">
            <v>32222</v>
          </cell>
          <cell r="H138">
            <v>32224</v>
          </cell>
          <cell r="I138">
            <v>95159</v>
          </cell>
          <cell r="J138">
            <v>74419</v>
          </cell>
          <cell r="K138">
            <v>83562</v>
          </cell>
          <cell r="L138">
            <v>113510</v>
          </cell>
          <cell r="M138">
            <v>157416</v>
          </cell>
          <cell r="N138">
            <v>134176</v>
          </cell>
        </row>
        <row r="139">
          <cell r="A139">
            <v>588100</v>
          </cell>
          <cell r="B139" t="str">
            <v>Misc Distribution Exp-Other</v>
          </cell>
          <cell r="C139">
            <v>229803</v>
          </cell>
          <cell r="D139">
            <v>136198</v>
          </cell>
          <cell r="E139">
            <v>221862</v>
          </cell>
          <cell r="F139">
            <v>222700</v>
          </cell>
          <cell r="G139">
            <v>425622</v>
          </cell>
          <cell r="H139">
            <v>149967</v>
          </cell>
          <cell r="I139">
            <v>285046</v>
          </cell>
          <cell r="J139">
            <v>232777</v>
          </cell>
          <cell r="K139">
            <v>172491</v>
          </cell>
          <cell r="L139">
            <v>256674</v>
          </cell>
          <cell r="M139">
            <v>351507</v>
          </cell>
          <cell r="N139">
            <v>203092</v>
          </cell>
        </row>
        <row r="140">
          <cell r="A140">
            <v>589000</v>
          </cell>
          <cell r="B140" t="str">
            <v>Rents-Dist Oper</v>
          </cell>
          <cell r="C140">
            <v>8450</v>
          </cell>
          <cell r="D140">
            <v>3370</v>
          </cell>
          <cell r="E140">
            <v>13192</v>
          </cell>
          <cell r="F140">
            <v>-23685</v>
          </cell>
          <cell r="G140">
            <v>4991</v>
          </cell>
          <cell r="H140">
            <v>6573</v>
          </cell>
          <cell r="I140">
            <v>0</v>
          </cell>
          <cell r="J140">
            <v>0</v>
          </cell>
          <cell r="K140">
            <v>480</v>
          </cell>
          <cell r="L140">
            <v>13920</v>
          </cell>
          <cell r="M140">
            <v>666</v>
          </cell>
          <cell r="N140">
            <v>3523</v>
          </cell>
        </row>
        <row r="141">
          <cell r="A141">
            <v>591000</v>
          </cell>
          <cell r="B141" t="str">
            <v>Maintenance Of Structures-Dist</v>
          </cell>
          <cell r="C141">
            <v>466</v>
          </cell>
          <cell r="F141">
            <v>142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>
            <v>592100</v>
          </cell>
          <cell r="B142" t="str">
            <v>Maint Station Equip-Other-Dist</v>
          </cell>
          <cell r="C142">
            <v>14114</v>
          </cell>
          <cell r="D142">
            <v>28402</v>
          </cell>
          <cell r="E142">
            <v>15685</v>
          </cell>
          <cell r="F142">
            <v>23778</v>
          </cell>
          <cell r="G142">
            <v>20187</v>
          </cell>
          <cell r="H142">
            <v>30645</v>
          </cell>
          <cell r="I142">
            <v>8035</v>
          </cell>
          <cell r="J142">
            <v>8151</v>
          </cell>
          <cell r="K142">
            <v>7760</v>
          </cell>
          <cell r="L142">
            <v>11260</v>
          </cell>
          <cell r="M142">
            <v>7740</v>
          </cell>
          <cell r="N142">
            <v>7898</v>
          </cell>
        </row>
        <row r="143">
          <cell r="A143">
            <v>592200</v>
          </cell>
          <cell r="B143" t="str">
            <v>Cir BrkrsTrnsf Mters Rely-Dist</v>
          </cell>
          <cell r="E143">
            <v>0</v>
          </cell>
          <cell r="F143">
            <v>8196</v>
          </cell>
          <cell r="G143">
            <v>4333</v>
          </cell>
          <cell r="H143">
            <v>4333</v>
          </cell>
          <cell r="I143">
            <v>30623</v>
          </cell>
          <cell r="J143">
            <v>31019</v>
          </cell>
          <cell r="K143">
            <v>29693</v>
          </cell>
          <cell r="L143">
            <v>28884</v>
          </cell>
          <cell r="M143">
            <v>29630</v>
          </cell>
          <cell r="N143">
            <v>30160</v>
          </cell>
        </row>
        <row r="144">
          <cell r="A144">
            <v>593000</v>
          </cell>
          <cell r="B144" t="str">
            <v>Maint Overhd Lines-Other-Dist</v>
          </cell>
          <cell r="C144">
            <v>455910</v>
          </cell>
          <cell r="D144">
            <v>307484</v>
          </cell>
          <cell r="E144">
            <v>247181</v>
          </cell>
          <cell r="F144">
            <v>1747639</v>
          </cell>
          <cell r="G144">
            <v>491939</v>
          </cell>
          <cell r="H144">
            <v>790646</v>
          </cell>
          <cell r="I144">
            <v>432589</v>
          </cell>
          <cell r="J144">
            <v>535150</v>
          </cell>
          <cell r="K144">
            <v>533226</v>
          </cell>
          <cell r="L144">
            <v>487696</v>
          </cell>
          <cell r="M144">
            <v>330075</v>
          </cell>
          <cell r="N144">
            <v>349374</v>
          </cell>
        </row>
        <row r="145">
          <cell r="A145">
            <v>593100</v>
          </cell>
          <cell r="B145" t="str">
            <v>Right-Of-Way Maintenance-Dist</v>
          </cell>
          <cell r="C145">
            <v>0</v>
          </cell>
          <cell r="E145">
            <v>0</v>
          </cell>
          <cell r="F145">
            <v>0</v>
          </cell>
          <cell r="H145">
            <v>0</v>
          </cell>
          <cell r="I145">
            <v>5080</v>
          </cell>
          <cell r="J145">
            <v>2413</v>
          </cell>
          <cell r="K145">
            <v>2413</v>
          </cell>
          <cell r="L145">
            <v>1143</v>
          </cell>
          <cell r="M145">
            <v>1143</v>
          </cell>
          <cell r="N145">
            <v>1143</v>
          </cell>
        </row>
        <row r="146">
          <cell r="A146">
            <v>594000</v>
          </cell>
          <cell r="B146" t="str">
            <v>Maint-Underground Lines-Dist</v>
          </cell>
          <cell r="C146">
            <v>14430</v>
          </cell>
          <cell r="D146">
            <v>17660</v>
          </cell>
          <cell r="E146">
            <v>20898</v>
          </cell>
          <cell r="F146">
            <v>15559</v>
          </cell>
          <cell r="G146">
            <v>16278</v>
          </cell>
          <cell r="H146">
            <v>42785</v>
          </cell>
          <cell r="I146">
            <v>30756</v>
          </cell>
          <cell r="J146">
            <v>45607</v>
          </cell>
          <cell r="K146">
            <v>46271</v>
          </cell>
          <cell r="L146">
            <v>41726</v>
          </cell>
          <cell r="M146">
            <v>39075</v>
          </cell>
          <cell r="N146">
            <v>37499</v>
          </cell>
        </row>
        <row r="147">
          <cell r="A147">
            <v>595100</v>
          </cell>
          <cell r="B147" t="str">
            <v>Maint Line Transfrs-Other-Dist</v>
          </cell>
          <cell r="C147">
            <v>106</v>
          </cell>
          <cell r="D147">
            <v>778</v>
          </cell>
          <cell r="E147">
            <v>1169</v>
          </cell>
          <cell r="F147">
            <v>626</v>
          </cell>
          <cell r="G147">
            <v>470</v>
          </cell>
          <cell r="H147">
            <v>191336</v>
          </cell>
          <cell r="I147">
            <v>6272</v>
          </cell>
          <cell r="J147">
            <v>4499</v>
          </cell>
          <cell r="K147">
            <v>5701</v>
          </cell>
          <cell r="L147">
            <v>16286</v>
          </cell>
          <cell r="M147">
            <v>6116</v>
          </cell>
          <cell r="N147">
            <v>6365</v>
          </cell>
        </row>
        <row r="148">
          <cell r="A148">
            <v>596000</v>
          </cell>
          <cell r="B148" t="str">
            <v>Maint-StreetLightng/Signl-Dist</v>
          </cell>
          <cell r="C148">
            <v>69734</v>
          </cell>
          <cell r="D148">
            <v>40106</v>
          </cell>
          <cell r="E148">
            <v>31987</v>
          </cell>
          <cell r="F148">
            <v>27763</v>
          </cell>
          <cell r="G148">
            <v>29229</v>
          </cell>
          <cell r="H148">
            <v>43473</v>
          </cell>
          <cell r="I148">
            <v>19742</v>
          </cell>
          <cell r="J148">
            <v>28736</v>
          </cell>
          <cell r="K148">
            <v>21928</v>
          </cell>
          <cell r="L148">
            <v>14504</v>
          </cell>
          <cell r="M148">
            <v>32322</v>
          </cell>
          <cell r="N148">
            <v>73681</v>
          </cell>
        </row>
        <row r="149">
          <cell r="A149">
            <v>597000</v>
          </cell>
          <cell r="B149" t="str">
            <v>Maintenance Of Meters-Dist</v>
          </cell>
          <cell r="C149">
            <v>25519</v>
          </cell>
          <cell r="D149">
            <v>28348</v>
          </cell>
          <cell r="E149">
            <v>21261</v>
          </cell>
          <cell r="F149">
            <v>33155</v>
          </cell>
          <cell r="G149">
            <v>25637</v>
          </cell>
          <cell r="H149">
            <v>28314</v>
          </cell>
          <cell r="I149">
            <v>24399</v>
          </cell>
          <cell r="J149">
            <v>24399</v>
          </cell>
          <cell r="K149">
            <v>24399</v>
          </cell>
          <cell r="L149">
            <v>31976</v>
          </cell>
          <cell r="M149">
            <v>24399</v>
          </cell>
          <cell r="N149">
            <v>24399</v>
          </cell>
        </row>
        <row r="150">
          <cell r="A150">
            <v>901000</v>
          </cell>
          <cell r="B150" t="str">
            <v>Supervision-Cust Accts</v>
          </cell>
          <cell r="C150">
            <v>18261</v>
          </cell>
          <cell r="D150">
            <v>22044</v>
          </cell>
          <cell r="E150">
            <v>18728</v>
          </cell>
          <cell r="F150">
            <v>26180</v>
          </cell>
          <cell r="G150">
            <v>23299</v>
          </cell>
          <cell r="H150">
            <v>22578</v>
          </cell>
          <cell r="I150">
            <v>57585</v>
          </cell>
          <cell r="J150">
            <v>57588</v>
          </cell>
          <cell r="K150">
            <v>57588</v>
          </cell>
          <cell r="L150">
            <v>62413</v>
          </cell>
          <cell r="M150">
            <v>57589</v>
          </cell>
          <cell r="N150">
            <v>57586</v>
          </cell>
        </row>
        <row r="151">
          <cell r="A151">
            <v>902000</v>
          </cell>
          <cell r="B151" t="str">
            <v>Meter Reading Expense</v>
          </cell>
          <cell r="C151">
            <v>65006</v>
          </cell>
          <cell r="D151">
            <v>88441</v>
          </cell>
          <cell r="E151">
            <v>61626</v>
          </cell>
          <cell r="F151">
            <v>95860</v>
          </cell>
          <cell r="G151">
            <v>70904</v>
          </cell>
          <cell r="H151">
            <v>44737</v>
          </cell>
          <cell r="I151">
            <v>65649</v>
          </cell>
          <cell r="J151">
            <v>72688</v>
          </cell>
          <cell r="K151">
            <v>72133</v>
          </cell>
          <cell r="L151">
            <v>73871</v>
          </cell>
          <cell r="M151">
            <v>62230</v>
          </cell>
          <cell r="N151">
            <v>65194</v>
          </cell>
        </row>
        <row r="152">
          <cell r="A152">
            <v>903000</v>
          </cell>
          <cell r="B152" t="str">
            <v>Cust Records &amp; Collection Exp</v>
          </cell>
          <cell r="C152">
            <v>159586</v>
          </cell>
          <cell r="D152">
            <v>290243</v>
          </cell>
          <cell r="E152">
            <v>248045</v>
          </cell>
          <cell r="F152">
            <v>338746</v>
          </cell>
          <cell r="G152">
            <v>225033</v>
          </cell>
          <cell r="H152">
            <v>273838</v>
          </cell>
          <cell r="I152">
            <v>162945</v>
          </cell>
          <cell r="J152">
            <v>126194</v>
          </cell>
          <cell r="K152">
            <v>175978</v>
          </cell>
          <cell r="L152">
            <v>151220</v>
          </cell>
          <cell r="M152">
            <v>159721</v>
          </cell>
          <cell r="N152">
            <v>192565</v>
          </cell>
        </row>
        <row r="153">
          <cell r="A153">
            <v>903100</v>
          </cell>
          <cell r="B153" t="str">
            <v>Cust Contracts &amp; Orders-Local</v>
          </cell>
          <cell r="C153">
            <v>26921</v>
          </cell>
          <cell r="D153">
            <v>22422</v>
          </cell>
          <cell r="E153">
            <v>8014</v>
          </cell>
          <cell r="F153">
            <v>19539</v>
          </cell>
          <cell r="G153">
            <v>13570</v>
          </cell>
          <cell r="H153">
            <v>16216</v>
          </cell>
          <cell r="I153">
            <v>47801</v>
          </cell>
          <cell r="J153">
            <v>48390</v>
          </cell>
          <cell r="K153">
            <v>49675</v>
          </cell>
          <cell r="L153">
            <v>50311</v>
          </cell>
          <cell r="M153">
            <v>48465</v>
          </cell>
          <cell r="N153">
            <v>46466</v>
          </cell>
        </row>
        <row r="154">
          <cell r="A154">
            <v>903200</v>
          </cell>
          <cell r="B154" t="str">
            <v>Cust Billing &amp; Acct</v>
          </cell>
          <cell r="C154">
            <v>73103</v>
          </cell>
          <cell r="D154">
            <v>75475</v>
          </cell>
          <cell r="E154">
            <v>193688</v>
          </cell>
          <cell r="F154">
            <v>86893</v>
          </cell>
          <cell r="G154">
            <v>72872</v>
          </cell>
          <cell r="H154">
            <v>71275</v>
          </cell>
          <cell r="I154">
            <v>70986</v>
          </cell>
          <cell r="J154">
            <v>71544</v>
          </cell>
          <cell r="K154">
            <v>72759</v>
          </cell>
          <cell r="L154">
            <v>81291</v>
          </cell>
          <cell r="M154">
            <v>71549</v>
          </cell>
          <cell r="N154">
            <v>69658</v>
          </cell>
        </row>
        <row r="155">
          <cell r="A155">
            <v>903250</v>
          </cell>
          <cell r="B155" t="str">
            <v>Customer Billing-Common</v>
          </cell>
          <cell r="C155">
            <v>149909</v>
          </cell>
          <cell r="E155">
            <v>0</v>
          </cell>
          <cell r="F155">
            <v>0</v>
          </cell>
          <cell r="H155">
            <v>0</v>
          </cell>
          <cell r="I155">
            <v>-105802</v>
          </cell>
          <cell r="J155">
            <v>-110008</v>
          </cell>
          <cell r="K155">
            <v>-99267</v>
          </cell>
          <cell r="L155">
            <v>-67897</v>
          </cell>
          <cell r="M155">
            <v>-51028</v>
          </cell>
          <cell r="N155">
            <v>-73700</v>
          </cell>
        </row>
        <row r="156">
          <cell r="A156">
            <v>903300</v>
          </cell>
          <cell r="B156" t="str">
            <v>Cust Collecting-Local</v>
          </cell>
          <cell r="C156">
            <v>22220</v>
          </cell>
          <cell r="D156">
            <v>22388</v>
          </cell>
          <cell r="E156">
            <v>18811</v>
          </cell>
          <cell r="F156">
            <v>22067</v>
          </cell>
          <cell r="G156">
            <v>15674</v>
          </cell>
          <cell r="H156">
            <v>21084</v>
          </cell>
          <cell r="I156">
            <v>42647</v>
          </cell>
          <cell r="J156">
            <v>43018</v>
          </cell>
          <cell r="K156">
            <v>48332</v>
          </cell>
          <cell r="L156">
            <v>45080</v>
          </cell>
          <cell r="M156">
            <v>43022</v>
          </cell>
          <cell r="N156">
            <v>42010</v>
          </cell>
        </row>
        <row r="157">
          <cell r="A157">
            <v>903400</v>
          </cell>
          <cell r="B157" t="str">
            <v>Cust Receiv &amp; Collect Exp-Edp</v>
          </cell>
          <cell r="C157">
            <v>5728</v>
          </cell>
          <cell r="D157">
            <v>3132</v>
          </cell>
          <cell r="E157">
            <v>2803</v>
          </cell>
          <cell r="F157">
            <v>3012</v>
          </cell>
          <cell r="G157">
            <v>3117</v>
          </cell>
          <cell r="H157">
            <v>3347</v>
          </cell>
          <cell r="I157">
            <v>7312</v>
          </cell>
          <cell r="J157">
            <v>7388</v>
          </cell>
          <cell r="K157">
            <v>7465</v>
          </cell>
          <cell r="L157">
            <v>7668</v>
          </cell>
          <cell r="M157">
            <v>7641</v>
          </cell>
          <cell r="N157">
            <v>7718</v>
          </cell>
        </row>
        <row r="158">
          <cell r="A158">
            <v>903750</v>
          </cell>
          <cell r="B158" t="str">
            <v>Common - Operating-Cust Accts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</row>
        <row r="159">
          <cell r="A159">
            <v>903891</v>
          </cell>
          <cell r="B159" t="str">
            <v>IC Collection Agent Revenue</v>
          </cell>
          <cell r="C159">
            <v>-166863</v>
          </cell>
          <cell r="D159">
            <v>-17585</v>
          </cell>
          <cell r="E159">
            <v>-14980</v>
          </cell>
          <cell r="F159">
            <v>-14184</v>
          </cell>
          <cell r="G159">
            <v>-11546</v>
          </cell>
          <cell r="H159">
            <v>-11457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A160">
            <v>904001</v>
          </cell>
          <cell r="B160" t="str">
            <v>BAD DEBT EXPENSE</v>
          </cell>
          <cell r="C160">
            <v>-114140</v>
          </cell>
          <cell r="D160">
            <v>9320</v>
          </cell>
          <cell r="E160">
            <v>-12108</v>
          </cell>
          <cell r="F160">
            <v>-2728</v>
          </cell>
          <cell r="G160">
            <v>-289</v>
          </cell>
          <cell r="H160">
            <v>32654</v>
          </cell>
          <cell r="I160">
            <v>4600</v>
          </cell>
          <cell r="J160">
            <v>4600</v>
          </cell>
          <cell r="K160">
            <v>4600</v>
          </cell>
          <cell r="L160">
            <v>4600</v>
          </cell>
          <cell r="M160">
            <v>4600</v>
          </cell>
          <cell r="N160">
            <v>4600</v>
          </cell>
        </row>
        <row r="161">
          <cell r="A161">
            <v>904003</v>
          </cell>
          <cell r="B161" t="str">
            <v>Cust Acctg-Loss On Sale-A/R</v>
          </cell>
          <cell r="E161">
            <v>0</v>
          </cell>
          <cell r="H161">
            <v>0</v>
          </cell>
          <cell r="I161">
            <v>142941</v>
          </cell>
          <cell r="J161">
            <v>228881</v>
          </cell>
          <cell r="K161">
            <v>194090</v>
          </cell>
          <cell r="L161">
            <v>134949</v>
          </cell>
          <cell r="M161">
            <v>211117</v>
          </cell>
          <cell r="N161">
            <v>251619</v>
          </cell>
        </row>
        <row r="162">
          <cell r="A162">
            <v>904891</v>
          </cell>
          <cell r="B162" t="str">
            <v>IC Loss on Sale of AR VIE</v>
          </cell>
          <cell r="C162">
            <v>681208</v>
          </cell>
          <cell r="F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A163">
            <v>905000</v>
          </cell>
          <cell r="B163" t="str">
            <v>Misc Customer Accts Expenses</v>
          </cell>
          <cell r="C163">
            <v>63</v>
          </cell>
          <cell r="D163">
            <v>32</v>
          </cell>
          <cell r="E163">
            <v>20</v>
          </cell>
          <cell r="F163">
            <v>15</v>
          </cell>
          <cell r="G163">
            <v>125</v>
          </cell>
          <cell r="H163">
            <v>48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>
            <v>908000</v>
          </cell>
          <cell r="B164" t="str">
            <v>Cust Asst Exp-Conservation Pro</v>
          </cell>
          <cell r="C164">
            <v>3</v>
          </cell>
          <cell r="E164">
            <v>1</v>
          </cell>
          <cell r="F164">
            <v>0</v>
          </cell>
          <cell r="H164">
            <v>3</v>
          </cell>
          <cell r="I164">
            <v>9387</v>
          </cell>
          <cell r="J164">
            <v>9387</v>
          </cell>
          <cell r="K164">
            <v>9387</v>
          </cell>
          <cell r="L164">
            <v>9387</v>
          </cell>
          <cell r="M164">
            <v>9387</v>
          </cell>
          <cell r="N164">
            <v>9387</v>
          </cell>
        </row>
        <row r="165">
          <cell r="A165">
            <v>909650</v>
          </cell>
          <cell r="B165" t="str">
            <v>Misc Advertising Expenses</v>
          </cell>
          <cell r="C165">
            <v>643</v>
          </cell>
          <cell r="D165">
            <v>1192</v>
          </cell>
          <cell r="F165">
            <v>492</v>
          </cell>
          <cell r="G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A166">
            <v>910000</v>
          </cell>
          <cell r="B166" t="str">
            <v>Misc Cust Serv/Inform Exp</v>
          </cell>
          <cell r="C166">
            <v>33579</v>
          </cell>
          <cell r="D166">
            <v>36653</v>
          </cell>
          <cell r="E166">
            <v>49442</v>
          </cell>
          <cell r="F166">
            <v>25591</v>
          </cell>
          <cell r="G166">
            <v>20316</v>
          </cell>
          <cell r="H166">
            <v>42632</v>
          </cell>
          <cell r="I166">
            <v>35735</v>
          </cell>
          <cell r="J166">
            <v>32446</v>
          </cell>
          <cell r="K166">
            <v>31679</v>
          </cell>
          <cell r="L166">
            <v>35106</v>
          </cell>
          <cell r="M166">
            <v>33012</v>
          </cell>
          <cell r="N166">
            <v>30514</v>
          </cell>
        </row>
        <row r="167">
          <cell r="A167">
            <v>910100</v>
          </cell>
          <cell r="B167" t="str">
            <v>Exp-Rs Reg Prod/Svces-CstAccts</v>
          </cell>
          <cell r="C167">
            <v>41563</v>
          </cell>
          <cell r="D167">
            <v>18031</v>
          </cell>
          <cell r="E167">
            <v>15190</v>
          </cell>
          <cell r="F167">
            <v>19453</v>
          </cell>
          <cell r="G167">
            <v>23974</v>
          </cell>
          <cell r="H167">
            <v>32223</v>
          </cell>
          <cell r="I167">
            <v>43991</v>
          </cell>
          <cell r="J167">
            <v>46999</v>
          </cell>
          <cell r="K167">
            <v>41818</v>
          </cell>
          <cell r="L167">
            <v>68159</v>
          </cell>
          <cell r="M167">
            <v>39542</v>
          </cell>
          <cell r="N167">
            <v>41773</v>
          </cell>
        </row>
        <row r="168">
          <cell r="A168">
            <v>912000</v>
          </cell>
          <cell r="B168" t="str">
            <v>Demonstrating &amp; Selling Exp</v>
          </cell>
          <cell r="C168">
            <v>90487</v>
          </cell>
          <cell r="D168">
            <v>64056</v>
          </cell>
          <cell r="E168">
            <v>64375</v>
          </cell>
          <cell r="F168">
            <v>65375</v>
          </cell>
          <cell r="G168">
            <v>63184</v>
          </cell>
          <cell r="H168">
            <v>42846</v>
          </cell>
          <cell r="I168">
            <v>85515</v>
          </cell>
          <cell r="J168">
            <v>85538</v>
          </cell>
          <cell r="K168">
            <v>85858</v>
          </cell>
          <cell r="L168">
            <v>89541</v>
          </cell>
          <cell r="M168">
            <v>85841</v>
          </cell>
          <cell r="N168">
            <v>86223</v>
          </cell>
        </row>
        <row r="169">
          <cell r="A169">
            <v>913001</v>
          </cell>
          <cell r="B169" t="str">
            <v>Advertising Expense</v>
          </cell>
          <cell r="C169">
            <v>19556</v>
          </cell>
          <cell r="D169">
            <v>1436</v>
          </cell>
          <cell r="E169">
            <v>1729</v>
          </cell>
          <cell r="F169">
            <v>1779</v>
          </cell>
          <cell r="G169">
            <v>3810</v>
          </cell>
          <cell r="H169">
            <v>8560</v>
          </cell>
          <cell r="I169">
            <v>155</v>
          </cell>
          <cell r="J169">
            <v>155</v>
          </cell>
          <cell r="K169">
            <v>155</v>
          </cell>
          <cell r="L169">
            <v>155</v>
          </cell>
          <cell r="M169">
            <v>155</v>
          </cell>
          <cell r="N169">
            <v>155</v>
          </cell>
        </row>
        <row r="170">
          <cell r="A170">
            <v>920000</v>
          </cell>
          <cell r="B170" t="str">
            <v>A &amp; G Salaries</v>
          </cell>
          <cell r="C170">
            <v>1191335</v>
          </cell>
          <cell r="D170">
            <v>437118</v>
          </cell>
          <cell r="E170">
            <v>439971</v>
          </cell>
          <cell r="F170">
            <v>298770</v>
          </cell>
          <cell r="G170">
            <v>462305</v>
          </cell>
          <cell r="H170">
            <v>486236</v>
          </cell>
          <cell r="I170">
            <v>556109</v>
          </cell>
          <cell r="J170">
            <v>481434</v>
          </cell>
          <cell r="K170">
            <v>481150</v>
          </cell>
          <cell r="L170">
            <v>154052</v>
          </cell>
          <cell r="M170">
            <v>481015</v>
          </cell>
          <cell r="N170">
            <v>480917</v>
          </cell>
        </row>
        <row r="171">
          <cell r="A171">
            <v>921100</v>
          </cell>
          <cell r="B171" t="str">
            <v>Employee Expenses</v>
          </cell>
          <cell r="C171">
            <v>-15331</v>
          </cell>
          <cell r="D171">
            <v>44316</v>
          </cell>
          <cell r="E171">
            <v>27264</v>
          </cell>
          <cell r="F171">
            <v>36372</v>
          </cell>
          <cell r="G171">
            <v>27886</v>
          </cell>
          <cell r="H171">
            <v>18289</v>
          </cell>
          <cell r="I171">
            <v>25404</v>
          </cell>
          <cell r="J171">
            <v>23254</v>
          </cell>
          <cell r="K171">
            <v>23445</v>
          </cell>
          <cell r="L171">
            <v>26152</v>
          </cell>
          <cell r="M171">
            <v>23480</v>
          </cell>
          <cell r="N171">
            <v>23910</v>
          </cell>
        </row>
        <row r="172">
          <cell r="A172">
            <v>921101</v>
          </cell>
          <cell r="B172" t="str">
            <v>Employee Exp - NC</v>
          </cell>
          <cell r="C172">
            <v>3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>
            <v>921110</v>
          </cell>
          <cell r="B173" t="str">
            <v>Relocation Expenses</v>
          </cell>
          <cell r="C173">
            <v>3</v>
          </cell>
          <cell r="E173">
            <v>5</v>
          </cell>
          <cell r="H173">
            <v>5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A174">
            <v>921200</v>
          </cell>
          <cell r="B174" t="str">
            <v>Office Expenses</v>
          </cell>
          <cell r="C174">
            <v>66587</v>
          </cell>
          <cell r="D174">
            <v>39743</v>
          </cell>
          <cell r="E174">
            <v>36019</v>
          </cell>
          <cell r="F174">
            <v>51125</v>
          </cell>
          <cell r="G174">
            <v>50441</v>
          </cell>
          <cell r="H174">
            <v>44215</v>
          </cell>
          <cell r="I174">
            <v>92056</v>
          </cell>
          <cell r="J174">
            <v>66674</v>
          </cell>
          <cell r="K174">
            <v>65572</v>
          </cell>
          <cell r="L174">
            <v>96541</v>
          </cell>
          <cell r="M174">
            <v>65712</v>
          </cell>
          <cell r="N174">
            <v>65046</v>
          </cell>
        </row>
        <row r="175">
          <cell r="A175">
            <v>921300</v>
          </cell>
          <cell r="B175" t="str">
            <v>Telephone And Telegraph Exp</v>
          </cell>
          <cell r="C175">
            <v>2</v>
          </cell>
          <cell r="F175">
            <v>1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</row>
        <row r="176">
          <cell r="A176">
            <v>921400</v>
          </cell>
          <cell r="B176" t="str">
            <v>Computer Services Expenses</v>
          </cell>
          <cell r="C176">
            <v>119226</v>
          </cell>
          <cell r="D176">
            <v>34640</v>
          </cell>
          <cell r="E176">
            <v>18101</v>
          </cell>
          <cell r="F176">
            <v>18592</v>
          </cell>
          <cell r="G176">
            <v>11479</v>
          </cell>
          <cell r="H176">
            <v>3212</v>
          </cell>
          <cell r="I176">
            <v>34304</v>
          </cell>
          <cell r="J176">
            <v>18887</v>
          </cell>
          <cell r="K176">
            <v>8501</v>
          </cell>
          <cell r="L176">
            <v>9531</v>
          </cell>
          <cell r="M176">
            <v>12795</v>
          </cell>
          <cell r="N176">
            <v>9007</v>
          </cell>
        </row>
        <row r="177">
          <cell r="A177">
            <v>921540</v>
          </cell>
          <cell r="B177" t="str">
            <v>Computer Rent (Go Only)</v>
          </cell>
          <cell r="C177">
            <v>2113</v>
          </cell>
          <cell r="D177">
            <v>3630</v>
          </cell>
          <cell r="E177">
            <v>4056</v>
          </cell>
          <cell r="F177">
            <v>3774</v>
          </cell>
          <cell r="G177">
            <v>2931</v>
          </cell>
          <cell r="H177">
            <v>4804</v>
          </cell>
          <cell r="I177">
            <v>44</v>
          </cell>
          <cell r="J177">
            <v>836</v>
          </cell>
          <cell r="K177">
            <v>44</v>
          </cell>
          <cell r="L177">
            <v>44</v>
          </cell>
          <cell r="M177">
            <v>44</v>
          </cell>
          <cell r="N177">
            <v>44</v>
          </cell>
        </row>
        <row r="178">
          <cell r="A178">
            <v>921600</v>
          </cell>
          <cell r="B178" t="str">
            <v>Other</v>
          </cell>
          <cell r="C178">
            <v>70</v>
          </cell>
          <cell r="D178">
            <v>2</v>
          </cell>
          <cell r="E178">
            <v>24</v>
          </cell>
          <cell r="F178">
            <v>19</v>
          </cell>
          <cell r="G178">
            <v>73</v>
          </cell>
          <cell r="H178">
            <v>106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</row>
        <row r="179">
          <cell r="A179">
            <v>921980</v>
          </cell>
          <cell r="B179" t="str">
            <v>Office Supplies &amp; Expenses</v>
          </cell>
          <cell r="C179">
            <v>109204</v>
          </cell>
          <cell r="D179">
            <v>81479</v>
          </cell>
          <cell r="E179">
            <v>82939</v>
          </cell>
          <cell r="F179">
            <v>90572</v>
          </cell>
          <cell r="G179">
            <v>83206</v>
          </cell>
          <cell r="H179">
            <v>82607</v>
          </cell>
          <cell r="I179">
            <v>106874</v>
          </cell>
          <cell r="J179">
            <v>106756</v>
          </cell>
          <cell r="K179">
            <v>106723</v>
          </cell>
          <cell r="L179">
            <v>106208</v>
          </cell>
          <cell r="M179">
            <v>106832</v>
          </cell>
          <cell r="N179">
            <v>106866</v>
          </cell>
        </row>
        <row r="180">
          <cell r="A180">
            <v>922000</v>
          </cell>
          <cell r="B180" t="str">
            <v>Admin  Exp Transfer</v>
          </cell>
          <cell r="D180">
            <v>23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</row>
        <row r="181">
          <cell r="A181">
            <v>923000</v>
          </cell>
          <cell r="B181" t="str">
            <v>Outside Services Employed</v>
          </cell>
          <cell r="C181">
            <v>229444</v>
          </cell>
          <cell r="D181">
            <v>66138</v>
          </cell>
          <cell r="E181">
            <v>150687</v>
          </cell>
          <cell r="F181">
            <v>146760</v>
          </cell>
          <cell r="G181">
            <v>115234</v>
          </cell>
          <cell r="H181">
            <v>126012</v>
          </cell>
          <cell r="I181">
            <v>265705</v>
          </cell>
          <cell r="J181">
            <v>187380</v>
          </cell>
          <cell r="K181">
            <v>199175</v>
          </cell>
          <cell r="L181">
            <v>260078</v>
          </cell>
          <cell r="M181">
            <v>203712</v>
          </cell>
          <cell r="N181">
            <v>192413</v>
          </cell>
        </row>
        <row r="182">
          <cell r="A182">
            <v>923980</v>
          </cell>
          <cell r="B182" t="str">
            <v>Outside Services Employee &amp;</v>
          </cell>
          <cell r="C182">
            <v>-217</v>
          </cell>
          <cell r="D182">
            <v>-1366</v>
          </cell>
          <cell r="E182">
            <v>-1098</v>
          </cell>
          <cell r="F182">
            <v>-3846</v>
          </cell>
          <cell r="G182">
            <v>-1997</v>
          </cell>
          <cell r="H182">
            <v>-4030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</row>
        <row r="183">
          <cell r="A183">
            <v>924000</v>
          </cell>
          <cell r="B183" t="str">
            <v>Property Insurance</v>
          </cell>
          <cell r="C183">
            <v>-466</v>
          </cell>
          <cell r="D183">
            <v>403</v>
          </cell>
          <cell r="E183">
            <v>361</v>
          </cell>
          <cell r="F183">
            <v>-60</v>
          </cell>
          <cell r="G183">
            <v>403</v>
          </cell>
          <cell r="H183">
            <v>-232</v>
          </cell>
          <cell r="I183">
            <v>0</v>
          </cell>
          <cell r="J183">
            <v>2363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</row>
        <row r="184">
          <cell r="A184">
            <v>924050</v>
          </cell>
          <cell r="B184" t="str">
            <v>Inter-Co Prop Ins Exp</v>
          </cell>
          <cell r="C184">
            <v>15328</v>
          </cell>
          <cell r="D184">
            <v>15781</v>
          </cell>
          <cell r="E184">
            <v>15781</v>
          </cell>
          <cell r="F184">
            <v>15781</v>
          </cell>
          <cell r="G184">
            <v>15781</v>
          </cell>
          <cell r="H184">
            <v>15781</v>
          </cell>
          <cell r="I184">
            <v>14408</v>
          </cell>
          <cell r="J184">
            <v>14408</v>
          </cell>
          <cell r="K184">
            <v>14408</v>
          </cell>
          <cell r="L184">
            <v>14408</v>
          </cell>
          <cell r="M184">
            <v>14408</v>
          </cell>
          <cell r="N184">
            <v>14408</v>
          </cell>
        </row>
        <row r="185">
          <cell r="A185">
            <v>924980</v>
          </cell>
          <cell r="B185" t="str">
            <v>Property Insurance For Corp.</v>
          </cell>
          <cell r="C185">
            <v>14213</v>
          </cell>
          <cell r="D185">
            <v>13553</v>
          </cell>
          <cell r="E185">
            <v>13553</v>
          </cell>
          <cell r="F185">
            <v>13553</v>
          </cell>
          <cell r="G185">
            <v>13553</v>
          </cell>
          <cell r="H185">
            <v>13553</v>
          </cell>
          <cell r="I185">
            <v>14947</v>
          </cell>
          <cell r="J185">
            <v>14947</v>
          </cell>
          <cell r="K185">
            <v>14947</v>
          </cell>
          <cell r="L185">
            <v>14947</v>
          </cell>
          <cell r="M185">
            <v>14947</v>
          </cell>
          <cell r="N185">
            <v>14947</v>
          </cell>
        </row>
        <row r="186">
          <cell r="A186">
            <v>925000</v>
          </cell>
          <cell r="B186" t="str">
            <v>Injuries &amp; Damages</v>
          </cell>
          <cell r="C186">
            <v>13943</v>
          </cell>
          <cell r="D186">
            <v>15626</v>
          </cell>
          <cell r="E186">
            <v>17260</v>
          </cell>
          <cell r="F186">
            <v>16654</v>
          </cell>
          <cell r="G186">
            <v>15188</v>
          </cell>
          <cell r="H186">
            <v>28342</v>
          </cell>
          <cell r="I186">
            <v>11317</v>
          </cell>
          <cell r="J186">
            <v>11317</v>
          </cell>
          <cell r="K186">
            <v>11317</v>
          </cell>
          <cell r="L186">
            <v>11317</v>
          </cell>
          <cell r="M186">
            <v>11317</v>
          </cell>
          <cell r="N186">
            <v>11317</v>
          </cell>
        </row>
        <row r="187">
          <cell r="A187">
            <v>925050</v>
          </cell>
          <cell r="B187" t="str">
            <v>Intercompany Non-Prop Ins Exp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</row>
        <row r="188">
          <cell r="A188">
            <v>925051</v>
          </cell>
          <cell r="B188" t="str">
            <v>INTER-CO GEN LIAB EXP</v>
          </cell>
          <cell r="C188">
            <v>54925</v>
          </cell>
          <cell r="D188">
            <v>60266</v>
          </cell>
          <cell r="E188">
            <v>60266</v>
          </cell>
          <cell r="F188">
            <v>60266</v>
          </cell>
          <cell r="G188">
            <v>60266</v>
          </cell>
          <cell r="H188">
            <v>60266</v>
          </cell>
          <cell r="I188">
            <v>67550</v>
          </cell>
          <cell r="J188">
            <v>67550</v>
          </cell>
          <cell r="K188">
            <v>67550</v>
          </cell>
          <cell r="L188">
            <v>67550</v>
          </cell>
          <cell r="M188">
            <v>67550</v>
          </cell>
          <cell r="N188">
            <v>67550</v>
          </cell>
        </row>
        <row r="189">
          <cell r="A189">
            <v>925200</v>
          </cell>
          <cell r="B189" t="str">
            <v>Injuries And Damages-Other</v>
          </cell>
          <cell r="C189">
            <v>900</v>
          </cell>
          <cell r="D189">
            <v>669</v>
          </cell>
          <cell r="E189">
            <v>519</v>
          </cell>
          <cell r="F189">
            <v>666</v>
          </cell>
          <cell r="G189">
            <v>630</v>
          </cell>
          <cell r="H189">
            <v>651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</row>
        <row r="190">
          <cell r="A190">
            <v>925980</v>
          </cell>
          <cell r="B190" t="str">
            <v>Injuries And Damages For Corp.</v>
          </cell>
          <cell r="C190">
            <v>1076</v>
          </cell>
          <cell r="D190">
            <v>1054</v>
          </cell>
          <cell r="E190">
            <v>1054</v>
          </cell>
          <cell r="F190">
            <v>1054</v>
          </cell>
          <cell r="G190">
            <v>1054</v>
          </cell>
          <cell r="H190">
            <v>1054</v>
          </cell>
          <cell r="I190">
            <v>5001</v>
          </cell>
          <cell r="J190">
            <v>7645</v>
          </cell>
          <cell r="K190">
            <v>5841</v>
          </cell>
          <cell r="L190">
            <v>5098</v>
          </cell>
          <cell r="M190">
            <v>13803</v>
          </cell>
          <cell r="N190">
            <v>4378</v>
          </cell>
        </row>
        <row r="191">
          <cell r="A191">
            <v>926000</v>
          </cell>
          <cell r="B191" t="str">
            <v>EMPL PENSIONS AND BENEFITS</v>
          </cell>
          <cell r="C191">
            <v>396955</v>
          </cell>
          <cell r="D191">
            <v>284723</v>
          </cell>
          <cell r="E191">
            <v>336818</v>
          </cell>
          <cell r="F191">
            <v>326413</v>
          </cell>
          <cell r="G191">
            <v>551265</v>
          </cell>
          <cell r="H191">
            <v>307970</v>
          </cell>
          <cell r="I191">
            <v>353840</v>
          </cell>
          <cell r="J191">
            <v>323531</v>
          </cell>
          <cell r="K191">
            <v>322813</v>
          </cell>
          <cell r="L191">
            <v>189989</v>
          </cell>
          <cell r="M191">
            <v>322347</v>
          </cell>
          <cell r="N191">
            <v>322143</v>
          </cell>
        </row>
        <row r="192">
          <cell r="A192">
            <v>926430</v>
          </cell>
          <cell r="B192" t="str">
            <v>Employees Recreation Expense</v>
          </cell>
          <cell r="C192">
            <v>21</v>
          </cell>
          <cell r="E192">
            <v>0</v>
          </cell>
          <cell r="H192">
            <v>0</v>
          </cell>
          <cell r="I192">
            <v>141</v>
          </cell>
          <cell r="J192">
            <v>141</v>
          </cell>
          <cell r="K192">
            <v>141</v>
          </cell>
          <cell r="L192">
            <v>141</v>
          </cell>
          <cell r="M192">
            <v>141</v>
          </cell>
          <cell r="N192">
            <v>141</v>
          </cell>
        </row>
        <row r="193">
          <cell r="A193">
            <v>926490</v>
          </cell>
          <cell r="B193" t="str">
            <v>0Ther Employee Benefits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</row>
        <row r="194">
          <cell r="A194">
            <v>926600</v>
          </cell>
          <cell r="B194" t="str">
            <v>Employee Benefits-Transferred</v>
          </cell>
          <cell r="C194">
            <v>38101</v>
          </cell>
          <cell r="D194">
            <v>235088</v>
          </cell>
          <cell r="E194">
            <v>190713</v>
          </cell>
          <cell r="F194">
            <v>154761</v>
          </cell>
          <cell r="G194">
            <v>197247</v>
          </cell>
          <cell r="H194">
            <v>164479</v>
          </cell>
          <cell r="I194">
            <v>211482</v>
          </cell>
          <cell r="J194">
            <v>228440</v>
          </cell>
          <cell r="K194">
            <v>172799</v>
          </cell>
          <cell r="L194">
            <v>256533</v>
          </cell>
          <cell r="M194">
            <v>197987</v>
          </cell>
          <cell r="N194">
            <v>199730</v>
          </cell>
        </row>
        <row r="195">
          <cell r="A195">
            <v>928000</v>
          </cell>
          <cell r="B195" t="str">
            <v>Regulatory Expenses (Go)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A196">
            <v>928006</v>
          </cell>
          <cell r="B196" t="str">
            <v>State Reg Comm Proceeding</v>
          </cell>
          <cell r="C196">
            <v>58602</v>
          </cell>
          <cell r="D196">
            <v>58602</v>
          </cell>
          <cell r="E196">
            <v>58602</v>
          </cell>
          <cell r="F196">
            <v>58602</v>
          </cell>
          <cell r="G196">
            <v>58602</v>
          </cell>
          <cell r="H196">
            <v>58602</v>
          </cell>
          <cell r="I196">
            <v>59220</v>
          </cell>
          <cell r="J196">
            <v>59220</v>
          </cell>
          <cell r="K196">
            <v>59220</v>
          </cell>
          <cell r="L196">
            <v>59220</v>
          </cell>
          <cell r="M196">
            <v>59220</v>
          </cell>
          <cell r="N196">
            <v>59220</v>
          </cell>
        </row>
        <row r="197">
          <cell r="A197">
            <v>928030</v>
          </cell>
          <cell r="B197" t="str">
            <v>Professional Fees Consultant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</row>
        <row r="198">
          <cell r="A198">
            <v>929000</v>
          </cell>
          <cell r="B198" t="str">
            <v>Duplicate Chrgs-Enrgy To Exp</v>
          </cell>
          <cell r="C198">
            <v>-3281</v>
          </cell>
          <cell r="D198">
            <v>-4416</v>
          </cell>
          <cell r="E198">
            <v>-4247</v>
          </cell>
          <cell r="F198">
            <v>-3825</v>
          </cell>
          <cell r="G198">
            <v>-3815</v>
          </cell>
          <cell r="H198">
            <v>-3647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</row>
        <row r="199">
          <cell r="A199">
            <v>929500</v>
          </cell>
          <cell r="B199" t="str">
            <v>Admin Exp Transf</v>
          </cell>
          <cell r="C199">
            <v>-31499</v>
          </cell>
          <cell r="D199">
            <v>-26046</v>
          </cell>
          <cell r="E199">
            <v>-29757</v>
          </cell>
          <cell r="F199">
            <v>-59220</v>
          </cell>
          <cell r="G199">
            <v>-33576</v>
          </cell>
          <cell r="H199">
            <v>-37886</v>
          </cell>
          <cell r="I199">
            <v>-27273</v>
          </cell>
          <cell r="J199">
            <v>-27273</v>
          </cell>
          <cell r="K199">
            <v>-27273</v>
          </cell>
          <cell r="L199">
            <v>-40235</v>
          </cell>
          <cell r="M199">
            <v>-27273</v>
          </cell>
          <cell r="N199">
            <v>-27273</v>
          </cell>
        </row>
        <row r="200">
          <cell r="A200">
            <v>930150</v>
          </cell>
          <cell r="B200" t="str">
            <v>Miscellaneous Advertising Exp</v>
          </cell>
          <cell r="C200">
            <v>1260</v>
          </cell>
          <cell r="D200">
            <v>1713</v>
          </cell>
          <cell r="E200">
            <v>1850</v>
          </cell>
          <cell r="F200">
            <v>1153</v>
          </cell>
          <cell r="G200">
            <v>2168</v>
          </cell>
          <cell r="H200">
            <v>3202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</row>
        <row r="201">
          <cell r="A201">
            <v>930200</v>
          </cell>
          <cell r="B201" t="str">
            <v>Misc General Expenses</v>
          </cell>
          <cell r="C201">
            <v>26195</v>
          </cell>
          <cell r="D201">
            <v>24148</v>
          </cell>
          <cell r="E201">
            <v>32100</v>
          </cell>
          <cell r="F201">
            <v>43449</v>
          </cell>
          <cell r="G201">
            <v>34388</v>
          </cell>
          <cell r="H201">
            <v>38274</v>
          </cell>
          <cell r="I201">
            <v>48994</v>
          </cell>
          <cell r="J201">
            <v>49625</v>
          </cell>
          <cell r="K201">
            <v>49800</v>
          </cell>
          <cell r="L201">
            <v>52556</v>
          </cell>
          <cell r="M201">
            <v>49221</v>
          </cell>
          <cell r="N201">
            <v>49035</v>
          </cell>
        </row>
        <row r="202">
          <cell r="A202">
            <v>930210</v>
          </cell>
          <cell r="B202" t="str">
            <v>Industry Association Dues</v>
          </cell>
          <cell r="D202">
            <v>47702</v>
          </cell>
          <cell r="E202">
            <v>0</v>
          </cell>
          <cell r="F202">
            <v>-7240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</row>
        <row r="203">
          <cell r="A203">
            <v>930220</v>
          </cell>
          <cell r="B203" t="str">
            <v>Exp Of Servicing Securities</v>
          </cell>
          <cell r="C203">
            <v>-41</v>
          </cell>
          <cell r="D203">
            <v>0</v>
          </cell>
          <cell r="F203">
            <v>12040</v>
          </cell>
          <cell r="G203">
            <v>5000</v>
          </cell>
          <cell r="H203">
            <v>6505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</row>
        <row r="204">
          <cell r="A204">
            <v>930230</v>
          </cell>
          <cell r="B204" t="str">
            <v>Dues To Various Organizations</v>
          </cell>
          <cell r="C204">
            <v>10399</v>
          </cell>
          <cell r="D204">
            <v>947</v>
          </cell>
          <cell r="E204">
            <v>62</v>
          </cell>
          <cell r="F204">
            <v>958</v>
          </cell>
          <cell r="G204">
            <v>1671</v>
          </cell>
          <cell r="H204">
            <v>35</v>
          </cell>
          <cell r="I204">
            <v>1467</v>
          </cell>
          <cell r="J204">
            <v>1550</v>
          </cell>
          <cell r="K204">
            <v>3004</v>
          </cell>
          <cell r="L204">
            <v>1194</v>
          </cell>
          <cell r="M204">
            <v>4219</v>
          </cell>
          <cell r="N204">
            <v>6166</v>
          </cell>
        </row>
        <row r="205">
          <cell r="A205">
            <v>930240</v>
          </cell>
          <cell r="B205" t="str">
            <v>Director'S Expenses</v>
          </cell>
          <cell r="C205">
            <v>6826</v>
          </cell>
          <cell r="D205">
            <v>7167</v>
          </cell>
          <cell r="E205">
            <v>13</v>
          </cell>
          <cell r="F205">
            <v>488</v>
          </cell>
          <cell r="G205">
            <v>5174</v>
          </cell>
          <cell r="H205">
            <v>22645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</row>
        <row r="206">
          <cell r="A206">
            <v>930250</v>
          </cell>
          <cell r="B206" t="str">
            <v>Buy\Sell Transf Employee Homes</v>
          </cell>
          <cell r="C206">
            <v>3347</v>
          </cell>
          <cell r="D206">
            <v>2978</v>
          </cell>
          <cell r="E206">
            <v>-236</v>
          </cell>
          <cell r="F206">
            <v>1125</v>
          </cell>
          <cell r="G206">
            <v>1154</v>
          </cell>
          <cell r="H206">
            <v>1765</v>
          </cell>
          <cell r="I206">
            <v>2784</v>
          </cell>
          <cell r="J206">
            <v>301</v>
          </cell>
          <cell r="K206">
            <v>301</v>
          </cell>
          <cell r="L206">
            <v>2784</v>
          </cell>
          <cell r="M206">
            <v>301</v>
          </cell>
          <cell r="N206">
            <v>301</v>
          </cell>
        </row>
        <row r="207">
          <cell r="A207">
            <v>930600</v>
          </cell>
          <cell r="B207" t="str">
            <v>Leased Circuit Charges - Other</v>
          </cell>
          <cell r="E207">
            <v>12</v>
          </cell>
          <cell r="F207">
            <v>15</v>
          </cell>
          <cell r="H207">
            <v>0</v>
          </cell>
        </row>
        <row r="208">
          <cell r="A208">
            <v>930700</v>
          </cell>
          <cell r="B208" t="str">
            <v>Research &amp; Development</v>
          </cell>
          <cell r="C208">
            <v>501</v>
          </cell>
          <cell r="D208">
            <v>45</v>
          </cell>
          <cell r="E208">
            <v>465</v>
          </cell>
          <cell r="F208">
            <v>71</v>
          </cell>
          <cell r="G208">
            <v>496</v>
          </cell>
          <cell r="H208">
            <v>258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A209">
            <v>930940</v>
          </cell>
          <cell r="B209" t="str">
            <v>General Expenses</v>
          </cell>
          <cell r="C209">
            <v>260</v>
          </cell>
          <cell r="D209">
            <v>86</v>
          </cell>
          <cell r="E209">
            <v>457</v>
          </cell>
          <cell r="F209">
            <v>53</v>
          </cell>
          <cell r="G209">
            <v>43</v>
          </cell>
          <cell r="H209">
            <v>101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A210">
            <v>931001</v>
          </cell>
          <cell r="B210" t="str">
            <v>Rents-A&amp;G</v>
          </cell>
          <cell r="C210">
            <v>18992</v>
          </cell>
          <cell r="D210">
            <v>18418</v>
          </cell>
          <cell r="E210">
            <v>17180</v>
          </cell>
          <cell r="F210">
            <v>18198</v>
          </cell>
          <cell r="G210">
            <v>18562</v>
          </cell>
          <cell r="H210">
            <v>17020</v>
          </cell>
          <cell r="I210">
            <v>18964</v>
          </cell>
          <cell r="J210">
            <v>18849</v>
          </cell>
          <cell r="K210">
            <v>18958</v>
          </cell>
          <cell r="L210">
            <v>18975</v>
          </cell>
          <cell r="M210">
            <v>18975</v>
          </cell>
          <cell r="N210">
            <v>18975</v>
          </cell>
        </row>
        <row r="211">
          <cell r="A211">
            <v>931008</v>
          </cell>
          <cell r="B211" t="str">
            <v>A&amp;G Rents-IC</v>
          </cell>
          <cell r="C211">
            <v>83131</v>
          </cell>
          <cell r="D211">
            <v>81259</v>
          </cell>
          <cell r="E211">
            <v>80709</v>
          </cell>
          <cell r="F211">
            <v>88016</v>
          </cell>
          <cell r="G211">
            <v>87304</v>
          </cell>
          <cell r="H211">
            <v>56073</v>
          </cell>
          <cell r="I211">
            <v>81301</v>
          </cell>
          <cell r="J211">
            <v>81301</v>
          </cell>
          <cell r="K211">
            <v>81301</v>
          </cell>
          <cell r="L211">
            <v>81301</v>
          </cell>
          <cell r="M211">
            <v>81301</v>
          </cell>
          <cell r="N211">
            <v>81301</v>
          </cell>
        </row>
        <row r="212">
          <cell r="A212">
            <v>935100</v>
          </cell>
          <cell r="B212" t="str">
            <v>Maint General Plant-Elec</v>
          </cell>
          <cell r="C212">
            <v>49</v>
          </cell>
          <cell r="D212">
            <v>1465</v>
          </cell>
          <cell r="E212">
            <v>-541</v>
          </cell>
          <cell r="F212">
            <v>549</v>
          </cell>
          <cell r="G212">
            <v>2011</v>
          </cell>
          <cell r="H212">
            <v>145</v>
          </cell>
          <cell r="I212">
            <v>4280</v>
          </cell>
          <cell r="J212">
            <v>16187</v>
          </cell>
          <cell r="K212">
            <v>3340</v>
          </cell>
          <cell r="L212">
            <v>3684</v>
          </cell>
          <cell r="M212">
            <v>3340</v>
          </cell>
          <cell r="N212">
            <v>3340</v>
          </cell>
        </row>
        <row r="213">
          <cell r="A213">
            <v>935200</v>
          </cell>
          <cell r="B213" t="str">
            <v>Cust Infor &amp; Computer Control</v>
          </cell>
          <cell r="C213">
            <v>14</v>
          </cell>
          <cell r="D213">
            <v>3</v>
          </cell>
          <cell r="E213">
            <v>0</v>
          </cell>
          <cell r="F213">
            <v>-4</v>
          </cell>
          <cell r="G213">
            <v>0</v>
          </cell>
          <cell r="H213">
            <v>1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0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3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4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57.bin"/><Relationship Id="rId4" Type="http://schemas.openxmlformats.org/officeDocument/2006/relationships/comments" Target="../comments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0.bin"/><Relationship Id="rId4" Type="http://schemas.openxmlformats.org/officeDocument/2006/relationships/comments" Target="../comments9.xm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pageSetUpPr fitToPage="1"/>
  </sheetPr>
  <dimension ref="A1:J28"/>
  <sheetViews>
    <sheetView zoomScale="80" workbookViewId="0">
      <selection activeCell="B35" sqref="B35"/>
    </sheetView>
  </sheetViews>
  <sheetFormatPr defaultColWidth="8" defaultRowHeight="13.8"/>
  <cols>
    <col min="1" max="1" width="17.44140625" style="3" customWidth="1"/>
    <col min="2" max="2" width="29.33203125" style="3" customWidth="1"/>
    <col min="3" max="3" width="12" style="3" customWidth="1"/>
    <col min="4" max="4" width="16" style="3" customWidth="1"/>
    <col min="5" max="5" width="6.5546875" style="3" customWidth="1"/>
    <col min="6" max="6" width="8.33203125" style="3" customWidth="1"/>
    <col min="7" max="7" width="18" style="3" customWidth="1"/>
    <col min="8" max="8" width="3.88671875" style="3" customWidth="1"/>
    <col min="9" max="9" width="8" style="3" customWidth="1"/>
    <col min="10" max="10" width="9.5546875" style="3" customWidth="1"/>
    <col min="11" max="16384" width="8" style="3"/>
  </cols>
  <sheetData>
    <row r="1" spans="1:10" ht="17.399999999999999">
      <c r="A1" s="1" t="s">
        <v>309</v>
      </c>
      <c r="B1" s="2"/>
      <c r="C1" s="2"/>
      <c r="D1" s="2"/>
      <c r="E1" s="2"/>
      <c r="F1" s="2"/>
      <c r="G1" s="2"/>
      <c r="H1" s="2"/>
      <c r="I1" s="2"/>
      <c r="J1" s="2"/>
    </row>
    <row r="2" spans="1:10">
      <c r="A2" s="4" t="s">
        <v>1990</v>
      </c>
      <c r="B2" s="2"/>
      <c r="C2" s="2"/>
      <c r="D2" s="2"/>
      <c r="E2" s="2"/>
      <c r="F2" s="2"/>
      <c r="G2" s="2"/>
      <c r="H2" s="2"/>
      <c r="I2" s="2"/>
      <c r="J2" s="2"/>
    </row>
    <row r="3" spans="1:10">
      <c r="A3" s="5"/>
      <c r="C3" s="6"/>
      <c r="D3" s="6"/>
      <c r="E3" s="6"/>
    </row>
    <row r="5" spans="1:10">
      <c r="A5" s="574" t="s">
        <v>1991</v>
      </c>
      <c r="B5" s="566" t="s">
        <v>1790</v>
      </c>
      <c r="C5" s="7"/>
      <c r="D5" s="8"/>
      <c r="E5" s="9"/>
      <c r="F5" s="10" t="s">
        <v>1992</v>
      </c>
      <c r="I5" s="590" t="s">
        <v>1553</v>
      </c>
      <c r="J5" s="1085"/>
    </row>
    <row r="6" spans="1:10">
      <c r="A6" s="574" t="s">
        <v>1993</v>
      </c>
      <c r="B6" s="566" t="s">
        <v>3019</v>
      </c>
      <c r="C6" s="11"/>
      <c r="D6" s="8"/>
      <c r="E6" s="9"/>
      <c r="F6" s="12" t="s">
        <v>546</v>
      </c>
      <c r="G6" s="13" t="s">
        <v>2359</v>
      </c>
      <c r="H6" s="14"/>
      <c r="I6" s="592" t="s">
        <v>1986</v>
      </c>
      <c r="J6" s="593" t="s">
        <v>584</v>
      </c>
    </row>
    <row r="7" spans="1:10">
      <c r="A7" s="574" t="s">
        <v>430</v>
      </c>
      <c r="B7" s="672" t="str">
        <f>"FOR THE TWELVE MONTHS ENDED "&amp;UPPER(TEXT(EDATE(I18,0),"mmmm dd, yyyy"))</f>
        <v>FOR THE TWELVE MONTHS ENDED NOVEMBER 30, 2018</v>
      </c>
      <c r="C7" s="7"/>
      <c r="D7" s="8"/>
      <c r="E7" s="9"/>
      <c r="F7" s="15" t="s">
        <v>431</v>
      </c>
      <c r="G7" s="13" t="s">
        <v>612</v>
      </c>
      <c r="H7" s="14"/>
      <c r="I7" s="591">
        <v>43100</v>
      </c>
      <c r="J7" s="591">
        <v>43585</v>
      </c>
    </row>
    <row r="8" spans="1:10">
      <c r="A8" s="574" t="s">
        <v>1963</v>
      </c>
      <c r="B8" s="672" t="str">
        <f>"FOR THE TWELVE MONTHS ENDED "&amp;UPPER(TEXT(EDATE(J18,0),"mmmm dd, yyyy"))</f>
        <v>FOR THE TWELVE MONTHS ENDED MARCH 31, 2020</v>
      </c>
      <c r="C8" s="7"/>
      <c r="D8" s="8"/>
      <c r="E8" s="9"/>
      <c r="F8" s="15" t="s">
        <v>1964</v>
      </c>
      <c r="G8" s="13" t="s">
        <v>2891</v>
      </c>
      <c r="H8" s="14"/>
      <c r="I8" s="591">
        <v>43131</v>
      </c>
      <c r="J8" s="591">
        <v>43616</v>
      </c>
    </row>
    <row r="9" spans="1:10">
      <c r="A9" s="574" t="s">
        <v>1965</v>
      </c>
      <c r="B9" s="567" t="s">
        <v>1966</v>
      </c>
      <c r="C9" s="16"/>
      <c r="D9" s="17"/>
      <c r="E9" s="18"/>
      <c r="F9" s="12" t="s">
        <v>1967</v>
      </c>
      <c r="G9" s="19" t="s">
        <v>3045</v>
      </c>
      <c r="H9" s="14"/>
      <c r="I9" s="591">
        <v>43159</v>
      </c>
      <c r="J9" s="591">
        <v>43646</v>
      </c>
    </row>
    <row r="10" spans="1:10">
      <c r="A10" s="574" t="s">
        <v>1968</v>
      </c>
      <c r="B10" s="672" t="str">
        <f>"12 MONTHS ENDED "&amp;UPPER(TEXT(EDATE(I18,0),"mmmm dd, yyyy"))</f>
        <v>12 MONTHS ENDED NOVEMBER 30, 2018</v>
      </c>
      <c r="C10" s="16"/>
      <c r="D10" s="20"/>
      <c r="F10" s="12" t="s">
        <v>1969</v>
      </c>
      <c r="G10" s="13" t="s">
        <v>525</v>
      </c>
      <c r="H10" s="14"/>
      <c r="I10" s="591">
        <v>43190</v>
      </c>
      <c r="J10" s="591">
        <v>43677</v>
      </c>
    </row>
    <row r="11" spans="1:10">
      <c r="A11" s="574" t="s">
        <v>1970</v>
      </c>
      <c r="B11" s="672" t="str">
        <f>"12 MONTHS ENDED "&amp;UPPER(TEXT(EDATE(J18,0),"mmmm dd, yyyy"))</f>
        <v>12 MONTHS ENDED MARCH 31, 2020</v>
      </c>
      <c r="C11" s="16"/>
      <c r="D11" s="20"/>
      <c r="F11" s="12" t="s">
        <v>1971</v>
      </c>
      <c r="G11" s="13" t="s">
        <v>3010</v>
      </c>
      <c r="H11" s="14"/>
      <c r="I11" s="591">
        <v>43220</v>
      </c>
      <c r="J11" s="591">
        <v>43708</v>
      </c>
    </row>
    <row r="12" spans="1:10">
      <c r="A12" s="574" t="s">
        <v>1972</v>
      </c>
      <c r="B12" s="21" t="s">
        <v>683</v>
      </c>
      <c r="C12" s="16"/>
      <c r="D12" s="20"/>
      <c r="E12" s="18"/>
      <c r="F12" s="12" t="s">
        <v>1973</v>
      </c>
      <c r="G12" s="13" t="s">
        <v>2458</v>
      </c>
      <c r="H12" s="14"/>
      <c r="I12" s="591">
        <v>43251</v>
      </c>
      <c r="J12" s="591">
        <v>43738</v>
      </c>
    </row>
    <row r="13" spans="1:10">
      <c r="A13" s="574" t="s">
        <v>1974</v>
      </c>
      <c r="B13" s="21" t="s">
        <v>684</v>
      </c>
      <c r="C13" s="16"/>
      <c r="D13" s="20"/>
      <c r="E13" s="18"/>
      <c r="F13" s="12" t="s">
        <v>1522</v>
      </c>
      <c r="G13" s="13" t="s">
        <v>2793</v>
      </c>
      <c r="I13" s="591">
        <v>43281</v>
      </c>
      <c r="J13" s="591">
        <v>43769</v>
      </c>
    </row>
    <row r="14" spans="1:10">
      <c r="A14" s="574" t="s">
        <v>1975</v>
      </c>
      <c r="B14" s="21" t="s">
        <v>1976</v>
      </c>
      <c r="C14" s="16"/>
      <c r="D14" s="20"/>
      <c r="E14" s="18"/>
      <c r="F14" s="12" t="s">
        <v>427</v>
      </c>
      <c r="G14" s="13" t="s">
        <v>2360</v>
      </c>
      <c r="I14" s="591">
        <v>43312</v>
      </c>
      <c r="J14" s="591">
        <v>43799</v>
      </c>
    </row>
    <row r="15" spans="1:10">
      <c r="A15" s="574" t="s">
        <v>1977</v>
      </c>
      <c r="B15" s="21" t="s">
        <v>1978</v>
      </c>
      <c r="C15" s="16"/>
      <c r="D15" s="20"/>
      <c r="E15" s="18"/>
      <c r="I15" s="591">
        <v>43343</v>
      </c>
      <c r="J15" s="591">
        <v>43830</v>
      </c>
    </row>
    <row r="16" spans="1:10">
      <c r="A16" s="574" t="s">
        <v>1979</v>
      </c>
      <c r="B16" s="21" t="s">
        <v>615</v>
      </c>
      <c r="C16" s="16"/>
      <c r="D16" s="20"/>
      <c r="E16" s="18"/>
      <c r="F16" s="22" t="s">
        <v>2447</v>
      </c>
      <c r="I16" s="591">
        <v>43373</v>
      </c>
      <c r="J16" s="591">
        <v>43861</v>
      </c>
    </row>
    <row r="17" spans="1:10">
      <c r="A17" s="23"/>
      <c r="B17" s="24"/>
      <c r="E17" s="18"/>
      <c r="F17" s="22" t="s">
        <v>2971</v>
      </c>
      <c r="I17" s="591">
        <v>43404</v>
      </c>
      <c r="J17" s="591">
        <v>43890</v>
      </c>
    </row>
    <row r="18" spans="1:10">
      <c r="A18" s="23"/>
      <c r="D18" s="25"/>
      <c r="E18" s="18"/>
      <c r="F18" s="589"/>
      <c r="I18" s="591">
        <v>43434</v>
      </c>
      <c r="J18" s="591">
        <v>43921</v>
      </c>
    </row>
    <row r="19" spans="1:10" ht="14.4" thickBot="1">
      <c r="A19" s="23"/>
      <c r="B19" s="26"/>
      <c r="C19" s="25"/>
      <c r="D19" s="25"/>
      <c r="E19" s="18"/>
      <c r="F19" s="589"/>
    </row>
    <row r="20" spans="1:10">
      <c r="A20" s="23"/>
      <c r="B20" s="1130" t="s">
        <v>1980</v>
      </c>
      <c r="C20" s="3426">
        <v>0</v>
      </c>
      <c r="F20" s="673"/>
    </row>
    <row r="21" spans="1:10">
      <c r="A21" s="23"/>
      <c r="B21" s="1131" t="s">
        <v>1981</v>
      </c>
      <c r="C21" s="3020">
        <f>ROUND(858144.49/429072243,5)</f>
        <v>2E-3</v>
      </c>
      <c r="F21" s="589"/>
    </row>
    <row r="22" spans="1:10">
      <c r="A22" s="23"/>
      <c r="B22" s="1132" t="s">
        <v>1982</v>
      </c>
      <c r="C22" s="1133">
        <v>0.05</v>
      </c>
      <c r="D22" s="1133">
        <v>5.8000000000000003E-2</v>
      </c>
      <c r="E22" s="27"/>
      <c r="F22" s="589"/>
    </row>
    <row r="23" spans="1:10">
      <c r="A23" s="23"/>
      <c r="B23" s="1131" t="s">
        <v>1983</v>
      </c>
      <c r="C23" s="1133">
        <v>0.21</v>
      </c>
      <c r="D23" s="1133">
        <v>0.35</v>
      </c>
      <c r="F23" s="589"/>
    </row>
    <row r="24" spans="1:10">
      <c r="A24" s="23"/>
      <c r="B24" s="1132" t="s">
        <v>1984</v>
      </c>
      <c r="C24" s="1134">
        <f>ROUND(SCH_E1!G73/SCH_E1!G66,6)</f>
        <v>5.6910000000000002E-2</v>
      </c>
      <c r="F24" s="589"/>
    </row>
    <row r="25" spans="1:10">
      <c r="B25" s="1132"/>
      <c r="C25" s="1135"/>
      <c r="F25" s="589"/>
    </row>
    <row r="26" spans="1:10" ht="14.4" thickBot="1">
      <c r="A26" s="28"/>
      <c r="B26" s="1136" t="s">
        <v>1985</v>
      </c>
      <c r="C26" s="1137">
        <v>0.05</v>
      </c>
      <c r="D26" s="6"/>
      <c r="E26" s="6"/>
      <c r="F26" s="589"/>
      <c r="G26" s="6"/>
      <c r="H26" s="6"/>
      <c r="I26" s="6"/>
      <c r="J26" s="6"/>
    </row>
    <row r="27" spans="1:10">
      <c r="A27" s="29"/>
      <c r="B27" s="6"/>
      <c r="C27" s="6"/>
      <c r="D27" s="6"/>
      <c r="E27" s="6"/>
      <c r="F27" s="589"/>
      <c r="G27" s="6"/>
      <c r="H27" s="6"/>
      <c r="I27" s="6"/>
      <c r="J27" s="6"/>
    </row>
    <row r="28" spans="1:10">
      <c r="F28" s="589"/>
    </row>
  </sheetData>
  <phoneticPr fontId="4" type="noConversion"/>
  <pageMargins left="0.75" right="0.75" top="1" bottom="1" header="0.5" footer="0.5"/>
  <pageSetup scale="66" orientation="portrait" r:id="rId1"/>
  <headerFooter alignWithMargins="0">
    <oddHeader>&amp;A</oddHeader>
    <oddFooter>Page &amp;P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8" tint="0.59999389629810485"/>
    <pageSetUpPr fitToPage="1"/>
  </sheetPr>
  <dimension ref="A1:K333"/>
  <sheetViews>
    <sheetView zoomScale="90" zoomScaleNormal="90" workbookViewId="0"/>
  </sheetViews>
  <sheetFormatPr defaultColWidth="11.44140625" defaultRowHeight="12"/>
  <cols>
    <col min="1" max="1" width="7.5546875" style="3352" customWidth="1"/>
    <col min="2" max="2" width="11.44140625" style="3352" customWidth="1"/>
    <col min="3" max="3" width="17.33203125" style="3352" customWidth="1"/>
    <col min="4" max="4" width="50.44140625" style="3352" customWidth="1"/>
    <col min="5" max="5" width="21.109375" style="3352" bestFit="1" customWidth="1"/>
    <col min="6" max="6" width="15.33203125" style="3420" customWidth="1"/>
    <col min="7" max="7" width="16.88671875" style="3352" customWidth="1"/>
    <col min="8" max="8" width="19.109375" style="3352" customWidth="1"/>
    <col min="9" max="9" width="16.33203125" style="3352" customWidth="1"/>
    <col min="10" max="16384" width="11.44140625" style="3352"/>
  </cols>
  <sheetData>
    <row r="1" spans="1:9" ht="13.2">
      <c r="A1" s="3344" t="str">
        <f>COMPANY</f>
        <v>DUKE ENERGY KENTUCKY, INC.</v>
      </c>
      <c r="B1" s="3345"/>
      <c r="C1" s="3345"/>
      <c r="D1" s="3406"/>
      <c r="E1" s="3345"/>
      <c r="F1" s="3407"/>
      <c r="G1" s="3408"/>
      <c r="H1" s="3408"/>
      <c r="I1" s="3408"/>
    </row>
    <row r="2" spans="1:9" ht="13.2">
      <c r="A2" s="3344" t="str">
        <f>CASE</f>
        <v>CASE NO. 2018-00261</v>
      </c>
      <c r="B2" s="3345"/>
      <c r="C2" s="3345"/>
      <c r="D2" s="3406"/>
      <c r="E2" s="3345"/>
      <c r="F2" s="3409"/>
      <c r="G2" s="3408"/>
      <c r="H2" s="3408"/>
      <c r="I2" s="3408"/>
    </row>
    <row r="3" spans="1:9" ht="13.2">
      <c r="A3" s="3344" t="s">
        <v>1146</v>
      </c>
      <c r="B3" s="3345"/>
      <c r="C3" s="3345"/>
      <c r="D3" s="3406"/>
      <c r="E3" s="3345"/>
      <c r="F3" s="3407"/>
      <c r="G3" s="3408"/>
      <c r="H3" s="3408"/>
      <c r="I3" s="3408"/>
    </row>
    <row r="4" spans="1:9" ht="13.2">
      <c r="A4" s="1625" t="str">
        <f>"AS OF " &amp;RIGHT(TESTYR,(LEN(TESTYR)-16))</f>
        <v>AS OF NOVEMBER 30, 2018</v>
      </c>
      <c r="B4" s="3345"/>
      <c r="C4" s="3345"/>
      <c r="D4" s="3406"/>
      <c r="E4" s="3345"/>
      <c r="F4" s="3407"/>
      <c r="G4" s="3408"/>
      <c r="H4" s="3408"/>
      <c r="I4" s="3408"/>
    </row>
    <row r="5" spans="1:9" ht="13.2">
      <c r="A5" s="3345"/>
      <c r="B5" s="3345"/>
      <c r="C5" s="3345"/>
      <c r="D5" s="3406"/>
      <c r="E5" s="3345"/>
      <c r="F5" s="3407"/>
      <c r="G5" s="3408"/>
      <c r="H5" s="3408"/>
      <c r="I5" s="3408"/>
    </row>
    <row r="6" spans="1:9" ht="13.2">
      <c r="A6" s="3344" t="s">
        <v>1147</v>
      </c>
      <c r="B6" s="3345"/>
      <c r="C6" s="3345"/>
      <c r="D6" s="3406"/>
      <c r="E6" s="3345"/>
      <c r="F6" s="3407"/>
      <c r="G6" s="3408"/>
      <c r="H6" s="3408"/>
      <c r="I6" s="3408"/>
    </row>
    <row r="7" spans="1:9" ht="13.2">
      <c r="A7" s="3325"/>
      <c r="B7" s="3345"/>
      <c r="C7" s="3345"/>
      <c r="D7" s="3406"/>
      <c r="E7" s="3345"/>
      <c r="F7" s="3407"/>
      <c r="G7" s="3408"/>
      <c r="H7" s="3408"/>
      <c r="I7" s="3408"/>
    </row>
    <row r="8" spans="1:9" ht="13.2">
      <c r="A8" s="2822"/>
      <c r="B8" s="2822"/>
      <c r="C8" s="2822"/>
      <c r="D8" s="2822"/>
      <c r="E8" s="2822"/>
      <c r="F8" s="3410"/>
      <c r="G8" s="3411"/>
      <c r="H8" s="3411"/>
      <c r="I8" s="3411"/>
    </row>
    <row r="9" spans="1:9" ht="13.2">
      <c r="A9" s="2822"/>
      <c r="B9" s="2822"/>
      <c r="C9" s="2822"/>
      <c r="D9" s="2822"/>
      <c r="E9" s="2822"/>
      <c r="F9" s="3412"/>
      <c r="G9" s="2822"/>
      <c r="H9" s="2822"/>
      <c r="I9" s="2822"/>
    </row>
    <row r="10" spans="1:9" ht="13.2">
      <c r="A10" s="3346" t="str">
        <f>Data</f>
        <v>DATA: "X" BASE PERIOD   FORECASTED PERIOD</v>
      </c>
      <c r="B10" s="2822"/>
      <c r="C10" s="2822"/>
      <c r="D10" s="2822"/>
      <c r="E10" s="3411"/>
      <c r="F10" s="3410"/>
      <c r="G10" s="3411"/>
      <c r="H10" s="3413" t="s">
        <v>1148</v>
      </c>
      <c r="I10" s="3411"/>
    </row>
    <row r="11" spans="1:9" ht="13.2">
      <c r="A11" s="3346" t="str">
        <f>Type</f>
        <v xml:space="preserve">TYPE OF FILING:  "X" ORIGINAL   UPDATED    REVISED  </v>
      </c>
      <c r="B11" s="2822"/>
      <c r="C11" s="2822"/>
      <c r="D11" s="2822"/>
      <c r="E11" s="3411"/>
      <c r="F11" s="3410"/>
      <c r="G11" s="3411"/>
      <c r="H11" s="3413" t="s">
        <v>461</v>
      </c>
      <c r="I11" s="3411"/>
    </row>
    <row r="12" spans="1:9" ht="13.2">
      <c r="A12" s="3346" t="s">
        <v>930</v>
      </c>
      <c r="B12" s="2822"/>
      <c r="C12" s="2822"/>
      <c r="D12" s="2822"/>
      <c r="E12" s="3411"/>
      <c r="F12" s="3410"/>
      <c r="G12" s="3411"/>
      <c r="H12" s="3413" t="s">
        <v>566</v>
      </c>
      <c r="I12" s="3411"/>
    </row>
    <row r="13" spans="1:9" ht="13.2">
      <c r="A13" s="2822"/>
      <c r="B13" s="2822"/>
      <c r="C13" s="2822"/>
      <c r="D13" s="2822"/>
      <c r="E13" s="3411"/>
      <c r="F13" s="3410"/>
      <c r="G13" s="3411"/>
      <c r="H13" s="3347" t="str">
        <f>_WIT7</f>
        <v>R. H. PRATT / C. S. LEE</v>
      </c>
      <c r="I13" s="3411"/>
    </row>
    <row r="14" spans="1:9" ht="13.2">
      <c r="A14" s="2822"/>
      <c r="B14" s="2822"/>
      <c r="C14" s="2822"/>
      <c r="D14" s="2822"/>
      <c r="E14" s="3411"/>
      <c r="F14" s="3410"/>
      <c r="G14" s="3411"/>
      <c r="H14" s="3411"/>
      <c r="I14" s="3411"/>
    </row>
    <row r="15" spans="1:9" ht="13.2">
      <c r="A15" s="2822"/>
      <c r="B15" s="2822"/>
      <c r="C15" s="2822"/>
      <c r="D15" s="2822"/>
      <c r="E15" s="3411"/>
      <c r="F15" s="3410"/>
      <c r="G15" s="3411"/>
      <c r="H15" s="3411"/>
      <c r="I15" s="3411"/>
    </row>
    <row r="16" spans="1:9" ht="13.2">
      <c r="A16" s="2103"/>
      <c r="B16" s="2104"/>
      <c r="C16" s="2105"/>
      <c r="D16" s="2103"/>
      <c r="E16" s="2106"/>
      <c r="F16" s="2107"/>
      <c r="G16" s="2106"/>
      <c r="H16" s="2106"/>
      <c r="I16" s="2106"/>
    </row>
    <row r="17" spans="1:11" ht="13.2">
      <c r="A17" s="2108"/>
      <c r="B17" s="2109" t="s">
        <v>1041</v>
      </c>
      <c r="C17" s="2109" t="s">
        <v>2137</v>
      </c>
      <c r="D17" s="2108"/>
      <c r="E17" s="2110"/>
      <c r="F17" s="2111"/>
      <c r="G17" s="2112"/>
      <c r="H17" s="2112"/>
      <c r="I17" s="2112"/>
    </row>
    <row r="18" spans="1:11" ht="13.2">
      <c r="A18" s="3349" t="s">
        <v>1938</v>
      </c>
      <c r="B18" s="3349" t="s">
        <v>1150</v>
      </c>
      <c r="C18" s="3349" t="s">
        <v>1150</v>
      </c>
      <c r="D18" s="2822"/>
      <c r="E18" s="2109" t="s">
        <v>1986</v>
      </c>
      <c r="F18" s="3414" t="s">
        <v>1898</v>
      </c>
      <c r="G18" s="3337" t="s">
        <v>1898</v>
      </c>
      <c r="H18" s="3411"/>
      <c r="I18" s="3337" t="s">
        <v>572</v>
      </c>
    </row>
    <row r="19" spans="1:11" ht="13.2">
      <c r="A19" s="3349" t="s">
        <v>1939</v>
      </c>
      <c r="B19" s="3349" t="s">
        <v>1939</v>
      </c>
      <c r="C19" s="3349" t="s">
        <v>1939</v>
      </c>
      <c r="D19" s="3349" t="s">
        <v>1151</v>
      </c>
      <c r="E19" s="2109" t="s">
        <v>1989</v>
      </c>
      <c r="F19" s="3415" t="s">
        <v>2097</v>
      </c>
      <c r="G19" s="3416" t="s">
        <v>2153</v>
      </c>
      <c r="H19" s="3416" t="s">
        <v>571</v>
      </c>
      <c r="I19" s="3416" t="s">
        <v>1357</v>
      </c>
    </row>
    <row r="20" spans="1:11" ht="13.2">
      <c r="A20" s="3349"/>
      <c r="B20" s="3349"/>
      <c r="C20" s="3349"/>
      <c r="D20" s="3349"/>
      <c r="E20" s="3417"/>
      <c r="F20" s="3418"/>
      <c r="G20" s="3419"/>
      <c r="H20" s="3419"/>
      <c r="I20" s="3419"/>
    </row>
    <row r="21" spans="1:11" ht="13.2">
      <c r="A21" s="2103"/>
      <c r="B21" s="2103"/>
      <c r="C21" s="2103"/>
      <c r="D21" s="2103"/>
      <c r="E21" s="3337" t="s">
        <v>695</v>
      </c>
      <c r="F21" s="3412"/>
      <c r="G21" s="3337" t="s">
        <v>695</v>
      </c>
      <c r="H21" s="3337" t="s">
        <v>695</v>
      </c>
      <c r="I21" s="3337" t="s">
        <v>695</v>
      </c>
    </row>
    <row r="22" spans="1:11" ht="13.2">
      <c r="A22" s="3349" t="s">
        <v>749</v>
      </c>
      <c r="B22" s="2822"/>
      <c r="C22" s="2822"/>
      <c r="D22" s="2822"/>
    </row>
    <row r="23" spans="1:11" ht="13.2">
      <c r="A23" s="3349" t="s">
        <v>1152</v>
      </c>
      <c r="B23" s="3349" t="str">
        <f>'SCH B-2.3'!B23</f>
        <v>304</v>
      </c>
      <c r="C23" s="3349">
        <f>'SCH B-2.3'!C23</f>
        <v>20400</v>
      </c>
      <c r="D23" s="2118" t="str">
        <f>'SCH B-2.3'!D23</f>
        <v>Land and Land Rights</v>
      </c>
      <c r="E23" s="2118">
        <f>'SCH B-2.3'!K23</f>
        <v>117711</v>
      </c>
      <c r="F23" s="3410">
        <v>1</v>
      </c>
      <c r="G23" s="3411">
        <f>ROUND((E23*F23),0)</f>
        <v>117711</v>
      </c>
      <c r="H23" s="3411">
        <f>-'SCH B-2.2'!G23</f>
        <v>-75570</v>
      </c>
      <c r="I23" s="3411">
        <f>G23+H23</f>
        <v>42141</v>
      </c>
    </row>
    <row r="24" spans="1:11" ht="13.2">
      <c r="A24" s="3349">
        <f>1+A23</f>
        <v>2</v>
      </c>
      <c r="B24" s="3349" t="str">
        <f>'SCH B-2.3'!B24</f>
        <v>304</v>
      </c>
      <c r="C24" s="3349">
        <f>'SCH B-2.3'!C24</f>
        <v>20401</v>
      </c>
      <c r="D24" s="2118" t="str">
        <f>'SCH B-2.3'!D24</f>
        <v>Rights of Way</v>
      </c>
      <c r="E24" s="2118">
        <f>'SCH B-2.3'!K24</f>
        <v>24459</v>
      </c>
      <c r="F24" s="3410">
        <v>1</v>
      </c>
      <c r="G24" s="3411">
        <f>ROUND((E24*F24),0)</f>
        <v>24459</v>
      </c>
      <c r="H24" s="3411">
        <f>-'SCH B-2.2'!G24</f>
        <v>-15703</v>
      </c>
      <c r="I24" s="3411">
        <f>G24+H24</f>
        <v>8756</v>
      </c>
    </row>
    <row r="25" spans="1:11" ht="13.2">
      <c r="A25" s="3349">
        <f>1+A24</f>
        <v>3</v>
      </c>
      <c r="B25" s="3349" t="str">
        <f>'SCH B-2.3'!B25</f>
        <v>305</v>
      </c>
      <c r="C25" s="3349">
        <f>'SCH B-2.3'!C25</f>
        <v>20500</v>
      </c>
      <c r="D25" s="2118" t="str">
        <f>'SCH B-2.3'!D25</f>
        <v>Structures &amp; Improvements</v>
      </c>
      <c r="E25" s="2118">
        <f>'SCH B-2.3'!K25</f>
        <v>1722764</v>
      </c>
      <c r="F25" s="3410">
        <v>1</v>
      </c>
      <c r="G25" s="3411">
        <f>ROUND((E25*F25),0)</f>
        <v>1722764</v>
      </c>
      <c r="H25" s="3411">
        <f>-'SCH B-2.2'!G25</f>
        <v>-1106014</v>
      </c>
      <c r="I25" s="3411">
        <f>G25+H25</f>
        <v>616750</v>
      </c>
    </row>
    <row r="26" spans="1:11" ht="13.2">
      <c r="A26" s="3349">
        <f>1+A25</f>
        <v>4</v>
      </c>
      <c r="B26" s="3349" t="str">
        <f>'SCH B-2.3'!B26</f>
        <v>311</v>
      </c>
      <c r="C26" s="3349">
        <f>'SCH B-2.3'!C26</f>
        <v>21100</v>
      </c>
      <c r="D26" s="2118" t="str">
        <f>'SCH B-2.3'!D26</f>
        <v>Liquefied Petroleum Gas Equipment</v>
      </c>
      <c r="E26" s="2118">
        <f>'SCH B-2.3'!K26</f>
        <v>5955198</v>
      </c>
      <c r="F26" s="3410">
        <v>1</v>
      </c>
      <c r="G26" s="3411">
        <f>ROUND((E26*F26),0)</f>
        <v>5955198</v>
      </c>
      <c r="H26" s="3411">
        <f>-'SCH B-2.2'!G26</f>
        <v>-3823237</v>
      </c>
      <c r="I26" s="3411">
        <f>G26+H26</f>
        <v>2131961</v>
      </c>
    </row>
    <row r="27" spans="1:11" ht="13.2">
      <c r="A27" s="2822"/>
      <c r="B27" s="2822"/>
      <c r="C27" s="2822"/>
      <c r="D27" s="2822"/>
      <c r="E27" s="2822"/>
      <c r="F27" s="3412"/>
      <c r="G27" s="2822"/>
      <c r="H27" s="2822"/>
      <c r="I27" s="2822"/>
    </row>
    <row r="28" spans="1:11" ht="13.2">
      <c r="A28" s="2103"/>
      <c r="B28" s="2103"/>
      <c r="C28" s="2103"/>
      <c r="D28" s="2103"/>
      <c r="E28" s="2103"/>
      <c r="F28" s="2113"/>
      <c r="G28" s="2103"/>
      <c r="H28" s="2103"/>
      <c r="I28" s="2103"/>
    </row>
    <row r="29" spans="1:11" ht="13.2">
      <c r="A29" s="3349">
        <f>1+A26</f>
        <v>5</v>
      </c>
      <c r="B29" s="2822"/>
      <c r="C29" s="2822"/>
      <c r="D29" s="3346" t="s">
        <v>1163</v>
      </c>
      <c r="E29" s="3411">
        <f>SUM(E23:E26)</f>
        <v>7820132</v>
      </c>
      <c r="F29" s="3410"/>
      <c r="G29" s="3411">
        <f>SUM(G23:G26)</f>
        <v>7820132</v>
      </c>
      <c r="H29" s="3411">
        <f>SUM(H23:H26)</f>
        <v>-5020524</v>
      </c>
      <c r="I29" s="3411">
        <f>SUM(I23:I26)</f>
        <v>2799608</v>
      </c>
      <c r="K29" s="3431" t="str">
        <f>IF(E29='SCH B-2.3'!K31,"BALANCED","ERROR")</f>
        <v>BALANCED</v>
      </c>
    </row>
    <row r="30" spans="1:11" ht="13.2">
      <c r="A30" s="2822"/>
      <c r="B30" s="2822"/>
      <c r="C30" s="2822"/>
      <c r="D30" s="2822"/>
      <c r="E30" s="3411"/>
      <c r="F30" s="3410"/>
      <c r="G30" s="3411"/>
      <c r="H30" s="3411"/>
      <c r="I30" s="3411"/>
    </row>
    <row r="31" spans="1:11" ht="13.2">
      <c r="A31" s="2103"/>
      <c r="B31" s="2103"/>
      <c r="C31" s="2103"/>
      <c r="D31" s="2103"/>
      <c r="E31" s="2103"/>
      <c r="F31" s="2113"/>
      <c r="G31" s="2103"/>
      <c r="H31" s="2103"/>
      <c r="I31" s="2103"/>
    </row>
    <row r="32" spans="1:11" ht="13.2">
      <c r="A32" s="2822"/>
      <c r="B32" s="2822"/>
      <c r="C32" s="2822"/>
      <c r="D32" s="2822"/>
      <c r="E32" s="3411"/>
      <c r="F32" s="3410"/>
      <c r="G32" s="3411"/>
      <c r="H32" s="3411"/>
      <c r="I32" s="3411"/>
    </row>
    <row r="33" spans="1:9" ht="13.2">
      <c r="A33" s="3344" t="str">
        <f>A1</f>
        <v>DUKE ENERGY KENTUCKY, INC.</v>
      </c>
      <c r="B33" s="3345"/>
      <c r="C33" s="3345"/>
      <c r="D33" s="3344"/>
      <c r="E33" s="3345"/>
      <c r="F33" s="3409"/>
      <c r="G33" s="3345"/>
      <c r="H33" s="3345"/>
      <c r="I33" s="3345"/>
    </row>
    <row r="34" spans="1:9" ht="13.2">
      <c r="A34" s="3344" t="str">
        <f>A2</f>
        <v>CASE NO. 2018-00261</v>
      </c>
      <c r="B34" s="3345"/>
      <c r="C34" s="3345"/>
      <c r="D34" s="3344"/>
      <c r="E34" s="3345"/>
      <c r="F34" s="3409"/>
      <c r="G34" s="3345"/>
      <c r="H34" s="3345"/>
      <c r="I34" s="3345"/>
    </row>
    <row r="35" spans="1:9" ht="13.2">
      <c r="A35" s="3344" t="str">
        <f>A3</f>
        <v>PLANT IN SERVICE BY ACCOUNTS AND SUBACCOUNTS</v>
      </c>
      <c r="B35" s="3345"/>
      <c r="C35" s="3345"/>
      <c r="D35" s="3344"/>
      <c r="E35" s="3345"/>
      <c r="F35" s="3409"/>
      <c r="G35" s="3345"/>
      <c r="H35" s="3345"/>
      <c r="I35" s="3345"/>
    </row>
    <row r="36" spans="1:9" ht="13.2">
      <c r="A36" s="3344" t="str">
        <f>A4</f>
        <v>AS OF NOVEMBER 30, 2018</v>
      </c>
      <c r="B36" s="3345"/>
      <c r="C36" s="3345"/>
      <c r="D36" s="3344"/>
      <c r="E36" s="3345"/>
      <c r="F36" s="3409"/>
      <c r="G36" s="3345"/>
      <c r="H36" s="3345"/>
      <c r="I36" s="3345"/>
    </row>
    <row r="37" spans="1:9" ht="13.2">
      <c r="A37" s="3345"/>
      <c r="B37" s="3345"/>
      <c r="C37" s="3345"/>
      <c r="D37" s="3345"/>
      <c r="E37" s="3345"/>
      <c r="F37" s="3409"/>
      <c r="G37" s="3345"/>
      <c r="H37" s="3345"/>
      <c r="I37" s="3345"/>
    </row>
    <row r="38" spans="1:9" ht="13.2">
      <c r="A38" s="3344" t="s">
        <v>1164</v>
      </c>
      <c r="B38" s="3345"/>
      <c r="C38" s="3345"/>
      <c r="D38" s="3344"/>
      <c r="E38" s="3345"/>
      <c r="F38" s="3409"/>
      <c r="G38" s="3345"/>
      <c r="H38" s="3345"/>
      <c r="I38" s="3345"/>
    </row>
    <row r="39" spans="1:9" ht="13.2">
      <c r="A39" s="3325"/>
      <c r="B39" s="3345"/>
      <c r="C39" s="3345"/>
      <c r="D39" s="3344"/>
      <c r="E39" s="3345"/>
      <c r="F39" s="3409"/>
      <c r="G39" s="3345"/>
      <c r="H39" s="3345"/>
      <c r="I39" s="3345"/>
    </row>
    <row r="40" spans="1:9" ht="13.2">
      <c r="A40" s="3421"/>
      <c r="B40" s="2822"/>
      <c r="C40" s="2822"/>
      <c r="D40" s="2822"/>
      <c r="E40" s="2822"/>
      <c r="F40" s="3412"/>
      <c r="G40" s="2822"/>
      <c r="H40" s="2822"/>
      <c r="I40" s="2822"/>
    </row>
    <row r="41" spans="1:9" ht="13.2">
      <c r="A41" s="3421"/>
      <c r="B41" s="2822"/>
      <c r="C41" s="2822"/>
      <c r="D41" s="2822"/>
      <c r="E41" s="2822"/>
      <c r="F41" s="3412"/>
      <c r="G41" s="2822"/>
      <c r="H41" s="3413" t="str">
        <f>H10</f>
        <v>SCHEDULE B-2.1</v>
      </c>
      <c r="I41" s="2822"/>
    </row>
    <row r="42" spans="1:9" ht="13.2">
      <c r="A42" s="3346" t="str">
        <f>A10</f>
        <v>DATA: "X" BASE PERIOD   FORECASTED PERIOD</v>
      </c>
      <c r="B42" s="2822"/>
      <c r="C42" s="2822"/>
      <c r="D42" s="2822"/>
      <c r="E42" s="2822"/>
      <c r="F42" s="3412"/>
      <c r="G42" s="2822"/>
      <c r="H42" s="3413" t="s">
        <v>497</v>
      </c>
      <c r="I42" s="2822"/>
    </row>
    <row r="43" spans="1:9" ht="13.2">
      <c r="A43" s="3346" t="str">
        <f>A11</f>
        <v xml:space="preserve">TYPE OF FILING:  "X" ORIGINAL   UPDATED    REVISED  </v>
      </c>
      <c r="B43" s="2822"/>
      <c r="C43" s="2822"/>
      <c r="D43" s="2822"/>
      <c r="E43" s="2822"/>
      <c r="F43" s="3412"/>
      <c r="G43" s="2822"/>
      <c r="H43" s="3413" t="s">
        <v>566</v>
      </c>
      <c r="I43" s="2822"/>
    </row>
    <row r="44" spans="1:9" ht="13.2">
      <c r="A44" s="3346" t="str">
        <f>A12</f>
        <v>WORK PAPER REFERENCE NO(S).: SCHEDULE B-2.2, SCHEDULE B-2.3</v>
      </c>
      <c r="B44" s="2822"/>
      <c r="C44" s="2822"/>
      <c r="D44" s="2822"/>
      <c r="E44" s="2822"/>
      <c r="F44" s="3412"/>
      <c r="G44" s="2822"/>
      <c r="H44" s="3347" t="str">
        <f>H13</f>
        <v>R. H. PRATT / C. S. LEE</v>
      </c>
      <c r="I44" s="2822"/>
    </row>
    <row r="45" spans="1:9" ht="13.2">
      <c r="A45" s="2822"/>
      <c r="B45" s="2822"/>
      <c r="C45" s="2822"/>
      <c r="D45" s="2822"/>
      <c r="E45" s="2822"/>
      <c r="F45" s="3412"/>
      <c r="G45" s="2822"/>
      <c r="H45" s="2822"/>
      <c r="I45" s="2822"/>
    </row>
    <row r="46" spans="1:9" ht="13.2">
      <c r="A46" s="2822"/>
      <c r="B46" s="2822"/>
      <c r="C46" s="2822"/>
      <c r="D46" s="2822"/>
      <c r="E46" s="2822"/>
      <c r="F46" s="3412"/>
      <c r="G46" s="2822"/>
      <c r="H46" s="2822"/>
      <c r="I46" s="2822"/>
    </row>
    <row r="47" spans="1:9" ht="13.2">
      <c r="A47" s="2822"/>
      <c r="B47" s="2822"/>
      <c r="C47" s="2822"/>
      <c r="D47" s="2822"/>
      <c r="E47" s="2822"/>
      <c r="F47" s="3412"/>
      <c r="G47" s="2822"/>
      <c r="H47" s="2822"/>
      <c r="I47" s="2822"/>
    </row>
    <row r="48" spans="1:9" ht="13.2">
      <c r="A48" s="2103"/>
      <c r="B48" s="2114"/>
      <c r="C48" s="2115"/>
      <c r="D48" s="2103"/>
      <c r="E48" s="2103"/>
      <c r="F48" s="2113"/>
      <c r="G48" s="2103"/>
      <c r="H48" s="2103"/>
      <c r="I48" s="2103"/>
    </row>
    <row r="49" spans="1:9" ht="13.2">
      <c r="A49" s="2108"/>
      <c r="B49" s="2116" t="s">
        <v>1041</v>
      </c>
      <c r="C49" s="2116" t="s">
        <v>2137</v>
      </c>
      <c r="D49" s="2108"/>
      <c r="E49" s="2110"/>
      <c r="F49" s="2117"/>
      <c r="G49" s="2108"/>
      <c r="H49" s="2108"/>
      <c r="I49" s="2108"/>
    </row>
    <row r="50" spans="1:9" ht="13.2">
      <c r="A50" s="3349" t="s">
        <v>1938</v>
      </c>
      <c r="B50" s="3349" t="s">
        <v>1150</v>
      </c>
      <c r="C50" s="3349" t="s">
        <v>1150</v>
      </c>
      <c r="D50" s="2822"/>
      <c r="E50" s="2109" t="s">
        <v>1986</v>
      </c>
      <c r="F50" s="3414" t="s">
        <v>1898</v>
      </c>
      <c r="G50" s="3349" t="s">
        <v>1898</v>
      </c>
      <c r="H50" s="2822"/>
      <c r="I50" s="3349" t="s">
        <v>572</v>
      </c>
    </row>
    <row r="51" spans="1:9" ht="13.2">
      <c r="A51" s="3349" t="s">
        <v>1939</v>
      </c>
      <c r="B51" s="3349" t="s">
        <v>1939</v>
      </c>
      <c r="C51" s="3349" t="s">
        <v>1939</v>
      </c>
      <c r="D51" s="3349" t="s">
        <v>1151</v>
      </c>
      <c r="E51" s="3417" t="s">
        <v>1989</v>
      </c>
      <c r="F51" s="3418" t="s">
        <v>2097</v>
      </c>
      <c r="G51" s="3417" t="s">
        <v>2153</v>
      </c>
      <c r="H51" s="3417" t="s">
        <v>571</v>
      </c>
      <c r="I51" s="3417" t="s">
        <v>1357</v>
      </c>
    </row>
    <row r="52" spans="1:9" ht="13.2">
      <c r="A52" s="2103"/>
      <c r="B52" s="2103"/>
      <c r="C52" s="2103"/>
      <c r="D52" s="2103"/>
      <c r="E52" s="3337" t="s">
        <v>695</v>
      </c>
      <c r="F52" s="3412"/>
      <c r="G52" s="3349" t="s">
        <v>695</v>
      </c>
      <c r="H52" s="3349" t="s">
        <v>695</v>
      </c>
      <c r="I52" s="3349" t="s">
        <v>695</v>
      </c>
    </row>
    <row r="53" spans="1:9" ht="13.2">
      <c r="A53" s="3349" t="s">
        <v>749</v>
      </c>
      <c r="B53" s="2822"/>
      <c r="C53" s="2822"/>
      <c r="D53" s="2822"/>
    </row>
    <row r="54" spans="1:9" ht="13.2">
      <c r="A54" s="3349">
        <v>1</v>
      </c>
      <c r="B54" s="3349" t="str">
        <f>'SCH B-2.3'!B57</f>
        <v>374</v>
      </c>
      <c r="C54" s="3349">
        <f>'SCH B-2.3'!C57</f>
        <v>27400</v>
      </c>
      <c r="D54" s="2118" t="str">
        <f>'SCH B-2.3'!D57</f>
        <v>Land and Land Rights</v>
      </c>
      <c r="E54" s="2118">
        <f>'SCH B-2.3'!K57</f>
        <v>43358</v>
      </c>
      <c r="F54" s="3410">
        <v>1</v>
      </c>
      <c r="G54" s="3411">
        <f t="shared" ref="G54:G74" si="0">ROUND((E54*F54),0)</f>
        <v>43358</v>
      </c>
      <c r="H54" s="3422">
        <f>-'SCH B-2.2'!G33</f>
        <v>-2326</v>
      </c>
      <c r="I54" s="3411">
        <f t="shared" ref="I54:I75" si="1">G54+H54</f>
        <v>41032</v>
      </c>
    </row>
    <row r="55" spans="1:9" ht="13.2">
      <c r="A55" s="3349">
        <f>1+A54</f>
        <v>2</v>
      </c>
      <c r="B55" s="3349" t="str">
        <f>'SCH B-2.3'!B58</f>
        <v>374</v>
      </c>
      <c r="C55" s="3349">
        <f>'SCH B-2.3'!C58</f>
        <v>27401</v>
      </c>
      <c r="D55" s="2118" t="str">
        <f>'SCH B-2.3'!D58</f>
        <v>Rights of Way</v>
      </c>
      <c r="E55" s="2118">
        <f>'SCH B-2.3'!K58</f>
        <v>1095119</v>
      </c>
      <c r="F55" s="3410">
        <v>1</v>
      </c>
      <c r="G55" s="3411">
        <f t="shared" si="0"/>
        <v>1095119</v>
      </c>
      <c r="H55" s="3422">
        <f>-'SCH B-2.2'!G34</f>
        <v>-228817</v>
      </c>
      <c r="I55" s="3411">
        <f t="shared" si="1"/>
        <v>866302</v>
      </c>
    </row>
    <row r="56" spans="1:9" ht="13.2">
      <c r="A56" s="3349">
        <f t="shared" ref="A56:A76" si="2">1+A55</f>
        <v>3</v>
      </c>
      <c r="B56" s="3349" t="str">
        <f>'SCH B-2.3'!B59</f>
        <v>375</v>
      </c>
      <c r="C56" s="3349">
        <f>'SCH B-2.3'!C59</f>
        <v>27500</v>
      </c>
      <c r="D56" s="2118" t="str">
        <f>'SCH B-2.3'!D59</f>
        <v>Structures &amp; Improvements</v>
      </c>
      <c r="E56" s="2118">
        <f>'SCH B-2.3'!K59</f>
        <v>577522</v>
      </c>
      <c r="F56" s="3410">
        <v>1</v>
      </c>
      <c r="G56" s="3411">
        <f t="shared" si="0"/>
        <v>577522</v>
      </c>
      <c r="H56" s="3422">
        <f>-'SCH B-2.2'!G35</f>
        <v>-24463</v>
      </c>
      <c r="I56" s="3411">
        <f t="shared" si="1"/>
        <v>553059</v>
      </c>
    </row>
    <row r="57" spans="1:9" ht="13.2">
      <c r="A57" s="3349">
        <f t="shared" si="2"/>
        <v>4</v>
      </c>
      <c r="B57" s="3349" t="str">
        <f>'SCH B-2.3'!B60</f>
        <v>376</v>
      </c>
      <c r="C57" s="3349">
        <f>'SCH B-2.3'!C60</f>
        <v>27601</v>
      </c>
      <c r="D57" s="2118" t="str">
        <f>'SCH B-2.3'!D60</f>
        <v>Mains - Cast Iron &amp; Copper</v>
      </c>
      <c r="E57" s="2118">
        <f>'SCH B-2.3'!K60</f>
        <v>982749</v>
      </c>
      <c r="F57" s="3410">
        <v>1</v>
      </c>
      <c r="G57" s="3411">
        <f t="shared" si="0"/>
        <v>982749</v>
      </c>
      <c r="H57" s="3422"/>
      <c r="I57" s="3411">
        <f t="shared" si="1"/>
        <v>982749</v>
      </c>
    </row>
    <row r="58" spans="1:9" ht="13.2">
      <c r="A58" s="3349">
        <f t="shared" si="2"/>
        <v>5</v>
      </c>
      <c r="B58" s="3349" t="str">
        <f>'SCH B-2.3'!B61</f>
        <v>376</v>
      </c>
      <c r="C58" s="3349" t="str">
        <f>'SCH B-2.3'!C61</f>
        <v>27602,27607</v>
      </c>
      <c r="D58" s="2118" t="str">
        <f>'SCH B-2.3'!D61</f>
        <v>Mains - Steel</v>
      </c>
      <c r="E58" s="2118">
        <f>'SCH B-2.3'!K61</f>
        <v>105732522</v>
      </c>
      <c r="F58" s="3410">
        <v>1</v>
      </c>
      <c r="G58" s="3411">
        <f t="shared" si="0"/>
        <v>105732522</v>
      </c>
      <c r="H58" s="3422">
        <f>-'WPB-2.2a-f - Base'!AU267</f>
        <v>-300942</v>
      </c>
      <c r="I58" s="3411">
        <f t="shared" si="1"/>
        <v>105431580</v>
      </c>
    </row>
    <row r="59" spans="1:9" ht="13.2">
      <c r="A59" s="3349">
        <f t="shared" si="2"/>
        <v>6</v>
      </c>
      <c r="B59" s="3349" t="str">
        <f>'SCH B-2.3'!B62</f>
        <v>376</v>
      </c>
      <c r="C59" s="3349" t="str">
        <f>'SCH B-2.3'!C62</f>
        <v>27603,27608</v>
      </c>
      <c r="D59" s="2118" t="str">
        <f>'SCH B-2.3'!D62</f>
        <v>Mains - Plastic</v>
      </c>
      <c r="E59" s="2118">
        <f>'SCH B-2.3'!K62</f>
        <v>149814027</v>
      </c>
      <c r="F59" s="3410">
        <v>1</v>
      </c>
      <c r="G59" s="3411">
        <f t="shared" si="0"/>
        <v>149814027</v>
      </c>
      <c r="H59" s="3422"/>
      <c r="I59" s="3411">
        <f t="shared" si="1"/>
        <v>149814027</v>
      </c>
    </row>
    <row r="60" spans="1:9" ht="13.2">
      <c r="A60" s="3349">
        <f t="shared" si="2"/>
        <v>7</v>
      </c>
      <c r="B60" s="3349" t="str">
        <f>'SCH B-2.3'!B63</f>
        <v>376</v>
      </c>
      <c r="C60" s="3349">
        <f>'SCH B-2.3'!C63</f>
        <v>27605</v>
      </c>
      <c r="D60" s="2118" t="str">
        <f>'SCH B-2.3'!D63</f>
        <v>Mains - Feeder</v>
      </c>
      <c r="E60" s="2118">
        <f>'SCH B-2.3'!K63</f>
        <v>33716001</v>
      </c>
      <c r="F60" s="3410">
        <v>1</v>
      </c>
      <c r="G60" s="3411">
        <f t="shared" si="0"/>
        <v>33716001</v>
      </c>
      <c r="H60" s="3422">
        <f>-'SCH B-2.2'!G37</f>
        <v>-6192503</v>
      </c>
      <c r="I60" s="3411">
        <f t="shared" si="1"/>
        <v>27523498</v>
      </c>
    </row>
    <row r="61" spans="1:9" ht="13.2">
      <c r="A61" s="3349">
        <f t="shared" si="2"/>
        <v>8</v>
      </c>
      <c r="B61" s="3349" t="str">
        <f>'SCH B-2.3'!B64</f>
        <v>378</v>
      </c>
      <c r="C61" s="3349">
        <f>'SCH B-2.3'!C64</f>
        <v>27800</v>
      </c>
      <c r="D61" s="2118" t="str">
        <f>'SCH B-2.3'!D64</f>
        <v>System Meas. &amp; Reg. Station Equipment</v>
      </c>
      <c r="E61" s="2118">
        <f>'SCH B-2.3'!K64</f>
        <v>7349417</v>
      </c>
      <c r="F61" s="3410">
        <v>1</v>
      </c>
      <c r="G61" s="3411">
        <f t="shared" si="0"/>
        <v>7349417</v>
      </c>
      <c r="H61" s="3422">
        <f>-'SCH B-2.2'!G38</f>
        <v>-186887</v>
      </c>
      <c r="I61" s="3411">
        <f t="shared" si="1"/>
        <v>7162530</v>
      </c>
    </row>
    <row r="62" spans="1:9" ht="13.2">
      <c r="A62" s="3349">
        <f t="shared" si="2"/>
        <v>9</v>
      </c>
      <c r="B62" s="3349" t="str">
        <f>'SCH B-2.3'!B65</f>
        <v>378</v>
      </c>
      <c r="C62" s="3349">
        <f>'SCH B-2.3'!C65</f>
        <v>27801</v>
      </c>
      <c r="D62" s="2118" t="str">
        <f>'SCH B-2.3'!D65</f>
        <v>System Meas. &amp; Reg. Station Equipment - Electric</v>
      </c>
      <c r="E62" s="2118">
        <f>'SCH B-2.3'!K65</f>
        <v>1293157</v>
      </c>
      <c r="F62" s="3410">
        <v>1</v>
      </c>
      <c r="G62" s="3411">
        <f t="shared" si="0"/>
        <v>1293157</v>
      </c>
      <c r="H62" s="3422">
        <f>-'SCH B-2.2'!G39</f>
        <v>-260773</v>
      </c>
      <c r="I62" s="3411">
        <f t="shared" si="1"/>
        <v>1032384</v>
      </c>
    </row>
    <row r="63" spans="1:9" ht="13.2">
      <c r="A63" s="3349">
        <f t="shared" si="2"/>
        <v>10</v>
      </c>
      <c r="B63" s="3349" t="str">
        <f>'SCH B-2.3'!B66</f>
        <v>378</v>
      </c>
      <c r="C63" s="3349">
        <f>'SCH B-2.3'!C66</f>
        <v>27802</v>
      </c>
      <c r="D63" s="2118" t="str">
        <f>'SCH B-2.3'!D66</f>
        <v>District Regulating Equipment</v>
      </c>
      <c r="E63" s="2118">
        <f>'SCH B-2.3'!K66</f>
        <v>2419176</v>
      </c>
      <c r="F63" s="3410">
        <v>1</v>
      </c>
      <c r="G63" s="3411">
        <f t="shared" si="0"/>
        <v>2419176</v>
      </c>
      <c r="H63" s="3413"/>
      <c r="I63" s="3411">
        <f t="shared" si="1"/>
        <v>2419176</v>
      </c>
    </row>
    <row r="64" spans="1:9" ht="13.2">
      <c r="A64" s="3349">
        <f t="shared" si="2"/>
        <v>11</v>
      </c>
      <c r="B64" s="3349" t="str">
        <f>'SCH B-2.3'!B67</f>
        <v>380</v>
      </c>
      <c r="C64" s="3349">
        <f>'SCH B-2.3'!C67</f>
        <v>28001</v>
      </c>
      <c r="D64" s="2118" t="str">
        <f>'SCH B-2.3'!D67</f>
        <v>Services- Cast Iron &amp; Copper</v>
      </c>
      <c r="E64" s="2118">
        <f>'SCH B-2.3'!K67</f>
        <v>3330809</v>
      </c>
      <c r="F64" s="3410">
        <v>1</v>
      </c>
      <c r="G64" s="3411">
        <f t="shared" si="0"/>
        <v>3330809</v>
      </c>
      <c r="H64" s="3413"/>
      <c r="I64" s="3411">
        <f t="shared" si="1"/>
        <v>3330809</v>
      </c>
    </row>
    <row r="65" spans="1:11" ht="13.2">
      <c r="A65" s="3349">
        <f t="shared" si="2"/>
        <v>12</v>
      </c>
      <c r="B65" s="3349" t="str">
        <f>'SCH B-2.3'!B68</f>
        <v>380</v>
      </c>
      <c r="C65" s="3349" t="str">
        <f>'SCH B-2.3'!C68</f>
        <v>28002,28004</v>
      </c>
      <c r="D65" s="2118" t="str">
        <f>'SCH B-2.3'!D68</f>
        <v>Services-Steel</v>
      </c>
      <c r="E65" s="2118">
        <f>'SCH B-2.3'!K68</f>
        <v>8853422</v>
      </c>
      <c r="F65" s="3410">
        <v>1</v>
      </c>
      <c r="G65" s="3411">
        <f t="shared" si="0"/>
        <v>8853422</v>
      </c>
      <c r="H65" s="3413"/>
      <c r="I65" s="3411">
        <f t="shared" si="1"/>
        <v>8853422</v>
      </c>
    </row>
    <row r="66" spans="1:11" ht="13.2">
      <c r="A66" s="3349">
        <f t="shared" si="2"/>
        <v>13</v>
      </c>
      <c r="B66" s="3349" t="str">
        <f>'SCH B-2.3'!B69</f>
        <v>380</v>
      </c>
      <c r="C66" s="3349" t="str">
        <f>'SCH B-2.3'!C69</f>
        <v>28003,28005-28007</v>
      </c>
      <c r="D66" s="2118" t="str">
        <f>'SCH B-2.3'!D69</f>
        <v>Services-Plastic</v>
      </c>
      <c r="E66" s="2118">
        <f>'SCH B-2.3'!K69</f>
        <v>151350663</v>
      </c>
      <c r="F66" s="3410">
        <v>1</v>
      </c>
      <c r="G66" s="3411">
        <f t="shared" si="0"/>
        <v>151350663</v>
      </c>
      <c r="H66" s="3413"/>
      <c r="I66" s="3411">
        <f t="shared" si="1"/>
        <v>151350663</v>
      </c>
    </row>
    <row r="67" spans="1:11" ht="13.2">
      <c r="A67" s="3349">
        <f t="shared" si="2"/>
        <v>14</v>
      </c>
      <c r="B67" s="3349" t="str">
        <f>'SCH B-2.3'!B70</f>
        <v>381</v>
      </c>
      <c r="C67" s="3349" t="str">
        <f>'SCH B-2.3'!C70</f>
        <v>28100,28101</v>
      </c>
      <c r="D67" s="2118" t="str">
        <f>'SCH B-2.3'!D70</f>
        <v>Meters</v>
      </c>
      <c r="E67" s="2118">
        <f>'SCH B-2.3'!K70</f>
        <v>14276092</v>
      </c>
      <c r="F67" s="3410">
        <v>1</v>
      </c>
      <c r="G67" s="3411">
        <f t="shared" si="0"/>
        <v>14276092</v>
      </c>
      <c r="H67" s="3413"/>
      <c r="I67" s="3411">
        <f t="shared" si="1"/>
        <v>14276092</v>
      </c>
    </row>
    <row r="68" spans="1:11" ht="13.2">
      <c r="A68" s="3349">
        <f t="shared" si="2"/>
        <v>15</v>
      </c>
      <c r="B68" s="3349">
        <f>'SCH B-2.3'!B71</f>
        <v>382</v>
      </c>
      <c r="C68" s="3349" t="str">
        <f>'SCH B-2.3'!C71</f>
        <v>28200,28201</v>
      </c>
      <c r="D68" s="2118" t="str">
        <f>'SCH B-2.3'!D71</f>
        <v>Meter Installations</v>
      </c>
      <c r="E68" s="2118">
        <f>'SCH B-2.3'!K71</f>
        <v>10424840</v>
      </c>
      <c r="F68" s="3410">
        <v>1</v>
      </c>
      <c r="G68" s="3411">
        <f t="shared" si="0"/>
        <v>10424840</v>
      </c>
      <c r="H68" s="3413"/>
      <c r="I68" s="3411">
        <f t="shared" si="1"/>
        <v>10424840</v>
      </c>
    </row>
    <row r="69" spans="1:11" ht="13.2">
      <c r="A69" s="3349">
        <f t="shared" si="2"/>
        <v>16</v>
      </c>
      <c r="B69" s="3349" t="str">
        <f>'SCH B-2.3'!B72</f>
        <v>383</v>
      </c>
      <c r="C69" s="3349" t="str">
        <f>'SCH B-2.3'!C72</f>
        <v>28300,283001</v>
      </c>
      <c r="D69" s="2118" t="str">
        <f>'SCH B-2.3'!D72</f>
        <v>House Regulators</v>
      </c>
      <c r="E69" s="2118">
        <f>'SCH B-2.3'!K72</f>
        <v>6674788</v>
      </c>
      <c r="F69" s="3410">
        <v>1</v>
      </c>
      <c r="G69" s="3411">
        <f t="shared" si="0"/>
        <v>6674788</v>
      </c>
      <c r="H69" s="3413"/>
      <c r="I69" s="3411">
        <f t="shared" si="1"/>
        <v>6674788</v>
      </c>
    </row>
    <row r="70" spans="1:11" ht="13.2">
      <c r="A70" s="3349">
        <f t="shared" si="2"/>
        <v>17</v>
      </c>
      <c r="B70" s="3349" t="str">
        <f>'SCH B-2.3'!B73</f>
        <v>384</v>
      </c>
      <c r="C70" s="3349" t="str">
        <f>'SCH B-2.3'!C73</f>
        <v>28400,28401</v>
      </c>
      <c r="D70" s="2118" t="str">
        <f>'SCH B-2.3'!D73</f>
        <v>House Regulator Installations</v>
      </c>
      <c r="E70" s="2118">
        <f>'SCH B-2.3'!K73</f>
        <v>5939235</v>
      </c>
      <c r="F70" s="3410">
        <v>1</v>
      </c>
      <c r="G70" s="3411">
        <f t="shared" si="0"/>
        <v>5939235</v>
      </c>
      <c r="H70" s="3413"/>
      <c r="I70" s="3411">
        <f t="shared" si="1"/>
        <v>5939235</v>
      </c>
    </row>
    <row r="71" spans="1:11" ht="13.2">
      <c r="A71" s="3349">
        <f t="shared" si="2"/>
        <v>18</v>
      </c>
      <c r="B71" s="3349" t="str">
        <f>'SCH B-2.3'!B74</f>
        <v>385</v>
      </c>
      <c r="C71" s="3349">
        <f>'SCH B-2.3'!C74</f>
        <v>28500</v>
      </c>
      <c r="D71" s="2118" t="str">
        <f>'SCH B-2.3'!D74</f>
        <v>Large Industrial Meas. &amp; Reg. Equipment</v>
      </c>
      <c r="E71" s="2118">
        <f>'SCH B-2.3'!K74</f>
        <v>455084</v>
      </c>
      <c r="F71" s="3410">
        <v>1</v>
      </c>
      <c r="G71" s="3411">
        <f t="shared" si="0"/>
        <v>455084</v>
      </c>
      <c r="H71" s="3413"/>
      <c r="I71" s="3411">
        <f t="shared" si="1"/>
        <v>455084</v>
      </c>
    </row>
    <row r="72" spans="1:11" ht="13.2">
      <c r="A72" s="3349">
        <f t="shared" si="2"/>
        <v>19</v>
      </c>
      <c r="B72" s="3349" t="str">
        <f>'SCH B-2.3'!B75</f>
        <v>385</v>
      </c>
      <c r="C72" s="3349">
        <f>'SCH B-2.3'!C75</f>
        <v>28501</v>
      </c>
      <c r="D72" s="2118" t="str">
        <f>'SCH B-2.3'!D75</f>
        <v>Large Industrial Meas. &amp; Reg. Equipment - Comm</v>
      </c>
      <c r="E72" s="2118">
        <f>'SCH B-2.3'!K75</f>
        <v>64791</v>
      </c>
      <c r="F72" s="3410">
        <v>1</v>
      </c>
      <c r="G72" s="3411">
        <f t="shared" si="0"/>
        <v>64791</v>
      </c>
      <c r="H72" s="3413"/>
      <c r="I72" s="3411">
        <f t="shared" si="1"/>
        <v>64791</v>
      </c>
    </row>
    <row r="73" spans="1:11" ht="13.2">
      <c r="A73" s="3349">
        <f t="shared" si="2"/>
        <v>20</v>
      </c>
      <c r="B73" s="3349">
        <f>'SCH B-2.3'!B76</f>
        <v>387</v>
      </c>
      <c r="C73" s="3349">
        <f>'SCH B-2.3'!C76</f>
        <v>28700</v>
      </c>
      <c r="D73" s="2118" t="str">
        <f>'SCH B-2.3'!D76</f>
        <v>Other Equipment - Other</v>
      </c>
      <c r="E73" s="2118">
        <f>'SCH B-2.3'!K76</f>
        <v>21447</v>
      </c>
      <c r="F73" s="3410">
        <v>1</v>
      </c>
      <c r="G73" s="3411">
        <f t="shared" si="0"/>
        <v>21447</v>
      </c>
      <c r="H73" s="3413"/>
      <c r="I73" s="3411">
        <f t="shared" si="1"/>
        <v>21447</v>
      </c>
    </row>
    <row r="74" spans="1:11" ht="13.2">
      <c r="A74" s="3349">
        <f t="shared" si="2"/>
        <v>21</v>
      </c>
      <c r="B74" s="3349" t="str">
        <f>'SCH B-2.3'!B77</f>
        <v>387</v>
      </c>
      <c r="C74" s="3349">
        <f>'SCH B-2.3'!C77</f>
        <v>28701</v>
      </c>
      <c r="D74" s="2118" t="str">
        <f>'SCH B-2.3'!D77</f>
        <v>Street Lighting Equipment</v>
      </c>
      <c r="E74" s="2118">
        <f>'SCH B-2.3'!K77</f>
        <v>28290</v>
      </c>
      <c r="F74" s="3410">
        <v>1</v>
      </c>
      <c r="G74" s="3411">
        <f t="shared" si="0"/>
        <v>28290</v>
      </c>
      <c r="H74" s="3413"/>
      <c r="I74" s="3411">
        <f t="shared" si="1"/>
        <v>28290</v>
      </c>
    </row>
    <row r="75" spans="1:11" ht="13.2">
      <c r="A75" s="3349">
        <f t="shared" si="2"/>
        <v>22</v>
      </c>
      <c r="B75" s="3349"/>
      <c r="C75" s="3349"/>
      <c r="D75" s="2118" t="str">
        <f>'SCH B-2.3'!D78</f>
        <v>Asset Retirement Cost Obligation</v>
      </c>
      <c r="E75" s="2118">
        <f>'SCH B-2.3'!K78</f>
        <v>3583546</v>
      </c>
      <c r="F75" s="3410">
        <v>1</v>
      </c>
      <c r="G75" s="3411">
        <f>ROUND((E75*F75),0)</f>
        <v>3583546</v>
      </c>
      <c r="H75" s="3411"/>
      <c r="I75" s="3411">
        <f t="shared" si="1"/>
        <v>3583546</v>
      </c>
    </row>
    <row r="76" spans="1:11" ht="13.2">
      <c r="A76" s="3349">
        <f t="shared" si="2"/>
        <v>23</v>
      </c>
      <c r="B76" s="3349"/>
      <c r="C76" s="3349"/>
      <c r="D76" s="2118" t="str">
        <f>'SCH B-2.3'!D79</f>
        <v>Completed Construction Not Classified</v>
      </c>
      <c r="E76" s="2118">
        <f>'SCH B-2.3'!K79</f>
        <v>25395218</v>
      </c>
      <c r="F76" s="3410">
        <v>1</v>
      </c>
      <c r="G76" s="3411">
        <f>ROUND((E76*F76),0)</f>
        <v>25395218</v>
      </c>
      <c r="H76" s="3411"/>
      <c r="I76" s="3411">
        <f t="shared" ref="I76" si="3">G76+H76</f>
        <v>25395218</v>
      </c>
    </row>
    <row r="77" spans="1:11" ht="13.2">
      <c r="A77" s="2822"/>
      <c r="B77" s="2822"/>
      <c r="C77" s="2822"/>
      <c r="D77" s="2822"/>
      <c r="E77" s="3411"/>
      <c r="F77" s="3410"/>
      <c r="G77" s="3411"/>
      <c r="H77" s="3411"/>
      <c r="I77" s="3411"/>
    </row>
    <row r="78" spans="1:11" ht="13.2">
      <c r="A78" s="2103"/>
      <c r="B78" s="2103"/>
      <c r="C78" s="2103"/>
      <c r="D78" s="2103"/>
      <c r="E78" s="2106"/>
      <c r="F78" s="2107"/>
      <c r="G78" s="2106"/>
      <c r="H78" s="2106"/>
      <c r="I78" s="2106"/>
    </row>
    <row r="79" spans="1:11" ht="13.2">
      <c r="A79" s="3349">
        <f>A76+1</f>
        <v>24</v>
      </c>
      <c r="B79" s="2822"/>
      <c r="C79" s="2822"/>
      <c r="D79" s="3346" t="s">
        <v>1102</v>
      </c>
      <c r="E79" s="3411">
        <f>SUM(E54:E76)</f>
        <v>533421273</v>
      </c>
      <c r="F79" s="3410"/>
      <c r="G79" s="3411">
        <f t="shared" ref="G79:I79" si="4">SUM(G54:G76)</f>
        <v>533421273</v>
      </c>
      <c r="H79" s="3411">
        <f t="shared" si="4"/>
        <v>-7196711</v>
      </c>
      <c r="I79" s="3411">
        <f t="shared" si="4"/>
        <v>526224562</v>
      </c>
      <c r="K79" s="3431" t="str">
        <f>IF(E79='SCH B-2.3'!K82,"BALANCED","ERROR")</f>
        <v>BALANCED</v>
      </c>
    </row>
    <row r="80" spans="1:11" ht="13.2">
      <c r="A80" s="2822"/>
      <c r="B80" s="2822"/>
      <c r="C80" s="2822"/>
      <c r="D80" s="2822"/>
      <c r="E80" s="3411"/>
      <c r="F80" s="3410"/>
      <c r="G80" s="3411"/>
      <c r="H80" s="3411"/>
      <c r="I80" s="3411"/>
    </row>
    <row r="81" spans="1:9" ht="13.2">
      <c r="A81" s="2103"/>
      <c r="B81" s="2103"/>
      <c r="C81" s="2103"/>
      <c r="D81" s="2103"/>
      <c r="E81" s="2106"/>
      <c r="F81" s="2107"/>
      <c r="G81" s="2106"/>
      <c r="H81" s="2106"/>
      <c r="I81" s="2106"/>
    </row>
    <row r="82" spans="1:9" ht="13.2">
      <c r="A82" s="2822"/>
      <c r="B82" s="2822"/>
      <c r="C82" s="2822"/>
      <c r="D82" s="2822"/>
      <c r="E82" s="3411"/>
      <c r="F82" s="3410"/>
      <c r="G82" s="3411"/>
      <c r="H82" s="3411"/>
      <c r="I82" s="3411"/>
    </row>
    <row r="83" spans="1:9" ht="13.2">
      <c r="A83" s="3344" t="str">
        <f>A1</f>
        <v>DUKE ENERGY KENTUCKY, INC.</v>
      </c>
      <c r="B83" s="3345"/>
      <c r="C83" s="3345"/>
      <c r="D83" s="3344"/>
      <c r="E83" s="3345"/>
      <c r="F83" s="3409"/>
      <c r="G83" s="3345"/>
      <c r="H83" s="3345"/>
      <c r="I83" s="3345"/>
    </row>
    <row r="84" spans="1:9" ht="13.2">
      <c r="A84" s="3344" t="str">
        <f>A2</f>
        <v>CASE NO. 2018-00261</v>
      </c>
      <c r="B84" s="3345"/>
      <c r="C84" s="3345"/>
      <c r="D84" s="3344"/>
      <c r="E84" s="3345"/>
      <c r="F84" s="3409"/>
      <c r="G84" s="3345"/>
      <c r="H84" s="3345"/>
      <c r="I84" s="3345"/>
    </row>
    <row r="85" spans="1:9" ht="13.2">
      <c r="A85" s="3344" t="str">
        <f>A3</f>
        <v>PLANT IN SERVICE BY ACCOUNTS AND SUBACCOUNTS</v>
      </c>
      <c r="B85" s="3345"/>
      <c r="C85" s="3345"/>
      <c r="D85" s="3344"/>
      <c r="E85" s="3345"/>
      <c r="F85" s="3409"/>
      <c r="G85" s="3345"/>
      <c r="H85" s="3345"/>
      <c r="I85" s="3345"/>
    </row>
    <row r="86" spans="1:9" ht="13.2">
      <c r="A86" s="3344" t="str">
        <f>A4</f>
        <v>AS OF NOVEMBER 30, 2018</v>
      </c>
      <c r="B86" s="3345"/>
      <c r="C86" s="3345"/>
      <c r="D86" s="3344"/>
      <c r="E86" s="3345"/>
      <c r="F86" s="3409"/>
      <c r="G86" s="3345"/>
      <c r="H86" s="3345"/>
      <c r="I86" s="3345"/>
    </row>
    <row r="87" spans="1:9" ht="13.2">
      <c r="A87" s="3345"/>
      <c r="B87" s="3345"/>
      <c r="C87" s="3345"/>
      <c r="D87" s="3345"/>
      <c r="E87" s="3345"/>
      <c r="F87" s="3409"/>
      <c r="G87" s="3345"/>
      <c r="H87" s="3345"/>
      <c r="I87" s="3345"/>
    </row>
    <row r="88" spans="1:9" ht="13.2">
      <c r="A88" s="3344" t="s">
        <v>1103</v>
      </c>
      <c r="B88" s="3345"/>
      <c r="C88" s="3345"/>
      <c r="D88" s="3344"/>
      <c r="E88" s="3345"/>
      <c r="F88" s="3409"/>
      <c r="G88" s="3345"/>
      <c r="H88" s="3345"/>
      <c r="I88" s="3345"/>
    </row>
    <row r="89" spans="1:9" ht="13.2">
      <c r="A89" s="3325"/>
      <c r="B89" s="3345"/>
      <c r="C89" s="3345"/>
      <c r="D89" s="3344"/>
      <c r="E89" s="3345"/>
      <c r="F89" s="3409"/>
      <c r="G89" s="3345"/>
      <c r="H89" s="3345"/>
      <c r="I89" s="3345"/>
    </row>
    <row r="90" spans="1:9" ht="13.2">
      <c r="A90" s="3421"/>
      <c r="B90" s="2822"/>
      <c r="C90" s="2822"/>
      <c r="D90" s="2822"/>
      <c r="E90" s="2822"/>
      <c r="F90" s="3412"/>
      <c r="G90" s="2822"/>
      <c r="H90" s="2822"/>
      <c r="I90" s="2822"/>
    </row>
    <row r="91" spans="1:9" ht="13.2">
      <c r="A91" s="3346" t="str">
        <f>A10</f>
        <v>DATA: "X" BASE PERIOD   FORECASTED PERIOD</v>
      </c>
      <c r="B91" s="2822"/>
      <c r="C91" s="2822"/>
      <c r="D91" s="2822"/>
      <c r="E91" s="2822"/>
      <c r="F91" s="3412"/>
      <c r="G91" s="2822"/>
      <c r="H91" s="3413" t="str">
        <f>H10</f>
        <v>SCHEDULE B-2.1</v>
      </c>
      <c r="I91" s="2822"/>
    </row>
    <row r="92" spans="1:9" ht="13.2">
      <c r="A92" s="3346" t="str">
        <f>A11</f>
        <v xml:space="preserve">TYPE OF FILING:  "X" ORIGINAL   UPDATED    REVISED  </v>
      </c>
      <c r="B92" s="2822"/>
      <c r="C92" s="2822"/>
      <c r="D92" s="2822"/>
      <c r="E92" s="2822"/>
      <c r="F92" s="3412"/>
      <c r="G92" s="2822"/>
      <c r="H92" s="3413" t="s">
        <v>498</v>
      </c>
      <c r="I92" s="2822"/>
    </row>
    <row r="93" spans="1:9" ht="13.2">
      <c r="A93" s="3346" t="str">
        <f>A12</f>
        <v>WORK PAPER REFERENCE NO(S).: SCHEDULE B-2.2, SCHEDULE B-2.3</v>
      </c>
      <c r="B93" s="2822"/>
      <c r="C93" s="2822"/>
      <c r="D93" s="2822"/>
      <c r="E93" s="2822"/>
      <c r="F93" s="3412"/>
      <c r="G93" s="2822"/>
      <c r="H93" s="3413" t="s">
        <v>566</v>
      </c>
      <c r="I93" s="2822"/>
    </row>
    <row r="94" spans="1:9" ht="13.2">
      <c r="A94" s="2822"/>
      <c r="B94" s="2822"/>
      <c r="C94" s="2822"/>
      <c r="D94" s="2822"/>
      <c r="E94" s="2822"/>
      <c r="F94" s="3412"/>
      <c r="G94" s="2822"/>
      <c r="H94" s="3347" t="str">
        <f>H13</f>
        <v>R. H. PRATT / C. S. LEE</v>
      </c>
      <c r="I94" s="2822"/>
    </row>
    <row r="95" spans="1:9" ht="13.2">
      <c r="A95" s="2822"/>
      <c r="B95" s="2822"/>
      <c r="C95" s="2822"/>
      <c r="D95" s="2822"/>
      <c r="E95" s="2822"/>
      <c r="F95" s="3412"/>
      <c r="G95" s="2822"/>
      <c r="H95" s="2822"/>
      <c r="I95" s="2822"/>
    </row>
    <row r="96" spans="1:9" ht="13.2">
      <c r="A96" s="2822"/>
      <c r="B96" s="2822"/>
      <c r="C96" s="2822"/>
      <c r="D96" s="2822"/>
      <c r="E96" s="2822"/>
      <c r="F96" s="3412"/>
      <c r="G96" s="2822"/>
      <c r="H96" s="2822"/>
      <c r="I96" s="2822"/>
    </row>
    <row r="97" spans="1:9" ht="13.2">
      <c r="A97" s="2822"/>
      <c r="B97" s="3348"/>
      <c r="C97" s="2822"/>
      <c r="D97" s="2822"/>
      <c r="E97" s="2822"/>
      <c r="F97" s="3412"/>
      <c r="G97" s="2822"/>
      <c r="H97" s="2822"/>
      <c r="I97" s="2822"/>
    </row>
    <row r="98" spans="1:9" ht="13.2">
      <c r="A98" s="2103"/>
      <c r="B98" s="2116"/>
      <c r="C98" s="2115"/>
      <c r="D98" s="2103"/>
      <c r="E98" s="2103"/>
      <c r="F98" s="2113"/>
      <c r="G98" s="2103"/>
      <c r="H98" s="2103"/>
      <c r="I98" s="2103"/>
    </row>
    <row r="99" spans="1:9" ht="13.2">
      <c r="A99" s="2108"/>
      <c r="B99" s="2116" t="s">
        <v>1041</v>
      </c>
      <c r="C99" s="2116" t="s">
        <v>2137</v>
      </c>
      <c r="D99" s="2108"/>
      <c r="E99" s="2110"/>
      <c r="F99" s="2117"/>
      <c r="G99" s="2108"/>
      <c r="H99" s="2108"/>
      <c r="I99" s="2108"/>
    </row>
    <row r="100" spans="1:9" ht="13.2">
      <c r="A100" s="3349" t="s">
        <v>1938</v>
      </c>
      <c r="B100" s="3349" t="s">
        <v>1150</v>
      </c>
      <c r="C100" s="3349" t="s">
        <v>1150</v>
      </c>
      <c r="D100" s="2822"/>
      <c r="E100" s="2109" t="s">
        <v>1986</v>
      </c>
      <c r="F100" s="3414" t="s">
        <v>1898</v>
      </c>
      <c r="G100" s="3349" t="s">
        <v>1898</v>
      </c>
      <c r="H100" s="2822"/>
      <c r="I100" s="3349" t="s">
        <v>572</v>
      </c>
    </row>
    <row r="101" spans="1:9" ht="13.2">
      <c r="A101" s="3349" t="s">
        <v>1939</v>
      </c>
      <c r="B101" s="3349" t="s">
        <v>1939</v>
      </c>
      <c r="C101" s="3349" t="s">
        <v>1939</v>
      </c>
      <c r="D101" s="3349" t="s">
        <v>1151</v>
      </c>
      <c r="E101" s="3417" t="s">
        <v>1989</v>
      </c>
      <c r="F101" s="3418" t="s">
        <v>2097</v>
      </c>
      <c r="G101" s="3417" t="s">
        <v>2153</v>
      </c>
      <c r="H101" s="3417" t="s">
        <v>571</v>
      </c>
      <c r="I101" s="3417" t="s">
        <v>1357</v>
      </c>
    </row>
    <row r="102" spans="1:9" ht="13.2">
      <c r="A102" s="2103"/>
      <c r="B102" s="2103"/>
      <c r="C102" s="2103"/>
      <c r="D102" s="2103"/>
      <c r="E102" s="3337" t="s">
        <v>695</v>
      </c>
      <c r="F102" s="3412"/>
      <c r="G102" s="3349" t="s">
        <v>695</v>
      </c>
      <c r="H102" s="3349" t="s">
        <v>695</v>
      </c>
      <c r="I102" s="3349" t="s">
        <v>695</v>
      </c>
    </row>
    <row r="103" spans="1:9" ht="13.2">
      <c r="A103" s="2822"/>
      <c r="B103" s="2822"/>
      <c r="C103" s="2822"/>
      <c r="D103" s="2822"/>
    </row>
    <row r="104" spans="1:9" ht="13.2">
      <c r="A104" s="3349" t="s">
        <v>1152</v>
      </c>
      <c r="B104" s="3349">
        <f>'SCH B-2.3'!B108</f>
        <v>303</v>
      </c>
      <c r="C104" s="3349">
        <f>'SCH B-2.3'!C108</f>
        <v>20300</v>
      </c>
      <c r="D104" s="2118" t="str">
        <f>'SCH B-2.3'!D108</f>
        <v>Miscellaneous Intangible Plant</v>
      </c>
      <c r="E104" s="3411">
        <f>'SCH B-2.3'!K108</f>
        <v>8757245</v>
      </c>
      <c r="F104" s="3410">
        <v>1</v>
      </c>
      <c r="G104" s="3411">
        <f t="shared" ref="G104:G113" si="5">ROUND(E104*F104,0)</f>
        <v>8757245</v>
      </c>
      <c r="H104" s="3349"/>
      <c r="I104" s="3411">
        <f t="shared" ref="I104:I113" si="6">G104+H104</f>
        <v>8757245</v>
      </c>
    </row>
    <row r="105" spans="1:9" ht="13.2">
      <c r="A105" s="3349">
        <f t="shared" ref="A105:A114" si="7">A104+1</f>
        <v>2</v>
      </c>
      <c r="B105" s="3349">
        <f>'SCH B-2.3'!B109</f>
        <v>303</v>
      </c>
      <c r="C105" s="3349" t="str">
        <f>'SCH B-2.3'!C109</f>
        <v>20310</v>
      </c>
      <c r="D105" s="2118" t="str">
        <f>'SCH B-2.3'!D109</f>
        <v>Misc Intangible Plt - 10 Yr</v>
      </c>
      <c r="E105" s="3411">
        <f>'SCH B-2.3'!K109</f>
        <v>2670960</v>
      </c>
      <c r="F105" s="3410">
        <v>1</v>
      </c>
      <c r="G105" s="3411">
        <f t="shared" si="5"/>
        <v>2670960</v>
      </c>
      <c r="H105" s="3411"/>
      <c r="I105" s="3411">
        <f>G105+H105</f>
        <v>2670960</v>
      </c>
    </row>
    <row r="106" spans="1:9" ht="13.2">
      <c r="A106" s="3349">
        <f t="shared" si="7"/>
        <v>3</v>
      </c>
      <c r="B106" s="3349" t="str">
        <f>'SCH B-2.3'!B110</f>
        <v>391</v>
      </c>
      <c r="C106" s="3349">
        <f>'SCH B-2.3'!C110</f>
        <v>29100</v>
      </c>
      <c r="D106" s="2118" t="str">
        <f>'SCH B-2.3'!D110</f>
        <v>Office Furniture &amp; Equipment</v>
      </c>
      <c r="E106" s="3411">
        <f>'SCH B-2.3'!K110</f>
        <v>13496</v>
      </c>
      <c r="F106" s="3410">
        <v>1</v>
      </c>
      <c r="G106" s="3411">
        <f t="shared" si="5"/>
        <v>13496</v>
      </c>
      <c r="H106" s="3411">
        <f>-'SCH B-2.2'!G45</f>
        <v>-8899</v>
      </c>
      <c r="I106" s="3411">
        <f>G106+H106</f>
        <v>4597</v>
      </c>
    </row>
    <row r="107" spans="1:9" ht="13.2">
      <c r="A107" s="3349">
        <f t="shared" si="7"/>
        <v>4</v>
      </c>
      <c r="B107" s="3349">
        <f>'SCH B-2.3'!B111</f>
        <v>391</v>
      </c>
      <c r="C107" s="3349">
        <f>'SCH B-2.3'!C111</f>
        <v>29101</v>
      </c>
      <c r="D107" s="2118" t="str">
        <f>'SCH B-2.3'!D111</f>
        <v>Electronic Data Processing</v>
      </c>
      <c r="E107" s="3411">
        <f>'SCH B-2.3'!K111</f>
        <v>318574</v>
      </c>
      <c r="F107" s="3410">
        <v>1</v>
      </c>
      <c r="G107" s="3411">
        <f t="shared" si="5"/>
        <v>318574</v>
      </c>
      <c r="H107" s="3413"/>
      <c r="I107" s="3411">
        <f t="shared" si="6"/>
        <v>318574</v>
      </c>
    </row>
    <row r="108" spans="1:9" ht="13.2">
      <c r="A108" s="3349">
        <f t="shared" si="7"/>
        <v>5</v>
      </c>
      <c r="B108" s="3349" t="str">
        <f>'SCH B-2.3'!B112</f>
        <v>392</v>
      </c>
      <c r="C108" s="3349">
        <f>'SCH B-2.3'!C112</f>
        <v>29200</v>
      </c>
      <c r="D108" s="2118" t="str">
        <f>'SCH B-2.3'!D112</f>
        <v>Transportation Equipment</v>
      </c>
      <c r="E108" s="3411">
        <f>'SCH B-2.3'!K112</f>
        <v>0</v>
      </c>
      <c r="F108" s="3410">
        <v>1</v>
      </c>
      <c r="G108" s="3411">
        <f t="shared" si="5"/>
        <v>0</v>
      </c>
      <c r="H108" s="3411"/>
      <c r="I108" s="3411">
        <f t="shared" si="6"/>
        <v>0</v>
      </c>
    </row>
    <row r="109" spans="1:9" ht="13.2">
      <c r="A109" s="3349">
        <f t="shared" si="7"/>
        <v>6</v>
      </c>
      <c r="B109" s="3349" t="str">
        <f>'SCH B-2.3'!B113</f>
        <v>392</v>
      </c>
      <c r="C109" s="3349">
        <f>'SCH B-2.3'!C113</f>
        <v>29201</v>
      </c>
      <c r="D109" s="2118" t="str">
        <f>'SCH B-2.3'!D113</f>
        <v>Trailers</v>
      </c>
      <c r="E109" s="3411">
        <f>'SCH B-2.3'!K113</f>
        <v>63448</v>
      </c>
      <c r="F109" s="3410">
        <v>1</v>
      </c>
      <c r="G109" s="3411">
        <f t="shared" si="5"/>
        <v>63448</v>
      </c>
      <c r="H109" s="3413"/>
      <c r="I109" s="3411">
        <f t="shared" si="6"/>
        <v>63448</v>
      </c>
    </row>
    <row r="110" spans="1:9" ht="13.2">
      <c r="A110" s="3349">
        <f t="shared" si="7"/>
        <v>7</v>
      </c>
      <c r="B110" s="3349" t="str">
        <f>'SCH B-2.3'!B114</f>
        <v>394</v>
      </c>
      <c r="C110" s="3349">
        <f>'SCH B-2.3'!C114</f>
        <v>29400</v>
      </c>
      <c r="D110" s="2118" t="str">
        <f>'SCH B-2.3'!D114</f>
        <v>Tools, Shop &amp; Garage Equipment</v>
      </c>
      <c r="E110" s="3411">
        <f>'SCH B-2.3'!K114</f>
        <v>1238849</v>
      </c>
      <c r="F110" s="3410">
        <v>1</v>
      </c>
      <c r="G110" s="3411">
        <f t="shared" ref="G110:G112" si="8">ROUND(E110*F110,0)</f>
        <v>1238849</v>
      </c>
      <c r="H110" s="3411">
        <f>-'SCH B-2.2'!G46</f>
        <v>-21227</v>
      </c>
      <c r="I110" s="3411">
        <f t="shared" ref="I110:I112" si="9">G110+H110</f>
        <v>1217622</v>
      </c>
    </row>
    <row r="111" spans="1:9" ht="13.2">
      <c r="A111" s="3349">
        <f t="shared" si="7"/>
        <v>8</v>
      </c>
      <c r="B111" s="3349" t="str">
        <f>'SCH B-2.3'!B115</f>
        <v>396</v>
      </c>
      <c r="C111" s="3349">
        <f>'SCH B-2.3'!C115</f>
        <v>29600</v>
      </c>
      <c r="D111" s="2118" t="str">
        <f>'SCH B-2.3'!D115</f>
        <v>Power Operated Equipment</v>
      </c>
      <c r="E111" s="3411">
        <f>'SCH B-2.3'!K115</f>
        <v>168272</v>
      </c>
      <c r="F111" s="3410">
        <v>1</v>
      </c>
      <c r="G111" s="3411">
        <f t="shared" si="8"/>
        <v>168272</v>
      </c>
      <c r="H111" s="3413"/>
      <c r="I111" s="3411">
        <f t="shared" si="9"/>
        <v>168272</v>
      </c>
    </row>
    <row r="112" spans="1:9" ht="13.2">
      <c r="A112" s="3349">
        <f t="shared" si="7"/>
        <v>9</v>
      </c>
      <c r="B112" s="3349">
        <f>'SCH B-2.3'!B116</f>
        <v>397</v>
      </c>
      <c r="C112" s="3349" t="str">
        <f>'SCH B-2.3'!C116</f>
        <v>29700</v>
      </c>
      <c r="D112" s="2118" t="str">
        <f>'SCH B-2.3'!D116</f>
        <v>Communication Equipment</v>
      </c>
      <c r="E112" s="3411">
        <f>'SCH B-2.3'!K116</f>
        <v>10522272</v>
      </c>
      <c r="F112" s="3410">
        <v>1</v>
      </c>
      <c r="G112" s="3411">
        <f t="shared" si="8"/>
        <v>10522272</v>
      </c>
      <c r="H112" s="3411">
        <f>-'WPB-2.2a-f - Base'!AU278</f>
        <v>-238</v>
      </c>
      <c r="I112" s="3411">
        <f t="shared" si="9"/>
        <v>10522034</v>
      </c>
    </row>
    <row r="113" spans="1:11" ht="13.2">
      <c r="A113" s="3349">
        <f t="shared" si="7"/>
        <v>10</v>
      </c>
      <c r="B113" s="3349" t="str">
        <f>'SCH B-2.3'!B117</f>
        <v>398</v>
      </c>
      <c r="C113" s="3349">
        <f>'SCH B-2.3'!C117</f>
        <v>29800</v>
      </c>
      <c r="D113" s="2118" t="str">
        <f>'SCH B-2.3'!D117</f>
        <v>Miscellaneous Equipment</v>
      </c>
      <c r="E113" s="3411">
        <f>'SCH B-2.3'!K117</f>
        <v>83591</v>
      </c>
      <c r="F113" s="3410">
        <v>1</v>
      </c>
      <c r="G113" s="3411">
        <f t="shared" si="5"/>
        <v>83591</v>
      </c>
      <c r="H113" s="3411">
        <f>-'SCH B-2.2'!G48</f>
        <v>-83591</v>
      </c>
      <c r="I113" s="3411">
        <f t="shared" si="6"/>
        <v>0</v>
      </c>
    </row>
    <row r="114" spans="1:11" ht="13.2">
      <c r="A114" s="3349">
        <f t="shared" si="7"/>
        <v>11</v>
      </c>
      <c r="B114" s="3349"/>
      <c r="C114" s="3349"/>
      <c r="D114" s="2118" t="str">
        <f>'SCH B-2.3'!D118</f>
        <v>Completed Construction Not Classified</v>
      </c>
      <c r="E114" s="3411">
        <f>'SCH B-2.3'!K118</f>
        <v>270697</v>
      </c>
      <c r="F114" s="3410">
        <v>1</v>
      </c>
      <c r="G114" s="3411">
        <f t="shared" ref="G114" si="10">ROUND(E114*F114,0)</f>
        <v>270697</v>
      </c>
      <c r="H114" s="3411"/>
      <c r="I114" s="3411">
        <f t="shared" ref="I114" si="11">G114+H114</f>
        <v>270697</v>
      </c>
    </row>
    <row r="115" spans="1:11" ht="13.2">
      <c r="A115" s="2822"/>
      <c r="B115" s="2822"/>
      <c r="C115" s="2822"/>
      <c r="D115" s="2822"/>
      <c r="E115" s="3411"/>
      <c r="F115" s="3410"/>
      <c r="G115" s="3411"/>
      <c r="H115" s="3411"/>
      <c r="I115" s="3411"/>
    </row>
    <row r="116" spans="1:11" ht="13.2">
      <c r="A116" s="2103"/>
      <c r="B116" s="2103"/>
      <c r="C116" s="2103"/>
      <c r="D116" s="2103"/>
      <c r="E116" s="2106"/>
      <c r="F116" s="2107"/>
      <c r="G116" s="2106"/>
      <c r="H116" s="2106"/>
      <c r="I116" s="2106"/>
    </row>
    <row r="117" spans="1:11" ht="13.2">
      <c r="A117" s="3349">
        <f>A114+1</f>
        <v>12</v>
      </c>
      <c r="B117" s="2822"/>
      <c r="C117" s="2822"/>
      <c r="D117" s="3346" t="s">
        <v>1117</v>
      </c>
      <c r="E117" s="3411">
        <f>SUM(E104:E114)</f>
        <v>24107404</v>
      </c>
      <c r="F117" s="3410"/>
      <c r="G117" s="3411">
        <f t="shared" ref="G117:I117" si="12">SUM(G104:G114)</f>
        <v>24107404</v>
      </c>
      <c r="H117" s="3411">
        <f t="shared" si="12"/>
        <v>-113955</v>
      </c>
      <c r="I117" s="3411">
        <f t="shared" si="12"/>
        <v>23993449</v>
      </c>
      <c r="K117" s="3431" t="str">
        <f>IF(E117='SCH B-2.3'!K123,"BALANCED","ERROR")</f>
        <v>BALANCED</v>
      </c>
    </row>
    <row r="118" spans="1:11" ht="13.2">
      <c r="A118" s="2822"/>
      <c r="B118" s="2822"/>
      <c r="C118" s="2822"/>
      <c r="D118" s="2822"/>
      <c r="E118" s="3411"/>
      <c r="F118" s="3410"/>
      <c r="G118" s="3411"/>
      <c r="H118" s="3411"/>
      <c r="I118" s="3411"/>
    </row>
    <row r="119" spans="1:11" ht="13.2">
      <c r="A119" s="2103"/>
      <c r="B119" s="2103"/>
      <c r="C119" s="2103"/>
      <c r="D119" s="2103"/>
      <c r="E119" s="2106"/>
      <c r="F119" s="2107"/>
      <c r="G119" s="2106"/>
      <c r="H119" s="2106"/>
      <c r="I119" s="2106"/>
    </row>
    <row r="120" spans="1:11" ht="13.2">
      <c r="A120" s="3349">
        <f>A117+1</f>
        <v>13</v>
      </c>
      <c r="B120" s="2822"/>
      <c r="C120" s="2822"/>
      <c r="D120" s="3346" t="s">
        <v>1118</v>
      </c>
      <c r="E120" s="3411">
        <f>E29+E79+E117</f>
        <v>565348809</v>
      </c>
      <c r="F120" s="3412"/>
      <c r="G120" s="3411">
        <f>G29+G79+G117</f>
        <v>565348809</v>
      </c>
      <c r="H120" s="3411">
        <f>H29+H79+H117</f>
        <v>-12331190</v>
      </c>
      <c r="I120" s="3411">
        <f>I29+I79+I117</f>
        <v>553017619</v>
      </c>
      <c r="K120" s="3431" t="str">
        <f>IF(E120='SCH B-2.3'!K126,"BALANCED","ERROR")</f>
        <v>BALANCED</v>
      </c>
    </row>
    <row r="121" spans="1:11" ht="13.2">
      <c r="A121" s="2822"/>
      <c r="B121" s="2822"/>
      <c r="C121" s="2822"/>
      <c r="D121" s="2822"/>
      <c r="E121" s="2822"/>
      <c r="F121" s="3412"/>
      <c r="G121" s="2822"/>
      <c r="H121" s="2822"/>
      <c r="I121" s="2822"/>
    </row>
    <row r="122" spans="1:11" ht="13.2">
      <c r="A122" s="2103"/>
      <c r="B122" s="2103"/>
      <c r="C122" s="2103"/>
      <c r="D122" s="2103"/>
      <c r="E122" s="2103"/>
      <c r="F122" s="2113"/>
      <c r="G122" s="2103"/>
      <c r="H122" s="2103"/>
      <c r="I122" s="2103"/>
    </row>
    <row r="123" spans="1:11" ht="13.2">
      <c r="A123" s="2822"/>
      <c r="B123" s="2822"/>
      <c r="C123" s="2822"/>
      <c r="D123" s="2822"/>
      <c r="E123" s="2822"/>
      <c r="F123" s="3412"/>
      <c r="G123" s="2822"/>
      <c r="H123" s="2822"/>
      <c r="I123" s="2822"/>
    </row>
    <row r="124" spans="1:11" ht="13.2">
      <c r="A124" s="3344" t="str">
        <f>A1</f>
        <v>DUKE ENERGY KENTUCKY, INC.</v>
      </c>
      <c r="B124" s="3345"/>
      <c r="C124" s="3345"/>
      <c r="D124" s="3344"/>
      <c r="E124" s="3345"/>
      <c r="F124" s="3409"/>
      <c r="G124" s="3345"/>
      <c r="H124" s="3345"/>
      <c r="I124" s="3345"/>
    </row>
    <row r="125" spans="1:11" ht="13.2">
      <c r="A125" s="3344" t="str">
        <f>A2</f>
        <v>CASE NO. 2018-00261</v>
      </c>
      <c r="B125" s="3345"/>
      <c r="C125" s="3345"/>
      <c r="D125" s="3344"/>
      <c r="E125" s="3345"/>
      <c r="F125" s="3409"/>
      <c r="G125" s="3345"/>
      <c r="H125" s="3345"/>
      <c r="I125" s="3345"/>
    </row>
    <row r="126" spans="1:11" ht="13.2">
      <c r="A126" s="3344" t="str">
        <f>A3</f>
        <v>PLANT IN SERVICE BY ACCOUNTS AND SUBACCOUNTS</v>
      </c>
      <c r="B126" s="3345"/>
      <c r="C126" s="3345"/>
      <c r="D126" s="3344"/>
      <c r="E126" s="3345"/>
      <c r="F126" s="3409"/>
      <c r="G126" s="3345"/>
      <c r="H126" s="3345"/>
      <c r="I126" s="3345"/>
    </row>
    <row r="127" spans="1:11" ht="13.2">
      <c r="A127" s="3344" t="str">
        <f>A4</f>
        <v>AS OF NOVEMBER 30, 2018</v>
      </c>
      <c r="B127" s="3345"/>
      <c r="C127" s="3345"/>
      <c r="D127" s="3344"/>
      <c r="E127" s="3345"/>
      <c r="F127" s="3409"/>
      <c r="G127" s="3345"/>
      <c r="H127" s="3345"/>
      <c r="I127" s="3345"/>
    </row>
    <row r="128" spans="1:11" ht="13.2">
      <c r="A128" s="3345"/>
      <c r="B128" s="3345"/>
      <c r="C128" s="3345"/>
      <c r="D128" s="3345"/>
      <c r="E128" s="3345"/>
      <c r="F128" s="3409"/>
      <c r="G128" s="3345"/>
      <c r="H128" s="3345"/>
      <c r="I128" s="3345"/>
    </row>
    <row r="129" spans="1:9" ht="13.2">
      <c r="A129" s="3344" t="s">
        <v>1119</v>
      </c>
      <c r="B129" s="3345"/>
      <c r="C129" s="3345"/>
      <c r="D129" s="3344"/>
      <c r="E129" s="3345"/>
      <c r="F129" s="3409"/>
      <c r="G129" s="3345"/>
      <c r="H129" s="3345"/>
      <c r="I129" s="3345"/>
    </row>
    <row r="130" spans="1:9" ht="13.2">
      <c r="A130" s="3325"/>
      <c r="B130" s="3345"/>
      <c r="C130" s="3345"/>
      <c r="D130" s="3344"/>
      <c r="E130" s="3345"/>
      <c r="F130" s="3409"/>
      <c r="G130" s="3345"/>
      <c r="H130" s="3345"/>
      <c r="I130" s="3345"/>
    </row>
    <row r="131" spans="1:9" ht="13.2">
      <c r="A131" s="3421"/>
      <c r="B131" s="2822"/>
      <c r="C131" s="2822"/>
      <c r="D131" s="2822"/>
      <c r="E131" s="2822"/>
      <c r="F131" s="3412"/>
      <c r="G131" s="2822"/>
      <c r="H131" s="2822"/>
      <c r="I131" s="2822"/>
    </row>
    <row r="132" spans="1:9" ht="13.2">
      <c r="A132" s="3346" t="str">
        <f>A10</f>
        <v>DATA: "X" BASE PERIOD   FORECASTED PERIOD</v>
      </c>
      <c r="B132" s="2822"/>
      <c r="C132" s="2822"/>
      <c r="D132" s="2822"/>
      <c r="E132" s="2822"/>
      <c r="F132" s="3412"/>
      <c r="G132" s="2822"/>
      <c r="H132" s="3413" t="str">
        <f>H10</f>
        <v>SCHEDULE B-2.1</v>
      </c>
      <c r="I132" s="2822"/>
    </row>
    <row r="133" spans="1:9" ht="13.2">
      <c r="A133" s="3346" t="str">
        <f>A11</f>
        <v xml:space="preserve">TYPE OF FILING:  "X" ORIGINAL   UPDATED    REVISED  </v>
      </c>
      <c r="B133" s="2822"/>
      <c r="C133" s="2822"/>
      <c r="D133" s="2822"/>
      <c r="E133" s="2822"/>
      <c r="F133" s="3412"/>
      <c r="G133" s="2822"/>
      <c r="H133" s="3346" t="s">
        <v>499</v>
      </c>
      <c r="I133" s="2822"/>
    </row>
    <row r="134" spans="1:9" ht="13.2">
      <c r="A134" s="3346" t="str">
        <f>A12</f>
        <v>WORK PAPER REFERENCE NO(S).: SCHEDULE B-2.2, SCHEDULE B-2.3</v>
      </c>
      <c r="B134" s="2822"/>
      <c r="C134" s="2822"/>
      <c r="D134" s="2822"/>
      <c r="E134" s="2822"/>
      <c r="F134" s="3412"/>
      <c r="G134" s="2822"/>
      <c r="H134" s="3413" t="s">
        <v>566</v>
      </c>
      <c r="I134" s="2822"/>
    </row>
    <row r="135" spans="1:9" ht="13.2">
      <c r="A135" s="2822"/>
      <c r="B135" s="2822"/>
      <c r="C135" s="2822"/>
      <c r="D135" s="2822"/>
      <c r="E135" s="2822"/>
      <c r="F135" s="3412"/>
      <c r="G135" s="2822"/>
      <c r="H135" s="3347" t="str">
        <f>H13</f>
        <v>R. H. PRATT / C. S. LEE</v>
      </c>
      <c r="I135" s="2822"/>
    </row>
    <row r="136" spans="1:9" ht="13.2">
      <c r="A136" s="2822"/>
      <c r="B136" s="2822"/>
      <c r="C136" s="2822"/>
      <c r="D136" s="2822"/>
      <c r="E136" s="2822"/>
      <c r="F136" s="3412"/>
      <c r="G136" s="2822"/>
      <c r="H136" s="2822"/>
      <c r="I136" s="2822"/>
    </row>
    <row r="137" spans="1:9" ht="13.2">
      <c r="A137" s="2822"/>
      <c r="B137" s="2822"/>
      <c r="C137" s="2822"/>
      <c r="D137" s="2822"/>
      <c r="E137" s="2822"/>
      <c r="F137" s="3412"/>
      <c r="G137" s="2822"/>
      <c r="H137" s="2822"/>
      <c r="I137" s="2822"/>
    </row>
    <row r="138" spans="1:9" ht="13.2">
      <c r="A138" s="2822"/>
      <c r="B138" s="2822"/>
      <c r="C138" s="2822"/>
      <c r="D138" s="2822"/>
      <c r="E138" s="2822"/>
      <c r="F138" s="3412"/>
      <c r="G138" s="2822"/>
      <c r="H138" s="2822"/>
      <c r="I138" s="2822"/>
    </row>
    <row r="139" spans="1:9" ht="13.2">
      <c r="A139" s="2103"/>
      <c r="B139" s="2114"/>
      <c r="C139" s="2115"/>
      <c r="D139" s="2103"/>
      <c r="E139" s="2103"/>
      <c r="F139" s="2113"/>
      <c r="G139" s="2103"/>
      <c r="H139" s="2103"/>
      <c r="I139" s="2103"/>
    </row>
    <row r="140" spans="1:9" ht="13.2">
      <c r="A140" s="2108"/>
      <c r="B140" s="2109" t="s">
        <v>1041</v>
      </c>
      <c r="C140" s="2109" t="s">
        <v>2137</v>
      </c>
      <c r="D140" s="2108"/>
      <c r="E140" s="2110"/>
      <c r="F140" s="2117"/>
      <c r="G140" s="2108"/>
      <c r="H140" s="2108"/>
      <c r="I140" s="2108"/>
    </row>
    <row r="141" spans="1:9" ht="13.2">
      <c r="A141" s="3349" t="s">
        <v>1938</v>
      </c>
      <c r="B141" s="3349" t="s">
        <v>1150</v>
      </c>
      <c r="C141" s="3349" t="s">
        <v>1150</v>
      </c>
      <c r="D141" s="2822"/>
      <c r="E141" s="2109" t="s">
        <v>1986</v>
      </c>
      <c r="F141" s="3414" t="s">
        <v>1898</v>
      </c>
      <c r="G141" s="3349" t="s">
        <v>1898</v>
      </c>
      <c r="H141" s="2822"/>
      <c r="I141" s="3349" t="s">
        <v>572</v>
      </c>
    </row>
    <row r="142" spans="1:9" ht="13.2">
      <c r="A142" s="3349" t="s">
        <v>1939</v>
      </c>
      <c r="B142" s="3349" t="s">
        <v>1939</v>
      </c>
      <c r="C142" s="3349" t="s">
        <v>1939</v>
      </c>
      <c r="D142" s="3349" t="s">
        <v>1151</v>
      </c>
      <c r="E142" s="3417" t="s">
        <v>1989</v>
      </c>
      <c r="F142" s="3418" t="s">
        <v>2097</v>
      </c>
      <c r="G142" s="3417" t="s">
        <v>2153</v>
      </c>
      <c r="H142" s="3417" t="s">
        <v>571</v>
      </c>
      <c r="I142" s="3417" t="s">
        <v>1357</v>
      </c>
    </row>
    <row r="143" spans="1:9" ht="13.2">
      <c r="A143" s="2103"/>
      <c r="B143" s="2103"/>
      <c r="C143" s="2103"/>
      <c r="D143" s="2103"/>
      <c r="E143" s="3337" t="s">
        <v>695</v>
      </c>
      <c r="F143" s="3412"/>
      <c r="G143" s="3349" t="s">
        <v>695</v>
      </c>
      <c r="H143" s="3349" t="s">
        <v>695</v>
      </c>
      <c r="I143" s="3349" t="s">
        <v>695</v>
      </c>
    </row>
    <row r="144" spans="1:9" ht="13.2">
      <c r="A144" s="2822"/>
      <c r="B144" s="2822"/>
      <c r="C144" s="2822"/>
      <c r="D144" s="2822"/>
    </row>
    <row r="145" spans="1:11" ht="13.2">
      <c r="A145" s="3349" t="s">
        <v>1152</v>
      </c>
      <c r="B145" s="3349"/>
      <c r="C145" s="3349">
        <f>'SCH B-2.3'!C152</f>
        <v>10300</v>
      </c>
      <c r="D145" s="2118" t="str">
        <f>'SCH B-2.3'!D152</f>
        <v xml:space="preserve">Miscellaneous Intangible Plant </v>
      </c>
      <c r="E145" s="3411">
        <f>'SCH B-2.3'!K152</f>
        <v>22332072</v>
      </c>
      <c r="F145" s="3410">
        <v>1</v>
      </c>
      <c r="G145" s="3411">
        <f t="shared" ref="G145:G153" si="13">ROUND(E145*F145,0)</f>
        <v>22332072</v>
      </c>
      <c r="H145" s="2822"/>
      <c r="I145" s="3411">
        <f t="shared" ref="I145:I153" si="14">G145+H145</f>
        <v>22332072</v>
      </c>
    </row>
    <row r="146" spans="1:11" ht="13.2">
      <c r="A146" s="3349" t="s">
        <v>1155</v>
      </c>
      <c r="B146" s="2822"/>
      <c r="C146" s="3349">
        <f>'SCH B-2.3'!C153</f>
        <v>18900</v>
      </c>
      <c r="D146" s="2118" t="str">
        <f>'SCH B-2.3'!D153</f>
        <v>Land and Land Rights</v>
      </c>
      <c r="E146" s="3411">
        <f>'SCH B-2.3'!K153</f>
        <v>154248</v>
      </c>
      <c r="F146" s="3410">
        <v>1</v>
      </c>
      <c r="G146" s="3411">
        <f t="shared" si="13"/>
        <v>154248</v>
      </c>
      <c r="H146" s="2822"/>
      <c r="I146" s="3411">
        <f t="shared" si="14"/>
        <v>154248</v>
      </c>
    </row>
    <row r="147" spans="1:11" ht="13.2">
      <c r="A147" s="3349" t="s">
        <v>1157</v>
      </c>
      <c r="B147" s="2822"/>
      <c r="C147" s="3349">
        <f>'SCH B-2.3'!C154</f>
        <v>19000</v>
      </c>
      <c r="D147" s="2118" t="str">
        <f>'SCH B-2.3'!D154</f>
        <v>Structures &amp; Improvements</v>
      </c>
      <c r="E147" s="3411">
        <f>'SCH B-2.3'!K154</f>
        <v>14804597</v>
      </c>
      <c r="F147" s="3410">
        <v>1</v>
      </c>
      <c r="G147" s="3411">
        <f t="shared" si="13"/>
        <v>14804597</v>
      </c>
      <c r="H147" s="3411"/>
      <c r="I147" s="3411">
        <f t="shared" si="14"/>
        <v>14804597</v>
      </c>
    </row>
    <row r="148" spans="1:11" ht="13.2">
      <c r="A148" s="3349" t="s">
        <v>1160</v>
      </c>
      <c r="B148" s="2822"/>
      <c r="C148" s="3349">
        <f>'SCH B-2.3'!C155</f>
        <v>19100</v>
      </c>
      <c r="D148" s="2118" t="str">
        <f>'SCH B-2.3'!D155</f>
        <v>Office Furniture &amp; Equipment</v>
      </c>
      <c r="E148" s="3411">
        <f>'SCH B-2.3'!K155</f>
        <v>755564</v>
      </c>
      <c r="F148" s="3410">
        <v>1</v>
      </c>
      <c r="G148" s="3411">
        <f t="shared" si="13"/>
        <v>755564</v>
      </c>
      <c r="H148" s="3411"/>
      <c r="I148" s="3411">
        <f t="shared" si="14"/>
        <v>755564</v>
      </c>
    </row>
    <row r="149" spans="1:11" ht="13.2">
      <c r="A149" s="3349" t="s">
        <v>1412</v>
      </c>
      <c r="B149" s="2822"/>
      <c r="C149" s="3349">
        <f>'SCH B-2.3'!C156</f>
        <v>19101</v>
      </c>
      <c r="D149" s="2118" t="str">
        <f>'SCH B-2.3'!D156</f>
        <v>Electronic Data Processing</v>
      </c>
      <c r="E149" s="3411">
        <f>'SCH B-2.3'!K156</f>
        <v>807217</v>
      </c>
      <c r="F149" s="3410">
        <v>1</v>
      </c>
      <c r="G149" s="3411">
        <f t="shared" si="13"/>
        <v>807217</v>
      </c>
      <c r="H149" s="3411"/>
      <c r="I149" s="3411">
        <f t="shared" si="14"/>
        <v>807217</v>
      </c>
    </row>
    <row r="150" spans="1:11" ht="13.2">
      <c r="A150" s="3349" t="s">
        <v>2679</v>
      </c>
      <c r="B150" s="2822"/>
      <c r="C150" s="3349">
        <f>'SCH B-2.3'!C157</f>
        <v>19300</v>
      </c>
      <c r="D150" s="2118" t="str">
        <f>'SCH B-2.3'!D157</f>
        <v>Stores Equipment</v>
      </c>
      <c r="E150" s="3411">
        <f>'SCH B-2.3'!K157</f>
        <v>0</v>
      </c>
      <c r="F150" s="3410">
        <v>1</v>
      </c>
      <c r="G150" s="3411">
        <f t="shared" si="13"/>
        <v>0</v>
      </c>
      <c r="H150" s="3411"/>
      <c r="I150" s="3411">
        <f t="shared" si="14"/>
        <v>0</v>
      </c>
    </row>
    <row r="151" spans="1:11" ht="13.2">
      <c r="A151" s="3349" t="s">
        <v>2680</v>
      </c>
      <c r="B151" s="2822"/>
      <c r="C151" s="3349">
        <f>'SCH B-2.3'!C158</f>
        <v>19400</v>
      </c>
      <c r="D151" s="2118" t="str">
        <f>'SCH B-2.3'!D158</f>
        <v>Tools, Shop &amp; Garage Equipment</v>
      </c>
      <c r="E151" s="3411">
        <f>'SCH B-2.3'!K158</f>
        <v>121888</v>
      </c>
      <c r="F151" s="3410">
        <v>1</v>
      </c>
      <c r="G151" s="3411">
        <f t="shared" si="13"/>
        <v>121888</v>
      </c>
      <c r="H151" s="3411"/>
      <c r="I151" s="3411">
        <f t="shared" si="14"/>
        <v>121888</v>
      </c>
    </row>
    <row r="152" spans="1:11" ht="13.2">
      <c r="A152" s="3349" t="s">
        <v>1413</v>
      </c>
      <c r="B152" s="2822"/>
      <c r="C152" s="3349">
        <f>'SCH B-2.3'!C159</f>
        <v>19700</v>
      </c>
      <c r="D152" s="2118" t="str">
        <f>'SCH B-2.3'!D159</f>
        <v>Communication Equipment</v>
      </c>
      <c r="E152" s="3411">
        <f>'SCH B-2.3'!K159</f>
        <v>8114194</v>
      </c>
      <c r="F152" s="3410">
        <v>1</v>
      </c>
      <c r="G152" s="3411">
        <f t="shared" si="13"/>
        <v>8114194</v>
      </c>
      <c r="H152" s="3411"/>
      <c r="I152" s="3411">
        <f t="shared" si="14"/>
        <v>8114194</v>
      </c>
    </row>
    <row r="153" spans="1:11" ht="13.2">
      <c r="A153" s="3349" t="s">
        <v>2681</v>
      </c>
      <c r="B153" s="2822"/>
      <c r="C153" s="3349">
        <f>'SCH B-2.3'!C160</f>
        <v>19800</v>
      </c>
      <c r="D153" s="2118" t="str">
        <f>'SCH B-2.3'!D160</f>
        <v>Miscellaneous Equipment</v>
      </c>
      <c r="E153" s="3411">
        <f>'SCH B-2.3'!K160</f>
        <v>41504</v>
      </c>
      <c r="F153" s="3410">
        <v>1</v>
      </c>
      <c r="G153" s="3411">
        <f t="shared" si="13"/>
        <v>41504</v>
      </c>
      <c r="H153" s="3411"/>
      <c r="I153" s="3411">
        <f t="shared" si="14"/>
        <v>41504</v>
      </c>
    </row>
    <row r="154" spans="1:11" ht="13.2">
      <c r="A154" s="3349" t="s">
        <v>2682</v>
      </c>
      <c r="B154" s="2822"/>
      <c r="C154" s="3349"/>
      <c r="D154" s="2118" t="str">
        <f>'SCH B-2.3'!D161</f>
        <v>Asset Retirement Cost Obligation</v>
      </c>
      <c r="E154" s="3411">
        <f>'SCH B-2.3'!K161</f>
        <v>314111</v>
      </c>
      <c r="F154" s="3410">
        <v>1</v>
      </c>
      <c r="G154" s="3411">
        <f t="shared" ref="G154" si="15">ROUND(E154*F154,0)</f>
        <v>314111</v>
      </c>
      <c r="H154" s="3411"/>
      <c r="I154" s="3411">
        <f t="shared" ref="I154" si="16">G154+H154</f>
        <v>314111</v>
      </c>
    </row>
    <row r="155" spans="1:11" ht="13.2">
      <c r="A155" s="2822"/>
      <c r="B155" s="2822"/>
      <c r="C155" s="2822"/>
      <c r="D155" s="2822"/>
      <c r="E155" s="3327"/>
      <c r="F155" s="3412"/>
      <c r="G155" s="2822"/>
      <c r="H155" s="2822"/>
      <c r="I155" s="2822"/>
    </row>
    <row r="156" spans="1:11" ht="13.2">
      <c r="A156" s="2103"/>
      <c r="B156" s="2103"/>
      <c r="C156" s="2103"/>
      <c r="D156" s="2103"/>
      <c r="E156" s="2106"/>
      <c r="F156" s="2107"/>
      <c r="G156" s="2106"/>
      <c r="H156" s="2106"/>
      <c r="I156" s="2106"/>
    </row>
    <row r="157" spans="1:11" ht="13.2">
      <c r="A157" s="3349">
        <f>A154+1</f>
        <v>11</v>
      </c>
      <c r="B157" s="2822"/>
      <c r="C157" s="2822"/>
      <c r="D157" s="3346" t="s">
        <v>1321</v>
      </c>
      <c r="E157" s="3411">
        <f>SUM(E145:E155)</f>
        <v>47445395</v>
      </c>
      <c r="F157" s="3410"/>
      <c r="G157" s="3411">
        <f>SUM(G145:G155)</f>
        <v>47445395</v>
      </c>
      <c r="H157" s="3411">
        <f>SUM(H145:H155)</f>
        <v>0</v>
      </c>
      <c r="I157" s="3411">
        <f>SUM(I145:I155)</f>
        <v>47445395</v>
      </c>
      <c r="K157" s="3431" t="str">
        <f>IF(E157='SCH B-2.3'!K164,"BALANCED","ERROR")</f>
        <v>BALANCED</v>
      </c>
    </row>
    <row r="158" spans="1:11" ht="13.2">
      <c r="A158" s="2822"/>
      <c r="B158" s="2822"/>
      <c r="C158" s="2822"/>
      <c r="D158" s="2822"/>
      <c r="E158" s="3327"/>
      <c r="F158" s="3412"/>
      <c r="G158" s="2822"/>
      <c r="H158" s="2822"/>
      <c r="I158" s="2822"/>
    </row>
    <row r="159" spans="1:11" ht="13.2">
      <c r="A159" s="2103"/>
      <c r="B159" s="2103"/>
      <c r="C159" s="2103"/>
      <c r="D159" s="2103"/>
      <c r="E159" s="2106"/>
      <c r="F159" s="2107"/>
      <c r="G159" s="2106"/>
      <c r="H159" s="2106"/>
      <c r="I159" s="2106"/>
    </row>
    <row r="160" spans="1:11" ht="13.2">
      <c r="A160" s="3349">
        <f>A157+1</f>
        <v>12</v>
      </c>
      <c r="B160" s="2822"/>
      <c r="C160" s="3423">
        <v>0.27379999999999999</v>
      </c>
      <c r="D160" s="3346" t="s">
        <v>1322</v>
      </c>
      <c r="E160" s="3411">
        <f>ROUND(E157*C160,0)</f>
        <v>12990549</v>
      </c>
      <c r="F160" s="3410"/>
      <c r="G160" s="3411">
        <f>G157*$C$160</f>
        <v>12990549.150999999</v>
      </c>
      <c r="H160" s="3411">
        <f>H157*$C$160</f>
        <v>0</v>
      </c>
      <c r="I160" s="3411">
        <f>I157*$C$160</f>
        <v>12990549.150999999</v>
      </c>
      <c r="K160" s="3431" t="str">
        <f>IF(E160='SCH B-2.3'!K167,"BALANCED","ERROR")</f>
        <v>BALANCED</v>
      </c>
    </row>
    <row r="161" spans="1:11" ht="13.2">
      <c r="A161" s="2822"/>
      <c r="B161" s="2822"/>
      <c r="C161" s="2822"/>
      <c r="D161" s="2822"/>
      <c r="E161" s="3327"/>
      <c r="F161" s="3412"/>
      <c r="G161" s="2822"/>
      <c r="H161" s="2822"/>
      <c r="I161" s="2822"/>
    </row>
    <row r="162" spans="1:11" ht="13.2">
      <c r="A162" s="2103"/>
      <c r="B162" s="2103"/>
      <c r="C162" s="2103"/>
      <c r="D162" s="2103"/>
      <c r="E162" s="2106"/>
      <c r="F162" s="2107"/>
      <c r="G162" s="2106"/>
      <c r="H162" s="2106"/>
      <c r="I162" s="2106"/>
    </row>
    <row r="163" spans="1:11" ht="13.2">
      <c r="A163" s="3349">
        <f>A160+1</f>
        <v>13</v>
      </c>
      <c r="B163" s="2822"/>
      <c r="C163" s="2822"/>
      <c r="D163" s="3346" t="s">
        <v>1323</v>
      </c>
      <c r="E163" s="3411">
        <f>E120+E160</f>
        <v>578339358</v>
      </c>
      <c r="F163" s="3410"/>
      <c r="G163" s="3411">
        <f>G120+G160</f>
        <v>578339358.15100002</v>
      </c>
      <c r="H163" s="3411">
        <f>H120+H160</f>
        <v>-12331190</v>
      </c>
      <c r="I163" s="3411">
        <f>I120+I160</f>
        <v>566008168.15100002</v>
      </c>
      <c r="K163" s="3431" t="str">
        <f>IF(E163='SCH B-2.3'!K170,"BALANCED","ERROR")</f>
        <v>BALANCED</v>
      </c>
    </row>
    <row r="164" spans="1:11" ht="13.2">
      <c r="A164" s="2822"/>
      <c r="B164" s="2822"/>
      <c r="C164" s="2822"/>
      <c r="D164" s="2822"/>
      <c r="E164" s="2822"/>
      <c r="F164" s="3412"/>
      <c r="G164" s="2822"/>
      <c r="H164" s="2822"/>
      <c r="I164" s="2822"/>
    </row>
    <row r="165" spans="1:11" ht="13.2">
      <c r="A165" s="2103"/>
      <c r="B165" s="2103"/>
      <c r="C165" s="2103"/>
      <c r="D165" s="2103"/>
      <c r="E165" s="2106"/>
      <c r="F165" s="2107"/>
      <c r="G165" s="2106"/>
      <c r="H165" s="2106"/>
      <c r="I165" s="2106"/>
    </row>
    <row r="166" spans="1:11" ht="13.2">
      <c r="A166" s="3428"/>
      <c r="B166" s="3428"/>
      <c r="C166" s="3428"/>
      <c r="D166" s="3428"/>
      <c r="E166" s="3429"/>
      <c r="F166" s="3430"/>
      <c r="G166" s="3429"/>
      <c r="H166" s="3429"/>
      <c r="I166" s="3429"/>
    </row>
    <row r="167" spans="1:11" ht="13.2">
      <c r="A167" s="3344" t="str">
        <f>COMPANY</f>
        <v>DUKE ENERGY KENTUCKY, INC.</v>
      </c>
      <c r="B167" s="3345"/>
      <c r="C167" s="3345"/>
      <c r="D167" s="3406"/>
      <c r="E167" s="3345"/>
      <c r="F167" s="3407"/>
      <c r="G167" s="3408"/>
      <c r="H167" s="3408"/>
      <c r="I167" s="3408"/>
    </row>
    <row r="168" spans="1:11" ht="13.2">
      <c r="A168" s="3344" t="str">
        <f>CASE</f>
        <v>CASE NO. 2018-00261</v>
      </c>
      <c r="B168" s="3345"/>
      <c r="C168" s="3345"/>
      <c r="D168" s="3406"/>
      <c r="E168" s="3345"/>
      <c r="F168" s="3409"/>
      <c r="G168" s="3408"/>
      <c r="H168" s="3408"/>
      <c r="I168" s="3408"/>
    </row>
    <row r="169" spans="1:11" ht="13.2">
      <c r="A169" s="3344" t="s">
        <v>1146</v>
      </c>
      <c r="B169" s="3345"/>
      <c r="C169" s="3345"/>
      <c r="D169" s="3406"/>
      <c r="E169" s="3345"/>
      <c r="F169" s="3407"/>
      <c r="G169" s="3408"/>
      <c r="H169" s="3408"/>
      <c r="I169" s="3408"/>
    </row>
    <row r="170" spans="1:11" ht="13.2">
      <c r="A170" s="1625" t="str">
        <f>"AS OF " &amp;RIGHT(Forecast,(LEN(Forecast)-16))</f>
        <v>AS OF MARCH 31, 2020</v>
      </c>
      <c r="B170" s="3345"/>
      <c r="C170" s="3345"/>
      <c r="D170" s="3406"/>
      <c r="E170" s="3345"/>
      <c r="F170" s="3407"/>
      <c r="G170" s="3408"/>
      <c r="H170" s="3408"/>
      <c r="I170" s="3408"/>
    </row>
    <row r="171" spans="1:11" ht="13.2">
      <c r="A171" s="3345"/>
      <c r="B171" s="3345"/>
      <c r="C171" s="3345"/>
      <c r="D171" s="3406"/>
      <c r="E171" s="3345"/>
      <c r="F171" s="3407"/>
      <c r="G171" s="3408"/>
      <c r="H171" s="3408"/>
      <c r="I171" s="3408"/>
    </row>
    <row r="172" spans="1:11" ht="13.2">
      <c r="A172" s="3344" t="s">
        <v>1147</v>
      </c>
      <c r="B172" s="3345"/>
      <c r="C172" s="3345"/>
      <c r="D172" s="3406"/>
      <c r="E172" s="3345"/>
      <c r="F172" s="3407"/>
      <c r="G172" s="3408"/>
      <c r="H172" s="3408"/>
      <c r="I172" s="3408"/>
    </row>
    <row r="173" spans="1:11" ht="13.2">
      <c r="A173" s="3325"/>
      <c r="B173" s="3345"/>
      <c r="C173" s="3345"/>
      <c r="D173" s="3406"/>
      <c r="E173" s="3345"/>
      <c r="F173" s="3407"/>
      <c r="G173" s="3408"/>
      <c r="H173" s="3408"/>
      <c r="I173" s="3408"/>
    </row>
    <row r="174" spans="1:11" ht="13.2">
      <c r="A174" s="2822"/>
      <c r="B174" s="2822"/>
      <c r="C174" s="2822"/>
      <c r="D174" s="2822"/>
      <c r="E174" s="2822"/>
      <c r="F174" s="3410"/>
      <c r="G174" s="3411"/>
      <c r="H174" s="3411"/>
      <c r="I174" s="3411"/>
    </row>
    <row r="175" spans="1:11" ht="13.2">
      <c r="A175" s="2822"/>
      <c r="B175" s="2822"/>
      <c r="C175" s="2822"/>
      <c r="D175" s="2822"/>
      <c r="E175" s="2822"/>
      <c r="F175" s="3412"/>
      <c r="G175" s="2822"/>
      <c r="H175" s="2822"/>
      <c r="I175" s="2822"/>
    </row>
    <row r="176" spans="1:11" ht="13.2">
      <c r="A176" s="3346" t="str">
        <f>DataF</f>
        <v>DATA:  BASE PERIOD  "X" FORECASTED PERIOD</v>
      </c>
      <c r="B176" s="2822"/>
      <c r="C176" s="2822"/>
      <c r="D176" s="2822"/>
      <c r="E176" s="3411"/>
      <c r="F176" s="3410"/>
      <c r="G176" s="3411"/>
      <c r="H176" s="3413" t="s">
        <v>1148</v>
      </c>
      <c r="I176" s="3411"/>
    </row>
    <row r="177" spans="1:9" ht="13.2">
      <c r="A177" s="3346" t="str">
        <f>Type</f>
        <v xml:space="preserve">TYPE OF FILING:  "X" ORIGINAL   UPDATED    REVISED  </v>
      </c>
      <c r="B177" s="2822"/>
      <c r="C177" s="2822"/>
      <c r="D177" s="2822"/>
      <c r="E177" s="3411"/>
      <c r="F177" s="3410"/>
      <c r="G177" s="3411"/>
      <c r="H177" s="3413" t="s">
        <v>500</v>
      </c>
      <c r="I177" s="3411"/>
    </row>
    <row r="178" spans="1:9" ht="13.2">
      <c r="A178" s="3346" t="s">
        <v>930</v>
      </c>
      <c r="B178" s="2822"/>
      <c r="C178" s="2822"/>
      <c r="D178" s="2822"/>
      <c r="E178" s="3411"/>
      <c r="F178" s="3410"/>
      <c r="G178" s="3411"/>
      <c r="H178" s="3413" t="s">
        <v>566</v>
      </c>
      <c r="I178" s="3411"/>
    </row>
    <row r="179" spans="1:9" ht="13.2">
      <c r="A179" s="2822"/>
      <c r="B179" s="2822"/>
      <c r="C179" s="2822"/>
      <c r="D179" s="2822"/>
      <c r="E179" s="3411"/>
      <c r="F179" s="3410"/>
      <c r="G179" s="3411"/>
      <c r="H179" s="3347" t="str">
        <f>_WIT7</f>
        <v>R. H. PRATT / C. S. LEE</v>
      </c>
      <c r="I179" s="3411"/>
    </row>
    <row r="180" spans="1:9" ht="13.2">
      <c r="A180" s="2822"/>
      <c r="B180" s="2822"/>
      <c r="C180" s="2822"/>
      <c r="D180" s="2822"/>
      <c r="E180" s="3411"/>
      <c r="F180" s="3410"/>
      <c r="G180" s="3411"/>
      <c r="H180" s="3411"/>
      <c r="I180" s="3411"/>
    </row>
    <row r="181" spans="1:9" ht="13.2">
      <c r="A181" s="2822"/>
      <c r="B181" s="2822"/>
      <c r="C181" s="2822"/>
      <c r="D181" s="2822"/>
      <c r="E181" s="3411"/>
      <c r="F181" s="3410"/>
      <c r="G181" s="3411"/>
      <c r="H181" s="3411"/>
      <c r="I181" s="3411"/>
    </row>
    <row r="182" spans="1:9" ht="13.2">
      <c r="A182" s="2103"/>
      <c r="B182" s="2104"/>
      <c r="C182" s="2105"/>
      <c r="D182" s="2103"/>
      <c r="E182" s="2106"/>
      <c r="F182" s="2107"/>
      <c r="G182" s="2106"/>
      <c r="H182" s="2106"/>
      <c r="I182" s="2119" t="s">
        <v>621</v>
      </c>
    </row>
    <row r="183" spans="1:9" ht="13.2">
      <c r="A183" s="2108"/>
      <c r="B183" s="2109" t="s">
        <v>1041</v>
      </c>
      <c r="C183" s="2109" t="s">
        <v>2137</v>
      </c>
      <c r="D183" s="2108"/>
      <c r="E183" s="2110" t="s">
        <v>621</v>
      </c>
      <c r="F183" s="2111"/>
      <c r="G183" s="2112"/>
      <c r="H183" s="2120" t="s">
        <v>621</v>
      </c>
      <c r="I183" s="2120" t="s">
        <v>799</v>
      </c>
    </row>
    <row r="184" spans="1:9" ht="13.2">
      <c r="A184" s="3349" t="s">
        <v>1938</v>
      </c>
      <c r="B184" s="3349" t="s">
        <v>1150</v>
      </c>
      <c r="C184" s="3349" t="s">
        <v>1150</v>
      </c>
      <c r="D184" s="2822"/>
      <c r="E184" s="2109" t="s">
        <v>799</v>
      </c>
      <c r="F184" s="3414" t="s">
        <v>1898</v>
      </c>
      <c r="G184" s="3337" t="s">
        <v>1898</v>
      </c>
      <c r="H184" s="3337" t="s">
        <v>799</v>
      </c>
      <c r="I184" s="3337" t="s">
        <v>572</v>
      </c>
    </row>
    <row r="185" spans="1:9" ht="13.2">
      <c r="A185" s="3349" t="s">
        <v>1939</v>
      </c>
      <c r="B185" s="3349" t="s">
        <v>1939</v>
      </c>
      <c r="C185" s="3349" t="s">
        <v>1939</v>
      </c>
      <c r="D185" s="3349" t="s">
        <v>1151</v>
      </c>
      <c r="E185" s="3417" t="s">
        <v>1234</v>
      </c>
      <c r="F185" s="3418" t="s">
        <v>2097</v>
      </c>
      <c r="G185" s="3419" t="s">
        <v>2153</v>
      </c>
      <c r="H185" s="3419" t="s">
        <v>571</v>
      </c>
      <c r="I185" s="3419" t="s">
        <v>1357</v>
      </c>
    </row>
    <row r="186" spans="1:9" ht="13.2">
      <c r="A186" s="2103"/>
      <c r="B186" s="2103"/>
      <c r="C186" s="2103"/>
      <c r="D186" s="2103"/>
      <c r="E186" s="3337" t="s">
        <v>695</v>
      </c>
      <c r="F186" s="3412"/>
      <c r="G186" s="3337" t="s">
        <v>695</v>
      </c>
      <c r="H186" s="3337" t="s">
        <v>695</v>
      </c>
      <c r="I186" s="3337" t="s">
        <v>695</v>
      </c>
    </row>
    <row r="187" spans="1:9" ht="13.2">
      <c r="A187" s="3349" t="s">
        <v>749</v>
      </c>
      <c r="B187" s="2822"/>
      <c r="C187" s="2822"/>
      <c r="D187" s="2822"/>
    </row>
    <row r="188" spans="1:9" ht="13.2">
      <c r="A188" s="3349" t="s">
        <v>1152</v>
      </c>
      <c r="B188" s="3349" t="str">
        <f>'SCH B-2.3'!B196</f>
        <v>304</v>
      </c>
      <c r="C188" s="3349">
        <f>'SCH B-2.3'!C196</f>
        <v>20400</v>
      </c>
      <c r="D188" s="2118" t="str">
        <f>'SCH B-2.3'!D196</f>
        <v>Land and Land Rights</v>
      </c>
      <c r="E188" s="3411">
        <f>'SCH B-2.3'!L196</f>
        <v>117711</v>
      </c>
      <c r="F188" s="3410">
        <v>1</v>
      </c>
      <c r="G188" s="3411">
        <f>ROUND((E188*F188),0)</f>
        <v>117711</v>
      </c>
      <c r="H188" s="3411">
        <f>-'SCH B-2.2'!G77</f>
        <v>-75570</v>
      </c>
      <c r="I188" s="3411">
        <f>G188+H188</f>
        <v>42141</v>
      </c>
    </row>
    <row r="189" spans="1:9" ht="13.2">
      <c r="A189" s="3349">
        <f>1+A188</f>
        <v>2</v>
      </c>
      <c r="B189" s="3349" t="str">
        <f>'SCH B-2.3'!B197</f>
        <v>304</v>
      </c>
      <c r="C189" s="3349">
        <f>'SCH B-2.3'!C197</f>
        <v>20401</v>
      </c>
      <c r="D189" s="2118" t="str">
        <f>'SCH B-2.3'!D197</f>
        <v>Rights of Way</v>
      </c>
      <c r="E189" s="3411">
        <f>'SCH B-2.3'!L197</f>
        <v>24459</v>
      </c>
      <c r="F189" s="3410">
        <v>1</v>
      </c>
      <c r="G189" s="3411">
        <f>ROUND((E189*F189),0)</f>
        <v>24459</v>
      </c>
      <c r="H189" s="3411">
        <f>-'SCH B-2.2'!G78</f>
        <v>-15703</v>
      </c>
      <c r="I189" s="3411">
        <f>G189+H189</f>
        <v>8756</v>
      </c>
    </row>
    <row r="190" spans="1:9" ht="13.2">
      <c r="A190" s="3349">
        <f>1+A189</f>
        <v>3</v>
      </c>
      <c r="B190" s="3349" t="str">
        <f>'SCH B-2.3'!B198</f>
        <v>305</v>
      </c>
      <c r="C190" s="3349">
        <f>'SCH B-2.3'!C198</f>
        <v>20500</v>
      </c>
      <c r="D190" s="2118" t="str">
        <f>'SCH B-2.3'!D198</f>
        <v>Structures &amp; Improvements</v>
      </c>
      <c r="E190" s="3411">
        <f>'SCH B-2.3'!L198</f>
        <v>1722764</v>
      </c>
      <c r="F190" s="3410">
        <v>1</v>
      </c>
      <c r="G190" s="3411">
        <f>ROUND((E190*F190),0)</f>
        <v>1722764</v>
      </c>
      <c r="H190" s="3411">
        <f>-'SCH B-2.2'!G79</f>
        <v>-1106014</v>
      </c>
      <c r="I190" s="3411">
        <f>G190+H190</f>
        <v>616750</v>
      </c>
    </row>
    <row r="191" spans="1:9" ht="13.2">
      <c r="A191" s="3349">
        <f>1+A190</f>
        <v>4</v>
      </c>
      <c r="B191" s="3349" t="str">
        <f>'SCH B-2.3'!B199</f>
        <v>311</v>
      </c>
      <c r="C191" s="3349">
        <f>'SCH B-2.3'!C199</f>
        <v>21100</v>
      </c>
      <c r="D191" s="2118" t="str">
        <f>'SCH B-2.3'!D199</f>
        <v>Liquefied Petroleum Gas Equipment</v>
      </c>
      <c r="E191" s="3411">
        <f>'SCH B-2.3'!L199</f>
        <v>5955198</v>
      </c>
      <c r="F191" s="3410">
        <v>1</v>
      </c>
      <c r="G191" s="3411">
        <f>ROUND((E191*F191),0)</f>
        <v>5955198</v>
      </c>
      <c r="H191" s="3411">
        <f>-'SCH B-2.2'!G80</f>
        <v>-3823237</v>
      </c>
      <c r="I191" s="3411">
        <f>G191+H191</f>
        <v>2131961</v>
      </c>
    </row>
    <row r="192" spans="1:9" ht="13.2">
      <c r="A192" s="3349"/>
      <c r="B192" s="2822"/>
      <c r="C192" s="2822"/>
      <c r="D192" s="3346"/>
      <c r="E192" s="3424"/>
      <c r="F192" s="3410"/>
      <c r="G192" s="3411"/>
      <c r="H192" s="3411"/>
      <c r="I192" s="3411"/>
    </row>
    <row r="193" spans="1:11" ht="13.2">
      <c r="A193" s="2822"/>
      <c r="B193" s="2822"/>
      <c r="C193" s="2822"/>
      <c r="D193" s="2822"/>
      <c r="E193" s="2822"/>
      <c r="F193" s="3412"/>
      <c r="G193" s="2822"/>
      <c r="H193" s="2822"/>
      <c r="I193" s="2822"/>
    </row>
    <row r="194" spans="1:11" ht="13.2">
      <c r="A194" s="2103"/>
      <c r="B194" s="2103"/>
      <c r="C194" s="2103"/>
      <c r="D194" s="2103"/>
      <c r="E194" s="2103"/>
      <c r="F194" s="2113"/>
      <c r="G194" s="2103"/>
      <c r="H194" s="2103"/>
      <c r="I194" s="2103"/>
    </row>
    <row r="195" spans="1:11" ht="13.2">
      <c r="A195" s="3349">
        <f>A191+1</f>
        <v>5</v>
      </c>
      <c r="B195" s="2822"/>
      <c r="C195" s="2822"/>
      <c r="D195" s="3346" t="s">
        <v>1163</v>
      </c>
      <c r="E195" s="3411">
        <f>SUM(E188:E191)</f>
        <v>7820132</v>
      </c>
      <c r="F195" s="3410"/>
      <c r="G195" s="3411">
        <f>SUM(G188:G191)</f>
        <v>7820132</v>
      </c>
      <c r="H195" s="3411">
        <f>SUM(H188:H191)</f>
        <v>-5020524</v>
      </c>
      <c r="I195" s="3411">
        <f>SUM(I188:I191)</f>
        <v>2799608</v>
      </c>
      <c r="K195" s="3431" t="str">
        <f>IF(E195='SCH B-2.3'!L204,"BALANCED","ERROR")</f>
        <v>BALANCED</v>
      </c>
    </row>
    <row r="196" spans="1:11" ht="13.2">
      <c r="A196" s="2822"/>
      <c r="B196" s="2822"/>
      <c r="C196" s="2822"/>
      <c r="D196" s="2822"/>
      <c r="E196" s="3411"/>
      <c r="F196" s="3410"/>
      <c r="G196" s="3411"/>
      <c r="H196" s="3411"/>
      <c r="I196" s="3411"/>
    </row>
    <row r="197" spans="1:11" ht="13.2">
      <c r="A197" s="2103"/>
      <c r="B197" s="2103"/>
      <c r="C197" s="2103"/>
      <c r="D197" s="2103"/>
      <c r="E197" s="2103"/>
      <c r="F197" s="2113"/>
      <c r="G197" s="2103"/>
      <c r="H197" s="2103"/>
      <c r="I197" s="2103"/>
    </row>
    <row r="198" spans="1:11" ht="13.2">
      <c r="A198" s="2822"/>
      <c r="B198" s="2822"/>
      <c r="C198" s="2822"/>
      <c r="D198" s="2822"/>
      <c r="E198" s="2822"/>
      <c r="F198" s="3412"/>
      <c r="G198" s="2822"/>
      <c r="H198" s="2822"/>
      <c r="I198" s="2822"/>
    </row>
    <row r="199" spans="1:11" ht="13.2">
      <c r="A199" s="3344" t="str">
        <f>A167</f>
        <v>DUKE ENERGY KENTUCKY, INC.</v>
      </c>
      <c r="B199" s="3345"/>
      <c r="C199" s="3345"/>
      <c r="D199" s="3344"/>
      <c r="E199" s="3345"/>
      <c r="F199" s="3409"/>
      <c r="G199" s="3345"/>
      <c r="H199" s="3345"/>
      <c r="I199" s="3345"/>
    </row>
    <row r="200" spans="1:11" ht="13.2">
      <c r="A200" s="3344" t="str">
        <f>A168</f>
        <v>CASE NO. 2018-00261</v>
      </c>
      <c r="B200" s="3345"/>
      <c r="C200" s="3345"/>
      <c r="D200" s="3344"/>
      <c r="E200" s="3345"/>
      <c r="F200" s="3409"/>
      <c r="G200" s="3345"/>
      <c r="H200" s="3345"/>
      <c r="I200" s="3345"/>
    </row>
    <row r="201" spans="1:11" ht="13.2">
      <c r="A201" s="3344" t="str">
        <f>A169</f>
        <v>PLANT IN SERVICE BY ACCOUNTS AND SUBACCOUNTS</v>
      </c>
      <c r="B201" s="3345"/>
      <c r="C201" s="3345"/>
      <c r="D201" s="3344"/>
      <c r="E201" s="3345"/>
      <c r="F201" s="3409"/>
      <c r="G201" s="3345"/>
      <c r="H201" s="3345"/>
      <c r="I201" s="3345"/>
    </row>
    <row r="202" spans="1:11" ht="13.2">
      <c r="A202" s="1625" t="str">
        <f>"AS OF " &amp;RIGHT(Forecast,(LEN(Forecast)-16))</f>
        <v>AS OF MARCH 31, 2020</v>
      </c>
      <c r="B202" s="3345"/>
      <c r="C202" s="3345"/>
      <c r="D202" s="3344"/>
      <c r="E202" s="3345"/>
      <c r="F202" s="3409"/>
      <c r="G202" s="3345"/>
      <c r="H202" s="3345"/>
      <c r="I202" s="3345"/>
    </row>
    <row r="203" spans="1:11" ht="13.2">
      <c r="A203" s="3345"/>
      <c r="B203" s="3345"/>
      <c r="C203" s="3345"/>
      <c r="D203" s="3345"/>
      <c r="E203" s="3345"/>
      <c r="F203" s="3409"/>
      <c r="G203" s="3345"/>
      <c r="H203" s="3345"/>
      <c r="I203" s="3345"/>
    </row>
    <row r="204" spans="1:11" ht="13.2">
      <c r="A204" s="3344" t="s">
        <v>1164</v>
      </c>
      <c r="B204" s="3345"/>
      <c r="C204" s="3345"/>
      <c r="D204" s="3344"/>
      <c r="E204" s="3345"/>
      <c r="F204" s="3409"/>
      <c r="G204" s="3345"/>
      <c r="H204" s="3345"/>
      <c r="I204" s="3345"/>
    </row>
    <row r="205" spans="1:11" ht="13.2">
      <c r="A205" s="3325"/>
      <c r="B205" s="3345"/>
      <c r="C205" s="3345"/>
      <c r="D205" s="3344"/>
      <c r="E205" s="3345"/>
      <c r="F205" s="3409"/>
      <c r="G205" s="3345"/>
      <c r="H205" s="3345"/>
      <c r="I205" s="3345"/>
    </row>
    <row r="206" spans="1:11" ht="13.2">
      <c r="A206" s="3421"/>
      <c r="B206" s="2822"/>
      <c r="C206" s="2822"/>
      <c r="D206" s="2822"/>
      <c r="E206" s="2822"/>
      <c r="F206" s="3412"/>
      <c r="G206" s="2822"/>
      <c r="H206" s="2822"/>
      <c r="I206" s="2822"/>
    </row>
    <row r="207" spans="1:11" ht="13.2">
      <c r="A207" s="3421"/>
      <c r="B207" s="2822"/>
      <c r="C207" s="2822"/>
      <c r="D207" s="2822"/>
      <c r="E207" s="2822"/>
      <c r="F207" s="3412"/>
      <c r="G207" s="2822"/>
      <c r="H207" s="3413" t="str">
        <f>H176</f>
        <v>SCHEDULE B-2.1</v>
      </c>
      <c r="I207" s="2822"/>
    </row>
    <row r="208" spans="1:11" ht="13.2">
      <c r="A208" s="3346" t="str">
        <f>A176</f>
        <v>DATA:  BASE PERIOD  "X" FORECASTED PERIOD</v>
      </c>
      <c r="B208" s="2822"/>
      <c r="C208" s="2822"/>
      <c r="D208" s="2822"/>
      <c r="E208" s="2822"/>
      <c r="F208" s="3412"/>
      <c r="G208" s="2822"/>
      <c r="H208" s="3413" t="s">
        <v>501</v>
      </c>
      <c r="I208" s="2822"/>
    </row>
    <row r="209" spans="1:9" ht="13.2">
      <c r="A209" s="3346" t="str">
        <f>A177</f>
        <v xml:space="preserve">TYPE OF FILING:  "X" ORIGINAL   UPDATED    REVISED  </v>
      </c>
      <c r="B209" s="2822"/>
      <c r="C209" s="2822"/>
      <c r="D209" s="2822"/>
      <c r="E209" s="2822"/>
      <c r="F209" s="3412"/>
      <c r="G209" s="2822"/>
      <c r="H209" s="3413" t="s">
        <v>566</v>
      </c>
      <c r="I209" s="2822"/>
    </row>
    <row r="210" spans="1:9" ht="13.2">
      <c r="A210" s="3346" t="str">
        <f>A178</f>
        <v>WORK PAPER REFERENCE NO(S).: SCHEDULE B-2.2, SCHEDULE B-2.3</v>
      </c>
      <c r="B210" s="2822"/>
      <c r="C210" s="2822"/>
      <c r="D210" s="2822"/>
      <c r="E210" s="2822"/>
      <c r="F210" s="3412"/>
      <c r="G210" s="2822"/>
      <c r="H210" s="3347" t="str">
        <f>H179</f>
        <v>R. H. PRATT / C. S. LEE</v>
      </c>
      <c r="I210" s="2822"/>
    </row>
    <row r="211" spans="1:9" ht="13.2">
      <c r="A211" s="2822"/>
      <c r="B211" s="2822"/>
      <c r="C211" s="2822"/>
      <c r="D211" s="2822"/>
      <c r="E211" s="2822"/>
      <c r="F211" s="3412"/>
      <c r="G211" s="2822"/>
      <c r="H211" s="2822"/>
      <c r="I211" s="2822"/>
    </row>
    <row r="212" spans="1:9" ht="13.2">
      <c r="A212" s="2822"/>
      <c r="B212" s="2822"/>
      <c r="C212" s="2822"/>
      <c r="D212" s="2822"/>
      <c r="E212" s="2822"/>
      <c r="F212" s="3412"/>
      <c r="G212" s="2822"/>
      <c r="H212" s="2822"/>
      <c r="I212" s="2822"/>
    </row>
    <row r="213" spans="1:9" ht="13.2">
      <c r="A213" s="2822"/>
      <c r="B213" s="2822"/>
      <c r="C213" s="2822"/>
      <c r="D213" s="2822"/>
      <c r="E213" s="2822"/>
      <c r="F213" s="3412"/>
      <c r="G213" s="2822"/>
      <c r="H213" s="2822"/>
      <c r="I213" s="2822"/>
    </row>
    <row r="214" spans="1:9" ht="13.2">
      <c r="A214" s="2103"/>
      <c r="B214" s="2114"/>
      <c r="C214" s="2115"/>
      <c r="D214" s="2103"/>
      <c r="E214" s="2103"/>
      <c r="F214" s="2113"/>
      <c r="G214" s="2103"/>
      <c r="H214" s="2106"/>
      <c r="I214" s="2119" t="s">
        <v>621</v>
      </c>
    </row>
    <row r="215" spans="1:9" ht="13.2">
      <c r="A215" s="2108"/>
      <c r="B215" s="2116" t="s">
        <v>1041</v>
      </c>
      <c r="C215" s="2116" t="s">
        <v>2137</v>
      </c>
      <c r="D215" s="2108"/>
      <c r="E215" s="2110" t="s">
        <v>621</v>
      </c>
      <c r="F215" s="2117"/>
      <c r="G215" s="2108"/>
      <c r="H215" s="2120" t="s">
        <v>621</v>
      </c>
      <c r="I215" s="2120" t="s">
        <v>799</v>
      </c>
    </row>
    <row r="216" spans="1:9" ht="13.2">
      <c r="A216" s="3349" t="s">
        <v>1938</v>
      </c>
      <c r="B216" s="3349" t="s">
        <v>1150</v>
      </c>
      <c r="C216" s="3349" t="s">
        <v>1150</v>
      </c>
      <c r="D216" s="2822"/>
      <c r="E216" s="2109" t="s">
        <v>799</v>
      </c>
      <c r="F216" s="3414" t="s">
        <v>1898</v>
      </c>
      <c r="G216" s="3349" t="s">
        <v>1898</v>
      </c>
      <c r="H216" s="3337" t="s">
        <v>799</v>
      </c>
      <c r="I216" s="3337" t="s">
        <v>572</v>
      </c>
    </row>
    <row r="217" spans="1:9" ht="13.2">
      <c r="A217" s="3349" t="s">
        <v>1939</v>
      </c>
      <c r="B217" s="3349" t="s">
        <v>1939</v>
      </c>
      <c r="C217" s="3349" t="s">
        <v>1939</v>
      </c>
      <c r="D217" s="3349" t="s">
        <v>1151</v>
      </c>
      <c r="E217" s="3417" t="s">
        <v>1234</v>
      </c>
      <c r="F217" s="3418" t="s">
        <v>2097</v>
      </c>
      <c r="G217" s="3417" t="s">
        <v>2153</v>
      </c>
      <c r="H217" s="3419" t="s">
        <v>571</v>
      </c>
      <c r="I217" s="3419" t="s">
        <v>1357</v>
      </c>
    </row>
    <row r="218" spans="1:9" ht="13.2">
      <c r="A218" s="2103"/>
      <c r="B218" s="2103"/>
      <c r="C218" s="2103"/>
      <c r="D218" s="2103"/>
      <c r="E218" s="3337" t="s">
        <v>695</v>
      </c>
      <c r="F218" s="3412"/>
      <c r="G218" s="3349" t="s">
        <v>695</v>
      </c>
      <c r="H218" s="3349" t="s">
        <v>695</v>
      </c>
      <c r="I218" s="3349" t="s">
        <v>695</v>
      </c>
    </row>
    <row r="219" spans="1:9" ht="13.2">
      <c r="A219" s="3349" t="s">
        <v>749</v>
      </c>
      <c r="B219" s="2822"/>
      <c r="C219" s="2822"/>
      <c r="D219" s="2822"/>
    </row>
    <row r="220" spans="1:9" ht="13.2">
      <c r="A220" s="3349">
        <v>1</v>
      </c>
      <c r="B220" s="3349" t="str">
        <f>'SCH B-2.3'!B230</f>
        <v>374</v>
      </c>
      <c r="C220" s="3349">
        <f>'SCH B-2.3'!C230</f>
        <v>27400</v>
      </c>
      <c r="D220" s="2118" t="str">
        <f>'SCH B-2.3'!D230</f>
        <v>Land and Land Rights</v>
      </c>
      <c r="E220" s="3411">
        <f>'SCH B-2.3'!L230</f>
        <v>43358</v>
      </c>
      <c r="F220" s="3410">
        <v>1</v>
      </c>
      <c r="G220" s="3411">
        <f t="shared" ref="G220:G240" si="17">ROUND((E220*F220),0)</f>
        <v>43358</v>
      </c>
      <c r="H220" s="3422">
        <f>-'SCH B-2.2'!G87</f>
        <v>-2326</v>
      </c>
      <c r="I220" s="3411">
        <f t="shared" ref="I220:I241" si="18">G220+H220</f>
        <v>41032</v>
      </c>
    </row>
    <row r="221" spans="1:9" ht="13.2">
      <c r="A221" s="3349">
        <f>1+A220</f>
        <v>2</v>
      </c>
      <c r="B221" s="3349" t="str">
        <f>'SCH B-2.3'!B231</f>
        <v>374</v>
      </c>
      <c r="C221" s="3349">
        <f>'SCH B-2.3'!C231</f>
        <v>27401</v>
      </c>
      <c r="D221" s="2118" t="str">
        <f>'SCH B-2.3'!D231</f>
        <v>Rights of Way</v>
      </c>
      <c r="E221" s="3411">
        <f>'SCH B-2.3'!L231</f>
        <v>1095119</v>
      </c>
      <c r="F221" s="3410">
        <v>1</v>
      </c>
      <c r="G221" s="3411">
        <f t="shared" si="17"/>
        <v>1095119</v>
      </c>
      <c r="H221" s="3422">
        <f>-'SCH B-2.2'!G88</f>
        <v>-228817</v>
      </c>
      <c r="I221" s="3411">
        <f t="shared" si="18"/>
        <v>866302</v>
      </c>
    </row>
    <row r="222" spans="1:9" ht="13.2">
      <c r="A222" s="3349">
        <f t="shared" ref="A222:A242" si="19">1+A221</f>
        <v>3</v>
      </c>
      <c r="B222" s="3349" t="str">
        <f>'SCH B-2.3'!B232</f>
        <v>375</v>
      </c>
      <c r="C222" s="3349">
        <f>'SCH B-2.3'!C232</f>
        <v>27500</v>
      </c>
      <c r="D222" s="2118" t="str">
        <f>'SCH B-2.3'!D232</f>
        <v>Structures &amp; Improvements</v>
      </c>
      <c r="E222" s="3411">
        <f>'SCH B-2.3'!L232</f>
        <v>577522</v>
      </c>
      <c r="F222" s="3410">
        <v>1</v>
      </c>
      <c r="G222" s="3411">
        <f t="shared" si="17"/>
        <v>577522</v>
      </c>
      <c r="H222" s="3422">
        <f>-'SCH B-2.2'!G89</f>
        <v>-24463</v>
      </c>
      <c r="I222" s="3411">
        <f t="shared" si="18"/>
        <v>553059</v>
      </c>
    </row>
    <row r="223" spans="1:9" ht="13.2">
      <c r="A223" s="3349">
        <f t="shared" si="19"/>
        <v>4</v>
      </c>
      <c r="B223" s="3349" t="str">
        <f>'SCH B-2.3'!B233</f>
        <v>376</v>
      </c>
      <c r="C223" s="3349">
        <f>'SCH B-2.3'!C233</f>
        <v>27601</v>
      </c>
      <c r="D223" s="2118" t="str">
        <f>'SCH B-2.3'!D233</f>
        <v>Mains - Cast Iron &amp; Copper</v>
      </c>
      <c r="E223" s="3411">
        <f>'SCH B-2.3'!L233</f>
        <v>982749</v>
      </c>
      <c r="F223" s="3410">
        <v>1</v>
      </c>
      <c r="G223" s="3411">
        <f t="shared" si="17"/>
        <v>982749</v>
      </c>
      <c r="H223" s="3422"/>
      <c r="I223" s="3411">
        <f t="shared" si="18"/>
        <v>982749</v>
      </c>
    </row>
    <row r="224" spans="1:9" ht="13.2">
      <c r="A224" s="3349">
        <f t="shared" si="19"/>
        <v>5</v>
      </c>
      <c r="B224" s="3349" t="str">
        <f>'SCH B-2.3'!B234</f>
        <v>376</v>
      </c>
      <c r="C224" s="3349" t="str">
        <f>'SCH B-2.3'!C234</f>
        <v>27602,27607</v>
      </c>
      <c r="D224" s="2118" t="str">
        <f>'SCH B-2.3'!D234</f>
        <v>Mains - Steel</v>
      </c>
      <c r="E224" s="3411">
        <f>'SCH B-2.3'!L234</f>
        <v>105664083</v>
      </c>
      <c r="F224" s="3410">
        <v>1</v>
      </c>
      <c r="G224" s="3411">
        <f t="shared" si="17"/>
        <v>105664083</v>
      </c>
      <c r="H224" s="3422">
        <f>-'SCH B-2.2'!G90</f>
        <v>-300942</v>
      </c>
      <c r="I224" s="3411">
        <f t="shared" si="18"/>
        <v>105363141</v>
      </c>
    </row>
    <row r="225" spans="1:9" ht="13.2">
      <c r="A225" s="3349">
        <f t="shared" si="19"/>
        <v>6</v>
      </c>
      <c r="B225" s="3349" t="str">
        <f>'SCH B-2.3'!B235</f>
        <v>376</v>
      </c>
      <c r="C225" s="3349" t="str">
        <f>'SCH B-2.3'!C235</f>
        <v>27603,27608</v>
      </c>
      <c r="D225" s="2118" t="str">
        <f>'SCH B-2.3'!D235</f>
        <v>Mains - Plastic</v>
      </c>
      <c r="E225" s="3411">
        <f>'SCH B-2.3'!L235</f>
        <v>149762955</v>
      </c>
      <c r="F225" s="3410">
        <v>1</v>
      </c>
      <c r="G225" s="3411">
        <f t="shared" si="17"/>
        <v>149762955</v>
      </c>
      <c r="H225" s="3422"/>
      <c r="I225" s="3411">
        <f t="shared" si="18"/>
        <v>149762955</v>
      </c>
    </row>
    <row r="226" spans="1:9" ht="13.2">
      <c r="A226" s="3349">
        <f t="shared" si="19"/>
        <v>7</v>
      </c>
      <c r="B226" s="3349" t="str">
        <f>'SCH B-2.3'!B236</f>
        <v>376</v>
      </c>
      <c r="C226" s="3349">
        <f>'SCH B-2.3'!C236</f>
        <v>27605</v>
      </c>
      <c r="D226" s="2118" t="str">
        <f>'SCH B-2.3'!D236</f>
        <v>Mains - Feeder</v>
      </c>
      <c r="E226" s="3411">
        <f>'SCH B-2.3'!L236</f>
        <v>33530313</v>
      </c>
      <c r="F226" s="3410">
        <v>1</v>
      </c>
      <c r="G226" s="3411">
        <f t="shared" si="17"/>
        <v>33530313</v>
      </c>
      <c r="H226" s="3422">
        <f>-'SCH B-2.2'!G91</f>
        <v>-6192503</v>
      </c>
      <c r="I226" s="3411">
        <f t="shared" si="18"/>
        <v>27337810</v>
      </c>
    </row>
    <row r="227" spans="1:9" ht="13.2">
      <c r="A227" s="3349">
        <f>1+A226</f>
        <v>8</v>
      </c>
      <c r="B227" s="3349" t="str">
        <f>'SCH B-2.3'!B237</f>
        <v>378</v>
      </c>
      <c r="C227" s="3349">
        <f>'SCH B-2.3'!C237</f>
        <v>27800</v>
      </c>
      <c r="D227" s="2118" t="str">
        <f>'SCH B-2.3'!D237</f>
        <v>System Meas. &amp; Reg. Station Equipment</v>
      </c>
      <c r="E227" s="3411">
        <f>'SCH B-2.3'!L237</f>
        <v>7349417</v>
      </c>
      <c r="F227" s="3410">
        <v>1</v>
      </c>
      <c r="G227" s="3411">
        <f t="shared" si="17"/>
        <v>7349417</v>
      </c>
      <c r="H227" s="3422">
        <f>-'SCH B-2.2'!G92</f>
        <v>-186887</v>
      </c>
      <c r="I227" s="3411">
        <f t="shared" si="18"/>
        <v>7162530</v>
      </c>
    </row>
    <row r="228" spans="1:9" ht="13.2">
      <c r="A228" s="3349">
        <f t="shared" si="19"/>
        <v>9</v>
      </c>
      <c r="B228" s="3349" t="str">
        <f>'SCH B-2.3'!B238</f>
        <v>378</v>
      </c>
      <c r="C228" s="3349">
        <f>'SCH B-2.3'!C238</f>
        <v>27801</v>
      </c>
      <c r="D228" s="2118" t="str">
        <f>'SCH B-2.3'!D238</f>
        <v>System Meas. &amp; Reg. Station Equipment - Electric</v>
      </c>
      <c r="E228" s="3411">
        <f>'SCH B-2.3'!L238</f>
        <v>1293157</v>
      </c>
      <c r="F228" s="3410">
        <v>1</v>
      </c>
      <c r="G228" s="3411">
        <f t="shared" si="17"/>
        <v>1293157</v>
      </c>
      <c r="H228" s="3422">
        <f>-'SCH B-2.2'!G93</f>
        <v>-260773</v>
      </c>
      <c r="I228" s="3411">
        <f t="shared" si="18"/>
        <v>1032384</v>
      </c>
    </row>
    <row r="229" spans="1:9" ht="13.2">
      <c r="A229" s="3349">
        <f t="shared" si="19"/>
        <v>10</v>
      </c>
      <c r="B229" s="3349" t="str">
        <f>'SCH B-2.3'!B239</f>
        <v>378</v>
      </c>
      <c r="C229" s="3349">
        <f>'SCH B-2.3'!C239</f>
        <v>27802</v>
      </c>
      <c r="D229" s="2118" t="str">
        <f>'SCH B-2.3'!D239</f>
        <v>District Regulating Equipment</v>
      </c>
      <c r="E229" s="3411">
        <f>'SCH B-2.3'!L239</f>
        <v>2419176</v>
      </c>
      <c r="F229" s="3410">
        <v>1</v>
      </c>
      <c r="G229" s="3411">
        <f t="shared" si="17"/>
        <v>2419176</v>
      </c>
      <c r="H229" s="3413"/>
      <c r="I229" s="3411">
        <f t="shared" si="18"/>
        <v>2419176</v>
      </c>
    </row>
    <row r="230" spans="1:9" ht="13.2">
      <c r="A230" s="3349">
        <f t="shared" si="19"/>
        <v>11</v>
      </c>
      <c r="B230" s="3349" t="str">
        <f>'SCH B-2.3'!B240</f>
        <v>380</v>
      </c>
      <c r="C230" s="3349">
        <f>'SCH B-2.3'!C240</f>
        <v>28001</v>
      </c>
      <c r="D230" s="2118" t="str">
        <f>'SCH B-2.3'!D240</f>
        <v>Services- Cast Iron &amp; Copper</v>
      </c>
      <c r="E230" s="3411">
        <f>'SCH B-2.3'!L240</f>
        <v>3116451</v>
      </c>
      <c r="F230" s="3410">
        <v>1</v>
      </c>
      <c r="G230" s="3411">
        <f t="shared" si="17"/>
        <v>3116451</v>
      </c>
      <c r="H230" s="3413"/>
      <c r="I230" s="3411">
        <f t="shared" si="18"/>
        <v>3116451</v>
      </c>
    </row>
    <row r="231" spans="1:9" ht="13.2">
      <c r="A231" s="3349">
        <f t="shared" si="19"/>
        <v>12</v>
      </c>
      <c r="B231" s="3349" t="str">
        <f>'SCH B-2.3'!B241</f>
        <v>380</v>
      </c>
      <c r="C231" s="3349" t="str">
        <f>'SCH B-2.3'!C241</f>
        <v>28002,28004</v>
      </c>
      <c r="D231" s="2118" t="str">
        <f>'SCH B-2.3'!D241</f>
        <v>Services-Steel</v>
      </c>
      <c r="E231" s="3411">
        <f>'SCH B-2.3'!L241</f>
        <v>8817969</v>
      </c>
      <c r="F231" s="3410">
        <v>1</v>
      </c>
      <c r="G231" s="3411">
        <f t="shared" si="17"/>
        <v>8817969</v>
      </c>
      <c r="H231" s="3413"/>
      <c r="I231" s="3411">
        <f t="shared" si="18"/>
        <v>8817969</v>
      </c>
    </row>
    <row r="232" spans="1:9" ht="13.2">
      <c r="A232" s="3349">
        <f t="shared" si="19"/>
        <v>13</v>
      </c>
      <c r="B232" s="3349" t="str">
        <f>'SCH B-2.3'!B242</f>
        <v>380</v>
      </c>
      <c r="C232" s="3349" t="str">
        <f>'SCH B-2.3'!C242</f>
        <v>28003,28005-28007</v>
      </c>
      <c r="D232" s="2118" t="str">
        <f>'SCH B-2.3'!D242</f>
        <v>Services-Plastic</v>
      </c>
      <c r="E232" s="3411">
        <f>'SCH B-2.3'!L242</f>
        <v>151094070</v>
      </c>
      <c r="F232" s="3410">
        <v>1</v>
      </c>
      <c r="G232" s="3411">
        <f t="shared" si="17"/>
        <v>151094070</v>
      </c>
      <c r="H232" s="3413"/>
      <c r="I232" s="3411">
        <f t="shared" si="18"/>
        <v>151094070</v>
      </c>
    </row>
    <row r="233" spans="1:9" ht="13.2">
      <c r="A233" s="3349">
        <f>1+A232</f>
        <v>14</v>
      </c>
      <c r="B233" s="3349" t="str">
        <f>'SCH B-2.3'!B243</f>
        <v>381</v>
      </c>
      <c r="C233" s="3349" t="str">
        <f>'SCH B-2.3'!C243</f>
        <v>28100,28101</v>
      </c>
      <c r="D233" s="2118" t="str">
        <f>'SCH B-2.3'!D243</f>
        <v>Meters</v>
      </c>
      <c r="E233" s="3411">
        <f>'SCH B-2.3'!L243</f>
        <v>12832410</v>
      </c>
      <c r="F233" s="3410">
        <v>1</v>
      </c>
      <c r="G233" s="3411">
        <f t="shared" si="17"/>
        <v>12832410</v>
      </c>
      <c r="H233" s="3413"/>
      <c r="I233" s="3411">
        <f t="shared" si="18"/>
        <v>12832410</v>
      </c>
    </row>
    <row r="234" spans="1:9" ht="13.2">
      <c r="A234" s="3349">
        <f t="shared" si="19"/>
        <v>15</v>
      </c>
      <c r="B234" s="3349">
        <f>'SCH B-2.3'!B244</f>
        <v>382</v>
      </c>
      <c r="C234" s="3349" t="str">
        <f>'SCH B-2.3'!C244</f>
        <v>28200,28201</v>
      </c>
      <c r="D234" s="2118" t="str">
        <f>'SCH B-2.3'!D244</f>
        <v>Meter Installations</v>
      </c>
      <c r="E234" s="3411">
        <f>'SCH B-2.3'!L244</f>
        <v>10424840</v>
      </c>
      <c r="F234" s="3410">
        <v>1</v>
      </c>
      <c r="G234" s="3411">
        <f t="shared" si="17"/>
        <v>10424840</v>
      </c>
      <c r="H234" s="3413"/>
      <c r="I234" s="3411">
        <f t="shared" si="18"/>
        <v>10424840</v>
      </c>
    </row>
    <row r="235" spans="1:9" ht="13.2">
      <c r="A235" s="3349">
        <f t="shared" si="19"/>
        <v>16</v>
      </c>
      <c r="B235" s="3349" t="str">
        <f>'SCH B-2.3'!B245</f>
        <v>383</v>
      </c>
      <c r="C235" s="3349" t="str">
        <f>'SCH B-2.3'!C245</f>
        <v>28300,283001</v>
      </c>
      <c r="D235" s="2118" t="str">
        <f>'SCH B-2.3'!D245</f>
        <v>House Regulators</v>
      </c>
      <c r="E235" s="3411">
        <f>'SCH B-2.3'!L245</f>
        <v>6557950</v>
      </c>
      <c r="F235" s="3410">
        <v>1</v>
      </c>
      <c r="G235" s="3411">
        <f t="shared" si="17"/>
        <v>6557950</v>
      </c>
      <c r="H235" s="3413"/>
      <c r="I235" s="3411">
        <f t="shared" si="18"/>
        <v>6557950</v>
      </c>
    </row>
    <row r="236" spans="1:9" ht="13.2">
      <c r="A236" s="3349">
        <f t="shared" si="19"/>
        <v>17</v>
      </c>
      <c r="B236" s="3349" t="str">
        <f>'SCH B-2.3'!B246</f>
        <v>384</v>
      </c>
      <c r="C236" s="3349" t="str">
        <f>'SCH B-2.3'!C246</f>
        <v>28400,28401</v>
      </c>
      <c r="D236" s="2118" t="str">
        <f>'SCH B-2.3'!D246</f>
        <v>House Regulator Installations</v>
      </c>
      <c r="E236" s="3411">
        <f>'SCH B-2.3'!L246</f>
        <v>5939132</v>
      </c>
      <c r="F236" s="3410">
        <v>1</v>
      </c>
      <c r="G236" s="3411">
        <f t="shared" si="17"/>
        <v>5939132</v>
      </c>
      <c r="H236" s="3413"/>
      <c r="I236" s="3411">
        <f t="shared" si="18"/>
        <v>5939132</v>
      </c>
    </row>
    <row r="237" spans="1:9" ht="13.2">
      <c r="A237" s="3349">
        <f t="shared" si="19"/>
        <v>18</v>
      </c>
      <c r="B237" s="3349" t="str">
        <f>'SCH B-2.3'!B247</f>
        <v>385</v>
      </c>
      <c r="C237" s="3349">
        <f>'SCH B-2.3'!C247</f>
        <v>28500</v>
      </c>
      <c r="D237" s="2118" t="str">
        <f>'SCH B-2.3'!D247</f>
        <v>Large Industrial Meas. &amp; Reg. Equipment</v>
      </c>
      <c r="E237" s="3411">
        <f>'SCH B-2.3'!L247</f>
        <v>455084</v>
      </c>
      <c r="F237" s="3410">
        <v>1</v>
      </c>
      <c r="G237" s="3411">
        <f t="shared" si="17"/>
        <v>455084</v>
      </c>
      <c r="H237" s="3413"/>
      <c r="I237" s="3411">
        <f t="shared" si="18"/>
        <v>455084</v>
      </c>
    </row>
    <row r="238" spans="1:9" ht="13.2">
      <c r="A238" s="3349">
        <f t="shared" si="19"/>
        <v>19</v>
      </c>
      <c r="B238" s="3349" t="str">
        <f>'SCH B-2.3'!B248</f>
        <v>385</v>
      </c>
      <c r="C238" s="3349">
        <f>'SCH B-2.3'!C248</f>
        <v>28501</v>
      </c>
      <c r="D238" s="2118" t="str">
        <f>'SCH B-2.3'!D248</f>
        <v>Large Industrial Meas. &amp; Reg. Equipment - Comm</v>
      </c>
      <c r="E238" s="3411">
        <f>'SCH B-2.3'!L248</f>
        <v>64791</v>
      </c>
      <c r="F238" s="3410">
        <v>1</v>
      </c>
      <c r="G238" s="3411">
        <f t="shared" si="17"/>
        <v>64791</v>
      </c>
      <c r="H238" s="3413"/>
      <c r="I238" s="3411">
        <f t="shared" si="18"/>
        <v>64791</v>
      </c>
    </row>
    <row r="239" spans="1:9" ht="13.2">
      <c r="A239" s="3349">
        <f t="shared" si="19"/>
        <v>20</v>
      </c>
      <c r="B239" s="3349">
        <f>'SCH B-2.3'!B249</f>
        <v>387</v>
      </c>
      <c r="C239" s="3349">
        <f>'SCH B-2.3'!C249</f>
        <v>28700</v>
      </c>
      <c r="D239" s="2118" t="str">
        <f>'SCH B-2.3'!D249</f>
        <v>Other Equipment - Other</v>
      </c>
      <c r="E239" s="3411">
        <f>'SCH B-2.3'!L249</f>
        <v>21447</v>
      </c>
      <c r="F239" s="3410">
        <v>1</v>
      </c>
      <c r="G239" s="3411">
        <f t="shared" si="17"/>
        <v>21447</v>
      </c>
      <c r="H239" s="3413"/>
      <c r="I239" s="3411">
        <f t="shared" si="18"/>
        <v>21447</v>
      </c>
    </row>
    <row r="240" spans="1:9" ht="13.2">
      <c r="A240" s="3349">
        <f t="shared" si="19"/>
        <v>21</v>
      </c>
      <c r="B240" s="3349" t="str">
        <f>'SCH B-2.3'!B250</f>
        <v>387</v>
      </c>
      <c r="C240" s="3349">
        <f>'SCH B-2.3'!C250</f>
        <v>28701</v>
      </c>
      <c r="D240" s="2118" t="str">
        <f>'SCH B-2.3'!D250</f>
        <v>Street Lighting Equipment</v>
      </c>
      <c r="E240" s="3411">
        <f>'SCH B-2.3'!L250</f>
        <v>28290</v>
      </c>
      <c r="F240" s="3410">
        <v>1</v>
      </c>
      <c r="G240" s="3411">
        <f t="shared" si="17"/>
        <v>28290</v>
      </c>
      <c r="H240" s="3413"/>
      <c r="I240" s="3411">
        <f t="shared" si="18"/>
        <v>28290</v>
      </c>
    </row>
    <row r="241" spans="1:11" ht="13.2">
      <c r="A241" s="3349">
        <f t="shared" si="19"/>
        <v>22</v>
      </c>
      <c r="B241" s="3349"/>
      <c r="C241" s="3349"/>
      <c r="D241" s="2118" t="str">
        <f>'SCH B-2.3'!D251</f>
        <v>Asset Retirement Cost Obligation</v>
      </c>
      <c r="E241" s="3411">
        <f>'SCH B-2.3'!L251</f>
        <v>3583546</v>
      </c>
      <c r="F241" s="3410">
        <v>1</v>
      </c>
      <c r="G241" s="3411">
        <f>ROUND((E241*F241),0)</f>
        <v>3583546</v>
      </c>
      <c r="H241" s="3411"/>
      <c r="I241" s="3411">
        <f t="shared" si="18"/>
        <v>3583546</v>
      </c>
    </row>
    <row r="242" spans="1:11" ht="13.2">
      <c r="A242" s="3349">
        <f t="shared" si="19"/>
        <v>23</v>
      </c>
      <c r="B242" s="3349"/>
      <c r="C242" s="3349"/>
      <c r="D242" s="2118" t="str">
        <f>'SCH B-2.3'!D252</f>
        <v>Completed Construction Not Classified</v>
      </c>
      <c r="E242" s="3411">
        <f>'SCH B-2.3'!L252</f>
        <v>50026690</v>
      </c>
      <c r="F242" s="3410">
        <v>1</v>
      </c>
      <c r="G242" s="3411">
        <f>ROUND((E242*F242),0)</f>
        <v>50026690</v>
      </c>
      <c r="H242" s="3411"/>
      <c r="I242" s="3411">
        <f t="shared" ref="I242" si="20">G242+H242</f>
        <v>50026690</v>
      </c>
    </row>
    <row r="243" spans="1:11" ht="13.2">
      <c r="A243" s="2822"/>
      <c r="B243" s="2822"/>
      <c r="C243" s="2822"/>
      <c r="D243" s="2822"/>
      <c r="E243" s="3411"/>
      <c r="F243" s="3410"/>
      <c r="G243" s="3411"/>
      <c r="H243" s="3411"/>
      <c r="I243" s="3411"/>
    </row>
    <row r="244" spans="1:11" ht="13.2">
      <c r="A244" s="2103"/>
      <c r="B244" s="2103"/>
      <c r="C244" s="2103"/>
      <c r="D244" s="2103"/>
      <c r="E244" s="2106"/>
      <c r="F244" s="2107"/>
      <c r="G244" s="2106"/>
      <c r="H244" s="2106"/>
      <c r="I244" s="2106"/>
    </row>
    <row r="245" spans="1:11" ht="13.2">
      <c r="A245" s="3349">
        <f>A242+1</f>
        <v>24</v>
      </c>
      <c r="B245" s="2822"/>
      <c r="C245" s="2822"/>
      <c r="D245" s="3346" t="s">
        <v>1102</v>
      </c>
      <c r="E245" s="3411">
        <f>SUM(E220:E242)</f>
        <v>555680519</v>
      </c>
      <c r="F245" s="3410"/>
      <c r="G245" s="3411">
        <f t="shared" ref="G245:I245" si="21">SUM(G220:G242)</f>
        <v>555680519</v>
      </c>
      <c r="H245" s="3411">
        <f t="shared" si="21"/>
        <v>-7196711</v>
      </c>
      <c r="I245" s="3411">
        <f t="shared" si="21"/>
        <v>548483808</v>
      </c>
      <c r="K245" s="3431" t="str">
        <f>IF(E245='SCH B-2.3'!L255,"BALANCED","ERROR")</f>
        <v>BALANCED</v>
      </c>
    </row>
    <row r="246" spans="1:11" ht="13.2">
      <c r="A246" s="2822"/>
      <c r="B246" s="2822"/>
      <c r="C246" s="2822"/>
      <c r="D246" s="2822"/>
      <c r="E246" s="3411"/>
      <c r="F246" s="3410"/>
      <c r="G246" s="3411"/>
      <c r="H246" s="3411"/>
      <c r="I246" s="3411"/>
    </row>
    <row r="247" spans="1:11" ht="13.2">
      <c r="A247" s="2103"/>
      <c r="B247" s="2103"/>
      <c r="C247" s="2103"/>
      <c r="D247" s="2103"/>
      <c r="E247" s="2106"/>
      <c r="F247" s="2107"/>
      <c r="G247" s="2106"/>
      <c r="H247" s="2106"/>
      <c r="I247" s="2106"/>
    </row>
    <row r="248" spans="1:11" ht="13.2">
      <c r="A248" s="2822"/>
      <c r="B248" s="2822"/>
      <c r="C248" s="2822"/>
      <c r="D248" s="2822"/>
      <c r="E248" s="3411"/>
      <c r="F248" s="3410"/>
      <c r="G248" s="3411"/>
      <c r="H248" s="3411"/>
      <c r="I248" s="3411"/>
    </row>
    <row r="249" spans="1:11" ht="13.2">
      <c r="A249" s="3344" t="str">
        <f>A167</f>
        <v>DUKE ENERGY KENTUCKY, INC.</v>
      </c>
      <c r="B249" s="3345"/>
      <c r="C249" s="3345"/>
      <c r="D249" s="3344"/>
      <c r="E249" s="3345"/>
      <c r="F249" s="3409"/>
      <c r="G249" s="3345"/>
      <c r="H249" s="3345"/>
      <c r="I249" s="3345"/>
    </row>
    <row r="250" spans="1:11" ht="13.2">
      <c r="A250" s="3344" t="str">
        <f>A168</f>
        <v>CASE NO. 2018-00261</v>
      </c>
      <c r="B250" s="3345"/>
      <c r="C250" s="3345"/>
      <c r="D250" s="3344"/>
      <c r="E250" s="3345"/>
      <c r="F250" s="3409"/>
      <c r="G250" s="3345"/>
      <c r="H250" s="3345"/>
      <c r="I250" s="3345"/>
    </row>
    <row r="251" spans="1:11" ht="13.2">
      <c r="A251" s="3344" t="str">
        <f>A169</f>
        <v>PLANT IN SERVICE BY ACCOUNTS AND SUBACCOUNTS</v>
      </c>
      <c r="B251" s="3345"/>
      <c r="C251" s="3345"/>
      <c r="D251" s="3344"/>
      <c r="E251" s="3345"/>
      <c r="F251" s="3409"/>
      <c r="G251" s="3345"/>
      <c r="H251" s="3345"/>
      <c r="I251" s="3345"/>
    </row>
    <row r="252" spans="1:11" ht="13.2">
      <c r="A252" s="1625" t="str">
        <f>"AS OF " &amp;RIGHT(Forecast,(LEN(Forecast)-16))</f>
        <v>AS OF MARCH 31, 2020</v>
      </c>
      <c r="B252" s="3345"/>
      <c r="C252" s="3345"/>
      <c r="D252" s="3344"/>
      <c r="E252" s="3345"/>
      <c r="F252" s="3409"/>
      <c r="G252" s="3345"/>
      <c r="H252" s="3345"/>
      <c r="I252" s="3345"/>
    </row>
    <row r="253" spans="1:11" ht="13.2">
      <c r="A253" s="3345"/>
      <c r="B253" s="3345"/>
      <c r="C253" s="3345"/>
      <c r="D253" s="3345"/>
      <c r="E253" s="3345"/>
      <c r="F253" s="3409"/>
      <c r="G253" s="3345"/>
      <c r="H253" s="3345"/>
      <c r="I253" s="3345"/>
    </row>
    <row r="254" spans="1:11" ht="13.2">
      <c r="A254" s="3344" t="s">
        <v>1103</v>
      </c>
      <c r="B254" s="3345"/>
      <c r="C254" s="3345"/>
      <c r="D254" s="3344"/>
      <c r="E254" s="3345"/>
      <c r="F254" s="3409"/>
      <c r="G254" s="3345"/>
      <c r="H254" s="3345"/>
      <c r="I254" s="3345"/>
    </row>
    <row r="255" spans="1:11" ht="13.2">
      <c r="A255" s="3325"/>
      <c r="B255" s="3345"/>
      <c r="C255" s="3345"/>
      <c r="D255" s="3344"/>
      <c r="E255" s="3345"/>
      <c r="F255" s="3409"/>
      <c r="G255" s="3345"/>
      <c r="H255" s="3345"/>
      <c r="I255" s="3345"/>
    </row>
    <row r="256" spans="1:11" ht="13.2">
      <c r="A256" s="3421"/>
      <c r="B256" s="2822"/>
      <c r="C256" s="2822"/>
      <c r="D256" s="2822"/>
      <c r="E256" s="2822"/>
      <c r="F256" s="3412"/>
      <c r="G256" s="2822"/>
      <c r="H256" s="2822"/>
      <c r="I256" s="2822"/>
    </row>
    <row r="257" spans="1:9" ht="13.2">
      <c r="A257" s="3346" t="str">
        <f>A176</f>
        <v>DATA:  BASE PERIOD  "X" FORECASTED PERIOD</v>
      </c>
      <c r="B257" s="2822"/>
      <c r="C257" s="2822"/>
      <c r="D257" s="2822"/>
      <c r="E257" s="2822"/>
      <c r="F257" s="3412"/>
      <c r="G257" s="2822"/>
      <c r="H257" s="3413" t="str">
        <f>H176</f>
        <v>SCHEDULE B-2.1</v>
      </c>
      <c r="I257" s="2822"/>
    </row>
    <row r="258" spans="1:9" ht="13.2">
      <c r="A258" s="3346" t="str">
        <f>A177</f>
        <v xml:space="preserve">TYPE OF FILING:  "X" ORIGINAL   UPDATED    REVISED  </v>
      </c>
      <c r="B258" s="2822"/>
      <c r="C258" s="2822"/>
      <c r="D258" s="2822"/>
      <c r="E258" s="2822"/>
      <c r="F258" s="3412"/>
      <c r="G258" s="2822"/>
      <c r="H258" s="3413" t="s">
        <v>502</v>
      </c>
      <c r="I258" s="2822"/>
    </row>
    <row r="259" spans="1:9" ht="13.2">
      <c r="A259" s="3346" t="str">
        <f>A178</f>
        <v>WORK PAPER REFERENCE NO(S).: SCHEDULE B-2.2, SCHEDULE B-2.3</v>
      </c>
      <c r="B259" s="2822"/>
      <c r="C259" s="2822"/>
      <c r="D259" s="2822"/>
      <c r="E259" s="2822"/>
      <c r="F259" s="3412"/>
      <c r="G259" s="2822"/>
      <c r="H259" s="3413" t="s">
        <v>566</v>
      </c>
      <c r="I259" s="2822"/>
    </row>
    <row r="260" spans="1:9" ht="13.2">
      <c r="A260" s="2822"/>
      <c r="B260" s="2822"/>
      <c r="C260" s="2822"/>
      <c r="D260" s="2822"/>
      <c r="E260" s="2822"/>
      <c r="F260" s="3412"/>
      <c r="G260" s="2822"/>
      <c r="H260" s="3347" t="str">
        <f>H179</f>
        <v>R. H. PRATT / C. S. LEE</v>
      </c>
      <c r="I260" s="2822"/>
    </row>
    <row r="261" spans="1:9" ht="13.2">
      <c r="A261" s="2822"/>
      <c r="B261" s="2822"/>
      <c r="C261" s="2822"/>
      <c r="D261" s="2822"/>
      <c r="E261" s="2822"/>
      <c r="F261" s="3412"/>
      <c r="G261" s="2822"/>
      <c r="H261" s="2822"/>
      <c r="I261" s="2822"/>
    </row>
    <row r="262" spans="1:9" ht="13.2">
      <c r="A262" s="2822"/>
      <c r="B262" s="2822"/>
      <c r="C262" s="2822"/>
      <c r="D262" s="2822"/>
      <c r="E262" s="2822"/>
      <c r="F262" s="3412"/>
      <c r="G262" s="2822"/>
      <c r="H262" s="2822"/>
      <c r="I262" s="2822"/>
    </row>
    <row r="263" spans="1:9" ht="13.2">
      <c r="A263" s="2822"/>
      <c r="B263" s="3348"/>
      <c r="C263" s="2822"/>
      <c r="D263" s="2822"/>
      <c r="E263" s="2822"/>
      <c r="F263" s="3412"/>
      <c r="G263" s="2822"/>
      <c r="H263" s="2822"/>
      <c r="I263" s="2822"/>
    </row>
    <row r="264" spans="1:9" ht="13.2">
      <c r="A264" s="2103"/>
      <c r="B264" s="2116"/>
      <c r="C264" s="2115"/>
      <c r="D264" s="2103"/>
      <c r="E264" s="2103"/>
      <c r="F264" s="2113"/>
      <c r="G264" s="2103"/>
      <c r="H264" s="2106"/>
      <c r="I264" s="2119" t="s">
        <v>621</v>
      </c>
    </row>
    <row r="265" spans="1:9" ht="13.2">
      <c r="A265" s="2108"/>
      <c r="B265" s="2116" t="s">
        <v>1041</v>
      </c>
      <c r="C265" s="2116" t="s">
        <v>2137</v>
      </c>
      <c r="D265" s="2108"/>
      <c r="E265" s="2110" t="s">
        <v>621</v>
      </c>
      <c r="F265" s="2117"/>
      <c r="G265" s="2108"/>
      <c r="H265" s="2120" t="s">
        <v>621</v>
      </c>
      <c r="I265" s="2120" t="s">
        <v>799</v>
      </c>
    </row>
    <row r="266" spans="1:9" ht="13.2">
      <c r="A266" s="3349" t="s">
        <v>1938</v>
      </c>
      <c r="B266" s="3349" t="s">
        <v>1150</v>
      </c>
      <c r="C266" s="3349" t="s">
        <v>1150</v>
      </c>
      <c r="D266" s="2822"/>
      <c r="E266" s="2109" t="s">
        <v>799</v>
      </c>
      <c r="F266" s="3414" t="s">
        <v>1898</v>
      </c>
      <c r="G266" s="3349" t="s">
        <v>1898</v>
      </c>
      <c r="H266" s="3337" t="s">
        <v>799</v>
      </c>
      <c r="I266" s="3337" t="s">
        <v>572</v>
      </c>
    </row>
    <row r="267" spans="1:9" ht="13.2">
      <c r="A267" s="3349" t="s">
        <v>1939</v>
      </c>
      <c r="B267" s="3349" t="s">
        <v>1939</v>
      </c>
      <c r="C267" s="3349" t="s">
        <v>1939</v>
      </c>
      <c r="D267" s="3349" t="s">
        <v>1151</v>
      </c>
      <c r="E267" s="3417" t="s">
        <v>1234</v>
      </c>
      <c r="F267" s="3418" t="s">
        <v>2097</v>
      </c>
      <c r="G267" s="3417" t="s">
        <v>2153</v>
      </c>
      <c r="H267" s="3419" t="s">
        <v>571</v>
      </c>
      <c r="I267" s="3419" t="s">
        <v>1357</v>
      </c>
    </row>
    <row r="268" spans="1:9" ht="13.2">
      <c r="A268" s="2103"/>
      <c r="B268" s="2103"/>
      <c r="C268" s="2103"/>
      <c r="D268" s="2103"/>
      <c r="E268" s="3337" t="s">
        <v>695</v>
      </c>
      <c r="F268" s="3412"/>
      <c r="G268" s="3349" t="s">
        <v>695</v>
      </c>
      <c r="H268" s="3349" t="s">
        <v>695</v>
      </c>
      <c r="I268" s="3349" t="s">
        <v>695</v>
      </c>
    </row>
    <row r="269" spans="1:9" ht="13.2">
      <c r="A269" s="2822"/>
      <c r="B269" s="2822"/>
      <c r="C269" s="2822"/>
      <c r="D269" s="2822"/>
    </row>
    <row r="270" spans="1:9" ht="13.2">
      <c r="A270" s="3349" t="s">
        <v>1152</v>
      </c>
      <c r="B270" s="3349">
        <f>'SCH B-2.3'!B281</f>
        <v>303</v>
      </c>
      <c r="C270" s="3349">
        <f>'SCH B-2.3'!C281</f>
        <v>20300</v>
      </c>
      <c r="D270" s="2118" t="str">
        <f>'SCH B-2.3'!D281</f>
        <v>Miscellaneous Intangible Plant</v>
      </c>
      <c r="E270" s="3411">
        <f>'SCH B-2.3'!L281</f>
        <v>8757245</v>
      </c>
      <c r="F270" s="3410">
        <v>1</v>
      </c>
      <c r="G270" s="3411">
        <f t="shared" ref="G270:G279" si="22">ROUND(E270*F270,0)</f>
        <v>8757245</v>
      </c>
      <c r="H270" s="3349"/>
      <c r="I270" s="3411">
        <f t="shared" ref="I270:I279" si="23">G270+H270</f>
        <v>8757245</v>
      </c>
    </row>
    <row r="271" spans="1:9" ht="13.2">
      <c r="A271" s="3349">
        <f t="shared" ref="A271:A280" si="24">A270+1</f>
        <v>2</v>
      </c>
      <c r="B271" s="3349">
        <f>'SCH B-2.3'!B282</f>
        <v>303</v>
      </c>
      <c r="C271" s="3349" t="str">
        <f>'SCH B-2.3'!C282</f>
        <v>20310</v>
      </c>
      <c r="D271" s="2118" t="str">
        <f>'SCH B-2.3'!D282</f>
        <v>Misc Intangible Plt - 10 Yr</v>
      </c>
      <c r="E271" s="3411">
        <f>'SCH B-2.3'!L282</f>
        <v>2670960</v>
      </c>
      <c r="F271" s="3410">
        <v>1</v>
      </c>
      <c r="G271" s="3411">
        <f t="shared" si="22"/>
        <v>2670960</v>
      </c>
      <c r="H271" s="3411"/>
      <c r="I271" s="3411">
        <f t="shared" si="23"/>
        <v>2670960</v>
      </c>
    </row>
    <row r="272" spans="1:9" ht="13.2">
      <c r="A272" s="3349">
        <f t="shared" si="24"/>
        <v>3</v>
      </c>
      <c r="B272" s="3349" t="str">
        <f>'SCH B-2.3'!B283</f>
        <v>391</v>
      </c>
      <c r="C272" s="3349">
        <f>'SCH B-2.3'!C283</f>
        <v>29100</v>
      </c>
      <c r="D272" s="2118" t="str">
        <f>'SCH B-2.3'!D283</f>
        <v>Office Furniture &amp; Equipment</v>
      </c>
      <c r="E272" s="3411">
        <f>'SCH B-2.3'!L283</f>
        <v>12880</v>
      </c>
      <c r="F272" s="3410">
        <v>1</v>
      </c>
      <c r="G272" s="3411">
        <f t="shared" si="22"/>
        <v>12880</v>
      </c>
      <c r="H272" s="3411">
        <f>-'SCH B-2.2'!G99</f>
        <v>-8899</v>
      </c>
      <c r="I272" s="3411">
        <f t="shared" si="23"/>
        <v>3981</v>
      </c>
    </row>
    <row r="273" spans="1:11" ht="13.2">
      <c r="A273" s="3349">
        <f t="shared" si="24"/>
        <v>4</v>
      </c>
      <c r="B273" s="3349">
        <f>'SCH B-2.3'!B284</f>
        <v>391</v>
      </c>
      <c r="C273" s="3349">
        <f>'SCH B-2.3'!C284</f>
        <v>29101</v>
      </c>
      <c r="D273" s="2118" t="str">
        <f>'SCH B-2.3'!D284</f>
        <v>Electronic Data Processing</v>
      </c>
      <c r="E273" s="3411">
        <f>'SCH B-2.3'!L284</f>
        <v>212320</v>
      </c>
      <c r="F273" s="3410">
        <v>1</v>
      </c>
      <c r="G273" s="3411">
        <f t="shared" si="22"/>
        <v>212320</v>
      </c>
      <c r="H273" s="3413"/>
      <c r="I273" s="3411">
        <f t="shared" si="23"/>
        <v>212320</v>
      </c>
    </row>
    <row r="274" spans="1:11" ht="13.2">
      <c r="A274" s="3349">
        <f t="shared" si="24"/>
        <v>5</v>
      </c>
      <c r="B274" s="3349" t="str">
        <f>'SCH B-2.3'!B285</f>
        <v>392</v>
      </c>
      <c r="C274" s="3349">
        <f>'SCH B-2.3'!C285</f>
        <v>29200</v>
      </c>
      <c r="D274" s="2118" t="str">
        <f>'SCH B-2.3'!D285</f>
        <v>Transportation Equipment</v>
      </c>
      <c r="E274" s="3411">
        <f>'SCH B-2.3'!L285</f>
        <v>0</v>
      </c>
      <c r="F274" s="3410">
        <v>1</v>
      </c>
      <c r="G274" s="3411">
        <f t="shared" si="22"/>
        <v>0</v>
      </c>
      <c r="H274" s="3411"/>
      <c r="I274" s="3411">
        <f t="shared" si="23"/>
        <v>0</v>
      </c>
    </row>
    <row r="275" spans="1:11" ht="13.2">
      <c r="A275" s="3349">
        <f t="shared" si="24"/>
        <v>6</v>
      </c>
      <c r="B275" s="3349" t="str">
        <f>'SCH B-2.3'!B286</f>
        <v>392</v>
      </c>
      <c r="C275" s="3349">
        <f>'SCH B-2.3'!C286</f>
        <v>29201</v>
      </c>
      <c r="D275" s="2118" t="str">
        <f>'SCH B-2.3'!D286</f>
        <v>Trailers</v>
      </c>
      <c r="E275" s="3411">
        <f>'SCH B-2.3'!L286</f>
        <v>63448</v>
      </c>
      <c r="F275" s="3410">
        <v>1</v>
      </c>
      <c r="G275" s="3411">
        <f t="shared" si="22"/>
        <v>63448</v>
      </c>
      <c r="H275" s="3413"/>
      <c r="I275" s="3411">
        <f t="shared" si="23"/>
        <v>63448</v>
      </c>
    </row>
    <row r="276" spans="1:11" ht="13.2">
      <c r="A276" s="3349">
        <f t="shared" si="24"/>
        <v>7</v>
      </c>
      <c r="B276" s="3349" t="str">
        <f>'SCH B-2.3'!B287</f>
        <v>394</v>
      </c>
      <c r="C276" s="3349">
        <f>'SCH B-2.3'!C287</f>
        <v>29400</v>
      </c>
      <c r="D276" s="2118" t="str">
        <f>'SCH B-2.3'!D287</f>
        <v>Tools, Shop &amp; Garage Equipment</v>
      </c>
      <c r="E276" s="3411">
        <f>'SCH B-2.3'!L287</f>
        <v>1120469</v>
      </c>
      <c r="F276" s="3410">
        <v>1</v>
      </c>
      <c r="G276" s="3411">
        <f t="shared" ref="G276:G278" si="25">ROUND(E276*F276,0)</f>
        <v>1120469</v>
      </c>
      <c r="H276" s="3411">
        <f>-'SCH B-2.2'!G100</f>
        <v>-21227</v>
      </c>
      <c r="I276" s="3411">
        <f t="shared" ref="I276:I278" si="26">G276+H276</f>
        <v>1099242</v>
      </c>
    </row>
    <row r="277" spans="1:11" ht="13.2">
      <c r="A277" s="3349">
        <f t="shared" si="24"/>
        <v>8</v>
      </c>
      <c r="B277" s="3349" t="str">
        <f>'SCH B-2.3'!B288</f>
        <v>396</v>
      </c>
      <c r="C277" s="3349">
        <f>'SCH B-2.3'!C288</f>
        <v>29600</v>
      </c>
      <c r="D277" s="2118" t="str">
        <f>'SCH B-2.3'!D288</f>
        <v>Power Operated Equipment</v>
      </c>
      <c r="E277" s="3411">
        <f>'SCH B-2.3'!L288</f>
        <v>168272</v>
      </c>
      <c r="F277" s="3410">
        <v>1</v>
      </c>
      <c r="G277" s="3411">
        <f t="shared" si="25"/>
        <v>168272</v>
      </c>
      <c r="H277" s="3413"/>
      <c r="I277" s="3411">
        <f t="shared" si="26"/>
        <v>168272</v>
      </c>
    </row>
    <row r="278" spans="1:11" ht="13.2">
      <c r="A278" s="3349">
        <f t="shared" si="24"/>
        <v>9</v>
      </c>
      <c r="B278" s="3349">
        <f>'SCH B-2.3'!B289</f>
        <v>397</v>
      </c>
      <c r="C278" s="3349" t="str">
        <f>'SCH B-2.3'!C289</f>
        <v>29700</v>
      </c>
      <c r="D278" s="2118" t="str">
        <f>'SCH B-2.3'!D289</f>
        <v>Communication Equipment</v>
      </c>
      <c r="E278" s="3411">
        <f>'SCH B-2.3'!L289</f>
        <v>10766945</v>
      </c>
      <c r="F278" s="3410">
        <v>1</v>
      </c>
      <c r="G278" s="3411">
        <f t="shared" si="25"/>
        <v>10766945</v>
      </c>
      <c r="H278" s="3411">
        <f>-'SCH B-2.2'!G101</f>
        <v>-238</v>
      </c>
      <c r="I278" s="3411">
        <f t="shared" si="26"/>
        <v>10766707</v>
      </c>
    </row>
    <row r="279" spans="1:11" ht="13.2">
      <c r="A279" s="3349">
        <f t="shared" si="24"/>
        <v>10</v>
      </c>
      <c r="B279" s="3349" t="str">
        <f>'SCH B-2.3'!B290</f>
        <v>398</v>
      </c>
      <c r="C279" s="3349">
        <f>'SCH B-2.3'!C290</f>
        <v>29800</v>
      </c>
      <c r="D279" s="2118" t="str">
        <f>'SCH B-2.3'!D290</f>
        <v>Miscellaneous Equipment</v>
      </c>
      <c r="E279" s="3411">
        <f>'SCH B-2.3'!L290</f>
        <v>83591</v>
      </c>
      <c r="F279" s="3410">
        <v>1</v>
      </c>
      <c r="G279" s="3411">
        <f t="shared" si="22"/>
        <v>83591</v>
      </c>
      <c r="H279" s="3411">
        <f>-'SCH B-2.2'!G102</f>
        <v>-83591</v>
      </c>
      <c r="I279" s="3411">
        <f t="shared" si="23"/>
        <v>0</v>
      </c>
    </row>
    <row r="280" spans="1:11" ht="13.2">
      <c r="A280" s="3349">
        <f t="shared" si="24"/>
        <v>11</v>
      </c>
      <c r="B280" s="3349"/>
      <c r="C280" s="3349"/>
      <c r="D280" s="2118" t="str">
        <f>'SCH B-2.3'!D291</f>
        <v>Completed Construction Not Classified</v>
      </c>
      <c r="E280" s="3411">
        <f>'SCH B-2.3'!L291</f>
        <v>723715</v>
      </c>
      <c r="F280" s="3410">
        <v>1</v>
      </c>
      <c r="G280" s="3411">
        <f t="shared" ref="G280" si="27">ROUND(E280*F280,0)</f>
        <v>723715</v>
      </c>
      <c r="H280" s="3411"/>
      <c r="I280" s="3411">
        <f t="shared" ref="I280" si="28">G280+H280</f>
        <v>723715</v>
      </c>
    </row>
    <row r="281" spans="1:11" ht="13.2">
      <c r="A281" s="2822"/>
      <c r="B281" s="2822"/>
      <c r="C281" s="2822"/>
      <c r="D281" s="2822"/>
      <c r="E281" s="3411"/>
      <c r="F281" s="3410"/>
      <c r="G281" s="3411"/>
      <c r="H281" s="3411"/>
      <c r="I281" s="3411"/>
    </row>
    <row r="282" spans="1:11" ht="13.2">
      <c r="A282" s="2822"/>
      <c r="B282" s="2822"/>
      <c r="C282" s="2822"/>
      <c r="D282" s="2822"/>
      <c r="E282" s="3411"/>
      <c r="F282" s="3410"/>
      <c r="G282" s="3411"/>
      <c r="H282" s="3411"/>
      <c r="I282" s="3411"/>
    </row>
    <row r="283" spans="1:11" ht="13.2">
      <c r="A283" s="2103"/>
      <c r="B283" s="2103"/>
      <c r="C283" s="2103"/>
      <c r="D283" s="2103"/>
      <c r="E283" s="2106"/>
      <c r="F283" s="2107"/>
      <c r="G283" s="2106"/>
      <c r="H283" s="2106"/>
      <c r="I283" s="2106"/>
    </row>
    <row r="284" spans="1:11" ht="13.2">
      <c r="A284" s="3349">
        <f>A280+1</f>
        <v>12</v>
      </c>
      <c r="B284" s="2822"/>
      <c r="C284" s="2822"/>
      <c r="D284" s="3346" t="s">
        <v>1117</v>
      </c>
      <c r="E284" s="3411">
        <f>SUM(E270:E280)</f>
        <v>24579845</v>
      </c>
      <c r="F284" s="3410"/>
      <c r="G284" s="3411">
        <f t="shared" ref="G284:I284" si="29">SUM(G270:G280)</f>
        <v>24579845</v>
      </c>
      <c r="H284" s="3411">
        <f t="shared" si="29"/>
        <v>-113955</v>
      </c>
      <c r="I284" s="3411">
        <f t="shared" si="29"/>
        <v>24465890</v>
      </c>
      <c r="K284" s="3431" t="str">
        <f>IF(E284='SCH B-2.3'!L296,"BALANCED","ERROR")</f>
        <v>BALANCED</v>
      </c>
    </row>
    <row r="285" spans="1:11" ht="13.2">
      <c r="A285" s="2822"/>
      <c r="B285" s="2822"/>
      <c r="C285" s="2822"/>
      <c r="D285" s="2822"/>
      <c r="E285" s="3411"/>
      <c r="F285" s="3410"/>
      <c r="G285" s="3411"/>
      <c r="H285" s="3411"/>
      <c r="I285" s="3411"/>
    </row>
    <row r="286" spans="1:11" ht="13.2">
      <c r="A286" s="2103"/>
      <c r="B286" s="2103"/>
      <c r="C286" s="2103"/>
      <c r="D286" s="2103"/>
      <c r="E286" s="2106"/>
      <c r="F286" s="2107"/>
      <c r="G286" s="2106"/>
      <c r="H286" s="2106"/>
      <c r="I286" s="2106"/>
    </row>
    <row r="287" spans="1:11" ht="13.2">
      <c r="A287" s="3349">
        <f>A284+1</f>
        <v>13</v>
      </c>
      <c r="B287" s="2822"/>
      <c r="C287" s="2822"/>
      <c r="D287" s="3346" t="s">
        <v>1118</v>
      </c>
      <c r="E287" s="3411">
        <f>E195+E245+E284</f>
        <v>588080496</v>
      </c>
      <c r="F287" s="3412"/>
      <c r="G287" s="3411">
        <f>G195+G245+G284</f>
        <v>588080496</v>
      </c>
      <c r="H287" s="3411">
        <f>H195+H245+H284</f>
        <v>-12331190</v>
      </c>
      <c r="I287" s="3411">
        <f>I195+I245+I284</f>
        <v>575749306</v>
      </c>
      <c r="K287" s="3431" t="str">
        <f>IF(E287='SCH B-2.3'!L299,"BALANCED","ERROR")</f>
        <v>BALANCED</v>
      </c>
    </row>
    <row r="288" spans="1:11" ht="13.2">
      <c r="A288" s="2822"/>
      <c r="B288" s="2822"/>
      <c r="C288" s="2822"/>
      <c r="D288" s="2822"/>
      <c r="E288" s="2822"/>
      <c r="F288" s="3412"/>
      <c r="G288" s="2822"/>
      <c r="H288" s="2822"/>
      <c r="I288" s="2822"/>
    </row>
    <row r="289" spans="1:9" ht="13.2">
      <c r="A289" s="2103"/>
      <c r="B289" s="2103"/>
      <c r="C289" s="2103"/>
      <c r="D289" s="2103"/>
      <c r="E289" s="2103"/>
      <c r="F289" s="2113"/>
      <c r="G289" s="2103"/>
      <c r="H289" s="2103"/>
      <c r="I289" s="2103"/>
    </row>
    <row r="290" spans="1:9" ht="13.2">
      <c r="A290" s="2822"/>
      <c r="B290" s="2822"/>
      <c r="C290" s="2822"/>
      <c r="D290" s="2822"/>
      <c r="E290" s="2822"/>
      <c r="F290" s="3412"/>
      <c r="G290" s="2822"/>
      <c r="H290" s="2822"/>
      <c r="I290" s="2822"/>
    </row>
    <row r="291" spans="1:9" ht="13.2">
      <c r="A291" s="3344" t="str">
        <f>A167</f>
        <v>DUKE ENERGY KENTUCKY, INC.</v>
      </c>
      <c r="B291" s="3345"/>
      <c r="C291" s="3345"/>
      <c r="D291" s="3344"/>
      <c r="E291" s="3345"/>
      <c r="F291" s="3409"/>
      <c r="G291" s="3345"/>
      <c r="H291" s="3345"/>
      <c r="I291" s="3345"/>
    </row>
    <row r="292" spans="1:9" ht="13.2">
      <c r="A292" s="3344" t="str">
        <f>A168</f>
        <v>CASE NO. 2018-00261</v>
      </c>
      <c r="B292" s="3345"/>
      <c r="C292" s="3345"/>
      <c r="D292" s="3344"/>
      <c r="E292" s="3345"/>
      <c r="F292" s="3409"/>
      <c r="G292" s="3345"/>
      <c r="H292" s="3345"/>
      <c r="I292" s="3345"/>
    </row>
    <row r="293" spans="1:9" ht="13.2">
      <c r="A293" s="3344" t="str">
        <f>A169</f>
        <v>PLANT IN SERVICE BY ACCOUNTS AND SUBACCOUNTS</v>
      </c>
      <c r="B293" s="3345"/>
      <c r="C293" s="3345"/>
      <c r="D293" s="3344"/>
      <c r="E293" s="3345"/>
      <c r="F293" s="3409"/>
      <c r="G293" s="3345"/>
      <c r="H293" s="3345"/>
      <c r="I293" s="3345"/>
    </row>
    <row r="294" spans="1:9" ht="13.2">
      <c r="A294" s="1625" t="str">
        <f>"AS OF " &amp;RIGHT(Forecast,(LEN(Forecast)-16))</f>
        <v>AS OF MARCH 31, 2020</v>
      </c>
      <c r="B294" s="3345"/>
      <c r="C294" s="3345"/>
      <c r="D294" s="3344"/>
      <c r="E294" s="3345"/>
      <c r="F294" s="3409"/>
      <c r="G294" s="3345"/>
      <c r="H294" s="3345"/>
      <c r="I294" s="3345"/>
    </row>
    <row r="295" spans="1:9" ht="13.2">
      <c r="A295" s="3345"/>
      <c r="B295" s="3345"/>
      <c r="C295" s="3345"/>
      <c r="D295" s="3345"/>
      <c r="E295" s="3345"/>
      <c r="F295" s="3409"/>
      <c r="G295" s="3345"/>
      <c r="H295" s="3345"/>
      <c r="I295" s="3345"/>
    </row>
    <row r="296" spans="1:9" ht="13.2">
      <c r="A296" s="3344" t="s">
        <v>1119</v>
      </c>
      <c r="B296" s="3345"/>
      <c r="C296" s="3345"/>
      <c r="D296" s="3344"/>
      <c r="E296" s="3345"/>
      <c r="F296" s="3409"/>
      <c r="G296" s="3345"/>
      <c r="H296" s="3345"/>
      <c r="I296" s="3345"/>
    </row>
    <row r="297" spans="1:9" ht="13.2">
      <c r="A297" s="3325"/>
      <c r="B297" s="3345"/>
      <c r="C297" s="3345"/>
      <c r="D297" s="3344"/>
      <c r="E297" s="3345"/>
      <c r="F297" s="3409"/>
      <c r="G297" s="3345"/>
      <c r="H297" s="3345"/>
      <c r="I297" s="3345"/>
    </row>
    <row r="298" spans="1:9" ht="13.2">
      <c r="A298" s="3421"/>
      <c r="B298" s="2822"/>
      <c r="C298" s="2822"/>
      <c r="D298" s="2822"/>
      <c r="E298" s="2822"/>
      <c r="F298" s="3412"/>
      <c r="G298" s="2822"/>
      <c r="H298" s="2822"/>
      <c r="I298" s="2822"/>
    </row>
    <row r="299" spans="1:9" ht="13.2">
      <c r="A299" s="3346" t="str">
        <f>A176</f>
        <v>DATA:  BASE PERIOD  "X" FORECASTED PERIOD</v>
      </c>
      <c r="B299" s="2822"/>
      <c r="C299" s="2822"/>
      <c r="D299" s="2822"/>
      <c r="E299" s="2822"/>
      <c r="F299" s="3412"/>
      <c r="G299" s="2822"/>
      <c r="H299" s="3413" t="str">
        <f>H176</f>
        <v>SCHEDULE B-2.1</v>
      </c>
      <c r="I299" s="2822"/>
    </row>
    <row r="300" spans="1:9" ht="13.2">
      <c r="A300" s="3346" t="str">
        <f>A177</f>
        <v xml:space="preserve">TYPE OF FILING:  "X" ORIGINAL   UPDATED    REVISED  </v>
      </c>
      <c r="B300" s="2822"/>
      <c r="C300" s="2822"/>
      <c r="D300" s="2822"/>
      <c r="E300" s="2822"/>
      <c r="F300" s="3412"/>
      <c r="G300" s="2822"/>
      <c r="H300" s="3346" t="s">
        <v>503</v>
      </c>
      <c r="I300" s="2822"/>
    </row>
    <row r="301" spans="1:9" ht="13.2">
      <c r="A301" s="3346" t="str">
        <f>A178</f>
        <v>WORK PAPER REFERENCE NO(S).: SCHEDULE B-2.2, SCHEDULE B-2.3</v>
      </c>
      <c r="B301" s="2822"/>
      <c r="C301" s="2822"/>
      <c r="D301" s="2822"/>
      <c r="E301" s="2822"/>
      <c r="F301" s="3412"/>
      <c r="G301" s="2822"/>
      <c r="H301" s="3413" t="s">
        <v>566</v>
      </c>
      <c r="I301" s="2822"/>
    </row>
    <row r="302" spans="1:9" ht="13.2">
      <c r="A302" s="2822"/>
      <c r="B302" s="2822"/>
      <c r="C302" s="2822"/>
      <c r="D302" s="2822"/>
      <c r="E302" s="2822"/>
      <c r="F302" s="3412"/>
      <c r="G302" s="2822"/>
      <c r="H302" s="3347" t="str">
        <f>H179</f>
        <v>R. H. PRATT / C. S. LEE</v>
      </c>
      <c r="I302" s="2822"/>
    </row>
    <row r="303" spans="1:9" ht="13.2">
      <c r="A303" s="2822"/>
      <c r="B303" s="2822"/>
      <c r="C303" s="2822"/>
      <c r="D303" s="2822"/>
      <c r="E303" s="2822"/>
      <c r="F303" s="3412"/>
      <c r="G303" s="2822"/>
      <c r="H303" s="2822"/>
      <c r="I303" s="2822"/>
    </row>
    <row r="304" spans="1:9" ht="13.2">
      <c r="A304" s="2822"/>
      <c r="B304" s="2822"/>
      <c r="C304" s="2822"/>
      <c r="D304" s="2822"/>
      <c r="E304" s="2822"/>
      <c r="F304" s="3412"/>
      <c r="G304" s="2822"/>
      <c r="H304" s="2822"/>
      <c r="I304" s="2822"/>
    </row>
    <row r="305" spans="1:9" ht="13.2">
      <c r="A305" s="2822"/>
      <c r="B305" s="2822"/>
      <c r="C305" s="2822"/>
      <c r="D305" s="2822"/>
      <c r="E305" s="2822"/>
      <c r="F305" s="3412"/>
      <c r="G305" s="2822"/>
      <c r="H305" s="2822"/>
      <c r="I305" s="2822"/>
    </row>
    <row r="306" spans="1:9" ht="13.2">
      <c r="A306" s="2103"/>
      <c r="B306" s="2114"/>
      <c r="C306" s="2115"/>
      <c r="D306" s="2103"/>
      <c r="E306" s="2103"/>
      <c r="F306" s="2113"/>
      <c r="G306" s="2103"/>
      <c r="H306" s="2106"/>
      <c r="I306" s="2119" t="s">
        <v>621</v>
      </c>
    </row>
    <row r="307" spans="1:9" ht="13.2">
      <c r="A307" s="2108"/>
      <c r="B307" s="2109" t="s">
        <v>1041</v>
      </c>
      <c r="C307" s="2109" t="s">
        <v>2137</v>
      </c>
      <c r="D307" s="2108"/>
      <c r="E307" s="2110" t="s">
        <v>621</v>
      </c>
      <c r="F307" s="2117"/>
      <c r="G307" s="2108"/>
      <c r="H307" s="2120" t="s">
        <v>621</v>
      </c>
      <c r="I307" s="2120" t="s">
        <v>799</v>
      </c>
    </row>
    <row r="308" spans="1:9" ht="13.2">
      <c r="A308" s="3349" t="s">
        <v>1938</v>
      </c>
      <c r="B308" s="3349" t="s">
        <v>1150</v>
      </c>
      <c r="C308" s="3349" t="s">
        <v>1150</v>
      </c>
      <c r="D308" s="2822"/>
      <c r="E308" s="2109" t="s">
        <v>799</v>
      </c>
      <c r="F308" s="3414" t="s">
        <v>1898</v>
      </c>
      <c r="G308" s="3349" t="s">
        <v>1898</v>
      </c>
      <c r="H308" s="3337" t="s">
        <v>799</v>
      </c>
      <c r="I308" s="3337" t="s">
        <v>572</v>
      </c>
    </row>
    <row r="309" spans="1:9" ht="13.2">
      <c r="A309" s="3349" t="s">
        <v>1939</v>
      </c>
      <c r="B309" s="3349" t="s">
        <v>1939</v>
      </c>
      <c r="C309" s="3349" t="s">
        <v>1939</v>
      </c>
      <c r="D309" s="3349" t="s">
        <v>1151</v>
      </c>
      <c r="E309" s="3417" t="s">
        <v>1234</v>
      </c>
      <c r="F309" s="3418" t="s">
        <v>2097</v>
      </c>
      <c r="G309" s="3417" t="s">
        <v>2153</v>
      </c>
      <c r="H309" s="3419" t="s">
        <v>571</v>
      </c>
      <c r="I309" s="3419" t="s">
        <v>1357</v>
      </c>
    </row>
    <row r="310" spans="1:9" ht="13.2">
      <c r="A310" s="2103"/>
      <c r="B310" s="2103"/>
      <c r="C310" s="2103"/>
      <c r="D310" s="2103"/>
      <c r="E310" s="3337" t="s">
        <v>695</v>
      </c>
      <c r="F310" s="3412"/>
      <c r="G310" s="3349" t="s">
        <v>695</v>
      </c>
      <c r="H310" s="3349" t="s">
        <v>695</v>
      </c>
      <c r="I310" s="3349" t="s">
        <v>695</v>
      </c>
    </row>
    <row r="311" spans="1:9" ht="13.2">
      <c r="A311" s="2822"/>
      <c r="B311" s="2822"/>
      <c r="C311" s="2822"/>
      <c r="D311" s="2822"/>
    </row>
    <row r="312" spans="1:9" ht="13.2">
      <c r="A312" s="3349" t="s">
        <v>1152</v>
      </c>
      <c r="B312" s="2822"/>
      <c r="C312" s="3349">
        <f>'SCH B-2.3'!C325</f>
        <v>10300</v>
      </c>
      <c r="D312" s="2118" t="str">
        <f>'SCH B-2.3'!D325</f>
        <v xml:space="preserve">Miscellaneous Intangible Plant </v>
      </c>
      <c r="E312" s="3411">
        <f>'SCH B-2.3'!L325</f>
        <v>22332072</v>
      </c>
      <c r="F312" s="3410">
        <v>1</v>
      </c>
      <c r="G312" s="3411">
        <f t="shared" ref="G312:G320" si="30">ROUND(E312*F312,0)</f>
        <v>22332072</v>
      </c>
      <c r="H312" s="2822"/>
      <c r="I312" s="3411">
        <f t="shared" ref="I312:I320" si="31">G312+H312</f>
        <v>22332072</v>
      </c>
    </row>
    <row r="313" spans="1:9" ht="13.2">
      <c r="A313" s="3349" t="s">
        <v>1155</v>
      </c>
      <c r="B313" s="2822"/>
      <c r="C313" s="3349">
        <f>'SCH B-2.3'!C326</f>
        <v>18900</v>
      </c>
      <c r="D313" s="2118" t="str">
        <f>'SCH B-2.3'!D326</f>
        <v>Land and Land Rights</v>
      </c>
      <c r="E313" s="3411">
        <f>'SCH B-2.3'!L326</f>
        <v>154248</v>
      </c>
      <c r="F313" s="3410">
        <v>1</v>
      </c>
      <c r="G313" s="3411">
        <f>ROUND(E313*F313,0)</f>
        <v>154248</v>
      </c>
      <c r="H313" s="2822"/>
      <c r="I313" s="3411">
        <f>G313+H313</f>
        <v>154248</v>
      </c>
    </row>
    <row r="314" spans="1:9" ht="13.2">
      <c r="A314" s="3349" t="s">
        <v>1157</v>
      </c>
      <c r="B314" s="2822"/>
      <c r="C314" s="3349">
        <f>'SCH B-2.3'!C327</f>
        <v>19000</v>
      </c>
      <c r="D314" s="2118" t="str">
        <f>'SCH B-2.3'!D327</f>
        <v>Structures &amp; Improvements</v>
      </c>
      <c r="E314" s="3411">
        <f>'SCH B-2.3'!L327</f>
        <v>14645832</v>
      </c>
      <c r="F314" s="3410">
        <v>1</v>
      </c>
      <c r="G314" s="3411">
        <f t="shared" si="30"/>
        <v>14645832</v>
      </c>
      <c r="H314" s="3411"/>
      <c r="I314" s="3411">
        <f t="shared" si="31"/>
        <v>14645832</v>
      </c>
    </row>
    <row r="315" spans="1:9" ht="13.2">
      <c r="A315" s="3349" t="s">
        <v>1160</v>
      </c>
      <c r="B315" s="2822"/>
      <c r="C315" s="3349">
        <f>'SCH B-2.3'!C328</f>
        <v>19100</v>
      </c>
      <c r="D315" s="2118" t="str">
        <f>'SCH B-2.3'!D328</f>
        <v>Office Furniture &amp; Equipment</v>
      </c>
      <c r="E315" s="3411">
        <f>'SCH B-2.3'!L328</f>
        <v>502844</v>
      </c>
      <c r="F315" s="3410">
        <v>1</v>
      </c>
      <c r="G315" s="3411">
        <f t="shared" si="30"/>
        <v>502844</v>
      </c>
      <c r="H315" s="3411"/>
      <c r="I315" s="3411">
        <f t="shared" si="31"/>
        <v>502844</v>
      </c>
    </row>
    <row r="316" spans="1:9" ht="13.2">
      <c r="A316" s="3349" t="s">
        <v>1412</v>
      </c>
      <c r="B316" s="2822"/>
      <c r="C316" s="3349">
        <f>'SCH B-2.3'!C329</f>
        <v>19101</v>
      </c>
      <c r="D316" s="2118" t="str">
        <f>'SCH B-2.3'!D329</f>
        <v>Electronic Data Processing</v>
      </c>
      <c r="E316" s="3411">
        <f>'SCH B-2.3'!L329</f>
        <v>807217</v>
      </c>
      <c r="F316" s="3410">
        <v>1</v>
      </c>
      <c r="G316" s="3411">
        <f t="shared" si="30"/>
        <v>807217</v>
      </c>
      <c r="H316" s="3411"/>
      <c r="I316" s="3411">
        <f t="shared" si="31"/>
        <v>807217</v>
      </c>
    </row>
    <row r="317" spans="1:9" ht="13.2">
      <c r="A317" s="3349" t="s">
        <v>2679</v>
      </c>
      <c r="B317" s="2822"/>
      <c r="C317" s="3349">
        <f>'SCH B-2.3'!C330</f>
        <v>19300</v>
      </c>
      <c r="D317" s="2118" t="str">
        <f>'SCH B-2.3'!D330</f>
        <v>Stores Equipment</v>
      </c>
      <c r="E317" s="3411">
        <f>'SCH B-2.3'!L330</f>
        <v>0</v>
      </c>
      <c r="F317" s="3410">
        <v>1</v>
      </c>
      <c r="G317" s="3411">
        <f t="shared" si="30"/>
        <v>0</v>
      </c>
      <c r="H317" s="3411"/>
      <c r="I317" s="3411">
        <f t="shared" si="31"/>
        <v>0</v>
      </c>
    </row>
    <row r="318" spans="1:9" ht="13.2">
      <c r="A318" s="3349" t="s">
        <v>2680</v>
      </c>
      <c r="B318" s="2822"/>
      <c r="C318" s="3349">
        <f>'SCH B-2.3'!C331</f>
        <v>19400</v>
      </c>
      <c r="D318" s="2118" t="str">
        <f>'SCH B-2.3'!D331</f>
        <v>Tools, Shop &amp; Garage Equipment</v>
      </c>
      <c r="E318" s="3411">
        <f>'SCH B-2.3'!L331</f>
        <v>121888</v>
      </c>
      <c r="F318" s="3410">
        <v>1</v>
      </c>
      <c r="G318" s="3411">
        <f t="shared" si="30"/>
        <v>121888</v>
      </c>
      <c r="H318" s="3411"/>
      <c r="I318" s="3411">
        <f t="shared" si="31"/>
        <v>121888</v>
      </c>
    </row>
    <row r="319" spans="1:9" ht="13.2">
      <c r="A319" s="3349" t="s">
        <v>1413</v>
      </c>
      <c r="B319" s="2822"/>
      <c r="C319" s="3349">
        <f>'SCH B-2.3'!C332</f>
        <v>19700</v>
      </c>
      <c r="D319" s="2118" t="str">
        <f>'SCH B-2.3'!D332</f>
        <v>Communication Equipment</v>
      </c>
      <c r="E319" s="3411">
        <f>'SCH B-2.3'!L332</f>
        <v>8114194</v>
      </c>
      <c r="F319" s="3410">
        <v>1</v>
      </c>
      <c r="G319" s="3411">
        <f t="shared" si="30"/>
        <v>8114194</v>
      </c>
      <c r="H319" s="3411"/>
      <c r="I319" s="3411">
        <f t="shared" si="31"/>
        <v>8114194</v>
      </c>
    </row>
    <row r="320" spans="1:9" ht="13.2">
      <c r="A320" s="3349" t="s">
        <v>2681</v>
      </c>
      <c r="B320" s="2822"/>
      <c r="C320" s="3349">
        <f>'SCH B-2.3'!C333</f>
        <v>19800</v>
      </c>
      <c r="D320" s="2118" t="str">
        <f>'SCH B-2.3'!D333</f>
        <v>Miscellaneous Equipment</v>
      </c>
      <c r="E320" s="3411">
        <f>'SCH B-2.3'!L333</f>
        <v>41504</v>
      </c>
      <c r="F320" s="3410">
        <v>1</v>
      </c>
      <c r="G320" s="3411">
        <f t="shared" si="30"/>
        <v>41504</v>
      </c>
      <c r="H320" s="3411"/>
      <c r="I320" s="3411">
        <f t="shared" si="31"/>
        <v>41504</v>
      </c>
    </row>
    <row r="321" spans="1:11" ht="13.2">
      <c r="A321" s="3349" t="s">
        <v>2682</v>
      </c>
      <c r="B321" s="2822"/>
      <c r="C321" s="3349"/>
      <c r="D321" s="2118" t="str">
        <f>'SCH B-2.3'!D334</f>
        <v>Asset Retirement Cost Obligation</v>
      </c>
      <c r="E321" s="3411">
        <f>'SCH B-2.3'!L334</f>
        <v>314111</v>
      </c>
      <c r="F321" s="3410">
        <v>1</v>
      </c>
      <c r="G321" s="3411">
        <f t="shared" ref="G321" si="32">ROUND(E321*F321,0)</f>
        <v>314111</v>
      </c>
      <c r="H321" s="3411"/>
      <c r="I321" s="3411">
        <f t="shared" ref="I321" si="33">G321+H321</f>
        <v>314111</v>
      </c>
    </row>
    <row r="322" spans="1:11" ht="13.2">
      <c r="A322" s="2822"/>
      <c r="B322" s="2822"/>
      <c r="C322" s="2822"/>
      <c r="D322" s="2822"/>
      <c r="E322" s="2822"/>
      <c r="F322" s="3412"/>
      <c r="G322" s="2822"/>
      <c r="H322" s="2822"/>
      <c r="I322" s="2822"/>
    </row>
    <row r="323" spans="1:11" ht="13.2">
      <c r="A323" s="2103"/>
      <c r="B323" s="2103"/>
      <c r="C323" s="2103"/>
      <c r="D323" s="2103"/>
      <c r="E323" s="2106"/>
      <c r="F323" s="2107"/>
      <c r="G323" s="2106"/>
      <c r="H323" s="2106"/>
      <c r="I323" s="2106"/>
    </row>
    <row r="324" spans="1:11" ht="13.2">
      <c r="A324" s="3349">
        <f>A321+1</f>
        <v>11</v>
      </c>
      <c r="B324" s="2822"/>
      <c r="C324" s="2822"/>
      <c r="D324" s="3346" t="s">
        <v>1321</v>
      </c>
      <c r="E324" s="3411">
        <f>SUM(E312:E322)</f>
        <v>47033910</v>
      </c>
      <c r="F324" s="3410"/>
      <c r="G324" s="3411">
        <f>SUM(G312:G322)</f>
        <v>47033910</v>
      </c>
      <c r="H324" s="3411">
        <f>SUM(H312:H322)</f>
        <v>0</v>
      </c>
      <c r="I324" s="3411">
        <f>SUM(I312:I322)</f>
        <v>47033910</v>
      </c>
      <c r="K324" s="3431" t="str">
        <f>IF(E324='SCH B-2.3'!L337,"BALANCED","ERROR")</f>
        <v>BALANCED</v>
      </c>
    </row>
    <row r="325" spans="1:11" ht="13.2">
      <c r="A325" s="2822"/>
      <c r="B325" s="2822"/>
      <c r="C325" s="2822"/>
      <c r="D325" s="2822"/>
      <c r="E325" s="2822"/>
      <c r="F325" s="3412"/>
      <c r="G325" s="2822"/>
      <c r="H325" s="2822"/>
      <c r="I325" s="2822"/>
    </row>
    <row r="326" spans="1:11" ht="13.2">
      <c r="A326" s="2103"/>
      <c r="B326" s="2103"/>
      <c r="C326" s="2103"/>
      <c r="D326" s="2103"/>
      <c r="E326" s="2106"/>
      <c r="F326" s="2107"/>
      <c r="G326" s="2106"/>
      <c r="H326" s="2106"/>
      <c r="I326" s="2106"/>
    </row>
    <row r="327" spans="1:11" ht="13.2">
      <c r="A327" s="3349">
        <f>A324+1</f>
        <v>12</v>
      </c>
      <c r="B327" s="2822"/>
      <c r="C327" s="3410">
        <f>'SCH B-2.3'!C340</f>
        <v>0.27379999999999999</v>
      </c>
      <c r="D327" s="3346" t="s">
        <v>1322</v>
      </c>
      <c r="E327" s="3411">
        <f>ROUND(E324*C327,0)</f>
        <v>12877885</v>
      </c>
      <c r="F327" s="3410"/>
      <c r="G327" s="3411">
        <f>ROUND(G324*C327,0)</f>
        <v>12877885</v>
      </c>
      <c r="H327" s="3411">
        <f>ROUND(H324*$C$160,0)</f>
        <v>0</v>
      </c>
      <c r="I327" s="3411">
        <f>ROUND(I324*$C$160,0)</f>
        <v>12877885</v>
      </c>
      <c r="K327" s="3431" t="str">
        <f>IF(E327='SCH B-2.3'!L340,"BALANCED","ERROR")</f>
        <v>BALANCED</v>
      </c>
    </row>
    <row r="328" spans="1:11" ht="13.2">
      <c r="A328" s="2822"/>
      <c r="B328" s="2822"/>
      <c r="C328" s="2822"/>
      <c r="D328" s="2822"/>
      <c r="E328" s="2822"/>
      <c r="F328" s="3412"/>
      <c r="G328" s="2822"/>
      <c r="H328" s="2822"/>
      <c r="I328" s="2822"/>
    </row>
    <row r="329" spans="1:11" ht="13.2">
      <c r="A329" s="2103"/>
      <c r="B329" s="2103"/>
      <c r="C329" s="2103"/>
      <c r="D329" s="2103"/>
      <c r="E329" s="2106"/>
      <c r="F329" s="2107"/>
      <c r="G329" s="2106"/>
      <c r="H329" s="2106"/>
      <c r="I329" s="2106"/>
    </row>
    <row r="330" spans="1:11" ht="13.2">
      <c r="A330" s="3349">
        <f>A327+1</f>
        <v>13</v>
      </c>
      <c r="B330" s="2822"/>
      <c r="C330" s="2822"/>
      <c r="D330" s="3346" t="s">
        <v>1323</v>
      </c>
      <c r="E330" s="3411">
        <f>E287+E327</f>
        <v>600958381</v>
      </c>
      <c r="F330" s="3410"/>
      <c r="G330" s="3411">
        <f>G287+G327</f>
        <v>600958381</v>
      </c>
      <c r="H330" s="3411">
        <f>H287+H327</f>
        <v>-12331190</v>
      </c>
      <c r="I330" s="3411">
        <f>I287+I327</f>
        <v>588627191</v>
      </c>
      <c r="K330" s="3431" t="str">
        <f>IF(E330='SCH B-2.3'!L343,"BALANCED","ERROR")</f>
        <v>BALANCED</v>
      </c>
    </row>
    <row r="331" spans="1:11" ht="13.2">
      <c r="A331" s="2822"/>
      <c r="B331" s="2822"/>
      <c r="C331" s="2822"/>
      <c r="D331" s="2822"/>
      <c r="E331" s="2822"/>
      <c r="F331" s="3412"/>
      <c r="G331" s="2822"/>
      <c r="H331" s="2822"/>
      <c r="I331" s="2822"/>
    </row>
    <row r="332" spans="1:11" ht="13.2">
      <c r="A332" s="2103"/>
      <c r="B332" s="2103"/>
      <c r="C332" s="2103"/>
      <c r="D332" s="2103"/>
      <c r="E332" s="2106"/>
      <c r="F332" s="2107"/>
      <c r="G332" s="2106"/>
      <c r="H332" s="2106"/>
      <c r="I332" s="2106"/>
    </row>
    <row r="333" spans="1:11" ht="13.2">
      <c r="A333" s="2822"/>
      <c r="B333" s="2822"/>
      <c r="C333" s="2822"/>
      <c r="D333" s="2822"/>
      <c r="E333" s="3411"/>
      <c r="F333" s="3410"/>
      <c r="G333" s="3411"/>
      <c r="H333" s="3411"/>
      <c r="I333" s="3411"/>
    </row>
  </sheetData>
  <phoneticPr fontId="55" type="noConversion"/>
  <printOptions horizontalCentered="1"/>
  <pageMargins left="1" right="0.75" top="1" bottom="1" header="0.5" footer="0.5"/>
  <pageSetup scale="67" orientation="landscape" horizontalDpi="300" r:id="rId1"/>
  <headerFooter alignWithMargins="0"/>
  <rowBreaks count="3" manualBreakCount="3">
    <brk id="32" max="9" man="1"/>
    <brk id="82" max="9" man="1"/>
    <brk id="123" max="9" man="1"/>
  </row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tabColor rgb="FF002060"/>
    <pageSetUpPr fitToPage="1"/>
  </sheetPr>
  <dimension ref="A1:N73"/>
  <sheetViews>
    <sheetView zoomScale="80" zoomScaleNormal="80" workbookViewId="0"/>
  </sheetViews>
  <sheetFormatPr defaultColWidth="8" defaultRowHeight="13.2"/>
  <cols>
    <col min="1" max="1" width="6" style="1627" customWidth="1"/>
    <col min="2" max="2" width="48.109375" style="1627" customWidth="1"/>
    <col min="3" max="3" width="9.44140625" style="1627" customWidth="1"/>
    <col min="4" max="4" width="18.6640625" style="1697" customWidth="1"/>
    <col min="5" max="5" width="14.109375" style="1627" customWidth="1"/>
    <col min="6" max="6" width="14.33203125" style="1627" customWidth="1"/>
    <col min="7" max="7" width="17.33203125" style="1627" customWidth="1"/>
    <col min="8" max="8" width="16.5546875" style="1627" customWidth="1"/>
    <col min="9" max="9" width="16.44140625" style="1627" customWidth="1"/>
    <col min="10" max="10" width="14.33203125" style="1627" customWidth="1"/>
    <col min="11" max="11" width="21.109375" style="1627" customWidth="1"/>
    <col min="12" max="12" width="17.5546875" style="1627" customWidth="1"/>
    <col min="13" max="13" width="16.109375" style="1627" customWidth="1"/>
    <col min="14" max="14" width="15.6640625" style="1627" bestFit="1" customWidth="1"/>
    <col min="15" max="16384" width="8" style="1627"/>
  </cols>
  <sheetData>
    <row r="1" spans="1:14">
      <c r="A1" s="1732" t="str">
        <f>COMPANY</f>
        <v>DUKE ENERGY KENTUCKY, INC.</v>
      </c>
      <c r="B1" s="1732"/>
      <c r="C1" s="1732"/>
      <c r="D1" s="1732"/>
      <c r="E1" s="1732"/>
      <c r="F1" s="1732"/>
      <c r="G1" s="1732"/>
      <c r="H1" s="1732"/>
      <c r="I1" s="1732"/>
      <c r="J1" s="1732"/>
      <c r="K1" s="1732"/>
      <c r="L1" s="1732"/>
      <c r="M1" s="1732"/>
      <c r="N1" s="1628"/>
    </row>
    <row r="2" spans="1:14">
      <c r="A2" s="1732" t="str">
        <f>CASE</f>
        <v>CASE NO. 2018-00261</v>
      </c>
      <c r="B2" s="1732"/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628"/>
    </row>
    <row r="3" spans="1:14">
      <c r="A3" s="1733" t="s">
        <v>84</v>
      </c>
      <c r="B3" s="1733"/>
      <c r="C3" s="1733"/>
      <c r="D3" s="1733"/>
      <c r="E3" s="1733"/>
      <c r="F3" s="1733"/>
      <c r="G3" s="1733"/>
      <c r="H3" s="1733"/>
      <c r="I3" s="1733"/>
      <c r="J3" s="1733"/>
      <c r="K3" s="1733"/>
      <c r="L3" s="1733"/>
      <c r="M3" s="1733"/>
      <c r="N3" s="1693"/>
    </row>
    <row r="4" spans="1:14">
      <c r="A4" s="1625" t="s">
        <v>1710</v>
      </c>
      <c r="B4" s="1733"/>
      <c r="C4" s="1733"/>
      <c r="D4" s="1733"/>
      <c r="E4" s="1733"/>
      <c r="F4" s="1733"/>
      <c r="G4" s="1733"/>
      <c r="H4" s="1733"/>
      <c r="I4" s="1733"/>
      <c r="J4" s="1733"/>
      <c r="K4" s="1733"/>
      <c r="L4" s="1733"/>
      <c r="M4" s="1733"/>
      <c r="N4" s="1693"/>
    </row>
    <row r="5" spans="1:14">
      <c r="A5" s="1732" t="s">
        <v>1711</v>
      </c>
      <c r="B5" s="1732"/>
      <c r="C5" s="1732"/>
      <c r="D5" s="1732"/>
      <c r="E5" s="1732"/>
      <c r="F5" s="1732"/>
      <c r="G5" s="1732"/>
      <c r="H5" s="1732"/>
      <c r="I5" s="1732"/>
      <c r="J5" s="1732"/>
      <c r="K5" s="1732"/>
      <c r="L5" s="1732"/>
      <c r="M5" s="1732"/>
      <c r="N5" s="1628"/>
    </row>
    <row r="6" spans="1:14">
      <c r="A6" s="1732"/>
      <c r="B6" s="1732"/>
      <c r="C6" s="1732"/>
      <c r="D6" s="1734"/>
      <c r="E6" s="1735"/>
      <c r="F6" s="1734"/>
      <c r="G6" s="1736"/>
      <c r="H6" s="1736"/>
      <c r="I6" s="1734"/>
      <c r="J6" s="1734"/>
      <c r="K6" s="1736"/>
      <c r="L6" s="1736"/>
      <c r="M6" s="1737"/>
    </row>
    <row r="7" spans="1:14">
      <c r="A7" s="1634" t="str">
        <f>DataF</f>
        <v>DATA:  BASE PERIOD  "X" FORECASTED PERIOD</v>
      </c>
      <c r="B7" s="1603"/>
      <c r="C7" s="1603"/>
      <c r="D7" s="1738"/>
      <c r="E7" s="1739"/>
      <c r="F7" s="1603"/>
      <c r="G7" s="1614"/>
      <c r="H7" s="1614"/>
      <c r="I7" s="1614"/>
      <c r="J7" s="1614"/>
      <c r="K7" s="1603"/>
      <c r="L7" s="1616" t="s">
        <v>85</v>
      </c>
      <c r="M7" s="1603"/>
    </row>
    <row r="8" spans="1:14">
      <c r="A8" s="1635" t="s">
        <v>2517</v>
      </c>
      <c r="B8" s="1603"/>
      <c r="C8" s="1603"/>
      <c r="D8" s="1738"/>
      <c r="E8" s="1603"/>
      <c r="F8" s="1603"/>
      <c r="G8" s="1614"/>
      <c r="H8" s="1614"/>
      <c r="I8" s="1614"/>
      <c r="J8" s="1614"/>
      <c r="K8" s="1603"/>
      <c r="L8" s="1616" t="s">
        <v>762</v>
      </c>
      <c r="M8" s="1603"/>
    </row>
    <row r="9" spans="1:14">
      <c r="A9" s="1616" t="str">
        <f>Type</f>
        <v xml:space="preserve">TYPE OF FILING:  "X" ORIGINAL   UPDATED    REVISED  </v>
      </c>
      <c r="B9" s="1603"/>
      <c r="C9" s="1603"/>
      <c r="D9" s="1738"/>
      <c r="E9" s="1603"/>
      <c r="F9" s="1603"/>
      <c r="G9" s="1614"/>
      <c r="H9" s="1614"/>
      <c r="I9" s="1614"/>
      <c r="J9" s="1603"/>
      <c r="K9" s="1603"/>
      <c r="L9" s="1616" t="s">
        <v>566</v>
      </c>
      <c r="M9" s="1603"/>
      <c r="N9" s="1698"/>
    </row>
    <row r="10" spans="1:14">
      <c r="A10" s="1616" t="s">
        <v>852</v>
      </c>
      <c r="B10" s="1603"/>
      <c r="C10" s="1603"/>
      <c r="D10" s="1738"/>
      <c r="E10" s="1603"/>
      <c r="F10" s="1603"/>
      <c r="G10" s="1603"/>
      <c r="H10" s="1603"/>
      <c r="I10" s="1603"/>
      <c r="J10" s="1603"/>
      <c r="K10" s="1603"/>
      <c r="L10" s="1635" t="str">
        <f>_WIT9</f>
        <v>R. H. PRATT</v>
      </c>
      <c r="M10" s="1603"/>
      <c r="N10" s="1698"/>
    </row>
    <row r="11" spans="1:14">
      <c r="A11" s="1607"/>
      <c r="B11" s="1607"/>
      <c r="C11" s="1607"/>
      <c r="D11" s="1607"/>
      <c r="E11" s="1607"/>
      <c r="F11" s="1607"/>
      <c r="G11" s="1607"/>
      <c r="H11" s="1607"/>
      <c r="I11" s="1607"/>
      <c r="J11" s="1607"/>
      <c r="K11" s="1607"/>
      <c r="L11" s="1607"/>
      <c r="M11" s="1607"/>
      <c r="N11" s="1678"/>
    </row>
    <row r="12" spans="1:14">
      <c r="A12" s="1599"/>
      <c r="B12" s="1599"/>
      <c r="C12" s="1599"/>
      <c r="D12" s="1599"/>
      <c r="E12" s="1599"/>
      <c r="F12" s="1599"/>
      <c r="G12" s="1599"/>
      <c r="H12" s="1599"/>
      <c r="I12" s="1599"/>
      <c r="J12" s="1599"/>
      <c r="K12" s="1599"/>
      <c r="L12" s="1599"/>
      <c r="M12" s="1714"/>
    </row>
    <row r="13" spans="1:14">
      <c r="A13" s="1603"/>
      <c r="B13" s="3599" t="s">
        <v>86</v>
      </c>
      <c r="C13" s="3599"/>
      <c r="D13" s="3599"/>
      <c r="E13" s="1602" t="s">
        <v>568</v>
      </c>
      <c r="F13" s="1602" t="s">
        <v>87</v>
      </c>
      <c r="G13" s="1603"/>
      <c r="H13" s="1602" t="s">
        <v>88</v>
      </c>
      <c r="I13" s="1602" t="s">
        <v>89</v>
      </c>
      <c r="J13" s="1602" t="s">
        <v>89</v>
      </c>
      <c r="K13" s="1602" t="s">
        <v>90</v>
      </c>
      <c r="L13" s="1603"/>
      <c r="M13" s="1602" t="s">
        <v>91</v>
      </c>
    </row>
    <row r="14" spans="1:14">
      <c r="A14" s="1602" t="s">
        <v>567</v>
      </c>
      <c r="B14" s="3599" t="s">
        <v>92</v>
      </c>
      <c r="C14" s="3599"/>
      <c r="D14" s="3599"/>
      <c r="E14" s="1602" t="s">
        <v>93</v>
      </c>
      <c r="F14" s="1602" t="s">
        <v>568</v>
      </c>
      <c r="G14" s="1602" t="s">
        <v>94</v>
      </c>
      <c r="H14" s="1602" t="s">
        <v>2098</v>
      </c>
      <c r="I14" s="1602" t="s">
        <v>95</v>
      </c>
      <c r="J14" s="1602" t="s">
        <v>2130</v>
      </c>
      <c r="K14" s="1602" t="s">
        <v>96</v>
      </c>
      <c r="L14" s="1602" t="s">
        <v>97</v>
      </c>
      <c r="M14" s="1602" t="s">
        <v>1904</v>
      </c>
    </row>
    <row r="15" spans="1:14">
      <c r="A15" s="1602" t="s">
        <v>2169</v>
      </c>
      <c r="B15" s="3599" t="s">
        <v>1902</v>
      </c>
      <c r="C15" s="3599"/>
      <c r="D15" s="3599"/>
      <c r="E15" s="1602" t="s">
        <v>98</v>
      </c>
      <c r="F15" s="1602" t="s">
        <v>98</v>
      </c>
      <c r="G15" s="1602" t="s">
        <v>2098</v>
      </c>
      <c r="H15" s="1602" t="s">
        <v>1715</v>
      </c>
      <c r="I15" s="1602" t="s">
        <v>99</v>
      </c>
      <c r="J15" s="1602" t="s">
        <v>1845</v>
      </c>
      <c r="K15" s="1602" t="s">
        <v>2130</v>
      </c>
      <c r="L15" s="1602" t="s">
        <v>100</v>
      </c>
      <c r="M15" s="1602" t="s">
        <v>101</v>
      </c>
    </row>
    <row r="16" spans="1:14">
      <c r="A16" s="1603"/>
      <c r="B16" s="1603"/>
      <c r="C16" s="1603"/>
      <c r="D16" s="1603"/>
      <c r="E16" s="1602" t="s">
        <v>837</v>
      </c>
      <c r="F16" s="1602" t="s">
        <v>873</v>
      </c>
      <c r="G16" s="1602" t="s">
        <v>845</v>
      </c>
      <c r="H16" s="1602" t="s">
        <v>1042</v>
      </c>
      <c r="I16" s="1602" t="s">
        <v>718</v>
      </c>
      <c r="J16" s="1602" t="s">
        <v>840</v>
      </c>
      <c r="K16" s="1602" t="s">
        <v>842</v>
      </c>
      <c r="L16" s="1602" t="s">
        <v>102</v>
      </c>
      <c r="M16" s="1602" t="s">
        <v>1043</v>
      </c>
    </row>
    <row r="17" spans="1:14">
      <c r="A17" s="1607"/>
      <c r="B17" s="1607"/>
      <c r="C17" s="1607"/>
      <c r="D17" s="1607"/>
      <c r="E17" s="1607"/>
      <c r="F17" s="1607"/>
      <c r="G17" s="1607"/>
      <c r="H17" s="1607"/>
      <c r="I17" s="1607"/>
      <c r="J17" s="1607"/>
      <c r="K17" s="1607"/>
      <c r="L17" s="1607"/>
      <c r="M17" s="1607"/>
    </row>
    <row r="18" spans="1:14">
      <c r="A18" s="1599"/>
      <c r="B18" s="1599"/>
      <c r="C18" s="1599"/>
      <c r="D18" s="1599"/>
      <c r="E18" s="1599"/>
      <c r="F18" s="1599"/>
      <c r="G18" s="1599"/>
      <c r="H18" s="1599"/>
      <c r="I18" s="1599"/>
      <c r="J18" s="1599"/>
      <c r="K18" s="1599"/>
      <c r="L18" s="1599"/>
      <c r="M18" s="1599"/>
    </row>
    <row r="19" spans="1:14">
      <c r="A19" s="1602">
        <v>1</v>
      </c>
      <c r="B19" s="1609" t="s">
        <v>2456</v>
      </c>
      <c r="C19" s="1616"/>
      <c r="D19" s="1603"/>
      <c r="E19" s="1603"/>
      <c r="F19" s="1603"/>
      <c r="G19" s="1603"/>
      <c r="H19" s="1603"/>
      <c r="I19" s="1603"/>
      <c r="J19" s="1603"/>
      <c r="K19" s="1603"/>
      <c r="L19" s="1603"/>
      <c r="M19" s="1603"/>
    </row>
    <row r="20" spans="1:14">
      <c r="A20" s="1602">
        <v>2</v>
      </c>
      <c r="B20" s="1609"/>
      <c r="C20" s="1616"/>
      <c r="D20" s="1603"/>
      <c r="E20" s="1603"/>
      <c r="F20" s="1603"/>
      <c r="G20" s="1603"/>
      <c r="H20" s="1603"/>
      <c r="I20" s="1603"/>
      <c r="J20" s="1603"/>
      <c r="K20" s="1603"/>
      <c r="L20" s="1603"/>
      <c r="M20" s="1603"/>
    </row>
    <row r="21" spans="1:14">
      <c r="A21" s="1602">
        <v>3</v>
      </c>
      <c r="B21" s="1611" t="s">
        <v>2262</v>
      </c>
      <c r="C21" s="1715"/>
      <c r="D21" s="1716">
        <v>8.6337730154361636E-2</v>
      </c>
      <c r="E21" s="1717">
        <v>39081</v>
      </c>
      <c r="F21" s="1717">
        <v>44104</v>
      </c>
      <c r="G21" s="1718">
        <v>2100000</v>
      </c>
      <c r="H21" s="1718">
        <v>33445</v>
      </c>
      <c r="I21" s="1719">
        <v>0</v>
      </c>
      <c r="J21" s="1719">
        <v>0</v>
      </c>
      <c r="K21" s="1719">
        <v>0</v>
      </c>
      <c r="L21" s="1613">
        <f>H21+I21-J21-K21</f>
        <v>33445</v>
      </c>
      <c r="M21" s="1708">
        <f>ROUND(L21*D21,0)</f>
        <v>2888</v>
      </c>
      <c r="N21" s="1702"/>
    </row>
    <row r="22" spans="1:14">
      <c r="A22" s="1602">
        <v>4</v>
      </c>
      <c r="B22" s="1611"/>
      <c r="C22" s="1715"/>
      <c r="D22" s="1716"/>
      <c r="E22" s="1717"/>
      <c r="F22" s="1717"/>
      <c r="G22" s="1719"/>
      <c r="H22" s="1718"/>
      <c r="I22" s="1719"/>
      <c r="J22" s="1719"/>
      <c r="K22" s="1719"/>
      <c r="L22" s="1613"/>
      <c r="M22" s="1700"/>
      <c r="N22" s="1702"/>
    </row>
    <row r="23" spans="1:14">
      <c r="A23" s="2952">
        <v>5</v>
      </c>
      <c r="B23" s="1720" t="s">
        <v>2449</v>
      </c>
      <c r="C23" s="1721"/>
      <c r="D23" s="1722"/>
      <c r="E23" s="1723"/>
      <c r="F23" s="1723"/>
      <c r="G23" s="1723"/>
      <c r="H23" s="1723"/>
      <c r="I23" s="1723"/>
      <c r="J23" s="1723"/>
      <c r="K23" s="1723"/>
      <c r="L23" s="1603"/>
      <c r="M23" s="1596"/>
      <c r="N23" s="1702"/>
    </row>
    <row r="24" spans="1:14">
      <c r="A24" s="2952">
        <v>6</v>
      </c>
      <c r="B24" s="1720"/>
      <c r="C24" s="1721"/>
      <c r="D24" s="1722"/>
      <c r="E24" s="1723"/>
      <c r="F24" s="1723"/>
      <c r="G24" s="1723"/>
      <c r="H24" s="1723"/>
      <c r="I24" s="1723"/>
      <c r="J24" s="1723"/>
      <c r="K24" s="1723"/>
      <c r="L24" s="1603"/>
      <c r="M24" s="1596"/>
      <c r="N24" s="1702"/>
    </row>
    <row r="25" spans="1:14">
      <c r="A25" s="2952">
        <v>7</v>
      </c>
      <c r="B25" s="1627" t="s">
        <v>103</v>
      </c>
      <c r="C25" s="2984"/>
      <c r="D25" s="1745"/>
      <c r="E25" s="1723"/>
      <c r="F25" s="1723"/>
      <c r="G25" s="1723"/>
      <c r="H25" s="1723"/>
      <c r="I25" s="1723"/>
      <c r="J25" s="1723"/>
      <c r="K25" s="1719">
        <v>9819</v>
      </c>
      <c r="L25" s="1613">
        <f t="shared" ref="L25:L30" si="0">H25+I25-J25-K25</f>
        <v>-9819</v>
      </c>
      <c r="M25" s="1719">
        <v>9064</v>
      </c>
      <c r="N25" s="1702"/>
    </row>
    <row r="26" spans="1:14">
      <c r="A26" s="2952">
        <v>8</v>
      </c>
      <c r="B26" s="1627" t="s">
        <v>1373</v>
      </c>
      <c r="C26" s="2984"/>
      <c r="D26" s="1745"/>
      <c r="E26" s="1723"/>
      <c r="F26" s="1723"/>
      <c r="G26" s="1723"/>
      <c r="H26" s="1723"/>
      <c r="I26" s="1723"/>
      <c r="J26" s="1723"/>
      <c r="K26" s="2985">
        <v>30688</v>
      </c>
      <c r="L26" s="1613">
        <f t="shared" si="0"/>
        <v>-30688</v>
      </c>
      <c r="M26" s="1719">
        <v>23064</v>
      </c>
      <c r="N26" s="1702"/>
    </row>
    <row r="27" spans="1:14">
      <c r="A27" s="2952">
        <v>9</v>
      </c>
      <c r="B27" s="1627" t="s">
        <v>2264</v>
      </c>
      <c r="C27" s="2984"/>
      <c r="D27" s="1745"/>
      <c r="E27" s="1723"/>
      <c r="F27" s="1723"/>
      <c r="G27" s="1723"/>
      <c r="H27" s="1723"/>
      <c r="I27" s="1723"/>
      <c r="J27" s="1723"/>
      <c r="K27" s="2985">
        <v>370128</v>
      </c>
      <c r="L27" s="1613">
        <f t="shared" si="0"/>
        <v>-370128</v>
      </c>
      <c r="M27" s="1719">
        <v>63938</v>
      </c>
      <c r="N27" s="1702"/>
    </row>
    <row r="28" spans="1:14">
      <c r="A28" s="2952">
        <v>10</v>
      </c>
      <c r="B28" s="1627" t="s">
        <v>2265</v>
      </c>
      <c r="C28" s="2984"/>
      <c r="D28" s="1745"/>
      <c r="E28" s="1723"/>
      <c r="F28" s="1723"/>
      <c r="G28" s="1723"/>
      <c r="H28" s="1723"/>
      <c r="I28" s="1723"/>
      <c r="J28" s="1723"/>
      <c r="K28" s="2985">
        <v>164278</v>
      </c>
      <c r="L28" s="1613">
        <f t="shared" si="0"/>
        <v>-164278</v>
      </c>
      <c r="M28" s="1719">
        <v>38654</v>
      </c>
      <c r="N28" s="1702"/>
    </row>
    <row r="29" spans="1:14">
      <c r="A29" s="2952">
        <v>11</v>
      </c>
      <c r="B29" s="1627" t="s">
        <v>2266</v>
      </c>
      <c r="C29" s="2984"/>
      <c r="D29" s="1745"/>
      <c r="E29" s="1723"/>
      <c r="F29" s="1723"/>
      <c r="G29" s="1723"/>
      <c r="H29" s="1723"/>
      <c r="I29" s="1723"/>
      <c r="J29" s="1723"/>
      <c r="K29" s="2985">
        <v>15270</v>
      </c>
      <c r="L29" s="1613">
        <f t="shared" si="0"/>
        <v>-15270</v>
      </c>
      <c r="M29" s="1719">
        <v>4563</v>
      </c>
      <c r="N29" s="1702"/>
    </row>
    <row r="30" spans="1:14">
      <c r="A30" s="2952">
        <v>12</v>
      </c>
      <c r="B30" s="1627" t="s">
        <v>2267</v>
      </c>
      <c r="C30" s="2984"/>
      <c r="D30" s="1745"/>
      <c r="E30" s="1723"/>
      <c r="F30" s="1723"/>
      <c r="G30" s="1723"/>
      <c r="H30" s="1723"/>
      <c r="I30" s="1723"/>
      <c r="J30" s="1723"/>
      <c r="K30" s="2985">
        <v>125448</v>
      </c>
      <c r="L30" s="1613">
        <f t="shared" si="0"/>
        <v>-125448</v>
      </c>
      <c r="M30" s="1719">
        <v>15569</v>
      </c>
      <c r="N30" s="1702"/>
    </row>
    <row r="31" spans="1:14">
      <c r="A31" s="2952">
        <v>13</v>
      </c>
      <c r="B31" s="1603"/>
      <c r="C31" s="1746"/>
      <c r="D31" s="1745"/>
      <c r="E31" s="1723"/>
      <c r="F31" s="1723"/>
      <c r="G31" s="1723"/>
      <c r="H31" s="1723"/>
      <c r="I31" s="1723"/>
      <c r="J31" s="1723"/>
      <c r="K31" s="1725"/>
      <c r="L31" s="1613"/>
      <c r="M31" s="1725"/>
      <c r="N31" s="1702"/>
    </row>
    <row r="32" spans="1:14">
      <c r="A32" s="2952">
        <v>14</v>
      </c>
      <c r="B32" s="1720" t="s">
        <v>2450</v>
      </c>
      <c r="C32" s="1727"/>
      <c r="D32" s="1728"/>
      <c r="E32" s="1726"/>
      <c r="F32" s="1726"/>
      <c r="G32" s="1718"/>
      <c r="H32" s="1718"/>
      <c r="I32" s="1719"/>
      <c r="J32" s="1719"/>
      <c r="K32" s="1719"/>
      <c r="L32" s="1613"/>
      <c r="M32" s="1719"/>
      <c r="N32" s="1702"/>
    </row>
    <row r="33" spans="1:14">
      <c r="A33" s="2952">
        <v>15</v>
      </c>
      <c r="B33" s="1704" t="s">
        <v>2451</v>
      </c>
      <c r="C33" s="1716">
        <v>2.8834692307692308E-2</v>
      </c>
      <c r="D33" s="1716" t="s">
        <v>1374</v>
      </c>
      <c r="E33" s="1726"/>
      <c r="F33" s="1726">
        <v>44636</v>
      </c>
      <c r="G33" s="1718">
        <v>25000000</v>
      </c>
      <c r="H33" s="1718">
        <v>25000000</v>
      </c>
      <c r="I33" s="1719">
        <v>0</v>
      </c>
      <c r="J33" s="1719">
        <v>0</v>
      </c>
      <c r="K33" s="1719">
        <v>0</v>
      </c>
      <c r="L33" s="1613">
        <f>H33+I33-J33-K33</f>
        <v>25000000</v>
      </c>
      <c r="M33" s="1718">
        <v>720867</v>
      </c>
      <c r="N33" s="1702"/>
    </row>
    <row r="34" spans="1:14">
      <c r="A34" s="2952">
        <v>16</v>
      </c>
      <c r="B34" s="1704" t="s">
        <v>166</v>
      </c>
      <c r="C34" s="1716">
        <v>3.8600000000000002E-2</v>
      </c>
      <c r="D34" s="1716" t="s">
        <v>1374</v>
      </c>
      <c r="E34" s="1726">
        <v>38924</v>
      </c>
      <c r="F34" s="1726">
        <v>46600</v>
      </c>
      <c r="G34" s="1718">
        <v>26720000</v>
      </c>
      <c r="H34" s="1718">
        <v>26720000</v>
      </c>
      <c r="I34" s="1719">
        <v>0</v>
      </c>
      <c r="J34" s="2985">
        <v>156033</v>
      </c>
      <c r="K34" s="1719">
        <v>0</v>
      </c>
      <c r="L34" s="1613">
        <f>H34+I34-J34-K34</f>
        <v>26563967</v>
      </c>
      <c r="M34" s="1718">
        <v>1051311</v>
      </c>
      <c r="N34" s="1702"/>
    </row>
    <row r="35" spans="1:14">
      <c r="A35" s="2952">
        <v>17</v>
      </c>
      <c r="B35" s="1704" t="s">
        <v>166</v>
      </c>
      <c r="C35" s="1716" t="s">
        <v>2268</v>
      </c>
      <c r="D35" s="1716" t="s">
        <v>1374</v>
      </c>
      <c r="E35" s="1726">
        <v>39785</v>
      </c>
      <c r="F35" s="1726">
        <v>46600</v>
      </c>
      <c r="G35" s="1718">
        <v>50000000</v>
      </c>
      <c r="H35" s="1718">
        <v>50000000</v>
      </c>
      <c r="I35" s="1719">
        <v>0</v>
      </c>
      <c r="J35" s="2985">
        <v>184656</v>
      </c>
      <c r="K35" s="1719">
        <v>0</v>
      </c>
      <c r="L35" s="1613">
        <f t="shared" ref="L35:L52" si="1">H35+I35-J35-K35</f>
        <v>49815344</v>
      </c>
      <c r="M35" s="1718">
        <v>1338463</v>
      </c>
      <c r="N35" s="1702"/>
    </row>
    <row r="36" spans="1:14">
      <c r="A36" s="2952">
        <v>18</v>
      </c>
      <c r="B36" s="1704" t="s">
        <v>166</v>
      </c>
      <c r="C36" s="1716">
        <v>6.2E-2</v>
      </c>
      <c r="D36" s="1716" t="s">
        <v>1374</v>
      </c>
      <c r="E36" s="1726">
        <v>38786</v>
      </c>
      <c r="F36" s="1726">
        <v>49744</v>
      </c>
      <c r="G36" s="1718">
        <v>65000000</v>
      </c>
      <c r="H36" s="1718">
        <v>65000000</v>
      </c>
      <c r="I36" s="2985">
        <v>-201629</v>
      </c>
      <c r="J36" s="2985">
        <v>358188</v>
      </c>
      <c r="K36" s="1719">
        <v>0</v>
      </c>
      <c r="L36" s="1613">
        <f t="shared" si="1"/>
        <v>64440183</v>
      </c>
      <c r="M36" s="1718">
        <v>4064049</v>
      </c>
      <c r="N36" s="1702"/>
    </row>
    <row r="37" spans="1:14">
      <c r="A37" s="2952">
        <v>19</v>
      </c>
      <c r="B37" s="1704" t="s">
        <v>166</v>
      </c>
      <c r="C37" s="1716">
        <v>4.65E-2</v>
      </c>
      <c r="D37" s="1716" t="s">
        <v>1374</v>
      </c>
      <c r="E37" s="1726">
        <v>40078</v>
      </c>
      <c r="F37" s="1726">
        <v>43739</v>
      </c>
      <c r="G37" s="1718">
        <v>100000000</v>
      </c>
      <c r="H37" s="1718">
        <v>53846154</v>
      </c>
      <c r="I37" s="2985">
        <v>-5023</v>
      </c>
      <c r="J37" s="2985">
        <v>5673</v>
      </c>
      <c r="K37" s="1719"/>
      <c r="L37" s="1613">
        <f t="shared" si="1"/>
        <v>53835458</v>
      </c>
      <c r="M37" s="1718">
        <v>2514542</v>
      </c>
      <c r="N37" s="1702"/>
    </row>
    <row r="38" spans="1:14">
      <c r="A38" s="2952">
        <v>20</v>
      </c>
      <c r="B38" s="1704" t="s">
        <v>166</v>
      </c>
      <c r="C38" s="1716">
        <v>3.4200000000000001E-2</v>
      </c>
      <c r="D38" s="1716" t="s">
        <v>1374</v>
      </c>
      <c r="E38" s="1726">
        <v>42374</v>
      </c>
      <c r="F38" s="1726">
        <v>46037</v>
      </c>
      <c r="G38" s="1718">
        <v>45000000</v>
      </c>
      <c r="H38" s="1718">
        <v>45000000</v>
      </c>
      <c r="I38" s="1719">
        <v>0</v>
      </c>
      <c r="J38" s="2985">
        <v>149745</v>
      </c>
      <c r="K38" s="1719">
        <v>0</v>
      </c>
      <c r="L38" s="1613">
        <f t="shared" si="1"/>
        <v>44850255</v>
      </c>
      <c r="M38" s="1718">
        <v>1562811</v>
      </c>
      <c r="N38" s="1702"/>
    </row>
    <row r="39" spans="1:14">
      <c r="A39" s="2952">
        <v>21</v>
      </c>
      <c r="B39" s="1704" t="s">
        <v>166</v>
      </c>
      <c r="C39" s="1716">
        <v>4.4499999999999998E-2</v>
      </c>
      <c r="D39" s="1716" t="s">
        <v>1374</v>
      </c>
      <c r="E39" s="1726">
        <v>42374</v>
      </c>
      <c r="F39" s="1726">
        <v>53342</v>
      </c>
      <c r="G39" s="1718">
        <v>50000000</v>
      </c>
      <c r="H39" s="1718">
        <v>50000000</v>
      </c>
      <c r="I39" s="1719">
        <v>0</v>
      </c>
      <c r="J39" s="2985">
        <v>233075</v>
      </c>
      <c r="K39" s="1719">
        <v>0</v>
      </c>
      <c r="L39" s="1613">
        <f t="shared" si="1"/>
        <v>49766925</v>
      </c>
      <c r="M39" s="1718">
        <v>2233866</v>
      </c>
      <c r="N39" s="1702"/>
    </row>
    <row r="40" spans="1:14">
      <c r="A40" s="2952">
        <v>22</v>
      </c>
      <c r="B40" s="1704" t="s">
        <v>166</v>
      </c>
      <c r="C40" s="1716">
        <v>3.3500000000000002E-2</v>
      </c>
      <c r="D40" s="1716" t="s">
        <v>1374</v>
      </c>
      <c r="E40" s="1726">
        <v>42985</v>
      </c>
      <c r="F40" s="1726">
        <v>47376</v>
      </c>
      <c r="G40" s="1718">
        <v>30000000</v>
      </c>
      <c r="H40" s="1718">
        <v>30000000</v>
      </c>
      <c r="I40" s="1719">
        <v>0</v>
      </c>
      <c r="J40" s="2985">
        <v>103077</v>
      </c>
      <c r="K40" s="1719">
        <v>0</v>
      </c>
      <c r="L40" s="1613">
        <f t="shared" si="1"/>
        <v>29896923</v>
      </c>
      <c r="M40" s="1718">
        <v>1015354</v>
      </c>
      <c r="N40" s="1702"/>
    </row>
    <row r="41" spans="1:14">
      <c r="A41" s="2952">
        <v>23</v>
      </c>
      <c r="B41" s="1704" t="s">
        <v>166</v>
      </c>
      <c r="C41" s="1716">
        <v>4.1099999999999998E-2</v>
      </c>
      <c r="D41" s="1716" t="s">
        <v>1374</v>
      </c>
      <c r="E41" s="1726">
        <v>42985</v>
      </c>
      <c r="F41" s="1726">
        <v>53950</v>
      </c>
      <c r="G41" s="1718">
        <v>30000000</v>
      </c>
      <c r="H41" s="1718">
        <v>30000000</v>
      </c>
      <c r="I41" s="1719">
        <v>0</v>
      </c>
      <c r="J41" s="2985">
        <v>115906</v>
      </c>
      <c r="K41" s="1719">
        <v>0</v>
      </c>
      <c r="L41" s="1613">
        <f t="shared" si="1"/>
        <v>29884094</v>
      </c>
      <c r="M41" s="1718">
        <v>1237146</v>
      </c>
      <c r="N41" s="1702"/>
    </row>
    <row r="42" spans="1:14">
      <c r="A42" s="2952">
        <v>24</v>
      </c>
      <c r="B42" s="1704" t="s">
        <v>166</v>
      </c>
      <c r="C42" s="1716">
        <v>4.2599999999999999E-2</v>
      </c>
      <c r="D42" s="1716" t="s">
        <v>1374</v>
      </c>
      <c r="E42" s="1726">
        <v>42985</v>
      </c>
      <c r="F42" s="1726">
        <v>57595</v>
      </c>
      <c r="G42" s="1718">
        <v>30000000</v>
      </c>
      <c r="H42" s="1718">
        <v>30000000</v>
      </c>
      <c r="I42" s="1719">
        <v>0</v>
      </c>
      <c r="J42" s="2985">
        <v>118047</v>
      </c>
      <c r="K42" s="1719">
        <v>0</v>
      </c>
      <c r="L42" s="1613">
        <f t="shared" si="1"/>
        <v>29881953</v>
      </c>
      <c r="M42" s="1718">
        <v>1281110</v>
      </c>
      <c r="N42" s="1702"/>
    </row>
    <row r="43" spans="1:14">
      <c r="A43" s="2952">
        <v>25</v>
      </c>
      <c r="B43" s="1729" t="s">
        <v>2452</v>
      </c>
      <c r="C43" s="1716">
        <v>4.3499999999999997E-2</v>
      </c>
      <c r="D43" s="1716" t="s">
        <v>1374</v>
      </c>
      <c r="E43" s="1726">
        <v>43358</v>
      </c>
      <c r="F43" s="1726">
        <v>47011</v>
      </c>
      <c r="G43" s="1718">
        <v>50000000</v>
      </c>
      <c r="H43" s="1718">
        <v>50000000</v>
      </c>
      <c r="I43" s="1719">
        <v>0</v>
      </c>
      <c r="J43" s="2985">
        <v>191708</v>
      </c>
      <c r="K43" s="1719">
        <v>0</v>
      </c>
      <c r="L43" s="1613">
        <f t="shared" si="1"/>
        <v>49808292</v>
      </c>
      <c r="M43" s="1718">
        <v>2196500</v>
      </c>
      <c r="N43" s="1702"/>
    </row>
    <row r="44" spans="1:14">
      <c r="A44" s="2952">
        <v>26</v>
      </c>
      <c r="B44" s="1729" t="s">
        <v>2452</v>
      </c>
      <c r="C44" s="1716">
        <v>4.6600000000000003E-2</v>
      </c>
      <c r="D44" s="1716" t="s">
        <v>1374</v>
      </c>
      <c r="E44" s="1726">
        <v>43358</v>
      </c>
      <c r="F44" s="1726">
        <v>54316</v>
      </c>
      <c r="G44" s="1718">
        <v>50000000</v>
      </c>
      <c r="H44" s="1718">
        <v>50000000</v>
      </c>
      <c r="I44" s="1719">
        <v>0</v>
      </c>
      <c r="J44" s="2985">
        <v>207236</v>
      </c>
      <c r="K44" s="1719">
        <v>0</v>
      </c>
      <c r="L44" s="1613">
        <f t="shared" si="1"/>
        <v>49792764</v>
      </c>
      <c r="M44" s="1718">
        <v>2337167</v>
      </c>
      <c r="N44" s="1702"/>
    </row>
    <row r="45" spans="1:14">
      <c r="A45" s="2952">
        <v>27</v>
      </c>
      <c r="B45" s="1729" t="s">
        <v>2452</v>
      </c>
      <c r="C45" s="1716">
        <v>4.5999999999999999E-2</v>
      </c>
      <c r="D45" s="1716" t="s">
        <v>1374</v>
      </c>
      <c r="E45" s="1726">
        <v>43723</v>
      </c>
      <c r="F45" s="1726"/>
      <c r="G45" s="1718">
        <v>130000000</v>
      </c>
      <c r="H45" s="1718">
        <v>70000000</v>
      </c>
      <c r="I45" s="1719">
        <v>0</v>
      </c>
      <c r="J45" s="2985">
        <v>551014</v>
      </c>
      <c r="K45" s="1719">
        <v>0</v>
      </c>
      <c r="L45" s="1613">
        <f t="shared" si="1"/>
        <v>69448986</v>
      </c>
      <c r="M45" s="1718">
        <v>3232900</v>
      </c>
      <c r="N45" s="1702"/>
    </row>
    <row r="46" spans="1:14">
      <c r="A46" s="2952">
        <v>28</v>
      </c>
      <c r="B46" s="1704"/>
      <c r="C46" s="1716"/>
      <c r="D46" s="1716"/>
      <c r="E46" s="2984"/>
      <c r="F46" s="1726"/>
      <c r="G46" s="1718"/>
      <c r="H46" s="1718"/>
      <c r="I46" s="2997"/>
      <c r="J46" s="2985"/>
      <c r="K46" s="1719"/>
      <c r="L46" s="1613"/>
      <c r="M46" s="1718"/>
      <c r="N46" s="1702"/>
    </row>
    <row r="47" spans="1:14">
      <c r="A47" s="2952">
        <v>29</v>
      </c>
      <c r="B47" s="1704" t="s">
        <v>2453</v>
      </c>
      <c r="C47" s="2990"/>
      <c r="D47" s="1728"/>
      <c r="E47" s="1719">
        <v>0</v>
      </c>
      <c r="F47" s="1726">
        <v>45001</v>
      </c>
      <c r="G47" s="1719">
        <v>0</v>
      </c>
      <c r="H47" s="1719">
        <v>0</v>
      </c>
      <c r="I47" s="1748">
        <v>0</v>
      </c>
      <c r="J47" s="2985">
        <v>300412</v>
      </c>
      <c r="K47" s="1719">
        <v>0</v>
      </c>
      <c r="L47" s="1613">
        <f t="shared" si="1"/>
        <v>-300412</v>
      </c>
      <c r="M47" s="2985">
        <v>86866</v>
      </c>
      <c r="N47" s="1702"/>
    </row>
    <row r="48" spans="1:14">
      <c r="A48" s="2952">
        <v>30</v>
      </c>
      <c r="B48" s="1729" t="s">
        <v>2454</v>
      </c>
      <c r="C48" s="2990"/>
      <c r="D48" s="1728"/>
      <c r="E48" s="1719"/>
      <c r="F48" s="1726">
        <v>44971</v>
      </c>
      <c r="G48" s="1719">
        <v>0</v>
      </c>
      <c r="H48" s="1719">
        <v>0</v>
      </c>
      <c r="I48" s="1748">
        <v>0</v>
      </c>
      <c r="J48" s="1719">
        <v>38325</v>
      </c>
      <c r="K48" s="1719">
        <v>0</v>
      </c>
      <c r="L48" s="1613">
        <f t="shared" si="1"/>
        <v>-38325</v>
      </c>
      <c r="M48" s="2985">
        <v>11498</v>
      </c>
      <c r="N48" s="1702"/>
    </row>
    <row r="49" spans="1:14">
      <c r="A49" s="2952">
        <v>31</v>
      </c>
      <c r="B49" s="1704" t="s">
        <v>2455</v>
      </c>
      <c r="C49" s="2990"/>
      <c r="D49" s="1728"/>
      <c r="E49" s="1719"/>
      <c r="F49" s="1726"/>
      <c r="G49" s="1719"/>
      <c r="H49" s="1719"/>
      <c r="I49" s="1748"/>
      <c r="J49" s="2985"/>
      <c r="K49" s="1719"/>
      <c r="L49" s="1613"/>
      <c r="M49" s="2985">
        <v>257500</v>
      </c>
      <c r="N49" s="1702"/>
    </row>
    <row r="50" spans="1:14">
      <c r="A50" s="2952">
        <v>32</v>
      </c>
      <c r="B50" s="1704"/>
      <c r="C50" s="2990"/>
      <c r="D50" s="1728"/>
      <c r="E50" s="1719"/>
      <c r="F50" s="1726"/>
      <c r="G50" s="1719"/>
      <c r="H50" s="1718"/>
      <c r="I50" s="1748"/>
      <c r="J50" s="1718"/>
      <c r="K50" s="1719"/>
      <c r="L50" s="1613"/>
      <c r="M50" s="2985"/>
      <c r="N50" s="1702"/>
    </row>
    <row r="51" spans="1:14">
      <c r="A51" s="2952">
        <v>33</v>
      </c>
      <c r="B51" s="1720" t="s">
        <v>2457</v>
      </c>
      <c r="C51" s="2990"/>
      <c r="D51" s="1728"/>
      <c r="E51" s="1719"/>
      <c r="F51" s="1726"/>
      <c r="G51" s="1719"/>
      <c r="H51" s="1719"/>
      <c r="I51" s="1719"/>
      <c r="J51" s="2985"/>
      <c r="K51" s="1719"/>
      <c r="L51" s="1613"/>
      <c r="M51" s="2986"/>
      <c r="N51" s="1702"/>
    </row>
    <row r="52" spans="1:14">
      <c r="A52" s="2952">
        <v>34</v>
      </c>
      <c r="B52" s="1611" t="s">
        <v>166</v>
      </c>
      <c r="C52" s="1716">
        <v>4.65E-2</v>
      </c>
      <c r="D52" s="1716" t="s">
        <v>1374</v>
      </c>
      <c r="E52" s="1726">
        <v>40078</v>
      </c>
      <c r="F52" s="1726">
        <v>43739</v>
      </c>
      <c r="G52" s="1719"/>
      <c r="H52" s="1718">
        <v>-53846154</v>
      </c>
      <c r="I52" s="1718">
        <v>5023</v>
      </c>
      <c r="J52" s="1718">
        <v>-5673</v>
      </c>
      <c r="K52" s="1719"/>
      <c r="L52" s="1613">
        <f t="shared" si="1"/>
        <v>-53835458</v>
      </c>
      <c r="M52" s="2985">
        <v>-2514542</v>
      </c>
      <c r="N52" s="1702"/>
    </row>
    <row r="53" spans="1:14">
      <c r="A53" s="2952">
        <v>35</v>
      </c>
      <c r="B53" s="1704"/>
      <c r="C53" s="1730"/>
      <c r="D53" s="1707"/>
      <c r="E53" s="1703"/>
      <c r="F53" s="1703"/>
      <c r="G53" s="1612"/>
      <c r="H53" s="1612"/>
      <c r="I53" s="1708"/>
      <c r="J53" s="1708"/>
      <c r="K53" s="1708"/>
      <c r="L53" s="1613"/>
      <c r="M53" s="1708"/>
      <c r="N53" s="1702"/>
    </row>
    <row r="54" spans="1:14" ht="13.8" thickBot="1">
      <c r="A54" s="2952">
        <v>36</v>
      </c>
      <c r="B54" s="1603"/>
      <c r="C54" s="1603"/>
      <c r="D54" s="1616" t="s">
        <v>1375</v>
      </c>
      <c r="E54" s="1603"/>
      <c r="F54" s="1603"/>
      <c r="G54" s="1709">
        <f t="shared" ref="G54:M54" si="2">SUM(G21:G52)</f>
        <v>683820000</v>
      </c>
      <c r="H54" s="1709">
        <f t="shared" si="2"/>
        <v>521753445</v>
      </c>
      <c r="I54" s="1709">
        <f t="shared" si="2"/>
        <v>-201629</v>
      </c>
      <c r="J54" s="1709">
        <f t="shared" si="2"/>
        <v>2707422</v>
      </c>
      <c r="K54" s="1709">
        <f t="shared" si="2"/>
        <v>715631</v>
      </c>
      <c r="L54" s="1709">
        <f t="shared" si="2"/>
        <v>518128763</v>
      </c>
      <c r="M54" s="1709">
        <f t="shared" si="2"/>
        <v>22785148</v>
      </c>
    </row>
    <row r="55" spans="1:14" ht="13.8" thickTop="1">
      <c r="A55" s="2952">
        <v>37</v>
      </c>
      <c r="B55" s="1603"/>
      <c r="C55" s="1603"/>
      <c r="D55" s="1603"/>
      <c r="E55" s="1603"/>
      <c r="F55" s="1603"/>
      <c r="G55" s="1741"/>
      <c r="H55" s="1742"/>
      <c r="I55" s="1742"/>
      <c r="J55" s="1742"/>
      <c r="K55" s="1742"/>
      <c r="L55" s="1742"/>
      <c r="M55" s="1742"/>
    </row>
    <row r="56" spans="1:14">
      <c r="A56" s="2952">
        <v>38</v>
      </c>
      <c r="B56" s="1603"/>
      <c r="C56" s="1603"/>
      <c r="D56" s="1603"/>
      <c r="E56" s="1603"/>
      <c r="F56" s="1603"/>
      <c r="G56" s="1743"/>
      <c r="H56" s="1742"/>
      <c r="I56" s="1742"/>
      <c r="J56" s="1742"/>
      <c r="K56" s="1742"/>
      <c r="L56" s="1742"/>
      <c r="M56" s="1742"/>
    </row>
    <row r="57" spans="1:14" ht="13.8" thickBot="1">
      <c r="A57" s="2952">
        <v>39</v>
      </c>
      <c r="B57" s="1603"/>
      <c r="C57" s="1603"/>
      <c r="D57" s="1616" t="s">
        <v>1376</v>
      </c>
      <c r="E57" s="1603"/>
      <c r="F57" s="1603"/>
      <c r="G57" s="1603"/>
      <c r="H57" s="1603"/>
      <c r="I57" s="1603"/>
      <c r="J57" s="1603"/>
      <c r="K57" s="1603"/>
      <c r="L57" s="1603"/>
      <c r="M57" s="1621">
        <f>ROUND(M54/L54,5)</f>
        <v>4.3979999999999998E-2</v>
      </c>
      <c r="N57" s="1685"/>
    </row>
    <row r="58" spans="1:14" ht="13.8" thickTop="1">
      <c r="A58" s="1603"/>
      <c r="B58" s="1603"/>
      <c r="C58" s="1603"/>
      <c r="D58" s="1603"/>
      <c r="E58" s="1603"/>
      <c r="F58" s="1603"/>
      <c r="G58" s="1603"/>
      <c r="H58" s="1603"/>
      <c r="I58" s="1603"/>
      <c r="J58" s="1603"/>
      <c r="K58" s="1603"/>
      <c r="L58" s="1603"/>
      <c r="M58" s="1744"/>
    </row>
    <row r="59" spans="1:14">
      <c r="A59" s="1616" t="s">
        <v>1377</v>
      </c>
      <c r="B59" s="1603"/>
      <c r="C59" s="1603"/>
      <c r="D59" s="1603"/>
      <c r="E59" s="1603"/>
      <c r="F59" s="1603"/>
      <c r="G59" s="1603"/>
      <c r="H59" s="1603"/>
      <c r="I59" s="1603"/>
      <c r="J59" s="1603"/>
      <c r="K59" s="1603"/>
      <c r="L59" s="1603"/>
      <c r="M59" s="1603"/>
    </row>
    <row r="60" spans="1:14">
      <c r="A60" s="1616" t="s">
        <v>32</v>
      </c>
      <c r="B60" s="1603"/>
      <c r="C60" s="1603"/>
      <c r="D60" s="1603"/>
      <c r="E60" s="1603"/>
      <c r="F60" s="1603"/>
      <c r="G60" s="1603"/>
      <c r="H60" s="1603"/>
      <c r="I60" s="1603"/>
      <c r="J60" s="1603"/>
      <c r="K60" s="1603"/>
      <c r="L60" s="1603"/>
      <c r="M60" s="1603"/>
    </row>
    <row r="63" spans="1:14">
      <c r="G63" s="1687"/>
      <c r="H63" s="1687"/>
      <c r="I63" s="1687"/>
      <c r="J63" s="1687"/>
    </row>
    <row r="64" spans="1:14">
      <c r="G64" s="1687"/>
      <c r="H64" s="1687"/>
      <c r="I64" s="1687"/>
      <c r="J64" s="1687"/>
    </row>
    <row r="65" spans="7:10">
      <c r="G65" s="1687"/>
      <c r="H65" s="1687"/>
      <c r="I65" s="1687"/>
      <c r="J65" s="1687"/>
    </row>
    <row r="66" spans="7:10">
      <c r="G66" s="1687"/>
      <c r="H66" s="1687"/>
      <c r="I66" s="1687"/>
      <c r="J66" s="1687"/>
    </row>
    <row r="67" spans="7:10">
      <c r="G67" s="1687"/>
      <c r="H67" s="1687"/>
      <c r="I67" s="1687"/>
      <c r="J67" s="1687"/>
    </row>
    <row r="68" spans="7:10">
      <c r="G68" s="1687"/>
      <c r="H68" s="1687"/>
      <c r="I68" s="1687"/>
      <c r="J68" s="1687"/>
    </row>
    <row r="69" spans="7:10">
      <c r="G69" s="1687"/>
      <c r="H69" s="1687"/>
      <c r="I69" s="1687"/>
      <c r="J69" s="1687"/>
    </row>
    <row r="70" spans="7:10">
      <c r="G70" s="1687"/>
      <c r="H70" s="1687"/>
      <c r="I70" s="1687"/>
      <c r="J70" s="1687"/>
    </row>
    <row r="71" spans="7:10">
      <c r="G71" s="1687"/>
      <c r="H71" s="1687"/>
      <c r="I71" s="1687"/>
      <c r="J71" s="1687"/>
    </row>
    <row r="72" spans="7:10">
      <c r="G72" s="1687"/>
      <c r="H72" s="1687"/>
      <c r="I72" s="1687"/>
      <c r="J72" s="1687"/>
    </row>
    <row r="73" spans="7:10">
      <c r="G73" s="1687"/>
    </row>
  </sheetData>
  <mergeCells count="3">
    <mergeCell ref="B13:D13"/>
    <mergeCell ref="B14:D14"/>
    <mergeCell ref="B15:D15"/>
  </mergeCells>
  <phoneticPr fontId="4" type="noConversion"/>
  <pageMargins left="1" right="0.75" top="1" bottom="1" header="0.5" footer="0.5"/>
  <pageSetup scale="52" orientation="landscape" horizontalDpi="300" verticalDpi="300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0">
    <pageSetUpPr fitToPage="1"/>
  </sheetPr>
  <dimension ref="A1:P212"/>
  <sheetViews>
    <sheetView topLeftCell="A100" zoomScale="80" zoomScaleNormal="80" workbookViewId="0"/>
  </sheetViews>
  <sheetFormatPr defaultColWidth="9.109375" defaultRowHeight="13.2"/>
  <cols>
    <col min="1" max="1" width="5.88671875" style="1751" customWidth="1"/>
    <col min="2" max="2" width="62.6640625" style="1751" customWidth="1"/>
    <col min="3" max="3" width="16.33203125" style="1751" customWidth="1"/>
    <col min="4" max="4" width="14.6640625" style="1082" customWidth="1"/>
    <col min="5" max="6" width="14.5546875" style="1751" customWidth="1"/>
    <col min="7" max="7" width="14.88671875" style="1751" customWidth="1"/>
    <col min="8" max="12" width="13.44140625" style="1751" customWidth="1"/>
    <col min="13" max="13" width="13.109375" style="1751" customWidth="1"/>
    <col min="14" max="14" width="13.33203125" style="1751" customWidth="1"/>
    <col min="15" max="15" width="11.109375" style="1751" customWidth="1"/>
    <col min="16" max="16" width="12.33203125" style="1751" bestFit="1" customWidth="1"/>
    <col min="17" max="16384" width="9.109375" style="1751"/>
  </cols>
  <sheetData>
    <row r="1" spans="1:14">
      <c r="A1" s="1749" t="str">
        <f>COMPANY</f>
        <v>DUKE ENERGY KENTUCKY, INC.</v>
      </c>
      <c r="B1" s="1749"/>
      <c r="C1" s="1749"/>
      <c r="D1" s="1750"/>
      <c r="E1" s="1749"/>
      <c r="F1" s="1749"/>
      <c r="G1" s="1749"/>
      <c r="H1" s="1749"/>
      <c r="I1" s="1749"/>
      <c r="J1" s="1749"/>
      <c r="K1" s="1749"/>
      <c r="L1" s="1749"/>
      <c r="M1" s="1749"/>
      <c r="N1" s="1749"/>
    </row>
    <row r="2" spans="1:14">
      <c r="A2" s="1752" t="str">
        <f>CASE</f>
        <v>CASE NO. 2018-00261</v>
      </c>
      <c r="B2" s="1752"/>
      <c r="C2" s="1752"/>
      <c r="D2" s="1753"/>
      <c r="E2" s="1752"/>
      <c r="F2" s="1752"/>
      <c r="G2" s="1752"/>
      <c r="H2" s="1752"/>
      <c r="I2" s="1752"/>
      <c r="J2" s="1752"/>
      <c r="K2" s="1752"/>
      <c r="L2" s="1752"/>
      <c r="M2" s="1752"/>
      <c r="N2" s="1752"/>
    </row>
    <row r="3" spans="1:14">
      <c r="A3" s="1752" t="s">
        <v>1431</v>
      </c>
      <c r="B3" s="1752"/>
      <c r="C3" s="1752"/>
      <c r="D3" s="1753"/>
      <c r="E3" s="1752"/>
      <c r="F3" s="1752"/>
      <c r="G3" s="1752"/>
      <c r="H3" s="1752"/>
      <c r="I3" s="1752"/>
      <c r="J3" s="1752"/>
      <c r="K3" s="1752"/>
      <c r="L3" s="1752"/>
      <c r="M3" s="1752"/>
      <c r="N3" s="1752"/>
    </row>
    <row r="4" spans="1:14">
      <c r="A4" s="1754"/>
      <c r="B4" s="1754"/>
      <c r="C4" s="1754"/>
      <c r="D4" s="1613"/>
      <c r="E4" s="1754"/>
      <c r="F4" s="1754"/>
      <c r="G4" s="1754"/>
      <c r="H4" s="1754"/>
      <c r="I4" s="1754"/>
      <c r="J4" s="1754"/>
      <c r="K4" s="1754"/>
      <c r="L4" s="1754"/>
      <c r="M4" s="1754"/>
      <c r="N4" s="1754"/>
    </row>
    <row r="5" spans="1:14">
      <c r="A5" s="1755" t="str">
        <f>DataB</f>
        <v>DATA: "X" BASE PERIOD  "X" FORECASTED PERIOD</v>
      </c>
      <c r="B5" s="1755"/>
      <c r="C5" s="1755"/>
      <c r="D5" s="1750"/>
      <c r="E5" s="1752"/>
      <c r="F5" s="1749"/>
      <c r="G5" s="1749"/>
      <c r="H5" s="1749"/>
      <c r="I5" s="1749"/>
      <c r="J5" s="1749"/>
      <c r="K5" s="1749"/>
      <c r="L5" s="1755" t="s">
        <v>822</v>
      </c>
      <c r="M5" s="1749"/>
      <c r="N5" s="1749"/>
    </row>
    <row r="6" spans="1:14">
      <c r="A6" s="1755" t="str">
        <f>Type</f>
        <v xml:space="preserve">TYPE OF FILING:  "X" ORIGINAL   UPDATED    REVISED  </v>
      </c>
      <c r="B6" s="1755"/>
      <c r="C6" s="1755"/>
      <c r="D6" s="1750"/>
      <c r="E6" s="1752"/>
      <c r="F6" s="1749"/>
      <c r="G6" s="1749"/>
      <c r="H6" s="1749"/>
      <c r="I6" s="1749"/>
      <c r="J6" s="1749"/>
      <c r="K6" s="1749"/>
      <c r="L6" s="1755" t="s">
        <v>1058</v>
      </c>
      <c r="M6" s="1749"/>
      <c r="N6" s="1749"/>
    </row>
    <row r="7" spans="1:14">
      <c r="A7" s="1754" t="s">
        <v>655</v>
      </c>
      <c r="B7" s="1749"/>
      <c r="C7" s="1749"/>
      <c r="D7" s="1750"/>
      <c r="E7" s="1749"/>
      <c r="F7" s="1752"/>
      <c r="G7" s="1749"/>
      <c r="H7" s="1749"/>
      <c r="I7" s="1749"/>
      <c r="J7" s="1749"/>
      <c r="L7" s="1755" t="s">
        <v>1937</v>
      </c>
      <c r="M7" s="1755"/>
      <c r="N7" s="1755"/>
    </row>
    <row r="8" spans="1:14">
      <c r="B8" s="1754"/>
      <c r="C8" s="1754"/>
      <c r="D8" s="1613"/>
      <c r="E8" s="1754"/>
      <c r="F8" s="1754"/>
      <c r="G8" s="1754"/>
      <c r="H8" s="1754"/>
      <c r="I8" s="1754"/>
      <c r="J8" s="1754"/>
      <c r="L8" s="1756" t="str">
        <f>_WIT7</f>
        <v>R. H. PRATT / C. S. LEE</v>
      </c>
      <c r="M8" s="1755"/>
      <c r="N8" s="1755"/>
    </row>
    <row r="9" spans="1:14">
      <c r="A9" s="1757"/>
      <c r="B9" s="1757"/>
      <c r="C9" s="1757"/>
      <c r="D9" s="1758"/>
      <c r="E9" s="1757"/>
      <c r="F9" s="1757"/>
      <c r="G9" s="1757"/>
      <c r="H9" s="1757"/>
      <c r="I9" s="1757"/>
      <c r="J9" s="1757"/>
      <c r="K9" s="1757"/>
      <c r="L9" s="1757"/>
      <c r="M9" s="1757"/>
      <c r="N9" s="1757"/>
    </row>
    <row r="10" spans="1:14">
      <c r="A10" s="1759" t="s">
        <v>1938</v>
      </c>
      <c r="B10" s="1754"/>
      <c r="C10" s="1759" t="s">
        <v>1127</v>
      </c>
      <c r="D10" s="1760" t="s">
        <v>740</v>
      </c>
      <c r="E10" s="1761" t="s">
        <v>1432</v>
      </c>
      <c r="F10" s="1762"/>
      <c r="G10" s="1762"/>
      <c r="H10" s="1762"/>
      <c r="I10" s="1762"/>
      <c r="J10" s="1762"/>
      <c r="K10" s="1762"/>
      <c r="L10" s="1762"/>
      <c r="M10" s="1762"/>
      <c r="N10" s="1762"/>
    </row>
    <row r="11" spans="1:14">
      <c r="A11" s="1763" t="s">
        <v>1939</v>
      </c>
      <c r="B11" s="1764" t="s">
        <v>1988</v>
      </c>
      <c r="C11" s="1765" t="s">
        <v>743</v>
      </c>
      <c r="D11" s="1765" t="s">
        <v>743</v>
      </c>
      <c r="E11" s="2751">
        <v>2017</v>
      </c>
      <c r="F11" s="1763">
        <f>E11-1</f>
        <v>2016</v>
      </c>
      <c r="G11" s="1763">
        <f t="shared" ref="G11:N11" si="0">F11-1</f>
        <v>2015</v>
      </c>
      <c r="H11" s="1763">
        <f t="shared" si="0"/>
        <v>2014</v>
      </c>
      <c r="I11" s="1763">
        <f t="shared" si="0"/>
        <v>2013</v>
      </c>
      <c r="J11" s="1763">
        <f t="shared" si="0"/>
        <v>2012</v>
      </c>
      <c r="K11" s="1763">
        <f t="shared" si="0"/>
        <v>2011</v>
      </c>
      <c r="L11" s="1763">
        <f t="shared" si="0"/>
        <v>2010</v>
      </c>
      <c r="M11" s="1763">
        <f t="shared" si="0"/>
        <v>2009</v>
      </c>
      <c r="N11" s="1763">
        <f t="shared" si="0"/>
        <v>2008</v>
      </c>
    </row>
    <row r="12" spans="1:14">
      <c r="A12" s="1766"/>
      <c r="B12" s="1766"/>
      <c r="C12" s="1766"/>
      <c r="D12" s="1767"/>
      <c r="E12" s="1766"/>
      <c r="F12" s="1766"/>
      <c r="G12" s="1766"/>
      <c r="H12" s="1766"/>
      <c r="I12" s="1766"/>
      <c r="J12" s="1766"/>
      <c r="K12" s="1766"/>
      <c r="L12" s="1766"/>
      <c r="M12" s="1766"/>
      <c r="N12" s="1766"/>
    </row>
    <row r="13" spans="1:14">
      <c r="A13" s="1759">
        <v>1</v>
      </c>
      <c r="B13" s="1768" t="s">
        <v>171</v>
      </c>
      <c r="C13" s="1768"/>
      <c r="D13" s="1613"/>
      <c r="E13" s="1754"/>
      <c r="F13" s="1754"/>
      <c r="G13" s="1754"/>
      <c r="H13" s="1754"/>
      <c r="I13" s="1756"/>
      <c r="J13" s="1756"/>
      <c r="K13" s="1756"/>
      <c r="L13" s="1756"/>
      <c r="M13" s="1756"/>
      <c r="N13" s="1756"/>
    </row>
    <row r="14" spans="1:14">
      <c r="A14" s="1759">
        <f t="shared" ref="A14:A52" si="1">1+A13</f>
        <v>2</v>
      </c>
      <c r="B14" s="1769" t="s">
        <v>172</v>
      </c>
      <c r="C14" s="1769"/>
      <c r="L14" s="1770"/>
      <c r="M14" s="1770"/>
      <c r="N14" s="1770"/>
    </row>
    <row r="15" spans="1:14">
      <c r="A15" s="1759">
        <f t="shared" si="1"/>
        <v>3</v>
      </c>
      <c r="B15" s="1755" t="s">
        <v>173</v>
      </c>
      <c r="C15" s="1082">
        <f>ROUND(('SCH B-3'!E314+'SCH B-3'!E315)/1000,0)</f>
        <v>11428</v>
      </c>
      <c r="D15" s="1082">
        <f>ROUND(('SCH B-3'!E117+'SCH B-3'!E118)/1000,0)</f>
        <v>11428</v>
      </c>
      <c r="E15" s="1725">
        <v>11279</v>
      </c>
      <c r="F15" s="1725">
        <v>6221</v>
      </c>
      <c r="G15" s="1725">
        <v>3970</v>
      </c>
      <c r="H15" s="1725">
        <v>3915</v>
      </c>
      <c r="I15" s="1725">
        <v>3529</v>
      </c>
      <c r="J15" s="1725">
        <v>3473</v>
      </c>
      <c r="K15" s="1725">
        <v>2744</v>
      </c>
      <c r="L15" s="1725">
        <v>2054</v>
      </c>
      <c r="M15" s="1725">
        <v>464</v>
      </c>
      <c r="N15" s="1725">
        <v>464</v>
      </c>
    </row>
    <row r="16" spans="1:14">
      <c r="A16" s="1759">
        <f t="shared" si="1"/>
        <v>4</v>
      </c>
      <c r="B16" s="1755" t="s">
        <v>174</v>
      </c>
      <c r="C16" s="1082">
        <f>ROUND('SCH B-3'!E227/1000,0)</f>
        <v>7820</v>
      </c>
      <c r="D16" s="1082">
        <f>ROUND('SCH B-3'!E30/1000,0)</f>
        <v>7820</v>
      </c>
      <c r="E16" s="1725">
        <v>7820</v>
      </c>
      <c r="F16" s="1725">
        <v>7820</v>
      </c>
      <c r="G16" s="1725">
        <v>7569</v>
      </c>
      <c r="H16" s="1725">
        <v>7793</v>
      </c>
      <c r="I16" s="1725">
        <v>7809</v>
      </c>
      <c r="J16" s="1725">
        <v>7136</v>
      </c>
      <c r="K16" s="1725">
        <v>6229</v>
      </c>
      <c r="L16" s="1725">
        <v>6072</v>
      </c>
      <c r="M16" s="1725">
        <v>6028</v>
      </c>
      <c r="N16" s="1725">
        <v>5883</v>
      </c>
    </row>
    <row r="17" spans="1:14">
      <c r="A17" s="1759">
        <f t="shared" si="1"/>
        <v>5</v>
      </c>
      <c r="B17" s="1755" t="s">
        <v>752</v>
      </c>
      <c r="C17" s="1515">
        <v>0</v>
      </c>
      <c r="D17" s="1515">
        <v>0</v>
      </c>
      <c r="E17" s="1725">
        <v>0</v>
      </c>
      <c r="F17" s="1725">
        <v>0</v>
      </c>
      <c r="G17" s="1725">
        <v>0</v>
      </c>
      <c r="H17" s="1725">
        <v>0</v>
      </c>
      <c r="I17" s="1725">
        <v>0</v>
      </c>
      <c r="J17" s="1725">
        <v>0</v>
      </c>
      <c r="K17" s="1725">
        <v>0</v>
      </c>
      <c r="L17" s="1725">
        <v>0</v>
      </c>
      <c r="M17" s="1725">
        <v>0</v>
      </c>
      <c r="N17" s="1725">
        <v>0</v>
      </c>
    </row>
    <row r="18" spans="1:14">
      <c r="A18" s="1759">
        <f t="shared" si="1"/>
        <v>6</v>
      </c>
      <c r="B18" s="1755" t="s">
        <v>175</v>
      </c>
      <c r="C18" s="1515">
        <v>0</v>
      </c>
      <c r="D18" s="1515">
        <v>0</v>
      </c>
      <c r="E18" s="1725">
        <v>0</v>
      </c>
      <c r="F18" s="1725">
        <v>0</v>
      </c>
      <c r="G18" s="1725">
        <v>0</v>
      </c>
      <c r="H18" s="1725">
        <v>0</v>
      </c>
      <c r="I18" s="1725">
        <v>0</v>
      </c>
      <c r="J18" s="1725">
        <v>0</v>
      </c>
      <c r="K18" s="1725">
        <v>0</v>
      </c>
      <c r="L18" s="1725">
        <v>0</v>
      </c>
      <c r="M18" s="1725">
        <v>0</v>
      </c>
      <c r="N18" s="1725">
        <v>0</v>
      </c>
    </row>
    <row r="19" spans="1:14">
      <c r="A19" s="1759">
        <f t="shared" si="1"/>
        <v>7</v>
      </c>
      <c r="B19" s="1755" t="s">
        <v>176</v>
      </c>
      <c r="C19" s="1515">
        <v>0</v>
      </c>
      <c r="D19" s="1515">
        <v>0</v>
      </c>
      <c r="E19" s="1725">
        <v>0</v>
      </c>
      <c r="F19" s="1725">
        <v>0</v>
      </c>
      <c r="G19" s="1725">
        <v>0</v>
      </c>
      <c r="H19" s="1725">
        <v>0</v>
      </c>
      <c r="I19" s="1725">
        <v>0</v>
      </c>
      <c r="J19" s="1725">
        <v>0</v>
      </c>
      <c r="K19" s="1725">
        <v>0</v>
      </c>
      <c r="L19" s="1725">
        <v>0</v>
      </c>
      <c r="M19" s="1725">
        <v>0</v>
      </c>
      <c r="N19" s="1725">
        <v>0</v>
      </c>
    </row>
    <row r="20" spans="1:14">
      <c r="A20" s="1759">
        <f t="shared" si="1"/>
        <v>8</v>
      </c>
      <c r="B20" s="1755" t="s">
        <v>177</v>
      </c>
      <c r="C20" s="1082">
        <f>ROUND('SCH B-3'!E284/1000,0)</f>
        <v>555681</v>
      </c>
      <c r="D20" s="1082">
        <f>ROUND('SCH B-3'!E87/1000,0)</f>
        <v>533421</v>
      </c>
      <c r="E20" s="1725">
        <v>482331</v>
      </c>
      <c r="F20" s="1725">
        <v>452451</v>
      </c>
      <c r="G20" s="1725">
        <v>431131</v>
      </c>
      <c r="H20" s="1725">
        <v>421026</v>
      </c>
      <c r="I20" s="1725">
        <v>414138</v>
      </c>
      <c r="J20" s="1725">
        <v>406367</v>
      </c>
      <c r="K20" s="1725">
        <v>393816</v>
      </c>
      <c r="L20" s="1725">
        <v>384146</v>
      </c>
      <c r="M20" s="1725">
        <v>368642</v>
      </c>
      <c r="N20" s="1725">
        <v>336617</v>
      </c>
    </row>
    <row r="21" spans="1:14">
      <c r="A21" s="1759">
        <f t="shared" si="1"/>
        <v>9</v>
      </c>
      <c r="B21" s="1755" t="s">
        <v>178</v>
      </c>
      <c r="C21" s="1082">
        <f>ROUND('SCH B-3'!E329/1000,0)-C15</f>
        <v>13152</v>
      </c>
      <c r="D21" s="1082">
        <f>ROUND('SCH B-3'!E132/1000,0)-'SCH K DEK'!D15</f>
        <v>12679</v>
      </c>
      <c r="E21" s="3523">
        <v>1798</v>
      </c>
      <c r="F21" s="3523">
        <v>1683</v>
      </c>
      <c r="G21" s="3523">
        <v>3207</v>
      </c>
      <c r="H21" s="3523">
        <v>3159</v>
      </c>
      <c r="I21" s="3523">
        <v>3048</v>
      </c>
      <c r="J21" s="3523">
        <v>3286</v>
      </c>
      <c r="K21" s="3523">
        <v>3203</v>
      </c>
      <c r="L21" s="3523">
        <v>3158</v>
      </c>
      <c r="M21" s="3523">
        <v>3000</v>
      </c>
      <c r="N21" s="3523">
        <v>2100</v>
      </c>
    </row>
    <row r="22" spans="1:14">
      <c r="A22" s="1759">
        <f t="shared" si="1"/>
        <v>10</v>
      </c>
      <c r="B22" s="1755" t="s">
        <v>179</v>
      </c>
      <c r="C22" s="1772">
        <f t="shared" ref="C22:N22" si="2">SUM(C15:C21)</f>
        <v>588081</v>
      </c>
      <c r="D22" s="1772">
        <f t="shared" si="2"/>
        <v>565348</v>
      </c>
      <c r="E22" s="1773">
        <f>SUM(E15:E21)</f>
        <v>503228</v>
      </c>
      <c r="F22" s="1773">
        <f>SUM(F15:F21)</f>
        <v>468175</v>
      </c>
      <c r="G22" s="1773">
        <f>SUM(G15:G21)</f>
        <v>445877</v>
      </c>
      <c r="H22" s="1773">
        <f t="shared" si="2"/>
        <v>435893</v>
      </c>
      <c r="I22" s="1773">
        <f t="shared" si="2"/>
        <v>428524</v>
      </c>
      <c r="J22" s="1773">
        <f t="shared" si="2"/>
        <v>420262</v>
      </c>
      <c r="K22" s="1773">
        <f t="shared" si="2"/>
        <v>405992</v>
      </c>
      <c r="L22" s="1773">
        <f t="shared" si="2"/>
        <v>395430</v>
      </c>
      <c r="M22" s="1773">
        <f t="shared" si="2"/>
        <v>378134</v>
      </c>
      <c r="N22" s="1773">
        <f t="shared" si="2"/>
        <v>345064</v>
      </c>
    </row>
    <row r="23" spans="1:14">
      <c r="A23" s="1759">
        <f t="shared" si="1"/>
        <v>11</v>
      </c>
      <c r="B23" s="1755" t="s">
        <v>180</v>
      </c>
      <c r="C23" s="1774">
        <f>ROUND('SCH B-3'!G332/1000,0)</f>
        <v>185955</v>
      </c>
      <c r="D23" s="1774">
        <f>ROUND('SCH B-3'!G135/1000,0)</f>
        <v>176648</v>
      </c>
      <c r="E23" s="3523">
        <v>165758</v>
      </c>
      <c r="F23" s="3523">
        <v>156558</v>
      </c>
      <c r="G23" s="3523">
        <v>152368</v>
      </c>
      <c r="H23" s="3523">
        <v>142929</v>
      </c>
      <c r="I23" s="3523">
        <v>134248</v>
      </c>
      <c r="J23" s="3523">
        <v>125356</v>
      </c>
      <c r="K23" s="3523">
        <v>118161</v>
      </c>
      <c r="L23" s="3523">
        <v>109623</v>
      </c>
      <c r="M23" s="3523">
        <v>103506</v>
      </c>
      <c r="N23" s="3523">
        <v>97882</v>
      </c>
    </row>
    <row r="24" spans="1:14">
      <c r="A24" s="1759">
        <f t="shared" si="1"/>
        <v>12</v>
      </c>
      <c r="B24" s="1755" t="s">
        <v>181</v>
      </c>
      <c r="C24" s="1774">
        <f t="shared" ref="C24:N24" si="3">C22-C23</f>
        <v>402126</v>
      </c>
      <c r="D24" s="1774">
        <f t="shared" si="3"/>
        <v>388700</v>
      </c>
      <c r="E24" s="1774">
        <f t="shared" si="3"/>
        <v>337470</v>
      </c>
      <c r="F24" s="1774">
        <f t="shared" si="3"/>
        <v>311617</v>
      </c>
      <c r="G24" s="1774">
        <f t="shared" si="3"/>
        <v>293509</v>
      </c>
      <c r="H24" s="1774">
        <f t="shared" si="3"/>
        <v>292964</v>
      </c>
      <c r="I24" s="1774">
        <f t="shared" si="3"/>
        <v>294276</v>
      </c>
      <c r="J24" s="1774">
        <f t="shared" si="3"/>
        <v>294906</v>
      </c>
      <c r="K24" s="1774">
        <f t="shared" si="3"/>
        <v>287831</v>
      </c>
      <c r="L24" s="1774">
        <f t="shared" si="3"/>
        <v>285807</v>
      </c>
      <c r="M24" s="1774">
        <f t="shared" si="3"/>
        <v>274628</v>
      </c>
      <c r="N24" s="1774">
        <f t="shared" si="3"/>
        <v>247182</v>
      </c>
    </row>
    <row r="25" spans="1:14">
      <c r="A25" s="1759">
        <f t="shared" si="1"/>
        <v>13</v>
      </c>
      <c r="B25" s="1754"/>
      <c r="C25" s="1082"/>
    </row>
    <row r="26" spans="1:14">
      <c r="A26" s="1759">
        <f t="shared" si="1"/>
        <v>14</v>
      </c>
      <c r="B26" s="1775" t="s">
        <v>182</v>
      </c>
      <c r="C26" s="1082"/>
    </row>
    <row r="27" spans="1:14">
      <c r="A27" s="1759">
        <f t="shared" si="1"/>
        <v>15</v>
      </c>
      <c r="B27" s="1776" t="s">
        <v>173</v>
      </c>
      <c r="C27" s="1725">
        <v>17810</v>
      </c>
      <c r="D27" s="1725">
        <v>17810</v>
      </c>
      <c r="E27" s="3524">
        <v>17750</v>
      </c>
      <c r="F27" s="3524">
        <v>12343</v>
      </c>
      <c r="G27" s="3524">
        <v>9915</v>
      </c>
      <c r="H27" s="3524">
        <v>9098</v>
      </c>
      <c r="I27" s="3524">
        <v>6000</v>
      </c>
      <c r="J27" s="3524">
        <v>5324</v>
      </c>
      <c r="K27" s="3524">
        <v>5785</v>
      </c>
      <c r="L27" s="3524">
        <v>3223</v>
      </c>
      <c r="M27" s="3524">
        <v>2845</v>
      </c>
      <c r="N27" s="3524">
        <v>2200</v>
      </c>
    </row>
    <row r="28" spans="1:14">
      <c r="A28" s="1759">
        <f t="shared" si="1"/>
        <v>16</v>
      </c>
      <c r="B28" s="1776" t="s">
        <v>183</v>
      </c>
      <c r="C28" s="1725">
        <v>789406</v>
      </c>
      <c r="D28" s="1725">
        <v>793434</v>
      </c>
      <c r="E28" s="3524">
        <v>797504</v>
      </c>
      <c r="F28" s="3524">
        <v>748258</v>
      </c>
      <c r="G28" s="3524">
        <v>771471</v>
      </c>
      <c r="H28" s="3524">
        <v>550669</v>
      </c>
      <c r="I28" s="3524">
        <v>522424</v>
      </c>
      <c r="J28" s="3524">
        <v>520107</v>
      </c>
      <c r="K28" s="3524">
        <v>509889</v>
      </c>
      <c r="L28" s="3524">
        <v>508496</v>
      </c>
      <c r="M28" s="3524">
        <v>505467</v>
      </c>
      <c r="N28" s="3524">
        <v>494387</v>
      </c>
    </row>
    <row r="29" spans="1:14">
      <c r="A29" s="1759">
        <f t="shared" si="1"/>
        <v>17</v>
      </c>
      <c r="B29" s="1776" t="s">
        <v>184</v>
      </c>
      <c r="C29" s="1725">
        <v>0</v>
      </c>
      <c r="D29" s="1725">
        <v>0</v>
      </c>
      <c r="E29" s="3524">
        <v>0</v>
      </c>
      <c r="F29" s="3524">
        <v>0</v>
      </c>
      <c r="G29" s="3524">
        <v>0</v>
      </c>
      <c r="H29" s="3524">
        <v>0</v>
      </c>
      <c r="I29" s="3524">
        <v>0</v>
      </c>
      <c r="J29" s="3524">
        <v>0</v>
      </c>
      <c r="K29" s="3524">
        <v>0</v>
      </c>
      <c r="L29" s="3524">
        <v>0</v>
      </c>
      <c r="M29" s="3524">
        <v>0</v>
      </c>
      <c r="N29" s="3524">
        <v>0</v>
      </c>
    </row>
    <row r="30" spans="1:14">
      <c r="A30" s="1759">
        <f t="shared" si="1"/>
        <v>18</v>
      </c>
      <c r="B30" s="1776" t="s">
        <v>185</v>
      </c>
      <c r="C30" s="1725">
        <v>502891</v>
      </c>
      <c r="D30" s="1725">
        <v>413586</v>
      </c>
      <c r="E30" s="3524">
        <v>308242</v>
      </c>
      <c r="F30" s="3524">
        <v>290913</v>
      </c>
      <c r="G30" s="3524">
        <v>290067</v>
      </c>
      <c r="H30" s="3524">
        <v>287989</v>
      </c>
      <c r="I30" s="3524">
        <v>284817</v>
      </c>
      <c r="J30" s="3524">
        <v>281758</v>
      </c>
      <c r="K30" s="3524">
        <v>277770</v>
      </c>
      <c r="L30" s="3524">
        <v>268704</v>
      </c>
      <c r="M30" s="3524">
        <v>263293</v>
      </c>
      <c r="N30" s="3524">
        <v>259706</v>
      </c>
    </row>
    <row r="31" spans="1:14">
      <c r="A31" s="1759">
        <f t="shared" si="1"/>
        <v>19</v>
      </c>
      <c r="B31" s="1776" t="s">
        <v>176</v>
      </c>
      <c r="C31" s="1725">
        <v>80468</v>
      </c>
      <c r="D31" s="1725">
        <v>74497</v>
      </c>
      <c r="E31" s="3524">
        <v>57966</v>
      </c>
      <c r="F31" s="3524">
        <v>55492</v>
      </c>
      <c r="G31" s="3524">
        <v>55729</v>
      </c>
      <c r="H31" s="3524">
        <v>51015</v>
      </c>
      <c r="I31" s="3524">
        <v>44032</v>
      </c>
      <c r="J31" s="3524">
        <v>39301</v>
      </c>
      <c r="K31" s="3524">
        <v>29694</v>
      </c>
      <c r="L31" s="3524">
        <v>29258</v>
      </c>
      <c r="M31" s="3524">
        <v>28998</v>
      </c>
      <c r="N31" s="3524">
        <v>28185</v>
      </c>
    </row>
    <row r="32" spans="1:14">
      <c r="A32" s="1759">
        <f t="shared" si="1"/>
        <v>20</v>
      </c>
      <c r="B32" s="1776" t="s">
        <v>177</v>
      </c>
      <c r="C32" s="1725">
        <v>502891</v>
      </c>
      <c r="D32" s="1725">
        <v>476637</v>
      </c>
      <c r="E32" s="3524">
        <v>453684</v>
      </c>
      <c r="F32" s="3524">
        <v>426636</v>
      </c>
      <c r="G32" s="3524">
        <v>414569</v>
      </c>
      <c r="H32" s="3524">
        <v>392222</v>
      </c>
      <c r="I32" s="3524">
        <v>382031</v>
      </c>
      <c r="J32" s="3524">
        <v>369753</v>
      </c>
      <c r="K32" s="3524">
        <v>353975</v>
      </c>
      <c r="L32" s="3524">
        <v>343335</v>
      </c>
      <c r="M32" s="3524">
        <v>328839</v>
      </c>
      <c r="N32" s="3524">
        <v>316556</v>
      </c>
    </row>
    <row r="33" spans="1:15">
      <c r="A33" s="1759">
        <f t="shared" si="1"/>
        <v>21</v>
      </c>
      <c r="B33" s="1776" t="s">
        <v>178</v>
      </c>
      <c r="C33" s="1725">
        <v>38706</v>
      </c>
      <c r="D33" s="1725">
        <v>29222</v>
      </c>
      <c r="E33" s="3523">
        <v>8445</v>
      </c>
      <c r="F33" s="3523">
        <v>7872</v>
      </c>
      <c r="G33" s="3523">
        <v>5953</v>
      </c>
      <c r="H33" s="3523">
        <v>5610</v>
      </c>
      <c r="I33" s="3523">
        <v>5250</v>
      </c>
      <c r="J33" s="3523">
        <v>5139</v>
      </c>
      <c r="K33" s="3523">
        <v>5414</v>
      </c>
      <c r="L33" s="3523">
        <v>3912</v>
      </c>
      <c r="M33" s="3523">
        <v>1920</v>
      </c>
      <c r="N33" s="3523">
        <v>1384</v>
      </c>
    </row>
    <row r="34" spans="1:15">
      <c r="A34" s="1759">
        <f t="shared" si="1"/>
        <v>22</v>
      </c>
      <c r="B34" s="1776" t="s">
        <v>186</v>
      </c>
      <c r="C34" s="1772">
        <f t="shared" ref="C34:N34" si="4">SUM(C27:C33)</f>
        <v>1932172</v>
      </c>
      <c r="D34" s="1772">
        <f>SUM(D27:D33)</f>
        <v>1805186</v>
      </c>
      <c r="E34" s="1773">
        <f>SUM(E27:E33)</f>
        <v>1643591</v>
      </c>
      <c r="F34" s="1773">
        <f>SUM(F27:F33)</f>
        <v>1541514</v>
      </c>
      <c r="G34" s="1773">
        <f>SUM(G27:G33)</f>
        <v>1547704</v>
      </c>
      <c r="H34" s="1773">
        <f t="shared" si="4"/>
        <v>1296603</v>
      </c>
      <c r="I34" s="1773">
        <f t="shared" si="4"/>
        <v>1244554</v>
      </c>
      <c r="J34" s="1773">
        <f t="shared" si="4"/>
        <v>1221382</v>
      </c>
      <c r="K34" s="1773">
        <f t="shared" si="4"/>
        <v>1182527</v>
      </c>
      <c r="L34" s="1773">
        <f t="shared" si="4"/>
        <v>1156928</v>
      </c>
      <c r="M34" s="1773">
        <f t="shared" si="4"/>
        <v>1131362</v>
      </c>
      <c r="N34" s="1773">
        <f t="shared" si="4"/>
        <v>1102418</v>
      </c>
    </row>
    <row r="35" spans="1:15">
      <c r="A35" s="1759">
        <f t="shared" si="1"/>
        <v>23</v>
      </c>
      <c r="B35" s="1755" t="s">
        <v>180</v>
      </c>
      <c r="C35" s="3523">
        <v>866355</v>
      </c>
      <c r="D35" s="3523">
        <v>839893</v>
      </c>
      <c r="E35" s="3523">
        <v>828066</v>
      </c>
      <c r="F35" s="3523">
        <v>807691</v>
      </c>
      <c r="G35" s="3523">
        <v>790467</v>
      </c>
      <c r="H35" s="3523">
        <v>638666</v>
      </c>
      <c r="I35" s="3523">
        <v>633187</v>
      </c>
      <c r="J35" s="3523">
        <v>607591</v>
      </c>
      <c r="K35" s="3523">
        <v>597583</v>
      </c>
      <c r="L35" s="3523">
        <v>574916</v>
      </c>
      <c r="M35" s="3523">
        <v>551023</v>
      </c>
      <c r="N35" s="3523">
        <v>535776</v>
      </c>
    </row>
    <row r="36" spans="1:15">
      <c r="A36" s="1759">
        <f t="shared" si="1"/>
        <v>24</v>
      </c>
      <c r="B36" s="1776" t="s">
        <v>187</v>
      </c>
      <c r="C36" s="1774">
        <f t="shared" ref="C36:N36" si="5">C34-C35</f>
        <v>1065817</v>
      </c>
      <c r="D36" s="1774">
        <f t="shared" si="5"/>
        <v>965293</v>
      </c>
      <c r="E36" s="1774">
        <f t="shared" si="5"/>
        <v>815525</v>
      </c>
      <c r="F36" s="1774">
        <f t="shared" si="5"/>
        <v>733823</v>
      </c>
      <c r="G36" s="1774">
        <f t="shared" si="5"/>
        <v>757237</v>
      </c>
      <c r="H36" s="1774">
        <f t="shared" si="5"/>
        <v>657937</v>
      </c>
      <c r="I36" s="1774">
        <f t="shared" si="5"/>
        <v>611367</v>
      </c>
      <c r="J36" s="1774">
        <f t="shared" si="5"/>
        <v>613791</v>
      </c>
      <c r="K36" s="1774">
        <f t="shared" si="5"/>
        <v>584944</v>
      </c>
      <c r="L36" s="1774">
        <f t="shared" si="5"/>
        <v>582012</v>
      </c>
      <c r="M36" s="1774">
        <f t="shared" si="5"/>
        <v>580339</v>
      </c>
      <c r="N36" s="1774">
        <f t="shared" si="5"/>
        <v>566642</v>
      </c>
    </row>
    <row r="37" spans="1:15">
      <c r="A37" s="1759">
        <f t="shared" si="1"/>
        <v>25</v>
      </c>
      <c r="C37" s="1082"/>
    </row>
    <row r="38" spans="1:15">
      <c r="A38" s="1759">
        <f t="shared" si="1"/>
        <v>26</v>
      </c>
      <c r="B38" s="1775" t="s">
        <v>188</v>
      </c>
      <c r="C38" s="1082"/>
    </row>
    <row r="39" spans="1:15">
      <c r="A39" s="1759">
        <f t="shared" si="1"/>
        <v>27</v>
      </c>
      <c r="B39" s="1776" t="s">
        <v>189</v>
      </c>
      <c r="C39" s="1082">
        <f>ROUND('SCH B-3'!E381/1000,0)</f>
        <v>47034</v>
      </c>
      <c r="D39" s="1082">
        <f>ROUND('SCH B-3'!E184/1000,0)</f>
        <v>47445</v>
      </c>
      <c r="E39" s="1725">
        <v>43854</v>
      </c>
      <c r="F39" s="1725">
        <v>42694</v>
      </c>
      <c r="G39" s="1725">
        <v>42816</v>
      </c>
      <c r="H39" s="1725">
        <v>42789</v>
      </c>
      <c r="I39" s="1725">
        <v>41257</v>
      </c>
      <c r="J39" s="1725">
        <v>41731</v>
      </c>
      <c r="K39" s="1725">
        <v>41143</v>
      </c>
      <c r="L39" s="1725">
        <v>41119</v>
      </c>
      <c r="M39" s="1725">
        <v>32317</v>
      </c>
      <c r="N39" s="1725">
        <v>28711</v>
      </c>
    </row>
    <row r="40" spans="1:15">
      <c r="A40" s="1759">
        <f t="shared" si="1"/>
        <v>28</v>
      </c>
      <c r="B40" s="1755" t="s">
        <v>180</v>
      </c>
      <c r="C40" s="1774">
        <f>ROUND('SCH B-3'!G381/1000,0)</f>
        <v>38789</v>
      </c>
      <c r="D40" s="1774">
        <f>ROUND('SCH B-3'!G184/1000,0)</f>
        <v>38885</v>
      </c>
      <c r="E40" s="3523">
        <v>38204</v>
      </c>
      <c r="F40" s="3523">
        <v>36759</v>
      </c>
      <c r="G40" s="3523">
        <v>35358</v>
      </c>
      <c r="H40" s="3523">
        <v>33825</v>
      </c>
      <c r="I40" s="3523">
        <v>31539</v>
      </c>
      <c r="J40" s="3523">
        <v>28705</v>
      </c>
      <c r="K40" s="3523">
        <v>28537</v>
      </c>
      <c r="L40" s="3523">
        <v>24213</v>
      </c>
      <c r="M40" s="3523">
        <v>19236</v>
      </c>
      <c r="N40" s="3523">
        <v>16443</v>
      </c>
    </row>
    <row r="41" spans="1:15">
      <c r="A41" s="1759">
        <f t="shared" si="1"/>
        <v>29</v>
      </c>
      <c r="B41" s="1776" t="s">
        <v>190</v>
      </c>
      <c r="C41" s="1774">
        <f t="shared" ref="C41:N41" si="6">C39-C40</f>
        <v>8245</v>
      </c>
      <c r="D41" s="1774">
        <f t="shared" si="6"/>
        <v>8560</v>
      </c>
      <c r="E41" s="1774">
        <f t="shared" si="6"/>
        <v>5650</v>
      </c>
      <c r="F41" s="1774">
        <f t="shared" si="6"/>
        <v>5935</v>
      </c>
      <c r="G41" s="1774">
        <f t="shared" si="6"/>
        <v>7458</v>
      </c>
      <c r="H41" s="1774">
        <f t="shared" si="6"/>
        <v>8964</v>
      </c>
      <c r="I41" s="1774">
        <f t="shared" si="6"/>
        <v>9718</v>
      </c>
      <c r="J41" s="1774">
        <f t="shared" si="6"/>
        <v>13026</v>
      </c>
      <c r="K41" s="1774">
        <f t="shared" si="6"/>
        <v>12606</v>
      </c>
      <c r="L41" s="1774">
        <f t="shared" si="6"/>
        <v>16906</v>
      </c>
      <c r="M41" s="1774">
        <f t="shared" si="6"/>
        <v>13081</v>
      </c>
      <c r="N41" s="1774">
        <f t="shared" si="6"/>
        <v>12268</v>
      </c>
    </row>
    <row r="42" spans="1:15">
      <c r="A42" s="1759">
        <f t="shared" si="1"/>
        <v>30</v>
      </c>
      <c r="C42" s="1082"/>
    </row>
    <row r="43" spans="1:15">
      <c r="A43" s="1759">
        <f t="shared" si="1"/>
        <v>31</v>
      </c>
      <c r="B43" s="1776" t="s">
        <v>191</v>
      </c>
      <c r="C43" s="1771">
        <v>0</v>
      </c>
      <c r="D43" s="1771">
        <v>0</v>
      </c>
      <c r="E43" s="1777">
        <v>0</v>
      </c>
      <c r="F43" s="1777">
        <v>0</v>
      </c>
      <c r="G43" s="1777">
        <v>0</v>
      </c>
      <c r="H43" s="1777">
        <v>0</v>
      </c>
      <c r="I43" s="1777">
        <v>0</v>
      </c>
      <c r="J43" s="1777">
        <v>0</v>
      </c>
      <c r="K43" s="1777">
        <v>0</v>
      </c>
      <c r="L43" s="1777">
        <v>0</v>
      </c>
      <c r="M43" s="1777">
        <v>0</v>
      </c>
      <c r="N43" s="1777">
        <v>0</v>
      </c>
      <c r="O43" s="1778"/>
    </row>
    <row r="44" spans="1:15">
      <c r="A44" s="1759">
        <f t="shared" si="1"/>
        <v>32</v>
      </c>
      <c r="C44" s="1515"/>
      <c r="D44" s="1515"/>
      <c r="E44" s="1082"/>
      <c r="F44" s="1082"/>
      <c r="G44" s="1082"/>
      <c r="H44" s="1082"/>
      <c r="I44" s="1082"/>
      <c r="J44" s="1082"/>
      <c r="K44" s="1082"/>
      <c r="L44" s="1082"/>
      <c r="M44" s="1082"/>
      <c r="N44" s="1082"/>
    </row>
    <row r="45" spans="1:15">
      <c r="A45" s="1759">
        <f t="shared" si="1"/>
        <v>33</v>
      </c>
      <c r="B45" s="1776" t="s">
        <v>192</v>
      </c>
      <c r="C45" s="1771">
        <f>ROUND(SCH_B8!D17/1000,0)</f>
        <v>87725</v>
      </c>
      <c r="D45" s="1771">
        <f>ROUND(SCH_B8!F17/1000,0)</f>
        <v>173786</v>
      </c>
      <c r="E45" s="3523">
        <v>109390</v>
      </c>
      <c r="F45" s="3523">
        <v>63833</v>
      </c>
      <c r="G45" s="3523">
        <v>43361</v>
      </c>
      <c r="H45" s="3523">
        <v>15303</v>
      </c>
      <c r="I45" s="3523">
        <v>26970</v>
      </c>
      <c r="J45" s="3523">
        <v>20861</v>
      </c>
      <c r="K45" s="3523">
        <v>27612</v>
      </c>
      <c r="L45" s="3523">
        <v>14510</v>
      </c>
      <c r="M45" s="3523">
        <v>18215</v>
      </c>
      <c r="N45" s="3523">
        <v>36504</v>
      </c>
    </row>
    <row r="46" spans="1:15">
      <c r="A46" s="1759">
        <f t="shared" si="1"/>
        <v>34</v>
      </c>
      <c r="C46" s="1082"/>
      <c r="E46" s="1082"/>
      <c r="F46" s="1082"/>
      <c r="G46" s="1082"/>
      <c r="H46" s="1082"/>
      <c r="I46" s="1082"/>
      <c r="J46" s="1082"/>
      <c r="K46" s="1082"/>
      <c r="L46" s="1082"/>
      <c r="M46" s="1082"/>
      <c r="N46" s="1082"/>
    </row>
    <row r="47" spans="1:15" ht="13.8" thickBot="1">
      <c r="A47" s="1759">
        <f t="shared" si="1"/>
        <v>35</v>
      </c>
      <c r="B47" s="1776" t="s">
        <v>193</v>
      </c>
      <c r="C47" s="1779">
        <f>C24+C36+C41+C43+C45</f>
        <v>1563913</v>
      </c>
      <c r="D47" s="1779">
        <f>D24+D36+D41+D43+D45</f>
        <v>1536339</v>
      </c>
      <c r="E47" s="1779">
        <f>E24+E36+E41+E43+E45</f>
        <v>1268035</v>
      </c>
      <c r="F47" s="1779">
        <f>F24+F36+F41+F43+F45</f>
        <v>1115208</v>
      </c>
      <c r="G47" s="1779">
        <f>G24+G36+G41+G43+G45</f>
        <v>1101565</v>
      </c>
      <c r="H47" s="1779">
        <f t="shared" ref="H47:N47" si="7">H24+H36+H41+H43+H45</f>
        <v>975168</v>
      </c>
      <c r="I47" s="1779">
        <f t="shared" si="7"/>
        <v>942331</v>
      </c>
      <c r="J47" s="1779">
        <f t="shared" si="7"/>
        <v>942584</v>
      </c>
      <c r="K47" s="1779">
        <f t="shared" si="7"/>
        <v>912993</v>
      </c>
      <c r="L47" s="1779">
        <f t="shared" si="7"/>
        <v>899235</v>
      </c>
      <c r="M47" s="1779">
        <f t="shared" si="7"/>
        <v>886263</v>
      </c>
      <c r="N47" s="1779">
        <f t="shared" si="7"/>
        <v>862596</v>
      </c>
    </row>
    <row r="48" spans="1:15" ht="13.8" thickTop="1">
      <c r="A48" s="1759">
        <f t="shared" si="1"/>
        <v>36</v>
      </c>
      <c r="C48" s="1082"/>
    </row>
    <row r="49" spans="1:14">
      <c r="A49" s="1759">
        <f t="shared" si="1"/>
        <v>37</v>
      </c>
      <c r="B49" s="1751" t="s">
        <v>954</v>
      </c>
      <c r="C49" s="1082"/>
      <c r="E49" s="1770"/>
      <c r="F49" s="1770"/>
      <c r="G49" s="1770"/>
      <c r="H49" s="1770"/>
      <c r="I49" s="1770"/>
      <c r="K49" s="1770"/>
      <c r="L49" s="1770"/>
      <c r="M49" s="1770"/>
      <c r="N49" s="1770"/>
    </row>
    <row r="50" spans="1:14">
      <c r="A50" s="1759">
        <f t="shared" si="1"/>
        <v>38</v>
      </c>
      <c r="B50" s="1751" t="s">
        <v>1039</v>
      </c>
      <c r="C50" s="2752" t="s">
        <v>725</v>
      </c>
      <c r="D50" s="2752" t="s">
        <v>725</v>
      </c>
      <c r="E50" s="3525">
        <v>2.2700000000000001E-2</v>
      </c>
      <c r="F50" s="3525">
        <v>2.41E-2</v>
      </c>
      <c r="G50" s="3526">
        <v>2.4299999999999999E-2</v>
      </c>
      <c r="H50" s="3526">
        <v>2.4199999999999999E-2</v>
      </c>
      <c r="I50" s="3526">
        <v>2.4199999999999999E-2</v>
      </c>
      <c r="J50" s="3525">
        <v>2.4500000000000001E-2</v>
      </c>
      <c r="K50" s="3525">
        <v>2.3900000000000001E-2</v>
      </c>
      <c r="L50" s="3525">
        <v>2.3599999999999999E-2</v>
      </c>
      <c r="M50" s="3526">
        <v>2.7300000000000001E-2</v>
      </c>
      <c r="N50" s="3525">
        <v>2.2800000000000001E-2</v>
      </c>
    </row>
    <row r="51" spans="1:14">
      <c r="A51" s="1759">
        <f t="shared" si="1"/>
        <v>39</v>
      </c>
      <c r="B51" s="1751" t="s">
        <v>12</v>
      </c>
      <c r="C51" s="2752" t="s">
        <v>725</v>
      </c>
      <c r="D51" s="2752" t="s">
        <v>725</v>
      </c>
      <c r="E51" s="3525">
        <v>2.0500000000000001E-2</v>
      </c>
      <c r="F51" s="3525">
        <v>2.2200000000000001E-2</v>
      </c>
      <c r="G51" s="3526">
        <v>2.3800000000000002E-2</v>
      </c>
      <c r="H51" s="3526">
        <v>2.3900000000000001E-2</v>
      </c>
      <c r="I51" s="3526">
        <v>2.4799999999999999E-2</v>
      </c>
      <c r="J51" s="3525">
        <v>2.4199999999999999E-2</v>
      </c>
      <c r="K51" s="3525">
        <v>2.46E-2</v>
      </c>
      <c r="L51" s="3525">
        <v>2.5000000000000001E-2</v>
      </c>
      <c r="M51" s="3526">
        <v>2.4899999999999999E-2</v>
      </c>
      <c r="N51" s="3525">
        <v>2.5000000000000001E-2</v>
      </c>
    </row>
    <row r="52" spans="1:14">
      <c r="A52" s="1759">
        <f t="shared" si="1"/>
        <v>40</v>
      </c>
      <c r="B52" s="1751" t="s">
        <v>13</v>
      </c>
      <c r="C52" s="2752" t="s">
        <v>725</v>
      </c>
      <c r="D52" s="2752" t="s">
        <v>725</v>
      </c>
      <c r="E52" s="3525">
        <v>9.5000000000000001E-2</v>
      </c>
      <c r="F52" s="3525">
        <v>0.1055</v>
      </c>
      <c r="G52" s="3526">
        <v>5.4300000000000001E-2</v>
      </c>
      <c r="H52" s="3526">
        <v>9.4799999999999995E-2</v>
      </c>
      <c r="I52" s="3526">
        <v>9.1399999999999995E-2</v>
      </c>
      <c r="J52" s="3525">
        <v>9.5200000000000007E-2</v>
      </c>
      <c r="K52" s="3525">
        <v>9.4E-2</v>
      </c>
      <c r="L52" s="3525">
        <v>9.2399999999999996E-2</v>
      </c>
      <c r="M52" s="3526">
        <v>0.19869999999999999</v>
      </c>
      <c r="N52" s="3525">
        <v>8.9800000000000005E-2</v>
      </c>
    </row>
    <row r="54" spans="1:14">
      <c r="A54" s="1780"/>
      <c r="B54" s="1781" t="s">
        <v>112</v>
      </c>
      <c r="C54" s="1781"/>
    </row>
    <row r="55" spans="1:14">
      <c r="A55" s="1780"/>
    </row>
    <row r="56" spans="1:14">
      <c r="A56" s="1780"/>
    </row>
    <row r="57" spans="1:14">
      <c r="A57" s="1749" t="str">
        <f>A1</f>
        <v>DUKE ENERGY KENTUCKY, INC.</v>
      </c>
      <c r="B57" s="1749"/>
      <c r="C57" s="1749"/>
      <c r="D57" s="1750"/>
      <c r="E57" s="1749"/>
      <c r="F57" s="1749"/>
      <c r="G57" s="1749"/>
      <c r="H57" s="1749"/>
      <c r="I57" s="1749"/>
      <c r="J57" s="1749"/>
      <c r="K57" s="1749"/>
      <c r="L57" s="1749"/>
      <c r="M57" s="1749"/>
      <c r="N57" s="1749"/>
    </row>
    <row r="58" spans="1:14">
      <c r="A58" s="1749" t="str">
        <f>A2</f>
        <v>CASE NO. 2018-00261</v>
      </c>
      <c r="B58" s="1752"/>
      <c r="C58" s="1752"/>
      <c r="D58" s="1753"/>
      <c r="E58" s="1752"/>
      <c r="F58" s="1752"/>
      <c r="G58" s="1752"/>
      <c r="H58" s="1752"/>
      <c r="I58" s="1752"/>
      <c r="J58" s="1752"/>
      <c r="K58" s="1752"/>
      <c r="L58" s="1752"/>
      <c r="M58" s="1752"/>
      <c r="N58" s="1752"/>
    </row>
    <row r="59" spans="1:14">
      <c r="A59" s="1749" t="str">
        <f>A3</f>
        <v>COMPARATIVE FINANCIAL DATA</v>
      </c>
      <c r="B59" s="1752"/>
      <c r="C59" s="1752"/>
      <c r="D59" s="1753"/>
      <c r="E59" s="1752"/>
      <c r="F59" s="1752"/>
      <c r="G59" s="1752"/>
      <c r="H59" s="1752"/>
      <c r="I59" s="1752"/>
      <c r="J59" s="1752"/>
      <c r="K59" s="1752"/>
      <c r="L59" s="1752"/>
      <c r="M59" s="1752"/>
      <c r="N59" s="1752"/>
    </row>
    <row r="60" spans="1:14">
      <c r="A60" s="1754"/>
      <c r="B60" s="1754"/>
      <c r="C60" s="1754"/>
      <c r="D60" s="1613"/>
      <c r="E60" s="1754"/>
      <c r="F60" s="1754"/>
      <c r="G60" s="1754"/>
      <c r="H60" s="1754"/>
      <c r="I60" s="1754"/>
      <c r="J60" s="1754"/>
      <c r="K60" s="1754"/>
      <c r="L60" s="1754"/>
      <c r="M60" s="1754"/>
      <c r="N60" s="1754"/>
    </row>
    <row r="61" spans="1:14">
      <c r="A61" s="1754" t="str">
        <f>A5</f>
        <v>DATA: "X" BASE PERIOD  "X" FORECASTED PERIOD</v>
      </c>
      <c r="B61" s="1749"/>
      <c r="C61" s="1749"/>
      <c r="D61" s="1750"/>
      <c r="E61" s="1752"/>
      <c r="F61" s="1749"/>
      <c r="G61" s="1749"/>
      <c r="H61" s="1749"/>
      <c r="I61" s="1749"/>
      <c r="J61" s="1749"/>
      <c r="K61" s="1749"/>
      <c r="L61" s="1755" t="str">
        <f>L5</f>
        <v>SCHEDULE K</v>
      </c>
      <c r="M61" s="1749"/>
      <c r="N61" s="1749"/>
    </row>
    <row r="62" spans="1:14">
      <c r="A62" s="1754" t="str">
        <f>A6</f>
        <v xml:space="preserve">TYPE OF FILING:  "X" ORIGINAL   UPDATED    REVISED  </v>
      </c>
      <c r="B62" s="1749"/>
      <c r="C62" s="1749"/>
      <c r="D62" s="1750"/>
      <c r="E62" s="1752"/>
      <c r="F62" s="1749"/>
      <c r="G62" s="1749"/>
      <c r="H62" s="1749"/>
      <c r="I62" s="1749"/>
      <c r="J62" s="1749"/>
      <c r="K62" s="1749"/>
      <c r="L62" s="1755" t="s">
        <v>1059</v>
      </c>
      <c r="M62" s="1749"/>
      <c r="N62" s="1749"/>
    </row>
    <row r="63" spans="1:14" s="1789" customFormat="1">
      <c r="A63" s="1754" t="str">
        <f>A7</f>
        <v>WORK PAPER REFERENCE NO(S).:</v>
      </c>
      <c r="B63" s="1788"/>
      <c r="C63" s="1788"/>
      <c r="D63" s="1750"/>
      <c r="E63" s="1749"/>
      <c r="F63" s="1752"/>
      <c r="G63" s="1749"/>
      <c r="H63" s="1749"/>
      <c r="I63" s="1749"/>
      <c r="J63" s="1749"/>
      <c r="L63" s="1815" t="s">
        <v>1937</v>
      </c>
      <c r="M63" s="1755"/>
      <c r="N63" s="1755"/>
    </row>
    <row r="64" spans="1:14">
      <c r="B64" s="1788"/>
      <c r="C64" s="1788"/>
      <c r="D64" s="1613"/>
      <c r="E64" s="1754"/>
      <c r="F64" s="1754"/>
      <c r="G64" s="1754"/>
      <c r="H64" s="1754"/>
      <c r="I64" s="1754"/>
      <c r="J64" s="1754"/>
      <c r="L64" s="1756" t="str">
        <f>_WIT6</f>
        <v>R. H. PRATT / S. M. COVINGTON</v>
      </c>
      <c r="M64" s="1755"/>
      <c r="N64" s="1755"/>
    </row>
    <row r="65" spans="1:16">
      <c r="A65" s="1757"/>
      <c r="B65" s="1757"/>
      <c r="C65" s="1757"/>
      <c r="D65" s="1758"/>
      <c r="E65" s="1757"/>
      <c r="F65" s="1757"/>
      <c r="G65" s="1757"/>
      <c r="H65" s="1757"/>
      <c r="I65" s="1757"/>
      <c r="J65" s="1757"/>
      <c r="K65" s="1757"/>
      <c r="L65" s="1791"/>
      <c r="M65" s="1757"/>
      <c r="N65" s="1757"/>
    </row>
    <row r="66" spans="1:16">
      <c r="A66" s="1759" t="s">
        <v>1938</v>
      </c>
      <c r="B66" s="1754"/>
      <c r="C66" s="1759" t="s">
        <v>1127</v>
      </c>
      <c r="D66" s="1760" t="str">
        <f>D10</f>
        <v>BASE</v>
      </c>
      <c r="E66" s="1762" t="str">
        <f>E10</f>
        <v>MOST RECENT CALENDAR YEARS</v>
      </c>
      <c r="F66" s="1762"/>
      <c r="G66" s="1762"/>
      <c r="H66" s="1762"/>
      <c r="I66" s="1762"/>
      <c r="J66" s="1762"/>
      <c r="K66" s="1762"/>
      <c r="L66" s="1762"/>
      <c r="M66" s="1762"/>
      <c r="N66" s="1762"/>
    </row>
    <row r="67" spans="1:16">
      <c r="A67" s="1763" t="s">
        <v>1939</v>
      </c>
      <c r="B67" s="1763" t="s">
        <v>1988</v>
      </c>
      <c r="C67" s="1765" t="s">
        <v>743</v>
      </c>
      <c r="D67" s="1765" t="str">
        <f>D11</f>
        <v>PERIOD</v>
      </c>
      <c r="E67" s="1763">
        <f t="shared" ref="E67:N67" si="8">E11</f>
        <v>2017</v>
      </c>
      <c r="F67" s="1763">
        <f t="shared" si="8"/>
        <v>2016</v>
      </c>
      <c r="G67" s="1763">
        <f t="shared" si="8"/>
        <v>2015</v>
      </c>
      <c r="H67" s="1763">
        <f t="shared" si="8"/>
        <v>2014</v>
      </c>
      <c r="I67" s="1763">
        <f t="shared" si="8"/>
        <v>2013</v>
      </c>
      <c r="J67" s="1763">
        <f t="shared" si="8"/>
        <v>2012</v>
      </c>
      <c r="K67" s="1763">
        <f t="shared" si="8"/>
        <v>2011</v>
      </c>
      <c r="L67" s="1763">
        <f t="shared" si="8"/>
        <v>2010</v>
      </c>
      <c r="M67" s="1763">
        <f t="shared" si="8"/>
        <v>2009</v>
      </c>
      <c r="N67" s="1763">
        <f t="shared" si="8"/>
        <v>2008</v>
      </c>
    </row>
    <row r="68" spans="1:16">
      <c r="A68" s="1754"/>
      <c r="B68" s="1754"/>
      <c r="C68" s="1754"/>
      <c r="D68" s="1613"/>
      <c r="E68" s="1754"/>
      <c r="F68" s="1754"/>
      <c r="G68" s="1754"/>
      <c r="H68" s="1754"/>
      <c r="I68" s="1754"/>
      <c r="J68" s="1754"/>
      <c r="K68" s="1754"/>
      <c r="L68" s="1754"/>
      <c r="M68" s="1754"/>
      <c r="N68" s="1754"/>
    </row>
    <row r="69" spans="1:16">
      <c r="A69" s="1780">
        <v>1</v>
      </c>
      <c r="B69" s="1798" t="s">
        <v>113</v>
      </c>
      <c r="C69" s="1798"/>
    </row>
    <row r="70" spans="1:16">
      <c r="A70" s="1780">
        <f t="shared" ref="A70:A99" si="9">1+A69</f>
        <v>2</v>
      </c>
      <c r="B70" s="1751" t="s">
        <v>114</v>
      </c>
      <c r="C70" s="1082">
        <f>ROUND('SCH_J1 - Forecast'!G18/1000,0)</f>
        <v>518129</v>
      </c>
      <c r="D70" s="1082">
        <f>ROUND('SCH_J1 - Base'!G17/1000,0)</f>
        <v>448448</v>
      </c>
      <c r="E70" s="1082">
        <f>ROUND(SCH_B8!H95/1000,0)</f>
        <v>451432</v>
      </c>
      <c r="F70" s="1082">
        <f>ROUND(SCH_B8!J95/1000,0)</f>
        <v>361382</v>
      </c>
      <c r="G70" s="1082">
        <f>ROUND(SCH_B8!L95/1000,0)</f>
        <v>316332</v>
      </c>
      <c r="H70" s="1082">
        <f>ROUND(SCH_B8!N95/1000,0)</f>
        <v>317131</v>
      </c>
      <c r="I70" s="1082">
        <f>ROUND(SCH_B8!P95/1000,0)</f>
        <v>332042</v>
      </c>
      <c r="J70" s="1725">
        <v>331952</v>
      </c>
      <c r="K70" s="1725">
        <v>331861</v>
      </c>
      <c r="L70" s="1725">
        <v>331771</v>
      </c>
      <c r="M70" s="1725">
        <v>331680</v>
      </c>
      <c r="N70" s="1725">
        <v>325503</v>
      </c>
    </row>
    <row r="71" spans="1:16">
      <c r="A71" s="1780">
        <f t="shared" si="9"/>
        <v>3</v>
      </c>
      <c r="B71" s="1751" t="s">
        <v>115</v>
      </c>
      <c r="C71" s="1799">
        <v>0</v>
      </c>
      <c r="D71" s="1799">
        <v>0</v>
      </c>
      <c r="E71" s="1515">
        <v>0</v>
      </c>
      <c r="F71" s="1515">
        <v>0</v>
      </c>
      <c r="G71" s="1515">
        <v>0</v>
      </c>
      <c r="H71" s="1515">
        <v>0</v>
      </c>
      <c r="I71" s="1515">
        <v>0</v>
      </c>
      <c r="J71" s="1725">
        <v>0</v>
      </c>
      <c r="K71" s="1725">
        <v>0</v>
      </c>
      <c r="L71" s="1725">
        <v>0</v>
      </c>
      <c r="M71" s="1725">
        <v>0</v>
      </c>
      <c r="N71" s="1725">
        <v>0</v>
      </c>
    </row>
    <row r="72" spans="1:16">
      <c r="A72" s="1780">
        <f t="shared" si="9"/>
        <v>4</v>
      </c>
      <c r="B72" s="1751" t="s">
        <v>116</v>
      </c>
      <c r="C72" s="1082">
        <f>ROUND('SCH_J1 - Forecast'!G17/1000,0)</f>
        <v>621113</v>
      </c>
      <c r="D72" s="1082">
        <f>ROUND('SCH_J1 - Base'!G16/1000,0)</f>
        <v>575707</v>
      </c>
      <c r="E72" s="1082">
        <f>ROUND(SCH_B8!H88/1000,0)</f>
        <v>511414</v>
      </c>
      <c r="F72" s="1082">
        <f>ROUND(SCH_B8!J88/1000,0)</f>
        <v>437015</v>
      </c>
      <c r="G72" s="1082">
        <f>ROUND(SCH_B8!L88/1000,0)</f>
        <v>404432</v>
      </c>
      <c r="H72" s="1082">
        <f>ROUND(SCH_B8!N88/1000,0)</f>
        <v>413256</v>
      </c>
      <c r="I72" s="1082">
        <f>ROUND(SCH_B8!P88/1000,0)</f>
        <v>377954</v>
      </c>
      <c r="J72" s="1725">
        <v>372885</v>
      </c>
      <c r="K72" s="1725">
        <v>354664</v>
      </c>
      <c r="L72" s="1725">
        <v>465354</v>
      </c>
      <c r="M72" s="1725">
        <v>422093</v>
      </c>
      <c r="N72" s="1725">
        <v>394025</v>
      </c>
      <c r="O72" s="1725"/>
      <c r="P72" s="3506"/>
    </row>
    <row r="73" spans="1:16">
      <c r="A73" s="1780">
        <f t="shared" si="9"/>
        <v>5</v>
      </c>
      <c r="B73" s="1798" t="s">
        <v>1460</v>
      </c>
      <c r="C73" s="1799"/>
      <c r="D73" s="1799"/>
      <c r="E73" s="1800"/>
      <c r="F73" s="1800"/>
      <c r="G73" s="1800"/>
      <c r="H73" s="1800"/>
      <c r="I73" s="1800"/>
      <c r="J73" s="1725"/>
      <c r="K73" s="1725"/>
      <c r="L73" s="1725"/>
      <c r="M73" s="1725"/>
      <c r="N73" s="1725"/>
    </row>
    <row r="74" spans="1:16">
      <c r="A74" s="1780">
        <f t="shared" si="9"/>
        <v>6</v>
      </c>
      <c r="B74" s="1751" t="s">
        <v>1461</v>
      </c>
      <c r="C74" s="1801">
        <f>ROUND('SCH_I1 - Total Co.'!H16/1000000,1)</f>
        <v>468.4</v>
      </c>
      <c r="D74" s="1801">
        <f>ROUND('SCH_I1 - Total Co.'!K16/1000000,1)</f>
        <v>471.9</v>
      </c>
      <c r="E74" s="1801">
        <f>ROUND('SCH_I1 - Total Co.'!N16/1000000,1)</f>
        <v>429.1</v>
      </c>
      <c r="F74" s="1801">
        <f>ROUND('SCH_I1 - Total Co.'!P16/1000000,1)</f>
        <v>440.8</v>
      </c>
      <c r="G74" s="1801">
        <f>ROUND('SCH_I1 - Total Co.'!R16/1000000,1)</f>
        <v>466.8</v>
      </c>
      <c r="H74" s="1801">
        <f>ROUND('SCH_I1 - Total Co.'!T16/1000000,1)</f>
        <v>488.7</v>
      </c>
      <c r="I74" s="1801">
        <f>ROUND('SCH_I1 - Total Co.'!V16/1000000,1)</f>
        <v>443.8</v>
      </c>
      <c r="J74" s="3527">
        <v>427.6</v>
      </c>
      <c r="K74" s="3527">
        <v>458.7</v>
      </c>
      <c r="L74" s="3527">
        <v>486.7</v>
      </c>
      <c r="M74" s="3527">
        <v>460.5</v>
      </c>
      <c r="N74" s="3527">
        <v>500.1</v>
      </c>
    </row>
    <row r="75" spans="1:16">
      <c r="A75" s="1780">
        <f t="shared" si="9"/>
        <v>7</v>
      </c>
      <c r="B75" s="1804" t="s">
        <v>1671</v>
      </c>
      <c r="C75" s="1803"/>
      <c r="D75" s="1803"/>
      <c r="E75" s="1803"/>
      <c r="F75" s="1803"/>
      <c r="G75" s="1803"/>
      <c r="H75" s="1803"/>
      <c r="I75" s="1803"/>
      <c r="J75" s="3527"/>
      <c r="K75" s="3527"/>
      <c r="L75" s="3527"/>
      <c r="M75" s="3527"/>
      <c r="N75" s="3527"/>
    </row>
    <row r="76" spans="1:16">
      <c r="A76" s="1780">
        <f t="shared" si="9"/>
        <v>8</v>
      </c>
      <c r="B76" s="1804" t="s">
        <v>234</v>
      </c>
      <c r="C76" s="1805">
        <f>ROUND(SUM('SCH_I1 - Total Co.'!H18:H24)/1000000,1)</f>
        <v>388.2</v>
      </c>
      <c r="D76" s="1805">
        <f>ROUND(SUM('SCH_I1 - Total Co.'!K18:K24)/1000000,1)</f>
        <v>403.8</v>
      </c>
      <c r="E76" s="1805">
        <f>ROUND(SUM('SCH_I1 - Total Co.'!N18:N24)/1000000,1)</f>
        <v>356.2</v>
      </c>
      <c r="F76" s="1805">
        <f>ROUND(SUM('SCH_I1 - Total Co.'!P18:P24)/1000000,1)</f>
        <v>365.8</v>
      </c>
      <c r="G76" s="1805">
        <f>ROUND(SUM('SCH_I1 - Total Co.'!R18:R24)/1000000,1)</f>
        <v>378.1</v>
      </c>
      <c r="H76" s="1805">
        <f>ROUND(SUM('SCH_I1 - Total Co.'!S18:T24)/1000000,1)</f>
        <v>416.6</v>
      </c>
      <c r="I76" s="1805">
        <f>ROUND(SUM('SCH_I1 - Total Co.'!U18:V24)/1000000,1)</f>
        <v>360.5</v>
      </c>
      <c r="J76" s="3528">
        <v>365.8</v>
      </c>
      <c r="K76" s="3528">
        <v>396.3</v>
      </c>
      <c r="L76" s="3528">
        <v>406.7</v>
      </c>
      <c r="M76" s="3528">
        <v>397.8</v>
      </c>
      <c r="N76" s="3528">
        <v>427.9</v>
      </c>
    </row>
    <row r="77" spans="1:16">
      <c r="A77" s="1780">
        <f t="shared" si="9"/>
        <v>9</v>
      </c>
      <c r="B77" s="1751" t="s">
        <v>20</v>
      </c>
      <c r="C77" s="1806">
        <f t="shared" ref="C77:J77" si="10">C74-C76</f>
        <v>80.199999999999989</v>
      </c>
      <c r="D77" s="1806">
        <f t="shared" si="10"/>
        <v>68.099999999999966</v>
      </c>
      <c r="E77" s="1806">
        <f t="shared" si="10"/>
        <v>72.900000000000034</v>
      </c>
      <c r="F77" s="1806">
        <f t="shared" si="10"/>
        <v>75</v>
      </c>
      <c r="G77" s="1806">
        <f t="shared" si="10"/>
        <v>88.699999999999989</v>
      </c>
      <c r="H77" s="1806">
        <f t="shared" si="10"/>
        <v>72.099999999999966</v>
      </c>
      <c r="I77" s="1806">
        <f t="shared" si="10"/>
        <v>83.300000000000011</v>
      </c>
      <c r="J77" s="1806">
        <f t="shared" si="10"/>
        <v>61.800000000000011</v>
      </c>
      <c r="K77" s="1806">
        <f>K74-K76</f>
        <v>62.399999999999977</v>
      </c>
      <c r="L77" s="1806">
        <f>L74-L76</f>
        <v>80</v>
      </c>
      <c r="M77" s="1806">
        <f>M74-M76</f>
        <v>62.699999999999989</v>
      </c>
      <c r="N77" s="1806">
        <f>N74-N76</f>
        <v>72.200000000000045</v>
      </c>
    </row>
    <row r="78" spans="1:16">
      <c r="A78" s="1780">
        <f t="shared" si="9"/>
        <v>10</v>
      </c>
      <c r="B78" s="1804" t="s">
        <v>76</v>
      </c>
      <c r="C78" s="1801">
        <f>ROUND('SCH_I1 - Total Co.'!H25/1000000,1)</f>
        <v>6.6</v>
      </c>
      <c r="D78" s="1801">
        <f>ROUND('SCH_I1 - Total Co.'!K25/1000000,1)</f>
        <v>1.6</v>
      </c>
      <c r="E78" s="1801">
        <f>ROUND('SCH_I1 - Total Co.'!N25/1000000,1)</f>
        <v>-15.3</v>
      </c>
      <c r="F78" s="1801">
        <f>ROUND('SCH_I1 - Total Co.'!P25/1000000,1)</f>
        <v>-3.7</v>
      </c>
      <c r="G78" s="1801">
        <f>ROUND('SCH_I1 - Total Co.'!R25/1000000,1)</f>
        <v>1.6</v>
      </c>
      <c r="H78" s="1801">
        <f>ROUND('SCH_I1 - Total Co.'!T25/1000000,1)</f>
        <v>-0.5</v>
      </c>
      <c r="I78" s="1801">
        <f>ROUND('SCH_I1 - Total Co.'!V25/1000000,1)</f>
        <v>15.1</v>
      </c>
      <c r="J78" s="1801">
        <f>ROUND('SCH_I1 - Total Co.'!Y25/1000000,1)</f>
        <v>1.4</v>
      </c>
      <c r="K78" s="3527">
        <v>3.7</v>
      </c>
      <c r="L78" s="3527">
        <v>1.2</v>
      </c>
      <c r="M78" s="3527">
        <v>-12.1</v>
      </c>
      <c r="N78" s="3527">
        <v>7.2</v>
      </c>
    </row>
    <row r="79" spans="1:16">
      <c r="A79" s="1780">
        <f t="shared" si="9"/>
        <v>11</v>
      </c>
      <c r="B79" s="1804" t="s">
        <v>77</v>
      </c>
      <c r="C79" s="1805">
        <f>ROUND('SCH_I1 - Total Co.'!H26/1000000,1)</f>
        <v>1</v>
      </c>
      <c r="D79" s="1805">
        <f>ROUND('SCH_I1 - Total Co.'!K26/1000000,1)</f>
        <v>0.1</v>
      </c>
      <c r="E79" s="1805">
        <f>ROUND('SCH_I1 - Total Co.'!N26/1000000,1)</f>
        <v>-0.4</v>
      </c>
      <c r="F79" s="1805">
        <f>ROUND('SCH_I1 - Total Co.'!P26/1000000,1)</f>
        <v>-0.9</v>
      </c>
      <c r="G79" s="1805">
        <f>ROUND('SCH_I1 - Total Co.'!R26/1000000,1)</f>
        <v>-0.8</v>
      </c>
      <c r="H79" s="1805">
        <f>ROUND('SCH_I1 - Total Co.'!T26/1000000,1)</f>
        <v>1.8</v>
      </c>
      <c r="I79" s="1805">
        <f>ROUND('SCH_I1 - Total Co.'!V26/1000000,1)</f>
        <v>1.1000000000000001</v>
      </c>
      <c r="J79" s="1805">
        <f>ROUND('SCH_I1 - Total Co.'!Y26/1000000,1)</f>
        <v>3.3</v>
      </c>
      <c r="K79" s="3528">
        <v>1.4</v>
      </c>
      <c r="L79" s="3528">
        <v>1.5</v>
      </c>
      <c r="M79" s="3528">
        <v>-2.2000000000000002</v>
      </c>
      <c r="N79" s="3528">
        <v>1.5</v>
      </c>
    </row>
    <row r="80" spans="1:16">
      <c r="A80" s="1780">
        <f t="shared" si="9"/>
        <v>12</v>
      </c>
      <c r="B80" s="1804" t="s">
        <v>78</v>
      </c>
      <c r="C80" s="1806">
        <f t="shared" ref="C80:J80" si="11">SUM(C78:C79)</f>
        <v>7.6</v>
      </c>
      <c r="D80" s="1806">
        <f t="shared" si="11"/>
        <v>1.7000000000000002</v>
      </c>
      <c r="E80" s="1806">
        <f t="shared" si="11"/>
        <v>-15.700000000000001</v>
      </c>
      <c r="F80" s="1806">
        <f t="shared" si="11"/>
        <v>-4.6000000000000005</v>
      </c>
      <c r="G80" s="1806">
        <f t="shared" si="11"/>
        <v>0.8</v>
      </c>
      <c r="H80" s="1806">
        <f t="shared" si="11"/>
        <v>1.3</v>
      </c>
      <c r="I80" s="1806">
        <f t="shared" si="11"/>
        <v>16.2</v>
      </c>
      <c r="J80" s="1806">
        <f t="shared" si="11"/>
        <v>4.6999999999999993</v>
      </c>
      <c r="K80" s="1806">
        <f>K78+K79</f>
        <v>5.0999999999999996</v>
      </c>
      <c r="L80" s="1806">
        <f>L78+L79</f>
        <v>2.7</v>
      </c>
      <c r="M80" s="1806">
        <f>M78+M79</f>
        <v>-14.3</v>
      </c>
      <c r="N80" s="1806">
        <f>N78+N79</f>
        <v>8.6999999999999993</v>
      </c>
    </row>
    <row r="81" spans="1:14">
      <c r="A81" s="1780">
        <f t="shared" si="9"/>
        <v>13</v>
      </c>
      <c r="B81" s="1751" t="s">
        <v>79</v>
      </c>
      <c r="C81" s="1801">
        <f>ROUND('SCH_I1 - Total Co.'!H29/1000000,1)</f>
        <v>0</v>
      </c>
      <c r="D81" s="1801">
        <f>ROUND('SCH_I1 - Total Co.'!K29/1000000,1)</f>
        <v>0</v>
      </c>
      <c r="E81" s="1801">
        <f>ROUND('SCH_I1 - Total Co.'!N29/1000000,1)</f>
        <v>-0.1</v>
      </c>
      <c r="F81" s="1801">
        <f>ROUND('SCH_I1 - Total Co.'!P29/1000000,1)</f>
        <v>-0.1</v>
      </c>
      <c r="G81" s="1801">
        <f>ROUND('SCH_I1 - Total Co.'!R29/1000000,1)</f>
        <v>-0.1</v>
      </c>
      <c r="H81" s="1801">
        <f>ROUND('SCH_I1 - Total Co.'!T29/1000000,1)</f>
        <v>-0.1</v>
      </c>
      <c r="I81" s="1801">
        <f>ROUND('SCH_I1 - Total Co.'!V29/1000000,1)</f>
        <v>-0.1</v>
      </c>
      <c r="J81" s="1801">
        <f>ROUND('SCH_I1 - Total Co.'!Y29/1000000,1)</f>
        <v>-0.1</v>
      </c>
      <c r="K81" s="3527">
        <v>-0.1</v>
      </c>
      <c r="L81" s="3527">
        <v>-0.2</v>
      </c>
      <c r="M81" s="3527">
        <v>-0.2</v>
      </c>
      <c r="N81" s="3527">
        <v>-0.2</v>
      </c>
    </row>
    <row r="82" spans="1:14">
      <c r="A82" s="1780">
        <f t="shared" si="9"/>
        <v>14</v>
      </c>
      <c r="B82" s="1751" t="s">
        <v>981</v>
      </c>
      <c r="C82" s="1801">
        <f>ROUND(('SCH_I1 - Total Co.'!H38-'SCH_I1 - Total Co.'!H62)/1000000,1)</f>
        <v>3.2</v>
      </c>
      <c r="D82" s="1801">
        <f>ROUND(('SCH_I1 - Total Co.'!K38-'SCH_I1 - Total Co.'!K62)/1000000,1)</f>
        <v>5.9</v>
      </c>
      <c r="E82" s="1801">
        <f>ROUND(('SCH_I1 - Total Co.'!N38-'SCH_I1 - Total Co.'!N62)/1000000,1)</f>
        <v>4.7</v>
      </c>
      <c r="F82" s="1801">
        <f>ROUND(('SCH_I1 - Total Co.'!P38-'SCH_I1 - Total Co.'!P62)/1000000,1)</f>
        <v>1.9</v>
      </c>
      <c r="G82" s="1801">
        <f>ROUND(('SCH_I1 - Total Co.'!R38-'SCH_I1 - Total Co.'!R62)/1000000,1)</f>
        <v>0.8</v>
      </c>
      <c r="H82" s="1801">
        <f>ROUND(('SCH_I1 - Total Co.'!T38-'SCH_I1 - Total Co.'!T62)/1000000,1)</f>
        <v>0.7</v>
      </c>
      <c r="I82" s="1801">
        <f>ROUND(('SCH_I1 - Total Co.'!V38-'SCH_I1 - Total Co.'!V62)/1000000,1)</f>
        <v>0.7</v>
      </c>
      <c r="J82" s="1801">
        <f>ROUND(('SCH_I1 - Total Co.'!Y38-'SCH_I1 - Total Co.'!Y62)/1000000,1)</f>
        <v>0.5</v>
      </c>
      <c r="K82" s="3527">
        <v>0.8</v>
      </c>
      <c r="L82" s="3527">
        <v>0.5</v>
      </c>
      <c r="M82" s="3527">
        <v>0.3</v>
      </c>
      <c r="N82" s="3527">
        <v>1.3</v>
      </c>
    </row>
    <row r="83" spans="1:14">
      <c r="A83" s="1780">
        <f t="shared" si="9"/>
        <v>15</v>
      </c>
      <c r="B83" s="1751" t="s">
        <v>982</v>
      </c>
      <c r="C83" s="1801">
        <f>ROUND((+'SCH_I1 - Total Co.'!H41-'SCH_I1 - Total Co.'!H45-'SCH_I1 - Total Co.'!H53-'SCH_I1 - Total Co.'!H63-'SCH_I1 - Total Co.'!H38+'SCH_I1 - Total Co.'!H62)/1000000,1)</f>
        <v>-23.2</v>
      </c>
      <c r="D83" s="1801">
        <f>ROUND((+'SCH_I1 - Total Co.'!K41-'SCH_I1 - Total Co.'!K45-'SCH_I1 - Total Co.'!K53-'SCH_I1 - Total Co.'!K63-'SCH_I1 - Total Co.'!K38+'SCH_I1 - Total Co.'!K62)/1000000,1)</f>
        <v>-16.8</v>
      </c>
      <c r="E83" s="1801">
        <f>ROUND((+'SCH_I1 - Total Co.'!N41-'SCH_I1 - Total Co.'!N45-'SCH_I1 - Total Co.'!N53-'SCH_I1 - Total Co.'!N63-'SCH_I1 - Total Co.'!N38+'SCH_I1 - Total Co.'!N62)/1000000,1)</f>
        <v>2.1</v>
      </c>
      <c r="F83" s="1801">
        <f>ROUND((+'SCH_I1 - Total Co.'!P41-'SCH_I1 - Total Co.'!P45-'SCH_I1 - Total Co.'!P53-'SCH_I1 - Total Co.'!P63-'SCH_I1 - Total Co.'!P38+'SCH_I1 - Total Co.'!P62)/1000000,1)</f>
        <v>-17.3</v>
      </c>
      <c r="G83" s="1801">
        <f>ROUND((+'SCH_I1 - Total Co.'!R41-'SCH_I1 - Total Co.'!R45-'SCH_I1 - Total Co.'!R53-'SCH_I1 - Total Co.'!R63-'SCH_I1 - Total Co.'!R38+'SCH_I1 - Total Co.'!R62)/1000000,1)</f>
        <v>-15.5</v>
      </c>
      <c r="H83" s="1801">
        <f>ROUND((+'SCH_I1 - Total Co.'!T41-'SCH_I1 - Total Co.'!T45-'SCH_I1 - Total Co.'!T53-'SCH_I1 - Total Co.'!T63-'SCH_I1 - Total Co.'!T38+'SCH_I1 - Total Co.'!T62)/1000000,1)</f>
        <v>-16.3</v>
      </c>
      <c r="I83" s="1801">
        <f>ROUND((+'SCH_I1 - Total Co.'!V41-'SCH_I1 - Total Co.'!V45-'SCH_I1 - Total Co.'!V53-'SCH_I1 - Total Co.'!V63-'SCH_I1 - Total Co.'!V38+'SCH_I1 - Total Co.'!V62)/1000000,1)</f>
        <v>-14.3</v>
      </c>
      <c r="J83" s="1801">
        <f>ROUND((+'SCH_I1 - Total Co.'!Y41-'SCH_I1 - Total Co.'!Y45-'SCH_I1 - Total Co.'!Y53-'SCH_I1 - Total Co.'!Y63-'SCH_I1 - Total Co.'!Y38+'SCH_I1 - Total Co.'!Y62)/1000000,1)</f>
        <v>-17.2</v>
      </c>
      <c r="K83" s="3527">
        <v>-12.9</v>
      </c>
      <c r="L83" s="3527">
        <v>-15.2</v>
      </c>
      <c r="M83" s="3527">
        <v>-11.9</v>
      </c>
      <c r="N83" s="3527">
        <v>-15.7</v>
      </c>
    </row>
    <row r="84" spans="1:14">
      <c r="A84" s="1780">
        <f t="shared" si="9"/>
        <v>16</v>
      </c>
      <c r="B84" s="1751" t="s">
        <v>983</v>
      </c>
      <c r="C84" s="1803">
        <v>0</v>
      </c>
      <c r="D84" s="1803">
        <v>0</v>
      </c>
      <c r="E84" s="1803">
        <v>0</v>
      </c>
      <c r="F84" s="1803">
        <v>0</v>
      </c>
      <c r="G84" s="1803">
        <v>0</v>
      </c>
      <c r="H84" s="1802">
        <v>0</v>
      </c>
      <c r="I84" s="1802">
        <v>0</v>
      </c>
      <c r="J84" s="1802">
        <v>0</v>
      </c>
      <c r="K84" s="3527">
        <v>0</v>
      </c>
      <c r="L84" s="3527">
        <v>0</v>
      </c>
      <c r="M84" s="3527">
        <v>0</v>
      </c>
      <c r="N84" s="3527">
        <v>0</v>
      </c>
    </row>
    <row r="85" spans="1:14">
      <c r="A85" s="1780">
        <f t="shared" si="9"/>
        <v>17</v>
      </c>
      <c r="B85" s="1751" t="s">
        <v>984</v>
      </c>
      <c r="C85" s="1801">
        <f>ROUND('SCH_I1 - Total Co.'!H64/1000000,1)</f>
        <v>50.6</v>
      </c>
      <c r="D85" s="1801">
        <f>ROUND('SCH_I1 - Total Co.'!K64/1000000,1)</f>
        <v>66.8</v>
      </c>
      <c r="E85" s="1801">
        <f>ROUND('SCH_I1 - Total Co.'!N64/1000000,1)</f>
        <v>59.4</v>
      </c>
      <c r="F85" s="1801">
        <f>ROUND('SCH_I1 - Total Co.'!P64/1000000,1)</f>
        <v>42.6</v>
      </c>
      <c r="G85" s="1801">
        <f>ROUND('SCH_I1 - Total Co.'!R64/1000000,1)</f>
        <v>46.2</v>
      </c>
      <c r="H85" s="1801">
        <f>ROUND('SCH_I1 - Total Co.'!T64/1000000,1)</f>
        <v>35.299999999999997</v>
      </c>
      <c r="I85" s="1801">
        <f>ROUND('SCH_I1 - Total Co.'!V64/1000000,1)</f>
        <v>45.1</v>
      </c>
      <c r="J85" s="1801">
        <f>ROUND('SCH_I1 - Total Co.'!Y64/1000000,1)</f>
        <v>28.2</v>
      </c>
      <c r="K85" s="3527">
        <v>24.3</v>
      </c>
      <c r="L85" s="3527">
        <v>43.3</v>
      </c>
      <c r="M85" s="3527">
        <v>28.1</v>
      </c>
      <c r="N85" s="3527">
        <v>37.5</v>
      </c>
    </row>
    <row r="86" spans="1:14">
      <c r="A86" s="1780">
        <f t="shared" si="9"/>
        <v>18</v>
      </c>
      <c r="B86" s="1751" t="s">
        <v>785</v>
      </c>
      <c r="C86" s="1801">
        <f t="shared" ref="C86:N86" si="12">C85</f>
        <v>50.6</v>
      </c>
      <c r="D86" s="1801">
        <f t="shared" si="12"/>
        <v>66.8</v>
      </c>
      <c r="E86" s="1801">
        <f t="shared" si="12"/>
        <v>59.4</v>
      </c>
      <c r="F86" s="1801">
        <f t="shared" si="12"/>
        <v>42.6</v>
      </c>
      <c r="G86" s="1801">
        <f t="shared" si="12"/>
        <v>46.2</v>
      </c>
      <c r="H86" s="1801">
        <f t="shared" si="12"/>
        <v>35.299999999999997</v>
      </c>
      <c r="I86" s="1801">
        <f t="shared" si="12"/>
        <v>45.1</v>
      </c>
      <c r="J86" s="1801">
        <f t="shared" si="12"/>
        <v>28.2</v>
      </c>
      <c r="K86" s="1801">
        <f t="shared" si="12"/>
        <v>24.3</v>
      </c>
      <c r="L86" s="1801">
        <f t="shared" si="12"/>
        <v>43.3</v>
      </c>
      <c r="M86" s="1801">
        <f t="shared" si="12"/>
        <v>28.1</v>
      </c>
      <c r="N86" s="1801">
        <f t="shared" si="12"/>
        <v>37.5</v>
      </c>
    </row>
    <row r="87" spans="1:14">
      <c r="A87" s="1780">
        <f t="shared" si="9"/>
        <v>19</v>
      </c>
      <c r="B87" s="1798" t="s">
        <v>786</v>
      </c>
      <c r="C87" s="1799"/>
      <c r="D87" s="1799"/>
      <c r="E87" s="1803"/>
      <c r="F87" s="1799"/>
      <c r="G87" s="1807"/>
      <c r="H87" s="1807"/>
      <c r="I87" s="1799"/>
      <c r="J87" s="1799"/>
      <c r="K87" s="1800"/>
      <c r="L87" s="1800"/>
      <c r="M87" s="1800"/>
      <c r="N87" s="1800"/>
    </row>
    <row r="88" spans="1:14">
      <c r="A88" s="1780">
        <f t="shared" si="9"/>
        <v>20</v>
      </c>
      <c r="B88" s="1751" t="s">
        <v>787</v>
      </c>
      <c r="C88" s="1808">
        <f>ROUND('SCH_I1 - Total Co.'!H63/1000,0)</f>
        <v>25236</v>
      </c>
      <c r="D88" s="1808">
        <f>ROUND('SCH_I1 - Total Co.'!K63/1000,0)</f>
        <v>19320</v>
      </c>
      <c r="E88" s="1808">
        <f>ROUND('SCH_I1 - Total Co.'!N63/1000,0)</f>
        <v>15725</v>
      </c>
      <c r="F88" s="1808">
        <f>ROUND('SCH_I1 - Total Co.'!P63/1000,0)</f>
        <v>15952</v>
      </c>
      <c r="G88" s="1808">
        <f>ROUND('SCH_I1 - Total Co.'!R63/1000,0)</f>
        <v>14573</v>
      </c>
      <c r="H88" s="1808">
        <f>ROUND('SCH_I1 - Total Co.'!T63/1000,0)</f>
        <v>16345</v>
      </c>
      <c r="I88" s="1808">
        <f>ROUND('SCH_I1 - Total Co.'!V63/1000,0)</f>
        <v>15989</v>
      </c>
      <c r="J88" s="1808">
        <f>ROUND('SCH_I1 - Total Co.'!Y63/1000,0)</f>
        <v>17520</v>
      </c>
      <c r="K88" s="3529">
        <v>17492</v>
      </c>
      <c r="L88" s="3529">
        <v>16182</v>
      </c>
      <c r="M88" s="3529">
        <v>16448</v>
      </c>
      <c r="N88" s="3529">
        <v>17669</v>
      </c>
    </row>
    <row r="89" spans="1:14">
      <c r="A89" s="1780">
        <f t="shared" si="9"/>
        <v>21</v>
      </c>
      <c r="B89" s="1751" t="s">
        <v>788</v>
      </c>
      <c r="C89" s="1799"/>
      <c r="D89" s="1799"/>
      <c r="E89" s="1808"/>
      <c r="F89" s="1808"/>
      <c r="G89" s="1808"/>
      <c r="H89" s="1808"/>
      <c r="I89" s="1808"/>
      <c r="J89" s="1808"/>
      <c r="K89" s="3529"/>
      <c r="L89" s="3529"/>
      <c r="M89" s="3529"/>
      <c r="N89" s="3529"/>
    </row>
    <row r="90" spans="1:14">
      <c r="A90" s="1780">
        <f t="shared" si="9"/>
        <v>22</v>
      </c>
      <c r="B90" s="1810" t="s">
        <v>789</v>
      </c>
      <c r="C90" s="1808">
        <f>ROUND('SCH_I1 - Total Co.'!H64/1000,0)</f>
        <v>50633</v>
      </c>
      <c r="D90" s="1808">
        <f>ROUND('SCH_I1 - Total Co.'!K64/1000,0)</f>
        <v>66798</v>
      </c>
      <c r="E90" s="1808">
        <f>ROUND('SCH_I1 - Total Co.'!N64/1000,0)</f>
        <v>59399</v>
      </c>
      <c r="F90" s="1808">
        <f>ROUND('SCH_I1 - Total Co.'!P64/1000,0)</f>
        <v>42584</v>
      </c>
      <c r="G90" s="1808">
        <f>ROUND('SCH_I1 - Total Co.'!R64/1000,0)</f>
        <v>46176</v>
      </c>
      <c r="H90" s="1808">
        <f>ROUND('SCH_I1 - Total Co.'!T64/1000,0)</f>
        <v>35302</v>
      </c>
      <c r="I90" s="1808">
        <f>ROUND('SCH_I1 - Total Co.'!V64/1000,0)</f>
        <v>45069</v>
      </c>
      <c r="J90" s="1808">
        <f>ROUND('SCH_I1 - Total Co.'!Y64/1000,0)</f>
        <v>28221</v>
      </c>
      <c r="K90" s="3529">
        <v>24310</v>
      </c>
      <c r="L90" s="3529">
        <v>43261</v>
      </c>
      <c r="M90" s="3529">
        <v>28068</v>
      </c>
      <c r="N90" s="3529">
        <v>37481</v>
      </c>
    </row>
    <row r="91" spans="1:14">
      <c r="A91" s="1780">
        <f t="shared" si="9"/>
        <v>23</v>
      </c>
      <c r="B91" s="1751" t="s">
        <v>790</v>
      </c>
      <c r="C91" s="1799">
        <v>0</v>
      </c>
      <c r="D91" s="1799">
        <v>0</v>
      </c>
      <c r="E91" s="1808">
        <v>0</v>
      </c>
      <c r="F91" s="1808">
        <v>0</v>
      </c>
      <c r="G91" s="1808">
        <v>0</v>
      </c>
      <c r="H91" s="1808">
        <v>0</v>
      </c>
      <c r="I91" s="1808">
        <v>0</v>
      </c>
      <c r="J91" s="1808">
        <v>0</v>
      </c>
      <c r="K91" s="1809">
        <v>0</v>
      </c>
      <c r="L91" s="1809">
        <v>0</v>
      </c>
      <c r="M91" s="1809">
        <v>0</v>
      </c>
      <c r="N91" s="1809">
        <v>0</v>
      </c>
    </row>
    <row r="92" spans="1:14">
      <c r="A92" s="1780">
        <f t="shared" si="9"/>
        <v>24</v>
      </c>
      <c r="B92" s="1810" t="s">
        <v>791</v>
      </c>
      <c r="C92" s="1799">
        <v>0</v>
      </c>
      <c r="D92" s="1799">
        <v>0</v>
      </c>
      <c r="E92" s="1808">
        <v>0</v>
      </c>
      <c r="F92" s="1808">
        <v>0</v>
      </c>
      <c r="G92" s="1808">
        <v>0</v>
      </c>
      <c r="H92" s="1808">
        <v>0</v>
      </c>
      <c r="I92" s="1808">
        <v>0</v>
      </c>
      <c r="J92" s="1808">
        <v>0</v>
      </c>
      <c r="K92" s="1809">
        <v>0</v>
      </c>
      <c r="L92" s="1809">
        <v>0</v>
      </c>
      <c r="M92" s="1809">
        <v>0</v>
      </c>
      <c r="N92" s="1809">
        <v>0</v>
      </c>
    </row>
    <row r="93" spans="1:14">
      <c r="A93" s="1780">
        <f t="shared" si="9"/>
        <v>25</v>
      </c>
      <c r="B93" s="1751" t="s">
        <v>792</v>
      </c>
      <c r="C93" s="1082">
        <f t="shared" ref="C93:L93" si="13">C90-C91</f>
        <v>50633</v>
      </c>
      <c r="D93" s="1082">
        <f t="shared" si="13"/>
        <v>66798</v>
      </c>
      <c r="E93" s="1808">
        <f t="shared" si="13"/>
        <v>59399</v>
      </c>
      <c r="F93" s="1808">
        <f t="shared" si="13"/>
        <v>42584</v>
      </c>
      <c r="G93" s="1808">
        <f t="shared" si="13"/>
        <v>46176</v>
      </c>
      <c r="H93" s="1808">
        <f t="shared" si="13"/>
        <v>35302</v>
      </c>
      <c r="I93" s="1808">
        <f t="shared" si="13"/>
        <v>45069</v>
      </c>
      <c r="J93" s="1808">
        <f t="shared" si="13"/>
        <v>28221</v>
      </c>
      <c r="K93" s="1808">
        <f t="shared" si="13"/>
        <v>24310</v>
      </c>
      <c r="L93" s="1808">
        <f t="shared" si="13"/>
        <v>43261</v>
      </c>
      <c r="M93" s="1808">
        <f>M90-M91-M92</f>
        <v>28068</v>
      </c>
      <c r="N93" s="1808">
        <f>N90-N91</f>
        <v>37481</v>
      </c>
    </row>
    <row r="94" spans="1:14">
      <c r="A94" s="1780">
        <f t="shared" si="9"/>
        <v>26</v>
      </c>
      <c r="B94" s="1751" t="s">
        <v>793</v>
      </c>
      <c r="C94" s="1799"/>
      <c r="D94" s="1799"/>
      <c r="E94" s="1799"/>
      <c r="F94" s="1799"/>
      <c r="G94" s="1799"/>
      <c r="H94" s="1799"/>
      <c r="I94" s="1799"/>
      <c r="J94" s="1799"/>
      <c r="K94" s="1799"/>
      <c r="L94" s="1799"/>
      <c r="M94" s="1799"/>
      <c r="N94" s="1799"/>
    </row>
    <row r="95" spans="1:14">
      <c r="A95" s="1780">
        <f t="shared" si="9"/>
        <v>27</v>
      </c>
      <c r="B95" s="1810" t="s">
        <v>794</v>
      </c>
      <c r="C95" s="1811">
        <f>ROUND(C82/C86,4)</f>
        <v>6.3200000000000006E-2</v>
      </c>
      <c r="D95" s="1811">
        <f>ROUND(D82/D86,4)</f>
        <v>8.8300000000000003E-2</v>
      </c>
      <c r="E95" s="1811">
        <f>ROUND(E82/E86,4)</f>
        <v>7.9100000000000004E-2</v>
      </c>
      <c r="F95" s="1811">
        <f>ROUND(F82/F86,4)</f>
        <v>4.4600000000000001E-2</v>
      </c>
      <c r="G95" s="1811">
        <f>ROUND(G82/G86,4)</f>
        <v>1.7299999999999999E-2</v>
      </c>
      <c r="H95" s="1811">
        <f t="shared" ref="H95:N95" si="14">ROUND(H82/H86,4)</f>
        <v>1.9800000000000002E-2</v>
      </c>
      <c r="I95" s="1811">
        <f t="shared" si="14"/>
        <v>1.55E-2</v>
      </c>
      <c r="J95" s="1811">
        <f t="shared" si="14"/>
        <v>1.77E-2</v>
      </c>
      <c r="K95" s="1811">
        <f t="shared" si="14"/>
        <v>3.2899999999999999E-2</v>
      </c>
      <c r="L95" s="1811">
        <f t="shared" si="14"/>
        <v>1.15E-2</v>
      </c>
      <c r="M95" s="1811">
        <f t="shared" si="14"/>
        <v>1.0699999999999999E-2</v>
      </c>
      <c r="N95" s="1811">
        <f t="shared" si="14"/>
        <v>3.4700000000000002E-2</v>
      </c>
    </row>
    <row r="96" spans="1:14">
      <c r="A96" s="1780">
        <f t="shared" si="9"/>
        <v>28</v>
      </c>
      <c r="B96" s="1810" t="s">
        <v>795</v>
      </c>
      <c r="C96" s="1811">
        <f>ROUND(C82/C86,4)</f>
        <v>6.3200000000000006E-2</v>
      </c>
      <c r="D96" s="1811">
        <f>ROUND(D82/D86,4)</f>
        <v>8.8300000000000003E-2</v>
      </c>
      <c r="E96" s="1811">
        <f>ROUND(E82/E86,4)</f>
        <v>7.9100000000000004E-2</v>
      </c>
      <c r="F96" s="1811">
        <f>ROUND(F82/F86,4)</f>
        <v>4.4600000000000001E-2</v>
      </c>
      <c r="G96" s="1811">
        <f>ROUND(G82/G86,4)</f>
        <v>1.7299999999999999E-2</v>
      </c>
      <c r="H96" s="1811">
        <f t="shared" ref="H96:N96" si="15">ROUND(H82/H86,4)</f>
        <v>1.9800000000000002E-2</v>
      </c>
      <c r="I96" s="1811">
        <f t="shared" si="15"/>
        <v>1.55E-2</v>
      </c>
      <c r="J96" s="1811">
        <f t="shared" si="15"/>
        <v>1.77E-2</v>
      </c>
      <c r="K96" s="1811">
        <f t="shared" si="15"/>
        <v>3.2899999999999999E-2</v>
      </c>
      <c r="L96" s="1811">
        <f t="shared" si="15"/>
        <v>1.15E-2</v>
      </c>
      <c r="M96" s="1811">
        <f t="shared" si="15"/>
        <v>1.0699999999999999E-2</v>
      </c>
      <c r="N96" s="1811">
        <f t="shared" si="15"/>
        <v>3.4700000000000002E-2</v>
      </c>
    </row>
    <row r="97" spans="1:14">
      <c r="A97" s="1780">
        <f t="shared" si="9"/>
        <v>29</v>
      </c>
      <c r="B97" s="1812" t="s">
        <v>796</v>
      </c>
      <c r="C97" s="1799"/>
      <c r="D97" s="1799"/>
      <c r="E97" s="1800"/>
      <c r="F97" s="1799"/>
      <c r="G97" s="1800"/>
      <c r="H97" s="1800"/>
      <c r="I97" s="1800"/>
      <c r="J97" s="1799"/>
      <c r="K97" s="1800"/>
      <c r="L97" s="1800"/>
      <c r="M97" s="1800"/>
      <c r="N97" s="1800"/>
    </row>
    <row r="98" spans="1:14">
      <c r="A98" s="1780">
        <f t="shared" si="9"/>
        <v>30</v>
      </c>
      <c r="B98" s="1751" t="s">
        <v>931</v>
      </c>
      <c r="C98" s="1813">
        <f>ROUND('SCH_J1 - Forecast'!K18*100,2)</f>
        <v>4.4000000000000004</v>
      </c>
      <c r="D98" s="1813">
        <f>ROUND('SCH_J1 - Base'!K17*100,2)</f>
        <v>4.33</v>
      </c>
      <c r="E98" s="3530">
        <v>3.46</v>
      </c>
      <c r="F98" s="3530">
        <v>4.1500000000000004</v>
      </c>
      <c r="G98" s="3530">
        <v>4.12</v>
      </c>
      <c r="H98" s="3530">
        <v>4.66</v>
      </c>
      <c r="I98" s="3530">
        <v>4.49</v>
      </c>
      <c r="J98" s="3530">
        <v>4.51</v>
      </c>
      <c r="K98" s="3530">
        <v>4.33</v>
      </c>
      <c r="L98" s="3530">
        <v>4.38</v>
      </c>
      <c r="M98" s="3530">
        <v>3.75</v>
      </c>
      <c r="N98" s="3530">
        <v>4.76</v>
      </c>
    </row>
    <row r="99" spans="1:14">
      <c r="A99" s="1780">
        <f t="shared" si="9"/>
        <v>31</v>
      </c>
      <c r="B99" s="1804" t="s">
        <v>932</v>
      </c>
      <c r="C99" s="1814">
        <v>0</v>
      </c>
      <c r="D99" s="1814">
        <v>0</v>
      </c>
      <c r="E99" s="1814">
        <v>0</v>
      </c>
      <c r="F99" s="1814">
        <v>0</v>
      </c>
      <c r="G99" s="1814">
        <v>0</v>
      </c>
      <c r="H99" s="1814">
        <v>0</v>
      </c>
      <c r="I99" s="1814">
        <v>0</v>
      </c>
      <c r="J99" s="1814">
        <v>0</v>
      </c>
      <c r="K99" s="1814">
        <v>0</v>
      </c>
      <c r="L99" s="1814">
        <v>0</v>
      </c>
      <c r="M99" s="1814">
        <v>0</v>
      </c>
      <c r="N99" s="1814">
        <v>0</v>
      </c>
    </row>
    <row r="101" spans="1:14">
      <c r="B101" s="1751" t="s">
        <v>1568</v>
      </c>
      <c r="D101" s="1751"/>
    </row>
    <row r="102" spans="1:14">
      <c r="D102" s="1751"/>
    </row>
    <row r="103" spans="1:14">
      <c r="D103" s="1751"/>
    </row>
    <row r="104" spans="1:14">
      <c r="A104" s="1749" t="str">
        <f>A1</f>
        <v>DUKE ENERGY KENTUCKY, INC.</v>
      </c>
      <c r="B104" s="1749"/>
      <c r="C104" s="1749"/>
      <c r="D104" s="1750"/>
      <c r="E104" s="1749"/>
      <c r="F104" s="1749"/>
      <c r="G104" s="1749"/>
      <c r="H104" s="1749"/>
      <c r="I104" s="1749"/>
      <c r="J104" s="1749"/>
      <c r="K104" s="1749"/>
      <c r="L104" s="1749"/>
      <c r="M104" s="1749"/>
      <c r="N104" s="1752"/>
    </row>
    <row r="105" spans="1:14">
      <c r="A105" s="1749" t="str">
        <f>A2</f>
        <v>CASE NO. 2018-00261</v>
      </c>
      <c r="B105" s="1752"/>
      <c r="C105" s="1752"/>
      <c r="D105" s="1753"/>
      <c r="E105" s="1752"/>
      <c r="F105" s="1752"/>
      <c r="G105" s="1752"/>
      <c r="H105" s="1752"/>
      <c r="I105" s="1752"/>
      <c r="J105" s="1752"/>
      <c r="K105" s="1752"/>
      <c r="L105" s="1752"/>
      <c r="M105" s="1752"/>
      <c r="N105" s="1752"/>
    </row>
    <row r="106" spans="1:14">
      <c r="A106" s="1749" t="str">
        <f>A3</f>
        <v>COMPARATIVE FINANCIAL DATA</v>
      </c>
      <c r="B106" s="1752"/>
      <c r="C106" s="1752"/>
      <c r="D106" s="1753"/>
      <c r="E106" s="1752"/>
      <c r="F106" s="1752"/>
      <c r="G106" s="1752"/>
      <c r="H106" s="1752"/>
      <c r="I106" s="1752"/>
      <c r="J106" s="1752"/>
      <c r="K106" s="1752"/>
      <c r="L106" s="1752"/>
      <c r="M106" s="1752"/>
      <c r="N106" s="1752"/>
    </row>
    <row r="107" spans="1:14">
      <c r="A107" s="1754"/>
      <c r="B107" s="1754"/>
      <c r="C107" s="1754"/>
      <c r="D107" s="1613"/>
      <c r="E107" s="1754"/>
      <c r="F107" s="1754"/>
      <c r="G107" s="1754"/>
      <c r="H107" s="1754"/>
      <c r="I107" s="1754"/>
      <c r="J107" s="1754"/>
      <c r="K107" s="1754"/>
      <c r="L107" s="1754"/>
      <c r="M107" s="1754"/>
      <c r="N107" s="1754"/>
    </row>
    <row r="108" spans="1:14">
      <c r="A108" s="1755" t="str">
        <f>A5</f>
        <v>DATA: "X" BASE PERIOD  "X" FORECASTED PERIOD</v>
      </c>
      <c r="B108" s="1749"/>
      <c r="C108" s="1749"/>
      <c r="D108" s="1750"/>
      <c r="E108" s="1752"/>
      <c r="F108" s="1749"/>
      <c r="G108" s="1749"/>
      <c r="H108" s="1749"/>
      <c r="I108" s="1749"/>
      <c r="J108" s="1749"/>
      <c r="K108" s="1749"/>
      <c r="L108" s="1755" t="str">
        <f>L5</f>
        <v>SCHEDULE K</v>
      </c>
      <c r="M108" s="1749"/>
      <c r="N108" s="1749"/>
    </row>
    <row r="109" spans="1:14">
      <c r="A109" s="1755" t="str">
        <f>A6</f>
        <v xml:space="preserve">TYPE OF FILING:  "X" ORIGINAL   UPDATED    REVISED  </v>
      </c>
      <c r="B109" s="1749"/>
      <c r="C109" s="1749"/>
      <c r="D109" s="1750"/>
      <c r="E109" s="1752"/>
      <c r="F109" s="1749"/>
      <c r="G109" s="1749"/>
      <c r="H109" s="1749"/>
      <c r="I109" s="1749"/>
      <c r="J109" s="1749"/>
      <c r="K109" s="1749"/>
      <c r="L109" s="1755" t="s">
        <v>1060</v>
      </c>
      <c r="M109" s="1749"/>
      <c r="N109" s="1749"/>
    </row>
    <row r="110" spans="1:14">
      <c r="A110" s="1755" t="str">
        <f>A7</f>
        <v>WORK PAPER REFERENCE NO(S).:</v>
      </c>
      <c r="B110" s="1788"/>
      <c r="C110" s="1788"/>
      <c r="D110" s="1750"/>
      <c r="E110" s="1749"/>
      <c r="F110" s="1752"/>
      <c r="G110" s="1749"/>
      <c r="H110" s="1749"/>
      <c r="I110" s="1749"/>
      <c r="J110" s="1749"/>
      <c r="K110" s="1789"/>
      <c r="L110" s="1815" t="s">
        <v>1937</v>
      </c>
      <c r="M110" s="1755"/>
      <c r="N110" s="1755"/>
    </row>
    <row r="111" spans="1:14">
      <c r="B111" s="1788"/>
      <c r="C111" s="1788"/>
      <c r="D111" s="1613"/>
      <c r="E111" s="1754"/>
      <c r="F111" s="1754"/>
      <c r="G111" s="1754"/>
      <c r="H111" s="1754"/>
      <c r="I111" s="1754"/>
      <c r="J111" s="1754"/>
      <c r="L111" s="1756" t="str">
        <f>_WIT9</f>
        <v>R. H. PRATT</v>
      </c>
      <c r="M111" s="1755"/>
      <c r="N111" s="1755"/>
    </row>
    <row r="112" spans="1:14">
      <c r="A112" s="1816"/>
      <c r="B112" s="1816"/>
      <c r="C112" s="1816"/>
      <c r="D112" s="1758"/>
      <c r="E112" s="1754"/>
      <c r="F112" s="1754"/>
      <c r="G112" s="1754"/>
      <c r="H112" s="1754"/>
      <c r="I112" s="1754"/>
      <c r="J112" s="1754"/>
      <c r="L112" s="1756"/>
      <c r="M112" s="1755"/>
      <c r="N112" s="1755"/>
    </row>
    <row r="113" spans="1:14">
      <c r="A113" s="1759" t="s">
        <v>1938</v>
      </c>
      <c r="B113" s="1754"/>
      <c r="C113" s="1759" t="s">
        <v>1127</v>
      </c>
      <c r="D113" s="1760" t="str">
        <f>D10</f>
        <v>BASE</v>
      </c>
      <c r="E113" s="1762" t="str">
        <f>E10</f>
        <v>MOST RECENT CALENDAR YEARS</v>
      </c>
      <c r="F113" s="1762"/>
      <c r="G113" s="1762"/>
      <c r="H113" s="1762"/>
      <c r="I113" s="1762"/>
      <c r="J113" s="1762"/>
      <c r="K113" s="1762"/>
      <c r="L113" s="1762"/>
      <c r="M113" s="1762"/>
      <c r="N113" s="1762"/>
    </row>
    <row r="114" spans="1:14">
      <c r="A114" s="1763" t="s">
        <v>1939</v>
      </c>
      <c r="B114" s="1763" t="s">
        <v>1988</v>
      </c>
      <c r="C114" s="1765" t="s">
        <v>743</v>
      </c>
      <c r="D114" s="1765" t="str">
        <f>D11</f>
        <v>PERIOD</v>
      </c>
      <c r="E114" s="1763">
        <f t="shared" ref="E114:N114" si="16">E11</f>
        <v>2017</v>
      </c>
      <c r="F114" s="1763">
        <f t="shared" si="16"/>
        <v>2016</v>
      </c>
      <c r="G114" s="1763">
        <f t="shared" si="16"/>
        <v>2015</v>
      </c>
      <c r="H114" s="1763">
        <f t="shared" si="16"/>
        <v>2014</v>
      </c>
      <c r="I114" s="1763">
        <f t="shared" si="16"/>
        <v>2013</v>
      </c>
      <c r="J114" s="1763">
        <f t="shared" si="16"/>
        <v>2012</v>
      </c>
      <c r="K114" s="1763">
        <f t="shared" si="16"/>
        <v>2011</v>
      </c>
      <c r="L114" s="1763">
        <f t="shared" si="16"/>
        <v>2010</v>
      </c>
      <c r="M114" s="1763">
        <f t="shared" si="16"/>
        <v>2009</v>
      </c>
      <c r="N114" s="1763">
        <f t="shared" si="16"/>
        <v>2008</v>
      </c>
    </row>
    <row r="115" spans="1:14">
      <c r="A115" s="1756"/>
      <c r="B115" s="1756"/>
      <c r="C115" s="1756"/>
      <c r="D115" s="1817"/>
      <c r="E115" s="1756"/>
      <c r="F115" s="1756"/>
      <c r="G115" s="1756"/>
      <c r="H115" s="1756"/>
      <c r="I115" s="1756"/>
      <c r="J115" s="1756"/>
      <c r="K115" s="1756"/>
      <c r="L115" s="1770"/>
      <c r="M115" s="1756"/>
      <c r="N115" s="1756"/>
    </row>
    <row r="116" spans="1:14">
      <c r="A116" s="1780">
        <v>1</v>
      </c>
      <c r="B116" s="1798" t="s">
        <v>1434</v>
      </c>
      <c r="C116" s="1798"/>
      <c r="D116" s="1818"/>
      <c r="E116" s="1818"/>
      <c r="F116" s="1818"/>
      <c r="G116" s="1818"/>
      <c r="H116" s="1818"/>
      <c r="I116" s="1818"/>
      <c r="J116" s="1818"/>
      <c r="K116" s="1818"/>
      <c r="L116" s="1818"/>
      <c r="M116" s="1818"/>
      <c r="N116" s="1818"/>
    </row>
    <row r="117" spans="1:14">
      <c r="A117" s="1780">
        <v>2</v>
      </c>
      <c r="B117" s="1819" t="s">
        <v>2101</v>
      </c>
      <c r="C117" s="1820"/>
      <c r="D117" s="1820"/>
      <c r="I117" s="1820"/>
      <c r="J117" s="1820"/>
      <c r="K117" s="1820"/>
      <c r="L117" s="1820"/>
      <c r="M117" s="1820"/>
      <c r="N117" s="1820"/>
    </row>
    <row r="118" spans="1:14">
      <c r="A118" s="1780">
        <v>3</v>
      </c>
      <c r="B118" s="1751" t="s">
        <v>1435</v>
      </c>
      <c r="C118" s="3531" t="s">
        <v>2278</v>
      </c>
      <c r="D118" s="3531" t="s">
        <v>2278</v>
      </c>
      <c r="E118" s="3531" t="s">
        <v>2278</v>
      </c>
      <c r="F118" s="3531" t="s">
        <v>2278</v>
      </c>
      <c r="G118" s="3531" t="s">
        <v>2278</v>
      </c>
      <c r="H118" s="3531" t="s">
        <v>2278</v>
      </c>
      <c r="I118" s="3531" t="s">
        <v>2278</v>
      </c>
      <c r="J118" s="3531" t="s">
        <v>2278</v>
      </c>
      <c r="K118" s="3531" t="s">
        <v>2278</v>
      </c>
      <c r="L118" s="3531" t="s">
        <v>2278</v>
      </c>
      <c r="M118" s="3531" t="s">
        <v>2278</v>
      </c>
      <c r="N118" s="3531" t="s">
        <v>2278</v>
      </c>
    </row>
    <row r="119" spans="1:14">
      <c r="A119" s="1780">
        <v>4</v>
      </c>
      <c r="B119" s="1751" t="s">
        <v>170</v>
      </c>
      <c r="C119" s="3531" t="s">
        <v>2279</v>
      </c>
      <c r="D119" s="3531" t="s">
        <v>2279</v>
      </c>
      <c r="E119" s="3531" t="s">
        <v>2279</v>
      </c>
      <c r="F119" s="3531" t="s">
        <v>2279</v>
      </c>
      <c r="G119" s="3531" t="s">
        <v>2279</v>
      </c>
      <c r="H119" s="3531" t="s">
        <v>2649</v>
      </c>
      <c r="I119" s="3531" t="s">
        <v>2649</v>
      </c>
      <c r="J119" s="3531" t="s">
        <v>2649</v>
      </c>
      <c r="K119" s="3531" t="s">
        <v>2279</v>
      </c>
      <c r="L119" s="3531" t="s">
        <v>2279</v>
      </c>
      <c r="M119" s="3531" t="s">
        <v>2279</v>
      </c>
      <c r="N119" s="3531" t="s">
        <v>2279</v>
      </c>
    </row>
    <row r="120" spans="1:14">
      <c r="A120" s="1780">
        <v>5</v>
      </c>
      <c r="C120" s="3532"/>
      <c r="D120" s="3532"/>
      <c r="E120" s="3532"/>
      <c r="F120" s="3532"/>
      <c r="G120" s="3532"/>
      <c r="H120" s="3532"/>
      <c r="I120" s="3532"/>
      <c r="J120" s="3532"/>
      <c r="K120" s="3532"/>
      <c r="L120" s="3532"/>
      <c r="M120" s="3532"/>
      <c r="N120" s="3532"/>
    </row>
    <row r="121" spans="1:14">
      <c r="A121" s="1780">
        <v>6</v>
      </c>
      <c r="B121" s="1798" t="s">
        <v>1433</v>
      </c>
      <c r="C121" s="3530"/>
      <c r="D121" s="3530"/>
      <c r="E121" s="3530"/>
      <c r="F121" s="3530"/>
      <c r="G121" s="3530"/>
      <c r="H121" s="3530"/>
      <c r="I121" s="3530"/>
      <c r="J121" s="3530"/>
      <c r="K121" s="3530"/>
      <c r="L121" s="3530"/>
      <c r="M121" s="3530"/>
      <c r="N121" s="3530"/>
    </row>
    <row r="122" spans="1:14">
      <c r="A122" s="1780">
        <v>7</v>
      </c>
      <c r="B122" s="1804" t="s">
        <v>933</v>
      </c>
      <c r="C122" s="3530">
        <v>3.38</v>
      </c>
      <c r="D122" s="3530">
        <v>3.93</v>
      </c>
      <c r="E122" s="3530">
        <v>4.28</v>
      </c>
      <c r="F122" s="3530">
        <v>4.45</v>
      </c>
      <c r="G122" s="3530">
        <v>5.81</v>
      </c>
      <c r="H122" s="3530">
        <v>4.26</v>
      </c>
      <c r="I122" s="3530">
        <v>5.23</v>
      </c>
      <c r="J122" s="3530">
        <v>3.42</v>
      </c>
      <c r="K122" s="3530">
        <v>3.48</v>
      </c>
      <c r="L122" s="3530">
        <v>4.8099999999999996</v>
      </c>
      <c r="M122" s="3530">
        <v>3.7234731961370109</v>
      </c>
      <c r="N122" s="3530">
        <v>3.9367890522576081</v>
      </c>
    </row>
    <row r="123" spans="1:14">
      <c r="A123" s="1780">
        <v>8</v>
      </c>
      <c r="B123" s="1804" t="s">
        <v>934</v>
      </c>
      <c r="C123" s="3530">
        <v>3.25</v>
      </c>
      <c r="D123" s="3530">
        <v>3.63</v>
      </c>
      <c r="E123" s="3530">
        <v>4.0199999999999996</v>
      </c>
      <c r="F123" s="3530">
        <v>4.34</v>
      </c>
      <c r="G123" s="3530">
        <v>5.75</v>
      </c>
      <c r="H123" s="3530">
        <v>4.22</v>
      </c>
      <c r="I123" s="3530">
        <v>5.19</v>
      </c>
      <c r="J123" s="3530">
        <v>3.4</v>
      </c>
      <c r="K123" s="3530">
        <v>3.44</v>
      </c>
      <c r="L123" s="3530">
        <v>4.78</v>
      </c>
      <c r="M123" s="3530">
        <v>3.7066288261210891</v>
      </c>
      <c r="N123" s="3530">
        <v>3.8718341721476603</v>
      </c>
    </row>
    <row r="124" spans="1:14">
      <c r="A124" s="1780">
        <v>9</v>
      </c>
      <c r="B124" s="1751" t="s">
        <v>935</v>
      </c>
      <c r="C124" s="3530">
        <v>3</v>
      </c>
      <c r="D124" s="3530">
        <v>4.42</v>
      </c>
      <c r="E124" s="3530">
        <v>4.3499999999999996</v>
      </c>
      <c r="F124" s="3530">
        <v>3.47</v>
      </c>
      <c r="G124" s="3530">
        <v>3.99</v>
      </c>
      <c r="H124" s="3530">
        <v>3.04</v>
      </c>
      <c r="I124" s="3530">
        <v>3.67</v>
      </c>
      <c r="J124" s="3530">
        <v>2.5299999999999998</v>
      </c>
      <c r="K124" s="3530">
        <v>2.2999999999999998</v>
      </c>
      <c r="L124" s="3530">
        <v>3.51</v>
      </c>
      <c r="M124" s="3530">
        <v>2.6077840625772413</v>
      </c>
      <c r="N124" s="3530">
        <v>2.9140946953896738</v>
      </c>
    </row>
    <row r="125" spans="1:14">
      <c r="A125" s="1780">
        <v>10</v>
      </c>
      <c r="B125" s="1751" t="s">
        <v>936</v>
      </c>
      <c r="C125" s="3530">
        <v>0</v>
      </c>
      <c r="D125" s="3530">
        <v>0</v>
      </c>
      <c r="E125" s="2126">
        <v>0</v>
      </c>
      <c r="F125" s="2126">
        <v>0</v>
      </c>
      <c r="G125" s="3530">
        <v>0</v>
      </c>
      <c r="H125" s="3530">
        <v>0</v>
      </c>
      <c r="I125" s="2126">
        <v>0</v>
      </c>
      <c r="J125" s="2126">
        <v>0</v>
      </c>
      <c r="K125" s="3530">
        <v>0</v>
      </c>
      <c r="L125" s="3530">
        <v>0</v>
      </c>
      <c r="M125" s="3530">
        <v>0</v>
      </c>
      <c r="N125" s="3530">
        <v>0</v>
      </c>
    </row>
    <row r="126" spans="1:14">
      <c r="A126" s="1780">
        <v>11</v>
      </c>
      <c r="B126" s="1751" t="s">
        <v>633</v>
      </c>
      <c r="C126" s="3530">
        <v>3.38</v>
      </c>
      <c r="D126" s="3530">
        <v>3.93</v>
      </c>
      <c r="E126" s="3530">
        <v>4.28</v>
      </c>
      <c r="F126" s="3530">
        <v>4.45</v>
      </c>
      <c r="G126" s="3530">
        <v>5.81</v>
      </c>
      <c r="H126" s="3530">
        <v>4.26</v>
      </c>
      <c r="I126" s="3530">
        <v>5.23</v>
      </c>
      <c r="J126" s="3530">
        <v>3.42</v>
      </c>
      <c r="K126" s="3530">
        <v>3.48</v>
      </c>
      <c r="L126" s="3530">
        <v>4.8099999999999996</v>
      </c>
      <c r="M126" s="3530">
        <v>3.7234731961370109</v>
      </c>
      <c r="N126" s="3530">
        <v>3.9367890522576081</v>
      </c>
    </row>
    <row r="127" spans="1:14">
      <c r="A127" s="1780">
        <v>12</v>
      </c>
      <c r="C127" s="1814"/>
      <c r="D127" s="1814"/>
      <c r="E127" s="1814"/>
      <c r="F127" s="1814"/>
      <c r="G127" s="1814"/>
      <c r="H127" s="1814"/>
      <c r="I127" s="1814"/>
      <c r="J127" s="1814"/>
      <c r="K127" s="1814"/>
      <c r="L127" s="1814"/>
      <c r="M127" s="1814"/>
      <c r="N127" s="1814"/>
    </row>
    <row r="128" spans="1:14">
      <c r="A128" s="1780">
        <v>13</v>
      </c>
      <c r="B128" s="1804" t="s">
        <v>194</v>
      </c>
      <c r="C128" s="1082"/>
    </row>
    <row r="129" spans="1:14">
      <c r="A129" s="1780">
        <v>14</v>
      </c>
      <c r="B129" s="1751" t="s">
        <v>195</v>
      </c>
      <c r="C129" s="1725">
        <v>100</v>
      </c>
      <c r="D129" s="1725">
        <v>24</v>
      </c>
      <c r="E129" s="3533">
        <v>60</v>
      </c>
      <c r="F129" s="3533">
        <v>90</v>
      </c>
      <c r="G129" s="3533">
        <v>73</v>
      </c>
      <c r="H129" s="3533">
        <v>76</v>
      </c>
      <c r="I129" s="3533">
        <v>81</v>
      </c>
      <c r="J129" s="3533">
        <v>98</v>
      </c>
      <c r="K129" s="3533">
        <v>-44</v>
      </c>
      <c r="L129" s="3533">
        <v>100</v>
      </c>
      <c r="M129" s="3533">
        <v>100</v>
      </c>
      <c r="N129" s="3533">
        <v>60</v>
      </c>
    </row>
    <row r="130" spans="1:14">
      <c r="A130" s="1780"/>
      <c r="C130" s="1821"/>
      <c r="D130" s="1821"/>
      <c r="E130" s="1821"/>
      <c r="F130" s="1821"/>
      <c r="G130" s="1821"/>
      <c r="H130" s="1821"/>
      <c r="I130" s="1821"/>
      <c r="J130" s="1821"/>
      <c r="K130" s="1821"/>
      <c r="L130" s="1821"/>
      <c r="M130" s="1821"/>
      <c r="N130" s="1821"/>
    </row>
    <row r="131" spans="1:14">
      <c r="A131" s="1780"/>
      <c r="D131" s="1820"/>
      <c r="E131" s="1820"/>
      <c r="F131" s="1820"/>
      <c r="G131" s="1820"/>
      <c r="H131" s="1820"/>
      <c r="I131" s="1820"/>
      <c r="J131" s="1820"/>
      <c r="K131" s="1820"/>
      <c r="L131" s="1820"/>
      <c r="M131" s="1820"/>
      <c r="N131" s="1820"/>
    </row>
    <row r="132" spans="1:14">
      <c r="A132" s="1780"/>
      <c r="D132" s="1820"/>
      <c r="E132" s="1820"/>
      <c r="F132" s="1820"/>
      <c r="G132" s="1820"/>
      <c r="H132" s="1820"/>
      <c r="I132" s="1820"/>
      <c r="J132" s="1820"/>
      <c r="K132" s="1820"/>
      <c r="L132" s="1820"/>
      <c r="M132" s="1820"/>
      <c r="N132" s="1820"/>
    </row>
    <row r="133" spans="1:14">
      <c r="A133" s="1749" t="str">
        <f>A1</f>
        <v>DUKE ENERGY KENTUCKY, INC.</v>
      </c>
      <c r="B133" s="1749"/>
      <c r="C133" s="1749"/>
      <c r="D133" s="1750"/>
      <c r="E133" s="1749"/>
      <c r="F133" s="1749"/>
      <c r="G133" s="1749"/>
      <c r="H133" s="1749"/>
      <c r="I133" s="1749"/>
      <c r="J133" s="1749"/>
      <c r="K133" s="1749"/>
      <c r="L133" s="1749"/>
      <c r="M133" s="1749"/>
      <c r="N133" s="1749"/>
    </row>
    <row r="134" spans="1:14">
      <c r="A134" s="1749" t="str">
        <f>A2</f>
        <v>CASE NO. 2018-00261</v>
      </c>
      <c r="B134" s="1752"/>
      <c r="C134" s="1752"/>
      <c r="D134" s="1753"/>
      <c r="E134" s="1752"/>
      <c r="F134" s="1752"/>
      <c r="G134" s="1752"/>
      <c r="H134" s="1752"/>
      <c r="I134" s="1752"/>
      <c r="J134" s="1752"/>
      <c r="K134" s="1752"/>
      <c r="L134" s="1752"/>
      <c r="M134" s="1752"/>
      <c r="N134" s="1752"/>
    </row>
    <row r="135" spans="1:14">
      <c r="A135" s="1749" t="str">
        <f>A3</f>
        <v>COMPARATIVE FINANCIAL DATA</v>
      </c>
      <c r="B135" s="1752"/>
      <c r="C135" s="1752"/>
      <c r="D135" s="1753"/>
      <c r="E135" s="1752"/>
      <c r="F135" s="1752"/>
      <c r="G135" s="1752"/>
      <c r="H135" s="1752"/>
      <c r="I135" s="1752"/>
      <c r="J135" s="1752"/>
      <c r="K135" s="1752"/>
      <c r="L135" s="1752"/>
      <c r="M135" s="1752"/>
      <c r="N135" s="1752"/>
    </row>
    <row r="136" spans="1:14">
      <c r="A136" s="1754"/>
      <c r="B136" s="1754"/>
      <c r="C136" s="1754"/>
      <c r="D136" s="1613"/>
      <c r="E136" s="1754"/>
      <c r="F136" s="1754"/>
      <c r="G136" s="1754"/>
      <c r="H136" s="1754"/>
      <c r="I136" s="1754"/>
      <c r="J136" s="1754"/>
      <c r="K136" s="1754"/>
      <c r="L136" s="1754"/>
      <c r="M136" s="1754"/>
      <c r="N136" s="1754"/>
    </row>
    <row r="137" spans="1:14">
      <c r="A137" s="1754" t="str">
        <f>A5</f>
        <v>DATA: "X" BASE PERIOD  "X" FORECASTED PERIOD</v>
      </c>
      <c r="B137" s="1749"/>
      <c r="C137" s="1749"/>
      <c r="D137" s="1750"/>
      <c r="E137" s="1752"/>
      <c r="F137" s="1749"/>
      <c r="G137" s="1749"/>
      <c r="H137" s="1749"/>
      <c r="I137" s="1749"/>
      <c r="J137" s="1749"/>
      <c r="K137" s="1749"/>
      <c r="L137" s="1755" t="str">
        <f>L5</f>
        <v>SCHEDULE K</v>
      </c>
      <c r="M137" s="1749"/>
      <c r="N137" s="1749"/>
    </row>
    <row r="138" spans="1:14">
      <c r="A138" s="1754" t="str">
        <f>A6</f>
        <v xml:space="preserve">TYPE OF FILING:  "X" ORIGINAL   UPDATED    REVISED  </v>
      </c>
      <c r="B138" s="1749"/>
      <c r="C138" s="1749"/>
      <c r="D138" s="1750"/>
      <c r="E138" s="1752"/>
      <c r="F138" s="1749"/>
      <c r="G138" s="1749"/>
      <c r="H138" s="1749"/>
      <c r="I138" s="1749"/>
      <c r="J138" s="1749"/>
      <c r="K138" s="1749"/>
      <c r="L138" s="1755" t="s">
        <v>1061</v>
      </c>
      <c r="M138" s="1749"/>
      <c r="N138" s="1749"/>
    </row>
    <row r="139" spans="1:14">
      <c r="A139" s="1754" t="str">
        <f>A7</f>
        <v>WORK PAPER REFERENCE NO(S).:</v>
      </c>
      <c r="B139" s="1788"/>
      <c r="C139" s="1788"/>
      <c r="D139" s="1750"/>
      <c r="E139" s="1749"/>
      <c r="F139" s="1752"/>
      <c r="G139" s="1749"/>
      <c r="H139" s="1749"/>
      <c r="I139" s="1749"/>
      <c r="J139" s="1749"/>
      <c r="L139" s="1815" t="s">
        <v>1937</v>
      </c>
      <c r="M139" s="1755"/>
      <c r="N139" s="1755"/>
    </row>
    <row r="140" spans="1:14">
      <c r="B140" s="1788"/>
      <c r="C140" s="1788"/>
      <c r="D140" s="1613"/>
      <c r="E140" s="1754"/>
      <c r="F140" s="1754"/>
      <c r="G140" s="1754"/>
      <c r="H140" s="1754"/>
      <c r="I140" s="1754"/>
      <c r="J140" s="1754"/>
      <c r="L140" s="1756" t="str">
        <f>_WIT6</f>
        <v>R. H. PRATT / S. M. COVINGTON</v>
      </c>
      <c r="M140" s="1755"/>
      <c r="N140" s="1755"/>
    </row>
    <row r="141" spans="1:14">
      <c r="A141" s="1757"/>
      <c r="B141" s="1757"/>
      <c r="C141" s="1757"/>
      <c r="D141" s="1758"/>
      <c r="E141" s="1757"/>
      <c r="F141" s="1757"/>
      <c r="G141" s="1757"/>
      <c r="H141" s="1757"/>
      <c r="I141" s="1757"/>
      <c r="J141" s="1757"/>
      <c r="K141" s="1757"/>
      <c r="L141" s="1791"/>
      <c r="M141" s="1757"/>
      <c r="N141" s="1757"/>
    </row>
    <row r="142" spans="1:14">
      <c r="A142" s="1759" t="s">
        <v>1938</v>
      </c>
      <c r="B142" s="1754"/>
      <c r="C142" s="1759" t="s">
        <v>1127</v>
      </c>
      <c r="D142" s="1760" t="str">
        <f>D10</f>
        <v>BASE</v>
      </c>
      <c r="E142" s="1762" t="str">
        <f>E10</f>
        <v>MOST RECENT CALENDAR YEARS</v>
      </c>
      <c r="F142" s="1762"/>
      <c r="G142" s="1762"/>
      <c r="H142" s="1762"/>
      <c r="I142" s="1762"/>
      <c r="J142" s="1762"/>
      <c r="K142" s="1762"/>
      <c r="L142" s="1762"/>
      <c r="M142" s="1762"/>
      <c r="N142" s="1762"/>
    </row>
    <row r="143" spans="1:14">
      <c r="A143" s="1763" t="s">
        <v>1939</v>
      </c>
      <c r="B143" s="1763" t="s">
        <v>1988</v>
      </c>
      <c r="C143" s="1765" t="s">
        <v>743</v>
      </c>
      <c r="D143" s="1765" t="str">
        <f>D11</f>
        <v>PERIOD</v>
      </c>
      <c r="E143" s="1822">
        <f t="shared" ref="E143:N143" si="17">E11</f>
        <v>2017</v>
      </c>
      <c r="F143" s="1822">
        <f t="shared" si="17"/>
        <v>2016</v>
      </c>
      <c r="G143" s="1822">
        <f t="shared" si="17"/>
        <v>2015</v>
      </c>
      <c r="H143" s="1822">
        <f t="shared" si="17"/>
        <v>2014</v>
      </c>
      <c r="I143" s="1822">
        <f t="shared" si="17"/>
        <v>2013</v>
      </c>
      <c r="J143" s="1822">
        <f t="shared" si="17"/>
        <v>2012</v>
      </c>
      <c r="K143" s="1822">
        <f t="shared" si="17"/>
        <v>2011</v>
      </c>
      <c r="L143" s="1822">
        <f t="shared" si="17"/>
        <v>2010</v>
      </c>
      <c r="M143" s="1822">
        <f t="shared" si="17"/>
        <v>2009</v>
      </c>
      <c r="N143" s="1822">
        <f t="shared" si="17"/>
        <v>2008</v>
      </c>
    </row>
    <row r="144" spans="1:14">
      <c r="A144" s="1754"/>
      <c r="B144" s="1754"/>
      <c r="C144" s="1754"/>
      <c r="D144" s="1613"/>
      <c r="E144" s="1754"/>
      <c r="F144" s="1754"/>
      <c r="G144" s="1754"/>
      <c r="H144" s="1754"/>
      <c r="I144" s="1754"/>
      <c r="J144" s="1754"/>
      <c r="K144" s="1754"/>
      <c r="L144" s="1754"/>
      <c r="M144" s="1754"/>
      <c r="N144" s="1754"/>
    </row>
    <row r="145" spans="1:14">
      <c r="A145" s="1780">
        <v>1</v>
      </c>
      <c r="B145" s="1798" t="s">
        <v>16</v>
      </c>
      <c r="C145" s="1798"/>
      <c r="D145" s="1751"/>
    </row>
    <row r="146" spans="1:14">
      <c r="A146" s="1780">
        <v>2</v>
      </c>
      <c r="B146" s="1751" t="s">
        <v>1252</v>
      </c>
      <c r="C146" s="3534">
        <v>585</v>
      </c>
      <c r="D146" s="3534">
        <v>585</v>
      </c>
      <c r="E146" s="3534">
        <v>585</v>
      </c>
      <c r="F146" s="3534">
        <v>585</v>
      </c>
      <c r="G146" s="3534">
        <v>585</v>
      </c>
      <c r="H146" s="3534">
        <v>585</v>
      </c>
      <c r="I146" s="3534">
        <v>585</v>
      </c>
      <c r="J146" s="3534">
        <v>585</v>
      </c>
      <c r="K146" s="3534">
        <v>585</v>
      </c>
      <c r="L146" s="3534">
        <v>585</v>
      </c>
      <c r="M146" s="3534">
        <v>585</v>
      </c>
      <c r="N146" s="3534">
        <v>585</v>
      </c>
    </row>
    <row r="147" spans="1:14">
      <c r="A147" s="1780">
        <v>3</v>
      </c>
      <c r="B147" s="1804" t="s">
        <v>1253</v>
      </c>
      <c r="C147" s="3535"/>
      <c r="D147" s="3535"/>
      <c r="E147" s="3536"/>
      <c r="F147" s="3536"/>
      <c r="G147" s="3536"/>
      <c r="H147" s="3536"/>
      <c r="I147" s="3536"/>
      <c r="J147" s="3536"/>
      <c r="K147" s="3536"/>
      <c r="L147" s="3536"/>
      <c r="M147" s="3536"/>
      <c r="N147" s="3536"/>
    </row>
    <row r="148" spans="1:14">
      <c r="A148" s="1780">
        <v>4</v>
      </c>
      <c r="B148" s="1751" t="s">
        <v>1254</v>
      </c>
      <c r="C148" s="3534">
        <v>585</v>
      </c>
      <c r="D148" s="3534">
        <v>585</v>
      </c>
      <c r="E148" s="3534">
        <v>585</v>
      </c>
      <c r="F148" s="3534">
        <v>585</v>
      </c>
      <c r="G148" s="3534">
        <v>585</v>
      </c>
      <c r="H148" s="3534">
        <v>585</v>
      </c>
      <c r="I148" s="3534">
        <v>585</v>
      </c>
      <c r="J148" s="3534">
        <v>585</v>
      </c>
      <c r="K148" s="3534">
        <v>585</v>
      </c>
      <c r="L148" s="3534">
        <v>585</v>
      </c>
      <c r="M148" s="3534">
        <v>585</v>
      </c>
      <c r="N148" s="3534">
        <v>585</v>
      </c>
    </row>
    <row r="149" spans="1:14">
      <c r="A149" s="1780">
        <v>5</v>
      </c>
      <c r="B149" s="1751" t="s">
        <v>2648</v>
      </c>
      <c r="C149" s="3534">
        <v>0</v>
      </c>
      <c r="D149" s="3534">
        <v>0</v>
      </c>
      <c r="E149" s="3534">
        <v>0</v>
      </c>
      <c r="F149" s="3534">
        <v>10</v>
      </c>
      <c r="G149" s="3534">
        <v>55</v>
      </c>
      <c r="H149" s="3534">
        <v>0</v>
      </c>
      <c r="I149" s="3534">
        <v>40</v>
      </c>
      <c r="J149" s="3534">
        <v>10</v>
      </c>
      <c r="K149" s="3534">
        <v>135</v>
      </c>
      <c r="L149" s="3534">
        <v>0</v>
      </c>
      <c r="M149" s="3534">
        <v>0</v>
      </c>
      <c r="N149" s="3534">
        <v>30</v>
      </c>
    </row>
    <row r="150" spans="1:14">
      <c r="A150" s="1780">
        <v>6</v>
      </c>
      <c r="B150" s="1804" t="s">
        <v>1255</v>
      </c>
      <c r="C150" s="1824">
        <f t="shared" ref="C150:D150" si="18">ROUND((C93)/C146,2)</f>
        <v>86.55</v>
      </c>
      <c r="D150" s="1824">
        <f t="shared" si="18"/>
        <v>114.18</v>
      </c>
      <c r="E150" s="1824">
        <f t="shared" ref="E150:N150" si="19">ROUND((E93)/E146,2)</f>
        <v>101.54</v>
      </c>
      <c r="F150" s="1824">
        <f t="shared" si="19"/>
        <v>72.790000000000006</v>
      </c>
      <c r="G150" s="1824">
        <f t="shared" si="19"/>
        <v>78.930000000000007</v>
      </c>
      <c r="H150" s="1824">
        <f t="shared" si="19"/>
        <v>60.35</v>
      </c>
      <c r="I150" s="1824">
        <f t="shared" si="19"/>
        <v>77.040000000000006</v>
      </c>
      <c r="J150" s="1824">
        <f t="shared" si="19"/>
        <v>48.24</v>
      </c>
      <c r="K150" s="1824">
        <f t="shared" si="19"/>
        <v>41.56</v>
      </c>
      <c r="L150" s="1824">
        <f t="shared" si="19"/>
        <v>73.95</v>
      </c>
      <c r="M150" s="1824">
        <f t="shared" si="19"/>
        <v>47.98</v>
      </c>
      <c r="N150" s="1824">
        <f t="shared" si="19"/>
        <v>64.069999999999993</v>
      </c>
    </row>
    <row r="151" spans="1:14">
      <c r="A151" s="1780">
        <v>7</v>
      </c>
      <c r="B151" s="1804" t="s">
        <v>1943</v>
      </c>
      <c r="C151" s="1823"/>
      <c r="D151" s="1823"/>
      <c r="E151" s="1825"/>
      <c r="F151" s="1825"/>
      <c r="G151" s="1825"/>
      <c r="H151" s="1825"/>
      <c r="I151" s="1825"/>
      <c r="J151" s="1825"/>
      <c r="K151" s="1825"/>
      <c r="L151" s="1825"/>
      <c r="M151" s="1825"/>
      <c r="N151" s="1825"/>
    </row>
    <row r="152" spans="1:14">
      <c r="A152" s="1780">
        <v>8</v>
      </c>
      <c r="B152" s="1804" t="s">
        <v>1944</v>
      </c>
      <c r="C152" s="1824">
        <f>C150</f>
        <v>86.55</v>
      </c>
      <c r="D152" s="1824">
        <f>D150</f>
        <v>114.18</v>
      </c>
      <c r="E152" s="1824">
        <f>E150</f>
        <v>101.54</v>
      </c>
      <c r="F152" s="1824">
        <f>F150</f>
        <v>72.790000000000006</v>
      </c>
      <c r="G152" s="1824">
        <f>G150</f>
        <v>78.930000000000007</v>
      </c>
      <c r="H152" s="1824">
        <f t="shared" ref="H152:N152" si="20">H150</f>
        <v>60.35</v>
      </c>
      <c r="I152" s="1826">
        <f t="shared" si="20"/>
        <v>77.040000000000006</v>
      </c>
      <c r="J152" s="1826">
        <f t="shared" si="20"/>
        <v>48.24</v>
      </c>
      <c r="K152" s="1826">
        <f t="shared" si="20"/>
        <v>41.56</v>
      </c>
      <c r="L152" s="1826">
        <f t="shared" si="20"/>
        <v>73.95</v>
      </c>
      <c r="M152" s="1826">
        <f t="shared" si="20"/>
        <v>47.98</v>
      </c>
      <c r="N152" s="1826">
        <f t="shared" si="20"/>
        <v>64.069999999999993</v>
      </c>
    </row>
    <row r="153" spans="1:14">
      <c r="A153" s="1780">
        <v>9</v>
      </c>
      <c r="B153" s="1751" t="s">
        <v>1945</v>
      </c>
      <c r="C153" s="1827" t="s">
        <v>725</v>
      </c>
      <c r="D153" s="1827" t="s">
        <v>725</v>
      </c>
      <c r="E153" s="1828">
        <f t="shared" ref="E153" si="21">ROUND((E149*1000)/E148,2)</f>
        <v>0</v>
      </c>
      <c r="F153" s="1828">
        <f t="shared" ref="F153:M153" si="22">ROUND((F149*1000)/F148,2)</f>
        <v>17.09</v>
      </c>
      <c r="G153" s="1828">
        <f t="shared" si="22"/>
        <v>94.02</v>
      </c>
      <c r="H153" s="1828">
        <f t="shared" si="22"/>
        <v>0</v>
      </c>
      <c r="I153" s="1828">
        <f t="shared" si="22"/>
        <v>68.38</v>
      </c>
      <c r="J153" s="1828">
        <f t="shared" si="22"/>
        <v>17.09</v>
      </c>
      <c r="K153" s="1828">
        <f t="shared" si="22"/>
        <v>230.77</v>
      </c>
      <c r="L153" s="1828">
        <f t="shared" si="22"/>
        <v>0</v>
      </c>
      <c r="M153" s="1828">
        <f t="shared" si="22"/>
        <v>0</v>
      </c>
      <c r="N153" s="1828">
        <f>ROUND((N149*1000)/N148,2)</f>
        <v>51.28</v>
      </c>
    </row>
    <row r="154" spans="1:14">
      <c r="A154" s="1780">
        <v>10</v>
      </c>
      <c r="B154" s="1804" t="s">
        <v>1946</v>
      </c>
      <c r="C154" s="1827" t="s">
        <v>725</v>
      </c>
      <c r="D154" s="1827" t="s">
        <v>725</v>
      </c>
      <c r="E154" s="1828">
        <f t="shared" ref="E154" si="23">E153</f>
        <v>0</v>
      </c>
      <c r="F154" s="1828">
        <f t="shared" ref="F154:N154" si="24">F153</f>
        <v>17.09</v>
      </c>
      <c r="G154" s="1828">
        <f t="shared" si="24"/>
        <v>94.02</v>
      </c>
      <c r="H154" s="1828">
        <f t="shared" si="24"/>
        <v>0</v>
      </c>
      <c r="I154" s="1828">
        <f t="shared" si="24"/>
        <v>68.38</v>
      </c>
      <c r="J154" s="1828">
        <f t="shared" si="24"/>
        <v>17.09</v>
      </c>
      <c r="K154" s="1828">
        <f t="shared" si="24"/>
        <v>230.77</v>
      </c>
      <c r="L154" s="1828">
        <f t="shared" si="24"/>
        <v>0</v>
      </c>
      <c r="M154" s="1828">
        <f t="shared" si="24"/>
        <v>0</v>
      </c>
      <c r="N154" s="1828">
        <f t="shared" si="24"/>
        <v>51.28</v>
      </c>
    </row>
    <row r="155" spans="1:14">
      <c r="A155" s="1780">
        <v>11</v>
      </c>
      <c r="B155" s="1804" t="s">
        <v>1947</v>
      </c>
      <c r="C155" s="1827" t="s">
        <v>725</v>
      </c>
      <c r="D155" s="1827" t="s">
        <v>725</v>
      </c>
      <c r="E155" s="2769">
        <f t="shared" ref="E155" si="25">ROUND((E154/E150),4)</f>
        <v>0</v>
      </c>
      <c r="F155" s="2769">
        <f t="shared" ref="F155:M155" si="26">ROUND((F154/F150),4)</f>
        <v>0.23480000000000001</v>
      </c>
      <c r="G155" s="2769">
        <f t="shared" si="26"/>
        <v>1.1912</v>
      </c>
      <c r="H155" s="2769">
        <f t="shared" si="26"/>
        <v>0</v>
      </c>
      <c r="I155" s="2769">
        <f t="shared" si="26"/>
        <v>0.88759999999999994</v>
      </c>
      <c r="J155" s="2769">
        <f t="shared" si="26"/>
        <v>0.3543</v>
      </c>
      <c r="K155" s="2769">
        <f t="shared" si="26"/>
        <v>5.5526999999999997</v>
      </c>
      <c r="L155" s="2769">
        <f t="shared" si="26"/>
        <v>0</v>
      </c>
      <c r="M155" s="2769">
        <f t="shared" si="26"/>
        <v>0</v>
      </c>
      <c r="N155" s="2769">
        <f>ROUND((N154/N150),4)</f>
        <v>0.8004</v>
      </c>
    </row>
    <row r="156" spans="1:14">
      <c r="A156" s="1780">
        <v>12</v>
      </c>
      <c r="B156" s="1804" t="s">
        <v>1948</v>
      </c>
      <c r="C156" s="1778"/>
      <c r="D156" s="1778"/>
      <c r="E156" s="1829"/>
      <c r="F156" s="1829"/>
      <c r="G156" s="1829"/>
      <c r="H156" s="1829"/>
      <c r="I156" s="1830"/>
      <c r="J156" s="1778"/>
      <c r="K156" s="1778"/>
      <c r="L156" s="1778"/>
      <c r="M156" s="1778"/>
      <c r="N156" s="1778"/>
    </row>
    <row r="157" spans="1:14">
      <c r="A157" s="1780">
        <v>13</v>
      </c>
      <c r="B157" s="1751" t="s">
        <v>1949</v>
      </c>
      <c r="C157" s="2770" t="s">
        <v>725</v>
      </c>
      <c r="D157" s="2770" t="s">
        <v>725</v>
      </c>
      <c r="E157" s="2770" t="s">
        <v>725</v>
      </c>
      <c r="F157" s="2770" t="s">
        <v>725</v>
      </c>
      <c r="G157" s="2770" t="s">
        <v>725</v>
      </c>
      <c r="H157" s="2770" t="s">
        <v>725</v>
      </c>
      <c r="I157" s="2770" t="s">
        <v>725</v>
      </c>
      <c r="J157" s="2770" t="s">
        <v>725</v>
      </c>
      <c r="K157" s="2770" t="s">
        <v>725</v>
      </c>
      <c r="L157" s="2770" t="s">
        <v>725</v>
      </c>
      <c r="M157" s="2770" t="s">
        <v>725</v>
      </c>
      <c r="N157" s="2770" t="s">
        <v>725</v>
      </c>
    </row>
    <row r="158" spans="1:14">
      <c r="A158" s="1780">
        <v>14</v>
      </c>
      <c r="B158" s="1804" t="s">
        <v>1950</v>
      </c>
      <c r="C158" s="2770" t="s">
        <v>725</v>
      </c>
      <c r="D158" s="2770" t="s">
        <v>725</v>
      </c>
      <c r="E158" s="2770" t="s">
        <v>725</v>
      </c>
      <c r="F158" s="2770" t="s">
        <v>725</v>
      </c>
      <c r="G158" s="2770" t="s">
        <v>725</v>
      </c>
      <c r="H158" s="2770" t="s">
        <v>725</v>
      </c>
      <c r="I158" s="2770" t="s">
        <v>725</v>
      </c>
      <c r="J158" s="2770" t="s">
        <v>725</v>
      </c>
      <c r="K158" s="2770" t="s">
        <v>725</v>
      </c>
      <c r="L158" s="2770" t="s">
        <v>725</v>
      </c>
      <c r="M158" s="2770" t="s">
        <v>725</v>
      </c>
      <c r="N158" s="2770" t="s">
        <v>725</v>
      </c>
    </row>
    <row r="159" spans="1:14">
      <c r="A159" s="1780">
        <v>15</v>
      </c>
      <c r="B159" s="1804" t="s">
        <v>1951</v>
      </c>
      <c r="C159" s="2770" t="s">
        <v>725</v>
      </c>
      <c r="D159" s="2770" t="s">
        <v>725</v>
      </c>
      <c r="E159" s="2770" t="s">
        <v>725</v>
      </c>
      <c r="F159" s="2770" t="s">
        <v>725</v>
      </c>
      <c r="G159" s="2770" t="s">
        <v>725</v>
      </c>
      <c r="H159" s="2770" t="s">
        <v>725</v>
      </c>
      <c r="I159" s="2770" t="s">
        <v>725</v>
      </c>
      <c r="J159" s="2770" t="s">
        <v>725</v>
      </c>
      <c r="K159" s="2770" t="s">
        <v>725</v>
      </c>
      <c r="L159" s="2770" t="s">
        <v>725</v>
      </c>
      <c r="M159" s="2770" t="s">
        <v>725</v>
      </c>
      <c r="N159" s="2770" t="s">
        <v>725</v>
      </c>
    </row>
    <row r="160" spans="1:14">
      <c r="A160" s="1780">
        <v>16</v>
      </c>
      <c r="B160" s="1804" t="s">
        <v>1950</v>
      </c>
      <c r="C160" s="2770" t="s">
        <v>725</v>
      </c>
      <c r="D160" s="2770" t="s">
        <v>725</v>
      </c>
      <c r="E160" s="2770" t="s">
        <v>725</v>
      </c>
      <c r="F160" s="2770" t="s">
        <v>725</v>
      </c>
      <c r="G160" s="2770" t="s">
        <v>725</v>
      </c>
      <c r="H160" s="2770" t="s">
        <v>725</v>
      </c>
      <c r="I160" s="2770" t="s">
        <v>725</v>
      </c>
      <c r="J160" s="2770" t="s">
        <v>725</v>
      </c>
      <c r="K160" s="2770" t="s">
        <v>725</v>
      </c>
      <c r="L160" s="2770" t="s">
        <v>725</v>
      </c>
      <c r="M160" s="2770" t="s">
        <v>725</v>
      </c>
      <c r="N160" s="2770" t="s">
        <v>725</v>
      </c>
    </row>
    <row r="161" spans="1:14">
      <c r="A161" s="1780">
        <v>17</v>
      </c>
      <c r="B161" s="1804" t="s">
        <v>1952</v>
      </c>
      <c r="C161" s="2770" t="s">
        <v>725</v>
      </c>
      <c r="D161" s="2770" t="s">
        <v>725</v>
      </c>
      <c r="E161" s="2770" t="s">
        <v>725</v>
      </c>
      <c r="F161" s="2770" t="s">
        <v>725</v>
      </c>
      <c r="G161" s="2770" t="s">
        <v>725</v>
      </c>
      <c r="H161" s="2770" t="s">
        <v>725</v>
      </c>
      <c r="I161" s="2770" t="s">
        <v>725</v>
      </c>
      <c r="J161" s="2770" t="s">
        <v>725</v>
      </c>
      <c r="K161" s="2770" t="s">
        <v>725</v>
      </c>
      <c r="L161" s="2770" t="s">
        <v>725</v>
      </c>
      <c r="M161" s="2770" t="s">
        <v>725</v>
      </c>
      <c r="N161" s="2770" t="s">
        <v>725</v>
      </c>
    </row>
    <row r="162" spans="1:14">
      <c r="A162" s="1780">
        <v>18</v>
      </c>
      <c r="B162" s="1804" t="s">
        <v>1950</v>
      </c>
      <c r="C162" s="2770" t="s">
        <v>725</v>
      </c>
      <c r="D162" s="2770" t="s">
        <v>725</v>
      </c>
      <c r="E162" s="2770" t="s">
        <v>725</v>
      </c>
      <c r="F162" s="2770" t="s">
        <v>725</v>
      </c>
      <c r="G162" s="2770" t="s">
        <v>725</v>
      </c>
      <c r="H162" s="2770" t="s">
        <v>725</v>
      </c>
      <c r="I162" s="2770" t="s">
        <v>725</v>
      </c>
      <c r="J162" s="2770" t="s">
        <v>725</v>
      </c>
      <c r="K162" s="2770" t="s">
        <v>725</v>
      </c>
      <c r="L162" s="2770" t="s">
        <v>725</v>
      </c>
      <c r="M162" s="2770" t="s">
        <v>725</v>
      </c>
      <c r="N162" s="2770" t="s">
        <v>725</v>
      </c>
    </row>
    <row r="163" spans="1:14">
      <c r="A163" s="1780">
        <v>19</v>
      </c>
      <c r="B163" s="1804" t="s">
        <v>1953</v>
      </c>
      <c r="C163" s="2770" t="s">
        <v>725</v>
      </c>
      <c r="D163" s="2770" t="s">
        <v>725</v>
      </c>
      <c r="E163" s="2770" t="s">
        <v>725</v>
      </c>
      <c r="F163" s="2770" t="s">
        <v>725</v>
      </c>
      <c r="G163" s="2770" t="s">
        <v>725</v>
      </c>
      <c r="H163" s="2770" t="s">
        <v>725</v>
      </c>
      <c r="I163" s="2770" t="s">
        <v>725</v>
      </c>
      <c r="J163" s="2770" t="s">
        <v>725</v>
      </c>
      <c r="K163" s="2770" t="s">
        <v>725</v>
      </c>
      <c r="L163" s="2770" t="s">
        <v>725</v>
      </c>
      <c r="M163" s="2770" t="s">
        <v>725</v>
      </c>
      <c r="N163" s="2770" t="s">
        <v>725</v>
      </c>
    </row>
    <row r="164" spans="1:14">
      <c r="A164" s="1780">
        <v>20</v>
      </c>
      <c r="B164" s="1804" t="s">
        <v>1950</v>
      </c>
      <c r="C164" s="2770" t="s">
        <v>725</v>
      </c>
      <c r="D164" s="2770" t="s">
        <v>725</v>
      </c>
      <c r="E164" s="2770" t="s">
        <v>725</v>
      </c>
      <c r="F164" s="2770" t="s">
        <v>725</v>
      </c>
      <c r="G164" s="2770" t="s">
        <v>725</v>
      </c>
      <c r="H164" s="2770" t="s">
        <v>725</v>
      </c>
      <c r="I164" s="2770" t="s">
        <v>725</v>
      </c>
      <c r="J164" s="2770" t="s">
        <v>725</v>
      </c>
      <c r="K164" s="2770" t="s">
        <v>725</v>
      </c>
      <c r="L164" s="2770" t="s">
        <v>725</v>
      </c>
      <c r="M164" s="2770" t="s">
        <v>725</v>
      </c>
      <c r="N164" s="2770" t="s">
        <v>725</v>
      </c>
    </row>
    <row r="165" spans="1:14">
      <c r="A165" s="1780">
        <v>21</v>
      </c>
      <c r="B165" s="1751" t="s">
        <v>937</v>
      </c>
      <c r="C165" s="3537">
        <f>ROUND((SCH_B8!D88/1000)/C146,4)</f>
        <v>1061.7317</v>
      </c>
      <c r="D165" s="3537">
        <f>ROUND((SCH_B8!F88/1000)/D146,4)</f>
        <v>984.11509999999998</v>
      </c>
      <c r="E165" s="3537">
        <f>ROUND((SCH_B8!H88/1000)/E146,4)</f>
        <v>874.21270000000004</v>
      </c>
      <c r="F165" s="3537">
        <f>ROUND((SCH_B8!J88/1000)/F146,4)</f>
        <v>747.03499999999997</v>
      </c>
      <c r="G165" s="3537">
        <f>ROUND((SCH_B8!L88/1000)/G146,4)</f>
        <v>691.33600000000001</v>
      </c>
      <c r="H165" s="3537">
        <f>ROUND((SCH_B8!N88/1000)/H146,4)</f>
        <v>706.42039999999997</v>
      </c>
      <c r="I165" s="3537">
        <f>ROUND((SCH_B8!P88/1000)/I146,4)</f>
        <v>646.07539999999995</v>
      </c>
      <c r="J165" s="3537">
        <f>ROUND((SCH_B8!S88/1000)/J146,4)</f>
        <v>637.40949999999998</v>
      </c>
      <c r="K165" s="3538">
        <f>ROUND((354663683/1000)/K146,4)</f>
        <v>606.2627</v>
      </c>
      <c r="L165" s="3538">
        <f>ROUND(465354/L146,4)</f>
        <v>795.4769</v>
      </c>
      <c r="M165" s="3538">
        <f>ROUND(422093/M146,4)</f>
        <v>721.52650000000006</v>
      </c>
      <c r="N165" s="3538">
        <f>ROUND(394025/N146,4)</f>
        <v>673.54700000000003</v>
      </c>
    </row>
    <row r="166" spans="1:14">
      <c r="A166" s="1780">
        <v>22</v>
      </c>
      <c r="C166" s="1778"/>
      <c r="D166" s="1778"/>
      <c r="I166" s="1831"/>
      <c r="J166" s="1778"/>
    </row>
    <row r="167" spans="1:14">
      <c r="A167" s="1780">
        <v>23</v>
      </c>
      <c r="B167" s="1798" t="s">
        <v>938</v>
      </c>
      <c r="C167" s="1778"/>
      <c r="D167" s="1778"/>
      <c r="I167" s="1832"/>
      <c r="J167" s="1832"/>
    </row>
    <row r="168" spans="1:14">
      <c r="A168" s="1780">
        <v>24</v>
      </c>
      <c r="B168" s="1804" t="s">
        <v>939</v>
      </c>
      <c r="C168" s="1833">
        <f t="shared" ref="C168:N168" si="27">ROUND(C85/(((C72+D72)*0.001)/2),4)*100</f>
        <v>8.4599999999999991</v>
      </c>
      <c r="D168" s="1833">
        <f t="shared" si="27"/>
        <v>12.29</v>
      </c>
      <c r="E168" s="1833">
        <f t="shared" si="27"/>
        <v>12.53</v>
      </c>
      <c r="F168" s="1833">
        <f t="shared" si="27"/>
        <v>10.130000000000001</v>
      </c>
      <c r="G168" s="1833">
        <f t="shared" si="27"/>
        <v>11.3</v>
      </c>
      <c r="H168" s="1833">
        <f t="shared" si="27"/>
        <v>8.92</v>
      </c>
      <c r="I168" s="1833">
        <f t="shared" si="27"/>
        <v>12.01</v>
      </c>
      <c r="J168" s="1833">
        <f t="shared" si="27"/>
        <v>7.75</v>
      </c>
      <c r="K168" s="1833">
        <f t="shared" si="27"/>
        <v>5.93</v>
      </c>
      <c r="L168" s="1833">
        <f t="shared" si="27"/>
        <v>9.76</v>
      </c>
      <c r="M168" s="1833">
        <f t="shared" si="27"/>
        <v>6.8900000000000006</v>
      </c>
      <c r="N168" s="1833">
        <f t="shared" si="27"/>
        <v>19.03</v>
      </c>
    </row>
    <row r="169" spans="1:14">
      <c r="A169" s="1780">
        <v>25</v>
      </c>
      <c r="B169" s="1751" t="s">
        <v>940</v>
      </c>
      <c r="C169" s="1833">
        <f t="shared" ref="C169:N169" si="28">ROUND(C85/(((+C70+C71+C72+D70+D71+D72)*0.001)/2),4)*100</f>
        <v>4.68</v>
      </c>
      <c r="D169" s="1833">
        <f t="shared" si="28"/>
        <v>6.72</v>
      </c>
      <c r="E169" s="1833">
        <f t="shared" si="28"/>
        <v>6.75</v>
      </c>
      <c r="F169" s="1833">
        <f t="shared" si="28"/>
        <v>5.6099999999999994</v>
      </c>
      <c r="G169" s="1833">
        <f t="shared" si="28"/>
        <v>6.370000000000001</v>
      </c>
      <c r="H169" s="1833">
        <f t="shared" si="28"/>
        <v>4.9000000000000004</v>
      </c>
      <c r="I169" s="1833">
        <f t="shared" si="28"/>
        <v>6.38</v>
      </c>
      <c r="J169" s="1833">
        <f t="shared" si="28"/>
        <v>4.05</v>
      </c>
      <c r="K169" s="1833">
        <f t="shared" si="28"/>
        <v>3.2800000000000002</v>
      </c>
      <c r="L169" s="1833">
        <f t="shared" si="28"/>
        <v>5.58</v>
      </c>
      <c r="M169" s="1833">
        <f t="shared" si="28"/>
        <v>3.81</v>
      </c>
      <c r="N169" s="1833">
        <f t="shared" si="28"/>
        <v>10.42</v>
      </c>
    </row>
    <row r="170" spans="1:14">
      <c r="A170" s="1780">
        <v>26</v>
      </c>
      <c r="B170" s="1751" t="s">
        <v>941</v>
      </c>
      <c r="C170" s="3539">
        <v>4.2</v>
      </c>
      <c r="D170" s="3539">
        <v>6.35</v>
      </c>
      <c r="E170" s="3539">
        <v>4.76</v>
      </c>
      <c r="F170" s="3540">
        <v>5.5</v>
      </c>
      <c r="G170" s="3540">
        <v>6.03</v>
      </c>
      <c r="H170" s="3540">
        <v>5.43</v>
      </c>
      <c r="I170" s="3540">
        <v>6.39</v>
      </c>
      <c r="J170" s="3540">
        <v>4.9800000000000004</v>
      </c>
      <c r="K170" s="3540">
        <v>4.16</v>
      </c>
      <c r="L170" s="3541">
        <v>6.65</v>
      </c>
      <c r="M170" s="3541">
        <v>4.7</v>
      </c>
      <c r="N170" s="3541">
        <v>6.47</v>
      </c>
    </row>
    <row r="171" spans="1:14">
      <c r="A171" s="1780">
        <v>27</v>
      </c>
      <c r="B171" s="1781" t="s">
        <v>942</v>
      </c>
      <c r="C171" s="3539">
        <v>3.32</v>
      </c>
      <c r="D171" s="3539">
        <v>4.6399999999999997</v>
      </c>
      <c r="E171" s="3539">
        <v>3.69</v>
      </c>
      <c r="F171" s="3540">
        <v>4.41</v>
      </c>
      <c r="G171" s="3540">
        <v>4.9000000000000004</v>
      </c>
      <c r="H171" s="3540">
        <v>5.74</v>
      </c>
      <c r="I171" s="3540">
        <v>5.29</v>
      </c>
      <c r="J171" s="3540">
        <v>-0.16</v>
      </c>
      <c r="K171" s="3540">
        <v>2.13</v>
      </c>
      <c r="L171" s="3540">
        <v>7.44</v>
      </c>
      <c r="M171" s="3540">
        <v>2.61</v>
      </c>
      <c r="N171" s="3540">
        <v>3.22</v>
      </c>
    </row>
    <row r="172" spans="1:14">
      <c r="A172" s="1780">
        <v>28</v>
      </c>
      <c r="B172" s="1781" t="s">
        <v>943</v>
      </c>
      <c r="C172" s="3539">
        <v>4.55</v>
      </c>
      <c r="D172" s="3539">
        <v>7.24</v>
      </c>
      <c r="E172" s="3539">
        <v>5.22</v>
      </c>
      <c r="F172" s="3540">
        <v>5.95</v>
      </c>
      <c r="G172" s="3540">
        <v>6.5</v>
      </c>
      <c r="H172" s="3540">
        <v>5.28</v>
      </c>
      <c r="I172" s="3540">
        <v>6.92</v>
      </c>
      <c r="J172" s="3540">
        <v>7.48</v>
      </c>
      <c r="K172" s="3540">
        <v>5.16</v>
      </c>
      <c r="L172" s="3540">
        <v>6.27</v>
      </c>
      <c r="M172" s="3540">
        <v>5.65</v>
      </c>
      <c r="N172" s="3540">
        <v>7.82</v>
      </c>
    </row>
    <row r="173" spans="1:14">
      <c r="A173" s="1780"/>
    </row>
    <row r="174" spans="1:14">
      <c r="A174" s="1780"/>
      <c r="B174" s="1751" t="s">
        <v>2650</v>
      </c>
    </row>
    <row r="175" spans="1:14">
      <c r="A175" s="1780"/>
    </row>
    <row r="176" spans="1:14">
      <c r="A176" s="1749" t="str">
        <f>A1</f>
        <v>DUKE ENERGY KENTUCKY, INC.</v>
      </c>
      <c r="B176" s="1749"/>
      <c r="C176" s="1749"/>
      <c r="D176" s="1750"/>
      <c r="E176" s="1749"/>
      <c r="F176" s="1749"/>
      <c r="G176" s="1749"/>
      <c r="H176" s="1749"/>
      <c r="I176" s="1749"/>
      <c r="J176" s="1749"/>
      <c r="K176" s="1749"/>
      <c r="L176" s="1749"/>
      <c r="M176" s="1749"/>
      <c r="N176" s="1749"/>
    </row>
    <row r="177" spans="1:14">
      <c r="A177" s="1749" t="str">
        <f>A2</f>
        <v>CASE NO. 2018-00261</v>
      </c>
      <c r="B177" s="1752"/>
      <c r="C177" s="1752"/>
      <c r="D177" s="1753"/>
      <c r="E177" s="1752"/>
      <c r="F177" s="1752"/>
      <c r="G177" s="1752"/>
      <c r="H177" s="1752"/>
      <c r="I177" s="1752"/>
      <c r="J177" s="1752"/>
      <c r="K177" s="1752"/>
      <c r="L177" s="1752"/>
      <c r="M177" s="1752"/>
      <c r="N177" s="1752"/>
    </row>
    <row r="178" spans="1:14">
      <c r="A178" s="1749" t="str">
        <f>A3</f>
        <v>COMPARATIVE FINANCIAL DATA</v>
      </c>
      <c r="B178" s="1752"/>
      <c r="C178" s="1752"/>
      <c r="D178" s="1753"/>
      <c r="E178" s="1752"/>
      <c r="F178" s="1752"/>
      <c r="G178" s="1752"/>
      <c r="H178" s="1752"/>
      <c r="I178" s="1752"/>
      <c r="J178" s="1752"/>
      <c r="K178" s="1752"/>
      <c r="L178" s="1752"/>
      <c r="M178" s="1752"/>
      <c r="N178" s="1752"/>
    </row>
    <row r="179" spans="1:14">
      <c r="A179" s="1754"/>
      <c r="B179" s="1754"/>
      <c r="C179" s="1754"/>
      <c r="D179" s="1613"/>
      <c r="E179" s="1754"/>
      <c r="F179" s="1754"/>
      <c r="G179" s="1754"/>
      <c r="H179" s="1754"/>
      <c r="I179" s="1754"/>
      <c r="J179" s="1754"/>
      <c r="K179" s="1754"/>
      <c r="L179" s="1754"/>
      <c r="M179" s="1754"/>
      <c r="N179" s="1754"/>
    </row>
    <row r="180" spans="1:14">
      <c r="A180" s="1754" t="str">
        <f>A5</f>
        <v>DATA: "X" BASE PERIOD  "X" FORECASTED PERIOD</v>
      </c>
      <c r="B180" s="1749"/>
      <c r="C180" s="1749"/>
      <c r="D180" s="1750"/>
      <c r="E180" s="1752"/>
      <c r="F180" s="1749"/>
      <c r="G180" s="1749"/>
      <c r="H180" s="1749"/>
      <c r="I180" s="1749"/>
      <c r="J180" s="1749"/>
      <c r="K180" s="1749"/>
      <c r="L180" s="1755" t="str">
        <f>L5</f>
        <v>SCHEDULE K</v>
      </c>
      <c r="M180" s="1749"/>
      <c r="N180" s="1749"/>
    </row>
    <row r="181" spans="1:14">
      <c r="A181" s="1754" t="str">
        <f>A6</f>
        <v xml:space="preserve">TYPE OF FILING:  "X" ORIGINAL   UPDATED    REVISED  </v>
      </c>
      <c r="B181" s="1749"/>
      <c r="C181" s="1749"/>
      <c r="D181" s="1750"/>
      <c r="E181" s="1752"/>
      <c r="F181" s="1749"/>
      <c r="G181" s="1749"/>
      <c r="H181" s="1749"/>
      <c r="I181" s="1749"/>
      <c r="J181" s="1749"/>
      <c r="K181" s="1749"/>
      <c r="L181" s="1755" t="s">
        <v>1062</v>
      </c>
      <c r="M181" s="1749"/>
      <c r="N181" s="1749"/>
    </row>
    <row r="182" spans="1:14">
      <c r="A182" s="1754" t="str">
        <f>A7</f>
        <v>WORK PAPER REFERENCE NO(S).:</v>
      </c>
      <c r="B182" s="1788"/>
      <c r="C182" s="1788"/>
      <c r="D182" s="1750"/>
      <c r="E182" s="1749"/>
      <c r="F182" s="1752"/>
      <c r="G182" s="1749"/>
      <c r="H182" s="1749"/>
      <c r="I182" s="1749"/>
      <c r="J182" s="1749"/>
      <c r="L182" s="1815" t="s">
        <v>1937</v>
      </c>
      <c r="M182" s="1755"/>
      <c r="N182" s="1755"/>
    </row>
    <row r="183" spans="1:14">
      <c r="B183" s="1788"/>
      <c r="C183" s="1788"/>
      <c r="D183" s="1613"/>
      <c r="E183" s="1754"/>
      <c r="F183" s="1754"/>
      <c r="G183" s="1754"/>
      <c r="H183" s="1754"/>
      <c r="I183" s="1754"/>
      <c r="J183" s="1754"/>
      <c r="L183" s="1756" t="str">
        <f>_WIT6</f>
        <v>R. H. PRATT / S. M. COVINGTON</v>
      </c>
      <c r="M183" s="1755"/>
      <c r="N183" s="1755"/>
    </row>
    <row r="184" spans="1:14">
      <c r="A184" s="1757"/>
      <c r="B184" s="1757"/>
      <c r="C184" s="1757"/>
      <c r="D184" s="1758"/>
      <c r="E184" s="1757"/>
      <c r="F184" s="1757"/>
      <c r="G184" s="1757"/>
      <c r="H184" s="1757"/>
      <c r="I184" s="1757"/>
      <c r="J184" s="1757"/>
      <c r="K184" s="1757"/>
      <c r="L184" s="1791"/>
      <c r="M184" s="1757"/>
      <c r="N184" s="1757"/>
    </row>
    <row r="185" spans="1:14">
      <c r="A185" s="1759" t="s">
        <v>1938</v>
      </c>
      <c r="B185" s="1754"/>
      <c r="C185" s="1759" t="s">
        <v>1127</v>
      </c>
      <c r="D185" s="1760" t="str">
        <f>D10</f>
        <v>BASE</v>
      </c>
      <c r="E185" s="1762" t="str">
        <f>E10</f>
        <v>MOST RECENT CALENDAR YEARS</v>
      </c>
      <c r="F185" s="1762"/>
      <c r="G185" s="1762"/>
      <c r="H185" s="1762"/>
      <c r="I185" s="1762"/>
      <c r="J185" s="1762"/>
      <c r="K185" s="1762"/>
      <c r="L185" s="1762"/>
      <c r="M185" s="1762"/>
      <c r="N185" s="1762"/>
    </row>
    <row r="186" spans="1:14">
      <c r="A186" s="1763" t="s">
        <v>1939</v>
      </c>
      <c r="B186" s="1763" t="s">
        <v>1988</v>
      </c>
      <c r="C186" s="1765" t="s">
        <v>743</v>
      </c>
      <c r="D186" s="1765" t="str">
        <f>D11</f>
        <v>PERIOD</v>
      </c>
      <c r="E186" s="1822">
        <f t="shared" ref="E186:N186" si="29">E11</f>
        <v>2017</v>
      </c>
      <c r="F186" s="1822">
        <f t="shared" si="29"/>
        <v>2016</v>
      </c>
      <c r="G186" s="1822">
        <f t="shared" si="29"/>
        <v>2015</v>
      </c>
      <c r="H186" s="1822">
        <f t="shared" si="29"/>
        <v>2014</v>
      </c>
      <c r="I186" s="1822">
        <f t="shared" si="29"/>
        <v>2013</v>
      </c>
      <c r="J186" s="1822">
        <f t="shared" si="29"/>
        <v>2012</v>
      </c>
      <c r="K186" s="1822">
        <f t="shared" si="29"/>
        <v>2011</v>
      </c>
      <c r="L186" s="1822">
        <f t="shared" si="29"/>
        <v>2010</v>
      </c>
      <c r="M186" s="1822">
        <f t="shared" si="29"/>
        <v>2009</v>
      </c>
      <c r="N186" s="1822">
        <f t="shared" si="29"/>
        <v>2008</v>
      </c>
    </row>
    <row r="187" spans="1:14">
      <c r="A187" s="1780"/>
    </row>
    <row r="188" spans="1:14">
      <c r="A188" s="1780">
        <v>1</v>
      </c>
      <c r="B188" s="1798" t="s">
        <v>944</v>
      </c>
      <c r="C188" s="1798"/>
    </row>
    <row r="189" spans="1:14">
      <c r="A189" s="1780">
        <v>2</v>
      </c>
      <c r="B189" s="1751" t="s">
        <v>945</v>
      </c>
      <c r="F189" s="1770"/>
      <c r="G189" s="1770"/>
      <c r="H189" s="1770"/>
      <c r="I189" s="1770"/>
      <c r="J189" s="1770"/>
      <c r="K189" s="1770"/>
      <c r="L189" s="1770"/>
      <c r="M189" s="1770"/>
      <c r="N189" s="1770"/>
    </row>
    <row r="190" spans="1:14">
      <c r="A190" s="1780">
        <v>3</v>
      </c>
      <c r="B190" s="1751" t="s">
        <v>946</v>
      </c>
      <c r="C190" s="1725">
        <v>94520</v>
      </c>
      <c r="D190" s="1725">
        <v>102437</v>
      </c>
      <c r="E190" s="1725">
        <v>94164</v>
      </c>
      <c r="F190" s="1725">
        <v>93010</v>
      </c>
      <c r="G190" s="1725">
        <v>104453</v>
      </c>
      <c r="H190" s="1725">
        <v>122401</v>
      </c>
      <c r="I190" s="1725">
        <v>102404</v>
      </c>
      <c r="J190" s="1725">
        <v>89877</v>
      </c>
      <c r="K190" s="3524">
        <v>115204</v>
      </c>
      <c r="L190" s="3524">
        <v>139332</v>
      </c>
      <c r="M190" s="3524">
        <v>119452</v>
      </c>
      <c r="N190" s="1725">
        <v>144287</v>
      </c>
    </row>
    <row r="191" spans="1:14">
      <c r="A191" s="1780">
        <v>4</v>
      </c>
      <c r="B191" s="1804" t="s">
        <v>947</v>
      </c>
      <c r="C191" s="1725">
        <v>373840</v>
      </c>
      <c r="D191" s="1725">
        <v>369501</v>
      </c>
      <c r="E191" s="1725">
        <v>334908</v>
      </c>
      <c r="F191" s="1725">
        <v>347770</v>
      </c>
      <c r="G191" s="1725">
        <v>362302</v>
      </c>
      <c r="H191" s="1725">
        <v>366324</v>
      </c>
      <c r="I191" s="1725">
        <v>341399</v>
      </c>
      <c r="J191" s="1725">
        <v>337750</v>
      </c>
      <c r="K191" s="3524">
        <v>343471</v>
      </c>
      <c r="L191" s="3524">
        <v>347408</v>
      </c>
      <c r="M191" s="3524">
        <v>341022</v>
      </c>
      <c r="N191" s="1725">
        <v>355843</v>
      </c>
    </row>
    <row r="192" spans="1:14">
      <c r="A192" s="1780">
        <v>5</v>
      </c>
      <c r="B192" s="1804" t="s">
        <v>948</v>
      </c>
      <c r="C192" s="1268">
        <f t="shared" ref="C192:N192" si="30">SUM(C190:C191)</f>
        <v>468360</v>
      </c>
      <c r="D192" s="1268">
        <f t="shared" si="30"/>
        <v>471938</v>
      </c>
      <c r="E192" s="1268">
        <f t="shared" si="30"/>
        <v>429072</v>
      </c>
      <c r="F192" s="1268">
        <f t="shared" si="30"/>
        <v>440780</v>
      </c>
      <c r="G192" s="1268">
        <f t="shared" si="30"/>
        <v>466755</v>
      </c>
      <c r="H192" s="1268">
        <f t="shared" si="30"/>
        <v>488725</v>
      </c>
      <c r="I192" s="1268">
        <f t="shared" si="30"/>
        <v>443803</v>
      </c>
      <c r="J192" s="1268">
        <f t="shared" si="30"/>
        <v>427627</v>
      </c>
      <c r="K192" s="1268">
        <f t="shared" si="30"/>
        <v>458675</v>
      </c>
      <c r="L192" s="1268">
        <f t="shared" si="30"/>
        <v>486740</v>
      </c>
      <c r="M192" s="1268">
        <f t="shared" si="30"/>
        <v>460474</v>
      </c>
      <c r="N192" s="1268">
        <f t="shared" si="30"/>
        <v>500130</v>
      </c>
    </row>
    <row r="193" spans="1:14">
      <c r="A193" s="1780">
        <v>6</v>
      </c>
      <c r="B193" s="1804" t="s">
        <v>949</v>
      </c>
      <c r="C193" s="1082"/>
      <c r="F193" s="1770"/>
      <c r="J193" s="1770"/>
      <c r="K193" s="1770"/>
      <c r="L193" s="1770"/>
      <c r="N193" s="1770"/>
    </row>
    <row r="194" spans="1:14">
      <c r="A194" s="1780">
        <v>7</v>
      </c>
      <c r="B194" s="1804" t="s">
        <v>950</v>
      </c>
      <c r="C194" s="1834">
        <f t="shared" ref="C194:H194" si="31">ROUND(C190/C192,3)*100</f>
        <v>20.200000000000003</v>
      </c>
      <c r="D194" s="1834">
        <f t="shared" si="31"/>
        <v>21.7</v>
      </c>
      <c r="E194" s="1834">
        <f t="shared" si="31"/>
        <v>21.9</v>
      </c>
      <c r="F194" s="1834">
        <f t="shared" si="31"/>
        <v>21.099999999999998</v>
      </c>
      <c r="G194" s="1834">
        <f t="shared" si="31"/>
        <v>22.400000000000002</v>
      </c>
      <c r="H194" s="1834">
        <f t="shared" si="31"/>
        <v>25</v>
      </c>
      <c r="I194" s="1834">
        <f t="shared" ref="I194:N194" si="32">ROUND(I190/I192,3)*100</f>
        <v>23.1</v>
      </c>
      <c r="J194" s="1834">
        <f t="shared" si="32"/>
        <v>21</v>
      </c>
      <c r="K194" s="1834">
        <f t="shared" si="32"/>
        <v>25.1</v>
      </c>
      <c r="L194" s="1834">
        <f t="shared" si="32"/>
        <v>28.599999999999998</v>
      </c>
      <c r="M194" s="1834">
        <f t="shared" si="32"/>
        <v>25.900000000000002</v>
      </c>
      <c r="N194" s="1834">
        <f t="shared" si="32"/>
        <v>28.799999999999997</v>
      </c>
    </row>
    <row r="195" spans="1:14">
      <c r="A195" s="1780">
        <v>8</v>
      </c>
      <c r="B195" s="1804" t="s">
        <v>951</v>
      </c>
      <c r="C195" s="1834">
        <f t="shared" ref="C195:N195" si="33">C196-C194</f>
        <v>79.8</v>
      </c>
      <c r="D195" s="1834">
        <f t="shared" si="33"/>
        <v>78.3</v>
      </c>
      <c r="E195" s="1834">
        <f t="shared" si="33"/>
        <v>78.099999999999994</v>
      </c>
      <c r="F195" s="1834">
        <f t="shared" si="33"/>
        <v>78.900000000000006</v>
      </c>
      <c r="G195" s="1834">
        <f t="shared" si="33"/>
        <v>77.599999999999994</v>
      </c>
      <c r="H195" s="1834">
        <f t="shared" si="33"/>
        <v>75</v>
      </c>
      <c r="I195" s="1834">
        <f t="shared" si="33"/>
        <v>76.900000000000006</v>
      </c>
      <c r="J195" s="1834">
        <f t="shared" si="33"/>
        <v>79</v>
      </c>
      <c r="K195" s="1834">
        <f t="shared" si="33"/>
        <v>74.900000000000006</v>
      </c>
      <c r="L195" s="1834">
        <f t="shared" si="33"/>
        <v>71.400000000000006</v>
      </c>
      <c r="M195" s="1834">
        <f t="shared" si="33"/>
        <v>74.099999999999994</v>
      </c>
      <c r="N195" s="1834">
        <f t="shared" si="33"/>
        <v>71.2</v>
      </c>
    </row>
    <row r="196" spans="1:14">
      <c r="A196" s="1780">
        <v>9</v>
      </c>
      <c r="B196" s="1804" t="s">
        <v>948</v>
      </c>
      <c r="C196" s="1835">
        <v>100</v>
      </c>
      <c r="D196" s="1835">
        <v>100</v>
      </c>
      <c r="E196" s="1835">
        <v>100</v>
      </c>
      <c r="F196" s="1835">
        <v>100</v>
      </c>
      <c r="G196" s="1835">
        <v>100</v>
      </c>
      <c r="H196" s="1835">
        <v>100</v>
      </c>
      <c r="I196" s="1835">
        <v>100</v>
      </c>
      <c r="J196" s="1835">
        <v>100</v>
      </c>
      <c r="K196" s="1835">
        <v>100</v>
      </c>
      <c r="L196" s="1835">
        <v>100</v>
      </c>
      <c r="M196" s="1835">
        <v>100</v>
      </c>
      <c r="N196" s="1835">
        <v>100</v>
      </c>
    </row>
    <row r="197" spans="1:14">
      <c r="A197" s="1780">
        <v>10</v>
      </c>
      <c r="B197" s="1804" t="s">
        <v>952</v>
      </c>
      <c r="C197" s="1082"/>
      <c r="F197" s="1770"/>
      <c r="J197" s="1770"/>
      <c r="K197" s="1770"/>
      <c r="L197" s="1770"/>
      <c r="N197" s="1770"/>
    </row>
    <row r="198" spans="1:14">
      <c r="A198" s="1780">
        <v>11</v>
      </c>
      <c r="B198" s="1804" t="s">
        <v>950</v>
      </c>
      <c r="C198" s="1725">
        <v>36415</v>
      </c>
      <c r="D198" s="1725">
        <v>43785</v>
      </c>
      <c r="E198" s="1725">
        <v>37249</v>
      </c>
      <c r="F198" s="1725">
        <v>32611</v>
      </c>
      <c r="G198" s="1725">
        <v>41610</v>
      </c>
      <c r="H198" s="1725">
        <v>59826</v>
      </c>
      <c r="I198" s="1725">
        <v>45916</v>
      </c>
      <c r="J198" s="1725">
        <v>37548</v>
      </c>
      <c r="K198" s="1725">
        <v>54560</v>
      </c>
      <c r="L198" s="1725">
        <v>68010</v>
      </c>
      <c r="M198" s="1725">
        <v>71790</v>
      </c>
      <c r="N198" s="1725">
        <v>106913</v>
      </c>
    </row>
    <row r="199" spans="1:14">
      <c r="A199" s="1780">
        <v>12</v>
      </c>
      <c r="B199" s="1804" t="s">
        <v>951</v>
      </c>
      <c r="C199" s="1725">
        <v>108749</v>
      </c>
      <c r="D199" s="1725">
        <v>127896</v>
      </c>
      <c r="E199" s="1725">
        <v>126955</v>
      </c>
      <c r="F199" s="1725">
        <v>131354</v>
      </c>
      <c r="G199" s="1725">
        <v>148411</v>
      </c>
      <c r="H199" s="1725">
        <v>175557</v>
      </c>
      <c r="I199" s="1725">
        <v>145099</v>
      </c>
      <c r="J199" s="1725">
        <v>139700</v>
      </c>
      <c r="K199" s="1725">
        <v>145123</v>
      </c>
      <c r="L199" s="1725">
        <v>144857</v>
      </c>
      <c r="M199" s="1725">
        <v>138243</v>
      </c>
      <c r="N199" s="1725">
        <v>159174</v>
      </c>
    </row>
    <row r="200" spans="1:14">
      <c r="A200" s="1780">
        <v>13</v>
      </c>
      <c r="B200" s="1804" t="s">
        <v>948</v>
      </c>
      <c r="C200" s="1268">
        <f t="shared" ref="C200:N200" si="34">SUM(C198:C199)</f>
        <v>145164</v>
      </c>
      <c r="D200" s="1268">
        <f t="shared" si="34"/>
        <v>171681</v>
      </c>
      <c r="E200" s="1268">
        <f t="shared" si="34"/>
        <v>164204</v>
      </c>
      <c r="F200" s="1268">
        <f t="shared" si="34"/>
        <v>163965</v>
      </c>
      <c r="G200" s="1268">
        <f t="shared" si="34"/>
        <v>190021</v>
      </c>
      <c r="H200" s="1268">
        <f t="shared" si="34"/>
        <v>235383</v>
      </c>
      <c r="I200" s="1268">
        <f t="shared" si="34"/>
        <v>191015</v>
      </c>
      <c r="J200" s="1268">
        <f t="shared" si="34"/>
        <v>177248</v>
      </c>
      <c r="K200" s="1268">
        <f t="shared" si="34"/>
        <v>199683</v>
      </c>
      <c r="L200" s="1268">
        <f t="shared" si="34"/>
        <v>212867</v>
      </c>
      <c r="M200" s="1268">
        <f t="shared" si="34"/>
        <v>210033</v>
      </c>
      <c r="N200" s="1268">
        <f t="shared" si="34"/>
        <v>266087</v>
      </c>
    </row>
    <row r="201" spans="1:14">
      <c r="A201" s="1780">
        <v>14</v>
      </c>
      <c r="B201" s="1804" t="s">
        <v>953</v>
      </c>
      <c r="C201" s="1082"/>
      <c r="F201" s="1770"/>
      <c r="J201" s="1770"/>
      <c r="K201" s="1770"/>
      <c r="L201" s="1770"/>
      <c r="N201" s="1770"/>
    </row>
    <row r="202" spans="1:14">
      <c r="A202" s="1780">
        <v>15</v>
      </c>
      <c r="B202" s="1804" t="s">
        <v>950</v>
      </c>
      <c r="C202" s="1834">
        <f t="shared" ref="C202:H202" si="35">ROUND(C198/C200,3)*100</f>
        <v>25.1</v>
      </c>
      <c r="D202" s="1834">
        <f t="shared" si="35"/>
        <v>25.5</v>
      </c>
      <c r="E202" s="1834">
        <f t="shared" si="35"/>
        <v>22.7</v>
      </c>
      <c r="F202" s="1834">
        <f t="shared" si="35"/>
        <v>19.900000000000002</v>
      </c>
      <c r="G202" s="1834">
        <f t="shared" si="35"/>
        <v>21.9</v>
      </c>
      <c r="H202" s="1834">
        <f t="shared" si="35"/>
        <v>25.4</v>
      </c>
      <c r="I202" s="1834">
        <f t="shared" ref="I202:N202" si="36">ROUND(I198/I200,3)*100</f>
        <v>24</v>
      </c>
      <c r="J202" s="1834">
        <f t="shared" si="36"/>
        <v>21.2</v>
      </c>
      <c r="K202" s="1834">
        <f t="shared" si="36"/>
        <v>27.3</v>
      </c>
      <c r="L202" s="1834">
        <f t="shared" si="36"/>
        <v>31.900000000000002</v>
      </c>
      <c r="M202" s="1834">
        <f t="shared" si="36"/>
        <v>34.200000000000003</v>
      </c>
      <c r="N202" s="1834">
        <f t="shared" si="36"/>
        <v>40.200000000000003</v>
      </c>
    </row>
    <row r="203" spans="1:14">
      <c r="A203" s="1780">
        <v>16</v>
      </c>
      <c r="B203" s="1804" t="s">
        <v>951</v>
      </c>
      <c r="C203" s="1834">
        <f t="shared" ref="C203:N203" si="37">C204-C202</f>
        <v>74.900000000000006</v>
      </c>
      <c r="D203" s="1834">
        <f t="shared" si="37"/>
        <v>74.5</v>
      </c>
      <c r="E203" s="1834">
        <f t="shared" si="37"/>
        <v>77.3</v>
      </c>
      <c r="F203" s="1834">
        <f t="shared" si="37"/>
        <v>80.099999999999994</v>
      </c>
      <c r="G203" s="1834">
        <f t="shared" si="37"/>
        <v>78.099999999999994</v>
      </c>
      <c r="H203" s="1834">
        <f t="shared" si="37"/>
        <v>74.599999999999994</v>
      </c>
      <c r="I203" s="1834">
        <f t="shared" si="37"/>
        <v>76</v>
      </c>
      <c r="J203" s="1834">
        <f t="shared" si="37"/>
        <v>78.8</v>
      </c>
      <c r="K203" s="1834">
        <f t="shared" si="37"/>
        <v>72.7</v>
      </c>
      <c r="L203" s="1834">
        <f t="shared" si="37"/>
        <v>68.099999999999994</v>
      </c>
      <c r="M203" s="1834">
        <f t="shared" si="37"/>
        <v>65.8</v>
      </c>
      <c r="N203" s="1834">
        <f t="shared" si="37"/>
        <v>59.8</v>
      </c>
    </row>
    <row r="204" spans="1:14">
      <c r="A204" s="1780">
        <v>17</v>
      </c>
      <c r="B204" s="1804" t="s">
        <v>948</v>
      </c>
      <c r="C204" s="1835">
        <v>100</v>
      </c>
      <c r="D204" s="1835">
        <v>100</v>
      </c>
      <c r="E204" s="1835">
        <v>100</v>
      </c>
      <c r="F204" s="1835">
        <v>100</v>
      </c>
      <c r="G204" s="1835">
        <v>100</v>
      </c>
      <c r="H204" s="1835">
        <v>100</v>
      </c>
      <c r="I204" s="1835">
        <v>100</v>
      </c>
      <c r="J204" s="1835">
        <v>100</v>
      </c>
      <c r="K204" s="1835">
        <v>100</v>
      </c>
      <c r="L204" s="1835">
        <v>100</v>
      </c>
      <c r="M204" s="1835">
        <v>100</v>
      </c>
      <c r="N204" s="1835">
        <v>100</v>
      </c>
    </row>
    <row r="205" spans="1:14">
      <c r="A205" s="1780"/>
      <c r="C205" s="1082"/>
      <c r="F205" s="1770"/>
      <c r="G205" s="1770"/>
      <c r="H205" s="1770"/>
      <c r="J205" s="1770"/>
      <c r="K205" s="1770"/>
      <c r="L205" s="1770"/>
      <c r="M205" s="1770"/>
    </row>
    <row r="206" spans="1:14">
      <c r="A206" s="1780"/>
      <c r="C206" s="1836"/>
      <c r="D206" s="1836"/>
      <c r="E206" s="1837"/>
      <c r="F206" s="1838"/>
      <c r="G206" s="1838"/>
      <c r="H206" s="1838"/>
      <c r="I206" s="1837"/>
      <c r="J206" s="1838"/>
      <c r="K206" s="1838"/>
      <c r="L206" s="1838"/>
      <c r="M206" s="1838"/>
      <c r="N206" s="1837"/>
    </row>
    <row r="207" spans="1:14">
      <c r="A207" s="1780"/>
      <c r="C207" s="1836"/>
      <c r="D207" s="1836"/>
      <c r="E207" s="1837"/>
      <c r="F207" s="1838"/>
      <c r="G207" s="1838"/>
      <c r="H207" s="1838"/>
      <c r="I207" s="1837"/>
      <c r="J207" s="1838"/>
      <c r="K207" s="1838"/>
      <c r="L207" s="1838"/>
      <c r="M207" s="1838"/>
      <c r="N207" s="1837"/>
    </row>
    <row r="208" spans="1:14">
      <c r="A208" s="1780"/>
      <c r="C208" s="1836"/>
      <c r="D208" s="1836"/>
      <c r="E208" s="1837"/>
      <c r="F208" s="1838"/>
      <c r="G208" s="1838"/>
      <c r="H208" s="1838"/>
      <c r="I208" s="1837"/>
      <c r="J208" s="1838"/>
      <c r="K208" s="1838"/>
      <c r="L208" s="1838"/>
      <c r="M208" s="1838"/>
      <c r="N208" s="1837"/>
    </row>
    <row r="211" spans="2:3">
      <c r="B211" s="1781"/>
      <c r="C211" s="1781"/>
    </row>
    <row r="212" spans="2:3">
      <c r="B212" s="1781"/>
      <c r="C212" s="1781"/>
    </row>
  </sheetData>
  <phoneticPr fontId="4" type="noConversion"/>
  <printOptions horizontalCentered="1"/>
  <pageMargins left="1" right="0.75" top="1" bottom="0" header="0" footer="0"/>
  <pageSetup scale="49" orientation="landscape" r:id="rId1"/>
  <headerFooter alignWithMargins="0"/>
  <rowBreaks count="2" manualBreakCount="2">
    <brk id="65" max="13" man="1"/>
    <brk id="151" max="12" man="1"/>
  </rowBreaks>
  <colBreaks count="1" manualBreakCount="1">
    <brk id="14" max="1048575" man="1"/>
  </col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tabColor theme="8" tint="0.59999389629810485"/>
    <pageSetUpPr fitToPage="1"/>
  </sheetPr>
  <dimension ref="A1:I107"/>
  <sheetViews>
    <sheetView topLeftCell="A26" zoomScale="75" workbookViewId="0"/>
  </sheetViews>
  <sheetFormatPr defaultColWidth="11.44140625" defaultRowHeight="15"/>
  <cols>
    <col min="1" max="1" width="7.44140625" style="1345" customWidth="1"/>
    <col min="2" max="3" width="11.44140625" style="1345" customWidth="1"/>
    <col min="4" max="4" width="42.6640625" style="1345" customWidth="1"/>
    <col min="5" max="5" width="18" style="1345" customWidth="1"/>
    <col min="6" max="7" width="15.5546875" style="1345" customWidth="1"/>
    <col min="8" max="8" width="15.88671875" style="1345" customWidth="1"/>
    <col min="9" max="9" width="18" style="1345" customWidth="1"/>
    <col min="10" max="16384" width="11.44140625" style="1345"/>
  </cols>
  <sheetData>
    <row r="1" spans="1:9">
      <c r="A1" s="684" t="str">
        <f>COMPANY</f>
        <v>DUKE ENERGY KENTUCKY, INC.</v>
      </c>
      <c r="B1" s="684"/>
      <c r="C1" s="684"/>
      <c r="D1" s="684"/>
      <c r="E1" s="684"/>
      <c r="F1" s="684"/>
      <c r="G1" s="684"/>
      <c r="H1" s="684"/>
      <c r="I1" s="684"/>
    </row>
    <row r="2" spans="1:9">
      <c r="A2" s="684" t="str">
        <f>CASE</f>
        <v>CASE NO. 2018-00261</v>
      </c>
      <c r="B2" s="684"/>
      <c r="C2" s="684"/>
      <c r="D2" s="684"/>
      <c r="E2" s="684"/>
      <c r="F2" s="684"/>
      <c r="G2" s="684"/>
      <c r="H2" s="684"/>
      <c r="I2" s="684"/>
    </row>
    <row r="3" spans="1:9">
      <c r="A3" s="684" t="s">
        <v>1324</v>
      </c>
      <c r="B3" s="684"/>
      <c r="C3" s="684"/>
      <c r="D3" s="684"/>
      <c r="E3" s="684"/>
      <c r="F3" s="684"/>
      <c r="G3" s="684"/>
      <c r="H3" s="684"/>
      <c r="I3" s="684"/>
    </row>
    <row r="4" spans="1:9">
      <c r="A4" s="44" t="str">
        <f>"AS OF " &amp;RIGHT(TESTYR,(LEN(TESTYR)-16))</f>
        <v>AS OF NOVEMBER 30, 2018</v>
      </c>
      <c r="B4" s="684"/>
      <c r="C4" s="684"/>
      <c r="D4" s="684"/>
      <c r="E4" s="684"/>
      <c r="F4" s="684"/>
      <c r="G4" s="684"/>
      <c r="H4" s="684"/>
      <c r="I4" s="684"/>
    </row>
    <row r="5" spans="1:9">
      <c r="A5" s="1343"/>
      <c r="B5" s="1343"/>
      <c r="C5" s="1343"/>
      <c r="D5" s="1343"/>
      <c r="E5" s="1343"/>
      <c r="F5" s="1343"/>
      <c r="G5" s="1343"/>
    </row>
    <row r="6" spans="1:9">
      <c r="A6" s="684"/>
      <c r="B6" s="684"/>
      <c r="C6" s="684"/>
      <c r="D6" s="684"/>
      <c r="E6" s="684"/>
      <c r="F6" s="684"/>
      <c r="G6" s="684"/>
      <c r="H6" s="684"/>
      <c r="I6" s="684"/>
    </row>
    <row r="7" spans="1:9">
      <c r="A7" s="1343"/>
      <c r="B7" s="1343"/>
      <c r="C7" s="1343"/>
      <c r="D7" s="1343"/>
      <c r="E7" s="1343"/>
      <c r="F7" s="1343"/>
      <c r="G7" s="1343"/>
    </row>
    <row r="8" spans="1:9">
      <c r="A8" s="1343"/>
      <c r="B8" s="1343"/>
      <c r="C8" s="1343"/>
      <c r="D8" s="1343"/>
      <c r="E8" s="1343"/>
      <c r="F8" s="1343"/>
      <c r="G8" s="1343"/>
    </row>
    <row r="9" spans="1:9">
      <c r="A9" s="1298" t="str">
        <f>Data</f>
        <v>DATA: "X" BASE PERIOD   FORECASTED PERIOD</v>
      </c>
      <c r="H9" s="1298" t="s">
        <v>1325</v>
      </c>
    </row>
    <row r="10" spans="1:9">
      <c r="A10" s="1298" t="str">
        <f>Type</f>
        <v xml:space="preserve">TYPE OF FILING:  "X" ORIGINAL   UPDATED    REVISED  </v>
      </c>
      <c r="H10" s="1298" t="s">
        <v>2092</v>
      </c>
    </row>
    <row r="11" spans="1:9">
      <c r="A11" s="1298" t="s">
        <v>75</v>
      </c>
      <c r="H11" s="1346" t="s">
        <v>566</v>
      </c>
    </row>
    <row r="12" spans="1:9">
      <c r="H12" s="1346" t="str">
        <f>_WIT7</f>
        <v>R. H. PRATT / C. S. LEE</v>
      </c>
    </row>
    <row r="15" spans="1:9">
      <c r="H15" s="1347"/>
      <c r="I15" s="1347"/>
    </row>
    <row r="16" spans="1:9">
      <c r="A16" s="599"/>
      <c r="B16" s="599"/>
      <c r="C16" s="614"/>
      <c r="D16" s="599"/>
      <c r="E16" s="599"/>
      <c r="F16" s="599"/>
      <c r="G16" s="599"/>
    </row>
    <row r="17" spans="1:9">
      <c r="B17" s="1348" t="s">
        <v>1041</v>
      </c>
      <c r="C17" s="615" t="s">
        <v>2137</v>
      </c>
      <c r="E17" s="1348"/>
      <c r="I17" s="1447" t="s">
        <v>1326</v>
      </c>
    </row>
    <row r="18" spans="1:9">
      <c r="A18" s="1348" t="s">
        <v>1938</v>
      </c>
      <c r="B18" s="1348" t="s">
        <v>1150</v>
      </c>
      <c r="C18" s="1348" t="s">
        <v>1150</v>
      </c>
      <c r="D18" s="1298"/>
      <c r="E18" s="683" t="s">
        <v>1986</v>
      </c>
      <c r="F18" s="1348" t="s">
        <v>1898</v>
      </c>
      <c r="G18" s="1348" t="s">
        <v>1898</v>
      </c>
      <c r="H18" s="1447" t="s">
        <v>1327</v>
      </c>
      <c r="I18" s="1447" t="s">
        <v>1379</v>
      </c>
    </row>
    <row r="19" spans="1:9">
      <c r="A19" s="1348" t="s">
        <v>1939</v>
      </c>
      <c r="B19" s="1348" t="s">
        <v>1939</v>
      </c>
      <c r="C19" s="615" t="s">
        <v>1939</v>
      </c>
      <c r="D19" s="1348" t="s">
        <v>1151</v>
      </c>
      <c r="E19" s="615" t="s">
        <v>1989</v>
      </c>
      <c r="F19" s="1348" t="s">
        <v>2097</v>
      </c>
      <c r="G19" s="1348" t="s">
        <v>1940</v>
      </c>
      <c r="H19" s="1447" t="s">
        <v>1380</v>
      </c>
      <c r="I19" s="1447" t="s">
        <v>1940</v>
      </c>
    </row>
    <row r="20" spans="1:9">
      <c r="C20" s="606"/>
      <c r="E20" s="1448"/>
      <c r="G20" s="1347"/>
      <c r="H20" s="1347"/>
      <c r="I20" s="1347"/>
    </row>
    <row r="21" spans="1:9">
      <c r="A21" s="599"/>
      <c r="B21" s="599"/>
      <c r="C21" s="603"/>
      <c r="D21" s="599"/>
      <c r="E21" s="1449" t="s">
        <v>695</v>
      </c>
      <c r="F21" s="599"/>
      <c r="G21" s="1449" t="s">
        <v>695</v>
      </c>
      <c r="I21" s="1450"/>
    </row>
    <row r="22" spans="1:9">
      <c r="A22" s="1348"/>
      <c r="B22" s="1451" t="s">
        <v>1381</v>
      </c>
      <c r="I22" s="1450"/>
    </row>
    <row r="23" spans="1:9">
      <c r="A23" s="1348" t="s">
        <v>1152</v>
      </c>
      <c r="B23" s="1348" t="s">
        <v>1153</v>
      </c>
      <c r="C23" s="2953">
        <v>20400</v>
      </c>
      <c r="D23" s="1298" t="s">
        <v>1154</v>
      </c>
      <c r="E23" s="1267">
        <f>'WPB-2.2a-f - Base'!AU255</f>
        <v>75570</v>
      </c>
      <c r="F23" s="1452">
        <v>100</v>
      </c>
      <c r="G23" s="1351">
        <f>ROUND((E23*F23/100),0)</f>
        <v>75570</v>
      </c>
      <c r="H23" s="2757" t="s">
        <v>47</v>
      </c>
      <c r="I23" s="1345" t="s">
        <v>1382</v>
      </c>
    </row>
    <row r="24" spans="1:9">
      <c r="A24" s="1348" t="s">
        <v>1155</v>
      </c>
      <c r="B24" s="1348" t="s">
        <v>1153</v>
      </c>
      <c r="C24" s="2953">
        <v>20401</v>
      </c>
      <c r="D24" s="1298" t="s">
        <v>1156</v>
      </c>
      <c r="E24" s="1267">
        <f>'WPB-2.2a-f - Base'!AU256</f>
        <v>15703</v>
      </c>
      <c r="F24" s="1452">
        <v>100</v>
      </c>
      <c r="G24" s="1351">
        <f>ROUND((E24*F24/100),0)</f>
        <v>15703</v>
      </c>
      <c r="H24" s="1345" t="str">
        <f>H23</f>
        <v>WPB-2.2f</v>
      </c>
      <c r="I24" s="1345" t="s">
        <v>1383</v>
      </c>
    </row>
    <row r="25" spans="1:9">
      <c r="A25" s="1348" t="s">
        <v>1157</v>
      </c>
      <c r="B25" s="1348" t="s">
        <v>1158</v>
      </c>
      <c r="C25" s="2953">
        <v>20500</v>
      </c>
      <c r="D25" s="1298" t="s">
        <v>1159</v>
      </c>
      <c r="E25" s="1267">
        <f>'WPB-2.2a-f - Base'!AU257</f>
        <v>1106014</v>
      </c>
      <c r="F25" s="1452">
        <v>100</v>
      </c>
      <c r="G25" s="1351">
        <f>ROUND((E25*F25/100),0)</f>
        <v>1106014</v>
      </c>
      <c r="H25" s="1345" t="str">
        <f>H23</f>
        <v>WPB-2.2f</v>
      </c>
      <c r="I25" s="1345" t="s">
        <v>1384</v>
      </c>
    </row>
    <row r="26" spans="1:9">
      <c r="A26" s="1348" t="s">
        <v>1160</v>
      </c>
      <c r="B26" s="1348" t="s">
        <v>1161</v>
      </c>
      <c r="C26" s="2953">
        <v>21100</v>
      </c>
      <c r="D26" s="1298" t="s">
        <v>1162</v>
      </c>
      <c r="E26" s="1267">
        <f>'WPB-2.2a-f - Base'!AU258</f>
        <v>3823237</v>
      </c>
      <c r="F26" s="1452">
        <v>100</v>
      </c>
      <c r="G26" s="1351">
        <f>ROUND((E26*F26/100),0)</f>
        <v>3823237</v>
      </c>
      <c r="H26" s="1345" t="str">
        <f>H23</f>
        <v>WPB-2.2f</v>
      </c>
      <c r="I26" s="1345" t="s">
        <v>302</v>
      </c>
    </row>
    <row r="27" spans="1:9">
      <c r="A27" s="1348">
        <f>A26+1</f>
        <v>5</v>
      </c>
      <c r="C27" s="1348"/>
      <c r="D27" s="1298" t="s">
        <v>1385</v>
      </c>
      <c r="E27" s="1269"/>
      <c r="G27" s="1347"/>
      <c r="I27" s="1345" t="s">
        <v>1386</v>
      </c>
    </row>
    <row r="28" spans="1:9">
      <c r="E28" s="1270"/>
    </row>
    <row r="29" spans="1:9">
      <c r="A29" s="1348">
        <f>A27+1</f>
        <v>6</v>
      </c>
      <c r="B29" s="1345" t="s">
        <v>1387</v>
      </c>
      <c r="E29" s="1271">
        <f>SUM(E23:E28)</f>
        <v>5020524</v>
      </c>
      <c r="G29" s="1454">
        <f>SUM(G23:G28)</f>
        <v>5020524</v>
      </c>
    </row>
    <row r="30" spans="1:9">
      <c r="E30" s="1270"/>
    </row>
    <row r="31" spans="1:9">
      <c r="E31" s="1270"/>
    </row>
    <row r="32" spans="1:9">
      <c r="B32" s="1455" t="s">
        <v>1388</v>
      </c>
      <c r="D32" s="1450"/>
      <c r="E32" s="1270"/>
    </row>
    <row r="33" spans="1:8">
      <c r="A33" s="1447">
        <f>A29+1</f>
        <v>7</v>
      </c>
      <c r="B33" s="1447">
        <v>374</v>
      </c>
      <c r="C33" s="2954">
        <v>27400</v>
      </c>
      <c r="D33" s="1450" t="s">
        <v>1389</v>
      </c>
      <c r="E33" s="1267">
        <f>'WPB-2.2a-f - Base'!AU264</f>
        <v>2326</v>
      </c>
      <c r="F33" s="1456">
        <f>F23</f>
        <v>100</v>
      </c>
      <c r="G33" s="1351">
        <f t="shared" ref="G33:G39" si="0">ROUND((E33*F33/100),0)</f>
        <v>2326</v>
      </c>
      <c r="H33" s="1345" t="str">
        <f>H23</f>
        <v>WPB-2.2f</v>
      </c>
    </row>
    <row r="34" spans="1:8">
      <c r="A34" s="1447">
        <f>A33+1</f>
        <v>8</v>
      </c>
      <c r="B34" s="1447">
        <f>B33</f>
        <v>374</v>
      </c>
      <c r="C34" s="2954">
        <v>27401</v>
      </c>
      <c r="D34" s="1345" t="s">
        <v>1156</v>
      </c>
      <c r="E34" s="1267">
        <f>'WPB-2.2a-f - Base'!AU265</f>
        <v>228817</v>
      </c>
      <c r="F34" s="1456">
        <f>F24</f>
        <v>100</v>
      </c>
      <c r="G34" s="1351">
        <f t="shared" si="0"/>
        <v>228817</v>
      </c>
      <c r="H34" s="1345" t="str">
        <f>H23</f>
        <v>WPB-2.2f</v>
      </c>
    </row>
    <row r="35" spans="1:8">
      <c r="A35" s="1447">
        <f>A34+1</f>
        <v>9</v>
      </c>
      <c r="B35" s="1447">
        <v>375</v>
      </c>
      <c r="C35" s="2954">
        <v>27500</v>
      </c>
      <c r="D35" s="1298" t="s">
        <v>1159</v>
      </c>
      <c r="E35" s="1267">
        <f>'WPB-2.2a-f - Base'!AU266</f>
        <v>24463</v>
      </c>
      <c r="F35" s="1456">
        <f>F25</f>
        <v>100</v>
      </c>
      <c r="G35" s="1351">
        <f t="shared" si="0"/>
        <v>24463</v>
      </c>
      <c r="H35" s="1345" t="str">
        <f>H23</f>
        <v>WPB-2.2f</v>
      </c>
    </row>
    <row r="36" spans="1:8">
      <c r="A36" s="1447">
        <f>A35+1</f>
        <v>10</v>
      </c>
      <c r="B36" s="1447">
        <v>376</v>
      </c>
      <c r="C36" s="2954">
        <v>27602</v>
      </c>
      <c r="D36" s="1298" t="s">
        <v>2699</v>
      </c>
      <c r="E36" s="1267">
        <f>'WPB-2.2a-f - Base'!AU267</f>
        <v>300942</v>
      </c>
      <c r="F36" s="1456">
        <f>F26</f>
        <v>100</v>
      </c>
      <c r="G36" s="1351">
        <f t="shared" ref="G36" si="1">ROUND((E36*F36/100),0)</f>
        <v>300942</v>
      </c>
      <c r="H36" s="1345" t="str">
        <f>H24</f>
        <v>WPB-2.2f</v>
      </c>
    </row>
    <row r="37" spans="1:8">
      <c r="A37" s="1447">
        <f t="shared" ref="A37:A39" si="2">A36+1</f>
        <v>11</v>
      </c>
      <c r="B37" s="1447">
        <v>376</v>
      </c>
      <c r="C37" s="2954">
        <v>27605</v>
      </c>
      <c r="D37" s="1345" t="s">
        <v>1390</v>
      </c>
      <c r="E37" s="1267">
        <f>'WPB-2.2a-f - Base'!AU268</f>
        <v>6192503</v>
      </c>
      <c r="F37" s="1456">
        <f>F26</f>
        <v>100</v>
      </c>
      <c r="G37" s="1351">
        <f t="shared" si="0"/>
        <v>6192503</v>
      </c>
      <c r="H37" s="1345" t="str">
        <f>H23</f>
        <v>WPB-2.2f</v>
      </c>
    </row>
    <row r="38" spans="1:8">
      <c r="A38" s="1447">
        <f t="shared" si="2"/>
        <v>12</v>
      </c>
      <c r="B38" s="1447">
        <v>378</v>
      </c>
      <c r="C38" s="2954">
        <v>27800</v>
      </c>
      <c r="D38" s="1345" t="s">
        <v>1391</v>
      </c>
      <c r="E38" s="1267">
        <f>'WPB-2.2a-f - Base'!AU269</f>
        <v>186887</v>
      </c>
      <c r="F38" s="1456">
        <f>F23</f>
        <v>100</v>
      </c>
      <c r="G38" s="1351">
        <f t="shared" si="0"/>
        <v>186887</v>
      </c>
      <c r="H38" s="1345" t="str">
        <f>H23</f>
        <v>WPB-2.2f</v>
      </c>
    </row>
    <row r="39" spans="1:8">
      <c r="A39" s="1447">
        <f t="shared" si="2"/>
        <v>13</v>
      </c>
      <c r="B39" s="1447">
        <v>378</v>
      </c>
      <c r="C39" s="2954">
        <v>27801</v>
      </c>
      <c r="D39" s="1345" t="s">
        <v>1392</v>
      </c>
      <c r="E39" s="1267">
        <f>'WPB-2.2a-f - Base'!AU270</f>
        <v>260773</v>
      </c>
      <c r="F39" s="1456">
        <f>F23</f>
        <v>100</v>
      </c>
      <c r="G39" s="1457">
        <f t="shared" si="0"/>
        <v>260773</v>
      </c>
      <c r="H39" s="1345" t="str">
        <f>H23</f>
        <v>WPB-2.2f</v>
      </c>
    </row>
    <row r="40" spans="1:8">
      <c r="E40" s="1458"/>
    </row>
    <row r="41" spans="1:8">
      <c r="A41" s="1447">
        <f>A39+1</f>
        <v>14</v>
      </c>
      <c r="B41" s="1345" t="s">
        <v>1393</v>
      </c>
      <c r="E41" s="1271">
        <f>SUM(E33:E40)</f>
        <v>7196711</v>
      </c>
      <c r="G41" s="1454">
        <f>SUM(G33:G40)</f>
        <v>7196711</v>
      </c>
    </row>
    <row r="42" spans="1:8">
      <c r="E42" s="1270"/>
    </row>
    <row r="43" spans="1:8">
      <c r="E43" s="1270"/>
    </row>
    <row r="44" spans="1:8">
      <c r="B44" s="1455" t="s">
        <v>1394</v>
      </c>
      <c r="E44" s="1270"/>
    </row>
    <row r="45" spans="1:8">
      <c r="A45" s="1447">
        <f>A41+1</f>
        <v>15</v>
      </c>
      <c r="B45" s="1447">
        <v>391</v>
      </c>
      <c r="C45" s="2954">
        <v>29100</v>
      </c>
      <c r="D45" s="1270" t="s">
        <v>1107</v>
      </c>
      <c r="E45" s="1267">
        <f>'WPB-2.2a-f - Base'!AU276</f>
        <v>8899</v>
      </c>
      <c r="F45" s="1456">
        <f>F33</f>
        <v>100</v>
      </c>
      <c r="G45" s="1351">
        <f>ROUND((E45*F45/100),0)</f>
        <v>8899</v>
      </c>
      <c r="H45" s="1345" t="str">
        <f>H34</f>
        <v>WPB-2.2f</v>
      </c>
    </row>
    <row r="46" spans="1:8">
      <c r="A46" s="1447">
        <f>A45+1</f>
        <v>16</v>
      </c>
      <c r="B46" s="1447">
        <v>394</v>
      </c>
      <c r="C46" s="2954">
        <v>29400</v>
      </c>
      <c r="D46" s="1270" t="s">
        <v>1112</v>
      </c>
      <c r="E46" s="1267">
        <f>'WPB-2.2a-f - Base'!AU277</f>
        <v>21227</v>
      </c>
      <c r="F46" s="1456">
        <f>F45</f>
        <v>100</v>
      </c>
      <c r="G46" s="1351">
        <f>ROUND((E46*F46/100),0)</f>
        <v>21227</v>
      </c>
      <c r="H46" s="1345" t="str">
        <f>H35</f>
        <v>WPB-2.2f</v>
      </c>
    </row>
    <row r="47" spans="1:8">
      <c r="A47" s="1447">
        <f t="shared" ref="A47:A48" si="3">A46+1</f>
        <v>17</v>
      </c>
      <c r="B47" s="1447">
        <v>397</v>
      </c>
      <c r="C47" s="2954">
        <v>29700</v>
      </c>
      <c r="D47" s="1345" t="s">
        <v>2701</v>
      </c>
      <c r="E47" s="1267">
        <f>'WPB-2.2a-f - Base'!AU278</f>
        <v>238</v>
      </c>
      <c r="F47" s="1456">
        <f>F46</f>
        <v>100</v>
      </c>
      <c r="G47" s="1351">
        <f>ROUND((E47*F47/100),0)</f>
        <v>238</v>
      </c>
      <c r="H47" s="1345" t="str">
        <f>H36</f>
        <v>WPB-2.2f</v>
      </c>
    </row>
    <row r="48" spans="1:8">
      <c r="A48" s="1447">
        <f t="shared" si="3"/>
        <v>18</v>
      </c>
      <c r="B48" s="1447">
        <v>398</v>
      </c>
      <c r="C48" s="2954">
        <v>29800</v>
      </c>
      <c r="D48" s="1345" t="s">
        <v>1116</v>
      </c>
      <c r="E48" s="1267">
        <f>'WPB-2.2a-f - Base'!AU279</f>
        <v>83591</v>
      </c>
      <c r="F48" s="1456">
        <f>F45</f>
        <v>100</v>
      </c>
      <c r="G48" s="1457">
        <f>ROUND((E48*F48/100),0)</f>
        <v>83591</v>
      </c>
      <c r="H48" s="1345" t="str">
        <f>H37</f>
        <v>WPB-2.2f</v>
      </c>
    </row>
    <row r="49" spans="1:9">
      <c r="B49" s="1447"/>
      <c r="E49" s="617"/>
    </row>
    <row r="50" spans="1:9">
      <c r="A50" s="1447">
        <f>A48+1</f>
        <v>19</v>
      </c>
      <c r="B50" s="1345" t="s">
        <v>1397</v>
      </c>
      <c r="E50" s="1454">
        <f>SUM(E45:E49)</f>
        <v>113955</v>
      </c>
      <c r="G50" s="1454">
        <f>SUM(G45:G49)</f>
        <v>113955</v>
      </c>
    </row>
    <row r="52" spans="1:9" ht="15.6" thickBot="1">
      <c r="A52" s="1447">
        <f>A50+1</f>
        <v>20</v>
      </c>
      <c r="B52" s="1345" t="s">
        <v>1398</v>
      </c>
      <c r="E52" s="1459">
        <f>E50+E41+E29</f>
        <v>12331190</v>
      </c>
      <c r="G52" s="1459">
        <f>G50+G41+G29</f>
        <v>12331190</v>
      </c>
    </row>
    <row r="53" spans="1:9" ht="15.6" thickTop="1"/>
    <row r="54" spans="1:9">
      <c r="E54" s="1351"/>
      <c r="F54" s="1351"/>
      <c r="G54" s="1351"/>
      <c r="H54" s="1351"/>
      <c r="I54" s="1351"/>
    </row>
    <row r="55" spans="1:9">
      <c r="A55" s="684" t="str">
        <f>COMPANY</f>
        <v>DUKE ENERGY KENTUCKY, INC.</v>
      </c>
      <c r="B55" s="684"/>
      <c r="C55" s="684"/>
      <c r="D55" s="684"/>
      <c r="E55" s="684"/>
      <c r="F55" s="684"/>
      <c r="G55" s="684"/>
      <c r="H55" s="684"/>
      <c r="I55" s="684"/>
    </row>
    <row r="56" spans="1:9">
      <c r="A56" s="684" t="str">
        <f>CASE</f>
        <v>CASE NO. 2018-00261</v>
      </c>
      <c r="B56" s="684"/>
      <c r="C56" s="684"/>
      <c r="D56" s="684"/>
      <c r="E56" s="684"/>
      <c r="F56" s="684"/>
      <c r="G56" s="684"/>
      <c r="H56" s="684"/>
      <c r="I56" s="684"/>
    </row>
    <row r="57" spans="1:9">
      <c r="A57" s="684" t="s">
        <v>1324</v>
      </c>
      <c r="B57" s="684"/>
      <c r="C57" s="684"/>
      <c r="D57" s="684"/>
      <c r="E57" s="684"/>
      <c r="F57" s="684"/>
      <c r="G57" s="684"/>
      <c r="H57" s="684"/>
      <c r="I57" s="684"/>
    </row>
    <row r="58" spans="1:9">
      <c r="A58" s="44" t="str">
        <f>"AS OF " &amp;RIGHT(Forecast,(LEN(Forecast)-16))</f>
        <v>AS OF MARCH 31, 2020</v>
      </c>
      <c r="B58" s="684"/>
      <c r="C58" s="684"/>
      <c r="D58" s="684"/>
      <c r="E58" s="684"/>
      <c r="F58" s="684"/>
      <c r="G58" s="684"/>
      <c r="H58" s="684"/>
      <c r="I58" s="684"/>
    </row>
    <row r="59" spans="1:9">
      <c r="A59" s="1343"/>
      <c r="B59" s="1343"/>
      <c r="C59" s="1343"/>
      <c r="D59" s="1343"/>
      <c r="E59" s="1343"/>
      <c r="F59" s="1343"/>
      <c r="G59" s="1343"/>
    </row>
    <row r="60" spans="1:9">
      <c r="A60" s="684"/>
      <c r="B60" s="684"/>
      <c r="C60" s="684"/>
      <c r="D60" s="684"/>
      <c r="E60" s="684"/>
      <c r="F60" s="684"/>
      <c r="G60" s="684"/>
      <c r="H60" s="684"/>
      <c r="I60" s="684"/>
    </row>
    <row r="61" spans="1:9">
      <c r="A61" s="1343"/>
      <c r="B61" s="1343"/>
      <c r="C61" s="1343"/>
      <c r="D61" s="1343"/>
      <c r="E61" s="1343"/>
      <c r="F61" s="1343"/>
      <c r="G61" s="1343"/>
    </row>
    <row r="62" spans="1:9">
      <c r="A62" s="1343"/>
      <c r="B62" s="1343"/>
      <c r="C62" s="1343"/>
      <c r="D62" s="1343"/>
      <c r="E62" s="1343"/>
      <c r="F62" s="1343"/>
      <c r="G62" s="1343"/>
    </row>
    <row r="63" spans="1:9">
      <c r="A63" s="1298" t="str">
        <f>DataF</f>
        <v>DATA:  BASE PERIOD  "X" FORECASTED PERIOD</v>
      </c>
      <c r="H63" s="1298" t="s">
        <v>1325</v>
      </c>
    </row>
    <row r="64" spans="1:9">
      <c r="A64" s="1298" t="str">
        <f>Type</f>
        <v xml:space="preserve">TYPE OF FILING:  "X" ORIGINAL   UPDATED    REVISED  </v>
      </c>
      <c r="H64" s="1298" t="s">
        <v>762</v>
      </c>
    </row>
    <row r="65" spans="1:9">
      <c r="A65" s="3584" t="s">
        <v>3056</v>
      </c>
      <c r="H65" s="1346" t="s">
        <v>566</v>
      </c>
    </row>
    <row r="66" spans="1:9">
      <c r="H66" s="1346" t="str">
        <f>_WIT7</f>
        <v>R. H. PRATT / C. S. LEE</v>
      </c>
    </row>
    <row r="69" spans="1:9">
      <c r="H69" s="1347"/>
      <c r="I69" s="1347"/>
    </row>
    <row r="70" spans="1:9">
      <c r="A70" s="599"/>
      <c r="B70" s="599"/>
      <c r="C70" s="614"/>
      <c r="D70" s="599"/>
      <c r="E70" s="3076" t="s">
        <v>621</v>
      </c>
      <c r="F70" s="599"/>
      <c r="G70" s="599"/>
    </row>
    <row r="71" spans="1:9">
      <c r="B71" s="1348" t="s">
        <v>1041</v>
      </c>
      <c r="C71" s="615" t="s">
        <v>2137</v>
      </c>
      <c r="E71" s="1348" t="s">
        <v>799</v>
      </c>
      <c r="I71" s="1447" t="s">
        <v>1326</v>
      </c>
    </row>
    <row r="72" spans="1:9">
      <c r="A72" s="1348" t="s">
        <v>1938</v>
      </c>
      <c r="B72" s="1348" t="s">
        <v>1150</v>
      </c>
      <c r="C72" s="1348" t="s">
        <v>1150</v>
      </c>
      <c r="D72" s="1298"/>
      <c r="E72" s="683" t="s">
        <v>1232</v>
      </c>
      <c r="F72" s="1348" t="s">
        <v>1898</v>
      </c>
      <c r="G72" s="1348" t="s">
        <v>1898</v>
      </c>
      <c r="H72" s="1447" t="s">
        <v>1327</v>
      </c>
      <c r="I72" s="1447" t="s">
        <v>1379</v>
      </c>
    </row>
    <row r="73" spans="1:9">
      <c r="A73" s="1348" t="s">
        <v>1939</v>
      </c>
      <c r="B73" s="1348" t="s">
        <v>1939</v>
      </c>
      <c r="C73" s="615" t="s">
        <v>1939</v>
      </c>
      <c r="D73" s="1348" t="s">
        <v>1151</v>
      </c>
      <c r="E73" s="615" t="s">
        <v>1989</v>
      </c>
      <c r="F73" s="1348" t="s">
        <v>2097</v>
      </c>
      <c r="G73" s="1348" t="s">
        <v>1940</v>
      </c>
      <c r="H73" s="1447" t="s">
        <v>1380</v>
      </c>
      <c r="I73" s="1447" t="s">
        <v>1940</v>
      </c>
    </row>
    <row r="74" spans="1:9">
      <c r="C74" s="606"/>
      <c r="E74" s="1448"/>
      <c r="G74" s="1347"/>
      <c r="H74" s="1347"/>
      <c r="I74" s="1347"/>
    </row>
    <row r="75" spans="1:9">
      <c r="A75" s="599"/>
      <c r="B75" s="599"/>
      <c r="C75" s="603"/>
      <c r="D75" s="599"/>
      <c r="E75" s="1449" t="s">
        <v>695</v>
      </c>
      <c r="F75" s="599"/>
      <c r="G75" s="1449" t="s">
        <v>695</v>
      </c>
      <c r="H75" s="1447"/>
      <c r="I75" s="1450"/>
    </row>
    <row r="76" spans="1:9">
      <c r="A76" s="1348"/>
      <c r="B76" s="1451" t="s">
        <v>1381</v>
      </c>
      <c r="I76" s="1450"/>
    </row>
    <row r="77" spans="1:9">
      <c r="A77" s="1348" t="s">
        <v>1152</v>
      </c>
      <c r="B77" s="1348" t="s">
        <v>1153</v>
      </c>
      <c r="C77" s="1348">
        <f>C23</f>
        <v>20400</v>
      </c>
      <c r="D77" s="1298" t="s">
        <v>1154</v>
      </c>
      <c r="E77" s="1267">
        <f>'WPB-2.2g'!K13</f>
        <v>75570</v>
      </c>
      <c r="F77" s="1452">
        <v>100</v>
      </c>
      <c r="G77" s="1351">
        <f>ROUND((E77*F77/100),0)</f>
        <v>75570</v>
      </c>
      <c r="H77" s="1453" t="s">
        <v>73</v>
      </c>
      <c r="I77" s="1345" t="s">
        <v>1382</v>
      </c>
    </row>
    <row r="78" spans="1:9">
      <c r="A78" s="1348" t="s">
        <v>1155</v>
      </c>
      <c r="B78" s="1348" t="s">
        <v>1153</v>
      </c>
      <c r="C78" s="1348">
        <f>C24</f>
        <v>20401</v>
      </c>
      <c r="D78" s="1298" t="s">
        <v>1156</v>
      </c>
      <c r="E78" s="1267">
        <f>'WPB-2.2g'!K14</f>
        <v>15703</v>
      </c>
      <c r="F78" s="1452">
        <v>100</v>
      </c>
      <c r="G78" s="1351">
        <f>ROUND((E78*F78/100),0)</f>
        <v>15703</v>
      </c>
      <c r="H78" s="1345" t="str">
        <f>H77</f>
        <v>WPB-2.2g</v>
      </c>
      <c r="I78" s="1345" t="s">
        <v>1383</v>
      </c>
    </row>
    <row r="79" spans="1:9">
      <c r="A79" s="1348" t="s">
        <v>1157</v>
      </c>
      <c r="B79" s="1348" t="s">
        <v>1158</v>
      </c>
      <c r="C79" s="1348">
        <f>C25</f>
        <v>20500</v>
      </c>
      <c r="D79" s="1298" t="s">
        <v>1159</v>
      </c>
      <c r="E79" s="1267">
        <f>'WPB-2.2g'!K15</f>
        <v>1106014</v>
      </c>
      <c r="F79" s="1452">
        <v>100</v>
      </c>
      <c r="G79" s="1351">
        <f>ROUND((E79*F79/100),0)</f>
        <v>1106014</v>
      </c>
      <c r="H79" s="1345" t="str">
        <f>H77</f>
        <v>WPB-2.2g</v>
      </c>
      <c r="I79" s="1345" t="s">
        <v>1384</v>
      </c>
    </row>
    <row r="80" spans="1:9">
      <c r="A80" s="1348" t="s">
        <v>1160</v>
      </c>
      <c r="B80" s="1348" t="s">
        <v>1161</v>
      </c>
      <c r="C80" s="1348">
        <f>C26</f>
        <v>21100</v>
      </c>
      <c r="D80" s="1298" t="s">
        <v>1162</v>
      </c>
      <c r="E80" s="1267">
        <f>E83-(SUM(E77:E79))</f>
        <v>3823237</v>
      </c>
      <c r="F80" s="1452">
        <v>100</v>
      </c>
      <c r="G80" s="1351">
        <f>ROUND((E80*F80/100),0)</f>
        <v>3823237</v>
      </c>
      <c r="I80" s="1345" t="s">
        <v>303</v>
      </c>
    </row>
    <row r="81" spans="1:9">
      <c r="A81" s="1348">
        <f>A80+1</f>
        <v>5</v>
      </c>
      <c r="C81" s="1348"/>
      <c r="D81" s="1298" t="s">
        <v>1385</v>
      </c>
      <c r="E81" s="1269"/>
      <c r="G81" s="1347"/>
      <c r="H81" s="1450"/>
      <c r="I81" s="1345" t="s">
        <v>1386</v>
      </c>
    </row>
    <row r="82" spans="1:9">
      <c r="E82" s="1270"/>
      <c r="H82" s="1450"/>
    </row>
    <row r="83" spans="1:9">
      <c r="A83" s="1348">
        <f>A81+1</f>
        <v>6</v>
      </c>
      <c r="B83" s="1345" t="s">
        <v>1387</v>
      </c>
      <c r="E83" s="1271">
        <f>'WPB-2.2g'!K18</f>
        <v>5020524</v>
      </c>
      <c r="G83" s="1454">
        <f>SUM(G77:G82)</f>
        <v>5020524</v>
      </c>
    </row>
    <row r="86" spans="1:9">
      <c r="B86" s="1455" t="s">
        <v>1388</v>
      </c>
      <c r="D86" s="1450"/>
    </row>
    <row r="87" spans="1:9">
      <c r="A87" s="1447">
        <f>A83+1</f>
        <v>7</v>
      </c>
      <c r="B87" s="1447">
        <v>374</v>
      </c>
      <c r="C87" s="1348">
        <f t="shared" ref="C87:C93" si="4">C33</f>
        <v>27400</v>
      </c>
      <c r="D87" s="1450" t="s">
        <v>1389</v>
      </c>
      <c r="E87" s="1267">
        <f>'WPB-2.2g'!K22</f>
        <v>2326</v>
      </c>
      <c r="F87" s="1456">
        <f>F77</f>
        <v>100</v>
      </c>
      <c r="G87" s="1351">
        <f t="shared" ref="G87:G93" si="5">ROUND((E87*F87/100),0)</f>
        <v>2326</v>
      </c>
      <c r="H87" s="1345" t="str">
        <f>H77</f>
        <v>WPB-2.2g</v>
      </c>
    </row>
    <row r="88" spans="1:9">
      <c r="A88" s="1447">
        <f>A87+1</f>
        <v>8</v>
      </c>
      <c r="B88" s="1447">
        <f>B87</f>
        <v>374</v>
      </c>
      <c r="C88" s="1348">
        <f t="shared" si="4"/>
        <v>27401</v>
      </c>
      <c r="D88" s="1345" t="s">
        <v>1156</v>
      </c>
      <c r="E88" s="1267">
        <f>'WPB-2.2g'!K23</f>
        <v>228817</v>
      </c>
      <c r="F88" s="1456">
        <f>F78</f>
        <v>100</v>
      </c>
      <c r="G88" s="1351">
        <f t="shared" si="5"/>
        <v>228817</v>
      </c>
      <c r="H88" s="1345" t="str">
        <f>H77</f>
        <v>WPB-2.2g</v>
      </c>
    </row>
    <row r="89" spans="1:9">
      <c r="A89" s="1447">
        <f>A88+1</f>
        <v>9</v>
      </c>
      <c r="B89" s="1447">
        <v>375</v>
      </c>
      <c r="C89" s="1348">
        <f t="shared" si="4"/>
        <v>27500</v>
      </c>
      <c r="D89" s="1298" t="s">
        <v>1159</v>
      </c>
      <c r="E89" s="1267">
        <f>'WPB-2.2g'!K24</f>
        <v>24463</v>
      </c>
      <c r="F89" s="1456">
        <f>F79</f>
        <v>100</v>
      </c>
      <c r="G89" s="1351">
        <f t="shared" si="5"/>
        <v>24463</v>
      </c>
      <c r="H89" s="1345" t="str">
        <f>H77</f>
        <v>WPB-2.2g</v>
      </c>
    </row>
    <row r="90" spans="1:9">
      <c r="A90" s="1447">
        <f t="shared" ref="A90:A93" si="6">A89+1</f>
        <v>10</v>
      </c>
      <c r="B90" s="1447">
        <v>376</v>
      </c>
      <c r="C90" s="1348">
        <f t="shared" si="4"/>
        <v>27602</v>
      </c>
      <c r="D90" s="1270" t="s">
        <v>2791</v>
      </c>
      <c r="E90" s="1267">
        <f>'WPB-2.2g'!K25</f>
        <v>300942</v>
      </c>
      <c r="F90" s="1456">
        <f>F80</f>
        <v>100</v>
      </c>
      <c r="G90" s="1351">
        <f t="shared" ref="G90" si="7">ROUND((E90*F90/100),0)</f>
        <v>300942</v>
      </c>
      <c r="H90" s="1345" t="str">
        <f>H78</f>
        <v>WPB-2.2g</v>
      </c>
    </row>
    <row r="91" spans="1:9">
      <c r="A91" s="1447">
        <f t="shared" si="6"/>
        <v>11</v>
      </c>
      <c r="B91" s="1447">
        <v>376</v>
      </c>
      <c r="C91" s="1348">
        <f t="shared" si="4"/>
        <v>27605</v>
      </c>
      <c r="D91" s="1345" t="s">
        <v>1390</v>
      </c>
      <c r="E91" s="1267">
        <f>'WPB-2.2g'!K26</f>
        <v>6192503</v>
      </c>
      <c r="F91" s="1456">
        <f>F80</f>
        <v>100</v>
      </c>
      <c r="G91" s="1351">
        <f t="shared" si="5"/>
        <v>6192503</v>
      </c>
      <c r="H91" s="1345" t="str">
        <f>H77</f>
        <v>WPB-2.2g</v>
      </c>
    </row>
    <row r="92" spans="1:9">
      <c r="A92" s="1447">
        <f t="shared" si="6"/>
        <v>12</v>
      </c>
      <c r="B92" s="1447">
        <v>378</v>
      </c>
      <c r="C92" s="1348">
        <f t="shared" si="4"/>
        <v>27800</v>
      </c>
      <c r="D92" s="1345" t="s">
        <v>1391</v>
      </c>
      <c r="E92" s="1267">
        <f>'WPB-2.2g'!K27</f>
        <v>186887</v>
      </c>
      <c r="F92" s="1456">
        <f>F77</f>
        <v>100</v>
      </c>
      <c r="G92" s="1351">
        <f t="shared" si="5"/>
        <v>186887</v>
      </c>
      <c r="H92" s="1345" t="str">
        <f>H77</f>
        <v>WPB-2.2g</v>
      </c>
    </row>
    <row r="93" spans="1:9">
      <c r="A93" s="1447">
        <f t="shared" si="6"/>
        <v>13</v>
      </c>
      <c r="B93" s="1447">
        <v>378</v>
      </c>
      <c r="C93" s="1348">
        <f t="shared" si="4"/>
        <v>27801</v>
      </c>
      <c r="D93" s="1345" t="s">
        <v>1392</v>
      </c>
      <c r="E93" s="1267">
        <f>'WPB-2.2g'!K28</f>
        <v>260773</v>
      </c>
      <c r="F93" s="1456">
        <f>F77</f>
        <v>100</v>
      </c>
      <c r="G93" s="1457">
        <f t="shared" si="5"/>
        <v>260773</v>
      </c>
      <c r="H93" s="1345" t="str">
        <f>H77</f>
        <v>WPB-2.2g</v>
      </c>
    </row>
    <row r="94" spans="1:9">
      <c r="E94" s="617"/>
      <c r="H94" s="1450"/>
    </row>
    <row r="95" spans="1:9">
      <c r="A95" s="1447">
        <f>A93+1</f>
        <v>14</v>
      </c>
      <c r="B95" s="1345" t="s">
        <v>1393</v>
      </c>
      <c r="E95" s="1454">
        <f>SUM(E87:E94)</f>
        <v>7196711</v>
      </c>
      <c r="G95" s="1454">
        <f>SUM(G87:G94)</f>
        <v>7196711</v>
      </c>
      <c r="H95" s="1460"/>
    </row>
    <row r="98" spans="1:8">
      <c r="B98" s="1455" t="s">
        <v>1394</v>
      </c>
    </row>
    <row r="99" spans="1:8">
      <c r="A99" s="1447">
        <f>A95+1</f>
        <v>15</v>
      </c>
      <c r="B99" s="1447">
        <v>391</v>
      </c>
      <c r="C99" s="1348">
        <f>C45</f>
        <v>29100</v>
      </c>
      <c r="D99" s="1270" t="s">
        <v>1107</v>
      </c>
      <c r="E99" s="1267">
        <f>'WPB-2.2g'!K34</f>
        <v>8899</v>
      </c>
      <c r="F99" s="1456">
        <f>F87</f>
        <v>100</v>
      </c>
      <c r="G99" s="1351">
        <f>ROUND((E99*F99/100),0)</f>
        <v>8899</v>
      </c>
      <c r="H99" s="1345" t="str">
        <f>H88</f>
        <v>WPB-2.2g</v>
      </c>
    </row>
    <row r="100" spans="1:8">
      <c r="A100" s="1447">
        <f>A99+1</f>
        <v>16</v>
      </c>
      <c r="B100" s="1447">
        <v>394</v>
      </c>
      <c r="C100" s="1348">
        <f>C46</f>
        <v>29400</v>
      </c>
      <c r="D100" s="1270" t="s">
        <v>1112</v>
      </c>
      <c r="E100" s="1267">
        <f>'WPB-2.2g'!K35</f>
        <v>21227</v>
      </c>
      <c r="F100" s="1456">
        <f>F99</f>
        <v>100</v>
      </c>
      <c r="G100" s="1351">
        <f>ROUND((E100*F100/100),0)</f>
        <v>21227</v>
      </c>
      <c r="H100" s="1345" t="str">
        <f>H89</f>
        <v>WPB-2.2g</v>
      </c>
    </row>
    <row r="101" spans="1:8">
      <c r="A101" s="1447">
        <f t="shared" ref="A101:A102" si="8">A100+1</f>
        <v>17</v>
      </c>
      <c r="B101" s="1447">
        <v>397</v>
      </c>
      <c r="C101" s="1348">
        <v>29700</v>
      </c>
      <c r="D101" s="1270" t="s">
        <v>2701</v>
      </c>
      <c r="E101" s="1267">
        <f>'WPB-2.2g'!K36</f>
        <v>238</v>
      </c>
      <c r="F101" s="1456">
        <f>F100</f>
        <v>100</v>
      </c>
      <c r="G101" s="1351">
        <f>ROUND((E101*F101/100),0)</f>
        <v>238</v>
      </c>
      <c r="H101" s="1345" t="str">
        <f>H90</f>
        <v>WPB-2.2g</v>
      </c>
    </row>
    <row r="102" spans="1:8">
      <c r="A102" s="1447">
        <f t="shared" si="8"/>
        <v>18</v>
      </c>
      <c r="B102" s="1447">
        <v>398</v>
      </c>
      <c r="C102" s="1348">
        <f>C48</f>
        <v>29800</v>
      </c>
      <c r="D102" s="1345" t="s">
        <v>1116</v>
      </c>
      <c r="E102" s="1267">
        <f>'WPB-2.2g'!K37</f>
        <v>83591</v>
      </c>
      <c r="F102" s="1456">
        <f>F99</f>
        <v>100</v>
      </c>
      <c r="G102" s="1457">
        <f>ROUND((E102*F102/100),0)</f>
        <v>83591</v>
      </c>
      <c r="H102" s="1345" t="str">
        <f>H91</f>
        <v>WPB-2.2g</v>
      </c>
    </row>
    <row r="103" spans="1:8">
      <c r="B103" s="1447"/>
      <c r="E103" s="617"/>
      <c r="H103" s="1450"/>
    </row>
    <row r="104" spans="1:8">
      <c r="A104" s="1447">
        <f>A102+1</f>
        <v>19</v>
      </c>
      <c r="B104" s="1345" t="s">
        <v>1397</v>
      </c>
      <c r="E104" s="1454">
        <f>SUM(E99:E103)</f>
        <v>113955</v>
      </c>
      <c r="G104" s="1454">
        <f>SUM(G99:G103)</f>
        <v>113955</v>
      </c>
      <c r="H104" s="1460"/>
    </row>
    <row r="105" spans="1:8">
      <c r="H105" s="1450"/>
    </row>
    <row r="106" spans="1:8" ht="15.6" thickBot="1">
      <c r="A106" s="1447">
        <f>A104+1</f>
        <v>20</v>
      </c>
      <c r="B106" s="1345" t="s">
        <v>1398</v>
      </c>
      <c r="E106" s="1459">
        <f>E104+E95+E83</f>
        <v>12331190</v>
      </c>
      <c r="G106" s="1459">
        <f>G104+G95+G83</f>
        <v>12331190</v>
      </c>
      <c r="H106" s="1460"/>
    </row>
    <row r="107" spans="1:8" ht="15.6" thickTop="1"/>
  </sheetData>
  <phoneticPr fontId="55" type="noConversion"/>
  <printOptions horizontalCentered="1"/>
  <pageMargins left="1" right="0.75" top="1" bottom="1" header="0.5" footer="0.5"/>
  <pageSetup scale="59" orientation="landscape" horizont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>
    <tabColor theme="8" tint="0.59999389629810485"/>
    <pageSetUpPr fitToPage="1"/>
  </sheetPr>
  <dimension ref="A1:AU2073"/>
  <sheetViews>
    <sheetView zoomScale="75" workbookViewId="0"/>
  </sheetViews>
  <sheetFormatPr defaultColWidth="9.109375" defaultRowHeight="15"/>
  <cols>
    <col min="1" max="1" width="11.88671875" style="1109" customWidth="1"/>
    <col min="2" max="2" width="43.44140625" style="1109" customWidth="1"/>
    <col min="3" max="3" width="12.44140625" style="1109" customWidth="1"/>
    <col min="4" max="4" width="11" style="1109" customWidth="1"/>
    <col min="5" max="5" width="16.33203125" style="1109" customWidth="1"/>
    <col min="6" max="6" width="12.33203125" style="1109" customWidth="1"/>
    <col min="7" max="7" width="12" style="1109" customWidth="1"/>
    <col min="8" max="8" width="43.44140625" style="1109" customWidth="1"/>
    <col min="9" max="10" width="14.33203125" style="1109" customWidth="1"/>
    <col min="11" max="11" width="19" style="1109" customWidth="1"/>
    <col min="12" max="12" width="10.33203125" style="1109" customWidth="1"/>
    <col min="13" max="13" width="11.44140625" style="1109" customWidth="1"/>
    <col min="14" max="14" width="43.44140625" style="1109" customWidth="1"/>
    <col min="15" max="15" width="12.6640625" style="1109" customWidth="1"/>
    <col min="16" max="16" width="13.6640625" style="1109" customWidth="1"/>
    <col min="17" max="17" width="17" style="1109" customWidth="1"/>
    <col min="18" max="18" width="12.109375" style="1109" customWidth="1"/>
    <col min="19" max="19" width="14.44140625" style="1109" customWidth="1"/>
    <col min="20" max="20" width="43.44140625" style="1109" customWidth="1"/>
    <col min="21" max="21" width="12.6640625" style="1109" customWidth="1"/>
    <col min="22" max="22" width="12.5546875" style="1109" customWidth="1"/>
    <col min="23" max="23" width="16.44140625" style="1109" customWidth="1"/>
    <col min="24" max="24" width="12.5546875" style="1109" customWidth="1"/>
    <col min="25" max="25" width="15.5546875" style="1109" customWidth="1"/>
    <col min="26" max="26" width="42.44140625" style="1109" customWidth="1"/>
    <col min="27" max="27" width="16" style="1109" customWidth="1"/>
    <col min="28" max="28" width="14.88671875" style="1109" customWidth="1"/>
    <col min="29" max="29" width="19" style="1109" customWidth="1"/>
    <col min="30" max="30" width="11.33203125" style="1109" customWidth="1"/>
    <col min="31" max="31" width="9.109375" style="1109" customWidth="1"/>
    <col min="32" max="32" width="43.44140625" style="1109" customWidth="1"/>
    <col min="33" max="33" width="12.44140625" style="1109" customWidth="1"/>
    <col min="34" max="34" width="2.109375" style="1109" customWidth="1"/>
    <col min="35" max="42" width="12.44140625" style="1109" customWidth="1"/>
    <col min="43" max="43" width="3" style="1109" customWidth="1"/>
    <col min="44" max="45" width="14.109375" style="1109" customWidth="1"/>
    <col min="46" max="46" width="1.88671875" style="1109" customWidth="1"/>
    <col min="47" max="47" width="14.88671875" style="1109" customWidth="1"/>
    <col min="48" max="16384" width="9.109375" style="1109"/>
  </cols>
  <sheetData>
    <row r="1" spans="1:9">
      <c r="E1" s="1109" t="s">
        <v>1551</v>
      </c>
    </row>
    <row r="2" spans="1:9">
      <c r="E2" s="1109" t="s">
        <v>566</v>
      </c>
    </row>
    <row r="3" spans="1:9">
      <c r="E3" s="1109" t="str">
        <f>_WIT7</f>
        <v>R. H. PRATT / C. S. LEE</v>
      </c>
    </row>
    <row r="5" spans="1:9">
      <c r="A5" s="3376" t="str">
        <f>COMPANY</f>
        <v>DUKE ENERGY KENTUCKY, INC.</v>
      </c>
      <c r="B5" s="3376"/>
      <c r="C5" s="3376"/>
      <c r="D5" s="3376"/>
      <c r="E5" s="3376"/>
    </row>
    <row r="6" spans="1:9">
      <c r="A6" s="3376" t="str">
        <f>CASE</f>
        <v>CASE NO. 2018-00261</v>
      </c>
      <c r="B6" s="3376"/>
      <c r="C6" s="3376"/>
      <c r="D6" s="3376"/>
      <c r="E6" s="3376"/>
    </row>
    <row r="7" spans="1:9">
      <c r="A7" s="3376" t="s">
        <v>1552</v>
      </c>
      <c r="B7" s="3376"/>
      <c r="C7" s="3376"/>
      <c r="D7" s="3376"/>
      <c r="E7" s="3376"/>
    </row>
    <row r="8" spans="1:9">
      <c r="A8" s="44" t="str">
        <f>"AS OF " &amp;RIGHT(TESTYR,(LEN(TESTYR)-16))</f>
        <v>AS OF NOVEMBER 30, 2018</v>
      </c>
      <c r="B8" s="3376"/>
      <c r="C8" s="3376"/>
      <c r="D8" s="3376"/>
      <c r="E8" s="3376"/>
    </row>
    <row r="10" spans="1:9">
      <c r="E10" s="3377" t="s">
        <v>678</v>
      </c>
    </row>
    <row r="11" spans="1:9">
      <c r="A11" s="1392" t="s">
        <v>2137</v>
      </c>
      <c r="C11" s="1392" t="s">
        <v>24</v>
      </c>
      <c r="E11" s="1392" t="s">
        <v>2134</v>
      </c>
    </row>
    <row r="12" spans="1:9">
      <c r="A12" s="1392" t="s">
        <v>1987</v>
      </c>
      <c r="C12" s="1392" t="s">
        <v>1509</v>
      </c>
      <c r="D12" s="1109" t="s">
        <v>2010</v>
      </c>
      <c r="E12" s="1392" t="s">
        <v>1510</v>
      </c>
    </row>
    <row r="13" spans="1:9">
      <c r="A13" s="3378" t="s">
        <v>148</v>
      </c>
      <c r="B13" s="3378" t="s">
        <v>1406</v>
      </c>
      <c r="C13" s="3378" t="s">
        <v>695</v>
      </c>
      <c r="D13" s="3378" t="s">
        <v>2097</v>
      </c>
      <c r="E13" s="3378" t="s">
        <v>695</v>
      </c>
    </row>
    <row r="14" spans="1:9">
      <c r="I14" s="1109" t="s">
        <v>1511</v>
      </c>
    </row>
    <row r="15" spans="1:9">
      <c r="A15" s="3379" t="s">
        <v>1512</v>
      </c>
      <c r="B15" s="3380"/>
      <c r="C15" s="3380"/>
      <c r="D15" s="3380"/>
      <c r="E15" s="3381"/>
    </row>
    <row r="16" spans="1:9">
      <c r="E16" s="3382"/>
    </row>
    <row r="17" spans="1:5">
      <c r="B17" s="3378" t="s">
        <v>1513</v>
      </c>
      <c r="E17" s="3382"/>
    </row>
    <row r="18" spans="1:5">
      <c r="A18" s="3244">
        <f>AE255</f>
        <v>20400</v>
      </c>
      <c r="B18" s="3383" t="s">
        <v>1154</v>
      </c>
      <c r="C18" s="2957">
        <f t="array" ref="C18">ROUND(SUM(IF(WPB2.2_iAccount=A18,IF(WPB2_2iCode=$A$15,WPB2.2_iBook))),0)</f>
        <v>117711</v>
      </c>
      <c r="D18" s="3245">
        <v>0.64200000000000002</v>
      </c>
      <c r="E18" s="1464">
        <f>ROUND(C18*D18,0)</f>
        <v>75570</v>
      </c>
    </row>
    <row r="19" spans="1:5">
      <c r="A19" s="3244">
        <f>AE256</f>
        <v>20401</v>
      </c>
      <c r="B19" s="3383" t="s">
        <v>1156</v>
      </c>
      <c r="C19" s="2957">
        <f t="array" ref="C19">ROUND(SUM(IF(WPB2.2_iAccount=A19,IF(WPB2_2iCode=$A$15,WPB2.2_iBook))),0)</f>
        <v>24459</v>
      </c>
      <c r="D19" s="821">
        <f>D18</f>
        <v>0.64200000000000002</v>
      </c>
      <c r="E19" s="1464">
        <f>ROUND(C19*D19,0)</f>
        <v>15703</v>
      </c>
    </row>
    <row r="20" spans="1:5">
      <c r="A20" s="3244">
        <f>AE257</f>
        <v>20500</v>
      </c>
      <c r="B20" s="3383" t="s">
        <v>1159</v>
      </c>
      <c r="C20" s="2957">
        <f t="array" ref="C20">ROUND(SUM(IF(WPB2.2_iAccount=A20,IF(WPB2_2iCode=$A$15,WPB2.2_iBook))),0)</f>
        <v>1722764</v>
      </c>
      <c r="D20" s="821">
        <f>D18</f>
        <v>0.64200000000000002</v>
      </c>
      <c r="E20" s="1464">
        <f>ROUND(C20*D20,0)</f>
        <v>1106014</v>
      </c>
    </row>
    <row r="21" spans="1:5">
      <c r="A21" s="3244">
        <f>AE258</f>
        <v>21100</v>
      </c>
      <c r="B21" s="3383" t="s">
        <v>1162</v>
      </c>
      <c r="C21" s="2957">
        <f t="array" ref="C21">ROUND(SUM(IF(WPB2.2_iAccount=A21,IF(WPB2_2iCode=$A$15,WPB2.2_iBook))),0)</f>
        <v>5955198</v>
      </c>
      <c r="D21" s="821">
        <f>D18</f>
        <v>0.64200000000000002</v>
      </c>
      <c r="E21" s="1464">
        <f>ROUND(C21*D21,0)</f>
        <v>3823237</v>
      </c>
    </row>
    <row r="22" spans="1:5">
      <c r="C22" s="2957"/>
      <c r="D22" s="821"/>
      <c r="E22" s="1464"/>
    </row>
    <row r="23" spans="1:5">
      <c r="B23" s="3378" t="s">
        <v>965</v>
      </c>
      <c r="C23" s="2957"/>
      <c r="D23" s="821"/>
      <c r="E23" s="1464"/>
    </row>
    <row r="24" spans="1:5">
      <c r="A24" s="1392">
        <v>27400</v>
      </c>
      <c r="B24" s="730" t="s">
        <v>2968</v>
      </c>
      <c r="C24" s="2957">
        <f t="array" ref="C24">ROUND(SUM(IF(WPB2.2_iAccount=A24,IF(WPB2_2iCode=$A$15,WPB2.2_iBook))),0)</f>
        <v>0</v>
      </c>
      <c r="D24" s="3245">
        <v>0.49116599999999999</v>
      </c>
      <c r="E24" s="1464">
        <f>ROUND(C24*D24,0)</f>
        <v>0</v>
      </c>
    </row>
    <row r="25" spans="1:5">
      <c r="A25" s="1392">
        <v>27602</v>
      </c>
      <c r="B25" s="3032" t="s">
        <v>2699</v>
      </c>
      <c r="C25" s="2957">
        <f t="array" ref="C25">ROUND(SUM(IF(WPB2.2_iAccount=A25,IF(WPB2_2iCode=$A$35,WPB2.2_iBook))),0)</f>
        <v>4734</v>
      </c>
      <c r="D25" s="3245">
        <f>D18</f>
        <v>0.64200000000000002</v>
      </c>
      <c r="E25" s="3243">
        <f>ROUND(C25*D25,0)</f>
        <v>3039</v>
      </c>
    </row>
    <row r="26" spans="1:5">
      <c r="A26" s="3244">
        <v>27801</v>
      </c>
      <c r="B26" s="1109" t="s">
        <v>1514</v>
      </c>
      <c r="C26" s="2957">
        <f t="array" ref="C26">ROUND(SUM(IF(WPB2.2_iAccount=A26,IF(WPB2_2iCode=$A$15,WPB2.2_iBook))),0)</f>
        <v>16730</v>
      </c>
      <c r="D26" s="821">
        <f>D18</f>
        <v>0.64200000000000002</v>
      </c>
      <c r="E26" s="1464">
        <f>ROUND(C26*D26,0)</f>
        <v>10741</v>
      </c>
    </row>
    <row r="27" spans="1:5">
      <c r="C27" s="2957"/>
      <c r="D27" s="821"/>
      <c r="E27" s="1464"/>
    </row>
    <row r="28" spans="1:5">
      <c r="B28" s="3378" t="s">
        <v>1358</v>
      </c>
      <c r="C28" s="2957"/>
      <c r="D28" s="821"/>
      <c r="E28" s="1464"/>
    </row>
    <row r="29" spans="1:5">
      <c r="A29" s="3244">
        <f>AE276</f>
        <v>29100</v>
      </c>
      <c r="B29" s="1109" t="s">
        <v>1395</v>
      </c>
      <c r="C29" s="2957">
        <f t="array" ref="C29">ROUND(SUM(IF(WPB2.2_iAccount=A29,IF(WPB2_2iCode=$A$15,WPB2.2_iBook))),0)</f>
        <v>13861</v>
      </c>
      <c r="D29" s="821">
        <f>D18</f>
        <v>0.64200000000000002</v>
      </c>
      <c r="E29" s="1464">
        <f>ROUND(C29*D29,0)</f>
        <v>8899</v>
      </c>
    </row>
    <row r="30" spans="1:5">
      <c r="A30" s="3244">
        <v>29400</v>
      </c>
      <c r="B30" s="1109" t="s">
        <v>1396</v>
      </c>
      <c r="C30" s="2957">
        <f t="array" ref="C30">ROUND(SUM(IF(WPB2.2_iAccount=A30,IF(WPB2_2iCode=$A$15,WPB2.2_iBook))),0)</f>
        <v>33064</v>
      </c>
      <c r="D30" s="3384">
        <f>D29</f>
        <v>0.64200000000000002</v>
      </c>
      <c r="E30" s="3243">
        <f>ROUND(C30*D30,0)</f>
        <v>21227</v>
      </c>
    </row>
    <row r="31" spans="1:5">
      <c r="A31" s="3244">
        <v>29700</v>
      </c>
      <c r="B31" s="1109" t="s">
        <v>1080</v>
      </c>
      <c r="C31" s="3242">
        <f t="array" ref="C31">ROUND(SUM(IF(WPB2.2_iAccount=A31,IF(WPB2_2iCode=$A$15,WPB2.2_iBook))),0)</f>
        <v>370</v>
      </c>
      <c r="D31" s="821">
        <f>D29</f>
        <v>0.64200000000000002</v>
      </c>
      <c r="E31" s="3385">
        <f>ROUND(C31*D31,0)</f>
        <v>238</v>
      </c>
    </row>
    <row r="32" spans="1:5">
      <c r="C32" s="2957"/>
      <c r="D32" s="821"/>
      <c r="E32" s="1464"/>
    </row>
    <row r="33" spans="1:5">
      <c r="B33" s="1109" t="s">
        <v>1515</v>
      </c>
      <c r="C33" s="2957">
        <f>SUM(C18:C32)</f>
        <v>7888891</v>
      </c>
      <c r="D33" s="821"/>
      <c r="E33" s="1464">
        <f>SUM(E18:E32)</f>
        <v>5064668</v>
      </c>
    </row>
    <row r="34" spans="1:5">
      <c r="C34" s="3386"/>
      <c r="D34" s="821"/>
      <c r="E34" s="3382"/>
    </row>
    <row r="35" spans="1:5">
      <c r="A35" s="3379" t="s">
        <v>1516</v>
      </c>
      <c r="B35" s="3380"/>
      <c r="C35" s="3387"/>
      <c r="D35" s="3388"/>
      <c r="E35" s="3381"/>
    </row>
    <row r="36" spans="1:5">
      <c r="C36" s="3386"/>
      <c r="D36" s="821"/>
      <c r="E36" s="3382"/>
    </row>
    <row r="37" spans="1:5">
      <c r="B37" s="3378" t="s">
        <v>965</v>
      </c>
      <c r="C37" s="3386"/>
      <c r="D37" s="821"/>
      <c r="E37" s="3382"/>
    </row>
    <row r="38" spans="1:5">
      <c r="A38" s="1392">
        <f>AE265</f>
        <v>27401</v>
      </c>
      <c r="B38" s="1109" t="s">
        <v>1156</v>
      </c>
      <c r="C38" s="2957">
        <f t="array" ref="C38">ROUND(SUM(IF(WPB2.2_iAccount=A38,IF(WPB2_2iCode=$A$35,WPB2.2_iBook))),0)</f>
        <v>26951</v>
      </c>
      <c r="D38" s="821">
        <f>D24</f>
        <v>0.49116599999999999</v>
      </c>
      <c r="E38" s="1464">
        <f>ROUND(C38*D38,0)</f>
        <v>13237</v>
      </c>
    </row>
    <row r="39" spans="1:5">
      <c r="A39" s="1392">
        <v>27605</v>
      </c>
      <c r="B39" s="1109" t="s">
        <v>1390</v>
      </c>
      <c r="C39" s="3242">
        <f t="array" ref="C39">ROUND(SUM(IF(WPB2.2_iAccount=A39,IF(WPB2_2iCode=$A$35,WPB2.2_iBook))),0)</f>
        <v>1137679</v>
      </c>
      <c r="D39" s="821">
        <f>D38</f>
        <v>0.49116599999999999</v>
      </c>
      <c r="E39" s="3385">
        <f>ROUND(C39*D39,0)</f>
        <v>558789</v>
      </c>
    </row>
    <row r="40" spans="1:5">
      <c r="C40" s="1464"/>
      <c r="D40" s="821"/>
      <c r="E40" s="1464"/>
    </row>
    <row r="41" spans="1:5">
      <c r="B41" s="1109" t="s">
        <v>1515</v>
      </c>
      <c r="C41" s="1464">
        <f>SUM(C38:C40)</f>
        <v>1164630</v>
      </c>
      <c r="D41" s="821"/>
      <c r="E41" s="1464">
        <f>SUM(E38:E40)</f>
        <v>572026</v>
      </c>
    </row>
    <row r="42" spans="1:5">
      <c r="D42" s="821"/>
      <c r="E42" s="3382"/>
    </row>
    <row r="43" spans="1:5">
      <c r="D43" s="821"/>
      <c r="E43" s="3382"/>
    </row>
    <row r="44" spans="1:5">
      <c r="D44" s="821"/>
      <c r="E44" s="3382"/>
    </row>
    <row r="45" spans="1:5">
      <c r="D45" s="821"/>
      <c r="E45" s="3382"/>
    </row>
    <row r="46" spans="1:5">
      <c r="A46" s="3246" t="s">
        <v>1517</v>
      </c>
      <c r="D46" s="821"/>
      <c r="E46" s="3382"/>
    </row>
    <row r="47" spans="1:5">
      <c r="A47" s="3246" t="s">
        <v>1518</v>
      </c>
      <c r="D47" s="821"/>
      <c r="E47" s="3382"/>
    </row>
    <row r="48" spans="1:5">
      <c r="A48" s="3246"/>
      <c r="D48" s="821"/>
      <c r="E48" s="3382"/>
    </row>
    <row r="49" spans="1:11">
      <c r="D49" s="821"/>
      <c r="E49" s="3382"/>
    </row>
    <row r="50" spans="1:11">
      <c r="D50" s="821"/>
      <c r="E50" s="3382"/>
    </row>
    <row r="51" spans="1:11">
      <c r="D51" s="821"/>
      <c r="E51" s="3382"/>
    </row>
    <row r="52" spans="1:11">
      <c r="D52" s="821"/>
      <c r="E52" s="3382"/>
    </row>
    <row r="53" spans="1:11">
      <c r="D53" s="821"/>
      <c r="E53" s="3382"/>
    </row>
    <row r="54" spans="1:11">
      <c r="D54" s="821"/>
      <c r="E54" s="3382"/>
    </row>
    <row r="55" spans="1:11">
      <c r="A55" s="1109" t="s">
        <v>719</v>
      </c>
      <c r="D55" s="821"/>
      <c r="E55" s="3389"/>
    </row>
    <row r="56" spans="1:11">
      <c r="A56" s="1109" t="s">
        <v>1519</v>
      </c>
      <c r="D56" s="821"/>
      <c r="E56" s="3389"/>
    </row>
    <row r="57" spans="1:11">
      <c r="D57" s="821"/>
      <c r="E57" s="3389"/>
    </row>
    <row r="58" spans="1:11">
      <c r="D58" s="821"/>
      <c r="E58" s="3389"/>
      <c r="K58" s="1109" t="s">
        <v>1677</v>
      </c>
    </row>
    <row r="59" spans="1:11">
      <c r="D59" s="821"/>
      <c r="E59" s="3389"/>
      <c r="K59" s="1109" t="s">
        <v>566</v>
      </c>
    </row>
    <row r="60" spans="1:11">
      <c r="D60" s="821"/>
      <c r="E60" s="3389"/>
      <c r="K60" s="1109" t="str">
        <f>E3</f>
        <v>R. H. PRATT / C. S. LEE</v>
      </c>
    </row>
    <row r="61" spans="1:11">
      <c r="D61" s="821"/>
      <c r="E61" s="3389"/>
    </row>
    <row r="62" spans="1:11">
      <c r="D62" s="821"/>
      <c r="E62" s="3389"/>
      <c r="G62" s="3376" t="str">
        <f>COMPANY</f>
        <v>DUKE ENERGY KENTUCKY, INC.</v>
      </c>
      <c r="H62" s="3376"/>
      <c r="I62" s="3376"/>
      <c r="J62" s="3376"/>
      <c r="K62" s="3376"/>
    </row>
    <row r="63" spans="1:11">
      <c r="D63" s="821"/>
      <c r="E63" s="3389"/>
      <c r="G63" s="3376" t="str">
        <f>CASE</f>
        <v>CASE NO. 2018-00261</v>
      </c>
      <c r="H63" s="3376"/>
      <c r="I63" s="3376"/>
      <c r="J63" s="3376"/>
      <c r="K63" s="3376"/>
    </row>
    <row r="64" spans="1:11">
      <c r="D64" s="821"/>
      <c r="E64" s="3389"/>
      <c r="G64" s="3376" t="s">
        <v>1552</v>
      </c>
      <c r="H64" s="3376"/>
      <c r="I64" s="3376"/>
      <c r="J64" s="3376"/>
      <c r="K64" s="3376"/>
    </row>
    <row r="65" spans="4:11">
      <c r="D65" s="821"/>
      <c r="E65" s="3389"/>
      <c r="G65" s="44" t="str">
        <f>"AS OF " &amp;RIGHT(TESTYR,(LEN(TESTYR)-16))</f>
        <v>AS OF NOVEMBER 30, 2018</v>
      </c>
      <c r="H65" s="3376"/>
      <c r="I65" s="3376"/>
      <c r="J65" s="3376"/>
      <c r="K65" s="3376"/>
    </row>
    <row r="66" spans="4:11">
      <c r="D66" s="821"/>
      <c r="E66" s="3389"/>
      <c r="H66" s="3376"/>
      <c r="I66" s="3390"/>
      <c r="J66" s="3390"/>
      <c r="K66" s="3390"/>
    </row>
    <row r="67" spans="4:11">
      <c r="D67" s="821"/>
      <c r="E67" s="3389"/>
      <c r="K67" s="3377" t="s">
        <v>678</v>
      </c>
    </row>
    <row r="68" spans="4:11">
      <c r="D68" s="821"/>
      <c r="E68" s="3389"/>
      <c r="G68" s="1392" t="s">
        <v>2137</v>
      </c>
      <c r="I68" s="1392" t="s">
        <v>24</v>
      </c>
      <c r="K68" s="1392" t="s">
        <v>2134</v>
      </c>
    </row>
    <row r="69" spans="4:11">
      <c r="D69" s="821"/>
      <c r="E69" s="3389"/>
      <c r="G69" s="1392" t="s">
        <v>1987</v>
      </c>
      <c r="I69" s="1392" t="s">
        <v>1509</v>
      </c>
      <c r="J69" s="1109" t="s">
        <v>2010</v>
      </c>
      <c r="K69" s="1392" t="s">
        <v>1510</v>
      </c>
    </row>
    <row r="70" spans="4:11">
      <c r="D70" s="821"/>
      <c r="E70" s="3389"/>
      <c r="G70" s="3378" t="s">
        <v>148</v>
      </c>
      <c r="H70" s="3378" t="s">
        <v>1406</v>
      </c>
      <c r="I70" s="3378" t="s">
        <v>695</v>
      </c>
      <c r="J70" s="3378" t="s">
        <v>2097</v>
      </c>
      <c r="K70" s="3378" t="s">
        <v>695</v>
      </c>
    </row>
    <row r="71" spans="4:11">
      <c r="D71" s="821"/>
      <c r="E71" s="3389"/>
    </row>
    <row r="72" spans="4:11">
      <c r="D72" s="821"/>
      <c r="E72" s="3389"/>
      <c r="G72" s="3379" t="s">
        <v>124</v>
      </c>
      <c r="H72" s="3380"/>
      <c r="I72" s="3380"/>
      <c r="J72" s="3380"/>
      <c r="K72" s="3391"/>
    </row>
    <row r="73" spans="4:11">
      <c r="D73" s="821"/>
      <c r="E73" s="3389"/>
      <c r="I73" s="3382"/>
      <c r="J73" s="821"/>
      <c r="K73" s="3382"/>
    </row>
    <row r="74" spans="4:11">
      <c r="D74" s="821"/>
      <c r="E74" s="3389"/>
      <c r="H74" s="3378" t="s">
        <v>965</v>
      </c>
      <c r="I74" s="3382"/>
      <c r="J74" s="821"/>
      <c r="K74" s="3382"/>
    </row>
    <row r="75" spans="4:11">
      <c r="D75" s="821"/>
      <c r="E75" s="3389"/>
      <c r="G75" s="1392">
        <f>AE264</f>
        <v>27400</v>
      </c>
      <c r="H75" s="1109" t="s">
        <v>31</v>
      </c>
      <c r="I75" s="2957">
        <f t="array" ref="I75">ROUND(SUM(IF(WPB2.2_iAccount=G75,IF(WPB2_2iCode=$G$72,WPB2.2_iBook))),0)</f>
        <v>0</v>
      </c>
      <c r="J75" s="821">
        <v>1</v>
      </c>
      <c r="K75" s="1464">
        <f>ROUND(I75*J75,0)</f>
        <v>0</v>
      </c>
    </row>
    <row r="76" spans="4:11">
      <c r="D76" s="821"/>
      <c r="E76" s="3389"/>
      <c r="G76" s="1392">
        <v>27605</v>
      </c>
      <c r="H76" s="1109" t="s">
        <v>1390</v>
      </c>
      <c r="I76" s="2957">
        <f t="array" ref="I76">ROUND(SUM(IF(WPB2.2_iAccount=G76,IF(WPB2_2iCode=$G$72,WPB2.2_iBook))),0)</f>
        <v>0</v>
      </c>
      <c r="J76" s="3392">
        <f>J75</f>
        <v>1</v>
      </c>
      <c r="K76" s="3393">
        <f>ROUND(I76*J76,0)</f>
        <v>0</v>
      </c>
    </row>
    <row r="77" spans="4:11">
      <c r="D77" s="821"/>
      <c r="E77" s="3389"/>
      <c r="I77" s="3243"/>
      <c r="J77" s="3394"/>
      <c r="K77" s="3393"/>
    </row>
    <row r="78" spans="4:11">
      <c r="D78" s="821"/>
      <c r="E78" s="3389"/>
      <c r="H78" s="3378" t="s">
        <v>1358</v>
      </c>
      <c r="I78" s="2957"/>
      <c r="J78" s="821"/>
      <c r="K78" s="1464"/>
    </row>
    <row r="79" spans="4:11">
      <c r="D79" s="821"/>
      <c r="E79" s="3389"/>
      <c r="G79" s="1392">
        <f>AE279</f>
        <v>29800</v>
      </c>
      <c r="H79" s="1109" t="s">
        <v>1116</v>
      </c>
      <c r="I79" s="3242">
        <f t="array" ref="I79">ROUND(SUM(IF(WPB2.2_iAccount=G79,IF(WPB2_2iCode=$G$72,WPB2.2_iBook))),0)</f>
        <v>0</v>
      </c>
      <c r="J79" s="821">
        <f>J75</f>
        <v>1</v>
      </c>
      <c r="K79" s="3385">
        <f>ROUND(I79*J79,0)</f>
        <v>0</v>
      </c>
    </row>
    <row r="80" spans="4:11">
      <c r="D80" s="821"/>
      <c r="E80" s="3389"/>
      <c r="I80" s="2957"/>
      <c r="K80" s="1464"/>
    </row>
    <row r="81" spans="4:11">
      <c r="D81" s="821"/>
      <c r="E81" s="3389"/>
      <c r="H81" s="1109" t="s">
        <v>778</v>
      </c>
      <c r="I81" s="2957">
        <f>SUM(I75:I80)</f>
        <v>0</v>
      </c>
      <c r="K81" s="1464">
        <f>SUM(K75:K80)</f>
        <v>0</v>
      </c>
    </row>
    <row r="82" spans="4:11">
      <c r="D82" s="821"/>
      <c r="E82" s="3389"/>
      <c r="I82" s="2957"/>
      <c r="K82" s="1464"/>
    </row>
    <row r="83" spans="4:11">
      <c r="D83" s="821"/>
      <c r="E83" s="3389"/>
      <c r="G83" s="3379" t="s">
        <v>125</v>
      </c>
      <c r="H83" s="3380"/>
      <c r="I83" s="3395"/>
      <c r="J83" s="3380"/>
      <c r="K83" s="3396"/>
    </row>
    <row r="84" spans="4:11">
      <c r="D84" s="821"/>
      <c r="E84" s="3389"/>
      <c r="I84" s="2957"/>
      <c r="J84" s="821"/>
      <c r="K84" s="1464"/>
    </row>
    <row r="85" spans="4:11">
      <c r="D85" s="821"/>
      <c r="E85" s="3389"/>
      <c r="H85" s="3378" t="s">
        <v>965</v>
      </c>
      <c r="I85" s="2957"/>
      <c r="J85" s="821"/>
      <c r="K85" s="1464"/>
    </row>
    <row r="86" spans="4:11">
      <c r="D86" s="821"/>
      <c r="E86" s="3389"/>
      <c r="G86" s="1392">
        <f>AE264</f>
        <v>27400</v>
      </c>
      <c r="H86" s="1109" t="s">
        <v>31</v>
      </c>
      <c r="I86" s="1464">
        <f t="array" ref="I86">ROUND(SUM(IF(WPB2.2_iAccount=G86,IF(WPB2_2iCode=$G$83,WPB2.2_iBook))),0)</f>
        <v>3315</v>
      </c>
      <c r="J86" s="821">
        <f>'WPB-2.2a-f - Base'!D38</f>
        <v>0.49116599999999999</v>
      </c>
      <c r="K86" s="1464">
        <f>ROUND(I86*J86,0)</f>
        <v>1628</v>
      </c>
    </row>
    <row r="87" spans="4:11">
      <c r="D87" s="821"/>
      <c r="E87" s="3389"/>
      <c r="G87" s="1392">
        <f>AE265</f>
        <v>27401</v>
      </c>
      <c r="H87" s="1109" t="s">
        <v>1156</v>
      </c>
      <c r="I87" s="1464">
        <f t="array" ref="I87">ROUND(SUM(IF(WPB2.2_iAccount=G87,IF(WPB2_2iCode=$G$83,WPB2.2_iBook))),0)</f>
        <v>21371</v>
      </c>
      <c r="J87" s="821">
        <f>J86</f>
        <v>0.49116599999999999</v>
      </c>
      <c r="K87" s="1464">
        <f>ROUND(I87*J87,0)</f>
        <v>10497</v>
      </c>
    </row>
    <row r="88" spans="4:11">
      <c r="D88" s="821"/>
      <c r="E88" s="3389"/>
      <c r="G88" s="1392">
        <v>27602</v>
      </c>
      <c r="H88" s="3383" t="s">
        <v>2699</v>
      </c>
      <c r="I88" s="3243">
        <f t="array" ref="I88">ROUND(SUM(IF(WPB2.2_iAccount=G88,IF(WPB2_2iCode=$G$83,WPB2.2_iBook))),0)</f>
        <v>606523</v>
      </c>
      <c r="J88" s="3397">
        <f>J86</f>
        <v>0.49116599999999999</v>
      </c>
      <c r="K88" s="3243">
        <f>ROUND(I88*J88,0)</f>
        <v>297903</v>
      </c>
    </row>
    <row r="89" spans="4:11">
      <c r="D89" s="821"/>
      <c r="E89" s="3389"/>
      <c r="G89" s="1392">
        <v>27605</v>
      </c>
      <c r="H89" s="1109" t="s">
        <v>1390</v>
      </c>
      <c r="I89" s="3385">
        <f t="array" ref="I89">ROUND(SUM(IF(WPB2.2_iAccount=G89,IF(WPB2_2iCode=$G$83,WPB2.2_iBook))),0)</f>
        <v>2296299</v>
      </c>
      <c r="J89" s="3392">
        <f>J86</f>
        <v>0.49116599999999999</v>
      </c>
      <c r="K89" s="3385">
        <f>ROUND(I89*J89,0)</f>
        <v>1127864</v>
      </c>
    </row>
    <row r="90" spans="4:11">
      <c r="D90" s="821"/>
      <c r="E90" s="3389"/>
      <c r="I90" s="1464"/>
      <c r="K90" s="1464"/>
    </row>
    <row r="91" spans="4:11">
      <c r="D91" s="821"/>
      <c r="E91" s="3389"/>
      <c r="H91" s="1109" t="s">
        <v>778</v>
      </c>
      <c r="I91" s="1464">
        <f>SUM(I86:I90)</f>
        <v>2927508</v>
      </c>
      <c r="K91" s="1464">
        <f>SUM(K86:K90)</f>
        <v>1437892</v>
      </c>
    </row>
    <row r="92" spans="4:11">
      <c r="D92" s="821"/>
      <c r="E92" s="3389"/>
    </row>
    <row r="93" spans="4:11">
      <c r="D93" s="821"/>
      <c r="E93" s="3389"/>
    </row>
    <row r="94" spans="4:11">
      <c r="D94" s="821"/>
      <c r="E94" s="3389"/>
      <c r="G94" s="3246" t="s">
        <v>34</v>
      </c>
    </row>
    <row r="95" spans="4:11">
      <c r="D95" s="821"/>
      <c r="E95" s="3389"/>
      <c r="G95" s="3246" t="s">
        <v>1518</v>
      </c>
    </row>
    <row r="96" spans="4:11">
      <c r="D96" s="821"/>
      <c r="E96" s="3389"/>
    </row>
    <row r="97" spans="4:18">
      <c r="D97" s="821"/>
      <c r="E97" s="3389"/>
    </row>
    <row r="98" spans="4:18">
      <c r="D98" s="821"/>
      <c r="E98" s="3389"/>
    </row>
    <row r="99" spans="4:18">
      <c r="D99" s="821"/>
      <c r="E99" s="3389"/>
      <c r="Q99" s="1391" t="s">
        <v>35</v>
      </c>
    </row>
    <row r="100" spans="4:18">
      <c r="D100" s="821"/>
      <c r="E100" s="3389"/>
      <c r="Q100" s="1391" t="s">
        <v>566</v>
      </c>
    </row>
    <row r="101" spans="4:18">
      <c r="D101" s="821"/>
      <c r="E101" s="3389"/>
      <c r="Q101" s="1391" t="str">
        <f>E3</f>
        <v>R. H. PRATT / C. S. LEE</v>
      </c>
    </row>
    <row r="102" spans="4:18">
      <c r="D102" s="821"/>
      <c r="E102" s="3389"/>
    </row>
    <row r="103" spans="4:18">
      <c r="D103" s="821"/>
      <c r="E103" s="3389"/>
      <c r="M103" s="3376" t="str">
        <f>COMPANY</f>
        <v>DUKE ENERGY KENTUCKY, INC.</v>
      </c>
      <c r="N103" s="3376"/>
      <c r="O103" s="3376"/>
      <c r="P103" s="3376"/>
      <c r="Q103" s="3376"/>
    </row>
    <row r="104" spans="4:18">
      <c r="D104" s="821"/>
      <c r="E104" s="3389"/>
      <c r="M104" s="3376" t="str">
        <f>CASE</f>
        <v>CASE NO. 2018-00261</v>
      </c>
      <c r="N104" s="3376"/>
      <c r="O104" s="3376"/>
      <c r="P104" s="3376"/>
      <c r="Q104" s="3376"/>
      <c r="R104" s="3398"/>
    </row>
    <row r="105" spans="4:18">
      <c r="D105" s="821"/>
      <c r="E105" s="3389"/>
      <c r="M105" s="3376" t="s">
        <v>1552</v>
      </c>
      <c r="N105" s="3376"/>
      <c r="O105" s="3376"/>
      <c r="P105" s="3376"/>
      <c r="Q105" s="3376"/>
      <c r="R105" s="3398"/>
    </row>
    <row r="106" spans="4:18">
      <c r="D106" s="821"/>
      <c r="E106" s="3389"/>
      <c r="M106" s="44" t="str">
        <f>"AS OF " &amp;RIGHT(TESTYR,(LEN(TESTYR)-16))</f>
        <v>AS OF NOVEMBER 30, 2018</v>
      </c>
      <c r="N106" s="3376"/>
      <c r="O106" s="3376"/>
      <c r="P106" s="3376"/>
      <c r="Q106" s="3376"/>
      <c r="R106" s="3398"/>
    </row>
    <row r="107" spans="4:18">
      <c r="D107" s="821"/>
      <c r="E107" s="3389"/>
    </row>
    <row r="108" spans="4:18">
      <c r="D108" s="821"/>
      <c r="E108" s="3389"/>
      <c r="Q108" s="3377" t="s">
        <v>678</v>
      </c>
    </row>
    <row r="109" spans="4:18">
      <c r="D109" s="821"/>
      <c r="E109" s="3389"/>
      <c r="M109" s="1392" t="s">
        <v>2137</v>
      </c>
      <c r="O109" s="1392" t="s">
        <v>24</v>
      </c>
      <c r="Q109" s="1392" t="s">
        <v>2134</v>
      </c>
    </row>
    <row r="110" spans="4:18">
      <c r="D110" s="821"/>
      <c r="E110" s="3389"/>
      <c r="M110" s="1392" t="s">
        <v>1987</v>
      </c>
      <c r="O110" s="1392" t="s">
        <v>1509</v>
      </c>
      <c r="P110" s="1109" t="s">
        <v>2010</v>
      </c>
      <c r="Q110" s="1392" t="s">
        <v>1510</v>
      </c>
    </row>
    <row r="111" spans="4:18">
      <c r="D111" s="821"/>
      <c r="E111" s="3389"/>
      <c r="M111" s="3378" t="s">
        <v>148</v>
      </c>
      <c r="N111" s="3378" t="s">
        <v>1406</v>
      </c>
      <c r="O111" s="3378" t="s">
        <v>695</v>
      </c>
      <c r="P111" s="3378" t="s">
        <v>2097</v>
      </c>
      <c r="Q111" s="3378" t="s">
        <v>695</v>
      </c>
    </row>
    <row r="112" spans="4:18">
      <c r="D112" s="821"/>
      <c r="E112" s="3389"/>
    </row>
    <row r="113" spans="4:17">
      <c r="D113" s="821"/>
      <c r="E113" s="3389"/>
      <c r="M113" s="3379" t="s">
        <v>36</v>
      </c>
      <c r="N113" s="3380"/>
      <c r="O113" s="3380"/>
      <c r="P113" s="3380"/>
      <c r="Q113" s="3391"/>
    </row>
    <row r="114" spans="4:17">
      <c r="D114" s="821"/>
      <c r="E114" s="3389"/>
      <c r="O114" s="3382"/>
      <c r="P114" s="821"/>
      <c r="Q114" s="3382"/>
    </row>
    <row r="115" spans="4:17">
      <c r="D115" s="821"/>
      <c r="E115" s="3389"/>
      <c r="N115" s="3378" t="s">
        <v>965</v>
      </c>
      <c r="O115" s="3382"/>
      <c r="P115" s="821"/>
      <c r="Q115" s="3382"/>
    </row>
    <row r="116" spans="4:17">
      <c r="D116" s="821"/>
      <c r="E116" s="3389"/>
      <c r="M116" s="1392">
        <v>27605</v>
      </c>
      <c r="N116" s="1109" t="s">
        <v>1390</v>
      </c>
      <c r="O116" s="1464">
        <f t="array" ref="O116">ROUND(SUM(IF(WPB2.2_iAccount=M116,IF(WPB2_2iCode=$M$113,WPB2.2_iBook))),0)</f>
        <v>561888</v>
      </c>
      <c r="P116" s="3392">
        <v>1</v>
      </c>
      <c r="Q116" s="3393">
        <f>ROUND(O116*P116,0)</f>
        <v>561888</v>
      </c>
    </row>
    <row r="117" spans="4:17">
      <c r="D117" s="821"/>
      <c r="E117" s="3389"/>
      <c r="O117" s="3243"/>
      <c r="P117" s="3394"/>
      <c r="Q117" s="3393"/>
    </row>
    <row r="118" spans="4:17">
      <c r="D118" s="821"/>
      <c r="E118" s="3389"/>
      <c r="N118" s="3378" t="s">
        <v>1358</v>
      </c>
      <c r="O118" s="2957"/>
      <c r="P118" s="821"/>
      <c r="Q118" s="1464"/>
    </row>
    <row r="119" spans="4:17">
      <c r="D119" s="821"/>
      <c r="E119" s="3389"/>
      <c r="M119" s="1392">
        <f>AE279</f>
        <v>29800</v>
      </c>
      <c r="N119" s="1109" t="s">
        <v>1116</v>
      </c>
      <c r="O119" s="3242">
        <f t="array" ref="O119">ROUND(SUM(IF(WPB2.2_iAccount=M119,IF(WPB2_2iCode=$M$113,WPB2.2_iBook))),0)</f>
        <v>41786</v>
      </c>
      <c r="P119" s="821">
        <f>P116</f>
        <v>1</v>
      </c>
      <c r="Q119" s="3385">
        <f>ROUND(O119*P119,0)</f>
        <v>41786</v>
      </c>
    </row>
    <row r="120" spans="4:17">
      <c r="D120" s="821"/>
      <c r="E120" s="3389"/>
      <c r="O120" s="2957"/>
      <c r="Q120" s="1464"/>
    </row>
    <row r="121" spans="4:17">
      <c r="D121" s="821"/>
      <c r="E121" s="3389"/>
      <c r="N121" s="1109" t="s">
        <v>778</v>
      </c>
      <c r="O121" s="2957">
        <f>SUM(O116:O120)</f>
        <v>603674</v>
      </c>
      <c r="Q121" s="1464">
        <f>SUM(Q116:Q120)</f>
        <v>603674</v>
      </c>
    </row>
    <row r="122" spans="4:17">
      <c r="D122" s="821"/>
      <c r="E122" s="3389"/>
      <c r="O122" s="2957"/>
      <c r="Q122" s="1464"/>
    </row>
    <row r="123" spans="4:17">
      <c r="D123" s="821"/>
      <c r="E123" s="3389"/>
      <c r="M123" s="3379" t="s">
        <v>37</v>
      </c>
      <c r="N123" s="3380"/>
      <c r="O123" s="3395"/>
      <c r="P123" s="3380"/>
      <c r="Q123" s="3396"/>
    </row>
    <row r="124" spans="4:17">
      <c r="D124" s="821"/>
      <c r="E124" s="3389"/>
      <c r="O124" s="2957"/>
      <c r="P124" s="821"/>
      <c r="Q124" s="1464"/>
    </row>
    <row r="125" spans="4:17">
      <c r="D125" s="821"/>
      <c r="E125" s="3389"/>
      <c r="N125" s="3378" t="s">
        <v>965</v>
      </c>
      <c r="O125" s="2957"/>
      <c r="P125" s="821"/>
      <c r="Q125" s="1464"/>
    </row>
    <row r="126" spans="4:17">
      <c r="D126" s="821"/>
      <c r="E126" s="3389"/>
      <c r="M126" s="1392">
        <f>AE265</f>
        <v>27401</v>
      </c>
      <c r="N126" s="1109" t="s">
        <v>1156</v>
      </c>
      <c r="O126" s="1464">
        <f t="array" ref="O126">ROUND(SUM(IF(WPB2.2_iAccount=M126,IF(WPB2_2iCode=$M$123,WPB2.2_iBook))),0)</f>
        <v>120800</v>
      </c>
      <c r="P126" s="821">
        <f>'WPB-2.2a-f - Base'!J86</f>
        <v>0.49116599999999999</v>
      </c>
      <c r="Q126" s="1464">
        <f>ROUND(O126*P126,0)</f>
        <v>59333</v>
      </c>
    </row>
    <row r="127" spans="4:17">
      <c r="D127" s="821"/>
      <c r="E127" s="3389"/>
      <c r="M127" s="1392">
        <v>27605</v>
      </c>
      <c r="N127" s="1109" t="s">
        <v>1390</v>
      </c>
      <c r="O127" s="3242">
        <f t="array" ref="O127">ROUND(SUM(IF(WPB2.2_iAccount=M127,IF(WPB2_2iCode=$M$123,WPB2.2_iBook))),0)</f>
        <v>1614155</v>
      </c>
      <c r="P127" s="3392">
        <f>P126</f>
        <v>0.49116599999999999</v>
      </c>
      <c r="Q127" s="3385">
        <f>ROUND(O127*P127,0)</f>
        <v>792818</v>
      </c>
    </row>
    <row r="128" spans="4:17">
      <c r="D128" s="821"/>
      <c r="E128" s="3389"/>
      <c r="O128" s="2957"/>
      <c r="Q128" s="1464"/>
    </row>
    <row r="129" spans="4:23">
      <c r="D129" s="821"/>
      <c r="E129" s="3389"/>
      <c r="N129" s="1109" t="s">
        <v>778</v>
      </c>
      <c r="O129" s="1464">
        <f>SUM(O126:O128)</f>
        <v>1734955</v>
      </c>
      <c r="Q129" s="1464">
        <f>SUM(Q126:Q128)</f>
        <v>852151</v>
      </c>
    </row>
    <row r="130" spans="4:23">
      <c r="D130" s="821"/>
      <c r="E130" s="3389"/>
    </row>
    <row r="131" spans="4:23">
      <c r="D131" s="821"/>
      <c r="E131" s="3389"/>
    </row>
    <row r="132" spans="4:23">
      <c r="D132" s="821"/>
      <c r="E132" s="3389"/>
      <c r="M132" s="3246" t="s">
        <v>34</v>
      </c>
    </row>
    <row r="133" spans="4:23">
      <c r="D133" s="821"/>
      <c r="E133" s="3389"/>
      <c r="M133" s="3246" t="s">
        <v>1518</v>
      </c>
    </row>
    <row r="134" spans="4:23">
      <c r="D134" s="821"/>
      <c r="E134" s="3389"/>
    </row>
    <row r="135" spans="4:23">
      <c r="D135" s="821"/>
      <c r="E135" s="3389"/>
    </row>
    <row r="136" spans="4:23">
      <c r="D136" s="821"/>
      <c r="E136" s="3389"/>
    </row>
    <row r="137" spans="4:23">
      <c r="D137" s="821"/>
      <c r="E137" s="3389"/>
    </row>
    <row r="138" spans="4:23">
      <c r="D138" s="821"/>
      <c r="E138" s="3389"/>
    </row>
    <row r="139" spans="4:23">
      <c r="D139" s="821"/>
      <c r="E139" s="3389"/>
    </row>
    <row r="140" spans="4:23">
      <c r="D140" s="821"/>
      <c r="E140" s="3389"/>
    </row>
    <row r="141" spans="4:23">
      <c r="D141" s="821"/>
      <c r="E141" s="3389"/>
    </row>
    <row r="142" spans="4:23">
      <c r="D142" s="821"/>
      <c r="E142" s="3389"/>
    </row>
    <row r="143" spans="4:23">
      <c r="D143" s="821"/>
      <c r="E143" s="3389"/>
      <c r="W143" s="1109" t="s">
        <v>38</v>
      </c>
    </row>
    <row r="144" spans="4:23">
      <c r="D144" s="821"/>
      <c r="E144" s="3389"/>
      <c r="W144" s="1109" t="s">
        <v>566</v>
      </c>
    </row>
    <row r="145" spans="4:23">
      <c r="D145" s="821"/>
      <c r="E145" s="3389"/>
      <c r="W145" s="1109" t="str">
        <f>E3</f>
        <v>R. H. PRATT / C. S. LEE</v>
      </c>
    </row>
    <row r="146" spans="4:23">
      <c r="D146" s="821"/>
      <c r="E146" s="3389"/>
    </row>
    <row r="147" spans="4:23">
      <c r="D147" s="821"/>
      <c r="E147" s="3389"/>
      <c r="S147" s="3376" t="str">
        <f>COMPANY</f>
        <v>DUKE ENERGY KENTUCKY, INC.</v>
      </c>
      <c r="T147" s="3376"/>
      <c r="U147" s="3376"/>
      <c r="V147" s="3376"/>
      <c r="W147" s="3376"/>
    </row>
    <row r="148" spans="4:23">
      <c r="D148" s="821"/>
      <c r="E148" s="3389"/>
      <c r="S148" s="3376" t="str">
        <f>CASE</f>
        <v>CASE NO. 2018-00261</v>
      </c>
      <c r="T148" s="3376"/>
      <c r="U148" s="3376"/>
      <c r="V148" s="3376"/>
      <c r="W148" s="3376"/>
    </row>
    <row r="149" spans="4:23">
      <c r="D149" s="821"/>
      <c r="E149" s="3389"/>
      <c r="S149" s="3376" t="s">
        <v>1552</v>
      </c>
      <c r="T149" s="3376"/>
      <c r="U149" s="3376"/>
      <c r="V149" s="3376"/>
      <c r="W149" s="3376"/>
    </row>
    <row r="150" spans="4:23">
      <c r="D150" s="821"/>
      <c r="E150" s="3389"/>
      <c r="S150" s="44" t="str">
        <f>"AS OF " &amp;RIGHT(TESTYR,(LEN(TESTYR)-16))</f>
        <v>AS OF NOVEMBER 30, 2018</v>
      </c>
      <c r="T150" s="3376"/>
      <c r="U150" s="3376"/>
      <c r="V150" s="3376"/>
      <c r="W150" s="3376"/>
    </row>
    <row r="151" spans="4:23">
      <c r="D151" s="821"/>
      <c r="E151" s="3389"/>
    </row>
    <row r="152" spans="4:23">
      <c r="D152" s="821"/>
      <c r="E152" s="3389"/>
      <c r="W152" s="3377" t="s">
        <v>678</v>
      </c>
    </row>
    <row r="153" spans="4:23">
      <c r="D153" s="821"/>
      <c r="E153" s="3389"/>
      <c r="S153" s="1392" t="s">
        <v>2137</v>
      </c>
      <c r="U153" s="1392" t="s">
        <v>24</v>
      </c>
      <c r="W153" s="1392" t="s">
        <v>2134</v>
      </c>
    </row>
    <row r="154" spans="4:23">
      <c r="D154" s="821"/>
      <c r="E154" s="3389"/>
      <c r="S154" s="1392" t="s">
        <v>1987</v>
      </c>
      <c r="U154" s="1392" t="s">
        <v>1509</v>
      </c>
      <c r="V154" s="1109" t="s">
        <v>2010</v>
      </c>
      <c r="W154" s="1392" t="s">
        <v>1510</v>
      </c>
    </row>
    <row r="155" spans="4:23">
      <c r="D155" s="821"/>
      <c r="E155" s="3389"/>
      <c r="S155" s="3378" t="s">
        <v>148</v>
      </c>
      <c r="T155" s="3378" t="s">
        <v>1406</v>
      </c>
      <c r="U155" s="3378" t="s">
        <v>695</v>
      </c>
      <c r="V155" s="3378" t="s">
        <v>2097</v>
      </c>
      <c r="W155" s="3378" t="s">
        <v>695</v>
      </c>
    </row>
    <row r="156" spans="4:23">
      <c r="D156" s="821"/>
      <c r="E156" s="3389"/>
    </row>
    <row r="157" spans="4:23">
      <c r="D157" s="821"/>
      <c r="E157" s="3389"/>
      <c r="S157" s="3379" t="s">
        <v>39</v>
      </c>
      <c r="T157" s="3380"/>
      <c r="U157" s="3380"/>
      <c r="V157" s="3380"/>
      <c r="W157" s="3391"/>
    </row>
    <row r="158" spans="4:23">
      <c r="D158" s="821"/>
      <c r="E158" s="3389"/>
      <c r="U158" s="3382"/>
      <c r="V158" s="821"/>
      <c r="W158" s="3382"/>
    </row>
    <row r="159" spans="4:23">
      <c r="D159" s="821"/>
      <c r="E159" s="3389"/>
      <c r="T159" s="3378" t="s">
        <v>965</v>
      </c>
      <c r="U159" s="3382"/>
      <c r="V159" s="821"/>
      <c r="W159" s="3382"/>
    </row>
    <row r="160" spans="4:23">
      <c r="D160" s="821"/>
      <c r="E160" s="3389"/>
      <c r="S160" s="1392">
        <v>27605</v>
      </c>
      <c r="T160" s="1109" t="s">
        <v>1390</v>
      </c>
      <c r="U160" s="1464">
        <f t="array" ref="U160">ROUND(SUM(IF(WPB2.2_iAccount=S160,IF(WPB2_2iCode=$S$157,WPB2.2_iBook))),0)</f>
        <v>231295</v>
      </c>
      <c r="V160" s="3392">
        <v>1</v>
      </c>
      <c r="W160" s="3393">
        <f>ROUND(U160*V160,0)</f>
        <v>231295</v>
      </c>
    </row>
    <row r="161" spans="4:23">
      <c r="D161" s="821"/>
      <c r="E161" s="3389"/>
      <c r="U161" s="3243"/>
      <c r="V161" s="3394"/>
      <c r="W161" s="3393"/>
    </row>
    <row r="162" spans="4:23">
      <c r="D162" s="821"/>
      <c r="E162" s="3389"/>
      <c r="T162" s="3378" t="s">
        <v>1358</v>
      </c>
      <c r="U162" s="2957"/>
      <c r="V162" s="821"/>
      <c r="W162" s="1464"/>
    </row>
    <row r="163" spans="4:23">
      <c r="D163" s="821"/>
      <c r="E163" s="3389"/>
      <c r="S163" s="1392">
        <f>AE279</f>
        <v>29800</v>
      </c>
      <c r="T163" s="1109" t="s">
        <v>1116</v>
      </c>
      <c r="U163" s="3242">
        <f t="array" ref="U163">ROUND(SUM(IF(WPB2.2_iAccount=S163,IF(WPB2_2iCode=$S$157,WPB2.2_iBook))),0)</f>
        <v>41805</v>
      </c>
      <c r="V163" s="821">
        <f>V160</f>
        <v>1</v>
      </c>
      <c r="W163" s="3385">
        <f>ROUND(U163*V163,0)</f>
        <v>41805</v>
      </c>
    </row>
    <row r="164" spans="4:23">
      <c r="D164" s="821"/>
      <c r="E164" s="3389"/>
      <c r="U164" s="2957"/>
      <c r="W164" s="1464"/>
    </row>
    <row r="165" spans="4:23">
      <c r="D165" s="821"/>
      <c r="E165" s="3389"/>
      <c r="T165" s="1109" t="s">
        <v>778</v>
      </c>
      <c r="U165" s="2957">
        <f>SUM(U160:U164)</f>
        <v>273100</v>
      </c>
      <c r="W165" s="1464">
        <f>SUM(W160:W164)</f>
        <v>273100</v>
      </c>
    </row>
    <row r="166" spans="4:23">
      <c r="D166" s="821"/>
      <c r="E166" s="3389"/>
      <c r="U166" s="2957"/>
      <c r="W166" s="1464"/>
    </row>
    <row r="167" spans="4:23">
      <c r="D167" s="821"/>
      <c r="E167" s="3389"/>
      <c r="S167" s="3379" t="s">
        <v>40</v>
      </c>
      <c r="T167" s="3380"/>
      <c r="U167" s="3395"/>
      <c r="V167" s="3380"/>
      <c r="W167" s="3396"/>
    </row>
    <row r="168" spans="4:23">
      <c r="D168" s="821"/>
      <c r="E168" s="3389"/>
      <c r="U168" s="2957"/>
      <c r="V168" s="821"/>
      <c r="W168" s="1464"/>
    </row>
    <row r="169" spans="4:23">
      <c r="D169" s="821"/>
      <c r="E169" s="3389"/>
      <c r="T169" s="3378" t="s">
        <v>965</v>
      </c>
      <c r="U169" s="2957"/>
      <c r="V169" s="821"/>
      <c r="W169" s="1464"/>
    </row>
    <row r="170" spans="4:23">
      <c r="D170" s="821"/>
      <c r="E170" s="3389"/>
      <c r="S170" s="1392">
        <f>AE265</f>
        <v>27401</v>
      </c>
      <c r="T170" s="1109" t="s">
        <v>1156</v>
      </c>
      <c r="U170" s="1464">
        <f t="array" ref="U170">ROUND(SUM(IF(WPB2.2_iAccount=S170,IF(WPB2_2iCode=$S$167,WPB2.2_iBook))),0)</f>
        <v>113377</v>
      </c>
      <c r="V170" s="821">
        <f>'WPB-2.2a-f - Base'!J86</f>
        <v>0.49116599999999999</v>
      </c>
      <c r="W170" s="1464">
        <f>ROUND(U170*V170,0)</f>
        <v>55687</v>
      </c>
    </row>
    <row r="171" spans="4:23">
      <c r="D171" s="821"/>
      <c r="E171" s="3389"/>
      <c r="S171" s="1392">
        <v>27605</v>
      </c>
      <c r="T171" s="1109" t="s">
        <v>1390</v>
      </c>
      <c r="U171" s="3242">
        <f t="array" ref="U171">ROUND(SUM(IF(WPB2.2_iAccount=S171,IF(WPB2_2iCode=$S$167,WPB2.2_iBook))),0)</f>
        <v>5246058</v>
      </c>
      <c r="V171" s="3392">
        <f>V170</f>
        <v>0.49116599999999999</v>
      </c>
      <c r="W171" s="3385">
        <f>ROUND(U171*V171,0)</f>
        <v>2576685</v>
      </c>
    </row>
    <row r="172" spans="4:23">
      <c r="D172" s="821"/>
      <c r="E172" s="3389"/>
      <c r="U172" s="2957"/>
      <c r="W172" s="1464"/>
    </row>
    <row r="173" spans="4:23">
      <c r="D173" s="821"/>
      <c r="E173" s="3389"/>
      <c r="T173" s="1109" t="s">
        <v>778</v>
      </c>
      <c r="U173" s="1464">
        <f>SUM(U170:U172)</f>
        <v>5359435</v>
      </c>
      <c r="W173" s="1464">
        <f>SUM(W170:W172)</f>
        <v>2632372</v>
      </c>
    </row>
    <row r="174" spans="4:23">
      <c r="D174" s="821"/>
      <c r="E174" s="3389"/>
      <c r="U174" s="1464"/>
      <c r="W174" s="1464"/>
    </row>
    <row r="175" spans="4:23">
      <c r="D175" s="821"/>
      <c r="E175" s="3389"/>
    </row>
    <row r="176" spans="4:23">
      <c r="D176" s="821"/>
      <c r="E176" s="3389"/>
      <c r="S176" s="3399" t="s">
        <v>1517</v>
      </c>
    </row>
    <row r="177" spans="4:30">
      <c r="D177" s="821"/>
      <c r="E177" s="3389"/>
      <c r="S177" s="3246" t="s">
        <v>1518</v>
      </c>
    </row>
    <row r="178" spans="4:30">
      <c r="D178" s="821"/>
      <c r="E178" s="3389"/>
    </row>
    <row r="179" spans="4:30">
      <c r="D179" s="821"/>
      <c r="E179" s="3389"/>
    </row>
    <row r="180" spans="4:30">
      <c r="D180" s="821"/>
      <c r="E180" s="3389"/>
    </row>
    <row r="181" spans="4:30">
      <c r="D181" s="821"/>
      <c r="E181" s="3389"/>
    </row>
    <row r="182" spans="4:30">
      <c r="D182" s="821"/>
      <c r="E182" s="3389"/>
    </row>
    <row r="183" spans="4:30">
      <c r="D183" s="821"/>
      <c r="E183" s="3389"/>
    </row>
    <row r="184" spans="4:30">
      <c r="D184" s="821"/>
      <c r="E184" s="3389"/>
    </row>
    <row r="185" spans="4:30">
      <c r="D185" s="821"/>
      <c r="E185" s="3389"/>
      <c r="Y185" s="1392"/>
      <c r="AC185" s="1109" t="s">
        <v>41</v>
      </c>
    </row>
    <row r="186" spans="4:30">
      <c r="D186" s="821"/>
      <c r="E186" s="3389"/>
      <c r="Y186" s="1392"/>
      <c r="AC186" s="1109" t="s">
        <v>566</v>
      </c>
    </row>
    <row r="187" spans="4:30">
      <c r="D187" s="821"/>
      <c r="E187" s="3389"/>
      <c r="Y187" s="1392"/>
      <c r="AC187" s="1109" t="str">
        <f>E3</f>
        <v>R. H. PRATT / C. S. LEE</v>
      </c>
    </row>
    <row r="188" spans="4:30">
      <c r="D188" s="821"/>
      <c r="E188" s="3389"/>
      <c r="Y188" s="1392"/>
    </row>
    <row r="189" spans="4:30">
      <c r="D189" s="821"/>
      <c r="E189" s="3389"/>
      <c r="Y189" s="3376" t="str">
        <f>COMPANY</f>
        <v>DUKE ENERGY KENTUCKY, INC.</v>
      </c>
      <c r="Z189" s="3376"/>
      <c r="AA189" s="3376"/>
      <c r="AB189" s="3376"/>
      <c r="AC189" s="3376"/>
    </row>
    <row r="190" spans="4:30">
      <c r="D190" s="821"/>
      <c r="E190" s="3389"/>
      <c r="Y190" s="3376" t="str">
        <f>CASE</f>
        <v>CASE NO. 2018-00261</v>
      </c>
      <c r="Z190" s="3376"/>
      <c r="AA190" s="3376"/>
      <c r="AB190" s="3376"/>
      <c r="AC190" s="3376"/>
      <c r="AD190" s="3398"/>
    </row>
    <row r="191" spans="4:30">
      <c r="D191" s="821"/>
      <c r="E191" s="3389"/>
      <c r="Y191" s="3376" t="s">
        <v>1552</v>
      </c>
      <c r="Z191" s="3376"/>
      <c r="AA191" s="3376"/>
      <c r="AB191" s="3376"/>
      <c r="AC191" s="3376"/>
      <c r="AD191" s="3398"/>
    </row>
    <row r="192" spans="4:30">
      <c r="D192" s="821"/>
      <c r="E192" s="3389"/>
      <c r="Y192" s="44" t="str">
        <f>"AS OF " &amp;RIGHT(TESTYR,(LEN(TESTYR)-16))</f>
        <v>AS OF NOVEMBER 30, 2018</v>
      </c>
      <c r="Z192" s="3376"/>
      <c r="AA192" s="3376"/>
      <c r="AB192" s="3376"/>
      <c r="AC192" s="3376"/>
      <c r="AD192" s="3398"/>
    </row>
    <row r="193" spans="4:29">
      <c r="D193" s="821"/>
      <c r="E193" s="3389"/>
      <c r="Y193" s="1392"/>
    </row>
    <row r="194" spans="4:29">
      <c r="D194" s="821"/>
      <c r="E194" s="3389"/>
      <c r="Y194" s="1392"/>
      <c r="AC194" s="3377" t="s">
        <v>678</v>
      </c>
    </row>
    <row r="195" spans="4:29">
      <c r="D195" s="821"/>
      <c r="E195" s="3389"/>
      <c r="Y195" s="1392" t="s">
        <v>2137</v>
      </c>
      <c r="AA195" s="1392" t="s">
        <v>24</v>
      </c>
      <c r="AC195" s="1392" t="s">
        <v>2134</v>
      </c>
    </row>
    <row r="196" spans="4:29">
      <c r="D196" s="821"/>
      <c r="E196" s="3389"/>
      <c r="Y196" s="1392" t="s">
        <v>1987</v>
      </c>
      <c r="AA196" s="1392" t="s">
        <v>1509</v>
      </c>
      <c r="AB196" s="1392" t="s">
        <v>2010</v>
      </c>
      <c r="AC196" s="1392" t="s">
        <v>1510</v>
      </c>
    </row>
    <row r="197" spans="4:29">
      <c r="D197" s="821"/>
      <c r="E197" s="3389"/>
      <c r="Y197" s="3378" t="s">
        <v>148</v>
      </c>
      <c r="Z197" s="3378" t="s">
        <v>1406</v>
      </c>
      <c r="AA197" s="3378" t="s">
        <v>695</v>
      </c>
      <c r="AB197" s="3378" t="s">
        <v>2097</v>
      </c>
      <c r="AC197" s="3378" t="s">
        <v>695</v>
      </c>
    </row>
    <row r="198" spans="4:29">
      <c r="D198" s="821"/>
      <c r="E198" s="3389"/>
      <c r="Y198" s="1392"/>
    </row>
    <row r="199" spans="4:29">
      <c r="D199" s="821"/>
      <c r="E199" s="3389"/>
      <c r="Y199" s="3379" t="s">
        <v>42</v>
      </c>
      <c r="Z199" s="3380"/>
      <c r="AA199" s="3380"/>
      <c r="AB199" s="3380"/>
      <c r="AC199" s="3391"/>
    </row>
    <row r="200" spans="4:29">
      <c r="D200" s="821"/>
      <c r="E200" s="3389"/>
      <c r="Y200" s="1392"/>
      <c r="AA200" s="3382"/>
      <c r="AB200" s="821"/>
      <c r="AC200" s="3382"/>
    </row>
    <row r="201" spans="4:29">
      <c r="D201" s="821"/>
      <c r="E201" s="3389"/>
      <c r="Y201" s="1392"/>
      <c r="Z201" s="3378" t="s">
        <v>965</v>
      </c>
      <c r="AA201" s="3382"/>
      <c r="AB201" s="821"/>
      <c r="AC201" s="3382"/>
    </row>
    <row r="202" spans="4:29">
      <c r="D202" s="821"/>
      <c r="E202" s="3389"/>
      <c r="Y202" s="1392">
        <f>AE264</f>
        <v>27400</v>
      </c>
      <c r="Z202" s="1109" t="s">
        <v>43</v>
      </c>
      <c r="AA202" s="1464">
        <f t="array" ref="AA202">ROUND(SUM(IF(WPB2.2_iAccount=Y202,IF(WPB2_2iCode=$Y$199,WPB2.2_iBook))),0)</f>
        <v>1422</v>
      </c>
      <c r="AB202" s="3392">
        <f>'WPB-2.2a-f - Base'!D38</f>
        <v>0.49116599999999999</v>
      </c>
      <c r="AC202" s="3393">
        <f t="shared" ref="AC202:AC207" si="0">ROUND(AA202*AB202,0)</f>
        <v>698</v>
      </c>
    </row>
    <row r="203" spans="4:29">
      <c r="D203" s="821"/>
      <c r="E203" s="3389"/>
      <c r="Y203" s="1392">
        <f>AE265</f>
        <v>27401</v>
      </c>
      <c r="Z203" s="1109" t="s">
        <v>1156</v>
      </c>
      <c r="AA203" s="1464">
        <f t="array" ref="AA203">ROUND(SUM(IF(WPB2.2_iAccount=Y203,IF(WPB2_2iCode=$Y$199,WPB2.2_iBook))),0)</f>
        <v>183365</v>
      </c>
      <c r="AB203" s="3392">
        <f>AB202</f>
        <v>0.49116599999999999</v>
      </c>
      <c r="AC203" s="3393">
        <f t="shared" si="0"/>
        <v>90063</v>
      </c>
    </row>
    <row r="204" spans="4:29">
      <c r="D204" s="821"/>
      <c r="E204" s="3389"/>
      <c r="Y204" s="1392">
        <f>AE266</f>
        <v>27500</v>
      </c>
      <c r="Z204" s="1109" t="s">
        <v>44</v>
      </c>
      <c r="AA204" s="1464">
        <f t="array" ref="AA204">ROUND(SUM(IF(WPB2.2_iAccount=Y204,IF(WPB2_2iCode=$Y$199,WPB2.2_iBook))),0)</f>
        <v>27112</v>
      </c>
      <c r="AB204" s="3392">
        <f>AB202</f>
        <v>0.49116599999999999</v>
      </c>
      <c r="AC204" s="3393">
        <f t="shared" si="0"/>
        <v>13316</v>
      </c>
    </row>
    <row r="205" spans="4:29">
      <c r="D205" s="821"/>
      <c r="E205" s="3389"/>
      <c r="Y205" s="1392">
        <v>27605</v>
      </c>
      <c r="Z205" s="1109" t="s">
        <v>1390</v>
      </c>
      <c r="AA205" s="1464">
        <f t="array" ref="AA205">ROUND(SUM(IF(WPB2.2_iAccount=Y205,IF(WPB2_2iCode=$Y$199,WPB2.2_iBook))),0)</f>
        <v>698673</v>
      </c>
      <c r="AB205" s="3392">
        <f>AB202</f>
        <v>0.49116599999999999</v>
      </c>
      <c r="AC205" s="3393">
        <f t="shared" si="0"/>
        <v>343164</v>
      </c>
    </row>
    <row r="206" spans="4:29">
      <c r="D206" s="821"/>
      <c r="E206" s="3389"/>
      <c r="Y206" s="1392">
        <f t="shared" ref="Y206:Y207" si="1">AE269</f>
        <v>27800</v>
      </c>
      <c r="Z206" s="1109" t="s">
        <v>1391</v>
      </c>
      <c r="AA206" s="1464">
        <f t="array" ref="AA206">ROUND(SUM(IF(WPB2.2_iAccount=Y206,IF(WPB2_2iCode=$Y$199,WPB2.2_iBook))),0)</f>
        <v>184326</v>
      </c>
      <c r="AB206" s="3392">
        <f>AB202</f>
        <v>0.49116599999999999</v>
      </c>
      <c r="AC206" s="3393">
        <f t="shared" si="0"/>
        <v>90535</v>
      </c>
    </row>
    <row r="207" spans="4:29">
      <c r="D207" s="821"/>
      <c r="E207" s="3389"/>
      <c r="Y207" s="1392">
        <f t="shared" si="1"/>
        <v>27801</v>
      </c>
      <c r="Z207" s="1109" t="s">
        <v>1392</v>
      </c>
      <c r="AA207" s="3242">
        <f t="array" ref="AA207">ROUND(SUM(IF(WPB2.2_iAccount=Y207,IF(WPB2_2iCode=$Y$199,WPB2.2_iBook))),0)</f>
        <v>70218</v>
      </c>
      <c r="AB207" s="3392">
        <f>AB202</f>
        <v>0.49116599999999999</v>
      </c>
      <c r="AC207" s="3385">
        <f t="shared" si="0"/>
        <v>34489</v>
      </c>
    </row>
    <row r="208" spans="4:29">
      <c r="D208" s="821"/>
      <c r="E208" s="3389"/>
      <c r="Y208" s="1392"/>
      <c r="AA208" s="2957"/>
      <c r="AC208" s="1464"/>
    </row>
    <row r="209" spans="4:29">
      <c r="D209" s="821"/>
      <c r="E209" s="3389"/>
      <c r="Y209" s="1392"/>
      <c r="Z209" s="1109" t="s">
        <v>33</v>
      </c>
      <c r="AA209" s="2957">
        <f>SUM(AA202:AA208)</f>
        <v>1165116</v>
      </c>
      <c r="AC209" s="1464">
        <f>SUM(AC202:AC208)</f>
        <v>572265</v>
      </c>
    </row>
    <row r="210" spans="4:29">
      <c r="D210" s="821"/>
      <c r="E210" s="3389"/>
      <c r="Y210" s="1392"/>
      <c r="AA210" s="2957"/>
      <c r="AC210" s="1464"/>
    </row>
    <row r="211" spans="4:29">
      <c r="D211" s="821"/>
      <c r="E211" s="3389"/>
      <c r="Y211" s="1392"/>
      <c r="AA211" s="2957"/>
      <c r="AC211" s="1464"/>
    </row>
    <row r="212" spans="4:29">
      <c r="D212" s="821"/>
      <c r="E212" s="3389"/>
      <c r="Y212" s="3379" t="s">
        <v>45</v>
      </c>
      <c r="Z212" s="3380"/>
      <c r="AA212" s="3395"/>
      <c r="AB212" s="3380"/>
      <c r="AC212" s="3396"/>
    </row>
    <row r="213" spans="4:29">
      <c r="D213" s="821"/>
      <c r="E213" s="3389"/>
      <c r="Y213" s="1392"/>
      <c r="AA213" s="2957"/>
      <c r="AC213" s="1464"/>
    </row>
    <row r="214" spans="4:29">
      <c r="D214" s="821"/>
      <c r="E214" s="3389"/>
      <c r="Y214" s="1392"/>
      <c r="Z214" s="3378" t="s">
        <v>965</v>
      </c>
      <c r="AA214" s="2957"/>
      <c r="AC214" s="1464"/>
    </row>
    <row r="215" spans="4:29">
      <c r="D215" s="821"/>
      <c r="E215" s="3389"/>
      <c r="Y215" s="1392">
        <f>AE269</f>
        <v>27800</v>
      </c>
      <c r="Z215" s="1109" t="s">
        <v>1391</v>
      </c>
      <c r="AA215" s="1464">
        <f t="array" ref="AA215">ROUND(SUM(IF(WPB2.2_iAccount=Y215,IF(WPB2_2iCode=$Y$212,WPB2.2_iBook))),0)</f>
        <v>95811</v>
      </c>
      <c r="AB215" s="3392">
        <f>AB202</f>
        <v>0.49116599999999999</v>
      </c>
      <c r="AC215" s="3393">
        <f>ROUND(AA215*AB215,0)</f>
        <v>47059</v>
      </c>
    </row>
    <row r="216" spans="4:29">
      <c r="D216" s="821"/>
      <c r="E216" s="3389"/>
      <c r="Y216" s="1392">
        <f>AE270</f>
        <v>27801</v>
      </c>
      <c r="Z216" s="1109" t="s">
        <v>1392</v>
      </c>
      <c r="AA216" s="3242">
        <f t="array" ref="AA216">ROUND(SUM(IF(WPB2.2_iAccount=Y216,IF(WPB2_2iCode=$Y$212,WPB2.2_iBook))),0)</f>
        <v>84766</v>
      </c>
      <c r="AB216" s="3392">
        <f>AB202</f>
        <v>0.49116599999999999</v>
      </c>
      <c r="AC216" s="3385">
        <f>ROUND(AA216*AB216,0)</f>
        <v>41634</v>
      </c>
    </row>
    <row r="217" spans="4:29">
      <c r="D217" s="821"/>
      <c r="E217" s="3389"/>
      <c r="Y217" s="1392"/>
      <c r="AA217" s="2957"/>
      <c r="AC217" s="1464"/>
    </row>
    <row r="218" spans="4:29">
      <c r="D218" s="821"/>
      <c r="E218" s="3389"/>
      <c r="Y218" s="1392"/>
      <c r="Z218" s="1109" t="s">
        <v>33</v>
      </c>
      <c r="AA218" s="2957">
        <f>AA215+AA216</f>
        <v>180577</v>
      </c>
      <c r="AC218" s="1464">
        <f>AC215+AC216</f>
        <v>88693</v>
      </c>
    </row>
    <row r="219" spans="4:29">
      <c r="D219" s="821"/>
      <c r="E219" s="3389"/>
      <c r="Y219" s="1392"/>
      <c r="AA219" s="2957"/>
      <c r="AC219" s="1464"/>
    </row>
    <row r="220" spans="4:29">
      <c r="D220" s="821"/>
      <c r="E220" s="3389"/>
      <c r="Y220" s="1392"/>
      <c r="AA220" s="2957"/>
      <c r="AC220" s="1464"/>
    </row>
    <row r="221" spans="4:29">
      <c r="D221" s="821"/>
      <c r="E221" s="3389"/>
      <c r="Y221" s="3379" t="s">
        <v>46</v>
      </c>
      <c r="Z221" s="3380"/>
      <c r="AA221" s="3395"/>
      <c r="AB221" s="3380"/>
      <c r="AC221" s="3396"/>
    </row>
    <row r="222" spans="4:29">
      <c r="D222" s="821"/>
      <c r="E222" s="3389"/>
      <c r="Y222" s="1392"/>
      <c r="AA222" s="2957"/>
      <c r="AC222" s="1464"/>
    </row>
    <row r="223" spans="4:29">
      <c r="D223" s="821"/>
      <c r="E223" s="3389"/>
      <c r="Y223" s="1392"/>
      <c r="Z223" s="3378" t="s">
        <v>965</v>
      </c>
      <c r="AA223" s="2957"/>
      <c r="AC223" s="1464"/>
    </row>
    <row r="224" spans="4:29">
      <c r="D224" s="821"/>
      <c r="E224" s="3389"/>
      <c r="Y224" s="3244">
        <f>AE266</f>
        <v>27500</v>
      </c>
      <c r="Z224" s="3032" t="s">
        <v>2685</v>
      </c>
      <c r="AA224" s="2957">
        <f t="array" ref="AA224">ROUND(SUM(IF(WPB2.2_iAccount=Y224,IF(WPB2_2iCode=$A$15,WPB2.2_iBook))),0)</f>
        <v>22695</v>
      </c>
      <c r="AB224" s="821">
        <f>D24</f>
        <v>0.49116599999999999</v>
      </c>
      <c r="AC224" s="1464">
        <f>ROUND(AA224*AB224,0)</f>
        <v>11147</v>
      </c>
    </row>
    <row r="225" spans="4:44">
      <c r="D225" s="821"/>
      <c r="E225" s="3389"/>
      <c r="Y225" s="1392">
        <f>AE269</f>
        <v>27800</v>
      </c>
      <c r="Z225" s="1109" t="s">
        <v>1391</v>
      </c>
      <c r="AA225" s="1464">
        <f t="array" ref="AA225">ROUND(SUM(IF(WPB2.2_iAccount=Y225,IF(WPB2_2iCode=$Y$221,WPB2.2_iBook))),0)</f>
        <v>100359</v>
      </c>
      <c r="AB225" s="3392">
        <f>AB202</f>
        <v>0.49116599999999999</v>
      </c>
      <c r="AC225" s="3393">
        <f>ROUND(AA225*AB225,0)</f>
        <v>49293</v>
      </c>
    </row>
    <row r="226" spans="4:44">
      <c r="D226" s="821"/>
      <c r="E226" s="3389"/>
      <c r="Y226" s="1392">
        <f>AE270</f>
        <v>27801</v>
      </c>
      <c r="Z226" s="1109" t="s">
        <v>1392</v>
      </c>
      <c r="AA226" s="3242">
        <f t="array" ref="AA226">ROUND(SUM(IF(WPB2.2_iAccount=Y226,IF(WPB2_2iCode=$Y$221,WPB2.2_iBook))),0)</f>
        <v>354073</v>
      </c>
      <c r="AB226" s="3392">
        <f>AB202</f>
        <v>0.49116599999999999</v>
      </c>
      <c r="AC226" s="3385">
        <f>ROUND(AA226*AB226,0)</f>
        <v>173909</v>
      </c>
    </row>
    <row r="227" spans="4:44">
      <c r="D227" s="821"/>
      <c r="E227" s="3389"/>
      <c r="Y227" s="1392"/>
      <c r="AA227" s="1464"/>
      <c r="AC227" s="1464"/>
    </row>
    <row r="228" spans="4:44">
      <c r="D228" s="821"/>
      <c r="E228" s="3389"/>
      <c r="Y228" s="1392"/>
      <c r="Z228" s="1109" t="s">
        <v>33</v>
      </c>
      <c r="AA228" s="1464">
        <f>SUM(AA224:AA226)</f>
        <v>477127</v>
      </c>
      <c r="AC228" s="1464">
        <f>SUM(AC224:AC226)</f>
        <v>234349</v>
      </c>
    </row>
    <row r="229" spans="4:44">
      <c r="D229" s="821"/>
      <c r="E229" s="3389"/>
      <c r="Y229" s="1392"/>
      <c r="AA229" s="1464"/>
      <c r="AC229" s="3382"/>
    </row>
    <row r="230" spans="4:44">
      <c r="D230" s="821"/>
      <c r="E230" s="3389"/>
      <c r="Y230" s="1392"/>
      <c r="AA230" s="3382"/>
      <c r="AC230" s="3382"/>
    </row>
    <row r="231" spans="4:44">
      <c r="D231" s="821"/>
      <c r="E231" s="3389"/>
      <c r="Y231" s="1392"/>
      <c r="AA231" s="3382"/>
      <c r="AC231" s="3382"/>
    </row>
    <row r="232" spans="4:44">
      <c r="D232" s="821"/>
      <c r="E232" s="3389"/>
      <c r="Y232" s="1392"/>
      <c r="AA232" s="3382"/>
      <c r="AC232" s="3382"/>
    </row>
    <row r="233" spans="4:44">
      <c r="D233" s="821"/>
      <c r="E233" s="3389"/>
      <c r="Y233" s="1392"/>
      <c r="AA233" s="3382"/>
      <c r="AC233" s="3382"/>
    </row>
    <row r="234" spans="4:44">
      <c r="D234" s="821"/>
      <c r="E234" s="3389"/>
      <c r="Y234" s="3400" t="s">
        <v>34</v>
      </c>
      <c r="AA234" s="3382"/>
      <c r="AC234" s="3382"/>
    </row>
    <row r="235" spans="4:44">
      <c r="D235" s="821"/>
      <c r="E235" s="3389"/>
      <c r="Y235" s="3400" t="s">
        <v>1518</v>
      </c>
    </row>
    <row r="236" spans="4:44">
      <c r="D236" s="821"/>
      <c r="E236" s="3389"/>
      <c r="Y236" s="1392"/>
    </row>
    <row r="237" spans="4:44">
      <c r="D237" s="821"/>
      <c r="E237" s="3389"/>
      <c r="Y237" s="1392"/>
    </row>
    <row r="238" spans="4:44">
      <c r="D238" s="821"/>
      <c r="E238" s="3389"/>
    </row>
    <row r="239" spans="4:44">
      <c r="D239" s="821"/>
      <c r="E239" s="3389"/>
      <c r="AR239" s="1109" t="s">
        <v>47</v>
      </c>
    </row>
    <row r="240" spans="4:44">
      <c r="D240" s="821"/>
      <c r="E240" s="3389"/>
      <c r="AR240" s="1109" t="s">
        <v>566</v>
      </c>
    </row>
    <row r="241" spans="4:47">
      <c r="D241" s="821"/>
      <c r="E241" s="3389"/>
      <c r="AR241" s="1109" t="str">
        <f>E3</f>
        <v>R. H. PRATT / C. S. LEE</v>
      </c>
    </row>
    <row r="242" spans="4:47">
      <c r="D242" s="821"/>
      <c r="E242" s="3389"/>
    </row>
    <row r="243" spans="4:47">
      <c r="D243" s="821"/>
      <c r="E243" s="3389"/>
      <c r="AE243" s="3376" t="str">
        <f>COMPANY</f>
        <v>DUKE ENERGY KENTUCKY, INC.</v>
      </c>
      <c r="AF243" s="3376"/>
      <c r="AG243" s="3376"/>
      <c r="AH243" s="3376"/>
      <c r="AI243" s="3376"/>
      <c r="AJ243" s="3376"/>
      <c r="AK243" s="3376"/>
      <c r="AL243" s="3376"/>
      <c r="AM243" s="3376"/>
      <c r="AN243" s="3390"/>
      <c r="AO243" s="3390"/>
      <c r="AP243" s="3390"/>
      <c r="AQ243" s="3390"/>
      <c r="AR243" s="3390"/>
      <c r="AS243" s="3390"/>
      <c r="AT243" s="3390"/>
      <c r="AU243" s="3390"/>
    </row>
    <row r="244" spans="4:47">
      <c r="D244" s="821"/>
      <c r="E244" s="3389"/>
      <c r="AE244" s="3376" t="str">
        <f>CASE</f>
        <v>CASE NO. 2018-00261</v>
      </c>
      <c r="AF244" s="3376"/>
      <c r="AG244" s="3376"/>
      <c r="AH244" s="3376"/>
      <c r="AI244" s="3376"/>
      <c r="AJ244" s="3376"/>
      <c r="AK244" s="3376"/>
      <c r="AL244" s="3376"/>
      <c r="AM244" s="3376"/>
      <c r="AN244" s="3390"/>
      <c r="AO244" s="3390"/>
      <c r="AP244" s="3390"/>
      <c r="AQ244" s="3390"/>
      <c r="AR244" s="3390"/>
      <c r="AS244" s="3390"/>
      <c r="AT244" s="3390"/>
      <c r="AU244" s="3390"/>
    </row>
    <row r="245" spans="4:47">
      <c r="D245" s="821"/>
      <c r="E245" s="3389"/>
      <c r="AE245" s="3376" t="s">
        <v>48</v>
      </c>
      <c r="AF245" s="3376"/>
      <c r="AG245" s="3376"/>
      <c r="AH245" s="3376"/>
      <c r="AI245" s="3376"/>
      <c r="AJ245" s="3376"/>
      <c r="AK245" s="3376"/>
      <c r="AL245" s="3376"/>
      <c r="AM245" s="3376"/>
      <c r="AN245" s="3390"/>
      <c r="AO245" s="3390"/>
      <c r="AP245" s="3390"/>
      <c r="AQ245" s="3390"/>
      <c r="AR245" s="3390"/>
      <c r="AS245" s="3390"/>
      <c r="AT245" s="3390"/>
      <c r="AU245" s="3390"/>
    </row>
    <row r="246" spans="4:47">
      <c r="D246" s="821"/>
      <c r="E246" s="3389"/>
      <c r="AE246" s="3376" t="s">
        <v>49</v>
      </c>
      <c r="AF246" s="3376"/>
      <c r="AG246" s="3376"/>
      <c r="AH246" s="3376"/>
      <c r="AI246" s="3376"/>
      <c r="AJ246" s="3376"/>
      <c r="AK246" s="3376"/>
      <c r="AL246" s="3376"/>
      <c r="AM246" s="3376"/>
      <c r="AN246" s="3390"/>
      <c r="AO246" s="3390"/>
      <c r="AP246" s="3390"/>
      <c r="AQ246" s="3390"/>
      <c r="AR246" s="3390"/>
      <c r="AS246" s="3390"/>
      <c r="AT246" s="3390"/>
      <c r="AU246" s="3390"/>
    </row>
    <row r="247" spans="4:47">
      <c r="D247" s="821"/>
      <c r="E247" s="3389"/>
      <c r="AE247" s="44" t="str">
        <f>"AS OF " &amp;RIGHT(TESTYR,(LEN(TESTYR)-16))</f>
        <v>AS OF NOVEMBER 30, 2018</v>
      </c>
      <c r="AF247" s="3376"/>
      <c r="AG247" s="3376"/>
      <c r="AH247" s="3376"/>
      <c r="AI247" s="3376"/>
      <c r="AJ247" s="3376"/>
      <c r="AK247" s="3376"/>
      <c r="AL247" s="3376"/>
      <c r="AM247" s="3376"/>
      <c r="AN247" s="3390"/>
      <c r="AO247" s="3390"/>
      <c r="AP247" s="3390"/>
      <c r="AQ247" s="3390"/>
      <c r="AR247" s="3390"/>
      <c r="AS247" s="3390"/>
      <c r="AT247" s="3390"/>
      <c r="AU247" s="3390"/>
    </row>
    <row r="248" spans="4:47">
      <c r="D248" s="821"/>
      <c r="E248" s="3389"/>
    </row>
    <row r="249" spans="4:47">
      <c r="D249" s="821"/>
      <c r="E249" s="3389"/>
      <c r="AU249" s="3377" t="s">
        <v>2099</v>
      </c>
    </row>
    <row r="250" spans="4:47">
      <c r="D250" s="821"/>
      <c r="E250" s="3389"/>
      <c r="AG250" s="1392" t="s">
        <v>50</v>
      </c>
      <c r="AI250" s="3401" t="s">
        <v>51</v>
      </c>
      <c r="AJ250" s="3401"/>
      <c r="AK250" s="3401"/>
      <c r="AL250" s="3401"/>
      <c r="AM250" s="3401"/>
      <c r="AN250" s="3401"/>
      <c r="AO250" s="3401"/>
      <c r="AP250" s="3401"/>
      <c r="AU250" s="1392" t="s">
        <v>2153</v>
      </c>
    </row>
    <row r="251" spans="4:47">
      <c r="D251" s="821"/>
      <c r="E251" s="3389"/>
      <c r="AE251" s="1392" t="s">
        <v>1987</v>
      </c>
      <c r="AG251" s="1392" t="s">
        <v>52</v>
      </c>
      <c r="AI251" s="3402"/>
      <c r="AJ251" s="3403" t="s">
        <v>53</v>
      </c>
      <c r="AK251" s="3402"/>
      <c r="AL251" s="3403" t="s">
        <v>54</v>
      </c>
      <c r="AM251" s="3402"/>
      <c r="AN251" s="3403" t="s">
        <v>55</v>
      </c>
      <c r="AO251" s="3402"/>
      <c r="AP251" s="3402"/>
      <c r="AR251" s="1392" t="s">
        <v>56</v>
      </c>
      <c r="AS251" s="1392" t="s">
        <v>57</v>
      </c>
      <c r="AU251" s="1392" t="s">
        <v>1525</v>
      </c>
    </row>
    <row r="252" spans="4:47">
      <c r="D252" s="821"/>
      <c r="E252" s="3389"/>
      <c r="AE252" s="3378" t="s">
        <v>148</v>
      </c>
      <c r="AF252" s="3378" t="s">
        <v>1406</v>
      </c>
      <c r="AG252" s="3378" t="s">
        <v>58</v>
      </c>
      <c r="AH252" s="3404"/>
      <c r="AI252" s="3378" t="s">
        <v>59</v>
      </c>
      <c r="AJ252" s="3378" t="s">
        <v>60</v>
      </c>
      <c r="AK252" s="3378" t="s">
        <v>61</v>
      </c>
      <c r="AL252" s="3378" t="s">
        <v>60</v>
      </c>
      <c r="AM252" s="3378" t="s">
        <v>62</v>
      </c>
      <c r="AN252" s="3378" t="s">
        <v>60</v>
      </c>
      <c r="AO252" s="3378" t="s">
        <v>63</v>
      </c>
      <c r="AP252" s="3378" t="s">
        <v>64</v>
      </c>
      <c r="AQ252" s="3404"/>
      <c r="AR252" s="3378" t="s">
        <v>65</v>
      </c>
      <c r="AS252" s="3378" t="s">
        <v>65</v>
      </c>
      <c r="AU252" s="3378" t="s">
        <v>66</v>
      </c>
    </row>
    <row r="253" spans="4:47">
      <c r="D253" s="821"/>
      <c r="E253" s="3389"/>
    </row>
    <row r="254" spans="4:47">
      <c r="D254" s="821"/>
      <c r="E254" s="3389"/>
      <c r="AF254" s="3378" t="s">
        <v>1513</v>
      </c>
    </row>
    <row r="255" spans="4:47">
      <c r="D255" s="821"/>
      <c r="E255" s="3389"/>
      <c r="AE255" s="3244">
        <f>'SCH B-2.2'!C23</f>
        <v>20400</v>
      </c>
      <c r="AF255" s="3383" t="s">
        <v>1154</v>
      </c>
      <c r="AG255" s="1464">
        <f>E18</f>
        <v>75570</v>
      </c>
      <c r="AH255" s="1464"/>
      <c r="AI255" s="1464"/>
      <c r="AJ255" s="1464"/>
      <c r="AK255" s="1464"/>
      <c r="AL255" s="1464"/>
      <c r="AM255" s="1464"/>
      <c r="AN255" s="1464"/>
      <c r="AO255" s="1464"/>
      <c r="AP255" s="1464"/>
      <c r="AQ255" s="1464"/>
      <c r="AR255" s="1464"/>
      <c r="AS255" s="1464"/>
      <c r="AT255" s="1464"/>
      <c r="AU255" s="1464">
        <f>SUM(AG255:AS255)</f>
        <v>75570</v>
      </c>
    </row>
    <row r="256" spans="4:47">
      <c r="D256" s="821"/>
      <c r="E256" s="3389"/>
      <c r="AE256" s="3244">
        <f>'SCH B-2.2'!C24</f>
        <v>20401</v>
      </c>
      <c r="AF256" s="3383" t="s">
        <v>1156</v>
      </c>
      <c r="AG256" s="1464">
        <f>E19</f>
        <v>15703</v>
      </c>
      <c r="AH256" s="1464"/>
      <c r="AI256" s="1464"/>
      <c r="AJ256" s="1464"/>
      <c r="AK256" s="1464"/>
      <c r="AL256" s="1464"/>
      <c r="AM256" s="1464"/>
      <c r="AN256" s="1464"/>
      <c r="AO256" s="1464"/>
      <c r="AP256" s="1464"/>
      <c r="AQ256" s="1464"/>
      <c r="AR256" s="1464"/>
      <c r="AS256" s="1464"/>
      <c r="AT256" s="1464"/>
      <c r="AU256" s="1464">
        <f>SUM(AG256:AS256)</f>
        <v>15703</v>
      </c>
    </row>
    <row r="257" spans="4:47">
      <c r="D257" s="821"/>
      <c r="E257" s="3389"/>
      <c r="AE257" s="3244">
        <f>'SCH B-2.2'!C25</f>
        <v>20500</v>
      </c>
      <c r="AF257" s="3383" t="s">
        <v>1159</v>
      </c>
      <c r="AG257" s="1464">
        <f>E20</f>
        <v>1106014</v>
      </c>
      <c r="AH257" s="1464"/>
      <c r="AI257" s="1464"/>
      <c r="AJ257" s="1464"/>
      <c r="AK257" s="1464"/>
      <c r="AL257" s="1464"/>
      <c r="AM257" s="1464"/>
      <c r="AN257" s="1464"/>
      <c r="AO257" s="1464"/>
      <c r="AP257" s="1464"/>
      <c r="AQ257" s="1464"/>
      <c r="AR257" s="1464"/>
      <c r="AS257" s="1464"/>
      <c r="AT257" s="1464"/>
      <c r="AU257" s="1464">
        <f>SUM(AG257:AS257)</f>
        <v>1106014</v>
      </c>
    </row>
    <row r="258" spans="4:47">
      <c r="D258" s="821"/>
      <c r="E258" s="3389"/>
      <c r="AE258" s="3244">
        <f>'SCH B-2.2'!C26</f>
        <v>21100</v>
      </c>
      <c r="AF258" s="3383" t="s">
        <v>1162</v>
      </c>
      <c r="AG258" s="3405">
        <f>E21</f>
        <v>3823237</v>
      </c>
      <c r="AH258" s="3405"/>
      <c r="AI258" s="3405"/>
      <c r="AJ258" s="3405"/>
      <c r="AK258" s="3405"/>
      <c r="AL258" s="3405"/>
      <c r="AM258" s="3405"/>
      <c r="AN258" s="3405"/>
      <c r="AO258" s="3405"/>
      <c r="AP258" s="3405"/>
      <c r="AQ258" s="3405"/>
      <c r="AR258" s="3405"/>
      <c r="AS258" s="3405"/>
      <c r="AT258" s="3405"/>
      <c r="AU258" s="3405">
        <f>SUM(AG258:AS258)</f>
        <v>3823237</v>
      </c>
    </row>
    <row r="259" spans="4:47">
      <c r="D259" s="821"/>
      <c r="E259" s="3389"/>
      <c r="AG259" s="1464"/>
      <c r="AH259" s="1464"/>
      <c r="AI259" s="1464"/>
      <c r="AJ259" s="1464"/>
      <c r="AK259" s="1464"/>
      <c r="AL259" s="1464"/>
      <c r="AM259" s="1464"/>
      <c r="AN259" s="1464"/>
      <c r="AO259" s="1464"/>
      <c r="AP259" s="1464"/>
      <c r="AQ259" s="1464"/>
      <c r="AR259" s="1464"/>
      <c r="AS259" s="1464"/>
      <c r="AT259" s="1464"/>
      <c r="AU259" s="1464"/>
    </row>
    <row r="260" spans="4:47">
      <c r="D260" s="821"/>
      <c r="E260" s="3389"/>
      <c r="AF260" s="1109" t="s">
        <v>33</v>
      </c>
      <c r="AG260" s="1464">
        <f>SUM(AG255:AG259)</f>
        <v>5020524</v>
      </c>
      <c r="AH260" s="1464"/>
      <c r="AI260" s="1464"/>
      <c r="AJ260" s="1464"/>
      <c r="AK260" s="1464"/>
      <c r="AL260" s="1464"/>
      <c r="AM260" s="1464"/>
      <c r="AN260" s="1464"/>
      <c r="AO260" s="1464"/>
      <c r="AP260" s="1464"/>
      <c r="AQ260" s="1464"/>
      <c r="AR260" s="1464"/>
      <c r="AS260" s="1464"/>
      <c r="AT260" s="1464"/>
      <c r="AU260" s="1464">
        <f>SUM(AG260:AS260)</f>
        <v>5020524</v>
      </c>
    </row>
    <row r="261" spans="4:47">
      <c r="D261" s="821"/>
      <c r="E261" s="3389"/>
      <c r="AG261" s="1464"/>
      <c r="AH261" s="1464"/>
      <c r="AI261" s="1464"/>
      <c r="AJ261" s="1464"/>
      <c r="AK261" s="1464"/>
      <c r="AL261" s="1464"/>
      <c r="AM261" s="1464"/>
      <c r="AN261" s="1464"/>
      <c r="AO261" s="1464"/>
      <c r="AP261" s="1464"/>
      <c r="AQ261" s="1464"/>
      <c r="AR261" s="1464"/>
      <c r="AS261" s="1464"/>
      <c r="AT261" s="1464"/>
      <c r="AU261" s="1464"/>
    </row>
    <row r="262" spans="4:47">
      <c r="D262" s="821"/>
      <c r="E262" s="3389"/>
      <c r="AG262" s="1464"/>
      <c r="AH262" s="1464"/>
      <c r="AI262" s="1464"/>
      <c r="AJ262" s="1464"/>
      <c r="AK262" s="1464"/>
      <c r="AL262" s="1464"/>
      <c r="AM262" s="1464"/>
      <c r="AN262" s="1464"/>
      <c r="AO262" s="1464"/>
      <c r="AP262" s="1464"/>
      <c r="AQ262" s="1464"/>
      <c r="AR262" s="1464"/>
      <c r="AS262" s="1464"/>
      <c r="AT262" s="1464"/>
      <c r="AU262" s="1464"/>
    </row>
    <row r="263" spans="4:47">
      <c r="D263" s="821"/>
      <c r="E263" s="3389"/>
      <c r="AF263" s="3378" t="s">
        <v>965</v>
      </c>
      <c r="AG263" s="1464"/>
      <c r="AH263" s="1464"/>
      <c r="AI263" s="1464"/>
      <c r="AJ263" s="1464"/>
      <c r="AK263" s="1464"/>
      <c r="AL263" s="1464"/>
      <c r="AM263" s="1464"/>
      <c r="AN263" s="1464"/>
      <c r="AO263" s="1464"/>
      <c r="AP263" s="1464"/>
      <c r="AQ263" s="1464"/>
      <c r="AR263" s="1464"/>
      <c r="AS263" s="1464"/>
      <c r="AT263" s="1464"/>
      <c r="AU263" s="1464"/>
    </row>
    <row r="264" spans="4:47">
      <c r="D264" s="821"/>
      <c r="E264" s="3389"/>
      <c r="AE264" s="1392">
        <f>'SCH B-2.2'!C33</f>
        <v>27400</v>
      </c>
      <c r="AF264" s="1109" t="s">
        <v>1389</v>
      </c>
      <c r="AG264" s="1464">
        <f>E24</f>
        <v>0</v>
      </c>
      <c r="AH264" s="1464"/>
      <c r="AI264" s="1464"/>
      <c r="AJ264" s="1464">
        <f>K75</f>
        <v>0</v>
      </c>
      <c r="AK264" s="1464">
        <f>K86</f>
        <v>1628</v>
      </c>
      <c r="AL264" s="1464"/>
      <c r="AM264" s="1464"/>
      <c r="AN264" s="1464"/>
      <c r="AO264" s="1464"/>
      <c r="AP264" s="1464">
        <f>AC202</f>
        <v>698</v>
      </c>
      <c r="AQ264" s="1464"/>
      <c r="AR264" s="1464"/>
      <c r="AS264" s="1464"/>
      <c r="AT264" s="1464"/>
      <c r="AU264" s="1464">
        <f t="shared" ref="AU264:AU270" si="2">SUM(AG264:AS264)</f>
        <v>2326</v>
      </c>
    </row>
    <row r="265" spans="4:47">
      <c r="D265" s="821"/>
      <c r="E265" s="3389"/>
      <c r="AE265" s="1392">
        <f>'SCH B-2.2'!C34</f>
        <v>27401</v>
      </c>
      <c r="AF265" s="1109" t="s">
        <v>1156</v>
      </c>
      <c r="AG265" s="1464"/>
      <c r="AH265" s="1464"/>
      <c r="AI265" s="1464">
        <f>E38</f>
        <v>13237</v>
      </c>
      <c r="AJ265" s="1464"/>
      <c r="AK265" s="1464">
        <f>K87</f>
        <v>10497</v>
      </c>
      <c r="AL265" s="1464"/>
      <c r="AM265" s="1464">
        <f>Q126</f>
        <v>59333</v>
      </c>
      <c r="AN265" s="1464"/>
      <c r="AO265" s="1464">
        <f>W170</f>
        <v>55687</v>
      </c>
      <c r="AP265" s="1464">
        <f>AC203</f>
        <v>90063</v>
      </c>
      <c r="AQ265" s="1464"/>
      <c r="AR265" s="1464"/>
      <c r="AS265" s="1464"/>
      <c r="AT265" s="1464"/>
      <c r="AU265" s="1464">
        <f t="shared" si="2"/>
        <v>228817</v>
      </c>
    </row>
    <row r="266" spans="4:47">
      <c r="D266" s="821"/>
      <c r="E266" s="3389"/>
      <c r="AE266" s="1392">
        <f>'SCH B-2.2'!C35</f>
        <v>27500</v>
      </c>
      <c r="AF266" s="3383" t="s">
        <v>1159</v>
      </c>
      <c r="AH266" s="1464"/>
      <c r="AI266" s="1464"/>
      <c r="AJ266" s="1464"/>
      <c r="AK266" s="1464"/>
      <c r="AL266" s="1464"/>
      <c r="AM266" s="1464"/>
      <c r="AN266" s="1464"/>
      <c r="AO266" s="1464"/>
      <c r="AP266" s="1464">
        <f>AC204</f>
        <v>13316</v>
      </c>
      <c r="AQ266" s="1464"/>
      <c r="AR266" s="1464"/>
      <c r="AS266" s="1464">
        <f>AC224</f>
        <v>11147</v>
      </c>
      <c r="AT266" s="1464"/>
      <c r="AU266" s="1464">
        <f>SUM(AH266:AS266)</f>
        <v>24463</v>
      </c>
    </row>
    <row r="267" spans="4:47">
      <c r="D267" s="821"/>
      <c r="E267" s="3389"/>
      <c r="AE267" s="1392">
        <v>27602</v>
      </c>
      <c r="AF267" s="3383" t="s">
        <v>2699</v>
      </c>
      <c r="AG267" s="1464">
        <f>E25</f>
        <v>3039</v>
      </c>
      <c r="AH267" s="1464"/>
      <c r="AJ267" s="1464"/>
      <c r="AK267" s="1464">
        <f>K88</f>
        <v>297903</v>
      </c>
      <c r="AL267" s="1464"/>
      <c r="AM267" s="1464"/>
      <c r="AN267" s="1464"/>
      <c r="AO267" s="1464"/>
      <c r="AP267" s="1464"/>
      <c r="AQ267" s="1464"/>
      <c r="AR267" s="1464"/>
      <c r="AS267" s="1464"/>
      <c r="AT267" s="1464"/>
      <c r="AU267" s="1464">
        <f>SUM(AG267:AS267)</f>
        <v>300942</v>
      </c>
    </row>
    <row r="268" spans="4:47">
      <c r="D268" s="821"/>
      <c r="E268" s="3389"/>
      <c r="AE268" s="1392">
        <v>27605</v>
      </c>
      <c r="AF268" s="1109" t="s">
        <v>1390</v>
      </c>
      <c r="AG268" s="1464"/>
      <c r="AH268" s="1464"/>
      <c r="AI268" s="3393">
        <f>E39</f>
        <v>558789</v>
      </c>
      <c r="AJ268" s="1464">
        <f>K76</f>
        <v>0</v>
      </c>
      <c r="AK268" s="1464">
        <f>K89</f>
        <v>1127864</v>
      </c>
      <c r="AL268" s="1464">
        <f>Q116</f>
        <v>561888</v>
      </c>
      <c r="AM268" s="1464">
        <f>Q127</f>
        <v>792818</v>
      </c>
      <c r="AN268" s="1464">
        <f>W160</f>
        <v>231295</v>
      </c>
      <c r="AO268" s="1464">
        <f>W171</f>
        <v>2576685</v>
      </c>
      <c r="AP268" s="1464">
        <f>AC205</f>
        <v>343164</v>
      </c>
      <c r="AQ268" s="1464"/>
      <c r="AR268" s="1464"/>
      <c r="AS268" s="1464"/>
      <c r="AT268" s="1464"/>
      <c r="AU268" s="1464">
        <f t="shared" si="2"/>
        <v>6192503</v>
      </c>
    </row>
    <row r="269" spans="4:47">
      <c r="D269" s="821"/>
      <c r="E269" s="3389"/>
      <c r="AE269" s="1392">
        <f>'SCH B-2.2'!C38</f>
        <v>27800</v>
      </c>
      <c r="AF269" s="1109" t="s">
        <v>1391</v>
      </c>
      <c r="AG269" s="1464"/>
      <c r="AH269" s="1464"/>
      <c r="AI269" s="3393"/>
      <c r="AJ269" s="1464"/>
      <c r="AK269" s="1464"/>
      <c r="AL269" s="1464"/>
      <c r="AM269" s="1464"/>
      <c r="AN269" s="1464"/>
      <c r="AO269" s="1464"/>
      <c r="AP269" s="1464">
        <f>AC206</f>
        <v>90535</v>
      </c>
      <c r="AQ269" s="1464"/>
      <c r="AR269" s="1464">
        <f>AC215</f>
        <v>47059</v>
      </c>
      <c r="AS269" s="1464">
        <f>AC225</f>
        <v>49293</v>
      </c>
      <c r="AT269" s="1464"/>
      <c r="AU269" s="1464">
        <f t="shared" si="2"/>
        <v>186887</v>
      </c>
    </row>
    <row r="270" spans="4:47">
      <c r="D270" s="821"/>
      <c r="E270" s="3389"/>
      <c r="AE270" s="1392">
        <f>'SCH B-2.2'!C39</f>
        <v>27801</v>
      </c>
      <c r="AF270" s="1109" t="s">
        <v>1392</v>
      </c>
      <c r="AG270" s="3405">
        <f>E26</f>
        <v>10741</v>
      </c>
      <c r="AH270" s="3405"/>
      <c r="AI270" s="3405"/>
      <c r="AJ270" s="3405"/>
      <c r="AK270" s="3405"/>
      <c r="AL270" s="3405"/>
      <c r="AM270" s="3405"/>
      <c r="AN270" s="3405"/>
      <c r="AO270" s="3405"/>
      <c r="AP270" s="3405">
        <f>AC207</f>
        <v>34489</v>
      </c>
      <c r="AQ270" s="3405"/>
      <c r="AR270" s="3405">
        <f>AC216</f>
        <v>41634</v>
      </c>
      <c r="AS270" s="3405">
        <f>AC226</f>
        <v>173909</v>
      </c>
      <c r="AT270" s="3405"/>
      <c r="AU270" s="3405">
        <f t="shared" si="2"/>
        <v>260773</v>
      </c>
    </row>
    <row r="271" spans="4:47">
      <c r="D271" s="821"/>
      <c r="E271" s="3389"/>
      <c r="AG271" s="1464"/>
      <c r="AH271" s="1464"/>
      <c r="AI271" s="1464"/>
      <c r="AJ271" s="1464"/>
      <c r="AK271" s="1464"/>
      <c r="AL271" s="1464"/>
      <c r="AM271" s="1464"/>
      <c r="AN271" s="1464"/>
      <c r="AO271" s="1464"/>
      <c r="AP271" s="1464"/>
      <c r="AQ271" s="1464"/>
      <c r="AR271" s="1464"/>
      <c r="AS271" s="1464"/>
      <c r="AT271" s="1464"/>
      <c r="AU271" s="1464"/>
    </row>
    <row r="272" spans="4:47">
      <c r="D272" s="821"/>
      <c r="E272" s="3389"/>
      <c r="AF272" s="1109" t="s">
        <v>33</v>
      </c>
      <c r="AG272" s="1464">
        <f>SUM(AG264:AG271)</f>
        <v>13780</v>
      </c>
      <c r="AH272" s="1464"/>
      <c r="AI272" s="1464">
        <f t="shared" ref="AI272:AP272" si="3">SUM(AI264:AI271)</f>
        <v>572026</v>
      </c>
      <c r="AJ272" s="1464">
        <f t="shared" si="3"/>
        <v>0</v>
      </c>
      <c r="AK272" s="1464">
        <f t="shared" si="3"/>
        <v>1437892</v>
      </c>
      <c r="AL272" s="1464">
        <f t="shared" si="3"/>
        <v>561888</v>
      </c>
      <c r="AM272" s="1464">
        <f t="shared" si="3"/>
        <v>852151</v>
      </c>
      <c r="AN272" s="1464">
        <f t="shared" si="3"/>
        <v>231295</v>
      </c>
      <c r="AO272" s="1464">
        <f t="shared" si="3"/>
        <v>2632372</v>
      </c>
      <c r="AP272" s="1464">
        <f t="shared" si="3"/>
        <v>572265</v>
      </c>
      <c r="AQ272" s="1464"/>
      <c r="AR272" s="1464">
        <f>SUM(AR264:AR271)</f>
        <v>88693</v>
      </c>
      <c r="AS272" s="1464">
        <f>SUM(AS264:AS271)</f>
        <v>234349</v>
      </c>
      <c r="AT272" s="1464"/>
      <c r="AU272" s="1464">
        <f>SUM(AU264:AU271)</f>
        <v>7196711</v>
      </c>
    </row>
    <row r="273" spans="4:47">
      <c r="D273" s="821"/>
      <c r="E273" s="3389"/>
      <c r="AG273" s="1464"/>
      <c r="AH273" s="1464"/>
      <c r="AI273" s="1464"/>
      <c r="AJ273" s="1464"/>
      <c r="AK273" s="1464"/>
      <c r="AL273" s="1464"/>
      <c r="AM273" s="1464"/>
      <c r="AN273" s="1464"/>
      <c r="AO273" s="1464"/>
      <c r="AP273" s="1464"/>
      <c r="AQ273" s="1464"/>
      <c r="AR273" s="1464"/>
      <c r="AS273" s="1464"/>
      <c r="AT273" s="1464"/>
      <c r="AU273" s="1464"/>
    </row>
    <row r="274" spans="4:47">
      <c r="D274" s="821"/>
      <c r="E274" s="3389"/>
      <c r="AG274" s="1464"/>
      <c r="AH274" s="1464"/>
      <c r="AI274" s="1464"/>
      <c r="AJ274" s="1464"/>
      <c r="AK274" s="1464"/>
      <c r="AL274" s="1464"/>
      <c r="AM274" s="1464"/>
      <c r="AN274" s="1464"/>
      <c r="AO274" s="1464"/>
      <c r="AP274" s="1464"/>
      <c r="AQ274" s="1464"/>
      <c r="AR274" s="1464"/>
      <c r="AS274" s="1464"/>
      <c r="AT274" s="1464"/>
      <c r="AU274" s="1464"/>
    </row>
    <row r="275" spans="4:47">
      <c r="D275" s="821"/>
      <c r="E275" s="3389"/>
      <c r="AF275" s="3378" t="s">
        <v>1358</v>
      </c>
      <c r="AG275" s="1464"/>
      <c r="AH275" s="1464"/>
      <c r="AI275" s="1464"/>
      <c r="AJ275" s="1464"/>
      <c r="AK275" s="1464"/>
      <c r="AL275" s="1464"/>
      <c r="AM275" s="1464"/>
      <c r="AN275" s="1464"/>
      <c r="AO275" s="1464"/>
      <c r="AP275" s="1464"/>
      <c r="AQ275" s="1464"/>
      <c r="AR275" s="1464"/>
      <c r="AS275" s="1464"/>
      <c r="AT275" s="1464"/>
      <c r="AU275" s="1464"/>
    </row>
    <row r="276" spans="4:47">
      <c r="D276" s="821"/>
      <c r="E276" s="3389"/>
      <c r="AE276" s="1392">
        <f>'SCH B-2.2'!C45</f>
        <v>29100</v>
      </c>
      <c r="AF276" s="1109" t="s">
        <v>1395</v>
      </c>
      <c r="AG276" s="1464">
        <f>E29</f>
        <v>8899</v>
      </c>
      <c r="AH276" s="1464"/>
      <c r="AI276" s="1464"/>
      <c r="AJ276" s="1464"/>
      <c r="AK276" s="1464"/>
      <c r="AL276" s="1464"/>
      <c r="AM276" s="1464"/>
      <c r="AN276" s="1464"/>
      <c r="AO276" s="1464"/>
      <c r="AP276" s="1464"/>
      <c r="AQ276" s="1464"/>
      <c r="AR276" s="1464"/>
      <c r="AS276" s="1464"/>
      <c r="AT276" s="1464"/>
      <c r="AU276" s="1464">
        <f>SUM(AG276:AS276)</f>
        <v>8899</v>
      </c>
    </row>
    <row r="277" spans="4:47">
      <c r="D277" s="821"/>
      <c r="E277" s="3389"/>
      <c r="AE277" s="1392">
        <f>'SCH B-2.2'!C46</f>
        <v>29400</v>
      </c>
      <c r="AF277" s="1109" t="s">
        <v>1396</v>
      </c>
      <c r="AG277" s="1464">
        <f>E30</f>
        <v>21227</v>
      </c>
      <c r="AH277" s="3393"/>
      <c r="AI277" s="3393"/>
      <c r="AJ277" s="3393"/>
      <c r="AK277" s="3393"/>
      <c r="AL277" s="3393"/>
      <c r="AM277" s="3393"/>
      <c r="AN277" s="3393"/>
      <c r="AO277" s="3393"/>
      <c r="AP277" s="3393"/>
      <c r="AQ277" s="3393"/>
      <c r="AR277" s="3393"/>
      <c r="AS277" s="3393"/>
      <c r="AT277" s="3393"/>
      <c r="AU277" s="1464">
        <f>SUM(AG277:AS277)</f>
        <v>21227</v>
      </c>
    </row>
    <row r="278" spans="4:47">
      <c r="D278" s="821"/>
      <c r="E278" s="3389"/>
      <c r="AE278" s="1392">
        <v>29700</v>
      </c>
      <c r="AF278" s="1109" t="s">
        <v>1080</v>
      </c>
      <c r="AG278" s="1464">
        <f>E31</f>
        <v>238</v>
      </c>
      <c r="AH278" s="3393"/>
      <c r="AI278" s="3393"/>
      <c r="AJ278" s="3393"/>
      <c r="AK278" s="3393"/>
      <c r="AL278" s="3393"/>
      <c r="AM278" s="3393"/>
      <c r="AN278" s="3393"/>
      <c r="AO278" s="3393"/>
      <c r="AP278" s="3393"/>
      <c r="AQ278" s="3393"/>
      <c r="AR278" s="3393"/>
      <c r="AS278" s="3393"/>
      <c r="AT278" s="3393"/>
      <c r="AU278" s="1464">
        <f>SUM(AG278:AS278)</f>
        <v>238</v>
      </c>
    </row>
    <row r="279" spans="4:47">
      <c r="D279" s="821"/>
      <c r="E279" s="3389"/>
      <c r="AE279" s="1392">
        <f>'SCH B-2.2'!C48</f>
        <v>29800</v>
      </c>
      <c r="AF279" s="1109" t="s">
        <v>1116</v>
      </c>
      <c r="AG279" s="3405"/>
      <c r="AH279" s="3405"/>
      <c r="AI279" s="3405"/>
      <c r="AJ279" s="3405">
        <f>K79</f>
        <v>0</v>
      </c>
      <c r="AK279" s="3405"/>
      <c r="AL279" s="3405">
        <f>Q119</f>
        <v>41786</v>
      </c>
      <c r="AM279" s="3405"/>
      <c r="AN279" s="3405">
        <f>W163</f>
        <v>41805</v>
      </c>
      <c r="AO279" s="3405"/>
      <c r="AP279" s="3405"/>
      <c r="AQ279" s="3405"/>
      <c r="AR279" s="3405"/>
      <c r="AS279" s="3405"/>
      <c r="AT279" s="3405"/>
      <c r="AU279" s="3405">
        <f>SUM(AG279:AS279)</f>
        <v>83591</v>
      </c>
    </row>
    <row r="280" spans="4:47">
      <c r="D280" s="821"/>
      <c r="E280" s="3389"/>
      <c r="AG280" s="3393"/>
      <c r="AH280" s="3393"/>
      <c r="AI280" s="3393"/>
      <c r="AJ280" s="3393"/>
      <c r="AK280" s="3393"/>
      <c r="AL280" s="3393"/>
      <c r="AM280" s="3393"/>
      <c r="AN280" s="3393"/>
      <c r="AO280" s="3393"/>
      <c r="AP280" s="3393"/>
      <c r="AQ280" s="3393"/>
      <c r="AR280" s="3393"/>
      <c r="AS280" s="3393"/>
      <c r="AT280" s="3393"/>
      <c r="AU280" s="3393"/>
    </row>
    <row r="281" spans="4:47">
      <c r="D281" s="821"/>
      <c r="E281" s="3389"/>
      <c r="AF281" s="1109" t="s">
        <v>33</v>
      </c>
      <c r="AG281" s="1464">
        <f>SUM(AG276:AG280)</f>
        <v>30364</v>
      </c>
      <c r="AH281" s="1464"/>
      <c r="AI281" s="1464"/>
      <c r="AJ281" s="1464">
        <f>SUM(AJ276:AJ280)</f>
        <v>0</v>
      </c>
      <c r="AK281" s="1464"/>
      <c r="AL281" s="1464">
        <f>SUM(AL276:AL280)</f>
        <v>41786</v>
      </c>
      <c r="AM281" s="1464"/>
      <c r="AN281" s="1464">
        <f>SUM(AN276:AN280)</f>
        <v>41805</v>
      </c>
      <c r="AO281" s="1464"/>
      <c r="AP281" s="1464"/>
      <c r="AQ281" s="1464"/>
      <c r="AR281" s="1464"/>
      <c r="AS281" s="1464"/>
      <c r="AT281" s="1464"/>
      <c r="AU281" s="1464">
        <f>SUM(AU276:AU280)</f>
        <v>113955</v>
      </c>
    </row>
    <row r="282" spans="4:47">
      <c r="D282" s="821"/>
      <c r="E282" s="3389"/>
      <c r="AG282" s="1464"/>
      <c r="AH282" s="1464"/>
      <c r="AI282" s="1464"/>
      <c r="AJ282" s="1464"/>
      <c r="AK282" s="1464"/>
      <c r="AL282" s="1464"/>
      <c r="AM282" s="1464"/>
      <c r="AN282" s="1464"/>
      <c r="AO282" s="1464"/>
      <c r="AP282" s="1464"/>
      <c r="AQ282" s="1464"/>
      <c r="AR282" s="1464"/>
      <c r="AS282" s="1464"/>
      <c r="AT282" s="1464"/>
      <c r="AU282" s="1464"/>
    </row>
    <row r="283" spans="4:47">
      <c r="D283" s="821"/>
      <c r="E283" s="3389"/>
      <c r="AG283" s="1464"/>
      <c r="AH283" s="1464"/>
      <c r="AI283" s="1464"/>
      <c r="AJ283" s="1464"/>
      <c r="AK283" s="1464"/>
      <c r="AL283" s="1464"/>
      <c r="AM283" s="1464"/>
      <c r="AN283" s="1464"/>
      <c r="AO283" s="1464"/>
      <c r="AP283" s="1464"/>
      <c r="AQ283" s="1464"/>
      <c r="AR283" s="1464"/>
      <c r="AS283" s="1464"/>
      <c r="AT283" s="1464"/>
      <c r="AU283" s="1464"/>
    </row>
    <row r="284" spans="4:47">
      <c r="D284" s="821"/>
      <c r="E284" s="3389"/>
      <c r="AF284" s="1109" t="s">
        <v>1526</v>
      </c>
      <c r="AG284" s="1464">
        <f>AG281+AG272+AG260</f>
        <v>5064668</v>
      </c>
      <c r="AH284" s="1464"/>
      <c r="AI284" s="1464">
        <f t="shared" ref="AI284:AP284" si="4">AI281+AI272+AI260</f>
        <v>572026</v>
      </c>
      <c r="AJ284" s="1464">
        <f t="shared" si="4"/>
        <v>0</v>
      </c>
      <c r="AK284" s="1464">
        <f t="shared" si="4"/>
        <v>1437892</v>
      </c>
      <c r="AL284" s="1464">
        <f t="shared" si="4"/>
        <v>603674</v>
      </c>
      <c r="AM284" s="1464">
        <f t="shared" si="4"/>
        <v>852151</v>
      </c>
      <c r="AN284" s="1464">
        <f t="shared" si="4"/>
        <v>273100</v>
      </c>
      <c r="AO284" s="1464">
        <f t="shared" si="4"/>
        <v>2632372</v>
      </c>
      <c r="AP284" s="1464">
        <f t="shared" si="4"/>
        <v>572265</v>
      </c>
      <c r="AQ284" s="1464"/>
      <c r="AR284" s="1464">
        <f>AR281+AR272+AR260</f>
        <v>88693</v>
      </c>
      <c r="AS284" s="1464">
        <f>AS281+AS272+AS260</f>
        <v>234349</v>
      </c>
      <c r="AT284" s="1464"/>
      <c r="AU284" s="1464">
        <f>AU281+AU272+AU260</f>
        <v>12331190</v>
      </c>
    </row>
    <row r="285" spans="4:47">
      <c r="D285" s="821"/>
      <c r="E285" s="3389"/>
      <c r="AG285" s="1464"/>
      <c r="AH285" s="1464"/>
      <c r="AI285" s="1464"/>
      <c r="AJ285" s="1464"/>
      <c r="AK285" s="1464"/>
      <c r="AL285" s="1464"/>
      <c r="AM285" s="1464"/>
      <c r="AN285" s="1464"/>
      <c r="AO285" s="1464"/>
      <c r="AP285" s="1464"/>
      <c r="AQ285" s="1464"/>
      <c r="AR285" s="1464"/>
      <c r="AS285" s="1464"/>
      <c r="AT285" s="1464"/>
      <c r="AU285" s="1464"/>
    </row>
    <row r="286" spans="4:47">
      <c r="D286" s="821"/>
      <c r="E286" s="3389"/>
      <c r="AF286" s="1109" t="s">
        <v>67</v>
      </c>
      <c r="AG286" s="1392" t="s">
        <v>68</v>
      </c>
      <c r="AI286" s="1392" t="s">
        <v>68</v>
      </c>
      <c r="AJ286" s="1392" t="s">
        <v>69</v>
      </c>
      <c r="AK286" s="1392" t="s">
        <v>69</v>
      </c>
      <c r="AL286" s="1392" t="s">
        <v>70</v>
      </c>
      <c r="AM286" s="1392" t="s">
        <v>70</v>
      </c>
      <c r="AN286" s="1392" t="s">
        <v>71</v>
      </c>
      <c r="AO286" s="1392" t="s">
        <v>71</v>
      </c>
      <c r="AP286" s="1392" t="s">
        <v>72</v>
      </c>
      <c r="AR286" s="1392" t="s">
        <v>72</v>
      </c>
      <c r="AS286" s="1392" t="s">
        <v>72</v>
      </c>
    </row>
    <row r="287" spans="4:47">
      <c r="D287" s="821"/>
      <c r="E287" s="3389"/>
      <c r="AG287" s="1109" t="str">
        <f>IF(AG284=E33,"","ERROR")</f>
        <v/>
      </c>
      <c r="AI287" s="1109" t="str">
        <f>IF(AI284=E41,"","ERROR")</f>
        <v/>
      </c>
      <c r="AJ287" s="1109" t="str">
        <f>IF(AJ284=K81,"","ERROR")</f>
        <v/>
      </c>
      <c r="AK287" s="1109" t="str">
        <f>IF(AK284=K91,"","ERROR")</f>
        <v/>
      </c>
      <c r="AL287" s="1109" t="str">
        <f>IF(AL284=Q121,"","ERROR")</f>
        <v/>
      </c>
      <c r="AM287" s="1109" t="str">
        <f>IF(AM284=Q129,"","ERROR")</f>
        <v/>
      </c>
      <c r="AN287" s="1109" t="str">
        <f>IF(AN284=W165,"","ERROR")</f>
        <v/>
      </c>
      <c r="AO287" s="1109" t="str">
        <f>IF(AO284=W173,"","ERROR")</f>
        <v/>
      </c>
      <c r="AP287" s="1109" t="str">
        <f>IF(AP284=AC209,"","ERROR")</f>
        <v/>
      </c>
      <c r="AR287" s="1109" t="str">
        <f>IF(AR284=AC218,"","ERROR")</f>
        <v/>
      </c>
      <c r="AS287" s="1109" t="str">
        <f>IF(AS284=AC228,"","ERROR")</f>
        <v/>
      </c>
      <c r="AU287" s="1109" t="str">
        <f>IF(AU284=ROUND(SUM(WPB2.2_iAllocCost),0),"","ERROR")</f>
        <v/>
      </c>
    </row>
    <row r="288" spans="4:47">
      <c r="D288" s="821"/>
      <c r="E288" s="3389"/>
    </row>
    <row r="289" spans="4:31">
      <c r="D289" s="821"/>
      <c r="E289" s="3389"/>
      <c r="AE289" s="3399" t="s">
        <v>2709</v>
      </c>
    </row>
    <row r="290" spans="4:31">
      <c r="D290" s="821"/>
      <c r="E290" s="3389"/>
    </row>
    <row r="291" spans="4:31">
      <c r="D291" s="821"/>
      <c r="E291" s="3389"/>
    </row>
    <row r="292" spans="4:31">
      <c r="D292" s="821"/>
      <c r="E292" s="3389"/>
    </row>
    <row r="293" spans="4:31">
      <c r="D293" s="821"/>
      <c r="E293" s="3389"/>
    </row>
    <row r="294" spans="4:31">
      <c r="D294" s="821"/>
      <c r="E294" s="3389"/>
    </row>
    <row r="295" spans="4:31">
      <c r="D295" s="821"/>
      <c r="E295" s="3389"/>
    </row>
    <row r="296" spans="4:31">
      <c r="D296" s="821"/>
      <c r="E296" s="3389"/>
    </row>
    <row r="297" spans="4:31">
      <c r="D297" s="821"/>
      <c r="E297" s="3389"/>
    </row>
    <row r="298" spans="4:31">
      <c r="D298" s="821"/>
      <c r="E298" s="3389"/>
    </row>
    <row r="299" spans="4:31">
      <c r="D299" s="821"/>
      <c r="E299" s="3389"/>
    </row>
    <row r="300" spans="4:31">
      <c r="D300" s="821"/>
      <c r="E300" s="3389"/>
    </row>
    <row r="301" spans="4:31">
      <c r="D301" s="821"/>
      <c r="E301" s="3389"/>
    </row>
    <row r="302" spans="4:31">
      <c r="D302" s="821"/>
      <c r="E302" s="3389"/>
    </row>
    <row r="303" spans="4:31">
      <c r="D303" s="821"/>
      <c r="E303" s="3389"/>
    </row>
    <row r="304" spans="4:31">
      <c r="D304" s="821"/>
      <c r="E304" s="3389"/>
    </row>
    <row r="305" spans="4:5">
      <c r="D305" s="821"/>
      <c r="E305" s="3389"/>
    </row>
    <row r="306" spans="4:5">
      <c r="D306" s="821"/>
      <c r="E306" s="3389"/>
    </row>
    <row r="307" spans="4:5">
      <c r="D307" s="821"/>
      <c r="E307" s="3389"/>
    </row>
    <row r="308" spans="4:5">
      <c r="D308" s="821"/>
      <c r="E308" s="3389"/>
    </row>
    <row r="309" spans="4:5">
      <c r="D309" s="821"/>
      <c r="E309" s="3389"/>
    </row>
    <row r="310" spans="4:5">
      <c r="D310" s="821"/>
      <c r="E310" s="3389"/>
    </row>
    <row r="311" spans="4:5">
      <c r="D311" s="821"/>
      <c r="E311" s="3389"/>
    </row>
    <row r="312" spans="4:5">
      <c r="D312" s="821"/>
      <c r="E312" s="3389"/>
    </row>
    <row r="313" spans="4:5">
      <c r="D313" s="821"/>
      <c r="E313" s="3389"/>
    </row>
    <row r="314" spans="4:5">
      <c r="D314" s="821"/>
      <c r="E314" s="3389"/>
    </row>
    <row r="315" spans="4:5">
      <c r="D315" s="821"/>
      <c r="E315" s="3389"/>
    </row>
    <row r="316" spans="4:5">
      <c r="D316" s="821"/>
      <c r="E316" s="3389"/>
    </row>
    <row r="317" spans="4:5">
      <c r="D317" s="821"/>
      <c r="E317" s="3389"/>
    </row>
    <row r="318" spans="4:5">
      <c r="D318" s="821"/>
      <c r="E318" s="3389"/>
    </row>
    <row r="319" spans="4:5">
      <c r="D319" s="821"/>
      <c r="E319" s="3389"/>
    </row>
    <row r="320" spans="4:5">
      <c r="D320" s="821"/>
      <c r="E320" s="3389"/>
    </row>
    <row r="321" spans="4:5">
      <c r="D321" s="821"/>
      <c r="E321" s="3389"/>
    </row>
    <row r="322" spans="4:5">
      <c r="D322" s="821"/>
      <c r="E322" s="3389"/>
    </row>
    <row r="323" spans="4:5">
      <c r="D323" s="821"/>
      <c r="E323" s="3389"/>
    </row>
    <row r="324" spans="4:5">
      <c r="D324" s="821"/>
      <c r="E324" s="3389"/>
    </row>
    <row r="325" spans="4:5">
      <c r="D325" s="821"/>
      <c r="E325" s="3389"/>
    </row>
    <row r="326" spans="4:5">
      <c r="D326" s="821"/>
      <c r="E326" s="3389"/>
    </row>
    <row r="327" spans="4:5">
      <c r="D327" s="821"/>
      <c r="E327" s="3389"/>
    </row>
    <row r="328" spans="4:5">
      <c r="D328" s="821"/>
      <c r="E328" s="3389"/>
    </row>
    <row r="329" spans="4:5">
      <c r="D329" s="821"/>
      <c r="E329" s="3389"/>
    </row>
    <row r="330" spans="4:5">
      <c r="D330" s="821"/>
      <c r="E330" s="3389"/>
    </row>
    <row r="331" spans="4:5">
      <c r="D331" s="821"/>
      <c r="E331" s="3389"/>
    </row>
    <row r="332" spans="4:5">
      <c r="D332" s="821"/>
      <c r="E332" s="3389"/>
    </row>
    <row r="333" spans="4:5">
      <c r="D333" s="821"/>
      <c r="E333" s="3389"/>
    </row>
    <row r="334" spans="4:5">
      <c r="D334" s="821"/>
      <c r="E334" s="3389"/>
    </row>
    <row r="335" spans="4:5">
      <c r="D335" s="821"/>
      <c r="E335" s="3389"/>
    </row>
    <row r="336" spans="4:5">
      <c r="D336" s="821"/>
      <c r="E336" s="3389"/>
    </row>
    <row r="337" spans="4:5">
      <c r="D337" s="821"/>
      <c r="E337" s="3389"/>
    </row>
    <row r="338" spans="4:5">
      <c r="D338" s="821"/>
      <c r="E338" s="3389"/>
    </row>
    <row r="339" spans="4:5">
      <c r="D339" s="821"/>
      <c r="E339" s="3389"/>
    </row>
    <row r="340" spans="4:5">
      <c r="D340" s="821"/>
      <c r="E340" s="3389"/>
    </row>
    <row r="341" spans="4:5">
      <c r="D341" s="821"/>
      <c r="E341" s="3389"/>
    </row>
    <row r="342" spans="4:5">
      <c r="D342" s="821"/>
      <c r="E342" s="3389"/>
    </row>
    <row r="343" spans="4:5">
      <c r="D343" s="821"/>
      <c r="E343" s="3389"/>
    </row>
    <row r="344" spans="4:5">
      <c r="D344" s="821"/>
      <c r="E344" s="3389"/>
    </row>
    <row r="345" spans="4:5">
      <c r="D345" s="821"/>
      <c r="E345" s="3389"/>
    </row>
    <row r="346" spans="4:5">
      <c r="D346" s="821"/>
      <c r="E346" s="3389"/>
    </row>
    <row r="347" spans="4:5">
      <c r="D347" s="821"/>
      <c r="E347" s="3389"/>
    </row>
    <row r="348" spans="4:5">
      <c r="D348" s="821"/>
      <c r="E348" s="3389"/>
    </row>
    <row r="349" spans="4:5">
      <c r="D349" s="821"/>
      <c r="E349" s="3389"/>
    </row>
    <row r="350" spans="4:5">
      <c r="D350" s="821"/>
      <c r="E350" s="3389"/>
    </row>
    <row r="351" spans="4:5">
      <c r="D351" s="821"/>
      <c r="E351" s="3389"/>
    </row>
    <row r="352" spans="4:5">
      <c r="D352" s="821"/>
      <c r="E352" s="3389"/>
    </row>
    <row r="353" spans="4:5">
      <c r="D353" s="821"/>
      <c r="E353" s="3389"/>
    </row>
    <row r="354" spans="4:5">
      <c r="D354" s="821"/>
      <c r="E354" s="3389"/>
    </row>
    <row r="355" spans="4:5">
      <c r="D355" s="821"/>
      <c r="E355" s="3389"/>
    </row>
    <row r="356" spans="4:5">
      <c r="D356" s="821"/>
      <c r="E356" s="3389"/>
    </row>
    <row r="357" spans="4:5">
      <c r="D357" s="821"/>
      <c r="E357" s="3389"/>
    </row>
    <row r="358" spans="4:5">
      <c r="D358" s="821"/>
      <c r="E358" s="3389"/>
    </row>
    <row r="359" spans="4:5">
      <c r="D359" s="821"/>
      <c r="E359" s="3389"/>
    </row>
    <row r="360" spans="4:5">
      <c r="D360" s="821"/>
      <c r="E360" s="3389"/>
    </row>
    <row r="361" spans="4:5">
      <c r="D361" s="821"/>
      <c r="E361" s="3389"/>
    </row>
    <row r="362" spans="4:5">
      <c r="D362" s="821"/>
      <c r="E362" s="3389"/>
    </row>
    <row r="363" spans="4:5">
      <c r="D363" s="821"/>
      <c r="E363" s="3389"/>
    </row>
    <row r="364" spans="4:5">
      <c r="D364" s="821"/>
      <c r="E364" s="3389"/>
    </row>
    <row r="365" spans="4:5">
      <c r="D365" s="821"/>
      <c r="E365" s="3389"/>
    </row>
    <row r="366" spans="4:5">
      <c r="D366" s="821"/>
      <c r="E366" s="3389"/>
    </row>
    <row r="367" spans="4:5">
      <c r="D367" s="821"/>
      <c r="E367" s="3389"/>
    </row>
    <row r="368" spans="4:5">
      <c r="D368" s="821"/>
      <c r="E368" s="3389"/>
    </row>
    <row r="369" spans="4:5">
      <c r="D369" s="821"/>
      <c r="E369" s="3389"/>
    </row>
    <row r="370" spans="4:5">
      <c r="D370" s="821"/>
      <c r="E370" s="3389"/>
    </row>
    <row r="371" spans="4:5">
      <c r="D371" s="821"/>
      <c r="E371" s="3389"/>
    </row>
    <row r="372" spans="4:5">
      <c r="D372" s="821"/>
      <c r="E372" s="3389"/>
    </row>
    <row r="373" spans="4:5">
      <c r="D373" s="821"/>
      <c r="E373" s="3389"/>
    </row>
    <row r="374" spans="4:5">
      <c r="D374" s="821"/>
      <c r="E374" s="3389"/>
    </row>
    <row r="375" spans="4:5">
      <c r="D375" s="821"/>
      <c r="E375" s="3389"/>
    </row>
    <row r="376" spans="4:5">
      <c r="D376" s="821"/>
      <c r="E376" s="3389"/>
    </row>
    <row r="377" spans="4:5">
      <c r="D377" s="821"/>
      <c r="E377" s="3389"/>
    </row>
    <row r="378" spans="4:5">
      <c r="D378" s="821"/>
      <c r="E378" s="3389"/>
    </row>
    <row r="379" spans="4:5">
      <c r="D379" s="821"/>
      <c r="E379" s="3389"/>
    </row>
    <row r="380" spans="4:5">
      <c r="D380" s="821"/>
      <c r="E380" s="3389"/>
    </row>
    <row r="381" spans="4:5">
      <c r="D381" s="821"/>
      <c r="E381" s="3389"/>
    </row>
    <row r="382" spans="4:5">
      <c r="D382" s="821"/>
      <c r="E382" s="3389"/>
    </row>
    <row r="383" spans="4:5">
      <c r="D383" s="821"/>
      <c r="E383" s="3389"/>
    </row>
    <row r="384" spans="4:5">
      <c r="D384" s="821"/>
      <c r="E384" s="3389"/>
    </row>
    <row r="385" spans="4:5">
      <c r="D385" s="821"/>
      <c r="E385" s="3389"/>
    </row>
    <row r="386" spans="4:5">
      <c r="D386" s="821"/>
      <c r="E386" s="3389"/>
    </row>
    <row r="387" spans="4:5">
      <c r="D387" s="821"/>
      <c r="E387" s="3389"/>
    </row>
    <row r="388" spans="4:5">
      <c r="D388" s="821"/>
      <c r="E388" s="3389"/>
    </row>
    <row r="389" spans="4:5">
      <c r="D389" s="821"/>
      <c r="E389" s="3389"/>
    </row>
    <row r="390" spans="4:5">
      <c r="D390" s="821"/>
      <c r="E390" s="3389"/>
    </row>
    <row r="391" spans="4:5">
      <c r="D391" s="821"/>
      <c r="E391" s="3389"/>
    </row>
    <row r="392" spans="4:5">
      <c r="D392" s="821"/>
      <c r="E392" s="3389"/>
    </row>
    <row r="393" spans="4:5">
      <c r="D393" s="821"/>
      <c r="E393" s="3389"/>
    </row>
    <row r="394" spans="4:5">
      <c r="D394" s="821"/>
      <c r="E394" s="3389"/>
    </row>
    <row r="395" spans="4:5">
      <c r="D395" s="821"/>
      <c r="E395" s="3389"/>
    </row>
    <row r="396" spans="4:5">
      <c r="D396" s="821"/>
      <c r="E396" s="3389"/>
    </row>
    <row r="397" spans="4:5">
      <c r="D397" s="821"/>
      <c r="E397" s="3389"/>
    </row>
    <row r="398" spans="4:5">
      <c r="D398" s="821"/>
      <c r="E398" s="3389"/>
    </row>
    <row r="399" spans="4:5">
      <c r="D399" s="821"/>
      <c r="E399" s="3389"/>
    </row>
    <row r="400" spans="4:5">
      <c r="D400" s="821"/>
      <c r="E400" s="3389"/>
    </row>
    <row r="401" spans="4:5">
      <c r="D401" s="821"/>
      <c r="E401" s="3389"/>
    </row>
    <row r="402" spans="4:5">
      <c r="D402" s="821"/>
      <c r="E402" s="3389"/>
    </row>
    <row r="403" spans="4:5">
      <c r="D403" s="821"/>
      <c r="E403" s="3389"/>
    </row>
    <row r="404" spans="4:5">
      <c r="D404" s="821"/>
      <c r="E404" s="3389"/>
    </row>
    <row r="405" spans="4:5">
      <c r="D405" s="821"/>
      <c r="E405" s="3389"/>
    </row>
    <row r="406" spans="4:5">
      <c r="D406" s="821"/>
      <c r="E406" s="3389"/>
    </row>
    <row r="407" spans="4:5">
      <c r="D407" s="821"/>
      <c r="E407" s="3389"/>
    </row>
    <row r="408" spans="4:5">
      <c r="D408" s="821"/>
      <c r="E408" s="3389"/>
    </row>
    <row r="409" spans="4:5">
      <c r="D409" s="821"/>
      <c r="E409" s="3389"/>
    </row>
    <row r="410" spans="4:5">
      <c r="D410" s="821"/>
      <c r="E410" s="3389"/>
    </row>
    <row r="411" spans="4:5">
      <c r="D411" s="821"/>
      <c r="E411" s="3389"/>
    </row>
    <row r="412" spans="4:5">
      <c r="D412" s="821"/>
      <c r="E412" s="3389"/>
    </row>
    <row r="413" spans="4:5">
      <c r="D413" s="821"/>
      <c r="E413" s="3389"/>
    </row>
    <row r="414" spans="4:5">
      <c r="D414" s="821"/>
      <c r="E414" s="3389"/>
    </row>
    <row r="415" spans="4:5">
      <c r="D415" s="821"/>
      <c r="E415" s="3389"/>
    </row>
    <row r="416" spans="4:5">
      <c r="D416" s="821"/>
      <c r="E416" s="3389"/>
    </row>
    <row r="417" spans="4:5">
      <c r="D417" s="821"/>
      <c r="E417" s="3389"/>
    </row>
    <row r="418" spans="4:5">
      <c r="D418" s="821"/>
      <c r="E418" s="3389"/>
    </row>
    <row r="419" spans="4:5">
      <c r="D419" s="821"/>
      <c r="E419" s="3389"/>
    </row>
    <row r="420" spans="4:5">
      <c r="D420" s="821"/>
      <c r="E420" s="3389"/>
    </row>
    <row r="421" spans="4:5">
      <c r="D421" s="821"/>
      <c r="E421" s="3389"/>
    </row>
    <row r="422" spans="4:5">
      <c r="D422" s="821"/>
      <c r="E422" s="3389"/>
    </row>
    <row r="423" spans="4:5">
      <c r="D423" s="821"/>
      <c r="E423" s="3389"/>
    </row>
    <row r="424" spans="4:5">
      <c r="D424" s="821"/>
      <c r="E424" s="3389"/>
    </row>
    <row r="425" spans="4:5">
      <c r="D425" s="821"/>
      <c r="E425" s="3389"/>
    </row>
    <row r="426" spans="4:5">
      <c r="D426" s="821"/>
      <c r="E426" s="3389"/>
    </row>
    <row r="427" spans="4:5">
      <c r="D427" s="821"/>
      <c r="E427" s="3389"/>
    </row>
    <row r="428" spans="4:5">
      <c r="D428" s="821"/>
      <c r="E428" s="3389"/>
    </row>
    <row r="429" spans="4:5">
      <c r="D429" s="821"/>
      <c r="E429" s="3389"/>
    </row>
    <row r="430" spans="4:5">
      <c r="D430" s="821"/>
      <c r="E430" s="3389"/>
    </row>
    <row r="431" spans="4:5">
      <c r="D431" s="821"/>
      <c r="E431" s="3389"/>
    </row>
    <row r="432" spans="4:5">
      <c r="D432" s="821"/>
      <c r="E432" s="3389"/>
    </row>
    <row r="433" spans="4:5">
      <c r="D433" s="821"/>
      <c r="E433" s="3389"/>
    </row>
    <row r="434" spans="4:5">
      <c r="D434" s="821"/>
      <c r="E434" s="3389"/>
    </row>
    <row r="435" spans="4:5">
      <c r="D435" s="821"/>
      <c r="E435" s="3389"/>
    </row>
    <row r="436" spans="4:5">
      <c r="D436" s="821"/>
      <c r="E436" s="3389"/>
    </row>
    <row r="437" spans="4:5">
      <c r="D437" s="821"/>
      <c r="E437" s="3389"/>
    </row>
    <row r="438" spans="4:5">
      <c r="D438" s="821"/>
      <c r="E438" s="3389"/>
    </row>
    <row r="439" spans="4:5">
      <c r="D439" s="821"/>
      <c r="E439" s="3389"/>
    </row>
    <row r="440" spans="4:5">
      <c r="D440" s="821"/>
      <c r="E440" s="3389"/>
    </row>
    <row r="441" spans="4:5">
      <c r="D441" s="821"/>
      <c r="E441" s="3389"/>
    </row>
    <row r="442" spans="4:5">
      <c r="D442" s="821"/>
      <c r="E442" s="3389"/>
    </row>
    <row r="443" spans="4:5">
      <c r="D443" s="821"/>
      <c r="E443" s="3389"/>
    </row>
    <row r="444" spans="4:5">
      <c r="D444" s="821"/>
      <c r="E444" s="3389"/>
    </row>
    <row r="445" spans="4:5">
      <c r="D445" s="821"/>
      <c r="E445" s="3389"/>
    </row>
    <row r="446" spans="4:5">
      <c r="D446" s="821"/>
      <c r="E446" s="3389"/>
    </row>
    <row r="447" spans="4:5">
      <c r="D447" s="821"/>
      <c r="E447" s="3389"/>
    </row>
    <row r="448" spans="4:5">
      <c r="D448" s="821"/>
      <c r="E448" s="3389"/>
    </row>
    <row r="449" spans="4:5">
      <c r="D449" s="821"/>
      <c r="E449" s="3389"/>
    </row>
    <row r="450" spans="4:5">
      <c r="D450" s="821"/>
      <c r="E450" s="3389"/>
    </row>
    <row r="451" spans="4:5">
      <c r="D451" s="821"/>
      <c r="E451" s="3389"/>
    </row>
    <row r="452" spans="4:5">
      <c r="D452" s="821"/>
      <c r="E452" s="3389"/>
    </row>
    <row r="453" spans="4:5">
      <c r="D453" s="821"/>
      <c r="E453" s="3389"/>
    </row>
    <row r="454" spans="4:5">
      <c r="D454" s="821"/>
      <c r="E454" s="3389"/>
    </row>
    <row r="455" spans="4:5">
      <c r="D455" s="821"/>
      <c r="E455" s="3389"/>
    </row>
    <row r="456" spans="4:5">
      <c r="D456" s="821"/>
      <c r="E456" s="3389"/>
    </row>
    <row r="457" spans="4:5">
      <c r="D457" s="821"/>
      <c r="E457" s="3389"/>
    </row>
    <row r="458" spans="4:5">
      <c r="D458" s="821"/>
      <c r="E458" s="3389"/>
    </row>
    <row r="459" spans="4:5">
      <c r="D459" s="821"/>
      <c r="E459" s="3389"/>
    </row>
    <row r="460" spans="4:5">
      <c r="D460" s="821"/>
      <c r="E460" s="3389"/>
    </row>
    <row r="461" spans="4:5">
      <c r="D461" s="821"/>
      <c r="E461" s="3389"/>
    </row>
    <row r="462" spans="4:5">
      <c r="D462" s="821"/>
      <c r="E462" s="3389"/>
    </row>
    <row r="463" spans="4:5">
      <c r="D463" s="821"/>
      <c r="E463" s="3389"/>
    </row>
    <row r="464" spans="4:5">
      <c r="D464" s="821"/>
      <c r="E464" s="3389"/>
    </row>
    <row r="465" spans="4:5">
      <c r="D465" s="821"/>
      <c r="E465" s="3389"/>
    </row>
    <row r="466" spans="4:5">
      <c r="D466" s="821"/>
      <c r="E466" s="3389"/>
    </row>
    <row r="467" spans="4:5">
      <c r="D467" s="821"/>
      <c r="E467" s="3389"/>
    </row>
    <row r="468" spans="4:5">
      <c r="D468" s="821"/>
      <c r="E468" s="3389"/>
    </row>
    <row r="469" spans="4:5">
      <c r="D469" s="821"/>
      <c r="E469" s="3389"/>
    </row>
    <row r="470" spans="4:5">
      <c r="D470" s="821"/>
      <c r="E470" s="3389"/>
    </row>
    <row r="471" spans="4:5">
      <c r="D471" s="821"/>
      <c r="E471" s="3389"/>
    </row>
    <row r="472" spans="4:5">
      <c r="D472" s="821"/>
      <c r="E472" s="3389"/>
    </row>
    <row r="473" spans="4:5">
      <c r="D473" s="821"/>
      <c r="E473" s="3389"/>
    </row>
    <row r="474" spans="4:5">
      <c r="D474" s="821"/>
      <c r="E474" s="3389"/>
    </row>
    <row r="475" spans="4:5">
      <c r="D475" s="821"/>
      <c r="E475" s="3389"/>
    </row>
    <row r="476" spans="4:5">
      <c r="D476" s="821"/>
      <c r="E476" s="3389"/>
    </row>
    <row r="477" spans="4:5">
      <c r="D477" s="821"/>
      <c r="E477" s="3389"/>
    </row>
    <row r="478" spans="4:5">
      <c r="D478" s="821"/>
      <c r="E478" s="3389"/>
    </row>
    <row r="479" spans="4:5">
      <c r="D479" s="821"/>
      <c r="E479" s="3389"/>
    </row>
    <row r="480" spans="4:5">
      <c r="D480" s="821"/>
      <c r="E480" s="3389"/>
    </row>
    <row r="481" spans="4:5">
      <c r="D481" s="821"/>
      <c r="E481" s="3389"/>
    </row>
    <row r="482" spans="4:5">
      <c r="D482" s="821"/>
      <c r="E482" s="3389"/>
    </row>
    <row r="483" spans="4:5">
      <c r="D483" s="821"/>
      <c r="E483" s="3389"/>
    </row>
    <row r="484" spans="4:5">
      <c r="D484" s="821"/>
      <c r="E484" s="3389"/>
    </row>
    <row r="485" spans="4:5">
      <c r="D485" s="821"/>
      <c r="E485" s="3389"/>
    </row>
    <row r="486" spans="4:5">
      <c r="D486" s="821"/>
      <c r="E486" s="3389"/>
    </row>
    <row r="487" spans="4:5">
      <c r="D487" s="821"/>
      <c r="E487" s="3389"/>
    </row>
    <row r="488" spans="4:5">
      <c r="D488" s="821"/>
      <c r="E488" s="3389"/>
    </row>
    <row r="489" spans="4:5">
      <c r="D489" s="821"/>
      <c r="E489" s="3389"/>
    </row>
    <row r="490" spans="4:5">
      <c r="D490" s="821"/>
      <c r="E490" s="3389"/>
    </row>
    <row r="491" spans="4:5">
      <c r="D491" s="821"/>
      <c r="E491" s="3389"/>
    </row>
    <row r="492" spans="4:5">
      <c r="D492" s="821"/>
      <c r="E492" s="3389"/>
    </row>
    <row r="493" spans="4:5">
      <c r="D493" s="821"/>
      <c r="E493" s="3389"/>
    </row>
    <row r="494" spans="4:5">
      <c r="D494" s="821"/>
      <c r="E494" s="3389"/>
    </row>
    <row r="495" spans="4:5">
      <c r="D495" s="821"/>
      <c r="E495" s="3389"/>
    </row>
    <row r="496" spans="4:5">
      <c r="D496" s="821"/>
      <c r="E496" s="3389"/>
    </row>
    <row r="497" spans="4:5">
      <c r="D497" s="821"/>
      <c r="E497" s="3389"/>
    </row>
    <row r="498" spans="4:5">
      <c r="D498" s="821"/>
      <c r="E498" s="3389"/>
    </row>
    <row r="499" spans="4:5">
      <c r="D499" s="821"/>
      <c r="E499" s="3389"/>
    </row>
    <row r="500" spans="4:5">
      <c r="D500" s="821"/>
      <c r="E500" s="3389"/>
    </row>
    <row r="501" spans="4:5">
      <c r="D501" s="821"/>
      <c r="E501" s="3389"/>
    </row>
    <row r="502" spans="4:5">
      <c r="D502" s="821"/>
      <c r="E502" s="3389"/>
    </row>
    <row r="503" spans="4:5">
      <c r="D503" s="821"/>
      <c r="E503" s="3389"/>
    </row>
    <row r="504" spans="4:5">
      <c r="D504" s="821"/>
      <c r="E504" s="3389"/>
    </row>
    <row r="505" spans="4:5">
      <c r="D505" s="821"/>
      <c r="E505" s="3389"/>
    </row>
    <row r="506" spans="4:5">
      <c r="D506" s="821"/>
      <c r="E506" s="3389"/>
    </row>
    <row r="507" spans="4:5">
      <c r="D507" s="821"/>
      <c r="E507" s="3389"/>
    </row>
    <row r="508" spans="4:5">
      <c r="D508" s="821"/>
      <c r="E508" s="3389"/>
    </row>
    <row r="509" spans="4:5">
      <c r="D509" s="821"/>
      <c r="E509" s="3389"/>
    </row>
    <row r="510" spans="4:5">
      <c r="D510" s="821"/>
      <c r="E510" s="3389"/>
    </row>
    <row r="511" spans="4:5">
      <c r="D511" s="821"/>
      <c r="E511" s="3389"/>
    </row>
    <row r="512" spans="4:5">
      <c r="D512" s="821"/>
      <c r="E512" s="3389"/>
    </row>
    <row r="513" spans="4:5">
      <c r="D513" s="821"/>
      <c r="E513" s="3389"/>
    </row>
    <row r="514" spans="4:5">
      <c r="D514" s="821"/>
      <c r="E514" s="3389"/>
    </row>
    <row r="515" spans="4:5">
      <c r="D515" s="821"/>
      <c r="E515" s="3389"/>
    </row>
    <row r="516" spans="4:5">
      <c r="D516" s="821"/>
      <c r="E516" s="3389"/>
    </row>
    <row r="517" spans="4:5">
      <c r="D517" s="821"/>
      <c r="E517" s="3389"/>
    </row>
    <row r="518" spans="4:5">
      <c r="D518" s="821"/>
      <c r="E518" s="3389"/>
    </row>
    <row r="519" spans="4:5">
      <c r="D519" s="821"/>
      <c r="E519" s="3389"/>
    </row>
    <row r="520" spans="4:5">
      <c r="D520" s="821"/>
      <c r="E520" s="3389"/>
    </row>
    <row r="521" spans="4:5">
      <c r="D521" s="821"/>
      <c r="E521" s="3389"/>
    </row>
    <row r="522" spans="4:5">
      <c r="D522" s="821"/>
      <c r="E522" s="3389"/>
    </row>
    <row r="523" spans="4:5">
      <c r="D523" s="821"/>
      <c r="E523" s="3389"/>
    </row>
    <row r="524" spans="4:5">
      <c r="D524" s="821"/>
      <c r="E524" s="3389"/>
    </row>
    <row r="525" spans="4:5">
      <c r="D525" s="821"/>
      <c r="E525" s="3389"/>
    </row>
    <row r="526" spans="4:5">
      <c r="D526" s="821"/>
      <c r="E526" s="3389"/>
    </row>
    <row r="527" spans="4:5">
      <c r="D527" s="821"/>
      <c r="E527" s="3389"/>
    </row>
    <row r="528" spans="4:5">
      <c r="D528" s="821"/>
      <c r="E528" s="3389"/>
    </row>
    <row r="529" spans="4:5">
      <c r="D529" s="821"/>
      <c r="E529" s="3389"/>
    </row>
    <row r="530" spans="4:5">
      <c r="D530" s="821"/>
      <c r="E530" s="3389"/>
    </row>
    <row r="531" spans="4:5">
      <c r="D531" s="821"/>
      <c r="E531" s="3389"/>
    </row>
    <row r="532" spans="4:5">
      <c r="D532" s="821"/>
      <c r="E532" s="3389"/>
    </row>
    <row r="533" spans="4:5">
      <c r="D533" s="821"/>
      <c r="E533" s="3389"/>
    </row>
    <row r="534" spans="4:5">
      <c r="D534" s="821"/>
      <c r="E534" s="3389"/>
    </row>
    <row r="535" spans="4:5">
      <c r="D535" s="821"/>
      <c r="E535" s="3389"/>
    </row>
    <row r="536" spans="4:5">
      <c r="D536" s="821"/>
      <c r="E536" s="3389"/>
    </row>
    <row r="537" spans="4:5">
      <c r="D537" s="821"/>
      <c r="E537" s="3389"/>
    </row>
    <row r="538" spans="4:5">
      <c r="D538" s="821"/>
      <c r="E538" s="3389"/>
    </row>
    <row r="539" spans="4:5">
      <c r="D539" s="821"/>
      <c r="E539" s="3389"/>
    </row>
    <row r="540" spans="4:5">
      <c r="D540" s="821"/>
      <c r="E540" s="3389"/>
    </row>
    <row r="541" spans="4:5">
      <c r="D541" s="821"/>
      <c r="E541" s="3389"/>
    </row>
    <row r="542" spans="4:5">
      <c r="D542" s="821"/>
      <c r="E542" s="3389"/>
    </row>
    <row r="543" spans="4:5">
      <c r="D543" s="821"/>
      <c r="E543" s="3389"/>
    </row>
    <row r="544" spans="4:5">
      <c r="D544" s="821"/>
      <c r="E544" s="3389"/>
    </row>
    <row r="545" spans="4:5">
      <c r="D545" s="821"/>
      <c r="E545" s="3389"/>
    </row>
    <row r="546" spans="4:5">
      <c r="D546" s="821"/>
      <c r="E546" s="3389"/>
    </row>
    <row r="547" spans="4:5">
      <c r="D547" s="821"/>
      <c r="E547" s="3389"/>
    </row>
    <row r="548" spans="4:5">
      <c r="D548" s="821"/>
      <c r="E548" s="3389"/>
    </row>
    <row r="549" spans="4:5">
      <c r="D549" s="821"/>
      <c r="E549" s="3389"/>
    </row>
    <row r="550" spans="4:5">
      <c r="D550" s="821"/>
      <c r="E550" s="3389"/>
    </row>
    <row r="551" spans="4:5">
      <c r="D551" s="821"/>
      <c r="E551" s="3389"/>
    </row>
    <row r="552" spans="4:5">
      <c r="D552" s="821"/>
      <c r="E552" s="3389"/>
    </row>
    <row r="553" spans="4:5">
      <c r="D553" s="821"/>
      <c r="E553" s="3389"/>
    </row>
    <row r="554" spans="4:5">
      <c r="D554" s="821"/>
      <c r="E554" s="3389"/>
    </row>
    <row r="555" spans="4:5">
      <c r="D555" s="821"/>
      <c r="E555" s="3389"/>
    </row>
    <row r="556" spans="4:5">
      <c r="D556" s="821"/>
      <c r="E556" s="3389"/>
    </row>
    <row r="557" spans="4:5">
      <c r="D557" s="821"/>
      <c r="E557" s="3389"/>
    </row>
    <row r="558" spans="4:5">
      <c r="D558" s="821"/>
      <c r="E558" s="3389"/>
    </row>
    <row r="559" spans="4:5">
      <c r="D559" s="821"/>
      <c r="E559" s="3389"/>
    </row>
    <row r="560" spans="4:5">
      <c r="D560" s="821"/>
      <c r="E560" s="3389"/>
    </row>
    <row r="561" spans="4:5">
      <c r="D561" s="821"/>
      <c r="E561" s="3389"/>
    </row>
    <row r="562" spans="4:5">
      <c r="D562" s="821"/>
      <c r="E562" s="3389"/>
    </row>
    <row r="563" spans="4:5">
      <c r="D563" s="821"/>
      <c r="E563" s="3389"/>
    </row>
    <row r="564" spans="4:5">
      <c r="D564" s="821"/>
      <c r="E564" s="3389"/>
    </row>
    <row r="565" spans="4:5">
      <c r="D565" s="821"/>
      <c r="E565" s="3389"/>
    </row>
    <row r="566" spans="4:5">
      <c r="D566" s="821"/>
      <c r="E566" s="3389"/>
    </row>
    <row r="567" spans="4:5">
      <c r="D567" s="821"/>
      <c r="E567" s="3389"/>
    </row>
    <row r="568" spans="4:5">
      <c r="D568" s="821"/>
      <c r="E568" s="3389"/>
    </row>
    <row r="569" spans="4:5">
      <c r="D569" s="821"/>
      <c r="E569" s="3389"/>
    </row>
    <row r="570" spans="4:5">
      <c r="D570" s="821"/>
      <c r="E570" s="3389"/>
    </row>
    <row r="571" spans="4:5">
      <c r="D571" s="821"/>
      <c r="E571" s="3389"/>
    </row>
    <row r="572" spans="4:5">
      <c r="D572" s="821"/>
      <c r="E572" s="3389"/>
    </row>
    <row r="573" spans="4:5">
      <c r="D573" s="821"/>
      <c r="E573" s="3389"/>
    </row>
    <row r="574" spans="4:5">
      <c r="D574" s="821"/>
      <c r="E574" s="3389"/>
    </row>
    <row r="575" spans="4:5">
      <c r="D575" s="821"/>
      <c r="E575" s="3389"/>
    </row>
    <row r="576" spans="4:5">
      <c r="D576" s="821"/>
      <c r="E576" s="3389"/>
    </row>
    <row r="577" spans="4:5">
      <c r="D577" s="821"/>
      <c r="E577" s="3389"/>
    </row>
    <row r="578" spans="4:5">
      <c r="D578" s="821"/>
      <c r="E578" s="3389"/>
    </row>
    <row r="579" spans="4:5">
      <c r="D579" s="821"/>
      <c r="E579" s="3389"/>
    </row>
    <row r="580" spans="4:5">
      <c r="D580" s="821"/>
      <c r="E580" s="3389"/>
    </row>
    <row r="581" spans="4:5">
      <c r="D581" s="821"/>
      <c r="E581" s="3389"/>
    </row>
    <row r="582" spans="4:5">
      <c r="D582" s="821"/>
      <c r="E582" s="3389"/>
    </row>
    <row r="583" spans="4:5">
      <c r="D583" s="821"/>
      <c r="E583" s="3389"/>
    </row>
    <row r="584" spans="4:5">
      <c r="D584" s="821"/>
      <c r="E584" s="3389"/>
    </row>
    <row r="585" spans="4:5">
      <c r="D585" s="821"/>
      <c r="E585" s="3389"/>
    </row>
    <row r="586" spans="4:5">
      <c r="D586" s="821"/>
      <c r="E586" s="3389"/>
    </row>
    <row r="587" spans="4:5">
      <c r="D587" s="821"/>
      <c r="E587" s="3389"/>
    </row>
    <row r="588" spans="4:5">
      <c r="D588" s="821"/>
      <c r="E588" s="3389"/>
    </row>
    <row r="589" spans="4:5">
      <c r="D589" s="821"/>
      <c r="E589" s="3389"/>
    </row>
    <row r="590" spans="4:5">
      <c r="D590" s="821"/>
      <c r="E590" s="3389"/>
    </row>
    <row r="591" spans="4:5">
      <c r="D591" s="821"/>
      <c r="E591" s="3389"/>
    </row>
    <row r="592" spans="4:5">
      <c r="D592" s="821"/>
      <c r="E592" s="3389"/>
    </row>
    <row r="593" spans="4:5">
      <c r="D593" s="821"/>
      <c r="E593" s="3389"/>
    </row>
    <row r="594" spans="4:5">
      <c r="D594" s="821"/>
      <c r="E594" s="3389"/>
    </row>
    <row r="595" spans="4:5">
      <c r="D595" s="821"/>
      <c r="E595" s="3389"/>
    </row>
    <row r="596" spans="4:5">
      <c r="D596" s="821"/>
      <c r="E596" s="3389"/>
    </row>
    <row r="597" spans="4:5">
      <c r="D597" s="821"/>
      <c r="E597" s="3389"/>
    </row>
    <row r="598" spans="4:5">
      <c r="D598" s="821"/>
      <c r="E598" s="3389"/>
    </row>
    <row r="599" spans="4:5">
      <c r="D599" s="821"/>
      <c r="E599" s="3389"/>
    </row>
    <row r="600" spans="4:5">
      <c r="D600" s="821"/>
      <c r="E600" s="3389"/>
    </row>
    <row r="601" spans="4:5">
      <c r="D601" s="821"/>
      <c r="E601" s="3389"/>
    </row>
    <row r="602" spans="4:5">
      <c r="D602" s="821"/>
      <c r="E602" s="3389"/>
    </row>
    <row r="603" spans="4:5">
      <c r="D603" s="821"/>
      <c r="E603" s="3389"/>
    </row>
    <row r="604" spans="4:5">
      <c r="D604" s="821"/>
      <c r="E604" s="3389"/>
    </row>
    <row r="605" spans="4:5">
      <c r="D605" s="821"/>
      <c r="E605" s="3389"/>
    </row>
    <row r="606" spans="4:5">
      <c r="D606" s="821"/>
      <c r="E606" s="3389"/>
    </row>
    <row r="607" spans="4:5">
      <c r="D607" s="821"/>
      <c r="E607" s="3389"/>
    </row>
    <row r="608" spans="4:5">
      <c r="D608" s="821"/>
      <c r="E608" s="3389"/>
    </row>
    <row r="609" spans="4:5">
      <c r="D609" s="821"/>
      <c r="E609" s="3389"/>
    </row>
    <row r="610" spans="4:5">
      <c r="D610" s="821"/>
      <c r="E610" s="3389"/>
    </row>
    <row r="611" spans="4:5">
      <c r="D611" s="821"/>
      <c r="E611" s="3389"/>
    </row>
    <row r="612" spans="4:5">
      <c r="D612" s="821"/>
      <c r="E612" s="3389"/>
    </row>
    <row r="613" spans="4:5">
      <c r="D613" s="821"/>
      <c r="E613" s="3389"/>
    </row>
    <row r="614" spans="4:5">
      <c r="D614" s="821"/>
      <c r="E614" s="3389"/>
    </row>
    <row r="615" spans="4:5">
      <c r="D615" s="821"/>
      <c r="E615" s="3389"/>
    </row>
    <row r="616" spans="4:5">
      <c r="D616" s="821"/>
      <c r="E616" s="3389"/>
    </row>
    <row r="617" spans="4:5">
      <c r="D617" s="821"/>
      <c r="E617" s="3389"/>
    </row>
    <row r="618" spans="4:5">
      <c r="D618" s="821"/>
      <c r="E618" s="3389"/>
    </row>
    <row r="619" spans="4:5">
      <c r="D619" s="821"/>
      <c r="E619" s="3389"/>
    </row>
    <row r="620" spans="4:5">
      <c r="D620" s="821"/>
      <c r="E620" s="3389"/>
    </row>
    <row r="621" spans="4:5">
      <c r="D621" s="821"/>
      <c r="E621" s="3389"/>
    </row>
    <row r="622" spans="4:5">
      <c r="D622" s="821"/>
      <c r="E622" s="3389"/>
    </row>
    <row r="623" spans="4:5">
      <c r="D623" s="821"/>
      <c r="E623" s="3389"/>
    </row>
    <row r="624" spans="4:5">
      <c r="D624" s="821"/>
      <c r="E624" s="3389"/>
    </row>
    <row r="625" spans="4:5">
      <c r="D625" s="821"/>
      <c r="E625" s="3389"/>
    </row>
    <row r="626" spans="4:5">
      <c r="D626" s="821"/>
      <c r="E626" s="3389"/>
    </row>
    <row r="627" spans="4:5">
      <c r="D627" s="821"/>
      <c r="E627" s="3389"/>
    </row>
    <row r="628" spans="4:5">
      <c r="D628" s="821"/>
      <c r="E628" s="3389"/>
    </row>
    <row r="629" spans="4:5">
      <c r="D629" s="821"/>
      <c r="E629" s="3389"/>
    </row>
    <row r="630" spans="4:5">
      <c r="D630" s="821"/>
      <c r="E630" s="3389"/>
    </row>
    <row r="631" spans="4:5">
      <c r="D631" s="821"/>
      <c r="E631" s="3389"/>
    </row>
    <row r="632" spans="4:5">
      <c r="D632" s="821"/>
      <c r="E632" s="3389"/>
    </row>
    <row r="633" spans="4:5">
      <c r="D633" s="821"/>
      <c r="E633" s="3389"/>
    </row>
    <row r="634" spans="4:5">
      <c r="D634" s="821"/>
      <c r="E634" s="3389"/>
    </row>
    <row r="635" spans="4:5">
      <c r="D635" s="821"/>
      <c r="E635" s="3389"/>
    </row>
    <row r="636" spans="4:5">
      <c r="D636" s="821"/>
      <c r="E636" s="3389"/>
    </row>
    <row r="637" spans="4:5">
      <c r="D637" s="821"/>
      <c r="E637" s="3389"/>
    </row>
    <row r="638" spans="4:5">
      <c r="D638" s="821"/>
      <c r="E638" s="3389"/>
    </row>
    <row r="639" spans="4:5">
      <c r="D639" s="821"/>
      <c r="E639" s="3389"/>
    </row>
    <row r="640" spans="4:5">
      <c r="D640" s="821"/>
      <c r="E640" s="3389"/>
    </row>
    <row r="641" spans="4:5">
      <c r="D641" s="821"/>
      <c r="E641" s="3389"/>
    </row>
    <row r="642" spans="4:5">
      <c r="D642" s="821"/>
      <c r="E642" s="3389"/>
    </row>
    <row r="643" spans="4:5">
      <c r="D643" s="821"/>
      <c r="E643" s="3389"/>
    </row>
    <row r="644" spans="4:5">
      <c r="D644" s="821"/>
      <c r="E644" s="3389"/>
    </row>
    <row r="645" spans="4:5">
      <c r="D645" s="821"/>
      <c r="E645" s="3389"/>
    </row>
    <row r="646" spans="4:5">
      <c r="D646" s="821"/>
      <c r="E646" s="3389"/>
    </row>
    <row r="647" spans="4:5">
      <c r="D647" s="821"/>
      <c r="E647" s="3389"/>
    </row>
    <row r="648" spans="4:5">
      <c r="D648" s="821"/>
      <c r="E648" s="3389"/>
    </row>
    <row r="649" spans="4:5">
      <c r="D649" s="821"/>
      <c r="E649" s="3389"/>
    </row>
    <row r="650" spans="4:5">
      <c r="D650" s="821"/>
      <c r="E650" s="3389"/>
    </row>
    <row r="651" spans="4:5">
      <c r="D651" s="821"/>
      <c r="E651" s="3389"/>
    </row>
    <row r="652" spans="4:5">
      <c r="D652" s="821"/>
      <c r="E652" s="3389"/>
    </row>
    <row r="653" spans="4:5">
      <c r="D653" s="821"/>
      <c r="E653" s="3389"/>
    </row>
    <row r="654" spans="4:5">
      <c r="D654" s="821"/>
      <c r="E654" s="3389"/>
    </row>
    <row r="655" spans="4:5">
      <c r="D655" s="821"/>
      <c r="E655" s="3389"/>
    </row>
    <row r="656" spans="4:5">
      <c r="D656" s="821"/>
      <c r="E656" s="3389"/>
    </row>
    <row r="657" spans="4:5">
      <c r="D657" s="821"/>
      <c r="E657" s="3389"/>
    </row>
    <row r="658" spans="4:5">
      <c r="D658" s="821"/>
      <c r="E658" s="3389"/>
    </row>
    <row r="659" spans="4:5">
      <c r="D659" s="821"/>
      <c r="E659" s="3389"/>
    </row>
    <row r="660" spans="4:5">
      <c r="D660" s="821"/>
      <c r="E660" s="3389"/>
    </row>
    <row r="661" spans="4:5">
      <c r="D661" s="821"/>
      <c r="E661" s="3389"/>
    </row>
    <row r="662" spans="4:5">
      <c r="D662" s="821"/>
      <c r="E662" s="3389"/>
    </row>
    <row r="663" spans="4:5">
      <c r="D663" s="821"/>
      <c r="E663" s="3389"/>
    </row>
    <row r="664" spans="4:5">
      <c r="D664" s="821"/>
      <c r="E664" s="3389"/>
    </row>
    <row r="665" spans="4:5">
      <c r="D665" s="821"/>
      <c r="E665" s="3389"/>
    </row>
    <row r="666" spans="4:5">
      <c r="D666" s="821"/>
      <c r="E666" s="3389"/>
    </row>
    <row r="667" spans="4:5">
      <c r="D667" s="821"/>
      <c r="E667" s="3389"/>
    </row>
    <row r="668" spans="4:5">
      <c r="D668" s="821"/>
      <c r="E668" s="3389"/>
    </row>
    <row r="669" spans="4:5">
      <c r="D669" s="821"/>
      <c r="E669" s="3389"/>
    </row>
    <row r="670" spans="4:5">
      <c r="D670" s="821"/>
      <c r="E670" s="3389"/>
    </row>
    <row r="671" spans="4:5">
      <c r="D671" s="821"/>
      <c r="E671" s="3389"/>
    </row>
    <row r="672" spans="4:5">
      <c r="D672" s="821"/>
      <c r="E672" s="3389"/>
    </row>
    <row r="673" spans="4:5">
      <c r="D673" s="821"/>
      <c r="E673" s="3389"/>
    </row>
    <row r="674" spans="4:5">
      <c r="D674" s="821"/>
      <c r="E674" s="3389"/>
    </row>
    <row r="675" spans="4:5">
      <c r="D675" s="821"/>
      <c r="E675" s="3389"/>
    </row>
    <row r="676" spans="4:5">
      <c r="D676" s="821"/>
      <c r="E676" s="3389"/>
    </row>
    <row r="677" spans="4:5">
      <c r="D677" s="821"/>
      <c r="E677" s="3389"/>
    </row>
    <row r="678" spans="4:5">
      <c r="D678" s="821"/>
      <c r="E678" s="3389"/>
    </row>
    <row r="679" spans="4:5">
      <c r="D679" s="821"/>
      <c r="E679" s="3389"/>
    </row>
    <row r="680" spans="4:5">
      <c r="D680" s="821"/>
      <c r="E680" s="3389"/>
    </row>
    <row r="681" spans="4:5">
      <c r="D681" s="821"/>
      <c r="E681" s="3389"/>
    </row>
    <row r="682" spans="4:5">
      <c r="D682" s="821"/>
      <c r="E682" s="3389"/>
    </row>
    <row r="683" spans="4:5">
      <c r="D683" s="821"/>
      <c r="E683" s="3389"/>
    </row>
    <row r="684" spans="4:5">
      <c r="D684" s="821"/>
      <c r="E684" s="3389"/>
    </row>
    <row r="685" spans="4:5">
      <c r="D685" s="821"/>
      <c r="E685" s="3389"/>
    </row>
    <row r="686" spans="4:5">
      <c r="D686" s="821"/>
      <c r="E686" s="3389"/>
    </row>
    <row r="687" spans="4:5">
      <c r="D687" s="821"/>
      <c r="E687" s="3389"/>
    </row>
    <row r="688" spans="4:5">
      <c r="D688" s="821"/>
      <c r="E688" s="3389"/>
    </row>
    <row r="689" spans="4:5">
      <c r="D689" s="821"/>
      <c r="E689" s="3389"/>
    </row>
    <row r="690" spans="4:5">
      <c r="D690" s="821"/>
      <c r="E690" s="3389"/>
    </row>
    <row r="691" spans="4:5">
      <c r="D691" s="821"/>
      <c r="E691" s="3389"/>
    </row>
    <row r="692" spans="4:5">
      <c r="D692" s="821"/>
      <c r="E692" s="3389"/>
    </row>
    <row r="693" spans="4:5">
      <c r="D693" s="821"/>
      <c r="E693" s="3389"/>
    </row>
    <row r="694" spans="4:5">
      <c r="D694" s="821"/>
      <c r="E694" s="3389"/>
    </row>
    <row r="695" spans="4:5">
      <c r="D695" s="821"/>
      <c r="E695" s="3389"/>
    </row>
    <row r="696" spans="4:5">
      <c r="D696" s="821"/>
      <c r="E696" s="3389"/>
    </row>
    <row r="697" spans="4:5">
      <c r="D697" s="821"/>
      <c r="E697" s="3389"/>
    </row>
    <row r="698" spans="4:5">
      <c r="D698" s="821"/>
      <c r="E698" s="3389"/>
    </row>
    <row r="699" spans="4:5">
      <c r="D699" s="821"/>
      <c r="E699" s="3389"/>
    </row>
    <row r="700" spans="4:5">
      <c r="D700" s="821"/>
      <c r="E700" s="3389"/>
    </row>
    <row r="701" spans="4:5">
      <c r="D701" s="821"/>
      <c r="E701" s="3389"/>
    </row>
    <row r="702" spans="4:5">
      <c r="D702" s="821"/>
      <c r="E702" s="3389"/>
    </row>
    <row r="703" spans="4:5">
      <c r="D703" s="821"/>
      <c r="E703" s="3389"/>
    </row>
    <row r="704" spans="4:5">
      <c r="D704" s="821"/>
      <c r="E704" s="3389"/>
    </row>
    <row r="705" spans="4:5">
      <c r="D705" s="821"/>
      <c r="E705" s="3389"/>
    </row>
    <row r="706" spans="4:5">
      <c r="D706" s="821"/>
      <c r="E706" s="3389"/>
    </row>
    <row r="707" spans="4:5">
      <c r="D707" s="821"/>
      <c r="E707" s="3389"/>
    </row>
    <row r="708" spans="4:5">
      <c r="D708" s="821"/>
      <c r="E708" s="3389"/>
    </row>
    <row r="709" spans="4:5">
      <c r="D709" s="821"/>
      <c r="E709" s="3389"/>
    </row>
    <row r="710" spans="4:5">
      <c r="D710" s="821"/>
      <c r="E710" s="3389"/>
    </row>
    <row r="711" spans="4:5">
      <c r="D711" s="821"/>
      <c r="E711" s="3389"/>
    </row>
    <row r="712" spans="4:5">
      <c r="D712" s="821"/>
      <c r="E712" s="3389"/>
    </row>
    <row r="713" spans="4:5">
      <c r="D713" s="821"/>
      <c r="E713" s="3389"/>
    </row>
    <row r="714" spans="4:5">
      <c r="D714" s="821"/>
      <c r="E714" s="3389"/>
    </row>
    <row r="715" spans="4:5">
      <c r="D715" s="821"/>
      <c r="E715" s="3389"/>
    </row>
    <row r="716" spans="4:5">
      <c r="D716" s="821"/>
      <c r="E716" s="3389"/>
    </row>
    <row r="717" spans="4:5">
      <c r="D717" s="821"/>
      <c r="E717" s="3389"/>
    </row>
    <row r="718" spans="4:5">
      <c r="D718" s="821"/>
      <c r="E718" s="3389"/>
    </row>
    <row r="719" spans="4:5">
      <c r="D719" s="821"/>
      <c r="E719" s="3389"/>
    </row>
    <row r="720" spans="4:5">
      <c r="D720" s="821"/>
      <c r="E720" s="3389"/>
    </row>
    <row r="721" spans="4:5">
      <c r="D721" s="821"/>
      <c r="E721" s="3389"/>
    </row>
    <row r="722" spans="4:5">
      <c r="D722" s="821"/>
      <c r="E722" s="3389"/>
    </row>
    <row r="723" spans="4:5">
      <c r="D723" s="821"/>
      <c r="E723" s="3389"/>
    </row>
    <row r="724" spans="4:5">
      <c r="D724" s="821"/>
      <c r="E724" s="3389"/>
    </row>
    <row r="725" spans="4:5">
      <c r="D725" s="821"/>
      <c r="E725" s="3389"/>
    </row>
    <row r="726" spans="4:5">
      <c r="D726" s="821"/>
      <c r="E726" s="3389"/>
    </row>
    <row r="727" spans="4:5">
      <c r="D727" s="821"/>
      <c r="E727" s="3389"/>
    </row>
    <row r="728" spans="4:5">
      <c r="D728" s="821"/>
      <c r="E728" s="3389"/>
    </row>
    <row r="729" spans="4:5">
      <c r="D729" s="821"/>
      <c r="E729" s="3389"/>
    </row>
    <row r="730" spans="4:5">
      <c r="D730" s="821"/>
      <c r="E730" s="3389"/>
    </row>
    <row r="731" spans="4:5">
      <c r="D731" s="821"/>
      <c r="E731" s="3389"/>
    </row>
    <row r="732" spans="4:5">
      <c r="D732" s="821"/>
      <c r="E732" s="3389"/>
    </row>
    <row r="733" spans="4:5">
      <c r="D733" s="821"/>
      <c r="E733" s="3389"/>
    </row>
    <row r="734" spans="4:5">
      <c r="D734" s="821"/>
      <c r="E734" s="3389"/>
    </row>
    <row r="735" spans="4:5">
      <c r="D735" s="821"/>
      <c r="E735" s="3389"/>
    </row>
    <row r="736" spans="4:5">
      <c r="D736" s="821"/>
      <c r="E736" s="3389"/>
    </row>
    <row r="737" spans="4:5">
      <c r="D737" s="821"/>
      <c r="E737" s="3389"/>
    </row>
    <row r="738" spans="4:5">
      <c r="D738" s="821"/>
      <c r="E738" s="3389"/>
    </row>
    <row r="739" spans="4:5">
      <c r="D739" s="821"/>
      <c r="E739" s="3389"/>
    </row>
    <row r="740" spans="4:5">
      <c r="D740" s="821"/>
      <c r="E740" s="3389"/>
    </row>
    <row r="741" spans="4:5">
      <c r="D741" s="821"/>
      <c r="E741" s="3389"/>
    </row>
    <row r="742" spans="4:5">
      <c r="D742" s="821"/>
      <c r="E742" s="3389"/>
    </row>
    <row r="743" spans="4:5">
      <c r="D743" s="821"/>
      <c r="E743" s="3389"/>
    </row>
    <row r="744" spans="4:5">
      <c r="D744" s="821"/>
      <c r="E744" s="3389"/>
    </row>
    <row r="745" spans="4:5">
      <c r="D745" s="821"/>
      <c r="E745" s="3389"/>
    </row>
    <row r="746" spans="4:5">
      <c r="D746" s="821"/>
      <c r="E746" s="3389"/>
    </row>
    <row r="747" spans="4:5">
      <c r="D747" s="821"/>
      <c r="E747" s="3389"/>
    </row>
    <row r="748" spans="4:5">
      <c r="D748" s="821"/>
      <c r="E748" s="3389"/>
    </row>
    <row r="749" spans="4:5">
      <c r="D749" s="821"/>
      <c r="E749" s="3389"/>
    </row>
    <row r="750" spans="4:5">
      <c r="D750" s="821"/>
      <c r="E750" s="3389"/>
    </row>
    <row r="751" spans="4:5">
      <c r="D751" s="821"/>
      <c r="E751" s="3389"/>
    </row>
    <row r="752" spans="4:5">
      <c r="D752" s="821"/>
      <c r="E752" s="3389"/>
    </row>
    <row r="753" spans="4:5">
      <c r="D753" s="821"/>
      <c r="E753" s="3389"/>
    </row>
    <row r="754" spans="4:5">
      <c r="D754" s="821"/>
      <c r="E754" s="3389"/>
    </row>
    <row r="755" spans="4:5">
      <c r="D755" s="821"/>
      <c r="E755" s="3389"/>
    </row>
    <row r="756" spans="4:5">
      <c r="D756" s="821"/>
      <c r="E756" s="3389"/>
    </row>
    <row r="757" spans="4:5">
      <c r="D757" s="821"/>
      <c r="E757" s="3389"/>
    </row>
    <row r="758" spans="4:5">
      <c r="D758" s="821"/>
      <c r="E758" s="3389"/>
    </row>
    <row r="759" spans="4:5">
      <c r="D759" s="821"/>
      <c r="E759" s="3389"/>
    </row>
    <row r="760" spans="4:5">
      <c r="D760" s="821"/>
      <c r="E760" s="3389"/>
    </row>
    <row r="761" spans="4:5">
      <c r="D761" s="821"/>
      <c r="E761" s="3389"/>
    </row>
    <row r="762" spans="4:5">
      <c r="D762" s="821"/>
      <c r="E762" s="3389"/>
    </row>
    <row r="763" spans="4:5">
      <c r="D763" s="821"/>
      <c r="E763" s="3389"/>
    </row>
    <row r="764" spans="4:5">
      <c r="D764" s="821"/>
      <c r="E764" s="3389"/>
    </row>
    <row r="765" spans="4:5">
      <c r="D765" s="821"/>
      <c r="E765" s="3389"/>
    </row>
    <row r="766" spans="4:5">
      <c r="D766" s="821"/>
      <c r="E766" s="3389"/>
    </row>
    <row r="767" spans="4:5">
      <c r="D767" s="821"/>
      <c r="E767" s="3389"/>
    </row>
    <row r="768" spans="4:5">
      <c r="D768" s="821"/>
      <c r="E768" s="3389"/>
    </row>
    <row r="769" spans="4:5">
      <c r="D769" s="821"/>
      <c r="E769" s="3389"/>
    </row>
    <row r="770" spans="4:5">
      <c r="D770" s="821"/>
      <c r="E770" s="3389"/>
    </row>
    <row r="771" spans="4:5">
      <c r="D771" s="821"/>
      <c r="E771" s="3389"/>
    </row>
    <row r="772" spans="4:5">
      <c r="D772" s="821"/>
      <c r="E772" s="3389"/>
    </row>
    <row r="773" spans="4:5">
      <c r="D773" s="821"/>
      <c r="E773" s="3389"/>
    </row>
    <row r="774" spans="4:5">
      <c r="D774" s="821"/>
      <c r="E774" s="3389"/>
    </row>
    <row r="775" spans="4:5">
      <c r="D775" s="821"/>
      <c r="E775" s="3389"/>
    </row>
    <row r="776" spans="4:5">
      <c r="D776" s="821"/>
      <c r="E776" s="3389"/>
    </row>
    <row r="777" spans="4:5">
      <c r="D777" s="821"/>
      <c r="E777" s="3389"/>
    </row>
    <row r="778" spans="4:5">
      <c r="D778" s="821"/>
      <c r="E778" s="3389"/>
    </row>
    <row r="779" spans="4:5">
      <c r="D779" s="821"/>
      <c r="E779" s="3389"/>
    </row>
    <row r="780" spans="4:5">
      <c r="D780" s="821"/>
      <c r="E780" s="3389"/>
    </row>
    <row r="781" spans="4:5">
      <c r="D781" s="821"/>
      <c r="E781" s="3389"/>
    </row>
    <row r="782" spans="4:5">
      <c r="D782" s="821"/>
      <c r="E782" s="3389"/>
    </row>
    <row r="783" spans="4:5">
      <c r="D783" s="821"/>
      <c r="E783" s="3389"/>
    </row>
    <row r="784" spans="4:5">
      <c r="D784" s="821"/>
      <c r="E784" s="3389"/>
    </row>
    <row r="785" spans="4:5">
      <c r="D785" s="821"/>
      <c r="E785" s="3389"/>
    </row>
    <row r="786" spans="4:5">
      <c r="D786" s="821"/>
      <c r="E786" s="3389"/>
    </row>
    <row r="787" spans="4:5">
      <c r="D787" s="821"/>
      <c r="E787" s="3389"/>
    </row>
    <row r="788" spans="4:5">
      <c r="D788" s="821"/>
      <c r="E788" s="3389"/>
    </row>
    <row r="789" spans="4:5">
      <c r="D789" s="821"/>
      <c r="E789" s="3389"/>
    </row>
    <row r="790" spans="4:5">
      <c r="D790" s="821"/>
      <c r="E790" s="3389"/>
    </row>
    <row r="791" spans="4:5">
      <c r="D791" s="821"/>
      <c r="E791" s="3389"/>
    </row>
    <row r="792" spans="4:5">
      <c r="D792" s="821"/>
      <c r="E792" s="3389"/>
    </row>
    <row r="793" spans="4:5">
      <c r="D793" s="821"/>
      <c r="E793" s="3389"/>
    </row>
    <row r="794" spans="4:5">
      <c r="D794" s="821"/>
      <c r="E794" s="3389"/>
    </row>
    <row r="795" spans="4:5">
      <c r="D795" s="821"/>
      <c r="E795" s="3389"/>
    </row>
    <row r="796" spans="4:5">
      <c r="D796" s="821"/>
      <c r="E796" s="3389"/>
    </row>
    <row r="797" spans="4:5">
      <c r="D797" s="821"/>
      <c r="E797" s="3389"/>
    </row>
    <row r="798" spans="4:5">
      <c r="D798" s="821"/>
      <c r="E798" s="3389"/>
    </row>
    <row r="799" spans="4:5">
      <c r="D799" s="821"/>
      <c r="E799" s="3389"/>
    </row>
    <row r="800" spans="4:5">
      <c r="D800" s="821"/>
      <c r="E800" s="3389"/>
    </row>
    <row r="801" spans="4:5">
      <c r="D801" s="821"/>
      <c r="E801" s="3389"/>
    </row>
    <row r="802" spans="4:5">
      <c r="D802" s="821"/>
      <c r="E802" s="3389"/>
    </row>
    <row r="803" spans="4:5">
      <c r="D803" s="821"/>
      <c r="E803" s="3389"/>
    </row>
    <row r="804" spans="4:5">
      <c r="D804" s="821"/>
      <c r="E804" s="3389"/>
    </row>
    <row r="805" spans="4:5">
      <c r="D805" s="821"/>
      <c r="E805" s="3389"/>
    </row>
    <row r="806" spans="4:5">
      <c r="D806" s="821"/>
      <c r="E806" s="3389"/>
    </row>
    <row r="807" spans="4:5">
      <c r="D807" s="821"/>
      <c r="E807" s="3389"/>
    </row>
    <row r="808" spans="4:5">
      <c r="D808" s="821"/>
      <c r="E808" s="3389"/>
    </row>
    <row r="809" spans="4:5">
      <c r="D809" s="821"/>
      <c r="E809" s="3389"/>
    </row>
    <row r="810" spans="4:5">
      <c r="D810" s="821"/>
      <c r="E810" s="3389"/>
    </row>
    <row r="811" spans="4:5">
      <c r="D811" s="821"/>
      <c r="E811" s="3389"/>
    </row>
    <row r="812" spans="4:5">
      <c r="D812" s="821"/>
      <c r="E812" s="3389"/>
    </row>
    <row r="813" spans="4:5">
      <c r="D813" s="821"/>
      <c r="E813" s="3389"/>
    </row>
    <row r="814" spans="4:5">
      <c r="D814" s="821"/>
      <c r="E814" s="3389"/>
    </row>
    <row r="815" spans="4:5">
      <c r="D815" s="821"/>
      <c r="E815" s="3389"/>
    </row>
    <row r="816" spans="4:5">
      <c r="D816" s="821"/>
      <c r="E816" s="3389"/>
    </row>
    <row r="817" spans="4:5">
      <c r="D817" s="821"/>
      <c r="E817" s="3389"/>
    </row>
    <row r="818" spans="4:5">
      <c r="D818" s="821"/>
      <c r="E818" s="3389"/>
    </row>
    <row r="819" spans="4:5">
      <c r="D819" s="821"/>
      <c r="E819" s="3389"/>
    </row>
    <row r="820" spans="4:5">
      <c r="D820" s="821"/>
      <c r="E820" s="3389"/>
    </row>
    <row r="821" spans="4:5">
      <c r="D821" s="821"/>
      <c r="E821" s="3389"/>
    </row>
    <row r="822" spans="4:5">
      <c r="D822" s="821"/>
      <c r="E822" s="3389"/>
    </row>
    <row r="823" spans="4:5">
      <c r="D823" s="821"/>
      <c r="E823" s="3389"/>
    </row>
    <row r="824" spans="4:5">
      <c r="D824" s="821"/>
      <c r="E824" s="3389"/>
    </row>
    <row r="825" spans="4:5">
      <c r="D825" s="821"/>
      <c r="E825" s="3389"/>
    </row>
    <row r="826" spans="4:5">
      <c r="D826" s="821"/>
      <c r="E826" s="3389"/>
    </row>
    <row r="827" spans="4:5">
      <c r="D827" s="821"/>
      <c r="E827" s="3389"/>
    </row>
    <row r="828" spans="4:5">
      <c r="D828" s="821"/>
      <c r="E828" s="3389"/>
    </row>
    <row r="829" spans="4:5">
      <c r="D829" s="821"/>
      <c r="E829" s="3389"/>
    </row>
    <row r="830" spans="4:5">
      <c r="D830" s="821"/>
      <c r="E830" s="3389"/>
    </row>
    <row r="831" spans="4:5">
      <c r="D831" s="821"/>
      <c r="E831" s="3389"/>
    </row>
    <row r="832" spans="4:5">
      <c r="D832" s="821"/>
      <c r="E832" s="3389"/>
    </row>
    <row r="833" spans="4:5">
      <c r="D833" s="821"/>
      <c r="E833" s="3389"/>
    </row>
    <row r="834" spans="4:5">
      <c r="D834" s="821"/>
      <c r="E834" s="3389"/>
    </row>
    <row r="835" spans="4:5">
      <c r="D835" s="821"/>
      <c r="E835" s="3389"/>
    </row>
    <row r="836" spans="4:5">
      <c r="D836" s="821"/>
      <c r="E836" s="3389"/>
    </row>
    <row r="837" spans="4:5">
      <c r="D837" s="821"/>
      <c r="E837" s="3389"/>
    </row>
    <row r="838" spans="4:5">
      <c r="D838" s="821"/>
      <c r="E838" s="3389"/>
    </row>
    <row r="839" spans="4:5">
      <c r="D839" s="821"/>
      <c r="E839" s="3389"/>
    </row>
    <row r="840" spans="4:5">
      <c r="D840" s="821"/>
      <c r="E840" s="3389"/>
    </row>
    <row r="841" spans="4:5">
      <c r="D841" s="821"/>
      <c r="E841" s="3389"/>
    </row>
    <row r="842" spans="4:5">
      <c r="D842" s="821"/>
      <c r="E842" s="3389"/>
    </row>
    <row r="843" spans="4:5">
      <c r="D843" s="821"/>
      <c r="E843" s="3389"/>
    </row>
    <row r="844" spans="4:5">
      <c r="D844" s="821"/>
      <c r="E844" s="3389"/>
    </row>
    <row r="845" spans="4:5">
      <c r="D845" s="821"/>
      <c r="E845" s="3389"/>
    </row>
    <row r="846" spans="4:5">
      <c r="D846" s="821"/>
      <c r="E846" s="3389"/>
    </row>
    <row r="847" spans="4:5">
      <c r="D847" s="821"/>
      <c r="E847" s="3389"/>
    </row>
    <row r="848" spans="4:5">
      <c r="D848" s="821"/>
      <c r="E848" s="3389"/>
    </row>
    <row r="849" spans="4:5">
      <c r="D849" s="821"/>
      <c r="E849" s="3389"/>
    </row>
    <row r="850" spans="4:5">
      <c r="D850" s="821"/>
      <c r="E850" s="3389"/>
    </row>
    <row r="851" spans="4:5">
      <c r="D851" s="821"/>
      <c r="E851" s="3389"/>
    </row>
    <row r="852" spans="4:5">
      <c r="D852" s="821"/>
      <c r="E852" s="3389"/>
    </row>
    <row r="853" spans="4:5">
      <c r="D853" s="821"/>
      <c r="E853" s="3389"/>
    </row>
    <row r="854" spans="4:5">
      <c r="D854" s="821"/>
      <c r="E854" s="3389"/>
    </row>
    <row r="855" spans="4:5">
      <c r="D855" s="821"/>
      <c r="E855" s="3389"/>
    </row>
    <row r="856" spans="4:5">
      <c r="D856" s="821"/>
      <c r="E856" s="3389"/>
    </row>
    <row r="857" spans="4:5">
      <c r="D857" s="821"/>
      <c r="E857" s="3389"/>
    </row>
    <row r="858" spans="4:5">
      <c r="D858" s="821"/>
      <c r="E858" s="3389"/>
    </row>
    <row r="859" spans="4:5">
      <c r="D859" s="821"/>
      <c r="E859" s="3389"/>
    </row>
    <row r="860" spans="4:5">
      <c r="D860" s="821"/>
      <c r="E860" s="3389"/>
    </row>
    <row r="861" spans="4:5">
      <c r="D861" s="821"/>
      <c r="E861" s="3389"/>
    </row>
    <row r="862" spans="4:5">
      <c r="D862" s="821"/>
      <c r="E862" s="3389"/>
    </row>
    <row r="863" spans="4:5">
      <c r="D863" s="821"/>
      <c r="E863" s="3389"/>
    </row>
    <row r="864" spans="4:5">
      <c r="D864" s="821"/>
      <c r="E864" s="3389"/>
    </row>
    <row r="865" spans="4:5">
      <c r="D865" s="821"/>
      <c r="E865" s="3389"/>
    </row>
    <row r="866" spans="4:5">
      <c r="D866" s="821"/>
      <c r="E866" s="3389"/>
    </row>
    <row r="867" spans="4:5">
      <c r="D867" s="821"/>
      <c r="E867" s="3389"/>
    </row>
    <row r="868" spans="4:5">
      <c r="D868" s="821"/>
      <c r="E868" s="3389"/>
    </row>
    <row r="869" spans="4:5">
      <c r="D869" s="821"/>
      <c r="E869" s="3389"/>
    </row>
    <row r="870" spans="4:5">
      <c r="D870" s="821"/>
      <c r="E870" s="3389"/>
    </row>
    <row r="871" spans="4:5">
      <c r="D871" s="821"/>
      <c r="E871" s="3389"/>
    </row>
    <row r="872" spans="4:5">
      <c r="D872" s="821"/>
      <c r="E872" s="3389"/>
    </row>
    <row r="873" spans="4:5">
      <c r="D873" s="821"/>
      <c r="E873" s="3389"/>
    </row>
    <row r="874" spans="4:5">
      <c r="D874" s="821"/>
      <c r="E874" s="3389"/>
    </row>
    <row r="875" spans="4:5">
      <c r="D875" s="821"/>
      <c r="E875" s="3389"/>
    </row>
    <row r="876" spans="4:5">
      <c r="D876" s="821"/>
      <c r="E876" s="3389"/>
    </row>
    <row r="877" spans="4:5">
      <c r="D877" s="821"/>
      <c r="E877" s="3389"/>
    </row>
    <row r="878" spans="4:5">
      <c r="D878" s="821"/>
      <c r="E878" s="3389"/>
    </row>
    <row r="879" spans="4:5">
      <c r="D879" s="821"/>
      <c r="E879" s="3389"/>
    </row>
    <row r="880" spans="4:5">
      <c r="D880" s="821"/>
      <c r="E880" s="3389"/>
    </row>
    <row r="881" spans="4:5">
      <c r="D881" s="821"/>
      <c r="E881" s="3389"/>
    </row>
    <row r="882" spans="4:5">
      <c r="D882" s="821"/>
      <c r="E882" s="3389"/>
    </row>
    <row r="883" spans="4:5">
      <c r="D883" s="821"/>
      <c r="E883" s="3389"/>
    </row>
    <row r="884" spans="4:5">
      <c r="D884" s="821"/>
      <c r="E884" s="3389"/>
    </row>
    <row r="885" spans="4:5">
      <c r="D885" s="821"/>
      <c r="E885" s="3389"/>
    </row>
    <row r="886" spans="4:5">
      <c r="D886" s="821"/>
      <c r="E886" s="3389"/>
    </row>
    <row r="887" spans="4:5">
      <c r="D887" s="821"/>
      <c r="E887" s="3389"/>
    </row>
    <row r="888" spans="4:5">
      <c r="D888" s="821"/>
      <c r="E888" s="3389"/>
    </row>
    <row r="889" spans="4:5">
      <c r="D889" s="821"/>
      <c r="E889" s="3389"/>
    </row>
    <row r="890" spans="4:5">
      <c r="D890" s="821"/>
      <c r="E890" s="3389"/>
    </row>
    <row r="891" spans="4:5">
      <c r="D891" s="821"/>
      <c r="E891" s="3389"/>
    </row>
    <row r="892" spans="4:5">
      <c r="D892" s="821"/>
      <c r="E892" s="3389"/>
    </row>
    <row r="893" spans="4:5">
      <c r="D893" s="821"/>
      <c r="E893" s="3389"/>
    </row>
    <row r="894" spans="4:5">
      <c r="D894" s="821"/>
      <c r="E894" s="3389"/>
    </row>
    <row r="895" spans="4:5">
      <c r="D895" s="821"/>
      <c r="E895" s="3389"/>
    </row>
    <row r="896" spans="4:5">
      <c r="D896" s="821"/>
      <c r="E896" s="3389"/>
    </row>
    <row r="897" spans="4:5">
      <c r="D897" s="821"/>
      <c r="E897" s="3389"/>
    </row>
    <row r="898" spans="4:5">
      <c r="D898" s="821"/>
      <c r="E898" s="3389"/>
    </row>
    <row r="899" spans="4:5">
      <c r="D899" s="821"/>
      <c r="E899" s="3389"/>
    </row>
    <row r="900" spans="4:5">
      <c r="D900" s="821"/>
      <c r="E900" s="3389"/>
    </row>
    <row r="901" spans="4:5">
      <c r="D901" s="821"/>
      <c r="E901" s="3389"/>
    </row>
    <row r="902" spans="4:5">
      <c r="D902" s="821"/>
      <c r="E902" s="3389"/>
    </row>
    <row r="903" spans="4:5">
      <c r="D903" s="821"/>
      <c r="E903" s="3389"/>
    </row>
    <row r="904" spans="4:5">
      <c r="D904" s="821"/>
      <c r="E904" s="3389"/>
    </row>
    <row r="905" spans="4:5">
      <c r="D905" s="821"/>
      <c r="E905" s="3389"/>
    </row>
    <row r="906" spans="4:5">
      <c r="D906" s="821"/>
      <c r="E906" s="3389"/>
    </row>
    <row r="907" spans="4:5">
      <c r="D907" s="821"/>
      <c r="E907" s="3389"/>
    </row>
    <row r="908" spans="4:5">
      <c r="D908" s="821"/>
      <c r="E908" s="3389"/>
    </row>
    <row r="909" spans="4:5">
      <c r="D909" s="821"/>
      <c r="E909" s="3389"/>
    </row>
    <row r="910" spans="4:5">
      <c r="D910" s="821"/>
      <c r="E910" s="3389"/>
    </row>
    <row r="911" spans="4:5">
      <c r="D911" s="821"/>
      <c r="E911" s="3389"/>
    </row>
    <row r="912" spans="4:5">
      <c r="D912" s="821"/>
      <c r="E912" s="3389"/>
    </row>
    <row r="913" spans="4:5">
      <c r="D913" s="821"/>
      <c r="E913" s="3389"/>
    </row>
    <row r="914" spans="4:5">
      <c r="D914" s="821"/>
      <c r="E914" s="3389"/>
    </row>
    <row r="915" spans="4:5">
      <c r="D915" s="821"/>
      <c r="E915" s="3389"/>
    </row>
    <row r="916" spans="4:5">
      <c r="D916" s="821"/>
      <c r="E916" s="3389"/>
    </row>
    <row r="917" spans="4:5">
      <c r="D917" s="821"/>
      <c r="E917" s="3389"/>
    </row>
    <row r="918" spans="4:5">
      <c r="D918" s="821"/>
      <c r="E918" s="3389"/>
    </row>
    <row r="919" spans="4:5">
      <c r="D919" s="821"/>
      <c r="E919" s="3389"/>
    </row>
    <row r="920" spans="4:5">
      <c r="D920" s="821"/>
      <c r="E920" s="3389"/>
    </row>
    <row r="921" spans="4:5">
      <c r="D921" s="821"/>
      <c r="E921" s="3389"/>
    </row>
    <row r="922" spans="4:5">
      <c r="D922" s="821"/>
      <c r="E922" s="3389"/>
    </row>
    <row r="923" spans="4:5">
      <c r="D923" s="821"/>
      <c r="E923" s="3389"/>
    </row>
    <row r="924" spans="4:5">
      <c r="D924" s="821"/>
      <c r="E924" s="3389"/>
    </row>
    <row r="925" spans="4:5">
      <c r="D925" s="821"/>
      <c r="E925" s="3389"/>
    </row>
    <row r="926" spans="4:5">
      <c r="D926" s="821"/>
      <c r="E926" s="3389"/>
    </row>
    <row r="927" spans="4:5">
      <c r="D927" s="821"/>
      <c r="E927" s="3389"/>
    </row>
    <row r="928" spans="4:5">
      <c r="D928" s="821"/>
      <c r="E928" s="3389"/>
    </row>
    <row r="929" spans="4:5">
      <c r="D929" s="821"/>
      <c r="E929" s="3389"/>
    </row>
    <row r="930" spans="4:5">
      <c r="D930" s="821"/>
      <c r="E930" s="3389"/>
    </row>
    <row r="931" spans="4:5">
      <c r="D931" s="821"/>
      <c r="E931" s="3389"/>
    </row>
    <row r="932" spans="4:5">
      <c r="D932" s="821"/>
      <c r="E932" s="3389"/>
    </row>
    <row r="933" spans="4:5">
      <c r="D933" s="821"/>
      <c r="E933" s="3389"/>
    </row>
    <row r="934" spans="4:5">
      <c r="D934" s="821"/>
      <c r="E934" s="3389"/>
    </row>
    <row r="935" spans="4:5">
      <c r="D935" s="821"/>
      <c r="E935" s="3389"/>
    </row>
    <row r="936" spans="4:5">
      <c r="D936" s="821"/>
      <c r="E936" s="3389"/>
    </row>
    <row r="937" spans="4:5">
      <c r="D937" s="821"/>
      <c r="E937" s="3389"/>
    </row>
    <row r="938" spans="4:5">
      <c r="D938" s="821"/>
      <c r="E938" s="3389"/>
    </row>
    <row r="939" spans="4:5">
      <c r="D939" s="821"/>
      <c r="E939" s="3389"/>
    </row>
    <row r="940" spans="4:5">
      <c r="D940" s="821"/>
      <c r="E940" s="3389"/>
    </row>
    <row r="941" spans="4:5">
      <c r="D941" s="821"/>
      <c r="E941" s="3389"/>
    </row>
    <row r="942" spans="4:5">
      <c r="D942" s="821"/>
      <c r="E942" s="3389"/>
    </row>
    <row r="943" spans="4:5">
      <c r="D943" s="821"/>
      <c r="E943" s="3389"/>
    </row>
    <row r="944" spans="4:5">
      <c r="D944" s="821"/>
      <c r="E944" s="3389"/>
    </row>
    <row r="945" spans="4:5">
      <c r="D945" s="821"/>
      <c r="E945" s="3389"/>
    </row>
    <row r="946" spans="4:5">
      <c r="D946" s="821"/>
      <c r="E946" s="3389"/>
    </row>
    <row r="947" spans="4:5">
      <c r="D947" s="821"/>
      <c r="E947" s="3389"/>
    </row>
    <row r="948" spans="4:5">
      <c r="D948" s="821"/>
      <c r="E948" s="3389"/>
    </row>
    <row r="949" spans="4:5">
      <c r="D949" s="821"/>
      <c r="E949" s="3389"/>
    </row>
    <row r="950" spans="4:5">
      <c r="D950" s="821"/>
      <c r="E950" s="3389"/>
    </row>
    <row r="951" spans="4:5">
      <c r="D951" s="821"/>
      <c r="E951" s="3389"/>
    </row>
    <row r="952" spans="4:5">
      <c r="D952" s="821"/>
      <c r="E952" s="3389"/>
    </row>
    <row r="953" spans="4:5">
      <c r="D953" s="821"/>
      <c r="E953" s="3389"/>
    </row>
    <row r="954" spans="4:5">
      <c r="D954" s="821"/>
      <c r="E954" s="3389"/>
    </row>
    <row r="955" spans="4:5">
      <c r="D955" s="821"/>
      <c r="E955" s="3389"/>
    </row>
    <row r="956" spans="4:5">
      <c r="D956" s="821"/>
      <c r="E956" s="3389"/>
    </row>
    <row r="957" spans="4:5">
      <c r="D957" s="821"/>
      <c r="E957" s="3389"/>
    </row>
    <row r="958" spans="4:5">
      <c r="D958" s="821"/>
      <c r="E958" s="3389"/>
    </row>
    <row r="959" spans="4:5">
      <c r="D959" s="821"/>
      <c r="E959" s="3389"/>
    </row>
    <row r="960" spans="4:5">
      <c r="D960" s="821"/>
      <c r="E960" s="3389"/>
    </row>
    <row r="961" spans="4:5">
      <c r="D961" s="821"/>
      <c r="E961" s="3389"/>
    </row>
    <row r="962" spans="4:5">
      <c r="D962" s="821"/>
      <c r="E962" s="3389"/>
    </row>
    <row r="963" spans="4:5">
      <c r="D963" s="821"/>
      <c r="E963" s="3389"/>
    </row>
    <row r="964" spans="4:5">
      <c r="D964" s="821"/>
      <c r="E964" s="3389"/>
    </row>
    <row r="965" spans="4:5">
      <c r="D965" s="821"/>
      <c r="E965" s="3389"/>
    </row>
    <row r="966" spans="4:5">
      <c r="D966" s="821"/>
      <c r="E966" s="3389"/>
    </row>
    <row r="967" spans="4:5">
      <c r="D967" s="821"/>
      <c r="E967" s="3389"/>
    </row>
    <row r="968" spans="4:5">
      <c r="D968" s="821"/>
      <c r="E968" s="3389"/>
    </row>
    <row r="969" spans="4:5">
      <c r="D969" s="821"/>
      <c r="E969" s="3389"/>
    </row>
    <row r="970" spans="4:5">
      <c r="D970" s="821"/>
      <c r="E970" s="3389"/>
    </row>
    <row r="971" spans="4:5">
      <c r="D971" s="821"/>
      <c r="E971" s="3389"/>
    </row>
    <row r="972" spans="4:5">
      <c r="D972" s="821"/>
      <c r="E972" s="3389"/>
    </row>
    <row r="973" spans="4:5">
      <c r="D973" s="821"/>
      <c r="E973" s="3389"/>
    </row>
    <row r="974" spans="4:5">
      <c r="D974" s="821"/>
      <c r="E974" s="3389"/>
    </row>
    <row r="975" spans="4:5">
      <c r="D975" s="821"/>
      <c r="E975" s="3389"/>
    </row>
    <row r="976" spans="4:5">
      <c r="D976" s="821"/>
      <c r="E976" s="3389"/>
    </row>
    <row r="977" spans="4:5">
      <c r="D977" s="821"/>
      <c r="E977" s="3389"/>
    </row>
    <row r="978" spans="4:5">
      <c r="D978" s="821"/>
      <c r="E978" s="3389"/>
    </row>
    <row r="979" spans="4:5">
      <c r="D979" s="821"/>
      <c r="E979" s="3389"/>
    </row>
    <row r="980" spans="4:5">
      <c r="D980" s="821"/>
      <c r="E980" s="3389"/>
    </row>
    <row r="981" spans="4:5">
      <c r="D981" s="821"/>
      <c r="E981" s="3389"/>
    </row>
    <row r="982" spans="4:5">
      <c r="D982" s="821"/>
      <c r="E982" s="3389"/>
    </row>
    <row r="983" spans="4:5">
      <c r="D983" s="821"/>
      <c r="E983" s="3389"/>
    </row>
    <row r="984" spans="4:5">
      <c r="D984" s="821"/>
      <c r="E984" s="3389"/>
    </row>
    <row r="985" spans="4:5">
      <c r="D985" s="821"/>
      <c r="E985" s="3389"/>
    </row>
    <row r="986" spans="4:5">
      <c r="D986" s="821"/>
      <c r="E986" s="3389"/>
    </row>
    <row r="987" spans="4:5">
      <c r="D987" s="821"/>
      <c r="E987" s="3389"/>
    </row>
    <row r="988" spans="4:5">
      <c r="D988" s="821"/>
      <c r="E988" s="3389"/>
    </row>
    <row r="989" spans="4:5">
      <c r="D989" s="821"/>
      <c r="E989" s="3389"/>
    </row>
    <row r="990" spans="4:5">
      <c r="D990" s="821"/>
      <c r="E990" s="3389"/>
    </row>
    <row r="991" spans="4:5">
      <c r="D991" s="821"/>
      <c r="E991" s="3389"/>
    </row>
    <row r="992" spans="4:5">
      <c r="D992" s="821"/>
      <c r="E992" s="3389"/>
    </row>
    <row r="993" spans="4:5">
      <c r="D993" s="821"/>
      <c r="E993" s="3389"/>
    </row>
    <row r="994" spans="4:5">
      <c r="D994" s="821"/>
      <c r="E994" s="3389"/>
    </row>
    <row r="995" spans="4:5">
      <c r="D995" s="821"/>
      <c r="E995" s="3389"/>
    </row>
    <row r="996" spans="4:5">
      <c r="D996" s="821"/>
      <c r="E996" s="3389"/>
    </row>
    <row r="997" spans="4:5">
      <c r="D997" s="821"/>
      <c r="E997" s="3389"/>
    </row>
    <row r="998" spans="4:5">
      <c r="D998" s="821"/>
      <c r="E998" s="3389"/>
    </row>
    <row r="999" spans="4:5">
      <c r="D999" s="821"/>
      <c r="E999" s="3389"/>
    </row>
    <row r="1000" spans="4:5">
      <c r="D1000" s="821"/>
      <c r="E1000" s="3389"/>
    </row>
    <row r="1001" spans="4:5">
      <c r="D1001" s="821"/>
      <c r="E1001" s="3389"/>
    </row>
    <row r="1002" spans="4:5">
      <c r="D1002" s="821"/>
      <c r="E1002" s="3389"/>
    </row>
    <row r="1003" spans="4:5">
      <c r="D1003" s="821"/>
      <c r="E1003" s="3389"/>
    </row>
    <row r="1004" spans="4:5">
      <c r="D1004" s="821"/>
      <c r="E1004" s="3389"/>
    </row>
    <row r="1005" spans="4:5">
      <c r="D1005" s="821"/>
      <c r="E1005" s="3389"/>
    </row>
    <row r="1006" spans="4:5">
      <c r="D1006" s="821"/>
      <c r="E1006" s="3389"/>
    </row>
    <row r="1007" spans="4:5">
      <c r="D1007" s="821"/>
      <c r="E1007" s="3389"/>
    </row>
    <row r="1008" spans="4:5">
      <c r="D1008" s="821"/>
      <c r="E1008" s="3389"/>
    </row>
    <row r="1009" spans="4:5">
      <c r="D1009" s="821"/>
      <c r="E1009" s="3389"/>
    </row>
    <row r="1010" spans="4:5">
      <c r="D1010" s="821"/>
      <c r="E1010" s="3389"/>
    </row>
    <row r="1011" spans="4:5">
      <c r="D1011" s="821"/>
      <c r="E1011" s="3389"/>
    </row>
    <row r="1012" spans="4:5">
      <c r="D1012" s="821"/>
      <c r="E1012" s="3389"/>
    </row>
    <row r="1013" spans="4:5">
      <c r="D1013" s="821"/>
      <c r="E1013" s="3389"/>
    </row>
    <row r="1014" spans="4:5">
      <c r="D1014" s="821"/>
      <c r="E1014" s="3389"/>
    </row>
    <row r="1015" spans="4:5">
      <c r="D1015" s="821"/>
      <c r="E1015" s="3389"/>
    </row>
    <row r="1016" spans="4:5">
      <c r="D1016" s="821"/>
      <c r="E1016" s="3389"/>
    </row>
    <row r="1017" spans="4:5">
      <c r="D1017" s="821"/>
      <c r="E1017" s="3389"/>
    </row>
    <row r="1018" spans="4:5">
      <c r="D1018" s="821"/>
      <c r="E1018" s="3389"/>
    </row>
    <row r="1019" spans="4:5">
      <c r="D1019" s="821"/>
      <c r="E1019" s="3389"/>
    </row>
    <row r="1020" spans="4:5">
      <c r="D1020" s="821"/>
      <c r="E1020" s="3389"/>
    </row>
    <row r="1021" spans="4:5">
      <c r="D1021" s="821"/>
      <c r="E1021" s="3389"/>
    </row>
    <row r="1022" spans="4:5">
      <c r="D1022" s="821"/>
      <c r="E1022" s="3389"/>
    </row>
    <row r="1023" spans="4:5">
      <c r="D1023" s="821"/>
      <c r="E1023" s="3389"/>
    </row>
    <row r="1024" spans="4:5">
      <c r="D1024" s="821"/>
      <c r="E1024" s="3389"/>
    </row>
    <row r="1025" spans="4:5">
      <c r="D1025" s="821"/>
      <c r="E1025" s="3389"/>
    </row>
    <row r="1026" spans="4:5">
      <c r="D1026" s="821"/>
      <c r="E1026" s="3389"/>
    </row>
    <row r="1027" spans="4:5">
      <c r="D1027" s="821"/>
      <c r="E1027" s="3389"/>
    </row>
    <row r="1028" spans="4:5">
      <c r="D1028" s="821"/>
      <c r="E1028" s="3389"/>
    </row>
    <row r="1029" spans="4:5">
      <c r="D1029" s="821"/>
      <c r="E1029" s="3389"/>
    </row>
    <row r="1030" spans="4:5">
      <c r="D1030" s="821"/>
      <c r="E1030" s="3389"/>
    </row>
    <row r="1031" spans="4:5">
      <c r="D1031" s="821"/>
      <c r="E1031" s="3389"/>
    </row>
    <row r="1032" spans="4:5">
      <c r="D1032" s="821"/>
      <c r="E1032" s="3389"/>
    </row>
    <row r="1033" spans="4:5">
      <c r="D1033" s="821"/>
      <c r="E1033" s="3389"/>
    </row>
    <row r="1034" spans="4:5">
      <c r="D1034" s="821"/>
      <c r="E1034" s="3389"/>
    </row>
    <row r="1035" spans="4:5">
      <c r="D1035" s="821"/>
      <c r="E1035" s="3389"/>
    </row>
    <row r="1036" spans="4:5">
      <c r="D1036" s="821"/>
      <c r="E1036" s="3389"/>
    </row>
    <row r="1037" spans="4:5">
      <c r="D1037" s="821"/>
      <c r="E1037" s="3389"/>
    </row>
    <row r="1038" spans="4:5">
      <c r="D1038" s="821"/>
      <c r="E1038" s="3389"/>
    </row>
    <row r="1039" spans="4:5">
      <c r="D1039" s="821"/>
      <c r="E1039" s="3389"/>
    </row>
    <row r="1040" spans="4:5">
      <c r="D1040" s="821"/>
      <c r="E1040" s="3389"/>
    </row>
    <row r="1041" spans="4:5">
      <c r="D1041" s="821"/>
      <c r="E1041" s="3389"/>
    </row>
    <row r="1042" spans="4:5">
      <c r="D1042" s="821"/>
      <c r="E1042" s="3389"/>
    </row>
    <row r="1043" spans="4:5">
      <c r="D1043" s="821"/>
      <c r="E1043" s="3389"/>
    </row>
    <row r="1044" spans="4:5">
      <c r="D1044" s="821"/>
      <c r="E1044" s="3389"/>
    </row>
    <row r="1045" spans="4:5">
      <c r="D1045" s="821"/>
      <c r="E1045" s="3389"/>
    </row>
    <row r="1046" spans="4:5">
      <c r="D1046" s="821"/>
      <c r="E1046" s="3389"/>
    </row>
    <row r="1047" spans="4:5">
      <c r="D1047" s="821"/>
      <c r="E1047" s="3389"/>
    </row>
    <row r="1048" spans="4:5">
      <c r="D1048" s="821"/>
      <c r="E1048" s="3389"/>
    </row>
    <row r="1049" spans="4:5">
      <c r="D1049" s="821"/>
      <c r="E1049" s="3389"/>
    </row>
    <row r="1050" spans="4:5">
      <c r="D1050" s="821"/>
      <c r="E1050" s="3389"/>
    </row>
    <row r="1051" spans="4:5">
      <c r="D1051" s="821"/>
      <c r="E1051" s="3389"/>
    </row>
    <row r="1052" spans="4:5">
      <c r="D1052" s="821"/>
      <c r="E1052" s="3389"/>
    </row>
    <row r="1053" spans="4:5">
      <c r="D1053" s="821"/>
      <c r="E1053" s="3389"/>
    </row>
    <row r="1054" spans="4:5">
      <c r="D1054" s="821"/>
      <c r="E1054" s="3389"/>
    </row>
    <row r="1055" spans="4:5">
      <c r="D1055" s="821"/>
      <c r="E1055" s="3389"/>
    </row>
    <row r="1056" spans="4:5">
      <c r="D1056" s="821"/>
      <c r="E1056" s="3389"/>
    </row>
    <row r="1057" spans="4:5">
      <c r="D1057" s="821"/>
      <c r="E1057" s="3389"/>
    </row>
    <row r="1058" spans="4:5">
      <c r="D1058" s="821"/>
      <c r="E1058" s="3389"/>
    </row>
    <row r="1059" spans="4:5">
      <c r="D1059" s="821"/>
      <c r="E1059" s="3389"/>
    </row>
    <row r="1060" spans="4:5">
      <c r="D1060" s="821"/>
      <c r="E1060" s="3389"/>
    </row>
    <row r="1061" spans="4:5">
      <c r="D1061" s="821"/>
      <c r="E1061" s="3389"/>
    </row>
    <row r="1062" spans="4:5">
      <c r="D1062" s="821"/>
      <c r="E1062" s="3389"/>
    </row>
    <row r="1063" spans="4:5">
      <c r="D1063" s="821"/>
      <c r="E1063" s="3389"/>
    </row>
    <row r="1064" spans="4:5">
      <c r="D1064" s="821"/>
      <c r="E1064" s="3389"/>
    </row>
    <row r="1065" spans="4:5">
      <c r="D1065" s="821"/>
      <c r="E1065" s="3389"/>
    </row>
    <row r="1066" spans="4:5">
      <c r="D1066" s="821"/>
      <c r="E1066" s="3389"/>
    </row>
    <row r="1067" spans="4:5">
      <c r="D1067" s="821"/>
      <c r="E1067" s="3389"/>
    </row>
    <row r="1068" spans="4:5">
      <c r="D1068" s="821"/>
      <c r="E1068" s="3389"/>
    </row>
    <row r="1069" spans="4:5">
      <c r="D1069" s="821"/>
      <c r="E1069" s="3389"/>
    </row>
    <row r="1070" spans="4:5">
      <c r="D1070" s="821"/>
      <c r="E1070" s="3389"/>
    </row>
    <row r="1071" spans="4:5">
      <c r="D1071" s="821"/>
      <c r="E1071" s="3389"/>
    </row>
    <row r="1072" spans="4:5">
      <c r="D1072" s="821"/>
      <c r="E1072" s="3389"/>
    </row>
    <row r="1073" spans="4:5">
      <c r="D1073" s="821"/>
      <c r="E1073" s="3389"/>
    </row>
    <row r="1074" spans="4:5">
      <c r="D1074" s="821"/>
      <c r="E1074" s="3389"/>
    </row>
    <row r="1075" spans="4:5">
      <c r="D1075" s="821"/>
      <c r="E1075" s="3389"/>
    </row>
    <row r="1076" spans="4:5">
      <c r="D1076" s="821"/>
      <c r="E1076" s="3389"/>
    </row>
    <row r="1077" spans="4:5">
      <c r="D1077" s="821"/>
      <c r="E1077" s="3389"/>
    </row>
    <row r="1078" spans="4:5">
      <c r="D1078" s="821"/>
      <c r="E1078" s="3389"/>
    </row>
    <row r="1079" spans="4:5">
      <c r="D1079" s="821"/>
      <c r="E1079" s="3389"/>
    </row>
    <row r="1080" spans="4:5">
      <c r="D1080" s="821"/>
      <c r="E1080" s="3389"/>
    </row>
    <row r="1081" spans="4:5">
      <c r="D1081" s="821"/>
      <c r="E1081" s="3389"/>
    </row>
    <row r="1082" spans="4:5">
      <c r="D1082" s="821"/>
      <c r="E1082" s="3389"/>
    </row>
    <row r="1083" spans="4:5">
      <c r="D1083" s="821"/>
      <c r="E1083" s="3389"/>
    </row>
    <row r="1084" spans="4:5">
      <c r="D1084" s="821"/>
      <c r="E1084" s="3389"/>
    </row>
    <row r="1085" spans="4:5">
      <c r="D1085" s="821"/>
      <c r="E1085" s="3389"/>
    </row>
    <row r="1086" spans="4:5">
      <c r="D1086" s="821"/>
      <c r="E1086" s="3389"/>
    </row>
    <row r="1087" spans="4:5">
      <c r="D1087" s="821"/>
      <c r="E1087" s="3389"/>
    </row>
    <row r="1088" spans="4:5">
      <c r="D1088" s="821"/>
      <c r="E1088" s="3389"/>
    </row>
    <row r="1089" spans="4:5">
      <c r="D1089" s="821"/>
      <c r="E1089" s="3389"/>
    </row>
    <row r="1090" spans="4:5">
      <c r="D1090" s="821"/>
      <c r="E1090" s="3389"/>
    </row>
    <row r="1091" spans="4:5">
      <c r="D1091" s="821"/>
      <c r="E1091" s="3389"/>
    </row>
    <row r="1092" spans="4:5">
      <c r="D1092" s="821"/>
      <c r="E1092" s="3389"/>
    </row>
    <row r="1093" spans="4:5">
      <c r="D1093" s="821"/>
      <c r="E1093" s="3389"/>
    </row>
    <row r="1094" spans="4:5">
      <c r="D1094" s="821"/>
      <c r="E1094" s="3389"/>
    </row>
    <row r="1095" spans="4:5">
      <c r="D1095" s="821"/>
      <c r="E1095" s="3389"/>
    </row>
    <row r="1096" spans="4:5">
      <c r="D1096" s="821"/>
      <c r="E1096" s="3389"/>
    </row>
    <row r="1097" spans="4:5">
      <c r="D1097" s="821"/>
      <c r="E1097" s="3389"/>
    </row>
    <row r="1098" spans="4:5">
      <c r="D1098" s="821"/>
      <c r="E1098" s="3389"/>
    </row>
    <row r="1099" spans="4:5">
      <c r="D1099" s="821"/>
      <c r="E1099" s="3389"/>
    </row>
    <row r="1100" spans="4:5">
      <c r="D1100" s="821"/>
      <c r="E1100" s="3389"/>
    </row>
    <row r="1101" spans="4:5">
      <c r="D1101" s="821"/>
      <c r="E1101" s="3389"/>
    </row>
    <row r="1102" spans="4:5">
      <c r="D1102" s="821"/>
      <c r="E1102" s="3389"/>
    </row>
    <row r="1103" spans="4:5">
      <c r="D1103" s="821"/>
      <c r="E1103" s="3389"/>
    </row>
    <row r="1104" spans="4:5">
      <c r="D1104" s="821"/>
      <c r="E1104" s="3389"/>
    </row>
    <row r="1105" spans="4:5">
      <c r="D1105" s="821"/>
      <c r="E1105" s="3389"/>
    </row>
    <row r="1106" spans="4:5">
      <c r="D1106" s="821"/>
      <c r="E1106" s="3389"/>
    </row>
    <row r="1107" spans="4:5">
      <c r="D1107" s="821"/>
      <c r="E1107" s="3389"/>
    </row>
    <row r="1108" spans="4:5">
      <c r="D1108" s="821"/>
      <c r="E1108" s="3389"/>
    </row>
    <row r="1109" spans="4:5">
      <c r="D1109" s="821"/>
      <c r="E1109" s="3389"/>
    </row>
    <row r="1110" spans="4:5">
      <c r="D1110" s="821"/>
      <c r="E1110" s="3389"/>
    </row>
    <row r="1111" spans="4:5">
      <c r="D1111" s="821"/>
      <c r="E1111" s="3389"/>
    </row>
    <row r="1112" spans="4:5">
      <c r="D1112" s="821"/>
      <c r="E1112" s="3389"/>
    </row>
    <row r="1113" spans="4:5">
      <c r="D1113" s="821"/>
      <c r="E1113" s="3389"/>
    </row>
    <row r="1114" spans="4:5">
      <c r="D1114" s="821"/>
      <c r="E1114" s="3389"/>
    </row>
    <row r="1115" spans="4:5">
      <c r="D1115" s="821"/>
      <c r="E1115" s="3389"/>
    </row>
    <row r="1116" spans="4:5">
      <c r="D1116" s="821"/>
      <c r="E1116" s="3389"/>
    </row>
    <row r="1117" spans="4:5">
      <c r="D1117" s="821"/>
      <c r="E1117" s="3389"/>
    </row>
    <row r="1118" spans="4:5">
      <c r="D1118" s="821"/>
      <c r="E1118" s="3389"/>
    </row>
    <row r="1119" spans="4:5">
      <c r="D1119" s="821"/>
      <c r="E1119" s="3389"/>
    </row>
    <row r="1120" spans="4:5">
      <c r="D1120" s="821"/>
      <c r="E1120" s="3389"/>
    </row>
    <row r="1121" spans="4:5">
      <c r="D1121" s="821"/>
      <c r="E1121" s="3389"/>
    </row>
    <row r="1122" spans="4:5">
      <c r="D1122" s="821"/>
      <c r="E1122" s="3389"/>
    </row>
    <row r="1123" spans="4:5">
      <c r="D1123" s="821"/>
      <c r="E1123" s="3389"/>
    </row>
    <row r="1124" spans="4:5">
      <c r="D1124" s="821"/>
      <c r="E1124" s="3389"/>
    </row>
    <row r="1125" spans="4:5">
      <c r="D1125" s="821"/>
      <c r="E1125" s="3389"/>
    </row>
    <row r="1126" spans="4:5">
      <c r="D1126" s="821"/>
      <c r="E1126" s="3389"/>
    </row>
    <row r="1127" spans="4:5">
      <c r="D1127" s="821"/>
      <c r="E1127" s="3389"/>
    </row>
    <row r="1128" spans="4:5">
      <c r="D1128" s="821"/>
      <c r="E1128" s="3389"/>
    </row>
    <row r="1129" spans="4:5">
      <c r="D1129" s="821"/>
      <c r="E1129" s="3389"/>
    </row>
    <row r="1130" spans="4:5">
      <c r="D1130" s="821"/>
      <c r="E1130" s="3389"/>
    </row>
    <row r="1131" spans="4:5">
      <c r="D1131" s="821"/>
      <c r="E1131" s="3389"/>
    </row>
    <row r="1132" spans="4:5">
      <c r="D1132" s="821"/>
      <c r="E1132" s="3389"/>
    </row>
    <row r="1133" spans="4:5">
      <c r="D1133" s="821"/>
      <c r="E1133" s="3389"/>
    </row>
    <row r="1134" spans="4:5">
      <c r="D1134" s="821"/>
      <c r="E1134" s="3389"/>
    </row>
    <row r="1135" spans="4:5">
      <c r="D1135" s="821"/>
      <c r="E1135" s="3389"/>
    </row>
    <row r="1136" spans="4:5">
      <c r="D1136" s="821"/>
      <c r="E1136" s="3389"/>
    </row>
    <row r="1137" spans="4:5">
      <c r="D1137" s="821"/>
      <c r="E1137" s="3389"/>
    </row>
    <row r="1138" spans="4:5">
      <c r="D1138" s="821"/>
      <c r="E1138" s="3389"/>
    </row>
    <row r="1139" spans="4:5">
      <c r="D1139" s="821"/>
      <c r="E1139" s="3389"/>
    </row>
    <row r="1140" spans="4:5">
      <c r="D1140" s="821"/>
      <c r="E1140" s="3389"/>
    </row>
    <row r="1141" spans="4:5">
      <c r="D1141" s="821"/>
      <c r="E1141" s="3389"/>
    </row>
    <row r="1142" spans="4:5">
      <c r="D1142" s="821"/>
      <c r="E1142" s="3389"/>
    </row>
    <row r="1143" spans="4:5">
      <c r="D1143" s="821"/>
      <c r="E1143" s="3389"/>
    </row>
    <row r="1144" spans="4:5">
      <c r="D1144" s="821"/>
      <c r="E1144" s="3389"/>
    </row>
    <row r="1145" spans="4:5">
      <c r="D1145" s="821"/>
      <c r="E1145" s="3389"/>
    </row>
    <row r="1146" spans="4:5">
      <c r="D1146" s="821"/>
      <c r="E1146" s="3389"/>
    </row>
    <row r="1147" spans="4:5">
      <c r="D1147" s="821"/>
      <c r="E1147" s="3389"/>
    </row>
    <row r="1148" spans="4:5">
      <c r="D1148" s="821"/>
      <c r="E1148" s="3389"/>
    </row>
    <row r="1149" spans="4:5">
      <c r="D1149" s="821"/>
      <c r="E1149" s="3389"/>
    </row>
    <row r="1150" spans="4:5">
      <c r="D1150" s="821"/>
      <c r="E1150" s="3389"/>
    </row>
    <row r="1151" spans="4:5">
      <c r="D1151" s="821"/>
      <c r="E1151" s="3389"/>
    </row>
    <row r="1152" spans="4:5">
      <c r="D1152" s="821"/>
      <c r="E1152" s="3389"/>
    </row>
    <row r="1153" spans="4:5">
      <c r="D1153" s="821"/>
      <c r="E1153" s="3389"/>
    </row>
    <row r="1154" spans="4:5">
      <c r="D1154" s="821"/>
      <c r="E1154" s="3389"/>
    </row>
    <row r="1155" spans="4:5">
      <c r="D1155" s="821"/>
      <c r="E1155" s="3389"/>
    </row>
    <row r="1156" spans="4:5">
      <c r="D1156" s="821"/>
      <c r="E1156" s="3389"/>
    </row>
    <row r="1157" spans="4:5">
      <c r="D1157" s="821"/>
      <c r="E1157" s="3389"/>
    </row>
    <row r="1158" spans="4:5">
      <c r="D1158" s="821"/>
      <c r="E1158" s="3389"/>
    </row>
    <row r="1159" spans="4:5">
      <c r="D1159" s="821"/>
      <c r="E1159" s="3389"/>
    </row>
    <row r="1160" spans="4:5">
      <c r="D1160" s="821"/>
      <c r="E1160" s="3389"/>
    </row>
    <row r="1161" spans="4:5">
      <c r="D1161" s="821"/>
      <c r="E1161" s="3389"/>
    </row>
    <row r="1162" spans="4:5">
      <c r="D1162" s="821"/>
      <c r="E1162" s="3389"/>
    </row>
    <row r="1163" spans="4:5">
      <c r="D1163" s="821"/>
      <c r="E1163" s="3389"/>
    </row>
    <row r="1164" spans="4:5">
      <c r="D1164" s="821"/>
      <c r="E1164" s="3389"/>
    </row>
    <row r="1165" spans="4:5">
      <c r="D1165" s="821"/>
      <c r="E1165" s="3389"/>
    </row>
    <row r="1166" spans="4:5">
      <c r="D1166" s="821"/>
      <c r="E1166" s="3389"/>
    </row>
    <row r="1167" spans="4:5">
      <c r="D1167" s="821"/>
      <c r="E1167" s="3389"/>
    </row>
    <row r="1168" spans="4:5">
      <c r="D1168" s="821"/>
      <c r="E1168" s="3389"/>
    </row>
    <row r="1169" spans="4:5">
      <c r="D1169" s="821"/>
      <c r="E1169" s="3389"/>
    </row>
    <row r="1170" spans="4:5">
      <c r="D1170" s="821"/>
      <c r="E1170" s="3389"/>
    </row>
    <row r="1171" spans="4:5">
      <c r="D1171" s="821"/>
      <c r="E1171" s="3389"/>
    </row>
    <row r="1172" spans="4:5">
      <c r="D1172" s="821"/>
      <c r="E1172" s="3389"/>
    </row>
    <row r="1173" spans="4:5">
      <c r="D1173" s="821"/>
      <c r="E1173" s="3389"/>
    </row>
    <row r="1174" spans="4:5">
      <c r="D1174" s="821"/>
      <c r="E1174" s="3389"/>
    </row>
    <row r="1175" spans="4:5">
      <c r="D1175" s="821"/>
      <c r="E1175" s="3389"/>
    </row>
    <row r="1176" spans="4:5">
      <c r="D1176" s="821"/>
      <c r="E1176" s="3389"/>
    </row>
    <row r="1177" spans="4:5">
      <c r="D1177" s="821"/>
      <c r="E1177" s="3389"/>
    </row>
    <row r="1178" spans="4:5">
      <c r="D1178" s="821"/>
      <c r="E1178" s="3389"/>
    </row>
    <row r="1179" spans="4:5">
      <c r="D1179" s="821"/>
      <c r="E1179" s="3389"/>
    </row>
    <row r="1180" spans="4:5">
      <c r="D1180" s="821"/>
      <c r="E1180" s="3389"/>
    </row>
    <row r="1181" spans="4:5">
      <c r="D1181" s="821"/>
      <c r="E1181" s="3389"/>
    </row>
    <row r="1182" spans="4:5">
      <c r="D1182" s="821"/>
      <c r="E1182" s="3389"/>
    </row>
    <row r="1183" spans="4:5">
      <c r="D1183" s="821"/>
      <c r="E1183" s="3389"/>
    </row>
    <row r="1184" spans="4:5">
      <c r="D1184" s="821"/>
      <c r="E1184" s="3389"/>
    </row>
    <row r="1185" spans="4:5">
      <c r="D1185" s="821"/>
      <c r="E1185" s="3389"/>
    </row>
    <row r="1186" spans="4:5">
      <c r="D1186" s="821"/>
      <c r="E1186" s="3389"/>
    </row>
    <row r="1187" spans="4:5">
      <c r="D1187" s="821"/>
      <c r="E1187" s="3389"/>
    </row>
    <row r="1188" spans="4:5">
      <c r="D1188" s="821"/>
      <c r="E1188" s="3389"/>
    </row>
    <row r="1189" spans="4:5">
      <c r="D1189" s="821"/>
      <c r="E1189" s="3389"/>
    </row>
    <row r="1190" spans="4:5">
      <c r="D1190" s="821"/>
      <c r="E1190" s="3389"/>
    </row>
    <row r="1191" spans="4:5">
      <c r="D1191" s="821"/>
      <c r="E1191" s="3389"/>
    </row>
    <row r="1192" spans="4:5">
      <c r="D1192" s="821"/>
      <c r="E1192" s="3389"/>
    </row>
    <row r="1193" spans="4:5">
      <c r="D1193" s="821"/>
      <c r="E1193" s="3389"/>
    </row>
    <row r="1194" spans="4:5">
      <c r="D1194" s="821"/>
      <c r="E1194" s="3389"/>
    </row>
    <row r="1195" spans="4:5">
      <c r="D1195" s="821"/>
      <c r="E1195" s="3389"/>
    </row>
    <row r="1196" spans="4:5">
      <c r="D1196" s="821"/>
      <c r="E1196" s="3389"/>
    </row>
    <row r="1197" spans="4:5">
      <c r="D1197" s="821"/>
      <c r="E1197" s="3389"/>
    </row>
    <row r="1198" spans="4:5">
      <c r="D1198" s="821"/>
      <c r="E1198" s="3389"/>
    </row>
    <row r="1199" spans="4:5">
      <c r="D1199" s="821"/>
      <c r="E1199" s="3389"/>
    </row>
    <row r="1200" spans="4:5">
      <c r="D1200" s="821"/>
      <c r="E1200" s="3389"/>
    </row>
    <row r="1201" spans="4:5">
      <c r="D1201" s="821"/>
      <c r="E1201" s="3389"/>
    </row>
    <row r="1202" spans="4:5">
      <c r="D1202" s="821"/>
      <c r="E1202" s="3389"/>
    </row>
    <row r="1203" spans="4:5">
      <c r="D1203" s="821"/>
      <c r="E1203" s="3389"/>
    </row>
    <row r="1204" spans="4:5">
      <c r="D1204" s="821"/>
      <c r="E1204" s="3389"/>
    </row>
    <row r="1205" spans="4:5">
      <c r="D1205" s="821"/>
      <c r="E1205" s="3389"/>
    </row>
    <row r="1206" spans="4:5">
      <c r="D1206" s="821"/>
      <c r="E1206" s="3389"/>
    </row>
    <row r="1207" spans="4:5">
      <c r="D1207" s="821"/>
      <c r="E1207" s="3389"/>
    </row>
    <row r="1208" spans="4:5">
      <c r="D1208" s="821"/>
      <c r="E1208" s="3389"/>
    </row>
    <row r="1209" spans="4:5">
      <c r="D1209" s="821"/>
      <c r="E1209" s="3389"/>
    </row>
    <row r="1210" spans="4:5">
      <c r="D1210" s="821"/>
      <c r="E1210" s="3389"/>
    </row>
    <row r="1211" spans="4:5">
      <c r="D1211" s="821"/>
      <c r="E1211" s="3389"/>
    </row>
    <row r="1212" spans="4:5">
      <c r="D1212" s="821"/>
      <c r="E1212" s="3389"/>
    </row>
    <row r="1213" spans="4:5">
      <c r="D1213" s="821"/>
      <c r="E1213" s="3389"/>
    </row>
    <row r="1214" spans="4:5">
      <c r="D1214" s="821"/>
      <c r="E1214" s="3389"/>
    </row>
    <row r="1215" spans="4:5">
      <c r="D1215" s="821"/>
      <c r="E1215" s="3389"/>
    </row>
    <row r="1216" spans="4:5">
      <c r="D1216" s="821"/>
      <c r="E1216" s="3389"/>
    </row>
    <row r="1217" spans="4:5">
      <c r="D1217" s="821"/>
      <c r="E1217" s="3389"/>
    </row>
    <row r="1218" spans="4:5">
      <c r="D1218" s="821"/>
      <c r="E1218" s="3389"/>
    </row>
    <row r="1219" spans="4:5">
      <c r="D1219" s="821"/>
      <c r="E1219" s="3389"/>
    </row>
    <row r="1220" spans="4:5">
      <c r="D1220" s="821"/>
      <c r="E1220" s="3389"/>
    </row>
    <row r="1221" spans="4:5">
      <c r="D1221" s="821"/>
      <c r="E1221" s="3389"/>
    </row>
    <row r="1222" spans="4:5">
      <c r="D1222" s="821"/>
      <c r="E1222" s="3389"/>
    </row>
    <row r="1223" spans="4:5">
      <c r="D1223" s="821"/>
      <c r="E1223" s="3389"/>
    </row>
    <row r="1224" spans="4:5">
      <c r="D1224" s="821"/>
      <c r="E1224" s="3389"/>
    </row>
    <row r="1225" spans="4:5">
      <c r="D1225" s="821"/>
      <c r="E1225" s="3389"/>
    </row>
    <row r="1226" spans="4:5">
      <c r="D1226" s="821"/>
      <c r="E1226" s="3389"/>
    </row>
    <row r="1227" spans="4:5">
      <c r="D1227" s="821"/>
      <c r="E1227" s="3389"/>
    </row>
    <row r="1228" spans="4:5">
      <c r="D1228" s="821"/>
      <c r="E1228" s="3389"/>
    </row>
    <row r="1229" spans="4:5">
      <c r="D1229" s="821"/>
      <c r="E1229" s="3389"/>
    </row>
    <row r="1230" spans="4:5">
      <c r="D1230" s="821"/>
      <c r="E1230" s="3389"/>
    </row>
    <row r="1231" spans="4:5">
      <c r="D1231" s="821"/>
      <c r="E1231" s="3389"/>
    </row>
    <row r="1232" spans="4:5">
      <c r="D1232" s="821"/>
      <c r="E1232" s="3389"/>
    </row>
    <row r="1233" spans="4:5">
      <c r="D1233" s="821"/>
      <c r="E1233" s="3389"/>
    </row>
    <row r="1234" spans="4:5">
      <c r="D1234" s="821"/>
      <c r="E1234" s="3389"/>
    </row>
    <row r="1235" spans="4:5">
      <c r="D1235" s="821"/>
      <c r="E1235" s="3389"/>
    </row>
    <row r="1236" spans="4:5">
      <c r="D1236" s="821"/>
      <c r="E1236" s="3389"/>
    </row>
    <row r="1237" spans="4:5">
      <c r="D1237" s="821"/>
      <c r="E1237" s="3389"/>
    </row>
    <row r="1238" spans="4:5">
      <c r="D1238" s="821"/>
      <c r="E1238" s="3389"/>
    </row>
    <row r="1239" spans="4:5">
      <c r="D1239" s="821"/>
      <c r="E1239" s="3389"/>
    </row>
    <row r="1240" spans="4:5">
      <c r="D1240" s="821"/>
      <c r="E1240" s="3389"/>
    </row>
    <row r="1241" spans="4:5">
      <c r="D1241" s="821"/>
      <c r="E1241" s="3389"/>
    </row>
    <row r="1242" spans="4:5">
      <c r="D1242" s="821"/>
      <c r="E1242" s="3389"/>
    </row>
    <row r="1243" spans="4:5">
      <c r="D1243" s="821"/>
      <c r="E1243" s="3389"/>
    </row>
    <row r="1244" spans="4:5">
      <c r="D1244" s="821"/>
      <c r="E1244" s="3389"/>
    </row>
    <row r="1245" spans="4:5">
      <c r="D1245" s="821"/>
      <c r="E1245" s="3389"/>
    </row>
    <row r="1246" spans="4:5">
      <c r="D1246" s="821"/>
      <c r="E1246" s="3389"/>
    </row>
    <row r="1247" spans="4:5">
      <c r="D1247" s="821"/>
      <c r="E1247" s="3389"/>
    </row>
    <row r="1248" spans="4:5">
      <c r="D1248" s="821"/>
      <c r="E1248" s="3389"/>
    </row>
    <row r="1249" spans="4:5">
      <c r="D1249" s="821"/>
      <c r="E1249" s="3389"/>
    </row>
    <row r="1250" spans="4:5">
      <c r="D1250" s="821"/>
      <c r="E1250" s="3389"/>
    </row>
    <row r="1251" spans="4:5">
      <c r="D1251" s="821"/>
      <c r="E1251" s="3389"/>
    </row>
    <row r="1252" spans="4:5">
      <c r="D1252" s="821"/>
      <c r="E1252" s="3389"/>
    </row>
    <row r="1253" spans="4:5">
      <c r="D1253" s="821"/>
      <c r="E1253" s="3389"/>
    </row>
    <row r="1254" spans="4:5">
      <c r="D1254" s="821"/>
      <c r="E1254" s="3389"/>
    </row>
    <row r="1255" spans="4:5">
      <c r="D1255" s="821"/>
      <c r="E1255" s="3389"/>
    </row>
    <row r="1256" spans="4:5">
      <c r="D1256" s="821"/>
      <c r="E1256" s="3389"/>
    </row>
    <row r="1257" spans="4:5">
      <c r="D1257" s="821"/>
      <c r="E1257" s="3389"/>
    </row>
    <row r="1258" spans="4:5">
      <c r="D1258" s="821"/>
      <c r="E1258" s="3389"/>
    </row>
    <row r="1259" spans="4:5">
      <c r="D1259" s="821"/>
      <c r="E1259" s="3389"/>
    </row>
    <row r="1260" spans="4:5">
      <c r="D1260" s="821"/>
      <c r="E1260" s="3389"/>
    </row>
    <row r="1261" spans="4:5">
      <c r="D1261" s="821"/>
      <c r="E1261" s="3389"/>
    </row>
    <row r="1262" spans="4:5">
      <c r="D1262" s="821"/>
      <c r="E1262" s="3389"/>
    </row>
    <row r="1263" spans="4:5">
      <c r="D1263" s="821"/>
      <c r="E1263" s="3389"/>
    </row>
    <row r="1264" spans="4:5">
      <c r="D1264" s="821"/>
      <c r="E1264" s="3389"/>
    </row>
    <row r="1265" spans="4:5">
      <c r="D1265" s="821"/>
      <c r="E1265" s="3389"/>
    </row>
    <row r="1266" spans="4:5">
      <c r="D1266" s="821"/>
      <c r="E1266" s="3389"/>
    </row>
    <row r="1267" spans="4:5">
      <c r="D1267" s="821"/>
      <c r="E1267" s="3389"/>
    </row>
    <row r="1268" spans="4:5">
      <c r="D1268" s="821"/>
      <c r="E1268" s="3389"/>
    </row>
    <row r="1269" spans="4:5">
      <c r="D1269" s="821"/>
      <c r="E1269" s="3389"/>
    </row>
    <row r="1270" spans="4:5">
      <c r="D1270" s="821"/>
      <c r="E1270" s="3389"/>
    </row>
    <row r="1271" spans="4:5">
      <c r="D1271" s="821"/>
      <c r="E1271" s="3389"/>
    </row>
    <row r="1272" spans="4:5">
      <c r="D1272" s="821"/>
      <c r="E1272" s="3389"/>
    </row>
    <row r="1273" spans="4:5">
      <c r="D1273" s="821"/>
      <c r="E1273" s="3389"/>
    </row>
    <row r="1274" spans="4:5">
      <c r="D1274" s="821"/>
      <c r="E1274" s="3389"/>
    </row>
    <row r="1275" spans="4:5">
      <c r="D1275" s="821"/>
      <c r="E1275" s="3389"/>
    </row>
    <row r="1276" spans="4:5">
      <c r="D1276" s="821"/>
      <c r="E1276" s="3389"/>
    </row>
    <row r="1277" spans="4:5">
      <c r="D1277" s="821"/>
      <c r="E1277" s="3389"/>
    </row>
    <row r="1278" spans="4:5">
      <c r="D1278" s="821"/>
      <c r="E1278" s="3389"/>
    </row>
    <row r="1279" spans="4:5">
      <c r="D1279" s="821"/>
      <c r="E1279" s="3389"/>
    </row>
    <row r="1280" spans="4:5">
      <c r="D1280" s="821"/>
      <c r="E1280" s="3389"/>
    </row>
    <row r="1281" spans="4:5">
      <c r="D1281" s="821"/>
      <c r="E1281" s="3389"/>
    </row>
    <row r="1282" spans="4:5">
      <c r="D1282" s="821"/>
      <c r="E1282" s="3389"/>
    </row>
    <row r="1283" spans="4:5">
      <c r="D1283" s="821"/>
      <c r="E1283" s="3389"/>
    </row>
    <row r="1284" spans="4:5">
      <c r="D1284" s="821"/>
      <c r="E1284" s="3389"/>
    </row>
    <row r="1285" spans="4:5">
      <c r="D1285" s="821"/>
      <c r="E1285" s="3389"/>
    </row>
    <row r="1286" spans="4:5">
      <c r="D1286" s="821"/>
      <c r="E1286" s="3389"/>
    </row>
    <row r="1287" spans="4:5">
      <c r="D1287" s="821"/>
      <c r="E1287" s="3389"/>
    </row>
    <row r="1288" spans="4:5">
      <c r="D1288" s="821"/>
      <c r="E1288" s="3389"/>
    </row>
    <row r="1289" spans="4:5">
      <c r="D1289" s="821"/>
      <c r="E1289" s="3389"/>
    </row>
    <row r="1290" spans="4:5">
      <c r="D1290" s="821"/>
      <c r="E1290" s="3389"/>
    </row>
    <row r="1291" spans="4:5">
      <c r="D1291" s="821"/>
      <c r="E1291" s="3389"/>
    </row>
    <row r="1292" spans="4:5">
      <c r="D1292" s="821"/>
      <c r="E1292" s="3389"/>
    </row>
    <row r="1293" spans="4:5">
      <c r="D1293" s="821"/>
      <c r="E1293" s="3389"/>
    </row>
    <row r="1294" spans="4:5">
      <c r="D1294" s="821"/>
      <c r="E1294" s="3389"/>
    </row>
    <row r="1295" spans="4:5">
      <c r="D1295" s="821"/>
      <c r="E1295" s="3389"/>
    </row>
    <row r="1296" spans="4:5">
      <c r="D1296" s="821"/>
      <c r="E1296" s="3389"/>
    </row>
    <row r="1297" spans="4:5">
      <c r="D1297" s="821"/>
      <c r="E1297" s="3389"/>
    </row>
    <row r="1298" spans="4:5">
      <c r="D1298" s="821"/>
      <c r="E1298" s="3389"/>
    </row>
    <row r="1299" spans="4:5">
      <c r="D1299" s="821"/>
      <c r="E1299" s="3389"/>
    </row>
    <row r="1300" spans="4:5">
      <c r="D1300" s="821"/>
      <c r="E1300" s="3389"/>
    </row>
    <row r="1301" spans="4:5">
      <c r="D1301" s="821"/>
      <c r="E1301" s="3389"/>
    </row>
    <row r="1302" spans="4:5">
      <c r="D1302" s="821"/>
      <c r="E1302" s="3389"/>
    </row>
    <row r="1303" spans="4:5">
      <c r="D1303" s="821"/>
      <c r="E1303" s="3389"/>
    </row>
    <row r="1304" spans="4:5">
      <c r="D1304" s="821"/>
      <c r="E1304" s="3389"/>
    </row>
    <row r="1305" spans="4:5">
      <c r="D1305" s="821"/>
      <c r="E1305" s="3389"/>
    </row>
    <row r="1306" spans="4:5">
      <c r="D1306" s="821"/>
      <c r="E1306" s="3389"/>
    </row>
    <row r="1307" spans="4:5">
      <c r="D1307" s="821"/>
      <c r="E1307" s="3389"/>
    </row>
    <row r="1308" spans="4:5">
      <c r="D1308" s="821"/>
      <c r="E1308" s="3389"/>
    </row>
    <row r="1309" spans="4:5">
      <c r="D1309" s="821"/>
      <c r="E1309" s="3389"/>
    </row>
    <row r="1310" spans="4:5">
      <c r="D1310" s="821"/>
      <c r="E1310" s="3389"/>
    </row>
    <row r="1311" spans="4:5">
      <c r="D1311" s="821"/>
      <c r="E1311" s="3389"/>
    </row>
    <row r="1312" spans="4:5">
      <c r="D1312" s="821"/>
      <c r="E1312" s="3389"/>
    </row>
    <row r="1313" spans="4:5">
      <c r="D1313" s="821"/>
      <c r="E1313" s="3389"/>
    </row>
    <row r="1314" spans="4:5">
      <c r="D1314" s="821"/>
      <c r="E1314" s="3389"/>
    </row>
    <row r="1315" spans="4:5">
      <c r="D1315" s="821"/>
      <c r="E1315" s="3389"/>
    </row>
    <row r="1316" spans="4:5">
      <c r="D1316" s="821"/>
      <c r="E1316" s="3389"/>
    </row>
    <row r="1317" spans="4:5">
      <c r="D1317" s="821"/>
      <c r="E1317" s="3389"/>
    </row>
    <row r="1318" spans="4:5">
      <c r="D1318" s="821"/>
      <c r="E1318" s="3389"/>
    </row>
    <row r="1319" spans="4:5">
      <c r="D1319" s="821"/>
      <c r="E1319" s="3389"/>
    </row>
    <row r="1320" spans="4:5">
      <c r="D1320" s="821"/>
      <c r="E1320" s="3389"/>
    </row>
    <row r="1321" spans="4:5">
      <c r="D1321" s="821"/>
      <c r="E1321" s="3389"/>
    </row>
    <row r="1322" spans="4:5">
      <c r="D1322" s="821"/>
      <c r="E1322" s="3389"/>
    </row>
    <row r="1323" spans="4:5">
      <c r="D1323" s="821"/>
      <c r="E1323" s="3389"/>
    </row>
    <row r="1324" spans="4:5">
      <c r="D1324" s="821"/>
      <c r="E1324" s="3389"/>
    </row>
    <row r="1325" spans="4:5">
      <c r="D1325" s="821"/>
      <c r="E1325" s="3389"/>
    </row>
    <row r="1326" spans="4:5">
      <c r="D1326" s="821"/>
      <c r="E1326" s="3389"/>
    </row>
    <row r="1327" spans="4:5">
      <c r="D1327" s="821"/>
      <c r="E1327" s="3389"/>
    </row>
    <row r="1328" spans="4:5">
      <c r="D1328" s="821"/>
      <c r="E1328" s="3389"/>
    </row>
    <row r="1329" spans="4:5">
      <c r="D1329" s="821"/>
      <c r="E1329" s="3389"/>
    </row>
    <row r="1330" spans="4:5">
      <c r="D1330" s="821"/>
      <c r="E1330" s="3389"/>
    </row>
    <row r="1331" spans="4:5">
      <c r="D1331" s="821"/>
      <c r="E1331" s="3389"/>
    </row>
    <row r="1332" spans="4:5">
      <c r="D1332" s="821"/>
      <c r="E1332" s="3389"/>
    </row>
    <row r="1333" spans="4:5">
      <c r="D1333" s="821"/>
      <c r="E1333" s="3389"/>
    </row>
    <row r="1334" spans="4:5">
      <c r="D1334" s="821"/>
      <c r="E1334" s="3389"/>
    </row>
    <row r="1335" spans="4:5">
      <c r="D1335" s="821"/>
      <c r="E1335" s="3389"/>
    </row>
    <row r="1336" spans="4:5">
      <c r="D1336" s="821"/>
      <c r="E1336" s="3389"/>
    </row>
    <row r="1337" spans="4:5">
      <c r="D1337" s="821"/>
      <c r="E1337" s="3389"/>
    </row>
    <row r="1338" spans="4:5">
      <c r="D1338" s="821"/>
      <c r="E1338" s="3389"/>
    </row>
    <row r="1339" spans="4:5">
      <c r="D1339" s="821"/>
      <c r="E1339" s="3389"/>
    </row>
    <row r="1340" spans="4:5">
      <c r="D1340" s="821"/>
      <c r="E1340" s="3389"/>
    </row>
    <row r="1341" spans="4:5">
      <c r="D1341" s="821"/>
      <c r="E1341" s="3389"/>
    </row>
    <row r="1342" spans="4:5">
      <c r="D1342" s="821"/>
      <c r="E1342" s="3389"/>
    </row>
    <row r="1343" spans="4:5">
      <c r="D1343" s="821"/>
      <c r="E1343" s="3389"/>
    </row>
    <row r="1344" spans="4:5">
      <c r="D1344" s="821"/>
      <c r="E1344" s="3389"/>
    </row>
    <row r="1345" spans="4:5">
      <c r="D1345" s="821"/>
      <c r="E1345" s="3389"/>
    </row>
    <row r="1346" spans="4:5">
      <c r="D1346" s="821"/>
      <c r="E1346" s="3389"/>
    </row>
    <row r="1347" spans="4:5">
      <c r="D1347" s="821"/>
      <c r="E1347" s="3389"/>
    </row>
    <row r="1348" spans="4:5">
      <c r="D1348" s="821"/>
      <c r="E1348" s="3389"/>
    </row>
    <row r="1349" spans="4:5">
      <c r="D1349" s="821"/>
      <c r="E1349" s="3389"/>
    </row>
    <row r="1350" spans="4:5">
      <c r="D1350" s="821"/>
      <c r="E1350" s="3389"/>
    </row>
    <row r="1351" spans="4:5">
      <c r="D1351" s="821"/>
      <c r="E1351" s="3389"/>
    </row>
    <row r="1352" spans="4:5">
      <c r="D1352" s="821"/>
      <c r="E1352" s="3389"/>
    </row>
    <row r="1353" spans="4:5">
      <c r="D1353" s="821"/>
      <c r="E1353" s="3389"/>
    </row>
    <row r="1354" spans="4:5">
      <c r="D1354" s="821"/>
      <c r="E1354" s="3389"/>
    </row>
    <row r="1355" spans="4:5">
      <c r="D1355" s="821"/>
      <c r="E1355" s="3389"/>
    </row>
    <row r="1356" spans="4:5">
      <c r="D1356" s="821"/>
      <c r="E1356" s="3389"/>
    </row>
    <row r="1357" spans="4:5">
      <c r="D1357" s="821"/>
      <c r="E1357" s="3389"/>
    </row>
    <row r="1358" spans="4:5">
      <c r="D1358" s="821"/>
      <c r="E1358" s="3389"/>
    </row>
    <row r="1359" spans="4:5">
      <c r="D1359" s="821"/>
      <c r="E1359" s="3389"/>
    </row>
    <row r="1360" spans="4:5">
      <c r="D1360" s="821"/>
      <c r="E1360" s="3389"/>
    </row>
    <row r="1361" spans="4:5">
      <c r="D1361" s="821"/>
      <c r="E1361" s="3389"/>
    </row>
    <row r="1362" spans="4:5">
      <c r="D1362" s="821"/>
      <c r="E1362" s="3389"/>
    </row>
    <row r="1363" spans="4:5">
      <c r="D1363" s="821"/>
      <c r="E1363" s="3389"/>
    </row>
    <row r="1364" spans="4:5">
      <c r="D1364" s="821"/>
      <c r="E1364" s="3389"/>
    </row>
    <row r="1365" spans="4:5">
      <c r="D1365" s="821"/>
      <c r="E1365" s="3389"/>
    </row>
    <row r="1366" spans="4:5">
      <c r="D1366" s="821"/>
      <c r="E1366" s="3389"/>
    </row>
    <row r="1367" spans="4:5">
      <c r="D1367" s="821"/>
      <c r="E1367" s="3389"/>
    </row>
    <row r="1368" spans="4:5">
      <c r="D1368" s="821"/>
      <c r="E1368" s="3389"/>
    </row>
    <row r="1369" spans="4:5">
      <c r="D1369" s="821"/>
      <c r="E1369" s="3389"/>
    </row>
    <row r="1370" spans="4:5">
      <c r="D1370" s="821"/>
      <c r="E1370" s="3389"/>
    </row>
    <row r="1371" spans="4:5">
      <c r="D1371" s="821"/>
      <c r="E1371" s="3389"/>
    </row>
    <row r="1372" spans="4:5">
      <c r="D1372" s="821"/>
      <c r="E1372" s="3389"/>
    </row>
    <row r="1373" spans="4:5">
      <c r="D1373" s="821"/>
      <c r="E1373" s="3389"/>
    </row>
    <row r="1374" spans="4:5">
      <c r="D1374" s="821"/>
      <c r="E1374" s="3389"/>
    </row>
    <row r="1375" spans="4:5">
      <c r="D1375" s="821"/>
      <c r="E1375" s="3389"/>
    </row>
    <row r="1376" spans="4:5">
      <c r="D1376" s="821"/>
      <c r="E1376" s="3389"/>
    </row>
    <row r="1377" spans="4:5">
      <c r="D1377" s="821"/>
      <c r="E1377" s="3389"/>
    </row>
    <row r="1378" spans="4:5">
      <c r="D1378" s="821"/>
      <c r="E1378" s="3389"/>
    </row>
    <row r="1379" spans="4:5">
      <c r="D1379" s="821"/>
      <c r="E1379" s="3389"/>
    </row>
    <row r="1380" spans="4:5">
      <c r="D1380" s="821"/>
      <c r="E1380" s="3389"/>
    </row>
    <row r="1381" spans="4:5">
      <c r="D1381" s="821"/>
      <c r="E1381" s="3389"/>
    </row>
    <row r="1382" spans="4:5">
      <c r="D1382" s="821"/>
      <c r="E1382" s="3389"/>
    </row>
    <row r="1383" spans="4:5">
      <c r="D1383" s="821"/>
      <c r="E1383" s="3389"/>
    </row>
    <row r="1384" spans="4:5">
      <c r="D1384" s="821"/>
      <c r="E1384" s="3389"/>
    </row>
    <row r="1385" spans="4:5">
      <c r="D1385" s="821"/>
      <c r="E1385" s="3389"/>
    </row>
    <row r="1386" spans="4:5">
      <c r="D1386" s="821"/>
      <c r="E1386" s="3389"/>
    </row>
    <row r="1387" spans="4:5">
      <c r="D1387" s="821"/>
      <c r="E1387" s="3389"/>
    </row>
    <row r="1388" spans="4:5">
      <c r="D1388" s="821"/>
      <c r="E1388" s="3389"/>
    </row>
    <row r="1389" spans="4:5">
      <c r="D1389" s="821"/>
      <c r="E1389" s="3389"/>
    </row>
    <row r="1390" spans="4:5">
      <c r="D1390" s="821"/>
      <c r="E1390" s="3389"/>
    </row>
    <row r="1391" spans="4:5">
      <c r="D1391" s="821"/>
      <c r="E1391" s="3389"/>
    </row>
    <row r="1392" spans="4:5">
      <c r="D1392" s="821"/>
      <c r="E1392" s="3389"/>
    </row>
    <row r="1393" spans="4:5">
      <c r="D1393" s="821"/>
      <c r="E1393" s="3389"/>
    </row>
    <row r="1394" spans="4:5">
      <c r="D1394" s="821"/>
      <c r="E1394" s="3389"/>
    </row>
    <row r="1395" spans="4:5">
      <c r="D1395" s="821"/>
      <c r="E1395" s="3389"/>
    </row>
    <row r="1396" spans="4:5">
      <c r="D1396" s="821"/>
      <c r="E1396" s="3389"/>
    </row>
    <row r="1397" spans="4:5">
      <c r="D1397" s="821"/>
      <c r="E1397" s="3389"/>
    </row>
    <row r="1398" spans="4:5">
      <c r="D1398" s="821"/>
      <c r="E1398" s="3389"/>
    </row>
    <row r="1399" spans="4:5">
      <c r="D1399" s="821"/>
      <c r="E1399" s="3389"/>
    </row>
    <row r="1400" spans="4:5">
      <c r="D1400" s="821"/>
      <c r="E1400" s="3389"/>
    </row>
    <row r="1401" spans="4:5">
      <c r="D1401" s="821"/>
      <c r="E1401" s="3389"/>
    </row>
    <row r="1402" spans="4:5">
      <c r="D1402" s="821"/>
      <c r="E1402" s="3389"/>
    </row>
    <row r="1403" spans="4:5">
      <c r="D1403" s="821"/>
      <c r="E1403" s="3389"/>
    </row>
    <row r="1404" spans="4:5">
      <c r="D1404" s="821"/>
      <c r="E1404" s="3389"/>
    </row>
    <row r="1405" spans="4:5">
      <c r="D1405" s="821"/>
      <c r="E1405" s="3389"/>
    </row>
    <row r="1406" spans="4:5">
      <c r="D1406" s="821"/>
      <c r="E1406" s="3389"/>
    </row>
    <row r="1407" spans="4:5">
      <c r="D1407" s="821"/>
      <c r="E1407" s="3389"/>
    </row>
    <row r="1408" spans="4:5">
      <c r="D1408" s="821"/>
      <c r="E1408" s="3389"/>
    </row>
    <row r="1409" spans="4:5">
      <c r="D1409" s="821"/>
      <c r="E1409" s="3389"/>
    </row>
    <row r="1410" spans="4:5">
      <c r="D1410" s="821"/>
      <c r="E1410" s="3389"/>
    </row>
    <row r="1411" spans="4:5">
      <c r="D1411" s="821"/>
      <c r="E1411" s="3389"/>
    </row>
    <row r="1412" spans="4:5">
      <c r="D1412" s="821"/>
      <c r="E1412" s="3389"/>
    </row>
    <row r="1413" spans="4:5">
      <c r="D1413" s="821"/>
      <c r="E1413" s="3389"/>
    </row>
    <row r="1414" spans="4:5">
      <c r="D1414" s="821"/>
      <c r="E1414" s="3389"/>
    </row>
    <row r="1415" spans="4:5">
      <c r="D1415" s="821"/>
      <c r="E1415" s="3389"/>
    </row>
    <row r="1416" spans="4:5">
      <c r="D1416" s="821"/>
      <c r="E1416" s="3389"/>
    </row>
    <row r="1417" spans="4:5">
      <c r="D1417" s="821"/>
      <c r="E1417" s="3389"/>
    </row>
    <row r="1418" spans="4:5">
      <c r="D1418" s="821"/>
      <c r="E1418" s="3389"/>
    </row>
    <row r="1419" spans="4:5">
      <c r="D1419" s="821"/>
      <c r="E1419" s="3389"/>
    </row>
    <row r="1420" spans="4:5">
      <c r="D1420" s="821"/>
      <c r="E1420" s="3389"/>
    </row>
    <row r="1421" spans="4:5">
      <c r="D1421" s="821"/>
      <c r="E1421" s="3389"/>
    </row>
    <row r="1422" spans="4:5">
      <c r="D1422" s="821"/>
      <c r="E1422" s="3389"/>
    </row>
    <row r="1423" spans="4:5">
      <c r="D1423" s="821"/>
      <c r="E1423" s="3389"/>
    </row>
    <row r="1424" spans="4:5">
      <c r="D1424" s="821"/>
      <c r="E1424" s="3389"/>
    </row>
    <row r="1425" spans="4:5">
      <c r="D1425" s="821"/>
      <c r="E1425" s="3389"/>
    </row>
    <row r="1426" spans="4:5">
      <c r="D1426" s="821"/>
      <c r="E1426" s="3389"/>
    </row>
    <row r="1427" spans="4:5">
      <c r="D1427" s="821"/>
      <c r="E1427" s="3389"/>
    </row>
    <row r="1428" spans="4:5">
      <c r="D1428" s="821"/>
      <c r="E1428" s="3389"/>
    </row>
    <row r="1429" spans="4:5">
      <c r="D1429" s="821"/>
      <c r="E1429" s="3389"/>
    </row>
    <row r="1430" spans="4:5">
      <c r="D1430" s="821"/>
      <c r="E1430" s="3389"/>
    </row>
    <row r="1431" spans="4:5">
      <c r="D1431" s="821"/>
      <c r="E1431" s="3389"/>
    </row>
    <row r="1432" spans="4:5">
      <c r="D1432" s="821"/>
      <c r="E1432" s="3389"/>
    </row>
    <row r="1433" spans="4:5">
      <c r="D1433" s="821"/>
      <c r="E1433" s="3389"/>
    </row>
    <row r="1434" spans="4:5">
      <c r="D1434" s="821"/>
      <c r="E1434" s="3389"/>
    </row>
    <row r="1435" spans="4:5">
      <c r="D1435" s="821"/>
      <c r="E1435" s="3389"/>
    </row>
    <row r="1436" spans="4:5">
      <c r="D1436" s="821"/>
      <c r="E1436" s="3389"/>
    </row>
    <row r="1437" spans="4:5">
      <c r="D1437" s="821"/>
      <c r="E1437" s="3389"/>
    </row>
    <row r="1438" spans="4:5">
      <c r="D1438" s="821"/>
      <c r="E1438" s="3389"/>
    </row>
    <row r="1439" spans="4:5">
      <c r="D1439" s="821"/>
      <c r="E1439" s="3389"/>
    </row>
    <row r="1440" spans="4:5">
      <c r="D1440" s="821"/>
      <c r="E1440" s="3389"/>
    </row>
    <row r="1441" spans="4:5">
      <c r="D1441" s="821"/>
      <c r="E1441" s="3389"/>
    </row>
    <row r="1442" spans="4:5">
      <c r="D1442" s="821"/>
      <c r="E1442" s="3389"/>
    </row>
    <row r="1443" spans="4:5">
      <c r="D1443" s="821"/>
      <c r="E1443" s="3389"/>
    </row>
    <row r="1444" spans="4:5">
      <c r="D1444" s="821"/>
      <c r="E1444" s="3389"/>
    </row>
    <row r="1445" spans="4:5">
      <c r="D1445" s="821"/>
      <c r="E1445" s="3389"/>
    </row>
    <row r="1446" spans="4:5">
      <c r="D1446" s="821"/>
      <c r="E1446" s="3389"/>
    </row>
    <row r="1447" spans="4:5">
      <c r="D1447" s="821"/>
      <c r="E1447" s="3389"/>
    </row>
    <row r="1448" spans="4:5">
      <c r="D1448" s="821"/>
      <c r="E1448" s="3389"/>
    </row>
    <row r="1449" spans="4:5">
      <c r="D1449" s="821"/>
      <c r="E1449" s="3389"/>
    </row>
    <row r="1450" spans="4:5">
      <c r="D1450" s="821"/>
      <c r="E1450" s="3389"/>
    </row>
    <row r="1451" spans="4:5">
      <c r="D1451" s="821"/>
      <c r="E1451" s="3389"/>
    </row>
    <row r="1452" spans="4:5">
      <c r="D1452" s="821"/>
      <c r="E1452" s="3389"/>
    </row>
    <row r="1453" spans="4:5">
      <c r="D1453" s="821"/>
      <c r="E1453" s="3389"/>
    </row>
    <row r="1454" spans="4:5">
      <c r="D1454" s="821"/>
      <c r="E1454" s="3389"/>
    </row>
    <row r="1455" spans="4:5">
      <c r="D1455" s="821"/>
      <c r="E1455" s="3389"/>
    </row>
    <row r="1456" spans="4:5">
      <c r="D1456" s="821"/>
      <c r="E1456" s="3389"/>
    </row>
    <row r="1457" spans="4:5">
      <c r="D1457" s="821"/>
      <c r="E1457" s="3389"/>
    </row>
    <row r="1458" spans="4:5">
      <c r="D1458" s="821"/>
      <c r="E1458" s="3389"/>
    </row>
    <row r="1459" spans="4:5">
      <c r="D1459" s="821"/>
      <c r="E1459" s="3389"/>
    </row>
    <row r="1460" spans="4:5">
      <c r="D1460" s="821"/>
      <c r="E1460" s="3389"/>
    </row>
    <row r="1461" spans="4:5">
      <c r="D1461" s="821"/>
      <c r="E1461" s="3389"/>
    </row>
    <row r="1462" spans="4:5">
      <c r="D1462" s="821"/>
      <c r="E1462" s="3389"/>
    </row>
    <row r="1463" spans="4:5">
      <c r="D1463" s="821"/>
      <c r="E1463" s="3389"/>
    </row>
    <row r="1464" spans="4:5">
      <c r="D1464" s="821"/>
      <c r="E1464" s="3389"/>
    </row>
    <row r="1465" spans="4:5">
      <c r="D1465" s="821"/>
      <c r="E1465" s="3389"/>
    </row>
    <row r="1466" spans="4:5">
      <c r="D1466" s="821"/>
      <c r="E1466" s="3389"/>
    </row>
    <row r="1467" spans="4:5">
      <c r="D1467" s="821"/>
      <c r="E1467" s="3389"/>
    </row>
    <row r="1468" spans="4:5">
      <c r="D1468" s="821"/>
      <c r="E1468" s="3389"/>
    </row>
    <row r="1469" spans="4:5">
      <c r="D1469" s="821"/>
      <c r="E1469" s="3389"/>
    </row>
    <row r="1470" spans="4:5">
      <c r="D1470" s="821"/>
      <c r="E1470" s="3389"/>
    </row>
    <row r="1471" spans="4:5">
      <c r="D1471" s="821"/>
      <c r="E1471" s="3389"/>
    </row>
    <row r="1472" spans="4:5">
      <c r="D1472" s="821"/>
      <c r="E1472" s="3389"/>
    </row>
    <row r="1473" spans="4:5">
      <c r="D1473" s="821"/>
      <c r="E1473" s="3389"/>
    </row>
    <row r="1474" spans="4:5">
      <c r="D1474" s="821"/>
      <c r="E1474" s="3389"/>
    </row>
    <row r="1475" spans="4:5">
      <c r="D1475" s="821"/>
      <c r="E1475" s="3389"/>
    </row>
    <row r="1476" spans="4:5">
      <c r="D1476" s="821"/>
      <c r="E1476" s="3389"/>
    </row>
    <row r="1477" spans="4:5">
      <c r="D1477" s="821"/>
      <c r="E1477" s="3389"/>
    </row>
    <row r="1478" spans="4:5">
      <c r="D1478" s="821"/>
      <c r="E1478" s="3389"/>
    </row>
    <row r="1479" spans="4:5">
      <c r="D1479" s="821"/>
      <c r="E1479" s="3389"/>
    </row>
    <row r="1480" spans="4:5">
      <c r="D1480" s="821"/>
      <c r="E1480" s="3389"/>
    </row>
    <row r="1481" spans="4:5">
      <c r="D1481" s="821"/>
      <c r="E1481" s="3389"/>
    </row>
    <row r="1482" spans="4:5">
      <c r="D1482" s="821"/>
      <c r="E1482" s="3389"/>
    </row>
    <row r="1483" spans="4:5">
      <c r="D1483" s="821"/>
      <c r="E1483" s="3389"/>
    </row>
    <row r="1484" spans="4:5">
      <c r="D1484" s="821"/>
      <c r="E1484" s="3389"/>
    </row>
    <row r="1485" spans="4:5">
      <c r="D1485" s="821"/>
      <c r="E1485" s="3389"/>
    </row>
    <row r="1486" spans="4:5">
      <c r="D1486" s="821"/>
      <c r="E1486" s="3389"/>
    </row>
    <row r="1487" spans="4:5">
      <c r="D1487" s="821"/>
      <c r="E1487" s="3389"/>
    </row>
    <row r="1488" spans="4:5">
      <c r="D1488" s="821"/>
      <c r="E1488" s="3389"/>
    </row>
    <row r="1489" spans="4:5">
      <c r="D1489" s="821"/>
      <c r="E1489" s="3389"/>
    </row>
    <row r="1490" spans="4:5">
      <c r="D1490" s="821"/>
      <c r="E1490" s="3389"/>
    </row>
    <row r="1491" spans="4:5">
      <c r="D1491" s="821"/>
      <c r="E1491" s="3389"/>
    </row>
    <row r="1492" spans="4:5">
      <c r="D1492" s="821"/>
      <c r="E1492" s="3389"/>
    </row>
    <row r="1493" spans="4:5">
      <c r="D1493" s="821"/>
      <c r="E1493" s="3389"/>
    </row>
    <row r="1494" spans="4:5">
      <c r="D1494" s="821"/>
      <c r="E1494" s="3389"/>
    </row>
    <row r="1495" spans="4:5">
      <c r="D1495" s="821"/>
      <c r="E1495" s="3389"/>
    </row>
    <row r="1496" spans="4:5">
      <c r="D1496" s="821"/>
      <c r="E1496" s="3389"/>
    </row>
    <row r="1497" spans="4:5">
      <c r="D1497" s="821"/>
      <c r="E1497" s="3389"/>
    </row>
    <row r="1498" spans="4:5">
      <c r="D1498" s="821"/>
      <c r="E1498" s="3389"/>
    </row>
    <row r="1499" spans="4:5">
      <c r="D1499" s="821"/>
      <c r="E1499" s="3389"/>
    </row>
    <row r="1500" spans="4:5">
      <c r="D1500" s="821"/>
      <c r="E1500" s="3389"/>
    </row>
    <row r="1501" spans="4:5">
      <c r="D1501" s="821"/>
      <c r="E1501" s="3389"/>
    </row>
    <row r="1502" spans="4:5">
      <c r="D1502" s="821"/>
      <c r="E1502" s="3389"/>
    </row>
    <row r="1503" spans="4:5">
      <c r="D1503" s="821"/>
      <c r="E1503" s="3389"/>
    </row>
    <row r="1504" spans="4:5">
      <c r="D1504" s="821"/>
      <c r="E1504" s="3389"/>
    </row>
    <row r="1505" spans="4:5">
      <c r="D1505" s="821"/>
      <c r="E1505" s="3389"/>
    </row>
    <row r="1506" spans="4:5">
      <c r="D1506" s="821"/>
      <c r="E1506" s="3389"/>
    </row>
    <row r="1507" spans="4:5">
      <c r="D1507" s="821"/>
      <c r="E1507" s="3389"/>
    </row>
    <row r="1508" spans="4:5">
      <c r="D1508" s="821"/>
      <c r="E1508" s="3389"/>
    </row>
    <row r="1509" spans="4:5">
      <c r="D1509" s="821"/>
      <c r="E1509" s="3389"/>
    </row>
    <row r="1510" spans="4:5">
      <c r="D1510" s="821"/>
      <c r="E1510" s="3389"/>
    </row>
    <row r="1511" spans="4:5">
      <c r="D1511" s="821"/>
      <c r="E1511" s="3389"/>
    </row>
    <row r="1512" spans="4:5">
      <c r="D1512" s="821"/>
      <c r="E1512" s="3389"/>
    </row>
    <row r="1513" spans="4:5">
      <c r="D1513" s="821"/>
      <c r="E1513" s="3389"/>
    </row>
    <row r="1514" spans="4:5">
      <c r="D1514" s="821"/>
      <c r="E1514" s="3389"/>
    </row>
    <row r="1515" spans="4:5">
      <c r="D1515" s="821"/>
      <c r="E1515" s="3389"/>
    </row>
    <row r="1516" spans="4:5">
      <c r="D1516" s="821"/>
      <c r="E1516" s="3389"/>
    </row>
    <row r="1517" spans="4:5">
      <c r="D1517" s="821"/>
      <c r="E1517" s="3389"/>
    </row>
    <row r="1518" spans="4:5">
      <c r="D1518" s="821"/>
      <c r="E1518" s="3389"/>
    </row>
    <row r="1519" spans="4:5">
      <c r="D1519" s="821"/>
      <c r="E1519" s="3389"/>
    </row>
    <row r="1520" spans="4:5">
      <c r="D1520" s="821"/>
      <c r="E1520" s="3389"/>
    </row>
    <row r="1521" spans="4:5">
      <c r="D1521" s="821"/>
      <c r="E1521" s="3389"/>
    </row>
    <row r="1522" spans="4:5">
      <c r="D1522" s="821"/>
      <c r="E1522" s="3389"/>
    </row>
    <row r="1523" spans="4:5">
      <c r="D1523" s="821"/>
      <c r="E1523" s="3389"/>
    </row>
    <row r="1524" spans="4:5">
      <c r="D1524" s="821"/>
      <c r="E1524" s="3389"/>
    </row>
    <row r="1525" spans="4:5">
      <c r="D1525" s="821"/>
      <c r="E1525" s="3389"/>
    </row>
    <row r="1526" spans="4:5">
      <c r="D1526" s="821"/>
      <c r="E1526" s="3389"/>
    </row>
    <row r="1527" spans="4:5">
      <c r="D1527" s="821"/>
      <c r="E1527" s="3389"/>
    </row>
    <row r="1528" spans="4:5">
      <c r="D1528" s="821"/>
      <c r="E1528" s="3389"/>
    </row>
    <row r="1529" spans="4:5">
      <c r="D1529" s="821"/>
      <c r="E1529" s="3389"/>
    </row>
    <row r="1530" spans="4:5">
      <c r="D1530" s="821"/>
      <c r="E1530" s="3389"/>
    </row>
    <row r="1531" spans="4:5">
      <c r="D1531" s="821"/>
      <c r="E1531" s="3389"/>
    </row>
    <row r="1532" spans="4:5">
      <c r="D1532" s="821"/>
      <c r="E1532" s="3389"/>
    </row>
    <row r="1533" spans="4:5">
      <c r="D1533" s="821"/>
      <c r="E1533" s="3389"/>
    </row>
    <row r="1534" spans="4:5">
      <c r="D1534" s="821"/>
      <c r="E1534" s="3389"/>
    </row>
    <row r="1535" spans="4:5">
      <c r="D1535" s="821"/>
      <c r="E1535" s="3389"/>
    </row>
    <row r="1536" spans="4:5">
      <c r="D1536" s="821"/>
      <c r="E1536" s="3389"/>
    </row>
    <row r="1537" spans="4:5">
      <c r="D1537" s="821"/>
      <c r="E1537" s="3389"/>
    </row>
    <row r="1538" spans="4:5">
      <c r="D1538" s="821"/>
      <c r="E1538" s="3389"/>
    </row>
    <row r="1539" spans="4:5">
      <c r="D1539" s="821"/>
      <c r="E1539" s="3389"/>
    </row>
    <row r="1540" spans="4:5">
      <c r="D1540" s="821"/>
      <c r="E1540" s="3389"/>
    </row>
    <row r="1541" spans="4:5">
      <c r="D1541" s="821"/>
      <c r="E1541" s="3389"/>
    </row>
    <row r="1542" spans="4:5">
      <c r="D1542" s="821"/>
      <c r="E1542" s="3389"/>
    </row>
    <row r="1543" spans="4:5">
      <c r="D1543" s="821"/>
      <c r="E1543" s="3389"/>
    </row>
    <row r="1544" spans="4:5">
      <c r="D1544" s="821"/>
      <c r="E1544" s="3389"/>
    </row>
    <row r="1545" spans="4:5">
      <c r="D1545" s="821"/>
      <c r="E1545" s="3389"/>
    </row>
    <row r="1546" spans="4:5">
      <c r="D1546" s="821"/>
      <c r="E1546" s="3389"/>
    </row>
    <row r="1547" spans="4:5">
      <c r="D1547" s="821"/>
      <c r="E1547" s="3389"/>
    </row>
    <row r="1548" spans="4:5">
      <c r="D1548" s="821"/>
      <c r="E1548" s="3389"/>
    </row>
    <row r="1549" spans="4:5">
      <c r="D1549" s="821"/>
      <c r="E1549" s="3389"/>
    </row>
    <row r="1550" spans="4:5">
      <c r="D1550" s="821"/>
      <c r="E1550" s="3389"/>
    </row>
    <row r="1551" spans="4:5">
      <c r="D1551" s="821"/>
      <c r="E1551" s="3389"/>
    </row>
    <row r="1552" spans="4:5">
      <c r="D1552" s="821"/>
      <c r="E1552" s="3389"/>
    </row>
    <row r="1553" spans="4:5">
      <c r="D1553" s="821"/>
      <c r="E1553" s="3389"/>
    </row>
    <row r="1554" spans="4:5">
      <c r="D1554" s="821"/>
      <c r="E1554" s="3389"/>
    </row>
    <row r="1555" spans="4:5">
      <c r="D1555" s="821"/>
      <c r="E1555" s="3389"/>
    </row>
    <row r="1556" spans="4:5">
      <c r="D1556" s="821"/>
      <c r="E1556" s="3389"/>
    </row>
    <row r="1557" spans="4:5">
      <c r="D1557" s="821"/>
      <c r="E1557" s="3389"/>
    </row>
    <row r="1558" spans="4:5">
      <c r="D1558" s="821"/>
      <c r="E1558" s="3389"/>
    </row>
    <row r="1559" spans="4:5">
      <c r="D1559" s="821"/>
      <c r="E1559" s="3389"/>
    </row>
    <row r="1560" spans="4:5">
      <c r="D1560" s="821"/>
      <c r="E1560" s="3389"/>
    </row>
    <row r="1561" spans="4:5">
      <c r="D1561" s="821"/>
      <c r="E1561" s="3389"/>
    </row>
    <row r="1562" spans="4:5">
      <c r="D1562" s="821"/>
      <c r="E1562" s="3389"/>
    </row>
    <row r="1563" spans="4:5">
      <c r="D1563" s="821"/>
      <c r="E1563" s="3389"/>
    </row>
    <row r="1564" spans="4:5">
      <c r="D1564" s="821"/>
      <c r="E1564" s="3389"/>
    </row>
    <row r="1565" spans="4:5">
      <c r="D1565" s="821"/>
      <c r="E1565" s="3389"/>
    </row>
    <row r="1566" spans="4:5">
      <c r="D1566" s="821"/>
      <c r="E1566" s="3389"/>
    </row>
    <row r="1567" spans="4:5">
      <c r="D1567" s="821"/>
      <c r="E1567" s="3389"/>
    </row>
    <row r="1568" spans="4:5">
      <c r="D1568" s="821"/>
      <c r="E1568" s="3389"/>
    </row>
    <row r="1569" spans="4:5">
      <c r="D1569" s="821"/>
      <c r="E1569" s="3389"/>
    </row>
    <row r="1570" spans="4:5">
      <c r="D1570" s="821"/>
      <c r="E1570" s="3389"/>
    </row>
    <row r="1571" spans="4:5">
      <c r="D1571" s="821"/>
      <c r="E1571" s="3389"/>
    </row>
    <row r="1572" spans="4:5">
      <c r="D1572" s="821"/>
      <c r="E1572" s="3389"/>
    </row>
    <row r="1573" spans="4:5">
      <c r="D1573" s="821"/>
      <c r="E1573" s="3389"/>
    </row>
    <row r="1574" spans="4:5">
      <c r="D1574" s="821"/>
      <c r="E1574" s="3389"/>
    </row>
    <row r="1575" spans="4:5">
      <c r="D1575" s="821"/>
      <c r="E1575" s="3389"/>
    </row>
    <row r="1576" spans="4:5">
      <c r="D1576" s="821"/>
      <c r="E1576" s="3389"/>
    </row>
    <row r="1577" spans="4:5">
      <c r="D1577" s="821"/>
      <c r="E1577" s="3389"/>
    </row>
    <row r="1578" spans="4:5">
      <c r="D1578" s="821"/>
      <c r="E1578" s="3389"/>
    </row>
    <row r="1579" spans="4:5">
      <c r="D1579" s="821"/>
      <c r="E1579" s="3389"/>
    </row>
    <row r="1580" spans="4:5">
      <c r="D1580" s="821"/>
      <c r="E1580" s="3389"/>
    </row>
    <row r="1581" spans="4:5">
      <c r="D1581" s="821"/>
      <c r="E1581" s="3389"/>
    </row>
    <row r="1582" spans="4:5">
      <c r="D1582" s="821"/>
      <c r="E1582" s="3389"/>
    </row>
    <row r="1583" spans="4:5">
      <c r="D1583" s="821"/>
    </row>
    <row r="1584" spans="4:5">
      <c r="D1584" s="821"/>
    </row>
    <row r="1585" spans="4:4">
      <c r="D1585" s="821"/>
    </row>
    <row r="1586" spans="4:4">
      <c r="D1586" s="821"/>
    </row>
    <row r="1587" spans="4:4">
      <c r="D1587" s="821"/>
    </row>
    <row r="1588" spans="4:4">
      <c r="D1588" s="821"/>
    </row>
    <row r="1589" spans="4:4">
      <c r="D1589" s="821"/>
    </row>
    <row r="1590" spans="4:4">
      <c r="D1590" s="821"/>
    </row>
    <row r="1591" spans="4:4">
      <c r="D1591" s="821"/>
    </row>
    <row r="1592" spans="4:4">
      <c r="D1592" s="821"/>
    </row>
    <row r="1593" spans="4:4">
      <c r="D1593" s="821"/>
    </row>
    <row r="1594" spans="4:4">
      <c r="D1594" s="821"/>
    </row>
    <row r="1595" spans="4:4">
      <c r="D1595" s="821"/>
    </row>
    <row r="1596" spans="4:4">
      <c r="D1596" s="821"/>
    </row>
    <row r="1597" spans="4:4">
      <c r="D1597" s="821"/>
    </row>
    <row r="1598" spans="4:4">
      <c r="D1598" s="821"/>
    </row>
    <row r="1599" spans="4:4">
      <c r="D1599" s="821"/>
    </row>
    <row r="1600" spans="4:4">
      <c r="D1600" s="821"/>
    </row>
    <row r="1601" spans="4:4">
      <c r="D1601" s="821"/>
    </row>
    <row r="1602" spans="4:4">
      <c r="D1602" s="821"/>
    </row>
    <row r="1603" spans="4:4">
      <c r="D1603" s="821"/>
    </row>
    <row r="1604" spans="4:4">
      <c r="D1604" s="821"/>
    </row>
    <row r="1605" spans="4:4">
      <c r="D1605" s="821"/>
    </row>
    <row r="1606" spans="4:4">
      <c r="D1606" s="821"/>
    </row>
    <row r="1607" spans="4:4">
      <c r="D1607" s="821"/>
    </row>
    <row r="1608" spans="4:4">
      <c r="D1608" s="821"/>
    </row>
    <row r="1609" spans="4:4">
      <c r="D1609" s="821"/>
    </row>
    <row r="1610" spans="4:4">
      <c r="D1610" s="821"/>
    </row>
    <row r="1611" spans="4:4">
      <c r="D1611" s="821"/>
    </row>
    <row r="1612" spans="4:4">
      <c r="D1612" s="821"/>
    </row>
    <row r="1613" spans="4:4">
      <c r="D1613" s="821"/>
    </row>
    <row r="1614" spans="4:4">
      <c r="D1614" s="821"/>
    </row>
    <row r="1615" spans="4:4">
      <c r="D1615" s="821"/>
    </row>
    <row r="1616" spans="4:4">
      <c r="D1616" s="821"/>
    </row>
    <row r="1617" spans="4:4">
      <c r="D1617" s="821"/>
    </row>
    <row r="1618" spans="4:4">
      <c r="D1618" s="821"/>
    </row>
    <row r="1619" spans="4:4">
      <c r="D1619" s="821"/>
    </row>
    <row r="1620" spans="4:4">
      <c r="D1620" s="821"/>
    </row>
    <row r="1621" spans="4:4">
      <c r="D1621" s="821"/>
    </row>
    <row r="1622" spans="4:4">
      <c r="D1622" s="821"/>
    </row>
    <row r="1623" spans="4:4">
      <c r="D1623" s="821"/>
    </row>
    <row r="1624" spans="4:4">
      <c r="D1624" s="821"/>
    </row>
    <row r="1625" spans="4:4">
      <c r="D1625" s="821"/>
    </row>
    <row r="1626" spans="4:4">
      <c r="D1626" s="821"/>
    </row>
    <row r="1627" spans="4:4">
      <c r="D1627" s="821"/>
    </row>
    <row r="1628" spans="4:4">
      <c r="D1628" s="821"/>
    </row>
    <row r="1629" spans="4:4">
      <c r="D1629" s="821"/>
    </row>
    <row r="1630" spans="4:4">
      <c r="D1630" s="821"/>
    </row>
    <row r="1631" spans="4:4">
      <c r="D1631" s="821"/>
    </row>
    <row r="1632" spans="4:4">
      <c r="D1632" s="821"/>
    </row>
    <row r="1633" spans="4:4">
      <c r="D1633" s="821"/>
    </row>
    <row r="1634" spans="4:4">
      <c r="D1634" s="821"/>
    </row>
    <row r="1635" spans="4:4">
      <c r="D1635" s="821"/>
    </row>
    <row r="1636" spans="4:4">
      <c r="D1636" s="821"/>
    </row>
    <row r="1637" spans="4:4">
      <c r="D1637" s="821"/>
    </row>
    <row r="1638" spans="4:4">
      <c r="D1638" s="821"/>
    </row>
    <row r="1639" spans="4:4">
      <c r="D1639" s="821"/>
    </row>
    <row r="1640" spans="4:4">
      <c r="D1640" s="821"/>
    </row>
    <row r="1641" spans="4:4">
      <c r="D1641" s="821"/>
    </row>
    <row r="1642" spans="4:4">
      <c r="D1642" s="821"/>
    </row>
    <row r="1643" spans="4:4">
      <c r="D1643" s="821"/>
    </row>
    <row r="1644" spans="4:4">
      <c r="D1644" s="821"/>
    </row>
    <row r="1645" spans="4:4">
      <c r="D1645" s="821"/>
    </row>
    <row r="1646" spans="4:4">
      <c r="D1646" s="821"/>
    </row>
    <row r="1647" spans="4:4">
      <c r="D1647" s="821"/>
    </row>
    <row r="1648" spans="4:4">
      <c r="D1648" s="821"/>
    </row>
    <row r="1649" spans="4:4">
      <c r="D1649" s="821"/>
    </row>
    <row r="1650" spans="4:4">
      <c r="D1650" s="821"/>
    </row>
    <row r="1651" spans="4:4">
      <c r="D1651" s="821"/>
    </row>
    <row r="1652" spans="4:4">
      <c r="D1652" s="821"/>
    </row>
    <row r="1653" spans="4:4">
      <c r="D1653" s="821"/>
    </row>
    <row r="1654" spans="4:4">
      <c r="D1654" s="821"/>
    </row>
    <row r="1655" spans="4:4">
      <c r="D1655" s="821"/>
    </row>
    <row r="1656" spans="4:4">
      <c r="D1656" s="821"/>
    </row>
    <row r="1657" spans="4:4">
      <c r="D1657" s="821"/>
    </row>
    <row r="1658" spans="4:4">
      <c r="D1658" s="821"/>
    </row>
    <row r="1659" spans="4:4">
      <c r="D1659" s="821"/>
    </row>
    <row r="1660" spans="4:4">
      <c r="D1660" s="821"/>
    </row>
    <row r="1661" spans="4:4">
      <c r="D1661" s="821"/>
    </row>
    <row r="1662" spans="4:4">
      <c r="D1662" s="821"/>
    </row>
    <row r="1663" spans="4:4">
      <c r="D1663" s="821"/>
    </row>
    <row r="1664" spans="4:4">
      <c r="D1664" s="821"/>
    </row>
    <row r="1665" spans="4:4">
      <c r="D1665" s="821"/>
    </row>
    <row r="1666" spans="4:4">
      <c r="D1666" s="821"/>
    </row>
    <row r="1667" spans="4:4">
      <c r="D1667" s="821"/>
    </row>
    <row r="1668" spans="4:4">
      <c r="D1668" s="821"/>
    </row>
    <row r="1669" spans="4:4">
      <c r="D1669" s="821"/>
    </row>
    <row r="1670" spans="4:4">
      <c r="D1670" s="821"/>
    </row>
    <row r="1671" spans="4:4">
      <c r="D1671" s="821"/>
    </row>
    <row r="1672" spans="4:4">
      <c r="D1672" s="821"/>
    </row>
    <row r="1673" spans="4:4">
      <c r="D1673" s="821"/>
    </row>
    <row r="1674" spans="4:4">
      <c r="D1674" s="821"/>
    </row>
    <row r="1675" spans="4:4">
      <c r="D1675" s="821"/>
    </row>
    <row r="1676" spans="4:4">
      <c r="D1676" s="821"/>
    </row>
    <row r="1677" spans="4:4">
      <c r="D1677" s="821"/>
    </row>
    <row r="1678" spans="4:4">
      <c r="D1678" s="821"/>
    </row>
    <row r="1679" spans="4:4">
      <c r="D1679" s="821"/>
    </row>
    <row r="1680" spans="4:4">
      <c r="D1680" s="821"/>
    </row>
    <row r="1681" spans="4:4">
      <c r="D1681" s="821"/>
    </row>
    <row r="1682" spans="4:4">
      <c r="D1682" s="821"/>
    </row>
    <row r="1683" spans="4:4">
      <c r="D1683" s="821"/>
    </row>
    <row r="1684" spans="4:4">
      <c r="D1684" s="821"/>
    </row>
    <row r="1685" spans="4:4">
      <c r="D1685" s="821"/>
    </row>
    <row r="1686" spans="4:4">
      <c r="D1686" s="821"/>
    </row>
    <row r="1687" spans="4:4">
      <c r="D1687" s="821"/>
    </row>
    <row r="1688" spans="4:4">
      <c r="D1688" s="821"/>
    </row>
    <row r="1689" spans="4:4">
      <c r="D1689" s="821"/>
    </row>
    <row r="1690" spans="4:4">
      <c r="D1690" s="821"/>
    </row>
    <row r="1691" spans="4:4">
      <c r="D1691" s="821"/>
    </row>
    <row r="1692" spans="4:4">
      <c r="D1692" s="821"/>
    </row>
    <row r="1693" spans="4:4">
      <c r="D1693" s="821"/>
    </row>
    <row r="1694" spans="4:4">
      <c r="D1694" s="821"/>
    </row>
    <row r="1695" spans="4:4">
      <c r="D1695" s="821"/>
    </row>
    <row r="1696" spans="4:4">
      <c r="D1696" s="821"/>
    </row>
    <row r="1697" spans="4:4">
      <c r="D1697" s="821"/>
    </row>
    <row r="1698" spans="4:4">
      <c r="D1698" s="821"/>
    </row>
    <row r="1699" spans="4:4">
      <c r="D1699" s="821"/>
    </row>
    <row r="1700" spans="4:4">
      <c r="D1700" s="821"/>
    </row>
    <row r="1701" spans="4:4">
      <c r="D1701" s="821"/>
    </row>
    <row r="1702" spans="4:4">
      <c r="D1702" s="821"/>
    </row>
    <row r="1703" spans="4:4">
      <c r="D1703" s="821"/>
    </row>
    <row r="1704" spans="4:4">
      <c r="D1704" s="821"/>
    </row>
    <row r="1705" spans="4:4">
      <c r="D1705" s="821"/>
    </row>
    <row r="1706" spans="4:4">
      <c r="D1706" s="821"/>
    </row>
    <row r="1707" spans="4:4">
      <c r="D1707" s="821"/>
    </row>
    <row r="1708" spans="4:4">
      <c r="D1708" s="821"/>
    </row>
    <row r="1709" spans="4:4">
      <c r="D1709" s="821"/>
    </row>
    <row r="1710" spans="4:4">
      <c r="D1710" s="821"/>
    </row>
    <row r="1711" spans="4:4">
      <c r="D1711" s="821"/>
    </row>
    <row r="1712" spans="4:4">
      <c r="D1712" s="821"/>
    </row>
    <row r="1713" spans="4:4">
      <c r="D1713" s="821"/>
    </row>
    <row r="1714" spans="4:4">
      <c r="D1714" s="821"/>
    </row>
    <row r="1715" spans="4:4">
      <c r="D1715" s="821"/>
    </row>
    <row r="1716" spans="4:4">
      <c r="D1716" s="821"/>
    </row>
    <row r="1717" spans="4:4">
      <c r="D1717" s="821"/>
    </row>
    <row r="1718" spans="4:4">
      <c r="D1718" s="821"/>
    </row>
    <row r="1719" spans="4:4">
      <c r="D1719" s="821"/>
    </row>
    <row r="1720" spans="4:4">
      <c r="D1720" s="821"/>
    </row>
    <row r="1721" spans="4:4">
      <c r="D1721" s="821"/>
    </row>
    <row r="1722" spans="4:4">
      <c r="D1722" s="821"/>
    </row>
    <row r="1723" spans="4:4">
      <c r="D1723" s="821"/>
    </row>
    <row r="1724" spans="4:4">
      <c r="D1724" s="821"/>
    </row>
    <row r="1725" spans="4:4">
      <c r="D1725" s="821"/>
    </row>
    <row r="1726" spans="4:4">
      <c r="D1726" s="821"/>
    </row>
    <row r="1727" spans="4:4">
      <c r="D1727" s="821"/>
    </row>
    <row r="1728" spans="4:4">
      <c r="D1728" s="821"/>
    </row>
    <row r="1729" spans="4:4">
      <c r="D1729" s="821"/>
    </row>
    <row r="1730" spans="4:4">
      <c r="D1730" s="821"/>
    </row>
    <row r="1731" spans="4:4">
      <c r="D1731" s="821"/>
    </row>
    <row r="1732" spans="4:4">
      <c r="D1732" s="821"/>
    </row>
    <row r="1733" spans="4:4">
      <c r="D1733" s="821"/>
    </row>
    <row r="1734" spans="4:4">
      <c r="D1734" s="821"/>
    </row>
    <row r="1735" spans="4:4">
      <c r="D1735" s="821"/>
    </row>
    <row r="1736" spans="4:4">
      <c r="D1736" s="821"/>
    </row>
    <row r="1737" spans="4:4">
      <c r="D1737" s="821"/>
    </row>
    <row r="1738" spans="4:4">
      <c r="D1738" s="821"/>
    </row>
    <row r="1739" spans="4:4">
      <c r="D1739" s="821"/>
    </row>
    <row r="1740" spans="4:4">
      <c r="D1740" s="821"/>
    </row>
    <row r="1741" spans="4:4">
      <c r="D1741" s="821"/>
    </row>
    <row r="1742" spans="4:4">
      <c r="D1742" s="821"/>
    </row>
    <row r="1743" spans="4:4">
      <c r="D1743" s="821"/>
    </row>
    <row r="1744" spans="4:4">
      <c r="D1744" s="821"/>
    </row>
    <row r="1745" spans="4:4">
      <c r="D1745" s="821"/>
    </row>
    <row r="1746" spans="4:4">
      <c r="D1746" s="821"/>
    </row>
    <row r="1747" spans="4:4">
      <c r="D1747" s="821"/>
    </row>
    <row r="1748" spans="4:4">
      <c r="D1748" s="821"/>
    </row>
    <row r="1749" spans="4:4">
      <c r="D1749" s="821"/>
    </row>
    <row r="1750" spans="4:4">
      <c r="D1750" s="821"/>
    </row>
    <row r="1751" spans="4:4">
      <c r="D1751" s="821"/>
    </row>
    <row r="1752" spans="4:4">
      <c r="D1752" s="821"/>
    </row>
    <row r="1753" spans="4:4">
      <c r="D1753" s="821"/>
    </row>
    <row r="1754" spans="4:4">
      <c r="D1754" s="821"/>
    </row>
    <row r="1755" spans="4:4">
      <c r="D1755" s="821"/>
    </row>
    <row r="1756" spans="4:4">
      <c r="D1756" s="821"/>
    </row>
    <row r="1757" spans="4:4">
      <c r="D1757" s="821"/>
    </row>
    <row r="1758" spans="4:4">
      <c r="D1758" s="821"/>
    </row>
    <row r="1759" spans="4:4">
      <c r="D1759" s="821"/>
    </row>
    <row r="1760" spans="4:4">
      <c r="D1760" s="821"/>
    </row>
    <row r="1761" spans="4:4">
      <c r="D1761" s="821"/>
    </row>
    <row r="1762" spans="4:4">
      <c r="D1762" s="821"/>
    </row>
    <row r="1763" spans="4:4">
      <c r="D1763" s="821"/>
    </row>
    <row r="1764" spans="4:4">
      <c r="D1764" s="821"/>
    </row>
    <row r="1765" spans="4:4">
      <c r="D1765" s="821"/>
    </row>
    <row r="1766" spans="4:4">
      <c r="D1766" s="821"/>
    </row>
    <row r="1767" spans="4:4">
      <c r="D1767" s="821"/>
    </row>
    <row r="1768" spans="4:4">
      <c r="D1768" s="821"/>
    </row>
    <row r="1769" spans="4:4">
      <c r="D1769" s="821"/>
    </row>
    <row r="1770" spans="4:4">
      <c r="D1770" s="821"/>
    </row>
    <row r="1771" spans="4:4">
      <c r="D1771" s="821"/>
    </row>
    <row r="1772" spans="4:4">
      <c r="D1772" s="821"/>
    </row>
    <row r="1773" spans="4:4">
      <c r="D1773" s="821"/>
    </row>
    <row r="1774" spans="4:4">
      <c r="D1774" s="821"/>
    </row>
    <row r="1775" spans="4:4">
      <c r="D1775" s="821"/>
    </row>
    <row r="1776" spans="4:4">
      <c r="D1776" s="821"/>
    </row>
    <row r="1777" spans="4:4">
      <c r="D1777" s="821"/>
    </row>
    <row r="1778" spans="4:4">
      <c r="D1778" s="821"/>
    </row>
    <row r="1779" spans="4:4">
      <c r="D1779" s="821"/>
    </row>
    <row r="1780" spans="4:4">
      <c r="D1780" s="821"/>
    </row>
    <row r="1781" spans="4:4">
      <c r="D1781" s="821"/>
    </row>
    <row r="1782" spans="4:4">
      <c r="D1782" s="821"/>
    </row>
    <row r="1783" spans="4:4">
      <c r="D1783" s="821"/>
    </row>
    <row r="1784" spans="4:4">
      <c r="D1784" s="821"/>
    </row>
    <row r="1785" spans="4:4">
      <c r="D1785" s="821"/>
    </row>
    <row r="1786" spans="4:4">
      <c r="D1786" s="821"/>
    </row>
    <row r="1787" spans="4:4">
      <c r="D1787" s="821"/>
    </row>
    <row r="1788" spans="4:4">
      <c r="D1788" s="821"/>
    </row>
    <row r="1789" spans="4:4">
      <c r="D1789" s="821"/>
    </row>
    <row r="1790" spans="4:4">
      <c r="D1790" s="821"/>
    </row>
    <row r="1791" spans="4:4">
      <c r="D1791" s="821"/>
    </row>
    <row r="1792" spans="4:4">
      <c r="D1792" s="821"/>
    </row>
    <row r="1793" spans="4:4">
      <c r="D1793" s="821"/>
    </row>
    <row r="1794" spans="4:4">
      <c r="D1794" s="821"/>
    </row>
    <row r="1795" spans="4:4">
      <c r="D1795" s="821"/>
    </row>
    <row r="1796" spans="4:4">
      <c r="D1796" s="821"/>
    </row>
    <row r="1797" spans="4:4">
      <c r="D1797" s="821"/>
    </row>
    <row r="1798" spans="4:4">
      <c r="D1798" s="821"/>
    </row>
    <row r="1799" spans="4:4">
      <c r="D1799" s="821"/>
    </row>
    <row r="1800" spans="4:4">
      <c r="D1800" s="821"/>
    </row>
    <row r="1801" spans="4:4">
      <c r="D1801" s="821"/>
    </row>
    <row r="1802" spans="4:4">
      <c r="D1802" s="821"/>
    </row>
    <row r="1803" spans="4:4">
      <c r="D1803" s="821"/>
    </row>
    <row r="1804" spans="4:4">
      <c r="D1804" s="821"/>
    </row>
    <row r="1805" spans="4:4">
      <c r="D1805" s="821"/>
    </row>
    <row r="1806" spans="4:4">
      <c r="D1806" s="821"/>
    </row>
    <row r="1807" spans="4:4">
      <c r="D1807" s="821"/>
    </row>
    <row r="1808" spans="4:4">
      <c r="D1808" s="821"/>
    </row>
    <row r="1809" spans="4:4">
      <c r="D1809" s="821"/>
    </row>
    <row r="1810" spans="4:4">
      <c r="D1810" s="821"/>
    </row>
    <row r="1811" spans="4:4">
      <c r="D1811" s="821"/>
    </row>
    <row r="1812" spans="4:4">
      <c r="D1812" s="821"/>
    </row>
    <row r="1813" spans="4:4">
      <c r="D1813" s="821"/>
    </row>
    <row r="1814" spans="4:4">
      <c r="D1814" s="821"/>
    </row>
    <row r="1815" spans="4:4">
      <c r="D1815" s="821"/>
    </row>
    <row r="1816" spans="4:4">
      <c r="D1816" s="821"/>
    </row>
    <row r="1817" spans="4:4">
      <c r="D1817" s="821"/>
    </row>
    <row r="1818" spans="4:4">
      <c r="D1818" s="821"/>
    </row>
    <row r="1819" spans="4:4">
      <c r="D1819" s="821"/>
    </row>
    <row r="1820" spans="4:4">
      <c r="D1820" s="821"/>
    </row>
    <row r="1821" spans="4:4">
      <c r="D1821" s="821"/>
    </row>
    <row r="1822" spans="4:4">
      <c r="D1822" s="821"/>
    </row>
    <row r="1823" spans="4:4">
      <c r="D1823" s="821"/>
    </row>
    <row r="1824" spans="4:4">
      <c r="D1824" s="821"/>
    </row>
    <row r="1825" spans="4:4">
      <c r="D1825" s="821"/>
    </row>
    <row r="1826" spans="4:4">
      <c r="D1826" s="821"/>
    </row>
    <row r="1827" spans="4:4">
      <c r="D1827" s="821"/>
    </row>
    <row r="1828" spans="4:4">
      <c r="D1828" s="821"/>
    </row>
    <row r="1829" spans="4:4">
      <c r="D1829" s="821"/>
    </row>
    <row r="1830" spans="4:4">
      <c r="D1830" s="821"/>
    </row>
    <row r="1831" spans="4:4">
      <c r="D1831" s="821"/>
    </row>
    <row r="1832" spans="4:4">
      <c r="D1832" s="821"/>
    </row>
    <row r="1833" spans="4:4">
      <c r="D1833" s="821"/>
    </row>
    <row r="1834" spans="4:4">
      <c r="D1834" s="821"/>
    </row>
    <row r="1835" spans="4:4">
      <c r="D1835" s="821"/>
    </row>
    <row r="1836" spans="4:4">
      <c r="D1836" s="821"/>
    </row>
    <row r="1837" spans="4:4">
      <c r="D1837" s="821"/>
    </row>
    <row r="1838" spans="4:4">
      <c r="D1838" s="821"/>
    </row>
    <row r="1839" spans="4:4">
      <c r="D1839" s="821"/>
    </row>
    <row r="1840" spans="4:4">
      <c r="D1840" s="821"/>
    </row>
    <row r="1841" spans="4:4">
      <c r="D1841" s="821"/>
    </row>
    <row r="1842" spans="4:4">
      <c r="D1842" s="821"/>
    </row>
    <row r="1843" spans="4:4">
      <c r="D1843" s="821"/>
    </row>
    <row r="1844" spans="4:4">
      <c r="D1844" s="821"/>
    </row>
    <row r="1845" spans="4:4">
      <c r="D1845" s="821"/>
    </row>
    <row r="1846" spans="4:4">
      <c r="D1846" s="821"/>
    </row>
    <row r="1847" spans="4:4">
      <c r="D1847" s="821"/>
    </row>
    <row r="1848" spans="4:4">
      <c r="D1848" s="821"/>
    </row>
    <row r="1849" spans="4:4">
      <c r="D1849" s="821"/>
    </row>
    <row r="1850" spans="4:4">
      <c r="D1850" s="821"/>
    </row>
    <row r="1851" spans="4:4">
      <c r="D1851" s="821"/>
    </row>
    <row r="1852" spans="4:4">
      <c r="D1852" s="821"/>
    </row>
    <row r="1853" spans="4:4">
      <c r="D1853" s="821"/>
    </row>
    <row r="1854" spans="4:4">
      <c r="D1854" s="821"/>
    </row>
    <row r="1855" spans="4:4">
      <c r="D1855" s="821"/>
    </row>
    <row r="1856" spans="4:4">
      <c r="D1856" s="821"/>
    </row>
    <row r="1857" spans="4:4">
      <c r="D1857" s="821"/>
    </row>
    <row r="1858" spans="4:4">
      <c r="D1858" s="821"/>
    </row>
    <row r="1859" spans="4:4">
      <c r="D1859" s="821"/>
    </row>
    <row r="1860" spans="4:4">
      <c r="D1860" s="821"/>
    </row>
    <row r="1861" spans="4:4">
      <c r="D1861" s="821"/>
    </row>
    <row r="1862" spans="4:4">
      <c r="D1862" s="821"/>
    </row>
    <row r="1863" spans="4:4">
      <c r="D1863" s="821"/>
    </row>
    <row r="1864" spans="4:4">
      <c r="D1864" s="821"/>
    </row>
    <row r="1865" spans="4:4">
      <c r="D1865" s="821"/>
    </row>
    <row r="1866" spans="4:4">
      <c r="D1866" s="821"/>
    </row>
    <row r="1867" spans="4:4">
      <c r="D1867" s="821"/>
    </row>
    <row r="1868" spans="4:4">
      <c r="D1868" s="821"/>
    </row>
    <row r="1869" spans="4:4">
      <c r="D1869" s="821"/>
    </row>
    <row r="1870" spans="4:4">
      <c r="D1870" s="821"/>
    </row>
    <row r="1871" spans="4:4">
      <c r="D1871" s="821"/>
    </row>
    <row r="1872" spans="4:4">
      <c r="D1872" s="821"/>
    </row>
    <row r="1873" spans="4:4">
      <c r="D1873" s="821"/>
    </row>
    <row r="1874" spans="4:4">
      <c r="D1874" s="821"/>
    </row>
    <row r="1875" spans="4:4">
      <c r="D1875" s="821"/>
    </row>
    <row r="1876" spans="4:4">
      <c r="D1876" s="821"/>
    </row>
    <row r="1877" spans="4:4">
      <c r="D1877" s="821"/>
    </row>
    <row r="1878" spans="4:4">
      <c r="D1878" s="821"/>
    </row>
    <row r="1879" spans="4:4">
      <c r="D1879" s="821"/>
    </row>
    <row r="1880" spans="4:4">
      <c r="D1880" s="821"/>
    </row>
    <row r="1881" spans="4:4">
      <c r="D1881" s="821"/>
    </row>
    <row r="1882" spans="4:4">
      <c r="D1882" s="821"/>
    </row>
    <row r="1883" spans="4:4">
      <c r="D1883" s="821"/>
    </row>
    <row r="1884" spans="4:4">
      <c r="D1884" s="821"/>
    </row>
    <row r="1885" spans="4:4">
      <c r="D1885" s="821"/>
    </row>
    <row r="1886" spans="4:4">
      <c r="D1886" s="821"/>
    </row>
    <row r="1887" spans="4:4">
      <c r="D1887" s="821"/>
    </row>
    <row r="1888" spans="4:4">
      <c r="D1888" s="821"/>
    </row>
    <row r="1889" spans="4:4">
      <c r="D1889" s="821"/>
    </row>
    <row r="1890" spans="4:4">
      <c r="D1890" s="821"/>
    </row>
    <row r="1891" spans="4:4">
      <c r="D1891" s="821"/>
    </row>
    <row r="1892" spans="4:4">
      <c r="D1892" s="821"/>
    </row>
    <row r="1893" spans="4:4">
      <c r="D1893" s="821"/>
    </row>
    <row r="1894" spans="4:4">
      <c r="D1894" s="821"/>
    </row>
    <row r="1895" spans="4:4">
      <c r="D1895" s="821"/>
    </row>
    <row r="1896" spans="4:4">
      <c r="D1896" s="821"/>
    </row>
    <row r="1897" spans="4:4">
      <c r="D1897" s="821"/>
    </row>
    <row r="1898" spans="4:4">
      <c r="D1898" s="821"/>
    </row>
    <row r="1899" spans="4:4">
      <c r="D1899" s="821"/>
    </row>
    <row r="1900" spans="4:4">
      <c r="D1900" s="821"/>
    </row>
    <row r="1901" spans="4:4">
      <c r="D1901" s="821"/>
    </row>
    <row r="1902" spans="4:4">
      <c r="D1902" s="821"/>
    </row>
    <row r="1903" spans="4:4">
      <c r="D1903" s="821"/>
    </row>
    <row r="1904" spans="4:4">
      <c r="D1904" s="821"/>
    </row>
    <row r="1905" spans="4:4">
      <c r="D1905" s="821"/>
    </row>
    <row r="1906" spans="4:4">
      <c r="D1906" s="821"/>
    </row>
    <row r="1907" spans="4:4">
      <c r="D1907" s="821"/>
    </row>
    <row r="1908" spans="4:4">
      <c r="D1908" s="821"/>
    </row>
    <row r="1909" spans="4:4">
      <c r="D1909" s="821"/>
    </row>
    <row r="1910" spans="4:4">
      <c r="D1910" s="821"/>
    </row>
    <row r="1911" spans="4:4">
      <c r="D1911" s="821"/>
    </row>
    <row r="1912" spans="4:4">
      <c r="D1912" s="821"/>
    </row>
    <row r="1913" spans="4:4">
      <c r="D1913" s="821"/>
    </row>
    <row r="1914" spans="4:4">
      <c r="D1914" s="821"/>
    </row>
    <row r="1915" spans="4:4">
      <c r="D1915" s="821"/>
    </row>
    <row r="1916" spans="4:4">
      <c r="D1916" s="821"/>
    </row>
    <row r="1917" spans="4:4">
      <c r="D1917" s="821"/>
    </row>
    <row r="1918" spans="4:4">
      <c r="D1918" s="821"/>
    </row>
    <row r="1919" spans="4:4">
      <c r="D1919" s="821"/>
    </row>
    <row r="1920" spans="4:4">
      <c r="D1920" s="821"/>
    </row>
    <row r="1921" spans="4:4">
      <c r="D1921" s="821"/>
    </row>
    <row r="1922" spans="4:4">
      <c r="D1922" s="821"/>
    </row>
    <row r="1923" spans="4:4">
      <c r="D1923" s="821"/>
    </row>
    <row r="1924" spans="4:4">
      <c r="D1924" s="821"/>
    </row>
    <row r="1925" spans="4:4">
      <c r="D1925" s="821"/>
    </row>
    <row r="1926" spans="4:4">
      <c r="D1926" s="821"/>
    </row>
    <row r="1927" spans="4:4">
      <c r="D1927" s="821"/>
    </row>
    <row r="1928" spans="4:4">
      <c r="D1928" s="821"/>
    </row>
    <row r="1929" spans="4:4">
      <c r="D1929" s="821"/>
    </row>
    <row r="1930" spans="4:4">
      <c r="D1930" s="821"/>
    </row>
    <row r="1931" spans="4:4">
      <c r="D1931" s="821"/>
    </row>
    <row r="1932" spans="4:4">
      <c r="D1932" s="821"/>
    </row>
    <row r="1933" spans="4:4">
      <c r="D1933" s="821"/>
    </row>
    <row r="1934" spans="4:4">
      <c r="D1934" s="821"/>
    </row>
    <row r="1935" spans="4:4">
      <c r="D1935" s="821"/>
    </row>
    <row r="1936" spans="4:4">
      <c r="D1936" s="821"/>
    </row>
    <row r="1937" spans="4:4">
      <c r="D1937" s="821"/>
    </row>
    <row r="1938" spans="4:4">
      <c r="D1938" s="821"/>
    </row>
    <row r="1939" spans="4:4">
      <c r="D1939" s="821"/>
    </row>
    <row r="1940" spans="4:4">
      <c r="D1940" s="821"/>
    </row>
    <row r="1941" spans="4:4">
      <c r="D1941" s="821"/>
    </row>
    <row r="1942" spans="4:4">
      <c r="D1942" s="821"/>
    </row>
    <row r="1943" spans="4:4">
      <c r="D1943" s="821"/>
    </row>
    <row r="1944" spans="4:4">
      <c r="D1944" s="821"/>
    </row>
    <row r="1945" spans="4:4">
      <c r="D1945" s="821"/>
    </row>
    <row r="1946" spans="4:4">
      <c r="D1946" s="821"/>
    </row>
    <row r="1947" spans="4:4">
      <c r="D1947" s="821"/>
    </row>
    <row r="1948" spans="4:4">
      <c r="D1948" s="821"/>
    </row>
    <row r="1949" spans="4:4">
      <c r="D1949" s="821"/>
    </row>
    <row r="1950" spans="4:4">
      <c r="D1950" s="821"/>
    </row>
    <row r="1951" spans="4:4">
      <c r="D1951" s="821"/>
    </row>
    <row r="1952" spans="4:4">
      <c r="D1952" s="821"/>
    </row>
    <row r="1953" spans="4:4">
      <c r="D1953" s="821"/>
    </row>
    <row r="1954" spans="4:4">
      <c r="D1954" s="821"/>
    </row>
    <row r="1955" spans="4:4">
      <c r="D1955" s="821"/>
    </row>
    <row r="1956" spans="4:4">
      <c r="D1956" s="821"/>
    </row>
    <row r="1957" spans="4:4">
      <c r="D1957" s="821"/>
    </row>
    <row r="1958" spans="4:4">
      <c r="D1958" s="821"/>
    </row>
    <row r="1959" spans="4:4">
      <c r="D1959" s="821"/>
    </row>
    <row r="1960" spans="4:4">
      <c r="D1960" s="821"/>
    </row>
    <row r="1961" spans="4:4">
      <c r="D1961" s="821"/>
    </row>
    <row r="1962" spans="4:4">
      <c r="D1962" s="821"/>
    </row>
    <row r="1963" spans="4:4">
      <c r="D1963" s="821"/>
    </row>
    <row r="1964" spans="4:4">
      <c r="D1964" s="821"/>
    </row>
    <row r="1965" spans="4:4">
      <c r="D1965" s="821"/>
    </row>
    <row r="1966" spans="4:4">
      <c r="D1966" s="821"/>
    </row>
    <row r="1967" spans="4:4">
      <c r="D1967" s="821"/>
    </row>
    <row r="1968" spans="4:4">
      <c r="D1968" s="821"/>
    </row>
    <row r="1969" spans="4:4">
      <c r="D1969" s="821"/>
    </row>
    <row r="1970" spans="4:4">
      <c r="D1970" s="821"/>
    </row>
    <row r="1971" spans="4:4">
      <c r="D1971" s="821"/>
    </row>
    <row r="1972" spans="4:4">
      <c r="D1972" s="821"/>
    </row>
    <row r="1973" spans="4:4">
      <c r="D1973" s="821"/>
    </row>
    <row r="1974" spans="4:4">
      <c r="D1974" s="821"/>
    </row>
    <row r="1975" spans="4:4">
      <c r="D1975" s="821"/>
    </row>
    <row r="1976" spans="4:4">
      <c r="D1976" s="821"/>
    </row>
    <row r="1977" spans="4:4">
      <c r="D1977" s="821"/>
    </row>
    <row r="1978" spans="4:4">
      <c r="D1978" s="821"/>
    </row>
    <row r="1979" spans="4:4">
      <c r="D1979" s="821"/>
    </row>
    <row r="1980" spans="4:4">
      <c r="D1980" s="821"/>
    </row>
    <row r="1981" spans="4:4">
      <c r="D1981" s="821"/>
    </row>
    <row r="1982" spans="4:4">
      <c r="D1982" s="821"/>
    </row>
    <row r="1983" spans="4:4">
      <c r="D1983" s="821"/>
    </row>
    <row r="1984" spans="4:4">
      <c r="D1984" s="821"/>
    </row>
    <row r="1985" spans="4:4">
      <c r="D1985" s="821"/>
    </row>
    <row r="1986" spans="4:4">
      <c r="D1986" s="821"/>
    </row>
    <row r="1987" spans="4:4">
      <c r="D1987" s="821"/>
    </row>
    <row r="1988" spans="4:4">
      <c r="D1988" s="821"/>
    </row>
    <row r="1989" spans="4:4">
      <c r="D1989" s="821"/>
    </row>
    <row r="1990" spans="4:4">
      <c r="D1990" s="821"/>
    </row>
    <row r="1991" spans="4:4">
      <c r="D1991" s="821"/>
    </row>
    <row r="1992" spans="4:4">
      <c r="D1992" s="821"/>
    </row>
    <row r="1993" spans="4:4">
      <c r="D1993" s="821"/>
    </row>
    <row r="1994" spans="4:4">
      <c r="D1994" s="821"/>
    </row>
    <row r="1995" spans="4:4">
      <c r="D1995" s="821"/>
    </row>
    <row r="1996" spans="4:4">
      <c r="D1996" s="821"/>
    </row>
    <row r="1997" spans="4:4">
      <c r="D1997" s="821"/>
    </row>
    <row r="1998" spans="4:4">
      <c r="D1998" s="821"/>
    </row>
    <row r="1999" spans="4:4">
      <c r="D1999" s="821"/>
    </row>
    <row r="2000" spans="4:4">
      <c r="D2000" s="821"/>
    </row>
    <row r="2001" spans="4:4">
      <c r="D2001" s="821"/>
    </row>
    <row r="2002" spans="4:4">
      <c r="D2002" s="821"/>
    </row>
    <row r="2003" spans="4:4">
      <c r="D2003" s="821"/>
    </row>
    <row r="2004" spans="4:4">
      <c r="D2004" s="821"/>
    </row>
    <row r="2005" spans="4:4">
      <c r="D2005" s="821"/>
    </row>
    <row r="2006" spans="4:4">
      <c r="D2006" s="821"/>
    </row>
    <row r="2007" spans="4:4">
      <c r="D2007" s="821"/>
    </row>
    <row r="2008" spans="4:4">
      <c r="D2008" s="821"/>
    </row>
    <row r="2009" spans="4:4">
      <c r="D2009" s="821"/>
    </row>
    <row r="2010" spans="4:4">
      <c r="D2010" s="821"/>
    </row>
    <row r="2011" spans="4:4">
      <c r="D2011" s="821"/>
    </row>
    <row r="2012" spans="4:4">
      <c r="D2012" s="821"/>
    </row>
    <row r="2013" spans="4:4">
      <c r="D2013" s="821"/>
    </row>
    <row r="2014" spans="4:4">
      <c r="D2014" s="821"/>
    </row>
    <row r="2015" spans="4:4">
      <c r="D2015" s="821"/>
    </row>
    <row r="2016" spans="4:4">
      <c r="D2016" s="821"/>
    </row>
    <row r="2017" spans="4:4">
      <c r="D2017" s="821"/>
    </row>
    <row r="2018" spans="4:4">
      <c r="D2018" s="821"/>
    </row>
    <row r="2019" spans="4:4">
      <c r="D2019" s="821"/>
    </row>
    <row r="2020" spans="4:4">
      <c r="D2020" s="821"/>
    </row>
    <row r="2021" spans="4:4">
      <c r="D2021" s="821"/>
    </row>
    <row r="2022" spans="4:4">
      <c r="D2022" s="821"/>
    </row>
    <row r="2023" spans="4:4">
      <c r="D2023" s="821"/>
    </row>
    <row r="2024" spans="4:4">
      <c r="D2024" s="821"/>
    </row>
    <row r="2025" spans="4:4">
      <c r="D2025" s="821"/>
    </row>
    <row r="2026" spans="4:4">
      <c r="D2026" s="821"/>
    </row>
    <row r="2027" spans="4:4">
      <c r="D2027" s="821"/>
    </row>
    <row r="2028" spans="4:4">
      <c r="D2028" s="821"/>
    </row>
    <row r="2029" spans="4:4">
      <c r="D2029" s="821"/>
    </row>
    <row r="2030" spans="4:4">
      <c r="D2030" s="821"/>
    </row>
    <row r="2031" spans="4:4">
      <c r="D2031" s="821"/>
    </row>
    <row r="2032" spans="4:4">
      <c r="D2032" s="821"/>
    </row>
    <row r="2033" spans="4:4">
      <c r="D2033" s="821"/>
    </row>
    <row r="2034" spans="4:4">
      <c r="D2034" s="821"/>
    </row>
    <row r="2035" spans="4:4">
      <c r="D2035" s="821"/>
    </row>
    <row r="2036" spans="4:4">
      <c r="D2036" s="821"/>
    </row>
    <row r="2037" spans="4:4">
      <c r="D2037" s="821"/>
    </row>
    <row r="2038" spans="4:4">
      <c r="D2038" s="821"/>
    </row>
    <row r="2039" spans="4:4">
      <c r="D2039" s="821"/>
    </row>
    <row r="2040" spans="4:4">
      <c r="D2040" s="821"/>
    </row>
    <row r="2041" spans="4:4">
      <c r="D2041" s="821"/>
    </row>
    <row r="2042" spans="4:4">
      <c r="D2042" s="821"/>
    </row>
    <row r="2043" spans="4:4">
      <c r="D2043" s="821"/>
    </row>
    <row r="2044" spans="4:4">
      <c r="D2044" s="821"/>
    </row>
    <row r="2045" spans="4:4">
      <c r="D2045" s="821"/>
    </row>
    <row r="2046" spans="4:4">
      <c r="D2046" s="821"/>
    </row>
    <row r="2047" spans="4:4">
      <c r="D2047" s="821"/>
    </row>
    <row r="2048" spans="4:4">
      <c r="D2048" s="821"/>
    </row>
    <row r="2049" spans="4:4">
      <c r="D2049" s="821"/>
    </row>
    <row r="2050" spans="4:4">
      <c r="D2050" s="821"/>
    </row>
    <row r="2051" spans="4:4">
      <c r="D2051" s="821"/>
    </row>
    <row r="2052" spans="4:4">
      <c r="D2052" s="821"/>
    </row>
    <row r="2053" spans="4:4">
      <c r="D2053" s="821"/>
    </row>
    <row r="2054" spans="4:4">
      <c r="D2054" s="821"/>
    </row>
    <row r="2055" spans="4:4">
      <c r="D2055" s="821"/>
    </row>
    <row r="2056" spans="4:4">
      <c r="D2056" s="821"/>
    </row>
    <row r="2057" spans="4:4">
      <c r="D2057" s="821"/>
    </row>
    <row r="2058" spans="4:4">
      <c r="D2058" s="821"/>
    </row>
    <row r="2059" spans="4:4">
      <c r="D2059" s="821"/>
    </row>
    <row r="2060" spans="4:4">
      <c r="D2060" s="821"/>
    </row>
    <row r="2061" spans="4:4">
      <c r="D2061" s="821"/>
    </row>
    <row r="2062" spans="4:4">
      <c r="D2062" s="821"/>
    </row>
    <row r="2063" spans="4:4">
      <c r="D2063" s="821"/>
    </row>
    <row r="2064" spans="4:4">
      <c r="D2064" s="821"/>
    </row>
    <row r="2065" spans="4:4">
      <c r="D2065" s="821"/>
    </row>
    <row r="2066" spans="4:4">
      <c r="D2066" s="821"/>
    </row>
    <row r="2067" spans="4:4">
      <c r="D2067" s="821"/>
    </row>
    <row r="2068" spans="4:4">
      <c r="D2068" s="821"/>
    </row>
    <row r="2069" spans="4:4">
      <c r="D2069" s="821"/>
    </row>
    <row r="2070" spans="4:4">
      <c r="D2070" s="821"/>
    </row>
    <row r="2071" spans="4:4">
      <c r="D2071" s="821"/>
    </row>
    <row r="2072" spans="4:4">
      <c r="D2072" s="821"/>
    </row>
    <row r="2073" spans="4:4">
      <c r="D2073" s="821"/>
    </row>
  </sheetData>
  <phoneticPr fontId="0" type="noConversion"/>
  <pageMargins left="1" right="0.75" top="1" bottom="1" header="0.5" footer="0.5"/>
  <pageSetup scale="54" orientation="landscape" horizont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8" tint="0.59999389629810485"/>
    <pageSetUpPr fitToPage="1"/>
  </sheetPr>
  <dimension ref="A1:P46"/>
  <sheetViews>
    <sheetView zoomScale="80" zoomScaleNormal="80" workbookViewId="0"/>
  </sheetViews>
  <sheetFormatPr defaultColWidth="9.109375" defaultRowHeight="13.2"/>
  <cols>
    <col min="1" max="1" width="8" style="582" customWidth="1"/>
    <col min="2" max="2" width="34.5546875" style="582" bestFit="1" customWidth="1"/>
    <col min="3" max="3" width="14.44140625" style="1059" customWidth="1"/>
    <col min="4" max="4" width="15.33203125" style="1059" bestFit="1" customWidth="1"/>
    <col min="5" max="5" width="13.109375" style="1059" customWidth="1"/>
    <col min="6" max="6" width="13.6640625" style="1059" customWidth="1"/>
    <col min="7" max="7" width="9.109375" style="1068" customWidth="1"/>
    <col min="8" max="8" width="12.109375" style="1059" bestFit="1" customWidth="1"/>
    <col min="9" max="9" width="15.33203125" style="582" bestFit="1" customWidth="1"/>
    <col min="10" max="10" width="13.88671875" style="941" customWidth="1"/>
    <col min="11" max="11" width="14" style="941" customWidth="1"/>
    <col min="12" max="12" width="9.109375" style="1068" customWidth="1"/>
    <col min="13" max="13" width="16" style="1058" bestFit="1" customWidth="1"/>
    <col min="14" max="14" width="15.33203125" style="1059" bestFit="1" customWidth="1"/>
    <col min="15" max="15" width="0.88671875" style="582" customWidth="1"/>
    <col min="16" max="16" width="14.6640625" style="582" customWidth="1"/>
    <col min="17" max="16384" width="9.109375" style="582"/>
  </cols>
  <sheetData>
    <row r="1" spans="1:16">
      <c r="A1" s="1056" t="str">
        <f>COMPANY</f>
        <v>DUKE ENERGY KENTUCKY, INC.</v>
      </c>
      <c r="B1" s="1056"/>
      <c r="C1" s="1056"/>
      <c r="D1" s="1056"/>
      <c r="E1" s="1056"/>
      <c r="F1" s="1056"/>
      <c r="G1" s="1056"/>
      <c r="H1" s="1056"/>
      <c r="I1" s="1056"/>
      <c r="N1" s="1057" t="s">
        <v>73</v>
      </c>
    </row>
    <row r="2" spans="1:16">
      <c r="A2" s="1056" t="str">
        <f>CASE</f>
        <v>CASE NO. 2018-00261</v>
      </c>
      <c r="B2" s="1056"/>
      <c r="C2" s="1056"/>
      <c r="D2" s="1056"/>
      <c r="E2" s="1056"/>
      <c r="F2" s="1056"/>
      <c r="G2" s="1056"/>
      <c r="H2" s="1056"/>
      <c r="I2" s="1056"/>
      <c r="N2" s="1057" t="s">
        <v>566</v>
      </c>
    </row>
    <row r="3" spans="1:16">
      <c r="A3" s="1056" t="s">
        <v>1552</v>
      </c>
      <c r="B3" s="1056"/>
      <c r="C3" s="1056"/>
      <c r="D3" s="1056"/>
      <c r="E3" s="1056"/>
      <c r="F3" s="1056"/>
      <c r="G3" s="1056"/>
      <c r="H3" s="1056"/>
      <c r="I3" s="1056"/>
      <c r="N3" s="1057" t="str">
        <f>_WIT7</f>
        <v>R. H. PRATT / C. S. LEE</v>
      </c>
    </row>
    <row r="5" spans="1:16">
      <c r="P5" s="1059"/>
    </row>
    <row r="6" spans="1:16">
      <c r="A6" s="1060"/>
      <c r="B6" s="1061"/>
      <c r="C6" s="1062" t="s">
        <v>365</v>
      </c>
      <c r="D6" s="1063"/>
      <c r="E6" s="1063"/>
      <c r="F6" s="1063"/>
      <c r="G6" s="1064"/>
      <c r="H6" s="1063"/>
      <c r="I6" s="1061"/>
      <c r="J6" s="1061"/>
      <c r="K6" s="1061"/>
      <c r="L6" s="1064"/>
      <c r="M6" s="1065"/>
      <c r="N6" s="1063"/>
      <c r="P6" s="1063"/>
    </row>
    <row r="7" spans="1:16">
      <c r="A7" s="1066" t="s">
        <v>1987</v>
      </c>
      <c r="C7" s="1067" t="s">
        <v>1525</v>
      </c>
      <c r="P7" s="1069" t="s">
        <v>2334</v>
      </c>
    </row>
    <row r="8" spans="1:16">
      <c r="A8" s="1066" t="s">
        <v>148</v>
      </c>
      <c r="B8" s="1066" t="s">
        <v>1406</v>
      </c>
      <c r="C8" s="1067" t="s">
        <v>2182</v>
      </c>
      <c r="D8" s="1069" t="s">
        <v>2183</v>
      </c>
      <c r="E8" s="1067" t="s">
        <v>1408</v>
      </c>
      <c r="F8" s="1067" t="s">
        <v>365</v>
      </c>
      <c r="G8" s="1070" t="s">
        <v>524</v>
      </c>
      <c r="H8" s="2122" t="s">
        <v>2525</v>
      </c>
      <c r="I8" s="1067" t="s">
        <v>2183</v>
      </c>
      <c r="J8" s="1071" t="s">
        <v>1408</v>
      </c>
      <c r="K8" s="1071" t="s">
        <v>365</v>
      </c>
      <c r="L8" s="1070" t="s">
        <v>524</v>
      </c>
      <c r="M8" s="2126" t="s">
        <v>2528</v>
      </c>
      <c r="N8" s="1069" t="s">
        <v>2183</v>
      </c>
      <c r="O8" s="1066"/>
      <c r="P8" s="1069" t="s">
        <v>283</v>
      </c>
    </row>
    <row r="9" spans="1:16">
      <c r="A9" s="1072"/>
      <c r="B9" s="1072"/>
      <c r="C9" s="2121" t="s">
        <v>2522</v>
      </c>
      <c r="D9" s="3374" t="str">
        <f>C9</f>
        <v>5/18</v>
      </c>
      <c r="E9" s="2121" t="s">
        <v>2523</v>
      </c>
      <c r="F9" s="2121" t="s">
        <v>2524</v>
      </c>
      <c r="G9" s="1074"/>
      <c r="H9" s="1075" t="s">
        <v>398</v>
      </c>
      <c r="I9" s="2123" t="str">
        <f>F9</f>
        <v>11/18</v>
      </c>
      <c r="J9" s="2124" t="s">
        <v>2526</v>
      </c>
      <c r="K9" s="2125" t="s">
        <v>2527</v>
      </c>
      <c r="L9" s="1074"/>
      <c r="M9" s="1076" t="s">
        <v>398</v>
      </c>
      <c r="N9" s="1073" t="str">
        <f>K9</f>
        <v>03/20</v>
      </c>
      <c r="O9" s="1066"/>
      <c r="P9" s="1511" t="s">
        <v>799</v>
      </c>
    </row>
    <row r="10" spans="1:16">
      <c r="C10" s="3375"/>
      <c r="D10" s="1077"/>
      <c r="E10" s="1077"/>
      <c r="F10" s="1077"/>
      <c r="G10" s="1070"/>
      <c r="H10" s="1069"/>
      <c r="I10" s="1078"/>
      <c r="J10" s="1079"/>
      <c r="K10" s="1079"/>
      <c r="L10" s="1070"/>
      <c r="M10" s="1069"/>
      <c r="N10" s="1077"/>
      <c r="O10" s="1066"/>
      <c r="P10" s="1077"/>
    </row>
    <row r="11" spans="1:16">
      <c r="C11" s="3375"/>
      <c r="D11" s="1077"/>
      <c r="E11" s="1077"/>
      <c r="F11" s="1077"/>
      <c r="G11" s="1070"/>
      <c r="H11" s="1069"/>
      <c r="I11" s="1078"/>
      <c r="J11" s="1079"/>
      <c r="K11" s="1079"/>
      <c r="L11" s="1070"/>
      <c r="M11" s="1069"/>
      <c r="N11" s="1077"/>
      <c r="O11" s="1066"/>
      <c r="P11" s="1077"/>
    </row>
    <row r="12" spans="1:16">
      <c r="A12" s="1066"/>
      <c r="B12" s="1924" t="s">
        <v>2167</v>
      </c>
      <c r="M12" s="1059"/>
      <c r="P12" s="1059"/>
    </row>
    <row r="13" spans="1:16">
      <c r="A13" s="1066">
        <f>'SCH B-2.2'!C23</f>
        <v>20400</v>
      </c>
      <c r="B13" s="582" t="s">
        <v>1154</v>
      </c>
      <c r="C13" s="1082">
        <f>'WPB-2.2a-f - Base'!AG255</f>
        <v>75570</v>
      </c>
      <c r="D13" s="1080">
        <f t="array" ref="D13">ROUND(SUM(IF(WPB2.2_iAccount=A13,IF(WPB2_2iCode='WPB-2.2a-f - Base'!$A$15,WPB2.2i_AllocRes))),0)</f>
        <v>0</v>
      </c>
      <c r="F13" s="1059">
        <f>C13+E13</f>
        <v>75570</v>
      </c>
      <c r="G13" s="2754">
        <v>0</v>
      </c>
      <c r="H13" s="1059">
        <f>ROUND(F13*G13/12*6,0)</f>
        <v>0</v>
      </c>
      <c r="I13" s="1080">
        <f>D13+H13</f>
        <v>0</v>
      </c>
      <c r="J13" s="1081"/>
      <c r="K13" s="1081">
        <f>F13+J13</f>
        <v>75570</v>
      </c>
      <c r="L13" s="1057">
        <f>G13</f>
        <v>0</v>
      </c>
      <c r="M13" s="1059">
        <f>ROUND(C13*G13/12*16,0)</f>
        <v>0</v>
      </c>
      <c r="N13" s="1059">
        <f>I13+M13</f>
        <v>0</v>
      </c>
      <c r="P13" s="1059">
        <f>ROUND(((I13+(M13/16*4))+N13)/2,0)</f>
        <v>0</v>
      </c>
    </row>
    <row r="14" spans="1:16">
      <c r="A14" s="1066">
        <f>'SCH B-2.2'!C24</f>
        <v>20401</v>
      </c>
      <c r="B14" s="582" t="s">
        <v>1156</v>
      </c>
      <c r="C14" s="1082">
        <f>'WPB-2.2a-f - Base'!AG256</f>
        <v>15703</v>
      </c>
      <c r="D14" s="1080">
        <f t="array" ref="D14">ROUND(SUM(IF(WPB2.2_iAccount=A14,IF(WPB2_2iCode='WPB-2.2a-f - Base'!$A$15,WPB2.2i_AllocRes))),0)</f>
        <v>15885</v>
      </c>
      <c r="F14" s="1059">
        <f>C14+E14</f>
        <v>15703</v>
      </c>
      <c r="G14" s="2754">
        <v>0</v>
      </c>
      <c r="H14" s="1059">
        <f>ROUND(F14*G14/12*6,0)</f>
        <v>0</v>
      </c>
      <c r="I14" s="1080">
        <f>D14+H14</f>
        <v>15885</v>
      </c>
      <c r="J14" s="1081"/>
      <c r="K14" s="1081">
        <f>F14+J14</f>
        <v>15703</v>
      </c>
      <c r="L14" s="1057">
        <f t="shared" ref="L14:L16" si="0">G14</f>
        <v>0</v>
      </c>
      <c r="M14" s="1059">
        <f>ROUND(C14*G14/12*16,0)</f>
        <v>0</v>
      </c>
      <c r="N14" s="1059">
        <f>I14+M14</f>
        <v>15885</v>
      </c>
      <c r="P14" s="1059">
        <f>ROUND(((I14+(M14/16*4))+N14)/2,0)</f>
        <v>15885</v>
      </c>
    </row>
    <row r="15" spans="1:16">
      <c r="A15" s="1066">
        <f>'SCH B-2.2'!C25</f>
        <v>20500</v>
      </c>
      <c r="B15" s="582" t="s">
        <v>1159</v>
      </c>
      <c r="C15" s="1082">
        <f>'WPB-2.2a-f - Base'!AG257</f>
        <v>1106014</v>
      </c>
      <c r="D15" s="1080">
        <f t="array" ref="D15">ROUND(SUM(IF(WPB2.2_iAccount=A15,IF(WPB2_2iCode='WPB-2.2a-f - Base'!$A$15,WPB2.2i_AllocRes))),0)</f>
        <v>924102</v>
      </c>
      <c r="F15" s="1059">
        <f>C15+E15</f>
        <v>1106014</v>
      </c>
      <c r="G15" s="2754">
        <v>4.0000000000000001E-3</v>
      </c>
      <c r="H15" s="1059">
        <f>ROUND(F15*G15/12*6,0)</f>
        <v>2212</v>
      </c>
      <c r="I15" s="1080">
        <f>D15+H15</f>
        <v>926314</v>
      </c>
      <c r="J15" s="1081"/>
      <c r="K15" s="1081">
        <f>F15+J15</f>
        <v>1106014</v>
      </c>
      <c r="L15" s="1057">
        <f t="shared" si="0"/>
        <v>4.0000000000000001E-3</v>
      </c>
      <c r="M15" s="1059">
        <f>ROUND(C15*G15/12*16,0)</f>
        <v>5899</v>
      </c>
      <c r="N15" s="1059">
        <f>I15+M15</f>
        <v>932213</v>
      </c>
      <c r="P15" s="1059">
        <f>ROUND(((I15+(M15/16*4))+N15)/2,0)</f>
        <v>930001</v>
      </c>
    </row>
    <row r="16" spans="1:16">
      <c r="A16" s="1066">
        <f>'SCH B-2.2'!C26</f>
        <v>21100</v>
      </c>
      <c r="B16" s="582" t="s">
        <v>1162</v>
      </c>
      <c r="C16" s="1082">
        <f>'WPB-2.2a-f - Base'!AG258</f>
        <v>3823237</v>
      </c>
      <c r="D16" s="1080">
        <f t="array" ref="D16">ROUND(SUM(IF(WPB2.2_iAccount=A16,IF(WPB2_2iCode='WPB-2.2a-f - Base'!$A$15,WPB2.2i_AllocRes))),0)</f>
        <v>1960127</v>
      </c>
      <c r="E16" s="1725"/>
      <c r="F16" s="1059">
        <f>C16+E16</f>
        <v>3823237</v>
      </c>
      <c r="G16" s="2754">
        <v>2.4500000000000001E-2</v>
      </c>
      <c r="H16" s="1059">
        <f>ROUND(((C16+F16)/2)*G16/12*6,0)</f>
        <v>46835</v>
      </c>
      <c r="I16" s="1080">
        <f>D16+H16</f>
        <v>2006962</v>
      </c>
      <c r="J16" s="2127"/>
      <c r="K16" s="1081">
        <f>F16+J16</f>
        <v>3823237</v>
      </c>
      <c r="L16" s="1057">
        <f t="shared" si="0"/>
        <v>2.4500000000000001E-2</v>
      </c>
      <c r="M16" s="1059">
        <f>ROUND(((F16+K16)/2)*G16/12*16,0)-1</f>
        <v>124891</v>
      </c>
      <c r="N16" s="1059">
        <f>I16+M16</f>
        <v>2131853</v>
      </c>
      <c r="P16" s="1059">
        <f>ROUND(((I16+(M16/16*4))+N16)/2,0)</f>
        <v>2085019</v>
      </c>
    </row>
    <row r="17" spans="1:16">
      <c r="A17" s="1066"/>
      <c r="C17" s="1082"/>
      <c r="D17" s="1082"/>
      <c r="G17" s="2754"/>
      <c r="L17" s="2754"/>
      <c r="M17" s="1059"/>
      <c r="P17" s="1059"/>
    </row>
    <row r="18" spans="1:16">
      <c r="A18" s="1066"/>
      <c r="B18" s="582" t="s">
        <v>33</v>
      </c>
      <c r="C18" s="1268">
        <f>SUM(C13:C17)</f>
        <v>5020524</v>
      </c>
      <c r="D18" s="1268">
        <f>SUM(D13:D17)</f>
        <v>2900114</v>
      </c>
      <c r="E18" s="1083">
        <f>SUM(E13:E16)</f>
        <v>0</v>
      </c>
      <c r="F18" s="1083">
        <f>SUM(F13:F16)</f>
        <v>5020524</v>
      </c>
      <c r="G18" s="2754"/>
      <c r="H18" s="1083">
        <f>SUM(H13:H17)</f>
        <v>49047</v>
      </c>
      <c r="I18" s="1083">
        <f>SUM(I13:I17)</f>
        <v>2949161</v>
      </c>
      <c r="J18" s="1083">
        <f>SUM(J13:J17)</f>
        <v>0</v>
      </c>
      <c r="K18" s="1083">
        <f>SUM(K13:K17)</f>
        <v>5020524</v>
      </c>
      <c r="L18" s="2754"/>
      <c r="M18" s="1083">
        <f>SUM(M13:M17)</f>
        <v>130790</v>
      </c>
      <c r="N18" s="1083">
        <f>SUM(N13:N17)</f>
        <v>3079951</v>
      </c>
      <c r="P18" s="1083">
        <f>SUM(P13:P17)</f>
        <v>3030905</v>
      </c>
    </row>
    <row r="19" spans="1:16">
      <c r="A19" s="1066"/>
      <c r="C19" s="1082"/>
      <c r="D19" s="1082"/>
      <c r="G19" s="2754"/>
      <c r="L19" s="2754"/>
      <c r="M19" s="1059"/>
      <c r="P19" s="1059"/>
    </row>
    <row r="20" spans="1:16">
      <c r="A20" s="1066"/>
      <c r="C20" s="1082"/>
      <c r="D20" s="1082"/>
      <c r="G20" s="2754"/>
      <c r="L20" s="2754"/>
      <c r="M20" s="1059"/>
      <c r="P20" s="1059"/>
    </row>
    <row r="21" spans="1:16">
      <c r="A21" s="1066"/>
      <c r="B21" s="1924" t="s">
        <v>2168</v>
      </c>
      <c r="C21" s="1082"/>
      <c r="D21" s="1082"/>
      <c r="G21" s="2754"/>
      <c r="L21" s="2754"/>
      <c r="M21" s="1059"/>
      <c r="P21" s="1059"/>
    </row>
    <row r="22" spans="1:16">
      <c r="A22" s="1066">
        <f>'SCH B-2.2'!C33</f>
        <v>27400</v>
      </c>
      <c r="B22" s="582" t="s">
        <v>1389</v>
      </c>
      <c r="C22" s="1082">
        <f>'WPB-2.2a-f - Base'!AU264</f>
        <v>2326</v>
      </c>
      <c r="D22" s="1080">
        <f t="array" ref="D22">ROUND(SUM(IF(WPB2.2_iAccount=A22,WPB2.2i_AllocRes)),0)</f>
        <v>0</v>
      </c>
      <c r="F22" s="1059">
        <f t="shared" ref="F22:F28" si="1">C22+E22</f>
        <v>2326</v>
      </c>
      <c r="G22" s="2754">
        <v>0</v>
      </c>
      <c r="H22" s="1059">
        <f t="shared" ref="H22:H28" si="2">ROUND(F22*G22/12*6,0)</f>
        <v>0</v>
      </c>
      <c r="I22" s="1080">
        <f t="shared" ref="I22:I28" si="3">H22+D22</f>
        <v>0</v>
      </c>
      <c r="J22" s="1081"/>
      <c r="K22" s="1081">
        <f t="shared" ref="K22:K29" si="4">F22+J22</f>
        <v>2326</v>
      </c>
      <c r="L22" s="1057">
        <f t="shared" ref="L22:L28" si="5">G22</f>
        <v>0</v>
      </c>
      <c r="M22" s="1059">
        <f t="shared" ref="M22:M27" si="6">ROUND(C22*G22/12*16,0)</f>
        <v>0</v>
      </c>
      <c r="N22" s="1059">
        <f t="shared" ref="N22:N28" si="7">I22+M22</f>
        <v>0</v>
      </c>
      <c r="P22" s="1059">
        <f t="shared" ref="P22:P28" si="8">ROUND(((I22+(M22/16*4))+N22)/2,0)</f>
        <v>0</v>
      </c>
    </row>
    <row r="23" spans="1:16">
      <c r="A23" s="1066">
        <f>'SCH B-2.2'!C34</f>
        <v>27401</v>
      </c>
      <c r="B23" s="582" t="s">
        <v>1156</v>
      </c>
      <c r="C23" s="1082">
        <f>'WPB-2.2a-f - Base'!AU265</f>
        <v>228817</v>
      </c>
      <c r="D23" s="1080">
        <f t="array" ref="D23">ROUND(SUM(IF(WPB2.2_iAccount=A23,WPB2.2i_AllocRes)),0)</f>
        <v>124681</v>
      </c>
      <c r="F23" s="1059">
        <f t="shared" si="1"/>
        <v>228817</v>
      </c>
      <c r="G23" s="2754">
        <v>1.3899999999999999E-2</v>
      </c>
      <c r="H23" s="1059">
        <f t="shared" si="2"/>
        <v>1590</v>
      </c>
      <c r="I23" s="1080">
        <f t="shared" si="3"/>
        <v>126271</v>
      </c>
      <c r="J23" s="1081"/>
      <c r="K23" s="1081">
        <f t="shared" si="4"/>
        <v>228817</v>
      </c>
      <c r="L23" s="1057">
        <f t="shared" si="5"/>
        <v>1.3899999999999999E-2</v>
      </c>
      <c r="M23" s="1059">
        <f t="shared" si="6"/>
        <v>4241</v>
      </c>
      <c r="N23" s="1059">
        <f t="shared" si="7"/>
        <v>130512</v>
      </c>
      <c r="P23" s="1059">
        <f t="shared" si="8"/>
        <v>128922</v>
      </c>
    </row>
    <row r="24" spans="1:16">
      <c r="A24" s="1066">
        <f>'SCH B-2.2'!C35</f>
        <v>27500</v>
      </c>
      <c r="B24" s="582" t="s">
        <v>1159</v>
      </c>
      <c r="C24" s="1082">
        <f>'WPB-2.2a-f - Base'!AU266</f>
        <v>24463</v>
      </c>
      <c r="D24" s="1080">
        <f t="array" ref="D24">ROUND(SUM(IF(WPB2.2_iAccount=A24,WPB2.2i_AllocRes)),0)</f>
        <v>20406</v>
      </c>
      <c r="F24" s="1059">
        <f t="shared" si="1"/>
        <v>24463</v>
      </c>
      <c r="G24" s="2754">
        <v>1.12E-2</v>
      </c>
      <c r="H24" s="1059">
        <f t="shared" si="2"/>
        <v>137</v>
      </c>
      <c r="I24" s="1080">
        <f t="shared" si="3"/>
        <v>20543</v>
      </c>
      <c r="J24" s="1081"/>
      <c r="K24" s="1081">
        <f t="shared" si="4"/>
        <v>24463</v>
      </c>
      <c r="L24" s="1057">
        <f t="shared" si="5"/>
        <v>1.12E-2</v>
      </c>
      <c r="M24" s="1059">
        <f t="shared" si="6"/>
        <v>365</v>
      </c>
      <c r="N24" s="1059">
        <f t="shared" si="7"/>
        <v>20908</v>
      </c>
      <c r="P24" s="1059">
        <f t="shared" si="8"/>
        <v>20771</v>
      </c>
    </row>
    <row r="25" spans="1:16">
      <c r="A25" s="1066">
        <v>27602</v>
      </c>
      <c r="B25" s="582" t="s">
        <v>2699</v>
      </c>
      <c r="C25" s="1082">
        <f>'WPB-2.2a-f - Base'!AU267</f>
        <v>300942</v>
      </c>
      <c r="D25" s="1080">
        <f t="array" ref="D25">ROUND(SUM(IF(WPB2.2_iAccount=A25,WPB2.2i_AllocRes)),0)</f>
        <v>15744</v>
      </c>
      <c r="F25" s="1059">
        <f t="shared" ref="F25" si="9">C25+E25</f>
        <v>300942</v>
      </c>
      <c r="G25" s="2754">
        <v>2.0400000000000001E-2</v>
      </c>
      <c r="H25" s="1059">
        <f t="shared" ref="H25" si="10">ROUND(F25*G25/12*6,0)</f>
        <v>3070</v>
      </c>
      <c r="I25" s="1080">
        <f t="shared" ref="I25" si="11">H25+D25</f>
        <v>18814</v>
      </c>
      <c r="J25" s="1081"/>
      <c r="K25" s="1081">
        <f t="shared" ref="K25" si="12">F25+J25</f>
        <v>300942</v>
      </c>
      <c r="L25" s="1057">
        <f t="shared" si="5"/>
        <v>2.0400000000000001E-2</v>
      </c>
      <c r="M25" s="1059">
        <f t="shared" ref="M25" si="13">ROUND(C25*G25/12*16,0)</f>
        <v>8186</v>
      </c>
      <c r="N25" s="1059">
        <f t="shared" ref="N25" si="14">I25+M25</f>
        <v>27000</v>
      </c>
      <c r="P25" s="1059">
        <f t="shared" ref="P25" si="15">ROUND(((I25+(M25/16*4))+N25)/2,0)</f>
        <v>23930</v>
      </c>
    </row>
    <row r="26" spans="1:16">
      <c r="A26" s="1066">
        <v>27605</v>
      </c>
      <c r="B26" s="582" t="s">
        <v>1390</v>
      </c>
      <c r="C26" s="1082">
        <f>'WPB-2.2a-f - Base'!AU268</f>
        <v>6192503</v>
      </c>
      <c r="D26" s="1080">
        <f t="array" ref="D26">ROUND(SUM(IF(WPB2.2_iAccount=A26,WPB2.2i_AllocRes)),0)</f>
        <v>4252288</v>
      </c>
      <c r="F26" s="1059">
        <f t="shared" si="1"/>
        <v>6192503</v>
      </c>
      <c r="G26" s="2754">
        <v>2.0400000000000001E-2</v>
      </c>
      <c r="H26" s="1059">
        <f t="shared" si="2"/>
        <v>63164</v>
      </c>
      <c r="I26" s="1080">
        <f t="shared" si="3"/>
        <v>4315452</v>
      </c>
      <c r="J26" s="1081"/>
      <c r="K26" s="1081">
        <f t="shared" si="4"/>
        <v>6192503</v>
      </c>
      <c r="L26" s="1057">
        <f t="shared" si="5"/>
        <v>2.0400000000000001E-2</v>
      </c>
      <c r="M26" s="1059">
        <f t="shared" si="6"/>
        <v>168436</v>
      </c>
      <c r="N26" s="1059">
        <f t="shared" si="7"/>
        <v>4483888</v>
      </c>
      <c r="P26" s="1059">
        <f t="shared" si="8"/>
        <v>4420725</v>
      </c>
    </row>
    <row r="27" spans="1:16">
      <c r="A27" s="1066">
        <f>'SCH B-2.2'!C38</f>
        <v>27800</v>
      </c>
      <c r="B27" s="582" t="s">
        <v>1391</v>
      </c>
      <c r="C27" s="1082">
        <f>'WPB-2.2a-f - Base'!AU269</f>
        <v>186887</v>
      </c>
      <c r="D27" s="1080">
        <f t="array" ref="D27">ROUND(SUM(IF(WPB2.2_iAccount=A27,WPB2.2i_AllocRes)),0)</f>
        <v>149714</v>
      </c>
      <c r="F27" s="1059">
        <f t="shared" si="1"/>
        <v>186887</v>
      </c>
      <c r="G27" s="2754">
        <v>2.0799999999999999E-2</v>
      </c>
      <c r="H27" s="1059">
        <f t="shared" si="2"/>
        <v>1944</v>
      </c>
      <c r="I27" s="1080">
        <f t="shared" si="3"/>
        <v>151658</v>
      </c>
      <c r="J27" s="1081"/>
      <c r="K27" s="1081">
        <f t="shared" si="4"/>
        <v>186887</v>
      </c>
      <c r="L27" s="1057">
        <f t="shared" si="5"/>
        <v>2.0799999999999999E-2</v>
      </c>
      <c r="M27" s="1059">
        <f t="shared" si="6"/>
        <v>5183</v>
      </c>
      <c r="N27" s="1059">
        <f t="shared" si="7"/>
        <v>156841</v>
      </c>
      <c r="P27" s="1059">
        <f t="shared" si="8"/>
        <v>154897</v>
      </c>
    </row>
    <row r="28" spans="1:16">
      <c r="A28" s="1066">
        <f>'SCH B-2.2'!C39</f>
        <v>27801</v>
      </c>
      <c r="B28" s="582" t="s">
        <v>1392</v>
      </c>
      <c r="C28" s="1082">
        <f>'WPB-2.2a-f - Base'!AU270</f>
        <v>260773</v>
      </c>
      <c r="D28" s="1080">
        <f t="array" ref="D28">ROUND(SUM(IF(WPB2.2_iAccount=A28,WPB2.2i_AllocRes)),0)</f>
        <v>112024</v>
      </c>
      <c r="F28" s="1059">
        <f t="shared" si="1"/>
        <v>260773</v>
      </c>
      <c r="G28" s="2754">
        <v>1.3899999999999999E-2</v>
      </c>
      <c r="H28" s="1059">
        <f t="shared" si="2"/>
        <v>1812</v>
      </c>
      <c r="I28" s="1080">
        <f t="shared" si="3"/>
        <v>113836</v>
      </c>
      <c r="J28" s="1081"/>
      <c r="K28" s="1081">
        <f t="shared" si="4"/>
        <v>260773</v>
      </c>
      <c r="L28" s="1057">
        <f t="shared" si="5"/>
        <v>1.3899999999999999E-2</v>
      </c>
      <c r="M28" s="1059">
        <f>ROUND(C28*G28/12*16,0)-2</f>
        <v>4831</v>
      </c>
      <c r="N28" s="1059">
        <f t="shared" si="7"/>
        <v>118667</v>
      </c>
      <c r="P28" s="1059">
        <f t="shared" si="8"/>
        <v>116855</v>
      </c>
    </row>
    <row r="29" spans="1:16">
      <c r="A29" s="1066"/>
      <c r="C29" s="1082"/>
      <c r="D29" s="1082"/>
      <c r="G29" s="2754"/>
      <c r="K29" s="1081">
        <f t="shared" si="4"/>
        <v>0</v>
      </c>
      <c r="L29" s="2754"/>
      <c r="M29" s="1059"/>
      <c r="P29" s="1059"/>
    </row>
    <row r="30" spans="1:16">
      <c r="A30" s="1066"/>
      <c r="B30" s="582" t="s">
        <v>33</v>
      </c>
      <c r="C30" s="1268">
        <f>SUM(C22:C29)</f>
        <v>7196711</v>
      </c>
      <c r="D30" s="1268">
        <f>SUM(D22:D29)</f>
        <v>4674857</v>
      </c>
      <c r="E30" s="1083">
        <f>SUM(E22:E29)</f>
        <v>0</v>
      </c>
      <c r="F30" s="1083">
        <f>SUM(F22:F29)</f>
        <v>7196711</v>
      </c>
      <c r="G30" s="2754"/>
      <c r="H30" s="1083">
        <f>SUM(H22:H29)</f>
        <v>71717</v>
      </c>
      <c r="I30" s="1083">
        <f>SUM(I22:I29)</f>
        <v>4746574</v>
      </c>
      <c r="J30" s="1083">
        <f>SUM(J22:J29)</f>
        <v>0</v>
      </c>
      <c r="K30" s="1083">
        <f>SUM(K22:K29)</f>
        <v>7196711</v>
      </c>
      <c r="L30" s="2754"/>
      <c r="M30" s="1083">
        <f>SUM(M22:M29)</f>
        <v>191242</v>
      </c>
      <c r="N30" s="1083">
        <f>SUM(N22:N29)</f>
        <v>4937816</v>
      </c>
      <c r="P30" s="1083">
        <f>SUM(P22:P29)</f>
        <v>4866100</v>
      </c>
    </row>
    <row r="31" spans="1:16">
      <c r="A31" s="1066"/>
      <c r="C31" s="1082"/>
      <c r="D31" s="1082"/>
      <c r="G31" s="2754"/>
      <c r="L31" s="2754"/>
      <c r="M31" s="1059"/>
      <c r="P31" s="1059"/>
    </row>
    <row r="32" spans="1:16">
      <c r="A32" s="1066"/>
      <c r="C32" s="1082"/>
      <c r="D32" s="1082"/>
      <c r="G32" s="2754"/>
      <c r="L32" s="2754"/>
      <c r="M32" s="1059"/>
      <c r="P32" s="1059"/>
    </row>
    <row r="33" spans="1:16">
      <c r="A33" s="1066"/>
      <c r="B33" s="1924" t="s">
        <v>738</v>
      </c>
      <c r="C33" s="1082"/>
      <c r="D33" s="1082"/>
      <c r="G33" s="2754"/>
      <c r="L33" s="2754"/>
      <c r="M33" s="1059"/>
      <c r="P33" s="1059"/>
    </row>
    <row r="34" spans="1:16">
      <c r="A34" s="1066">
        <f>'SCH B-2.2'!C45</f>
        <v>29100</v>
      </c>
      <c r="B34" s="582" t="s">
        <v>1395</v>
      </c>
      <c r="C34" s="1082">
        <f>'WPB-2.2a-f - Base'!AU276</f>
        <v>8899</v>
      </c>
      <c r="D34" s="1080">
        <f t="array" ref="D34">ROUND(SUM(IF(WPB2.2_iAccount=A34,WPB2.2i_AllocRes)),0)</f>
        <v>9048</v>
      </c>
      <c r="F34" s="1059">
        <f>C34+E34</f>
        <v>8899</v>
      </c>
      <c r="G34" s="2754">
        <v>5.4800000000000001E-2</v>
      </c>
      <c r="H34" s="1059">
        <f>ROUND(F34*G34/12*6,0)</f>
        <v>244</v>
      </c>
      <c r="I34" s="1080">
        <f>H34+D34</f>
        <v>9292</v>
      </c>
      <c r="J34" s="1081"/>
      <c r="K34" s="1081">
        <f>F34+J34</f>
        <v>8899</v>
      </c>
      <c r="L34" s="1057">
        <f t="shared" ref="L34:L37" si="16">G34</f>
        <v>5.4800000000000001E-2</v>
      </c>
      <c r="M34" s="1059">
        <f>ROUND(C34*G34/12*16,0)-5</f>
        <v>645</v>
      </c>
      <c r="N34" s="1059">
        <f>I34+M34</f>
        <v>9937</v>
      </c>
      <c r="P34" s="1059">
        <f>ROUND(((I34+(M34/16*4))+N34)/2,0)</f>
        <v>9695</v>
      </c>
    </row>
    <row r="35" spans="1:16">
      <c r="A35" s="1066">
        <f>'SCH B-2.2'!C46</f>
        <v>29400</v>
      </c>
      <c r="B35" s="582" t="s">
        <v>1396</v>
      </c>
      <c r="C35" s="1082">
        <f>'WPB-2.2a-f - Base'!AU277</f>
        <v>21227</v>
      </c>
      <c r="D35" s="1080">
        <f t="array" ref="D35">ROUND(SUM(IF(WPB2.2_iAccount=A35,WPB2.2i_AllocRes)),0)</f>
        <v>18594</v>
      </c>
      <c r="F35" s="1059">
        <f>C35+E35</f>
        <v>21227</v>
      </c>
      <c r="G35" s="2754">
        <v>4.0099999999999997E-2</v>
      </c>
      <c r="H35" s="1059">
        <f>ROUND(F35*G35/12*6,0)</f>
        <v>426</v>
      </c>
      <c r="I35" s="1080">
        <f>H35+D35</f>
        <v>19020</v>
      </c>
      <c r="J35" s="1081"/>
      <c r="K35" s="1081">
        <f>F35+J35</f>
        <v>21227</v>
      </c>
      <c r="L35" s="1057">
        <f t="shared" si="16"/>
        <v>4.0099999999999997E-2</v>
      </c>
      <c r="M35" s="1059">
        <f>ROUND(C35*G35/12*16,0)</f>
        <v>1135</v>
      </c>
      <c r="N35" s="1059">
        <f>I35+M35</f>
        <v>20155</v>
      </c>
      <c r="P35" s="1059">
        <f>ROUND(((I35+(M35/16*4))+N35)/2,0)</f>
        <v>19729</v>
      </c>
    </row>
    <row r="36" spans="1:16">
      <c r="A36" s="1066">
        <v>29700</v>
      </c>
      <c r="B36" s="582" t="s">
        <v>1080</v>
      </c>
      <c r="C36" s="1082">
        <f>'WPB-2.2a-f - Base'!AU278</f>
        <v>238</v>
      </c>
      <c r="D36" s="1080">
        <f t="array" ref="D36">ROUND(SUM(IF(WPB2.2_iAccount=A36,WPB2.2i_AllocRes)),0)</f>
        <v>12</v>
      </c>
      <c r="F36" s="1059">
        <f>C36+E36</f>
        <v>238</v>
      </c>
      <c r="G36" s="2754">
        <v>6.6699999999999995E-2</v>
      </c>
      <c r="H36" s="1059">
        <f>ROUND(F36*G36/12*6,0)</f>
        <v>8</v>
      </c>
      <c r="I36" s="1080">
        <f>H36+D36</f>
        <v>20</v>
      </c>
      <c r="J36" s="1081"/>
      <c r="K36" s="1081">
        <f>F36+J36</f>
        <v>238</v>
      </c>
      <c r="L36" s="1057">
        <f t="shared" si="16"/>
        <v>6.6699999999999995E-2</v>
      </c>
      <c r="M36" s="1059">
        <f>ROUND(C36*G36/12*16,0)</f>
        <v>21</v>
      </c>
      <c r="N36" s="1059">
        <f>I36+M36</f>
        <v>41</v>
      </c>
      <c r="P36" s="1059">
        <f>ROUND(((I36+(M36/16*4))+N36)/2,0)</f>
        <v>33</v>
      </c>
    </row>
    <row r="37" spans="1:16">
      <c r="A37" s="1066">
        <f>'SCH B-2.2'!C48</f>
        <v>29800</v>
      </c>
      <c r="B37" s="582" t="s">
        <v>1116</v>
      </c>
      <c r="C37" s="1082">
        <f>'WPB-2.2a-f - Base'!AU279</f>
        <v>83591</v>
      </c>
      <c r="D37" s="1080">
        <f t="array" ref="D37">ROUND(SUM(IF(WPB2.2_iAccount=A37,WPB2.2i_AllocRes)),0)</f>
        <v>23207</v>
      </c>
      <c r="F37" s="1059">
        <f>C37+E37</f>
        <v>83591</v>
      </c>
      <c r="G37" s="2754">
        <v>0</v>
      </c>
      <c r="H37" s="1059">
        <f>ROUND(F37*G37/12*6,0)</f>
        <v>0</v>
      </c>
      <c r="I37" s="1080">
        <f>H37+D37</f>
        <v>23207</v>
      </c>
      <c r="J37" s="1081"/>
      <c r="K37" s="1081">
        <f>F37+J37</f>
        <v>83591</v>
      </c>
      <c r="L37" s="1057">
        <f t="shared" si="16"/>
        <v>0</v>
      </c>
      <c r="M37" s="1059">
        <f>ROUND(C37*G37/12*16,0)</f>
        <v>0</v>
      </c>
      <c r="N37" s="1059">
        <f>I37+M37</f>
        <v>23207</v>
      </c>
      <c r="P37" s="1059">
        <f>ROUND(((I37+(M37/16*4))+N37)/2,0)</f>
        <v>23207</v>
      </c>
    </row>
    <row r="38" spans="1:16">
      <c r="A38" s="1066"/>
      <c r="L38" s="1239"/>
      <c r="M38" s="1059"/>
      <c r="P38" s="1059"/>
    </row>
    <row r="39" spans="1:16">
      <c r="A39" s="1066"/>
      <c r="B39" s="582" t="s">
        <v>33</v>
      </c>
      <c r="C39" s="1083">
        <f>SUM(C34:C38)</f>
        <v>113955</v>
      </c>
      <c r="D39" s="1083">
        <f>SUM(D34:D38)</f>
        <v>50861</v>
      </c>
      <c r="E39" s="1083">
        <f>SUM(E34:E38)</f>
        <v>0</v>
      </c>
      <c r="F39" s="1083">
        <f>SUM(F34:F38)</f>
        <v>113955</v>
      </c>
      <c r="H39" s="1083">
        <f>SUM(H34:H38)</f>
        <v>678</v>
      </c>
      <c r="I39" s="1083">
        <f>SUM(I34:I38)</f>
        <v>51539</v>
      </c>
      <c r="J39" s="1083">
        <f>SUM(J34:J38)</f>
        <v>0</v>
      </c>
      <c r="K39" s="1083">
        <f>SUM(K34:K38)</f>
        <v>113955</v>
      </c>
      <c r="M39" s="1083">
        <f>SUM(M34:M38)</f>
        <v>1801</v>
      </c>
      <c r="N39" s="1083">
        <f>SUM(N34:N38)</f>
        <v>53340</v>
      </c>
      <c r="P39" s="1083">
        <f>SUM(P34:P38)</f>
        <v>52664</v>
      </c>
    </row>
    <row r="40" spans="1:16">
      <c r="M40" s="1059"/>
      <c r="P40" s="1059"/>
    </row>
    <row r="41" spans="1:16">
      <c r="M41" s="1059"/>
      <c r="P41" s="1059"/>
    </row>
    <row r="42" spans="1:16" ht="13.8" thickBot="1">
      <c r="B42" s="582" t="s">
        <v>1526</v>
      </c>
      <c r="C42" s="1084">
        <f>C18+C30+C39</f>
        <v>12331190</v>
      </c>
      <c r="D42" s="1084">
        <f>D18+D30+D39</f>
        <v>7625832</v>
      </c>
      <c r="E42" s="1084">
        <f>E18+E30+E39</f>
        <v>0</v>
      </c>
      <c r="F42" s="1084">
        <f>F18+F30+F39</f>
        <v>12331190</v>
      </c>
      <c r="H42" s="1084">
        <f>H18+H30+H39</f>
        <v>121442</v>
      </c>
      <c r="I42" s="1084">
        <f>I18+I30+I39</f>
        <v>7747274</v>
      </c>
      <c r="J42" s="1084">
        <f>J18+J30+J39</f>
        <v>0</v>
      </c>
      <c r="K42" s="1084">
        <f>K18+K30+K39</f>
        <v>12331190</v>
      </c>
      <c r="M42" s="1084">
        <f>M18+M30+M39</f>
        <v>323833</v>
      </c>
      <c r="N42" s="1084">
        <f>N18+N30+N39</f>
        <v>8071107</v>
      </c>
      <c r="P42" s="1084">
        <f>P18+P30+P39</f>
        <v>7949669</v>
      </c>
    </row>
    <row r="43" spans="1:16">
      <c r="F43" s="582"/>
      <c r="K43" s="582"/>
      <c r="M43" s="1059"/>
      <c r="P43" s="1059"/>
    </row>
    <row r="44" spans="1:16">
      <c r="A44" s="582" t="s">
        <v>2184</v>
      </c>
      <c r="F44" s="582"/>
      <c r="K44" s="582"/>
      <c r="M44" s="1059"/>
      <c r="P44" s="1059"/>
    </row>
    <row r="45" spans="1:16">
      <c r="F45" s="582"/>
      <c r="K45" s="582"/>
      <c r="P45" s="1059"/>
    </row>
    <row r="46" spans="1:16">
      <c r="F46" s="1066" t="s">
        <v>824</v>
      </c>
      <c r="I46" s="1601" t="s">
        <v>823</v>
      </c>
      <c r="K46" s="1066" t="s">
        <v>824</v>
      </c>
      <c r="P46" s="1066" t="s">
        <v>823</v>
      </c>
    </row>
  </sheetData>
  <phoneticPr fontId="52" type="noConversion"/>
  <pageMargins left="0.5" right="0.5" top="1" bottom="1" header="0.5" footer="0.5"/>
  <pageSetup scale="59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tabColor theme="8" tint="0.59999389629810485"/>
    <pageSetUpPr fitToPage="1"/>
  </sheetPr>
  <dimension ref="A1:X44"/>
  <sheetViews>
    <sheetView zoomScale="80" zoomScaleNormal="80" workbookViewId="0"/>
  </sheetViews>
  <sheetFormatPr defaultColWidth="8.88671875" defaultRowHeight="13.2"/>
  <cols>
    <col min="1" max="1" width="15.33203125" style="582" customWidth="1"/>
    <col min="2" max="2" width="2.6640625" style="582" customWidth="1"/>
    <col min="3" max="3" width="13.6640625" style="582" bestFit="1" customWidth="1"/>
    <col min="4" max="5" width="14" style="582" bestFit="1" customWidth="1"/>
    <col min="6" max="6" width="1.44140625" style="582" customWidth="1"/>
    <col min="7" max="7" width="16.88671875" style="582" bestFit="1" customWidth="1"/>
    <col min="8" max="8" width="13.5546875" style="582" customWidth="1"/>
    <col min="9" max="9" width="16.5546875" style="582" bestFit="1" customWidth="1"/>
    <col min="10" max="10" width="1.33203125" style="582" customWidth="1"/>
    <col min="11" max="11" width="15.33203125" style="582" customWidth="1"/>
    <col min="12" max="12" width="12.44140625" style="582" customWidth="1"/>
    <col min="13" max="13" width="15" style="582" bestFit="1" customWidth="1"/>
    <col min="14" max="14" width="1.33203125" style="582" customWidth="1"/>
    <col min="15" max="15" width="15.5546875" style="582" bestFit="1" customWidth="1"/>
    <col min="16" max="16" width="14.88671875" style="582" customWidth="1"/>
    <col min="17" max="17" width="1.88671875" style="582" customWidth="1"/>
    <col min="18" max="18" width="16.88671875" style="582" bestFit="1" customWidth="1"/>
    <col min="19" max="16384" width="8.88671875" style="582"/>
  </cols>
  <sheetData>
    <row r="1" spans="1:18" s="1336" customFormat="1">
      <c r="A1" s="1335" t="str">
        <f>COMPANY</f>
        <v>DUKE ENERGY KENTUCKY, INC.</v>
      </c>
      <c r="P1" s="1057" t="s">
        <v>74</v>
      </c>
    </row>
    <row r="2" spans="1:18" s="1336" customFormat="1">
      <c r="A2" s="1335" t="str">
        <f>CASE</f>
        <v>CASE NO. 2018-00261</v>
      </c>
      <c r="P2" s="1057" t="s">
        <v>566</v>
      </c>
    </row>
    <row r="3" spans="1:18" s="1336" customFormat="1">
      <c r="A3" s="1335" t="s">
        <v>2185</v>
      </c>
      <c r="P3" s="1057" t="str">
        <f>_WIT7</f>
        <v>R. H. PRATT / C. S. LEE</v>
      </c>
    </row>
    <row r="4" spans="1:18" s="1336" customFormat="1">
      <c r="A4" s="1335" t="s">
        <v>2186</v>
      </c>
    </row>
    <row r="5" spans="1:18" s="1336" customFormat="1"/>
    <row r="6" spans="1:18" s="1336" customFormat="1">
      <c r="C6" s="3585" t="s">
        <v>2187</v>
      </c>
      <c r="D6" s="3585"/>
      <c r="E6" s="3585"/>
      <c r="F6" s="1337"/>
      <c r="G6" s="3585" t="s">
        <v>2188</v>
      </c>
      <c r="H6" s="3585"/>
      <c r="I6" s="3585"/>
      <c r="J6" s="1337"/>
      <c r="K6" s="3585" t="s">
        <v>2189</v>
      </c>
      <c r="L6" s="3585"/>
      <c r="M6" s="3585"/>
      <c r="N6" s="1337"/>
      <c r="O6" s="3585" t="s">
        <v>627</v>
      </c>
      <c r="P6" s="3585"/>
      <c r="R6" s="1338" t="s">
        <v>2153</v>
      </c>
    </row>
    <row r="7" spans="1:18" s="1336" customFormat="1">
      <c r="C7" s="1337"/>
      <c r="D7" s="1337"/>
      <c r="E7" s="1337" t="s">
        <v>572</v>
      </c>
      <c r="F7" s="1337"/>
      <c r="G7" s="1337"/>
      <c r="H7" s="1337"/>
      <c r="I7" s="1337" t="s">
        <v>572</v>
      </c>
      <c r="J7" s="1337"/>
      <c r="K7" s="1337"/>
      <c r="L7" s="1337"/>
      <c r="M7" s="1337" t="s">
        <v>572</v>
      </c>
      <c r="N7" s="1337"/>
      <c r="O7" s="1337"/>
      <c r="P7" s="1337" t="s">
        <v>628</v>
      </c>
      <c r="R7" s="1338" t="s">
        <v>629</v>
      </c>
    </row>
    <row r="8" spans="1:18">
      <c r="A8" s="3148" t="s">
        <v>283</v>
      </c>
      <c r="C8" s="3273" t="s">
        <v>630</v>
      </c>
      <c r="D8" s="3273" t="s">
        <v>1940</v>
      </c>
      <c r="E8" s="3273" t="s">
        <v>1357</v>
      </c>
      <c r="F8" s="1337"/>
      <c r="G8" s="3273" t="s">
        <v>630</v>
      </c>
      <c r="H8" s="3273" t="s">
        <v>1940</v>
      </c>
      <c r="I8" s="3273" t="s">
        <v>1357</v>
      </c>
      <c r="J8" s="1337"/>
      <c r="K8" s="3273" t="s">
        <v>630</v>
      </c>
      <c r="L8" s="3273" t="s">
        <v>1940</v>
      </c>
      <c r="M8" s="3273" t="s">
        <v>1357</v>
      </c>
      <c r="N8" s="1337"/>
      <c r="O8" s="3273" t="s">
        <v>630</v>
      </c>
      <c r="P8" s="1340">
        <f>CommonG</f>
        <v>0.27379999999999999</v>
      </c>
      <c r="Q8" s="1336"/>
      <c r="R8" s="3274" t="s">
        <v>2011</v>
      </c>
    </row>
    <row r="9" spans="1:18">
      <c r="A9" s="1339"/>
      <c r="C9" s="1066"/>
      <c r="D9" s="1066"/>
      <c r="E9" s="1066"/>
      <c r="F9" s="1066"/>
      <c r="G9" s="1066"/>
      <c r="H9" s="1066"/>
      <c r="I9" s="1066"/>
      <c r="J9" s="1066"/>
      <c r="K9" s="1066"/>
      <c r="L9" s="1066"/>
      <c r="M9" s="1066"/>
      <c r="N9" s="1066"/>
      <c r="O9" s="1066"/>
      <c r="P9" s="1066"/>
      <c r="R9" s="1066"/>
    </row>
    <row r="10" spans="1:18">
      <c r="A10" s="3145">
        <v>43525</v>
      </c>
      <c r="C10" s="1725">
        <v>7820132</v>
      </c>
      <c r="D10" s="1059">
        <f t="shared" ref="D10:D21" si="0">ROUND(C10*0.642,0)</f>
        <v>5020525</v>
      </c>
      <c r="E10" s="1059">
        <f t="shared" ref="E10:E22" si="1">C10-D10</f>
        <v>2799607</v>
      </c>
      <c r="G10" s="1725">
        <v>545312213</v>
      </c>
      <c r="H10" s="1082">
        <f>'WPB-2.2a-f - Base'!$AU$272</f>
        <v>7196711</v>
      </c>
      <c r="I10" s="1059">
        <f t="shared" ref="I10:I22" si="2">G10-H10</f>
        <v>538115502</v>
      </c>
      <c r="K10" s="3067">
        <v>24513227</v>
      </c>
      <c r="L10" s="1082">
        <f>'WPB-2.2a-f - Base'!$AU$281</f>
        <v>113955</v>
      </c>
      <c r="M10" s="1059">
        <f t="shared" ref="M10:M22" si="3">K10-L10</f>
        <v>24399272</v>
      </c>
      <c r="O10" s="1725">
        <v>47225171</v>
      </c>
      <c r="P10" s="1059">
        <f>ROUND(O10*$P$8,0)</f>
        <v>12930252</v>
      </c>
      <c r="R10" s="1080">
        <f t="shared" ref="R10:R21" si="4">P10+M10+I10+E10</f>
        <v>578244633</v>
      </c>
    </row>
    <row r="11" spans="1:18">
      <c r="A11" s="3146">
        <f>LOGO!J7</f>
        <v>43585</v>
      </c>
      <c r="C11" s="1725">
        <v>7820132</v>
      </c>
      <c r="D11" s="1059">
        <f t="shared" si="0"/>
        <v>5020525</v>
      </c>
      <c r="E11" s="1059">
        <f t="shared" si="1"/>
        <v>2799607</v>
      </c>
      <c r="G11" s="1725">
        <v>545083629</v>
      </c>
      <c r="H11" s="1082">
        <f>'WPB-2.2a-f - Base'!$AU$272</f>
        <v>7196711</v>
      </c>
      <c r="I11" s="1059">
        <f t="shared" si="2"/>
        <v>537886918</v>
      </c>
      <c r="K11" s="3067">
        <v>24525745</v>
      </c>
      <c r="L11" s="1082">
        <f>'WPB-2.2a-f - Base'!$AU$281</f>
        <v>113955</v>
      </c>
      <c r="M11" s="1059">
        <f t="shared" si="3"/>
        <v>24411790</v>
      </c>
      <c r="O11" s="1725">
        <v>47193479</v>
      </c>
      <c r="P11" s="1059">
        <f t="shared" ref="P11:P22" si="5">ROUND(O11*$P$8,0)</f>
        <v>12921575</v>
      </c>
      <c r="R11" s="1080">
        <f t="shared" si="4"/>
        <v>578019890</v>
      </c>
    </row>
    <row r="12" spans="1:18">
      <c r="A12" s="3146">
        <f>LOGO!J8</f>
        <v>43616</v>
      </c>
      <c r="C12" s="1725">
        <v>7820132</v>
      </c>
      <c r="D12" s="1059">
        <f t="shared" si="0"/>
        <v>5020525</v>
      </c>
      <c r="E12" s="1059">
        <f t="shared" si="1"/>
        <v>2799607</v>
      </c>
      <c r="G12" s="1725">
        <v>544854670</v>
      </c>
      <c r="H12" s="1082">
        <f>'WPB-2.2a-f - Base'!$AU$272</f>
        <v>7196711</v>
      </c>
      <c r="I12" s="1059">
        <f t="shared" si="2"/>
        <v>537657959</v>
      </c>
      <c r="K12" s="3067">
        <v>24543227</v>
      </c>
      <c r="L12" s="1082">
        <f>'WPB-2.2a-f - Base'!$AU$281</f>
        <v>113955</v>
      </c>
      <c r="M12" s="1059">
        <f t="shared" si="3"/>
        <v>24429272</v>
      </c>
      <c r="O12" s="1725">
        <v>47161736</v>
      </c>
      <c r="P12" s="1059">
        <f t="shared" si="5"/>
        <v>12912883</v>
      </c>
      <c r="R12" s="1080">
        <f t="shared" si="4"/>
        <v>577799721</v>
      </c>
    </row>
    <row r="13" spans="1:18">
      <c r="A13" s="3146">
        <f>LOGO!J9</f>
        <v>43646</v>
      </c>
      <c r="C13" s="1725">
        <v>7820132</v>
      </c>
      <c r="D13" s="1059">
        <f t="shared" si="0"/>
        <v>5020525</v>
      </c>
      <c r="E13" s="1059">
        <f t="shared" si="1"/>
        <v>2799607</v>
      </c>
      <c r="G13" s="1725">
        <v>550027000</v>
      </c>
      <c r="H13" s="1082">
        <f>'WPB-2.2a-f - Base'!$AU$272</f>
        <v>7196711</v>
      </c>
      <c r="I13" s="1059">
        <f t="shared" si="2"/>
        <v>542830289</v>
      </c>
      <c r="K13" s="3067">
        <v>24554674</v>
      </c>
      <c r="L13" s="1082">
        <f>'WPB-2.2a-f - Base'!$AU$281</f>
        <v>113955</v>
      </c>
      <c r="M13" s="1059">
        <f t="shared" si="3"/>
        <v>24440719</v>
      </c>
      <c r="O13" s="1725">
        <v>47129944</v>
      </c>
      <c r="P13" s="1059">
        <f t="shared" si="5"/>
        <v>12904179</v>
      </c>
      <c r="R13" s="1080">
        <f t="shared" si="4"/>
        <v>582974794</v>
      </c>
    </row>
    <row r="14" spans="1:18">
      <c r="A14" s="3146">
        <f>LOGO!J10</f>
        <v>43677</v>
      </c>
      <c r="C14" s="1725">
        <v>7820132</v>
      </c>
      <c r="D14" s="1059">
        <f t="shared" si="0"/>
        <v>5020525</v>
      </c>
      <c r="E14" s="1059">
        <f t="shared" si="1"/>
        <v>2799607</v>
      </c>
      <c r="G14" s="1725">
        <v>549797290</v>
      </c>
      <c r="H14" s="1082">
        <f>'WPB-2.2a-f - Base'!$AU$272</f>
        <v>7196711</v>
      </c>
      <c r="I14" s="1059">
        <f t="shared" si="2"/>
        <v>542600579</v>
      </c>
      <c r="K14" s="3067">
        <v>24566086</v>
      </c>
      <c r="L14" s="1082">
        <f>'WPB-2.2a-f - Base'!$AU$281</f>
        <v>113955</v>
      </c>
      <c r="M14" s="1059">
        <f t="shared" si="3"/>
        <v>24452131</v>
      </c>
      <c r="O14" s="1725">
        <v>47098101</v>
      </c>
      <c r="P14" s="1059">
        <f t="shared" si="5"/>
        <v>12895460</v>
      </c>
      <c r="R14" s="1080">
        <f t="shared" si="4"/>
        <v>582747777</v>
      </c>
    </row>
    <row r="15" spans="1:18">
      <c r="A15" s="3146">
        <f>LOGO!J11</f>
        <v>43708</v>
      </c>
      <c r="C15" s="1725">
        <v>7820132</v>
      </c>
      <c r="D15" s="1059">
        <f t="shared" si="0"/>
        <v>5020525</v>
      </c>
      <c r="E15" s="1059">
        <f t="shared" si="1"/>
        <v>2799607</v>
      </c>
      <c r="G15" s="1725">
        <v>549567203</v>
      </c>
      <c r="H15" s="1082">
        <f>'WPB-2.2a-f - Base'!$AU$272</f>
        <v>7196711</v>
      </c>
      <c r="I15" s="1059">
        <f t="shared" si="2"/>
        <v>542370492</v>
      </c>
      <c r="K15" s="3067">
        <v>24577461</v>
      </c>
      <c r="L15" s="1082">
        <f>'WPB-2.2a-f - Base'!$AU$281</f>
        <v>113955</v>
      </c>
      <c r="M15" s="1059">
        <f t="shared" si="3"/>
        <v>24463506</v>
      </c>
      <c r="O15" s="1725">
        <v>47066207</v>
      </c>
      <c r="P15" s="1059">
        <f t="shared" si="5"/>
        <v>12886727</v>
      </c>
      <c r="R15" s="1080">
        <f t="shared" si="4"/>
        <v>582520332</v>
      </c>
    </row>
    <row r="16" spans="1:18">
      <c r="A16" s="3146">
        <f>LOGO!J12</f>
        <v>43738</v>
      </c>
      <c r="C16" s="1725">
        <v>7820132</v>
      </c>
      <c r="D16" s="1059">
        <f t="shared" si="0"/>
        <v>5020525</v>
      </c>
      <c r="E16" s="1059">
        <f t="shared" si="1"/>
        <v>2799607</v>
      </c>
      <c r="G16" s="1725">
        <v>557123173</v>
      </c>
      <c r="H16" s="1082">
        <f>'WPB-2.2a-f - Base'!$AU$272</f>
        <v>7196711</v>
      </c>
      <c r="I16" s="1059">
        <f t="shared" si="2"/>
        <v>549926462</v>
      </c>
      <c r="K16" s="3067">
        <v>24588801</v>
      </c>
      <c r="L16" s="1082">
        <f>'WPB-2.2a-f - Base'!$AU$281</f>
        <v>113955</v>
      </c>
      <c r="M16" s="1059">
        <f t="shared" si="3"/>
        <v>24474846</v>
      </c>
      <c r="O16" s="1725">
        <v>47034264</v>
      </c>
      <c r="P16" s="1059">
        <f t="shared" si="5"/>
        <v>12877981</v>
      </c>
      <c r="R16" s="1080">
        <f t="shared" si="4"/>
        <v>590078896</v>
      </c>
    </row>
    <row r="17" spans="1:24">
      <c r="A17" s="3146">
        <f>LOGO!J13</f>
        <v>43769</v>
      </c>
      <c r="C17" s="1725">
        <v>7820132</v>
      </c>
      <c r="D17" s="1059">
        <f t="shared" si="0"/>
        <v>5020525</v>
      </c>
      <c r="E17" s="1059">
        <f t="shared" si="1"/>
        <v>2799607</v>
      </c>
      <c r="G17" s="1725">
        <v>556892331</v>
      </c>
      <c r="H17" s="1082">
        <f>'WPB-2.2a-f - Base'!$AU$272</f>
        <v>7196711</v>
      </c>
      <c r="I17" s="1059">
        <f t="shared" si="2"/>
        <v>549695620</v>
      </c>
      <c r="K17" s="3067">
        <v>24606104</v>
      </c>
      <c r="L17" s="1082">
        <f>'WPB-2.2a-f - Base'!$AU$281</f>
        <v>113955</v>
      </c>
      <c r="M17" s="1059">
        <f t="shared" si="3"/>
        <v>24492149</v>
      </c>
      <c r="O17" s="1725">
        <v>47002269</v>
      </c>
      <c r="P17" s="1059">
        <f t="shared" si="5"/>
        <v>12869221</v>
      </c>
      <c r="R17" s="1080">
        <f t="shared" si="4"/>
        <v>589856597</v>
      </c>
    </row>
    <row r="18" spans="1:24">
      <c r="A18" s="3146">
        <f>LOGO!J14</f>
        <v>43799</v>
      </c>
      <c r="C18" s="1725">
        <v>7820132</v>
      </c>
      <c r="D18" s="1059">
        <f t="shared" si="0"/>
        <v>5020525</v>
      </c>
      <c r="E18" s="1059">
        <f t="shared" si="1"/>
        <v>2799607</v>
      </c>
      <c r="G18" s="1725">
        <v>556661110</v>
      </c>
      <c r="H18" s="1082">
        <f>'WPB-2.2a-f - Base'!$AU$272</f>
        <v>7196711</v>
      </c>
      <c r="I18" s="1059">
        <f t="shared" si="2"/>
        <v>549464399</v>
      </c>
      <c r="K18" s="3067">
        <v>24617372</v>
      </c>
      <c r="L18" s="1082">
        <f>'WPB-2.2a-f - Base'!$AU$281</f>
        <v>113955</v>
      </c>
      <c r="M18" s="1059">
        <f t="shared" si="3"/>
        <v>24503417</v>
      </c>
      <c r="O18" s="1725">
        <v>46970224</v>
      </c>
      <c r="P18" s="1059">
        <f t="shared" si="5"/>
        <v>12860447</v>
      </c>
      <c r="R18" s="1080">
        <f t="shared" si="4"/>
        <v>589627870</v>
      </c>
    </row>
    <row r="19" spans="1:24">
      <c r="A19" s="3146">
        <f>LOGO!J15</f>
        <v>43830</v>
      </c>
      <c r="C19" s="1725">
        <v>7820132</v>
      </c>
      <c r="D19" s="1059">
        <f t="shared" si="0"/>
        <v>5020525</v>
      </c>
      <c r="E19" s="1059">
        <f t="shared" si="1"/>
        <v>2799607</v>
      </c>
      <c r="G19" s="1725">
        <v>566855641</v>
      </c>
      <c r="H19" s="1082">
        <f>'WPB-2.2a-f - Base'!$AU$272</f>
        <v>7196711</v>
      </c>
      <c r="I19" s="1059">
        <f t="shared" si="2"/>
        <v>559658930</v>
      </c>
      <c r="K19" s="3067">
        <v>24628604</v>
      </c>
      <c r="L19" s="1082">
        <f>'WPB-2.2a-f - Base'!$AU$281</f>
        <v>113955</v>
      </c>
      <c r="M19" s="1059">
        <f t="shared" si="3"/>
        <v>24514649</v>
      </c>
      <c r="O19" s="1725">
        <v>46938128</v>
      </c>
      <c r="P19" s="1059">
        <f t="shared" si="5"/>
        <v>12851659</v>
      </c>
      <c r="R19" s="1080">
        <f t="shared" si="4"/>
        <v>599824845</v>
      </c>
    </row>
    <row r="20" spans="1:24">
      <c r="A20" s="3146">
        <f>LOGO!J16</f>
        <v>43861</v>
      </c>
      <c r="C20" s="1725">
        <v>7820132</v>
      </c>
      <c r="D20" s="1059">
        <f t="shared" si="0"/>
        <v>5020525</v>
      </c>
      <c r="E20" s="1059">
        <f t="shared" si="1"/>
        <v>2799607</v>
      </c>
      <c r="G20" s="1725">
        <v>566622909</v>
      </c>
      <c r="H20" s="1082">
        <f>'WPB-2.2a-f - Base'!$AU$272</f>
        <v>7196711</v>
      </c>
      <c r="I20" s="1059">
        <f t="shared" si="2"/>
        <v>559426198</v>
      </c>
      <c r="K20" s="3067">
        <v>24605966</v>
      </c>
      <c r="L20" s="1082">
        <f>'WPB-2.2a-f - Base'!$AU$281</f>
        <v>113955</v>
      </c>
      <c r="M20" s="1059">
        <f t="shared" si="3"/>
        <v>24492011</v>
      </c>
      <c r="O20" s="1725">
        <v>46905982</v>
      </c>
      <c r="P20" s="1059">
        <f t="shared" si="5"/>
        <v>12842858</v>
      </c>
      <c r="R20" s="1080">
        <f t="shared" si="4"/>
        <v>599560674</v>
      </c>
    </row>
    <row r="21" spans="1:24">
      <c r="A21" s="3146">
        <f>LOGO!J17</f>
        <v>43890</v>
      </c>
      <c r="C21" s="1725">
        <v>7820132</v>
      </c>
      <c r="D21" s="1059">
        <f t="shared" si="0"/>
        <v>5020525</v>
      </c>
      <c r="E21" s="1059">
        <f t="shared" si="1"/>
        <v>2799607</v>
      </c>
      <c r="G21" s="1725">
        <v>566389797</v>
      </c>
      <c r="H21" s="1082">
        <f>'WPB-2.2a-f - Base'!$AU$272</f>
        <v>7196711</v>
      </c>
      <c r="I21" s="1059">
        <f t="shared" si="2"/>
        <v>559193086</v>
      </c>
      <c r="K21" s="3067">
        <v>24583293</v>
      </c>
      <c r="L21" s="1082">
        <f>'WPB-2.2a-f - Base'!$AU$281</f>
        <v>113955</v>
      </c>
      <c r="M21" s="1059">
        <f t="shared" si="3"/>
        <v>24469338</v>
      </c>
      <c r="O21" s="1725">
        <v>46873784</v>
      </c>
      <c r="P21" s="1059">
        <f t="shared" si="5"/>
        <v>12834042</v>
      </c>
      <c r="Q21" s="941"/>
      <c r="R21" s="1080">
        <f t="shared" si="4"/>
        <v>599296073</v>
      </c>
    </row>
    <row r="22" spans="1:24">
      <c r="A22" s="3146">
        <f>LOGO!J18</f>
        <v>43921</v>
      </c>
      <c r="C22" s="1725">
        <v>7820132</v>
      </c>
      <c r="D22" s="1059">
        <f>ROUND(C22*0.642,0)-7</f>
        <v>5020518</v>
      </c>
      <c r="E22" s="1059">
        <f t="shared" si="1"/>
        <v>2799614</v>
      </c>
      <c r="G22" s="1725">
        <f>568659786-20</f>
        <v>568659766</v>
      </c>
      <c r="H22" s="1082">
        <f>'WPB-2.2a-f - Base'!$AU$272</f>
        <v>7196711</v>
      </c>
      <c r="I22" s="1059">
        <f t="shared" si="2"/>
        <v>561463055</v>
      </c>
      <c r="K22" s="3067">
        <v>24627421</v>
      </c>
      <c r="L22" s="1082">
        <f>'WPB-2.2a-f - Base'!$AU$281</f>
        <v>113955</v>
      </c>
      <c r="M22" s="1059">
        <f t="shared" si="3"/>
        <v>24513466</v>
      </c>
      <c r="O22" s="1725">
        <f>46841535+15</f>
        <v>46841550</v>
      </c>
      <c r="P22" s="1059">
        <f t="shared" si="5"/>
        <v>12825216</v>
      </c>
      <c r="Q22" s="941"/>
      <c r="R22" s="1080">
        <f>P22+M22+I22+E22</f>
        <v>601601351</v>
      </c>
    </row>
    <row r="23" spans="1:24">
      <c r="A23" s="3149" t="s">
        <v>2153</v>
      </c>
      <c r="C23" s="1341">
        <f>SUM(C10:C22)</f>
        <v>101661716</v>
      </c>
      <c r="D23" s="1341">
        <f>SUM(D10:D22)</f>
        <v>65266818</v>
      </c>
      <c r="E23" s="1341">
        <f>SUM(E10:E22)</f>
        <v>36394898</v>
      </c>
      <c r="G23" s="1341">
        <f>SUM(G10:G22)</f>
        <v>7223846732</v>
      </c>
      <c r="H23" s="1341">
        <f>SUM(H10:H22)</f>
        <v>93557243</v>
      </c>
      <c r="I23" s="1341">
        <f>SUM(I10:I22)</f>
        <v>7130289489</v>
      </c>
      <c r="K23" s="1341">
        <f>SUM(K10:K22)</f>
        <v>319537981</v>
      </c>
      <c r="L23" s="1341">
        <f>SUM(L10:L22)</f>
        <v>1481415</v>
      </c>
      <c r="M23" s="1341">
        <f>SUM(M10:M22)</f>
        <v>318056566</v>
      </c>
      <c r="O23" s="1341">
        <f>SUM(O10:O22)</f>
        <v>611440839</v>
      </c>
      <c r="P23" s="1341">
        <f>SUM(P10:P22)</f>
        <v>167412500</v>
      </c>
      <c r="Q23" s="1081"/>
      <c r="R23" s="1341">
        <f>SUM(R10:R22)</f>
        <v>7652153453</v>
      </c>
    </row>
    <row r="25" spans="1:24" s="1336" customFormat="1">
      <c r="A25" s="1336" t="s">
        <v>287</v>
      </c>
      <c r="C25" s="1342">
        <f>ROUND(C23/13,0)</f>
        <v>7820132</v>
      </c>
      <c r="D25" s="1342">
        <f>ROUND(D23/13,0)</f>
        <v>5020524</v>
      </c>
      <c r="E25" s="1342">
        <f>C25-D25</f>
        <v>2799608</v>
      </c>
      <c r="F25" s="1342"/>
      <c r="G25" s="1342">
        <f>ROUND(G23/13,0)+1</f>
        <v>555680519</v>
      </c>
      <c r="H25" s="1342">
        <f>ROUND(H23/13,0)</f>
        <v>7196711</v>
      </c>
      <c r="I25" s="1342">
        <f>G25-H25</f>
        <v>548483808</v>
      </c>
      <c r="J25" s="1342"/>
      <c r="K25" s="1342">
        <f>ROUND(K23/13,0)</f>
        <v>24579845</v>
      </c>
      <c r="L25" s="1342">
        <f>ROUND(L23/13,0)</f>
        <v>113955</v>
      </c>
      <c r="M25" s="1342">
        <f>ROUND(M23/13,0)</f>
        <v>24465890</v>
      </c>
      <c r="N25" s="1342"/>
      <c r="O25" s="1342">
        <f>ROUND(O23/13,0)-1</f>
        <v>47033910</v>
      </c>
      <c r="P25" s="1342">
        <f>ROUND(P23/13,0)</f>
        <v>12877885</v>
      </c>
      <c r="Q25" s="1342"/>
      <c r="R25" s="1342">
        <f>P25+M25+I25+E25</f>
        <v>588627191</v>
      </c>
      <c r="S25" s="1342"/>
      <c r="T25" s="1342"/>
      <c r="U25" s="1342"/>
      <c r="V25" s="1342"/>
      <c r="W25" s="1342"/>
      <c r="X25" s="1342"/>
    </row>
    <row r="28" spans="1:24">
      <c r="O28" s="1080"/>
    </row>
    <row r="29" spans="1:24">
      <c r="D29" s="1066" t="s">
        <v>824</v>
      </c>
      <c r="H29" s="1066" t="s">
        <v>824</v>
      </c>
      <c r="L29" s="1066" t="s">
        <v>824</v>
      </c>
      <c r="O29" s="1080"/>
    </row>
    <row r="30" spans="1:24">
      <c r="O30" s="1080"/>
    </row>
    <row r="31" spans="1:24">
      <c r="O31" s="1080"/>
    </row>
    <row r="32" spans="1:24">
      <c r="O32" s="1080"/>
    </row>
    <row r="33" spans="7:15">
      <c r="O33" s="1080"/>
    </row>
    <row r="34" spans="7:15">
      <c r="O34" s="1080"/>
    </row>
    <row r="35" spans="7:15">
      <c r="O35" s="1080"/>
    </row>
    <row r="36" spans="7:15">
      <c r="O36" s="1080"/>
    </row>
    <row r="37" spans="7:15">
      <c r="O37" s="1080"/>
    </row>
    <row r="38" spans="7:15">
      <c r="O38" s="1080"/>
    </row>
    <row r="39" spans="7:15">
      <c r="O39" s="1080"/>
    </row>
    <row r="40" spans="7:15">
      <c r="O40" s="1080"/>
    </row>
    <row r="41" spans="7:15">
      <c r="O41" s="1080"/>
    </row>
    <row r="42" spans="7:15">
      <c r="O42" s="1080"/>
    </row>
    <row r="43" spans="7:15">
      <c r="G43" s="1080"/>
    </row>
    <row r="44" spans="7:15">
      <c r="G44" s="1080"/>
    </row>
  </sheetData>
  <mergeCells count="4">
    <mergeCell ref="C6:E6"/>
    <mergeCell ref="G6:I6"/>
    <mergeCell ref="K6:M6"/>
    <mergeCell ref="O6:P6"/>
  </mergeCells>
  <phoneticPr fontId="52" type="noConversion"/>
  <pageMargins left="0.5" right="0.5" top="1" bottom="1" header="0.5" footer="0.5"/>
  <pageSetup scale="64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>
    <tabColor theme="8" tint="0.59999389629810485"/>
  </sheetPr>
  <dimension ref="A1:I373"/>
  <sheetViews>
    <sheetView zoomScale="80" zoomScaleNormal="80" workbookViewId="0"/>
  </sheetViews>
  <sheetFormatPr defaultColWidth="9.109375" defaultRowHeight="13.2"/>
  <cols>
    <col min="1" max="1" width="54.44140625" style="3073" customWidth="1"/>
    <col min="2" max="2" width="46.109375" style="3073" hidden="1" customWidth="1"/>
    <col min="3" max="3" width="14.33203125" style="3073" customWidth="1"/>
    <col min="4" max="4" width="29" style="3073" customWidth="1"/>
    <col min="5" max="5" width="17.6640625" style="3361" customWidth="1"/>
    <col min="6" max="6" width="20.109375" style="3362" customWidth="1"/>
    <col min="7" max="7" width="15" style="3363" customWidth="1"/>
    <col min="8" max="8" width="14.109375" style="3362" customWidth="1"/>
    <col min="9" max="9" width="15.6640625" style="3362" customWidth="1"/>
    <col min="10" max="16384" width="9.109375" style="3073"/>
  </cols>
  <sheetData>
    <row r="1" spans="1:8">
      <c r="A1" s="3552" t="str">
        <f>COMPANY</f>
        <v>DUKE ENERGY KENTUCKY, INC.</v>
      </c>
      <c r="B1" s="3360"/>
      <c r="C1" s="3360"/>
    </row>
    <row r="2" spans="1:8">
      <c r="A2" s="3553" t="s">
        <v>2305</v>
      </c>
      <c r="B2" s="3364"/>
      <c r="C2" s="3364"/>
    </row>
    <row r="3" spans="1:8">
      <c r="A3" s="3554" t="s">
        <v>2529</v>
      </c>
      <c r="B3" s="3365"/>
      <c r="C3" s="3365"/>
    </row>
    <row r="6" spans="1:8">
      <c r="C6" s="3366" t="s">
        <v>2687</v>
      </c>
      <c r="E6" s="3366" t="s">
        <v>2011</v>
      </c>
      <c r="F6" s="3366" t="s">
        <v>2011</v>
      </c>
      <c r="G6" s="3367" t="s">
        <v>2684</v>
      </c>
      <c r="H6" s="3368" t="s">
        <v>2683</v>
      </c>
    </row>
    <row r="7" spans="1:8">
      <c r="A7" s="3369" t="s">
        <v>1988</v>
      </c>
      <c r="B7" s="3369" t="s">
        <v>573</v>
      </c>
      <c r="C7" s="3369" t="s">
        <v>1987</v>
      </c>
      <c r="D7" s="3369" t="s">
        <v>2686</v>
      </c>
      <c r="E7" s="3370" t="s">
        <v>28</v>
      </c>
      <c r="F7" s="3370" t="s">
        <v>262</v>
      </c>
      <c r="G7" s="3371" t="s">
        <v>2304</v>
      </c>
      <c r="H7" s="3372" t="s">
        <v>28</v>
      </c>
    </row>
    <row r="8" spans="1:8">
      <c r="A8" s="3369"/>
      <c r="B8" s="3369"/>
      <c r="C8" s="3369"/>
      <c r="D8" s="3369"/>
      <c r="E8" s="3370"/>
      <c r="F8" s="3370"/>
      <c r="G8" s="3371"/>
      <c r="H8" s="3372"/>
    </row>
    <row r="9" spans="1:8">
      <c r="A9" s="3068" t="s">
        <v>2296</v>
      </c>
      <c r="B9" s="3068" t="s">
        <v>46</v>
      </c>
      <c r="C9" s="3069">
        <v>21100</v>
      </c>
      <c r="D9" s="3068" t="s">
        <v>2688</v>
      </c>
      <c r="E9" s="3070">
        <v>0</v>
      </c>
      <c r="F9" s="3070">
        <v>0</v>
      </c>
      <c r="G9" s="3071">
        <v>0.49116599999999999</v>
      </c>
      <c r="H9" s="3070">
        <v>0</v>
      </c>
    </row>
    <row r="10" spans="1:8">
      <c r="A10" s="3068" t="s">
        <v>2296</v>
      </c>
      <c r="B10" s="3068" t="s">
        <v>1512</v>
      </c>
      <c r="C10" s="3069">
        <v>21100</v>
      </c>
      <c r="D10" s="3068" t="s">
        <v>2688</v>
      </c>
      <c r="E10" s="3070">
        <v>27221</v>
      </c>
      <c r="F10" s="3070">
        <v>0</v>
      </c>
      <c r="G10" s="3071">
        <v>0.64200000000000002</v>
      </c>
      <c r="H10" s="3070">
        <v>42399.66</v>
      </c>
    </row>
    <row r="11" spans="1:8">
      <c r="A11" s="3068" t="s">
        <v>2296</v>
      </c>
      <c r="B11" s="3068" t="s">
        <v>1512</v>
      </c>
      <c r="C11" s="3069">
        <v>27500</v>
      </c>
      <c r="D11" s="3068" t="s">
        <v>2689</v>
      </c>
      <c r="E11" s="3070">
        <v>11147</v>
      </c>
      <c r="F11" s="3070">
        <v>8804.0143262100009</v>
      </c>
      <c r="G11" s="3071">
        <v>0.49116599999999999</v>
      </c>
      <c r="H11" s="3070">
        <v>22694.75</v>
      </c>
    </row>
    <row r="12" spans="1:8">
      <c r="A12" s="3068" t="s">
        <v>2296</v>
      </c>
      <c r="B12" s="3068" t="s">
        <v>46</v>
      </c>
      <c r="C12" s="3069">
        <v>27800</v>
      </c>
      <c r="D12" s="3068" t="s">
        <v>2690</v>
      </c>
      <c r="E12" s="3070">
        <v>49293</v>
      </c>
      <c r="F12" s="3070">
        <v>39874.638398719995</v>
      </c>
      <c r="G12" s="3071">
        <v>0.49116599999999999</v>
      </c>
      <c r="H12" s="3070">
        <v>100358.94</v>
      </c>
    </row>
    <row r="13" spans="1:8">
      <c r="A13" s="3068" t="s">
        <v>2296</v>
      </c>
      <c r="B13" s="3068" t="s">
        <v>46</v>
      </c>
      <c r="C13" s="3069">
        <v>27801</v>
      </c>
      <c r="D13" s="3068" t="s">
        <v>2691</v>
      </c>
      <c r="E13" s="3070">
        <v>173909</v>
      </c>
      <c r="F13" s="3070">
        <v>55472.764639139998</v>
      </c>
      <c r="G13" s="3071">
        <v>0.49116599999999999</v>
      </c>
      <c r="H13" s="3070">
        <v>354073.09</v>
      </c>
    </row>
    <row r="14" spans="1:8">
      <c r="A14" s="3068" t="s">
        <v>2296</v>
      </c>
      <c r="B14" s="3068" t="s">
        <v>46</v>
      </c>
      <c r="C14" s="3069">
        <v>27802</v>
      </c>
      <c r="D14" s="3068" t="s">
        <v>2692</v>
      </c>
      <c r="E14" s="3070">
        <v>0</v>
      </c>
      <c r="F14" s="3070">
        <v>0</v>
      </c>
      <c r="G14" s="3071">
        <v>0.49116599999999999</v>
      </c>
      <c r="H14" s="3070">
        <v>0</v>
      </c>
    </row>
    <row r="15" spans="1:8">
      <c r="A15" s="3068" t="s">
        <v>2296</v>
      </c>
      <c r="B15" s="3068" t="s">
        <v>46</v>
      </c>
      <c r="C15" s="3069">
        <v>29100</v>
      </c>
      <c r="D15" s="3068" t="s">
        <v>2693</v>
      </c>
      <c r="E15" s="3070">
        <v>0</v>
      </c>
      <c r="F15" s="3070">
        <v>0</v>
      </c>
      <c r="G15" s="3071">
        <v>0.49116599999999999</v>
      </c>
      <c r="H15" s="3070">
        <v>0</v>
      </c>
    </row>
    <row r="16" spans="1:8">
      <c r="A16" s="3068" t="s">
        <v>2295</v>
      </c>
      <c r="B16" s="3068" t="s">
        <v>45</v>
      </c>
      <c r="C16" s="3069">
        <v>27800</v>
      </c>
      <c r="D16" s="3068" t="s">
        <v>2690</v>
      </c>
      <c r="E16" s="3070">
        <v>47059</v>
      </c>
      <c r="F16" s="3070">
        <v>39362.968965859996</v>
      </c>
      <c r="G16" s="3071">
        <v>0.49116599999999999</v>
      </c>
      <c r="H16" s="3070">
        <v>95810.99</v>
      </c>
    </row>
    <row r="17" spans="1:8">
      <c r="A17" s="3068" t="s">
        <v>2295</v>
      </c>
      <c r="B17" s="3068" t="s">
        <v>45</v>
      </c>
      <c r="C17" s="3069">
        <v>27801</v>
      </c>
      <c r="D17" s="3068" t="s">
        <v>2691</v>
      </c>
      <c r="E17" s="3070">
        <v>41634</v>
      </c>
      <c r="F17" s="3070">
        <v>32463.094731729998</v>
      </c>
      <c r="G17" s="3071">
        <v>0.49116599999999999</v>
      </c>
      <c r="H17" s="3070">
        <v>84765.64</v>
      </c>
    </row>
    <row r="18" spans="1:8">
      <c r="A18" s="3068" t="s">
        <v>2303</v>
      </c>
      <c r="B18" s="3068" t="s">
        <v>1512</v>
      </c>
      <c r="C18" s="3069">
        <v>20400</v>
      </c>
      <c r="D18" s="3068" t="s">
        <v>2694</v>
      </c>
      <c r="E18" s="3070">
        <v>8134</v>
      </c>
      <c r="F18" s="3070">
        <v>0</v>
      </c>
      <c r="G18" s="3071">
        <v>0.64200000000000002</v>
      </c>
      <c r="H18" s="3070">
        <v>12669.37</v>
      </c>
    </row>
    <row r="19" spans="1:8">
      <c r="A19" s="3068" t="s">
        <v>2303</v>
      </c>
      <c r="B19" s="3068" t="s">
        <v>1512</v>
      </c>
      <c r="C19" s="3069">
        <v>20500</v>
      </c>
      <c r="D19" s="3068" t="s">
        <v>2695</v>
      </c>
      <c r="E19" s="3070">
        <v>607247</v>
      </c>
      <c r="F19" s="3070">
        <v>624214.65599999996</v>
      </c>
      <c r="G19" s="3071">
        <v>0.64200000000000002</v>
      </c>
      <c r="H19" s="3070">
        <v>945867.02</v>
      </c>
    </row>
    <row r="20" spans="1:8">
      <c r="A20" s="3068" t="s">
        <v>2303</v>
      </c>
      <c r="B20" s="3068" t="s">
        <v>1512</v>
      </c>
      <c r="C20" s="3069">
        <v>21100</v>
      </c>
      <c r="D20" s="3068" t="s">
        <v>2688</v>
      </c>
      <c r="E20" s="3070">
        <v>742986</v>
      </c>
      <c r="F20" s="3070">
        <v>257661.94349999999</v>
      </c>
      <c r="G20" s="3071">
        <v>0.64200000000000002</v>
      </c>
      <c r="H20" s="3070">
        <v>1157298.3400000001</v>
      </c>
    </row>
    <row r="21" spans="1:8">
      <c r="A21" s="3068" t="s">
        <v>2303</v>
      </c>
      <c r="B21" s="3068" t="s">
        <v>1512</v>
      </c>
      <c r="C21" s="3069">
        <v>27801</v>
      </c>
      <c r="D21" s="3068" t="s">
        <v>2691</v>
      </c>
      <c r="E21" s="3070">
        <v>10741</v>
      </c>
      <c r="F21" s="3070">
        <v>2575.326</v>
      </c>
      <c r="G21" s="3071">
        <v>0.64200000000000002</v>
      </c>
      <c r="H21" s="3070">
        <v>16729.78</v>
      </c>
    </row>
    <row r="22" spans="1:8">
      <c r="A22" s="3068" t="s">
        <v>2293</v>
      </c>
      <c r="B22" s="3068" t="s">
        <v>1512</v>
      </c>
      <c r="C22" s="3069">
        <v>20400</v>
      </c>
      <c r="D22" s="3068" t="s">
        <v>2694</v>
      </c>
      <c r="E22" s="3070">
        <v>67437</v>
      </c>
      <c r="F22" s="3070">
        <v>0</v>
      </c>
      <c r="G22" s="3071">
        <v>0.64200000000000002</v>
      </c>
      <c r="H22" s="3070">
        <v>105041.7</v>
      </c>
    </row>
    <row r="23" spans="1:8">
      <c r="A23" s="3068" t="s">
        <v>2293</v>
      </c>
      <c r="B23" s="3068" t="s">
        <v>1512</v>
      </c>
      <c r="C23" s="3069">
        <v>20500</v>
      </c>
      <c r="D23" s="3068" t="s">
        <v>2695</v>
      </c>
      <c r="E23" s="3070">
        <v>500686</v>
      </c>
      <c r="F23" s="3070">
        <v>300326.67599999998</v>
      </c>
      <c r="G23" s="3071">
        <v>0.64200000000000002</v>
      </c>
      <c r="H23" s="3070">
        <v>779885.28</v>
      </c>
    </row>
    <row r="24" spans="1:8">
      <c r="A24" s="3068" t="s">
        <v>2293</v>
      </c>
      <c r="B24" s="3068" t="s">
        <v>1512</v>
      </c>
      <c r="C24" s="3069">
        <v>21100</v>
      </c>
      <c r="D24" s="3068" t="s">
        <v>2688</v>
      </c>
      <c r="E24" s="3070">
        <v>1862296</v>
      </c>
      <c r="F24" s="3070">
        <v>1184342.3474999999</v>
      </c>
      <c r="G24" s="3071">
        <v>0.64200000000000002</v>
      </c>
      <c r="H24" s="3070">
        <v>2900772.11</v>
      </c>
    </row>
    <row r="25" spans="1:8">
      <c r="A25" s="3068" t="s">
        <v>2293</v>
      </c>
      <c r="B25" s="3068" t="s">
        <v>1512</v>
      </c>
      <c r="C25" s="3069">
        <v>29100</v>
      </c>
      <c r="D25" s="3068" t="s">
        <v>2693</v>
      </c>
      <c r="E25" s="3070">
        <v>8899</v>
      </c>
      <c r="F25" s="3070">
        <v>9047.6034999999993</v>
      </c>
      <c r="G25" s="3071">
        <v>0.64200000000000002</v>
      </c>
      <c r="H25" s="3070">
        <v>13861.47</v>
      </c>
    </row>
    <row r="26" spans="1:8">
      <c r="A26" s="3068" t="s">
        <v>2293</v>
      </c>
      <c r="B26" s="3068" t="s">
        <v>1512</v>
      </c>
      <c r="C26" s="3069">
        <v>29400</v>
      </c>
      <c r="D26" s="3068" t="s">
        <v>2696</v>
      </c>
      <c r="E26" s="3070">
        <v>21227</v>
      </c>
      <c r="F26" s="3070">
        <v>18593.737499999999</v>
      </c>
      <c r="G26" s="3071">
        <v>0.64200000000000002</v>
      </c>
      <c r="H26" s="3070">
        <v>33063.96</v>
      </c>
    </row>
    <row r="27" spans="1:8">
      <c r="A27" s="3068" t="s">
        <v>2293</v>
      </c>
      <c r="B27" s="3068" t="s">
        <v>1512</v>
      </c>
      <c r="C27" s="3069">
        <v>29700</v>
      </c>
      <c r="D27" s="3068" t="s">
        <v>1080</v>
      </c>
      <c r="E27" s="3070">
        <v>237</v>
      </c>
      <c r="F27" s="3070">
        <v>12.077</v>
      </c>
      <c r="G27" s="3071">
        <v>0.64200000000000002</v>
      </c>
      <c r="H27" s="3070">
        <v>369.82</v>
      </c>
    </row>
    <row r="28" spans="1:8">
      <c r="A28" s="3068" t="s">
        <v>2301</v>
      </c>
      <c r="B28" s="3068" t="s">
        <v>1516</v>
      </c>
      <c r="C28" s="3069">
        <v>27401</v>
      </c>
      <c r="D28" s="3068" t="s">
        <v>1156</v>
      </c>
      <c r="E28" s="3070">
        <v>13237</v>
      </c>
      <c r="F28" s="3070">
        <v>8839.3349859099999</v>
      </c>
      <c r="G28" s="3071">
        <v>0.49116599999999999</v>
      </c>
      <c r="H28" s="3070">
        <v>26950.67</v>
      </c>
    </row>
    <row r="29" spans="1:8">
      <c r="A29" s="3068" t="s">
        <v>2301</v>
      </c>
      <c r="B29" s="3068" t="s">
        <v>1516</v>
      </c>
      <c r="C29" s="3069">
        <v>27605</v>
      </c>
      <c r="D29" s="3068" t="s">
        <v>2697</v>
      </c>
      <c r="E29" s="3070">
        <v>558789</v>
      </c>
      <c r="F29" s="3070">
        <v>408740.95174237998</v>
      </c>
      <c r="G29" s="3071">
        <v>0.49116599999999999</v>
      </c>
      <c r="H29" s="3070">
        <v>1137678.95</v>
      </c>
    </row>
    <row r="30" spans="1:8">
      <c r="A30" s="3068" t="s">
        <v>2300</v>
      </c>
      <c r="B30" s="3068" t="s">
        <v>125</v>
      </c>
      <c r="C30" s="3069">
        <v>27400</v>
      </c>
      <c r="D30" s="3068" t="s">
        <v>2694</v>
      </c>
      <c r="E30" s="3070">
        <v>1628</v>
      </c>
      <c r="F30" s="3070">
        <v>0.33276529999999999</v>
      </c>
      <c r="G30" s="3071">
        <v>0.49116599999999999</v>
      </c>
      <c r="H30" s="3070">
        <v>3314.5</v>
      </c>
    </row>
    <row r="31" spans="1:8">
      <c r="A31" s="3068" t="s">
        <v>2300</v>
      </c>
      <c r="B31" s="3068" t="s">
        <v>125</v>
      </c>
      <c r="C31" s="3069">
        <v>27401</v>
      </c>
      <c r="D31" s="3068" t="s">
        <v>1156</v>
      </c>
      <c r="E31" s="3070">
        <v>10497</v>
      </c>
      <c r="F31" s="3070">
        <v>8285.1951931900003</v>
      </c>
      <c r="G31" s="3071">
        <v>0.49116599999999999</v>
      </c>
      <c r="H31" s="3070">
        <v>21371.48</v>
      </c>
    </row>
    <row r="32" spans="1:8">
      <c r="A32" s="3068" t="s">
        <v>2300</v>
      </c>
      <c r="B32" s="3068" t="s">
        <v>125</v>
      </c>
      <c r="C32" s="3069">
        <v>27602</v>
      </c>
      <c r="D32" s="3068" t="s">
        <v>2698</v>
      </c>
      <c r="E32" s="3070">
        <v>297904</v>
      </c>
      <c r="F32" s="3070">
        <v>15360.774259509999</v>
      </c>
      <c r="G32" s="3071">
        <v>0.49116599999999999</v>
      </c>
      <c r="H32" s="3070">
        <v>606523.06999999995</v>
      </c>
    </row>
    <row r="33" spans="1:8">
      <c r="A33" s="3068" t="s">
        <v>2300</v>
      </c>
      <c r="B33" s="3068" t="s">
        <v>125</v>
      </c>
      <c r="C33" s="3069">
        <v>27605</v>
      </c>
      <c r="D33" s="3068" t="s">
        <v>2697</v>
      </c>
      <c r="E33" s="3070">
        <v>1127864</v>
      </c>
      <c r="F33" s="3070">
        <v>743292.76405470003</v>
      </c>
      <c r="G33" s="3071">
        <v>0.49116599999999999</v>
      </c>
      <c r="H33" s="3070">
        <v>2296298.85</v>
      </c>
    </row>
    <row r="34" spans="1:8">
      <c r="A34" s="3068" t="s">
        <v>2300</v>
      </c>
      <c r="B34" s="3068" t="s">
        <v>125</v>
      </c>
      <c r="C34" s="3069">
        <v>29800</v>
      </c>
      <c r="D34" s="3068" t="s">
        <v>1116</v>
      </c>
      <c r="E34" s="3070">
        <v>0</v>
      </c>
      <c r="F34" s="3070">
        <v>0</v>
      </c>
      <c r="G34" s="3071">
        <v>0.49116599999999999</v>
      </c>
      <c r="H34" s="3070">
        <v>0</v>
      </c>
    </row>
    <row r="35" spans="1:8">
      <c r="A35" s="3068" t="s">
        <v>2292</v>
      </c>
      <c r="B35" s="3068" t="s">
        <v>124</v>
      </c>
      <c r="C35" s="3069">
        <v>27400</v>
      </c>
      <c r="D35" s="3068" t="s">
        <v>2694</v>
      </c>
      <c r="E35" s="3070">
        <v>0</v>
      </c>
      <c r="F35" s="3070">
        <v>0</v>
      </c>
      <c r="G35" s="3071">
        <v>1</v>
      </c>
      <c r="H35" s="3070">
        <v>0</v>
      </c>
    </row>
    <row r="36" spans="1:8">
      <c r="A36" s="3068" t="s">
        <v>2292</v>
      </c>
      <c r="B36" s="3068" t="s">
        <v>124</v>
      </c>
      <c r="C36" s="3069">
        <v>27605</v>
      </c>
      <c r="D36" s="3068" t="s">
        <v>2697</v>
      </c>
      <c r="E36" s="3070">
        <v>0</v>
      </c>
      <c r="F36" s="3070">
        <v>0</v>
      </c>
      <c r="G36" s="3071">
        <v>1</v>
      </c>
      <c r="H36" s="3070">
        <v>0</v>
      </c>
    </row>
    <row r="37" spans="1:8">
      <c r="A37" s="3068" t="s">
        <v>2292</v>
      </c>
      <c r="B37" s="3068" t="s">
        <v>124</v>
      </c>
      <c r="C37" s="3069">
        <v>29800</v>
      </c>
      <c r="D37" s="3068" t="s">
        <v>1116</v>
      </c>
      <c r="E37" s="3070">
        <v>0</v>
      </c>
      <c r="F37" s="3070">
        <v>0</v>
      </c>
      <c r="G37" s="3071">
        <v>1</v>
      </c>
      <c r="H37" s="3070">
        <v>0</v>
      </c>
    </row>
    <row r="38" spans="1:8">
      <c r="A38" s="3068" t="s">
        <v>2299</v>
      </c>
      <c r="B38" s="3068" t="s">
        <v>37</v>
      </c>
      <c r="C38" s="3069">
        <v>27401</v>
      </c>
      <c r="D38" s="3068" t="s">
        <v>1156</v>
      </c>
      <c r="E38" s="3070">
        <v>59333</v>
      </c>
      <c r="F38" s="3070">
        <v>27686.600630690002</v>
      </c>
      <c r="G38" s="3071">
        <v>0.49116599999999999</v>
      </c>
      <c r="H38" s="3070">
        <v>120800.25</v>
      </c>
    </row>
    <row r="39" spans="1:8">
      <c r="A39" s="3068" t="s">
        <v>2299</v>
      </c>
      <c r="B39" s="3068" t="s">
        <v>37</v>
      </c>
      <c r="C39" s="3069">
        <v>27605</v>
      </c>
      <c r="D39" s="3068" t="s">
        <v>2697</v>
      </c>
      <c r="E39" s="3070">
        <v>792818</v>
      </c>
      <c r="F39" s="3070">
        <v>651983.28253453004</v>
      </c>
      <c r="G39" s="3071">
        <v>0.49116599999999999</v>
      </c>
      <c r="H39" s="3070">
        <v>1614155.16</v>
      </c>
    </row>
    <row r="40" spans="1:8">
      <c r="A40" s="3068" t="s">
        <v>2299</v>
      </c>
      <c r="B40" s="3068" t="s">
        <v>37</v>
      </c>
      <c r="C40" s="3069">
        <v>29800</v>
      </c>
      <c r="D40" s="3068" t="s">
        <v>1116</v>
      </c>
      <c r="E40" s="3070">
        <v>0</v>
      </c>
      <c r="F40" s="3070">
        <v>0</v>
      </c>
      <c r="G40" s="3071">
        <v>0.49116599999999999</v>
      </c>
      <c r="H40" s="3070">
        <v>0</v>
      </c>
    </row>
    <row r="41" spans="1:8">
      <c r="A41" s="3068" t="s">
        <v>2291</v>
      </c>
      <c r="B41" s="3068" t="s">
        <v>36</v>
      </c>
      <c r="C41" s="3069">
        <v>27605</v>
      </c>
      <c r="D41" s="3068" t="s">
        <v>2697</v>
      </c>
      <c r="E41" s="3070">
        <v>561888</v>
      </c>
      <c r="F41" s="3070">
        <v>483057.81</v>
      </c>
      <c r="G41" s="3071">
        <v>1</v>
      </c>
      <c r="H41" s="3070">
        <v>561888.46</v>
      </c>
    </row>
    <row r="42" spans="1:8">
      <c r="A42" s="3068" t="s">
        <v>2291</v>
      </c>
      <c r="B42" s="3068" t="s">
        <v>36</v>
      </c>
      <c r="C42" s="3069">
        <v>29800</v>
      </c>
      <c r="D42" s="3068" t="s">
        <v>1116</v>
      </c>
      <c r="E42" s="3070">
        <v>41786</v>
      </c>
      <c r="F42" s="3070">
        <v>11600.6</v>
      </c>
      <c r="G42" s="3071">
        <v>1</v>
      </c>
      <c r="H42" s="3070">
        <v>41785.660000000003</v>
      </c>
    </row>
    <row r="43" spans="1:8">
      <c r="A43" s="3068" t="s">
        <v>2298</v>
      </c>
      <c r="B43" s="3068" t="s">
        <v>40</v>
      </c>
      <c r="C43" s="3069">
        <v>27401</v>
      </c>
      <c r="D43" s="3068" t="s">
        <v>1156</v>
      </c>
      <c r="E43" s="3070">
        <v>55687</v>
      </c>
      <c r="F43" s="3070">
        <v>40813.264726640002</v>
      </c>
      <c r="G43" s="3071">
        <v>0.49116599999999999</v>
      </c>
      <c r="H43" s="3070">
        <v>113376.76</v>
      </c>
    </row>
    <row r="44" spans="1:8">
      <c r="A44" s="3068" t="s">
        <v>2298</v>
      </c>
      <c r="B44" s="3068" t="s">
        <v>40</v>
      </c>
      <c r="C44" s="3069">
        <v>27605</v>
      </c>
      <c r="D44" s="3068" t="s">
        <v>2697</v>
      </c>
      <c r="E44" s="3070">
        <f>2576685-4</f>
        <v>2576681</v>
      </c>
      <c r="F44" s="3070">
        <v>1537322.1202942799</v>
      </c>
      <c r="G44" s="3071">
        <v>0.49116599999999999</v>
      </c>
      <c r="H44" s="3070">
        <v>5246057.51</v>
      </c>
    </row>
    <row r="45" spans="1:8">
      <c r="A45" s="3068" t="s">
        <v>2298</v>
      </c>
      <c r="B45" s="3068" t="s">
        <v>40</v>
      </c>
      <c r="C45" s="3069">
        <v>29800</v>
      </c>
      <c r="D45" s="3068" t="s">
        <v>1116</v>
      </c>
      <c r="E45" s="3070">
        <v>0</v>
      </c>
      <c r="F45" s="3070">
        <v>0</v>
      </c>
      <c r="G45" s="3071">
        <v>0.49116599999999999</v>
      </c>
      <c r="H45" s="3070">
        <v>0</v>
      </c>
    </row>
    <row r="46" spans="1:8">
      <c r="A46" s="3068" t="s">
        <v>2290</v>
      </c>
      <c r="B46" s="3068" t="s">
        <v>39</v>
      </c>
      <c r="C46" s="3069">
        <v>27605</v>
      </c>
      <c r="D46" s="3068" t="s">
        <v>2697</v>
      </c>
      <c r="E46" s="3070">
        <v>231295</v>
      </c>
      <c r="F46" s="3070">
        <v>232757.74</v>
      </c>
      <c r="G46" s="3071">
        <v>1</v>
      </c>
      <c r="H46" s="3070">
        <v>231295.49</v>
      </c>
    </row>
    <row r="47" spans="1:8">
      <c r="A47" s="3068" t="s">
        <v>2290</v>
      </c>
      <c r="B47" s="3068" t="s">
        <v>39</v>
      </c>
      <c r="C47" s="3069">
        <v>29800</v>
      </c>
      <c r="D47" s="3068" t="s">
        <v>1116</v>
      </c>
      <c r="E47" s="3070">
        <v>41805</v>
      </c>
      <c r="F47" s="3070">
        <v>11605.98</v>
      </c>
      <c r="G47" s="3071">
        <v>1</v>
      </c>
      <c r="H47" s="3070">
        <v>41805.050000000003</v>
      </c>
    </row>
    <row r="48" spans="1:8">
      <c r="A48" s="3068" t="s">
        <v>2297</v>
      </c>
      <c r="B48" s="3068" t="s">
        <v>42</v>
      </c>
      <c r="C48" s="3069">
        <v>27401</v>
      </c>
      <c r="D48" s="3068" t="s">
        <v>1156</v>
      </c>
      <c r="E48" s="3070">
        <v>90063</v>
      </c>
      <c r="F48" s="3070">
        <v>39056.568185199998</v>
      </c>
      <c r="G48" s="3071">
        <v>0.49116599999999999</v>
      </c>
      <c r="H48" s="3070">
        <v>183365.26</v>
      </c>
    </row>
    <row r="49" spans="1:8">
      <c r="A49" s="3068" t="s">
        <v>2297</v>
      </c>
      <c r="B49" s="3068" t="s">
        <v>42</v>
      </c>
      <c r="C49" s="3069">
        <v>27605</v>
      </c>
      <c r="D49" s="3068" t="s">
        <v>2697</v>
      </c>
      <c r="E49" s="3070">
        <v>343165</v>
      </c>
      <c r="F49" s="3070">
        <v>195133.70502612001</v>
      </c>
      <c r="G49" s="3071">
        <v>0.49116599999999999</v>
      </c>
      <c r="H49" s="3070">
        <v>698673.2</v>
      </c>
    </row>
    <row r="50" spans="1:8">
      <c r="A50" s="3068" t="s">
        <v>2302</v>
      </c>
      <c r="B50" s="3068" t="s">
        <v>1512</v>
      </c>
      <c r="C50" s="3069">
        <v>20401</v>
      </c>
      <c r="D50" s="3068" t="s">
        <v>1156</v>
      </c>
      <c r="E50" s="3070">
        <v>15703</v>
      </c>
      <c r="F50" s="3070">
        <v>15885.057500000001</v>
      </c>
      <c r="G50" s="3071">
        <v>0.64200000000000002</v>
      </c>
      <c r="H50" s="3070">
        <v>24458.9</v>
      </c>
    </row>
    <row r="51" spans="1:8">
      <c r="A51" s="3068" t="s">
        <v>2302</v>
      </c>
      <c r="B51" s="3068" t="s">
        <v>1512</v>
      </c>
      <c r="C51" s="3069">
        <v>21100</v>
      </c>
      <c r="D51" s="3068" t="s">
        <v>2688</v>
      </c>
      <c r="E51" s="3070">
        <v>1190735</v>
      </c>
      <c r="F51" s="3070">
        <v>518123.04700000002</v>
      </c>
      <c r="G51" s="3071">
        <v>0.64200000000000002</v>
      </c>
      <c r="H51" s="3070">
        <v>1854728.09</v>
      </c>
    </row>
    <row r="52" spans="1:8">
      <c r="A52" s="3068" t="s">
        <v>2302</v>
      </c>
      <c r="B52" s="3068" t="s">
        <v>1516</v>
      </c>
      <c r="C52" s="3069">
        <v>27602</v>
      </c>
      <c r="D52" s="3068" t="s">
        <v>2698</v>
      </c>
      <c r="E52" s="3070">
        <v>3039</v>
      </c>
      <c r="F52" s="3070">
        <v>382.88899999999995</v>
      </c>
      <c r="G52" s="3071">
        <v>0.64200000000000002</v>
      </c>
      <c r="H52" s="3070">
        <v>4734.26</v>
      </c>
    </row>
    <row r="53" spans="1:8">
      <c r="A53" s="3068" t="s">
        <v>2302</v>
      </c>
      <c r="B53" s="3068" t="s">
        <v>1512</v>
      </c>
      <c r="C53" s="3069">
        <v>27605</v>
      </c>
      <c r="D53" s="3068" t="s">
        <v>2697</v>
      </c>
      <c r="E53" s="3070">
        <v>0</v>
      </c>
      <c r="F53" s="3070">
        <v>0</v>
      </c>
      <c r="G53" s="3071">
        <v>0.64200000000000002</v>
      </c>
      <c r="H53" s="3070">
        <v>0</v>
      </c>
    </row>
    <row r="54" spans="1:8">
      <c r="A54" s="3068" t="s">
        <v>2294</v>
      </c>
      <c r="B54" s="3068" t="s">
        <v>42</v>
      </c>
      <c r="C54" s="3069">
        <v>27400</v>
      </c>
      <c r="D54" s="3068" t="s">
        <v>2694</v>
      </c>
      <c r="E54" s="3070">
        <v>699</v>
      </c>
      <c r="F54" s="3070">
        <v>0.13785991</v>
      </c>
      <c r="G54" s="3071">
        <v>0.49116599999999999</v>
      </c>
      <c r="H54" s="3070">
        <v>1422.34</v>
      </c>
    </row>
    <row r="55" spans="1:8">
      <c r="A55" s="3068" t="s">
        <v>2294</v>
      </c>
      <c r="B55" s="3068" t="s">
        <v>42</v>
      </c>
      <c r="C55" s="3069">
        <v>27500</v>
      </c>
      <c r="D55" s="3068" t="s">
        <v>2689</v>
      </c>
      <c r="E55" s="3070">
        <v>13316</v>
      </c>
      <c r="F55" s="3070">
        <v>11601.9572603</v>
      </c>
      <c r="G55" s="3071">
        <v>0.49116599999999999</v>
      </c>
      <c r="H55" s="3070">
        <v>27111.93</v>
      </c>
    </row>
    <row r="56" spans="1:8">
      <c r="A56" s="3068" t="s">
        <v>2294</v>
      </c>
      <c r="B56" s="3068" t="s">
        <v>42</v>
      </c>
      <c r="C56" s="3069">
        <v>27800</v>
      </c>
      <c r="D56" s="3068" t="s">
        <v>2690</v>
      </c>
      <c r="E56" s="3070">
        <v>90535</v>
      </c>
      <c r="F56" s="3070">
        <v>70476.429440060005</v>
      </c>
      <c r="G56" s="3071">
        <v>0.49116599999999999</v>
      </c>
      <c r="H56" s="3070">
        <v>184325.8</v>
      </c>
    </row>
    <row r="57" spans="1:8">
      <c r="A57" s="3068" t="s">
        <v>2294</v>
      </c>
      <c r="B57" s="3068" t="s">
        <v>42</v>
      </c>
      <c r="C57" s="3069">
        <v>27801</v>
      </c>
      <c r="D57" s="3068" t="s">
        <v>2691</v>
      </c>
      <c r="E57" s="3070">
        <v>34489</v>
      </c>
      <c r="F57" s="3070">
        <v>21512.56833029</v>
      </c>
      <c r="G57" s="3071">
        <v>0.49116599999999999</v>
      </c>
      <c r="H57" s="3070">
        <v>70217.94</v>
      </c>
    </row>
    <row r="58" spans="1:8">
      <c r="A58" s="3068" t="s">
        <v>2700</v>
      </c>
      <c r="B58" s="3068" t="s">
        <v>1512</v>
      </c>
      <c r="C58" s="3069">
        <v>20500</v>
      </c>
      <c r="D58" s="3068" t="s">
        <v>2689</v>
      </c>
      <c r="E58" s="3072">
        <v>-1919</v>
      </c>
      <c r="F58" s="3072">
        <v>-439.39</v>
      </c>
      <c r="G58" s="3071">
        <v>0.64200000000000002</v>
      </c>
      <c r="H58" s="3072">
        <v>-2988.64</v>
      </c>
    </row>
    <row r="59" spans="1:8">
      <c r="A59" s="3068"/>
      <c r="B59" s="3068"/>
      <c r="C59" s="3068"/>
      <c r="D59" s="3068"/>
      <c r="E59" s="3070"/>
      <c r="F59" s="3070"/>
      <c r="G59" s="3071"/>
      <c r="H59" s="3070"/>
    </row>
    <row r="60" spans="1:8">
      <c r="A60" s="3068"/>
      <c r="B60" s="3068"/>
      <c r="C60" s="3068"/>
      <c r="E60" s="3073"/>
      <c r="F60" s="3073"/>
      <c r="G60" s="3073"/>
      <c r="H60" s="3073"/>
    </row>
    <row r="61" spans="1:8">
      <c r="A61" s="3068"/>
      <c r="B61" s="3068"/>
      <c r="C61" s="3068"/>
      <c r="E61" s="3073"/>
      <c r="F61" s="3073"/>
      <c r="G61" s="3073"/>
      <c r="H61" s="3073"/>
    </row>
    <row r="62" spans="1:8">
      <c r="A62" s="3068"/>
      <c r="B62" s="3068"/>
      <c r="C62" s="3068"/>
      <c r="E62" s="3073"/>
      <c r="F62" s="3073"/>
      <c r="G62" s="3073"/>
      <c r="H62" s="3073"/>
    </row>
    <row r="63" spans="1:8">
      <c r="A63" s="3068"/>
      <c r="B63" s="3068"/>
      <c r="C63" s="3068"/>
      <c r="E63" s="3072"/>
      <c r="F63" s="3072"/>
      <c r="G63" s="3073"/>
      <c r="H63" s="3072"/>
    </row>
    <row r="64" spans="1:8">
      <c r="A64" s="3068"/>
      <c r="B64" s="3068"/>
      <c r="C64" s="3068"/>
      <c r="E64" s="3073"/>
      <c r="F64" s="3073"/>
      <c r="G64" s="3073"/>
      <c r="H64" s="3073"/>
    </row>
    <row r="65" spans="1:8">
      <c r="A65" s="3068"/>
      <c r="B65" s="3068"/>
      <c r="C65" s="3068"/>
      <c r="E65" s="3073"/>
      <c r="F65" s="3073"/>
      <c r="G65" s="3073"/>
      <c r="H65" s="3073"/>
    </row>
    <row r="66" spans="1:8">
      <c r="A66" s="3068"/>
      <c r="B66" s="3068"/>
      <c r="C66" s="3068"/>
      <c r="D66" s="3068"/>
      <c r="E66" s="3070"/>
      <c r="F66" s="3070"/>
      <c r="G66" s="3071"/>
      <c r="H66" s="3070"/>
    </row>
    <row r="67" spans="1:8">
      <c r="A67" s="3068"/>
      <c r="B67" s="3068"/>
      <c r="C67" s="3068"/>
      <c r="D67" s="3068"/>
      <c r="E67" s="3070"/>
      <c r="F67" s="3070"/>
      <c r="G67" s="3071"/>
      <c r="H67" s="3070"/>
    </row>
    <row r="68" spans="1:8">
      <c r="A68" s="3068"/>
      <c r="B68" s="3068"/>
      <c r="C68" s="3068"/>
      <c r="D68" s="3068"/>
      <c r="E68" s="3070"/>
      <c r="F68" s="3070"/>
      <c r="G68" s="3071"/>
      <c r="H68" s="3070"/>
    </row>
    <row r="69" spans="1:8">
      <c r="A69" s="3068"/>
      <c r="B69" s="3068"/>
      <c r="C69" s="3068"/>
      <c r="D69" s="3068"/>
      <c r="E69" s="3070"/>
      <c r="F69" s="3070"/>
      <c r="G69" s="3071"/>
      <c r="H69" s="3070"/>
    </row>
    <row r="70" spans="1:8">
      <c r="E70" s="3070"/>
      <c r="F70" s="3070"/>
      <c r="G70" s="3074"/>
      <c r="H70" s="3070"/>
    </row>
    <row r="71" spans="1:8">
      <c r="E71" s="3070"/>
      <c r="F71" s="3070"/>
      <c r="G71" s="3074"/>
      <c r="H71" s="3070"/>
    </row>
    <row r="72" spans="1:8">
      <c r="A72" s="3075" t="s">
        <v>3052</v>
      </c>
      <c r="B72" s="3075"/>
      <c r="C72" s="3075"/>
      <c r="E72" s="3070"/>
      <c r="F72" s="3070"/>
      <c r="G72" s="3074"/>
      <c r="H72" s="3070"/>
    </row>
    <row r="73" spans="1:8">
      <c r="E73" s="3070"/>
      <c r="F73" s="3070"/>
      <c r="G73" s="3074"/>
      <c r="H73" s="3070"/>
    </row>
    <row r="74" spans="1:8">
      <c r="E74" s="3070">
        <f>SUM(E9:E58)</f>
        <v>12331190</v>
      </c>
      <c r="F74" s="3070">
        <f>SUM(F9:F58)</f>
        <v>7625831.56885067</v>
      </c>
      <c r="G74" s="3074"/>
      <c r="H74" s="3070">
        <f>SUM(H9:H58)</f>
        <v>21775012.859999999</v>
      </c>
    </row>
    <row r="75" spans="1:8">
      <c r="E75" s="3070"/>
      <c r="F75" s="3070"/>
      <c r="G75" s="3074"/>
      <c r="H75" s="3070"/>
    </row>
    <row r="76" spans="1:8">
      <c r="E76" s="3070"/>
      <c r="F76" s="3070"/>
      <c r="G76" s="3074"/>
      <c r="H76" s="3070"/>
    </row>
    <row r="77" spans="1:8">
      <c r="E77" s="3070"/>
      <c r="F77" s="3070"/>
      <c r="G77" s="3074"/>
      <c r="H77" s="3070"/>
    </row>
    <row r="78" spans="1:8">
      <c r="E78" s="3070"/>
      <c r="F78" s="3070"/>
      <c r="G78" s="3074"/>
      <c r="H78" s="3070"/>
    </row>
    <row r="79" spans="1:8">
      <c r="E79" s="3070"/>
      <c r="F79" s="3070"/>
      <c r="G79" s="3074"/>
      <c r="H79" s="3070"/>
    </row>
    <row r="80" spans="1:8">
      <c r="E80" s="3070"/>
      <c r="F80" s="3070"/>
      <c r="G80" s="3074"/>
      <c r="H80" s="3070"/>
    </row>
    <row r="81" spans="5:8">
      <c r="E81" s="3070"/>
      <c r="F81" s="3070"/>
      <c r="G81" s="3074"/>
      <c r="H81" s="3070"/>
    </row>
    <row r="82" spans="5:8">
      <c r="E82" s="3070"/>
      <c r="F82" s="3070"/>
      <c r="G82" s="3074"/>
      <c r="H82" s="3070"/>
    </row>
    <row r="83" spans="5:8">
      <c r="E83" s="3070"/>
      <c r="F83" s="3070"/>
      <c r="G83" s="3074"/>
      <c r="H83" s="3070"/>
    </row>
    <row r="84" spans="5:8">
      <c r="E84" s="3070"/>
      <c r="F84" s="3070"/>
      <c r="G84" s="3074"/>
      <c r="H84" s="3070"/>
    </row>
    <row r="85" spans="5:8">
      <c r="E85" s="3070"/>
      <c r="F85" s="3070"/>
      <c r="G85" s="3074"/>
      <c r="H85" s="3070"/>
    </row>
    <row r="86" spans="5:8">
      <c r="E86" s="3070"/>
      <c r="F86" s="3070"/>
      <c r="G86" s="3074"/>
      <c r="H86" s="3070"/>
    </row>
    <row r="87" spans="5:8">
      <c r="E87" s="3070"/>
      <c r="F87" s="3070"/>
      <c r="G87" s="3074"/>
      <c r="H87" s="3070"/>
    </row>
    <row r="88" spans="5:8">
      <c r="E88" s="3070"/>
      <c r="F88" s="3070"/>
      <c r="G88" s="3074"/>
      <c r="H88" s="3070"/>
    </row>
    <row r="89" spans="5:8">
      <c r="E89" s="3070"/>
      <c r="F89" s="3070"/>
      <c r="G89" s="3074"/>
      <c r="H89" s="3070"/>
    </row>
    <row r="90" spans="5:8">
      <c r="E90" s="3070"/>
      <c r="F90" s="3070"/>
      <c r="G90" s="3074"/>
      <c r="H90" s="3070"/>
    </row>
    <row r="91" spans="5:8">
      <c r="E91" s="3070"/>
      <c r="F91" s="3070"/>
      <c r="G91" s="3074"/>
      <c r="H91" s="3070"/>
    </row>
    <row r="92" spans="5:8">
      <c r="E92" s="3070"/>
      <c r="F92" s="3070"/>
      <c r="G92" s="3074"/>
      <c r="H92" s="3070"/>
    </row>
    <row r="93" spans="5:8">
      <c r="E93" s="3070"/>
      <c r="F93" s="3070"/>
      <c r="G93" s="3074"/>
      <c r="H93" s="3070"/>
    </row>
    <row r="94" spans="5:8">
      <c r="E94" s="3070"/>
      <c r="F94" s="3070"/>
      <c r="G94" s="3074"/>
      <c r="H94" s="3070"/>
    </row>
    <row r="95" spans="5:8">
      <c r="E95" s="3070"/>
      <c r="F95" s="3070"/>
      <c r="G95" s="3074"/>
      <c r="H95" s="3070"/>
    </row>
    <row r="96" spans="5:8">
      <c r="E96" s="3070"/>
      <c r="F96" s="3070"/>
      <c r="G96" s="3074"/>
      <c r="H96" s="3070"/>
    </row>
    <row r="97" spans="5:8">
      <c r="E97" s="3070"/>
      <c r="F97" s="3070"/>
      <c r="G97" s="3074"/>
      <c r="H97" s="3070"/>
    </row>
    <row r="98" spans="5:8">
      <c r="E98" s="3070"/>
      <c r="F98" s="3070"/>
      <c r="G98" s="3074"/>
      <c r="H98" s="3070"/>
    </row>
    <row r="99" spans="5:8">
      <c r="E99" s="3070"/>
      <c r="F99" s="3070"/>
      <c r="G99" s="3074"/>
      <c r="H99" s="3070"/>
    </row>
    <row r="100" spans="5:8">
      <c r="E100" s="3070"/>
      <c r="F100" s="3070"/>
      <c r="G100" s="3074"/>
      <c r="H100" s="3070"/>
    </row>
    <row r="101" spans="5:8">
      <c r="E101" s="3070"/>
      <c r="F101" s="3070"/>
      <c r="G101" s="3074"/>
      <c r="H101" s="3070"/>
    </row>
    <row r="102" spans="5:8">
      <c r="E102" s="3070"/>
      <c r="F102" s="3070"/>
      <c r="G102" s="3074"/>
      <c r="H102" s="3070"/>
    </row>
    <row r="103" spans="5:8">
      <c r="E103" s="3070"/>
      <c r="F103" s="3070"/>
      <c r="G103" s="3074"/>
      <c r="H103" s="3070"/>
    </row>
    <row r="104" spans="5:8">
      <c r="E104" s="3070"/>
      <c r="F104" s="3070"/>
      <c r="G104" s="3074"/>
      <c r="H104" s="3070"/>
    </row>
    <row r="105" spans="5:8">
      <c r="E105" s="3070"/>
      <c r="F105" s="3070"/>
      <c r="G105" s="3074"/>
      <c r="H105" s="3070"/>
    </row>
    <row r="106" spans="5:8">
      <c r="E106" s="3070"/>
      <c r="F106" s="3070"/>
      <c r="G106" s="3074"/>
      <c r="H106" s="3070"/>
    </row>
    <row r="107" spans="5:8">
      <c r="E107" s="3070"/>
      <c r="F107" s="3070"/>
      <c r="G107" s="3074"/>
      <c r="H107" s="3070"/>
    </row>
    <row r="108" spans="5:8">
      <c r="E108" s="3070"/>
      <c r="F108" s="3070"/>
      <c r="G108" s="3074"/>
      <c r="H108" s="3070"/>
    </row>
    <row r="109" spans="5:8">
      <c r="E109" s="3070"/>
      <c r="F109" s="3070"/>
      <c r="G109" s="3074"/>
      <c r="H109" s="3070"/>
    </row>
    <row r="110" spans="5:8">
      <c r="E110" s="3070"/>
      <c r="F110" s="3070"/>
      <c r="G110" s="3074"/>
      <c r="H110" s="3070"/>
    </row>
    <row r="111" spans="5:8">
      <c r="E111" s="3070"/>
      <c r="F111" s="3070"/>
      <c r="G111" s="3074"/>
      <c r="H111" s="3070"/>
    </row>
    <row r="112" spans="5:8">
      <c r="E112" s="3070"/>
      <c r="F112" s="3070"/>
      <c r="G112" s="3074"/>
      <c r="H112" s="3070"/>
    </row>
    <row r="113" spans="5:8">
      <c r="E113" s="3070"/>
      <c r="F113" s="3070"/>
      <c r="G113" s="3074"/>
      <c r="H113" s="3070"/>
    </row>
    <row r="114" spans="5:8">
      <c r="E114" s="3070"/>
      <c r="F114" s="3070"/>
      <c r="G114" s="3074"/>
      <c r="H114" s="3070"/>
    </row>
    <row r="115" spans="5:8">
      <c r="E115" s="3070"/>
      <c r="F115" s="3070"/>
      <c r="G115" s="3074"/>
      <c r="H115" s="3070"/>
    </row>
    <row r="116" spans="5:8">
      <c r="E116" s="3070"/>
      <c r="F116" s="3070"/>
      <c r="G116" s="3074"/>
      <c r="H116" s="3070"/>
    </row>
    <row r="117" spans="5:8">
      <c r="E117" s="3070"/>
      <c r="F117" s="3070"/>
      <c r="G117" s="3074"/>
      <c r="H117" s="3070"/>
    </row>
    <row r="118" spans="5:8">
      <c r="E118" s="3070"/>
      <c r="F118" s="3070"/>
      <c r="G118" s="3074"/>
      <c r="H118" s="3070"/>
    </row>
    <row r="119" spans="5:8">
      <c r="E119" s="3070"/>
      <c r="F119" s="3070"/>
      <c r="G119" s="3074"/>
      <c r="H119" s="3070"/>
    </row>
    <row r="120" spans="5:8">
      <c r="E120" s="3070"/>
      <c r="F120" s="3070"/>
      <c r="G120" s="3074"/>
      <c r="H120" s="3070"/>
    </row>
    <row r="121" spans="5:8">
      <c r="E121" s="3070"/>
      <c r="F121" s="3070"/>
      <c r="G121" s="3074"/>
      <c r="H121" s="3070"/>
    </row>
    <row r="122" spans="5:8">
      <c r="E122" s="3070"/>
      <c r="F122" s="3070"/>
      <c r="G122" s="3074"/>
      <c r="H122" s="3070"/>
    </row>
    <row r="123" spans="5:8">
      <c r="E123" s="3070"/>
      <c r="F123" s="3070"/>
      <c r="G123" s="3074"/>
      <c r="H123" s="3070"/>
    </row>
    <row r="124" spans="5:8">
      <c r="E124" s="3070"/>
      <c r="F124" s="3070"/>
      <c r="G124" s="3074"/>
      <c r="H124" s="3070"/>
    </row>
    <row r="125" spans="5:8">
      <c r="E125" s="3070"/>
      <c r="F125" s="3070"/>
      <c r="G125" s="3074"/>
      <c r="H125" s="3070"/>
    </row>
    <row r="126" spans="5:8">
      <c r="E126" s="3070"/>
      <c r="F126" s="3070"/>
      <c r="G126" s="3074"/>
      <c r="H126" s="3070"/>
    </row>
    <row r="127" spans="5:8">
      <c r="E127" s="3070"/>
      <c r="F127" s="3070"/>
      <c r="G127" s="3074"/>
      <c r="H127" s="3070"/>
    </row>
    <row r="128" spans="5:8">
      <c r="E128" s="3070"/>
      <c r="F128" s="3070"/>
      <c r="G128" s="3074"/>
      <c r="H128" s="3070"/>
    </row>
    <row r="129" spans="5:8">
      <c r="E129" s="3070"/>
      <c r="F129" s="3070"/>
      <c r="G129" s="3074"/>
      <c r="H129" s="3070"/>
    </row>
    <row r="130" spans="5:8">
      <c r="E130" s="3070"/>
      <c r="F130" s="3070"/>
      <c r="G130" s="3074"/>
      <c r="H130" s="3070"/>
    </row>
    <row r="131" spans="5:8">
      <c r="E131" s="3070"/>
      <c r="F131" s="3070"/>
      <c r="G131" s="3074"/>
      <c r="H131" s="3070"/>
    </row>
    <row r="132" spans="5:8">
      <c r="E132" s="3070"/>
      <c r="F132" s="3070"/>
      <c r="G132" s="3074"/>
      <c r="H132" s="3070"/>
    </row>
    <row r="133" spans="5:8">
      <c r="E133" s="3070"/>
      <c r="F133" s="3070"/>
      <c r="G133" s="3074"/>
      <c r="H133" s="3070"/>
    </row>
    <row r="134" spans="5:8">
      <c r="E134" s="3070"/>
      <c r="F134" s="3070"/>
      <c r="G134" s="3074"/>
      <c r="H134" s="3070"/>
    </row>
    <row r="135" spans="5:8">
      <c r="E135" s="3070"/>
      <c r="F135" s="3070"/>
      <c r="G135" s="3074"/>
      <c r="H135" s="3070"/>
    </row>
    <row r="136" spans="5:8">
      <c r="E136" s="3070"/>
      <c r="F136" s="3070"/>
      <c r="G136" s="3074"/>
      <c r="H136" s="3070"/>
    </row>
    <row r="137" spans="5:8">
      <c r="E137" s="3070"/>
      <c r="F137" s="3070"/>
      <c r="G137" s="3074"/>
      <c r="H137" s="3070"/>
    </row>
    <row r="138" spans="5:8">
      <c r="F138" s="3361"/>
      <c r="G138" s="3074"/>
      <c r="H138" s="3361"/>
    </row>
    <row r="139" spans="5:8">
      <c r="F139" s="3361"/>
      <c r="G139" s="3074"/>
      <c r="H139" s="3361"/>
    </row>
    <row r="140" spans="5:8">
      <c r="F140" s="3361"/>
      <c r="G140" s="3074"/>
      <c r="H140" s="3361"/>
    </row>
    <row r="141" spans="5:8">
      <c r="F141" s="3361"/>
      <c r="G141" s="3074"/>
      <c r="H141" s="3361"/>
    </row>
    <row r="142" spans="5:8">
      <c r="F142" s="3361"/>
      <c r="G142" s="3074"/>
      <c r="H142" s="3361"/>
    </row>
    <row r="143" spans="5:8">
      <c r="F143" s="3361"/>
      <c r="G143" s="3074"/>
      <c r="H143" s="3361"/>
    </row>
    <row r="144" spans="5:8">
      <c r="F144" s="3361"/>
      <c r="G144" s="3074"/>
      <c r="H144" s="3361"/>
    </row>
    <row r="145" spans="6:8">
      <c r="F145" s="3361"/>
      <c r="G145" s="3074"/>
      <c r="H145" s="3361"/>
    </row>
    <row r="146" spans="6:8">
      <c r="F146" s="3361"/>
      <c r="G146" s="3074"/>
      <c r="H146" s="3361"/>
    </row>
    <row r="147" spans="6:8">
      <c r="F147" s="3361"/>
      <c r="G147" s="3074"/>
      <c r="H147" s="3361"/>
    </row>
    <row r="148" spans="6:8">
      <c r="F148" s="3361"/>
      <c r="G148" s="3074"/>
      <c r="H148" s="3361"/>
    </row>
    <row r="149" spans="6:8">
      <c r="F149" s="3361"/>
      <c r="G149" s="3074"/>
      <c r="H149" s="3361"/>
    </row>
    <row r="150" spans="6:8">
      <c r="F150" s="3361"/>
      <c r="G150" s="3074"/>
      <c r="H150" s="3361"/>
    </row>
    <row r="151" spans="6:8">
      <c r="F151" s="3361"/>
      <c r="G151" s="3074"/>
      <c r="H151" s="3361"/>
    </row>
    <row r="152" spans="6:8">
      <c r="F152" s="3361"/>
      <c r="G152" s="3074"/>
      <c r="H152" s="3361"/>
    </row>
    <row r="153" spans="6:8">
      <c r="F153" s="3361"/>
      <c r="G153" s="3074"/>
      <c r="H153" s="3361"/>
    </row>
    <row r="154" spans="6:8">
      <c r="F154" s="3361"/>
      <c r="G154" s="3074"/>
      <c r="H154" s="3361"/>
    </row>
    <row r="155" spans="6:8">
      <c r="F155" s="3361"/>
      <c r="G155" s="3074"/>
      <c r="H155" s="3361"/>
    </row>
    <row r="156" spans="6:8">
      <c r="F156" s="3361"/>
      <c r="G156" s="3074"/>
      <c r="H156" s="3361"/>
    </row>
    <row r="157" spans="6:8">
      <c r="F157" s="3361"/>
      <c r="G157" s="3074"/>
      <c r="H157" s="3361"/>
    </row>
    <row r="158" spans="6:8">
      <c r="F158" s="3361"/>
      <c r="G158" s="3074"/>
      <c r="H158" s="3361"/>
    </row>
    <row r="159" spans="6:8">
      <c r="F159" s="3361"/>
      <c r="G159" s="3074"/>
      <c r="H159" s="3361"/>
    </row>
    <row r="160" spans="6:8">
      <c r="F160" s="3361"/>
      <c r="G160" s="3074"/>
      <c r="H160" s="3361"/>
    </row>
    <row r="161" spans="6:8">
      <c r="F161" s="3361"/>
      <c r="G161" s="3074"/>
      <c r="H161" s="3361"/>
    </row>
    <row r="162" spans="6:8">
      <c r="F162" s="3361"/>
      <c r="G162" s="3074"/>
      <c r="H162" s="3361"/>
    </row>
    <row r="163" spans="6:8">
      <c r="F163" s="3361"/>
      <c r="G163" s="3074"/>
      <c r="H163" s="3361"/>
    </row>
    <row r="164" spans="6:8">
      <c r="F164" s="3361"/>
      <c r="G164" s="3074"/>
      <c r="H164" s="3361"/>
    </row>
    <row r="165" spans="6:8">
      <c r="F165" s="3361"/>
      <c r="G165" s="3074"/>
      <c r="H165" s="3361"/>
    </row>
    <row r="166" spans="6:8">
      <c r="F166" s="3361"/>
      <c r="G166" s="3074"/>
      <c r="H166" s="3361"/>
    </row>
    <row r="167" spans="6:8">
      <c r="F167" s="3361"/>
      <c r="G167" s="3074"/>
      <c r="H167" s="3361"/>
    </row>
    <row r="168" spans="6:8">
      <c r="F168" s="3361"/>
      <c r="G168" s="3074"/>
      <c r="H168" s="3361"/>
    </row>
    <row r="169" spans="6:8">
      <c r="F169" s="3361"/>
      <c r="G169" s="3074"/>
      <c r="H169" s="3361"/>
    </row>
    <row r="170" spans="6:8">
      <c r="F170" s="3361"/>
      <c r="G170" s="3074"/>
      <c r="H170" s="3361"/>
    </row>
    <row r="171" spans="6:8">
      <c r="F171" s="3361"/>
      <c r="G171" s="3074"/>
      <c r="H171" s="3361"/>
    </row>
    <row r="172" spans="6:8">
      <c r="F172" s="3361"/>
      <c r="G172" s="3074"/>
      <c r="H172" s="3361"/>
    </row>
    <row r="173" spans="6:8">
      <c r="F173" s="3361"/>
      <c r="G173" s="3074"/>
      <c r="H173" s="3361"/>
    </row>
    <row r="174" spans="6:8">
      <c r="F174" s="3361"/>
      <c r="G174" s="3074"/>
      <c r="H174" s="3361"/>
    </row>
    <row r="175" spans="6:8">
      <c r="F175" s="3361"/>
      <c r="G175" s="3074"/>
      <c r="H175" s="3361"/>
    </row>
    <row r="176" spans="6:8">
      <c r="F176" s="3361"/>
      <c r="G176" s="3074"/>
      <c r="H176" s="3361"/>
    </row>
    <row r="177" spans="6:8">
      <c r="F177" s="3361"/>
      <c r="G177" s="3074"/>
      <c r="H177" s="3361"/>
    </row>
    <row r="178" spans="6:8">
      <c r="F178" s="3361"/>
      <c r="G178" s="3074"/>
      <c r="H178" s="3361"/>
    </row>
    <row r="179" spans="6:8">
      <c r="F179" s="3361"/>
      <c r="G179" s="3074"/>
      <c r="H179" s="3361"/>
    </row>
    <row r="180" spans="6:8">
      <c r="F180" s="3361"/>
      <c r="G180" s="3074"/>
      <c r="H180" s="3361"/>
    </row>
    <row r="181" spans="6:8">
      <c r="F181" s="3361"/>
      <c r="G181" s="3074"/>
      <c r="H181" s="3361"/>
    </row>
    <row r="182" spans="6:8">
      <c r="F182" s="3361"/>
      <c r="G182" s="3074"/>
      <c r="H182" s="3361"/>
    </row>
    <row r="183" spans="6:8">
      <c r="F183" s="3361"/>
      <c r="G183" s="3074"/>
      <c r="H183" s="3361"/>
    </row>
    <row r="184" spans="6:8">
      <c r="F184" s="3361"/>
      <c r="G184" s="3074"/>
      <c r="H184" s="3361"/>
    </row>
    <row r="185" spans="6:8">
      <c r="F185" s="3361"/>
      <c r="G185" s="3074"/>
      <c r="H185" s="3361"/>
    </row>
    <row r="186" spans="6:8">
      <c r="F186" s="3361"/>
      <c r="G186" s="3074"/>
      <c r="H186" s="3361"/>
    </row>
    <row r="187" spans="6:8">
      <c r="F187" s="3361"/>
      <c r="G187" s="3074"/>
      <c r="H187" s="3361"/>
    </row>
    <row r="188" spans="6:8">
      <c r="F188" s="3361"/>
      <c r="G188" s="3074"/>
      <c r="H188" s="3361"/>
    </row>
    <row r="189" spans="6:8">
      <c r="F189" s="3361"/>
      <c r="G189" s="3074"/>
      <c r="H189" s="3361"/>
    </row>
    <row r="190" spans="6:8">
      <c r="F190" s="3361"/>
      <c r="G190" s="3074"/>
      <c r="H190" s="3361"/>
    </row>
    <row r="191" spans="6:8">
      <c r="F191" s="3361"/>
      <c r="G191" s="3074"/>
      <c r="H191" s="3361"/>
    </row>
    <row r="192" spans="6:8">
      <c r="F192" s="3361"/>
      <c r="G192" s="3074"/>
      <c r="H192" s="3361"/>
    </row>
    <row r="193" spans="6:8">
      <c r="F193" s="3361"/>
      <c r="G193" s="3074"/>
      <c r="H193" s="3361"/>
    </row>
    <row r="194" spans="6:8">
      <c r="F194" s="3361"/>
      <c r="G194" s="3074"/>
      <c r="H194" s="3361"/>
    </row>
    <row r="195" spans="6:8">
      <c r="F195" s="3361"/>
      <c r="G195" s="3074"/>
      <c r="H195" s="3361"/>
    </row>
    <row r="196" spans="6:8">
      <c r="F196" s="3361"/>
      <c r="G196" s="3074"/>
      <c r="H196" s="3361"/>
    </row>
    <row r="197" spans="6:8">
      <c r="F197" s="3361"/>
      <c r="G197" s="3074"/>
      <c r="H197" s="3361"/>
    </row>
    <row r="198" spans="6:8">
      <c r="F198" s="3361"/>
      <c r="G198" s="3074"/>
      <c r="H198" s="3361"/>
    </row>
    <row r="199" spans="6:8">
      <c r="F199" s="3361"/>
      <c r="G199" s="3074"/>
      <c r="H199" s="3361"/>
    </row>
    <row r="200" spans="6:8">
      <c r="F200" s="3361"/>
      <c r="G200" s="3074"/>
      <c r="H200" s="3361"/>
    </row>
    <row r="201" spans="6:8">
      <c r="F201" s="3361"/>
      <c r="G201" s="3074"/>
      <c r="H201" s="3361"/>
    </row>
    <row r="202" spans="6:8">
      <c r="F202" s="3361"/>
      <c r="G202" s="3074"/>
      <c r="H202" s="3361"/>
    </row>
    <row r="203" spans="6:8">
      <c r="F203" s="3361"/>
      <c r="G203" s="3074"/>
      <c r="H203" s="3361"/>
    </row>
    <row r="204" spans="6:8">
      <c r="F204" s="3361"/>
      <c r="G204" s="3074"/>
      <c r="H204" s="3361"/>
    </row>
    <row r="205" spans="6:8">
      <c r="F205" s="3361"/>
      <c r="G205" s="3074"/>
      <c r="H205" s="3361"/>
    </row>
    <row r="206" spans="6:8">
      <c r="F206" s="3361"/>
      <c r="G206" s="3074"/>
      <c r="H206" s="3361"/>
    </row>
    <row r="207" spans="6:8">
      <c r="F207" s="3361"/>
      <c r="G207" s="3074"/>
      <c r="H207" s="3361"/>
    </row>
    <row r="208" spans="6:8">
      <c r="F208" s="3361"/>
      <c r="G208" s="3074"/>
      <c r="H208" s="3361"/>
    </row>
    <row r="209" spans="6:8">
      <c r="F209" s="3361"/>
      <c r="G209" s="3074"/>
      <c r="H209" s="3361"/>
    </row>
    <row r="210" spans="6:8">
      <c r="F210" s="3361"/>
      <c r="G210" s="3074"/>
      <c r="H210" s="3361"/>
    </row>
    <row r="211" spans="6:8">
      <c r="F211" s="3361"/>
      <c r="G211" s="3074"/>
      <c r="H211" s="3361"/>
    </row>
    <row r="212" spans="6:8">
      <c r="F212" s="3361"/>
      <c r="G212" s="3074"/>
      <c r="H212" s="3361"/>
    </row>
    <row r="213" spans="6:8">
      <c r="F213" s="3361"/>
      <c r="G213" s="3074"/>
      <c r="H213" s="3361"/>
    </row>
    <row r="214" spans="6:8">
      <c r="F214" s="3361"/>
      <c r="G214" s="3074"/>
      <c r="H214" s="3361"/>
    </row>
    <row r="215" spans="6:8">
      <c r="F215" s="3361"/>
      <c r="G215" s="3074"/>
      <c r="H215" s="3361"/>
    </row>
    <row r="216" spans="6:8">
      <c r="F216" s="3361"/>
      <c r="G216" s="3074"/>
      <c r="H216" s="3361"/>
    </row>
    <row r="217" spans="6:8">
      <c r="F217" s="3361"/>
      <c r="G217" s="3074"/>
      <c r="H217" s="3361"/>
    </row>
    <row r="218" spans="6:8">
      <c r="F218" s="3361"/>
      <c r="G218" s="3074"/>
      <c r="H218" s="3361"/>
    </row>
    <row r="219" spans="6:8">
      <c r="F219" s="3361"/>
      <c r="G219" s="3074"/>
      <c r="H219" s="3361"/>
    </row>
    <row r="220" spans="6:8">
      <c r="F220" s="3361"/>
      <c r="G220" s="3074"/>
      <c r="H220" s="3361"/>
    </row>
    <row r="221" spans="6:8">
      <c r="F221" s="3361"/>
      <c r="G221" s="3074"/>
      <c r="H221" s="3361"/>
    </row>
    <row r="222" spans="6:8">
      <c r="F222" s="3361"/>
      <c r="G222" s="3074"/>
      <c r="H222" s="3361"/>
    </row>
    <row r="223" spans="6:8">
      <c r="F223" s="3361"/>
      <c r="G223" s="3074"/>
      <c r="H223" s="3361"/>
    </row>
    <row r="224" spans="6:8">
      <c r="F224" s="3361"/>
      <c r="G224" s="3074"/>
      <c r="H224" s="3361"/>
    </row>
    <row r="225" spans="6:8">
      <c r="F225" s="3361"/>
      <c r="G225" s="3074"/>
      <c r="H225" s="3361"/>
    </row>
    <row r="226" spans="6:8">
      <c r="F226" s="3361"/>
      <c r="G226" s="3074"/>
      <c r="H226" s="3361"/>
    </row>
    <row r="227" spans="6:8">
      <c r="F227" s="3361"/>
      <c r="G227" s="3074"/>
      <c r="H227" s="3361"/>
    </row>
    <row r="228" spans="6:8">
      <c r="F228" s="3361"/>
      <c r="G228" s="3074"/>
      <c r="H228" s="3361"/>
    </row>
    <row r="229" spans="6:8">
      <c r="F229" s="3361"/>
      <c r="G229" s="3074"/>
      <c r="H229" s="3361"/>
    </row>
    <row r="230" spans="6:8">
      <c r="F230" s="3361"/>
      <c r="G230" s="3074"/>
      <c r="H230" s="3361"/>
    </row>
    <row r="231" spans="6:8">
      <c r="F231" s="3361"/>
      <c r="G231" s="3074"/>
      <c r="H231" s="3361"/>
    </row>
    <row r="232" spans="6:8">
      <c r="F232" s="3361"/>
      <c r="G232" s="3074"/>
      <c r="H232" s="3361"/>
    </row>
    <row r="233" spans="6:8">
      <c r="F233" s="3361"/>
      <c r="G233" s="3074"/>
      <c r="H233" s="3361"/>
    </row>
    <row r="234" spans="6:8">
      <c r="F234" s="3361"/>
      <c r="G234" s="3074"/>
      <c r="H234" s="3361"/>
    </row>
    <row r="235" spans="6:8">
      <c r="F235" s="3361"/>
      <c r="G235" s="3074"/>
      <c r="H235" s="3361"/>
    </row>
    <row r="236" spans="6:8">
      <c r="F236" s="3361"/>
      <c r="G236" s="3074"/>
      <c r="H236" s="3361"/>
    </row>
    <row r="237" spans="6:8">
      <c r="F237" s="3361"/>
      <c r="G237" s="3074"/>
      <c r="H237" s="3361"/>
    </row>
    <row r="238" spans="6:8">
      <c r="F238" s="3361"/>
      <c r="G238" s="3074"/>
      <c r="H238" s="3361"/>
    </row>
    <row r="239" spans="6:8">
      <c r="F239" s="3361"/>
      <c r="G239" s="3074"/>
      <c r="H239" s="3361"/>
    </row>
    <row r="240" spans="6:8">
      <c r="F240" s="3361"/>
      <c r="G240" s="3074"/>
      <c r="H240" s="3361"/>
    </row>
    <row r="241" spans="6:8">
      <c r="F241" s="3361"/>
      <c r="G241" s="3074"/>
      <c r="H241" s="3361"/>
    </row>
    <row r="242" spans="6:8">
      <c r="F242" s="3361"/>
      <c r="G242" s="3074"/>
      <c r="H242" s="3361"/>
    </row>
    <row r="243" spans="6:8">
      <c r="F243" s="3361"/>
      <c r="G243" s="3074"/>
      <c r="H243" s="3361"/>
    </row>
    <row r="244" spans="6:8">
      <c r="F244" s="3361"/>
      <c r="G244" s="3074"/>
      <c r="H244" s="3361"/>
    </row>
    <row r="245" spans="6:8">
      <c r="F245" s="3361"/>
      <c r="G245" s="3074"/>
      <c r="H245" s="3361"/>
    </row>
    <row r="246" spans="6:8">
      <c r="F246" s="3361"/>
      <c r="G246" s="3074"/>
      <c r="H246" s="3361"/>
    </row>
    <row r="247" spans="6:8">
      <c r="F247" s="3361"/>
      <c r="G247" s="3074"/>
      <c r="H247" s="3361"/>
    </row>
    <row r="248" spans="6:8">
      <c r="F248" s="3361"/>
      <c r="G248" s="3074"/>
      <c r="H248" s="3361"/>
    </row>
    <row r="249" spans="6:8">
      <c r="F249" s="3361"/>
      <c r="G249" s="3074"/>
      <c r="H249" s="3361"/>
    </row>
    <row r="250" spans="6:8">
      <c r="F250" s="3361"/>
      <c r="G250" s="3074"/>
      <c r="H250" s="3361"/>
    </row>
    <row r="251" spans="6:8">
      <c r="F251" s="3361"/>
      <c r="G251" s="3074"/>
      <c r="H251" s="3361"/>
    </row>
    <row r="252" spans="6:8">
      <c r="F252" s="3361"/>
      <c r="G252" s="3074"/>
      <c r="H252" s="3361"/>
    </row>
    <row r="253" spans="6:8">
      <c r="F253" s="3361"/>
      <c r="G253" s="3074"/>
      <c r="H253" s="3361"/>
    </row>
    <row r="254" spans="6:8">
      <c r="F254" s="3361"/>
      <c r="G254" s="3074"/>
      <c r="H254" s="3361"/>
    </row>
    <row r="255" spans="6:8">
      <c r="F255" s="3361"/>
      <c r="G255" s="3074"/>
      <c r="H255" s="3361"/>
    </row>
    <row r="256" spans="6:8">
      <c r="F256" s="3361"/>
      <c r="G256" s="3074"/>
      <c r="H256" s="3361"/>
    </row>
    <row r="257" spans="6:8">
      <c r="F257" s="3361"/>
      <c r="G257" s="3074"/>
      <c r="H257" s="3361"/>
    </row>
    <row r="258" spans="6:8">
      <c r="F258" s="3361"/>
      <c r="G258" s="3074"/>
      <c r="H258" s="3361"/>
    </row>
    <row r="259" spans="6:8">
      <c r="F259" s="3361"/>
      <c r="G259" s="3074"/>
      <c r="H259" s="3361"/>
    </row>
    <row r="260" spans="6:8">
      <c r="F260" s="3361"/>
      <c r="G260" s="3074"/>
      <c r="H260" s="3361"/>
    </row>
    <row r="261" spans="6:8">
      <c r="F261" s="3361"/>
      <c r="G261" s="3074"/>
      <c r="H261" s="3361"/>
    </row>
    <row r="262" spans="6:8">
      <c r="F262" s="3361"/>
      <c r="G262" s="3074"/>
      <c r="H262" s="3361"/>
    </row>
    <row r="263" spans="6:8">
      <c r="F263" s="3373"/>
      <c r="G263" s="3074"/>
      <c r="H263" s="3373"/>
    </row>
    <row r="264" spans="6:8">
      <c r="F264" s="3373"/>
      <c r="G264" s="3074"/>
      <c r="H264" s="3373"/>
    </row>
    <row r="265" spans="6:8">
      <c r="F265" s="3373"/>
      <c r="G265" s="3074"/>
      <c r="H265" s="3373"/>
    </row>
    <row r="266" spans="6:8">
      <c r="F266" s="3373"/>
      <c r="G266" s="3074"/>
      <c r="H266" s="3373"/>
    </row>
    <row r="267" spans="6:8">
      <c r="F267" s="3373"/>
      <c r="G267" s="3074"/>
      <c r="H267" s="3373"/>
    </row>
    <row r="268" spans="6:8">
      <c r="F268" s="3373"/>
      <c r="G268" s="3074"/>
      <c r="H268" s="3373"/>
    </row>
    <row r="269" spans="6:8">
      <c r="F269" s="3373"/>
      <c r="G269" s="3074"/>
      <c r="H269" s="3373"/>
    </row>
    <row r="270" spans="6:8">
      <c r="F270" s="3373"/>
      <c r="G270" s="3074"/>
      <c r="H270" s="3373"/>
    </row>
    <row r="271" spans="6:8">
      <c r="F271" s="3373"/>
      <c r="G271" s="3074"/>
      <c r="H271" s="3373"/>
    </row>
    <row r="272" spans="6:8">
      <c r="F272" s="3373"/>
      <c r="G272" s="3074"/>
      <c r="H272" s="3373"/>
    </row>
    <row r="273" spans="6:8">
      <c r="F273" s="3373"/>
      <c r="G273" s="3074"/>
      <c r="H273" s="3373"/>
    </row>
    <row r="274" spans="6:8">
      <c r="F274" s="3373"/>
      <c r="G274" s="3074"/>
      <c r="H274" s="3373"/>
    </row>
    <row r="275" spans="6:8">
      <c r="F275" s="3373"/>
      <c r="G275" s="3074"/>
      <c r="H275" s="3373"/>
    </row>
    <row r="276" spans="6:8">
      <c r="F276" s="3373"/>
      <c r="G276" s="3074"/>
      <c r="H276" s="3373"/>
    </row>
    <row r="277" spans="6:8">
      <c r="F277" s="3373"/>
      <c r="G277" s="3074"/>
      <c r="H277" s="3373"/>
    </row>
    <row r="278" spans="6:8">
      <c r="F278" s="3373"/>
      <c r="G278" s="3074"/>
      <c r="H278" s="3373"/>
    </row>
    <row r="279" spans="6:8">
      <c r="F279" s="3373"/>
      <c r="G279" s="3074"/>
      <c r="H279" s="3373"/>
    </row>
    <row r="280" spans="6:8">
      <c r="F280" s="3373"/>
      <c r="G280" s="3074"/>
      <c r="H280" s="3373"/>
    </row>
    <row r="281" spans="6:8">
      <c r="F281" s="3373"/>
      <c r="G281" s="3074"/>
      <c r="H281" s="3373"/>
    </row>
    <row r="282" spans="6:8">
      <c r="G282" s="3074"/>
    </row>
    <row r="283" spans="6:8">
      <c r="G283" s="3074"/>
    </row>
    <row r="284" spans="6:8">
      <c r="G284" s="3074"/>
    </row>
    <row r="285" spans="6:8">
      <c r="G285" s="3074"/>
    </row>
    <row r="286" spans="6:8">
      <c r="G286" s="3074"/>
    </row>
    <row r="287" spans="6:8">
      <c r="G287" s="3074"/>
    </row>
    <row r="288" spans="6:8">
      <c r="G288" s="3074"/>
    </row>
    <row r="289" spans="7:7">
      <c r="G289" s="3074"/>
    </row>
    <row r="290" spans="7:7">
      <c r="G290" s="3074"/>
    </row>
    <row r="291" spans="7:7">
      <c r="G291" s="3074"/>
    </row>
    <row r="292" spans="7:7">
      <c r="G292" s="3074"/>
    </row>
    <row r="293" spans="7:7">
      <c r="G293" s="3074"/>
    </row>
    <row r="294" spans="7:7">
      <c r="G294" s="3074"/>
    </row>
    <row r="295" spans="7:7">
      <c r="G295" s="3074"/>
    </row>
    <row r="296" spans="7:7">
      <c r="G296" s="3074"/>
    </row>
    <row r="297" spans="7:7">
      <c r="G297" s="3074"/>
    </row>
    <row r="298" spans="7:7">
      <c r="G298" s="3074"/>
    </row>
    <row r="299" spans="7:7">
      <c r="G299" s="3074"/>
    </row>
    <row r="300" spans="7:7">
      <c r="G300" s="3074"/>
    </row>
    <row r="301" spans="7:7">
      <c r="G301" s="3074"/>
    </row>
    <row r="302" spans="7:7">
      <c r="G302" s="3074"/>
    </row>
    <row r="303" spans="7:7">
      <c r="G303" s="3074"/>
    </row>
    <row r="304" spans="7:7">
      <c r="G304" s="3074"/>
    </row>
    <row r="305" spans="7:7">
      <c r="G305" s="3074"/>
    </row>
    <row r="306" spans="7:7">
      <c r="G306" s="3074"/>
    </row>
    <row r="307" spans="7:7">
      <c r="G307" s="3074"/>
    </row>
    <row r="308" spans="7:7">
      <c r="G308" s="3074"/>
    </row>
    <row r="309" spans="7:7">
      <c r="G309" s="3074"/>
    </row>
    <row r="310" spans="7:7">
      <c r="G310" s="3074"/>
    </row>
    <row r="311" spans="7:7">
      <c r="G311" s="3074"/>
    </row>
    <row r="312" spans="7:7">
      <c r="G312" s="3074"/>
    </row>
    <row r="313" spans="7:7">
      <c r="G313" s="3074"/>
    </row>
    <row r="314" spans="7:7">
      <c r="G314" s="3074"/>
    </row>
    <row r="315" spans="7:7">
      <c r="G315" s="3074"/>
    </row>
    <row r="316" spans="7:7">
      <c r="G316" s="3074"/>
    </row>
    <row r="317" spans="7:7">
      <c r="G317" s="3074"/>
    </row>
    <row r="318" spans="7:7">
      <c r="G318" s="3074"/>
    </row>
    <row r="319" spans="7:7">
      <c r="G319" s="3074"/>
    </row>
    <row r="320" spans="7:7">
      <c r="G320" s="3074"/>
    </row>
    <row r="321" spans="7:7">
      <c r="G321" s="3074"/>
    </row>
    <row r="322" spans="7:7">
      <c r="G322" s="3074"/>
    </row>
    <row r="323" spans="7:7">
      <c r="G323" s="3074"/>
    </row>
    <row r="324" spans="7:7">
      <c r="G324" s="3074"/>
    </row>
    <row r="325" spans="7:7">
      <c r="G325" s="3074"/>
    </row>
    <row r="326" spans="7:7">
      <c r="G326" s="3074"/>
    </row>
    <row r="327" spans="7:7">
      <c r="G327" s="3074"/>
    </row>
    <row r="328" spans="7:7">
      <c r="G328" s="3074"/>
    </row>
    <row r="329" spans="7:7">
      <c r="G329" s="3074"/>
    </row>
    <row r="330" spans="7:7">
      <c r="G330" s="3074"/>
    </row>
    <row r="331" spans="7:7">
      <c r="G331" s="3074"/>
    </row>
    <row r="332" spans="7:7">
      <c r="G332" s="3074"/>
    </row>
    <row r="333" spans="7:7">
      <c r="G333" s="3074"/>
    </row>
    <row r="334" spans="7:7">
      <c r="G334" s="3074"/>
    </row>
    <row r="335" spans="7:7">
      <c r="G335" s="3074"/>
    </row>
    <row r="336" spans="7:7">
      <c r="G336" s="3074"/>
    </row>
    <row r="337" spans="7:7">
      <c r="G337" s="3074"/>
    </row>
    <row r="338" spans="7:7">
      <c r="G338" s="3074"/>
    </row>
    <row r="339" spans="7:7">
      <c r="G339" s="3074"/>
    </row>
    <row r="340" spans="7:7">
      <c r="G340" s="3074"/>
    </row>
    <row r="341" spans="7:7">
      <c r="G341" s="3074"/>
    </row>
    <row r="342" spans="7:7">
      <c r="G342" s="3074"/>
    </row>
    <row r="343" spans="7:7">
      <c r="G343" s="3074"/>
    </row>
    <row r="344" spans="7:7">
      <c r="G344" s="3074"/>
    </row>
    <row r="345" spans="7:7">
      <c r="G345" s="3074"/>
    </row>
    <row r="346" spans="7:7">
      <c r="G346" s="3074"/>
    </row>
    <row r="347" spans="7:7">
      <c r="G347" s="3074"/>
    </row>
    <row r="348" spans="7:7">
      <c r="G348" s="3074"/>
    </row>
    <row r="349" spans="7:7">
      <c r="G349" s="3074"/>
    </row>
    <row r="350" spans="7:7">
      <c r="G350" s="3074"/>
    </row>
    <row r="351" spans="7:7">
      <c r="G351" s="3074"/>
    </row>
    <row r="352" spans="7:7">
      <c r="G352" s="3074"/>
    </row>
    <row r="353" spans="7:7">
      <c r="G353" s="3074"/>
    </row>
    <row r="354" spans="7:7">
      <c r="G354" s="3074"/>
    </row>
    <row r="355" spans="7:7">
      <c r="G355" s="3074"/>
    </row>
    <row r="356" spans="7:7">
      <c r="G356" s="3074"/>
    </row>
    <row r="357" spans="7:7">
      <c r="G357" s="3074"/>
    </row>
    <row r="358" spans="7:7">
      <c r="G358" s="3074"/>
    </row>
    <row r="359" spans="7:7">
      <c r="G359" s="3074"/>
    </row>
    <row r="360" spans="7:7">
      <c r="G360" s="3074"/>
    </row>
    <row r="361" spans="7:7">
      <c r="G361" s="3074"/>
    </row>
    <row r="362" spans="7:7">
      <c r="G362" s="3074"/>
    </row>
    <row r="363" spans="7:7">
      <c r="G363" s="3074"/>
    </row>
    <row r="364" spans="7:7">
      <c r="G364" s="3074"/>
    </row>
    <row r="365" spans="7:7">
      <c r="G365" s="3074"/>
    </row>
    <row r="366" spans="7:7">
      <c r="G366" s="3074"/>
    </row>
    <row r="367" spans="7:7">
      <c r="G367" s="3074"/>
    </row>
    <row r="368" spans="7:7">
      <c r="G368" s="3074"/>
    </row>
    <row r="369" spans="7:7">
      <c r="G369" s="3074"/>
    </row>
    <row r="370" spans="7:7">
      <c r="G370" s="3074"/>
    </row>
    <row r="371" spans="7:7">
      <c r="G371" s="3074"/>
    </row>
    <row r="372" spans="7:7">
      <c r="G372" s="3074"/>
    </row>
    <row r="373" spans="7:7">
      <c r="G373" s="3074"/>
    </row>
  </sheetData>
  <pageMargins left="1" right="1" top="1" bottom="0.75" header="1" footer="0.3"/>
  <pageSetup scale="60" orientation="landscape" r:id="rId1"/>
  <headerFooter>
    <oddHeader>&amp;RWPB-2.2i
PAGE &amp;P  OF  &amp;N
WITNESS RESPONSIBLE:
R. H. PRATT / C. S. LEE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>
    <tabColor theme="8" tint="0.59999389629810485"/>
    <pageSetUpPr fitToPage="1"/>
  </sheetPr>
  <dimension ref="A1:U1166"/>
  <sheetViews>
    <sheetView zoomScale="75" workbookViewId="0"/>
  </sheetViews>
  <sheetFormatPr defaultColWidth="11.44140625" defaultRowHeight="15"/>
  <cols>
    <col min="1" max="1" width="7.88671875" style="1301" customWidth="1"/>
    <col min="2" max="2" width="11.44140625" style="1301" customWidth="1"/>
    <col min="3" max="3" width="22.33203125" style="1301" customWidth="1"/>
    <col min="4" max="4" width="54.33203125" style="1301" customWidth="1"/>
    <col min="5" max="5" width="15.44140625" style="1301" bestFit="1" customWidth="1"/>
    <col min="6" max="6" width="16.88671875" style="1301" customWidth="1"/>
    <col min="7" max="7" width="13.33203125" style="1301" customWidth="1"/>
    <col min="8" max="8" width="11.44140625" style="1301" customWidth="1"/>
    <col min="9" max="9" width="12.88671875" style="1301" customWidth="1"/>
    <col min="10" max="10" width="29.33203125" style="1301" customWidth="1"/>
    <col min="11" max="11" width="16.109375" style="1301" bestFit="1" customWidth="1"/>
    <col min="12" max="12" width="15.44140625" style="1301" bestFit="1" customWidth="1"/>
    <col min="13" max="13" width="16.109375" style="1301" bestFit="1" customWidth="1"/>
    <col min="14" max="16384" width="11.44140625" style="1301"/>
  </cols>
  <sheetData>
    <row r="1" spans="1:13">
      <c r="A1" s="684" t="str">
        <f>COMPANY</f>
        <v>DUKE ENERGY KENTUCKY, INC.</v>
      </c>
      <c r="B1" s="1343"/>
      <c r="C1" s="1343"/>
      <c r="D1" s="1343"/>
      <c r="E1" s="1461"/>
      <c r="F1" s="1343"/>
      <c r="G1" s="1343"/>
      <c r="H1" s="1343"/>
      <c r="I1" s="1343"/>
      <c r="J1" s="1343"/>
      <c r="K1" s="1343"/>
      <c r="L1" s="1345"/>
      <c r="M1" s="1343"/>
    </row>
    <row r="2" spans="1:13">
      <c r="A2" s="684" t="str">
        <f>CASE</f>
        <v>CASE NO. 2018-00261</v>
      </c>
      <c r="B2" s="1343"/>
      <c r="C2" s="1343"/>
      <c r="D2" s="1343"/>
      <c r="E2" s="1461"/>
      <c r="F2" s="1343"/>
      <c r="G2" s="1343"/>
      <c r="H2" s="1343"/>
      <c r="I2" s="1343"/>
      <c r="J2" s="1343"/>
      <c r="K2" s="1343"/>
      <c r="L2" s="1345"/>
      <c r="M2" s="1343"/>
    </row>
    <row r="3" spans="1:13">
      <c r="A3" s="684" t="s">
        <v>1399</v>
      </c>
      <c r="B3" s="1343"/>
      <c r="C3" s="1343"/>
      <c r="D3" s="1343"/>
      <c r="E3" s="1461"/>
      <c r="F3" s="1343"/>
      <c r="G3" s="1343"/>
      <c r="H3" s="1343"/>
      <c r="I3" s="1343"/>
      <c r="J3" s="1343"/>
      <c r="K3" s="1343"/>
      <c r="L3" s="1345"/>
      <c r="M3" s="1343"/>
    </row>
    <row r="4" spans="1:13">
      <c r="A4" s="2951" t="str">
        <f>"FROM DECEMBER 1, 2017 TO "&amp;RIGHT(TESTYR,(LEN(TESTYR)-16))</f>
        <v>FROM DECEMBER 1, 2017 TO NOVEMBER 30, 2018</v>
      </c>
      <c r="B4" s="1343"/>
      <c r="C4" s="1343"/>
      <c r="D4" s="1343"/>
      <c r="E4" s="1461"/>
      <c r="F4" s="1343"/>
      <c r="G4" s="1343"/>
      <c r="H4" s="1343"/>
      <c r="I4" s="1343"/>
      <c r="J4" s="1343"/>
      <c r="K4" s="1343"/>
      <c r="L4" s="1345"/>
      <c r="M4" s="1343"/>
    </row>
    <row r="5" spans="1:13">
      <c r="A5" s="1343"/>
      <c r="B5" s="1343"/>
      <c r="C5" s="1343"/>
      <c r="D5" s="1343"/>
      <c r="E5" s="1461"/>
      <c r="F5" s="1343"/>
      <c r="G5" s="1343"/>
      <c r="H5" s="1343"/>
      <c r="I5" s="1343"/>
      <c r="J5" s="1343"/>
      <c r="K5" s="1343"/>
      <c r="L5" s="1345"/>
      <c r="M5" s="1343"/>
    </row>
    <row r="6" spans="1:13">
      <c r="A6" s="684" t="s">
        <v>1147</v>
      </c>
      <c r="B6" s="1343"/>
      <c r="C6" s="1343"/>
      <c r="D6" s="1343"/>
      <c r="E6" s="1461"/>
      <c r="F6" s="1343"/>
      <c r="G6" s="1343"/>
      <c r="H6" s="1343"/>
      <c r="I6" s="1343"/>
      <c r="J6" s="1343"/>
      <c r="K6" s="1343"/>
      <c r="L6" s="1345"/>
      <c r="M6" s="1343"/>
    </row>
    <row r="7" spans="1:13">
      <c r="A7" s="1343"/>
      <c r="B7" s="1343"/>
      <c r="C7" s="1343"/>
      <c r="D7" s="1343"/>
      <c r="E7" s="1461"/>
      <c r="F7" s="1343"/>
      <c r="G7" s="1343"/>
      <c r="H7" s="1343"/>
      <c r="I7" s="1343"/>
      <c r="J7" s="1343"/>
      <c r="K7" s="1343"/>
      <c r="L7" s="1345"/>
      <c r="M7" s="1343"/>
    </row>
    <row r="8" spans="1:13">
      <c r="A8" s="1344"/>
      <c r="B8" s="1343"/>
      <c r="C8" s="1343"/>
      <c r="D8" s="1343"/>
      <c r="E8" s="1461"/>
      <c r="F8" s="1343"/>
      <c r="G8" s="1343"/>
      <c r="H8" s="1343"/>
      <c r="I8" s="1343"/>
      <c r="J8" s="1343"/>
      <c r="K8" s="1343"/>
      <c r="L8" s="1345"/>
      <c r="M8" s="1343"/>
    </row>
    <row r="9" spans="1:13">
      <c r="A9" s="1345"/>
      <c r="B9" s="1345"/>
      <c r="C9" s="1345"/>
      <c r="D9" s="1345"/>
      <c r="E9" s="1345"/>
      <c r="F9" s="1345"/>
      <c r="G9" s="1345"/>
      <c r="H9" s="1345"/>
      <c r="I9" s="1345"/>
      <c r="J9" s="1345"/>
      <c r="K9" s="1345"/>
      <c r="L9" s="1345"/>
      <c r="M9" s="1345"/>
    </row>
    <row r="10" spans="1:13">
      <c r="A10" s="1298" t="str">
        <f>Data</f>
        <v>DATA: "X" BASE PERIOD   FORECASTED PERIOD</v>
      </c>
      <c r="B10" s="1345"/>
      <c r="C10" s="1345"/>
      <c r="D10" s="1345"/>
      <c r="E10" s="1345"/>
      <c r="F10" s="1345"/>
      <c r="G10" s="1345"/>
      <c r="H10" s="1345"/>
      <c r="I10" s="1345"/>
      <c r="J10" s="1298" t="s">
        <v>1400</v>
      </c>
      <c r="K10" s="1345"/>
      <c r="L10" s="1345"/>
      <c r="M10" s="1345"/>
    </row>
    <row r="11" spans="1:13">
      <c r="A11" s="1298" t="str">
        <f>Type</f>
        <v xml:space="preserve">TYPE OF FILING:  "X" ORIGINAL   UPDATED    REVISED  </v>
      </c>
      <c r="B11" s="1345"/>
      <c r="C11" s="1345"/>
      <c r="D11" s="1345"/>
      <c r="E11" s="1345"/>
      <c r="F11" s="1345"/>
      <c r="G11" s="1345"/>
      <c r="H11" s="1345"/>
      <c r="I11" s="1345"/>
      <c r="J11" s="1298" t="s">
        <v>461</v>
      </c>
      <c r="K11" s="1345"/>
      <c r="L11" s="1345"/>
      <c r="M11" s="1345"/>
    </row>
    <row r="12" spans="1:13">
      <c r="A12" s="1298" t="s">
        <v>655</v>
      </c>
      <c r="B12" s="1345"/>
      <c r="C12" s="1345"/>
      <c r="D12" s="1345"/>
      <c r="E12" s="1345"/>
      <c r="F12" s="1345"/>
      <c r="G12" s="1345"/>
      <c r="H12" s="1345"/>
      <c r="I12" s="1345"/>
      <c r="J12" s="1346" t="s">
        <v>566</v>
      </c>
      <c r="K12" s="1345"/>
      <c r="L12" s="1345"/>
      <c r="M12" s="1345"/>
    </row>
    <row r="13" spans="1:13">
      <c r="A13" s="1345"/>
      <c r="B13" s="1345"/>
      <c r="C13" s="1345"/>
      <c r="D13" s="1345"/>
      <c r="E13" s="1345"/>
      <c r="F13" s="1345"/>
      <c r="G13" s="1345"/>
      <c r="H13" s="1345"/>
      <c r="I13" s="1345"/>
      <c r="J13" s="1346" t="str">
        <f>_WIT7</f>
        <v>R. H. PRATT / C. S. LEE</v>
      </c>
      <c r="K13" s="1345"/>
      <c r="L13" s="1345"/>
      <c r="M13" s="1345"/>
    </row>
    <row r="14" spans="1:13">
      <c r="A14" s="1345"/>
      <c r="B14" s="1345"/>
      <c r="C14" s="1345"/>
      <c r="D14" s="1345"/>
      <c r="E14" s="1345"/>
      <c r="F14" s="1345"/>
      <c r="G14" s="1345"/>
      <c r="H14" s="1345"/>
      <c r="I14" s="1345"/>
      <c r="J14" s="1345"/>
      <c r="K14" s="1345"/>
      <c r="L14" s="1345"/>
      <c r="M14" s="1345"/>
    </row>
    <row r="15" spans="1:13">
      <c r="A15" s="1345"/>
      <c r="B15" s="1345"/>
      <c r="C15" s="1345"/>
      <c r="D15" s="1345"/>
      <c r="E15" s="1345"/>
      <c r="F15" s="1345"/>
      <c r="G15" s="1345"/>
      <c r="H15" s="1347"/>
      <c r="I15" s="1345"/>
      <c r="J15" s="1345"/>
      <c r="K15" s="1345"/>
      <c r="L15" s="1345"/>
      <c r="M15" s="1345"/>
    </row>
    <row r="16" spans="1:13">
      <c r="A16" s="599"/>
      <c r="B16" s="599"/>
      <c r="C16" s="607"/>
      <c r="D16" s="599"/>
      <c r="E16" s="599"/>
      <c r="F16" s="599"/>
      <c r="G16" s="599"/>
      <c r="I16" s="599"/>
      <c r="J16" s="599"/>
      <c r="K16" s="599"/>
      <c r="L16" s="1345"/>
      <c r="M16" s="1345"/>
    </row>
    <row r="17" spans="1:13">
      <c r="A17" s="1345"/>
      <c r="B17" s="1348" t="s">
        <v>1041</v>
      </c>
      <c r="C17" s="1348" t="s">
        <v>2137</v>
      </c>
      <c r="D17" s="1345"/>
      <c r="E17" s="1345"/>
      <c r="F17" s="1345"/>
      <c r="G17" s="1345"/>
      <c r="H17" s="616" t="s">
        <v>1401</v>
      </c>
      <c r="I17" s="616"/>
      <c r="J17" s="616"/>
      <c r="K17" s="1345"/>
      <c r="L17" s="1345"/>
      <c r="M17" s="1345"/>
    </row>
    <row r="18" spans="1:13">
      <c r="A18" s="1348" t="s">
        <v>1938</v>
      </c>
      <c r="B18" s="1348" t="s">
        <v>1150</v>
      </c>
      <c r="C18" s="1348" t="s">
        <v>1150</v>
      </c>
      <c r="D18" s="1348" t="s">
        <v>1987</v>
      </c>
      <c r="E18" s="1348" t="s">
        <v>1402</v>
      </c>
      <c r="F18" s="1345"/>
      <c r="G18" s="1345"/>
      <c r="H18" s="617"/>
      <c r="I18" s="613" t="s">
        <v>1403</v>
      </c>
      <c r="J18" s="613" t="s">
        <v>1404</v>
      </c>
      <c r="K18" s="1348" t="s">
        <v>1405</v>
      </c>
      <c r="L18" s="1345"/>
      <c r="M18" s="1345"/>
    </row>
    <row r="19" spans="1:13">
      <c r="A19" s="1348" t="s">
        <v>1939</v>
      </c>
      <c r="B19" s="1348" t="s">
        <v>1939</v>
      </c>
      <c r="C19" s="1348" t="s">
        <v>1939</v>
      </c>
      <c r="D19" s="1348" t="s">
        <v>1406</v>
      </c>
      <c r="E19" s="1348" t="s">
        <v>1407</v>
      </c>
      <c r="F19" s="1348" t="s">
        <v>1408</v>
      </c>
      <c r="G19" s="1348" t="s">
        <v>1409</v>
      </c>
      <c r="H19" s="1348" t="s">
        <v>2125</v>
      </c>
      <c r="I19" s="1348" t="s">
        <v>1410</v>
      </c>
      <c r="J19" s="1348" t="s">
        <v>1411</v>
      </c>
      <c r="K19" s="1348" t="s">
        <v>1407</v>
      </c>
      <c r="L19" s="1345"/>
      <c r="M19" s="1345"/>
    </row>
    <row r="20" spans="1:13">
      <c r="A20" s="1345"/>
      <c r="B20" s="1345"/>
      <c r="C20" s="1345"/>
      <c r="D20" s="1345"/>
      <c r="E20" s="1345"/>
      <c r="F20" s="1345"/>
      <c r="G20" s="1345"/>
      <c r="H20" s="1345"/>
      <c r="I20" s="1345"/>
      <c r="J20" s="1345"/>
      <c r="K20" s="1345"/>
      <c r="L20" s="1345"/>
      <c r="M20" s="1345"/>
    </row>
    <row r="21" spans="1:13">
      <c r="A21" s="599"/>
      <c r="B21" s="599"/>
      <c r="C21" s="599"/>
      <c r="D21" s="599"/>
      <c r="E21" s="602" t="s">
        <v>695</v>
      </c>
      <c r="F21" s="602" t="s">
        <v>695</v>
      </c>
      <c r="G21" s="602" t="s">
        <v>695</v>
      </c>
      <c r="H21" s="602" t="s">
        <v>695</v>
      </c>
      <c r="I21" s="599"/>
      <c r="J21" s="599"/>
      <c r="K21" s="602" t="s">
        <v>695</v>
      </c>
      <c r="L21" s="1345"/>
      <c r="M21" s="1350"/>
    </row>
    <row r="22" spans="1:13">
      <c r="A22" s="1345"/>
      <c r="B22" s="1345"/>
      <c r="C22" s="1345"/>
      <c r="D22" s="1451"/>
      <c r="E22" s="1345"/>
      <c r="F22" s="1345"/>
      <c r="G22" s="1345"/>
      <c r="H22" s="1345"/>
      <c r="I22" s="1345"/>
      <c r="J22" s="1345"/>
      <c r="K22" s="1345"/>
      <c r="L22" s="1350"/>
      <c r="M22" s="1345"/>
    </row>
    <row r="23" spans="1:13">
      <c r="A23" s="1348" t="s">
        <v>1152</v>
      </c>
      <c r="B23" s="2953" t="s">
        <v>1153</v>
      </c>
      <c r="C23" s="2953">
        <v>20400</v>
      </c>
      <c r="D23" s="2758" t="s">
        <v>1167</v>
      </c>
      <c r="E23" s="1372">
        <v>117711</v>
      </c>
      <c r="F23" s="1462"/>
      <c r="G23" s="1372"/>
      <c r="H23" s="816"/>
      <c r="I23" s="1463"/>
      <c r="J23" s="1463"/>
      <c r="K23" s="1464">
        <f>E23+F23-G23+H23</f>
        <v>117711</v>
      </c>
      <c r="L23" s="1350"/>
      <c r="M23" s="1345"/>
    </row>
    <row r="24" spans="1:13">
      <c r="A24" s="1348" t="s">
        <v>1155</v>
      </c>
      <c r="B24" s="2953" t="s">
        <v>1153</v>
      </c>
      <c r="C24" s="2953">
        <v>20401</v>
      </c>
      <c r="D24" s="2758" t="s">
        <v>1156</v>
      </c>
      <c r="E24" s="1372">
        <v>24459</v>
      </c>
      <c r="F24" s="1462"/>
      <c r="G24" s="1372"/>
      <c r="H24" s="816"/>
      <c r="I24" s="1463"/>
      <c r="J24" s="1463"/>
      <c r="K24" s="1464">
        <f>E24+F24-G24+H24</f>
        <v>24459</v>
      </c>
      <c r="L24" s="1350"/>
      <c r="M24" s="1345"/>
    </row>
    <row r="25" spans="1:13">
      <c r="A25" s="1348" t="s">
        <v>1157</v>
      </c>
      <c r="B25" s="2953" t="s">
        <v>1158</v>
      </c>
      <c r="C25" s="2953">
        <v>20500</v>
      </c>
      <c r="D25" s="2758" t="s">
        <v>1159</v>
      </c>
      <c r="E25" s="1372">
        <v>1722764</v>
      </c>
      <c r="F25" s="1462"/>
      <c r="G25" s="1372"/>
      <c r="H25" s="816"/>
      <c r="I25" s="1463"/>
      <c r="J25" s="1463"/>
      <c r="K25" s="1464">
        <f>E25+F25-G25+H25</f>
        <v>1722764</v>
      </c>
      <c r="L25" s="1350"/>
      <c r="M25" s="1345"/>
    </row>
    <row r="26" spans="1:13">
      <c r="A26" s="1348" t="s">
        <v>1160</v>
      </c>
      <c r="B26" s="2953" t="s">
        <v>1161</v>
      </c>
      <c r="C26" s="2953">
        <v>21100</v>
      </c>
      <c r="D26" s="2758" t="s">
        <v>1162</v>
      </c>
      <c r="E26" s="1372">
        <v>5955198</v>
      </c>
      <c r="F26" s="1462"/>
      <c r="G26" s="1372"/>
      <c r="H26" s="816"/>
      <c r="I26" s="1463"/>
      <c r="J26" s="1463"/>
      <c r="K26" s="1464">
        <f>E26+F26-G26+H26</f>
        <v>5955198</v>
      </c>
      <c r="L26" s="1350"/>
      <c r="M26" s="1345"/>
    </row>
    <row r="27" spans="1:13">
      <c r="A27" s="1348">
        <f>A26+1</f>
        <v>5</v>
      </c>
      <c r="B27" s="1345"/>
      <c r="C27" s="1348"/>
      <c r="D27" s="1298"/>
      <c r="E27" s="1372"/>
      <c r="F27" s="1462"/>
      <c r="G27" s="1372"/>
      <c r="H27" s="816"/>
      <c r="I27" s="1463"/>
      <c r="J27" s="1463"/>
      <c r="K27" s="1464"/>
      <c r="L27" s="1350"/>
      <c r="M27" s="1345"/>
    </row>
    <row r="28" spans="1:13">
      <c r="A28" s="1345"/>
      <c r="B28" s="1345"/>
      <c r="C28" s="1345"/>
      <c r="D28" s="1345"/>
      <c r="E28" s="1351"/>
      <c r="F28" s="1351"/>
      <c r="G28" s="1351"/>
      <c r="H28" s="1351"/>
      <c r="I28" s="1350"/>
      <c r="J28" s="1350"/>
      <c r="K28" s="1349"/>
      <c r="L28" s="1350"/>
      <c r="M28" s="1350"/>
    </row>
    <row r="29" spans="1:13">
      <c r="A29" s="1345"/>
      <c r="B29" s="1345"/>
      <c r="C29" s="1345"/>
      <c r="D29" s="1345"/>
      <c r="E29" s="1345"/>
      <c r="F29" s="1345"/>
      <c r="G29" s="1345"/>
      <c r="H29" s="1345"/>
      <c r="I29" s="1345"/>
      <c r="J29" s="1345"/>
      <c r="K29" s="1349"/>
      <c r="L29" s="1350"/>
      <c r="M29" s="1345"/>
    </row>
    <row r="30" spans="1:13">
      <c r="A30" s="599"/>
      <c r="B30" s="599"/>
      <c r="C30" s="599"/>
      <c r="D30" s="599"/>
      <c r="E30" s="599"/>
      <c r="F30" s="599"/>
      <c r="G30" s="599"/>
      <c r="H30" s="599"/>
      <c r="I30" s="599"/>
      <c r="J30" s="599"/>
      <c r="K30" s="612"/>
      <c r="L30" s="1350"/>
      <c r="M30" s="1345"/>
    </row>
    <row r="31" spans="1:13">
      <c r="A31" s="1348">
        <f>A27+1</f>
        <v>6</v>
      </c>
      <c r="B31" s="1345"/>
      <c r="C31" s="1345"/>
      <c r="D31" s="1298" t="s">
        <v>1175</v>
      </c>
      <c r="E31" s="1351">
        <f>SUM(E23:E27)</f>
        <v>7820132</v>
      </c>
      <c r="F31" s="1351">
        <f>SUM(F23:F27)</f>
        <v>0</v>
      </c>
      <c r="G31" s="1351">
        <f>SUM(G23:G27)</f>
        <v>0</v>
      </c>
      <c r="H31" s="1351">
        <f>SUM(H23:H27)</f>
        <v>0</v>
      </c>
      <c r="I31" s="1350"/>
      <c r="J31" s="1350"/>
      <c r="K31" s="1351">
        <f>SUM(K23:K27)</f>
        <v>7820132</v>
      </c>
      <c r="L31" s="1350"/>
      <c r="M31" s="1345"/>
    </row>
    <row r="32" spans="1:13">
      <c r="A32" s="1345"/>
      <c r="B32" s="1345"/>
      <c r="C32" s="1345"/>
      <c r="D32" s="1345"/>
      <c r="E32" s="1345"/>
      <c r="F32" s="1345"/>
      <c r="G32" s="1345"/>
      <c r="H32" s="1345"/>
      <c r="I32" s="1345"/>
      <c r="J32" s="1345"/>
      <c r="K32" s="1345"/>
      <c r="L32" s="1350"/>
      <c r="M32" s="1345"/>
    </row>
    <row r="33" spans="1:21">
      <c r="A33" s="599"/>
      <c r="B33" s="599"/>
      <c r="C33" s="599"/>
      <c r="D33" s="599"/>
      <c r="E33" s="601"/>
      <c r="F33" s="601"/>
      <c r="G33" s="601"/>
      <c r="H33" s="601"/>
      <c r="I33" s="610"/>
      <c r="J33" s="610"/>
      <c r="K33" s="601"/>
      <c r="L33" s="1350"/>
      <c r="M33" s="1345"/>
    </row>
    <row r="34" spans="1:21">
      <c r="A34" s="1345"/>
      <c r="B34" s="1345"/>
      <c r="C34" s="1345"/>
      <c r="D34" s="1345"/>
      <c r="E34" s="1351"/>
      <c r="F34" s="1351"/>
      <c r="G34" s="1351"/>
      <c r="H34" s="1351"/>
      <c r="I34" s="1350"/>
      <c r="J34" s="1350"/>
      <c r="K34" s="1351"/>
      <c r="L34" s="1350"/>
      <c r="M34" s="1345"/>
    </row>
    <row r="35" spans="1:21">
      <c r="A35" s="684" t="str">
        <f>A1</f>
        <v>DUKE ENERGY KENTUCKY, INC.</v>
      </c>
      <c r="B35" s="1343"/>
      <c r="C35" s="1343"/>
      <c r="D35" s="1343"/>
      <c r="E35" s="684"/>
      <c r="F35" s="1343"/>
      <c r="G35" s="1343"/>
      <c r="H35" s="1343"/>
      <c r="I35" s="1343"/>
      <c r="J35" s="1343"/>
      <c r="K35" s="1343"/>
      <c r="L35" s="1345"/>
      <c r="M35" s="1350"/>
      <c r="N35" s="1345"/>
      <c r="O35" s="1345"/>
      <c r="P35" s="1345"/>
      <c r="Q35" s="1345"/>
      <c r="R35" s="1345"/>
      <c r="S35" s="1345"/>
      <c r="T35" s="1345"/>
      <c r="U35" s="1345"/>
    </row>
    <row r="36" spans="1:21">
      <c r="A36" s="684" t="str">
        <f>A2</f>
        <v>CASE NO. 2018-00261</v>
      </c>
      <c r="B36" s="1343"/>
      <c r="C36" s="1343"/>
      <c r="D36" s="1343"/>
      <c r="E36" s="684"/>
      <c r="F36" s="1343"/>
      <c r="G36" s="1343"/>
      <c r="H36" s="1343"/>
      <c r="I36" s="1343"/>
      <c r="J36" s="1343"/>
      <c r="K36" s="1343"/>
      <c r="L36" s="1345"/>
      <c r="M36" s="1350"/>
      <c r="N36" s="1345"/>
      <c r="O36" s="1345"/>
      <c r="P36" s="1345"/>
      <c r="Q36" s="1345"/>
      <c r="R36" s="1345"/>
      <c r="S36" s="1345"/>
      <c r="T36" s="1345"/>
      <c r="U36" s="1345"/>
    </row>
    <row r="37" spans="1:21">
      <c r="A37" s="684" t="str">
        <f>A3</f>
        <v>GROSS ADDITIONS, RETIREMENTS, AND TRANSFERS</v>
      </c>
      <c r="B37" s="1343"/>
      <c r="C37" s="1343"/>
      <c r="D37" s="1343"/>
      <c r="E37" s="684"/>
      <c r="F37" s="1343"/>
      <c r="G37" s="1343"/>
      <c r="H37" s="1343"/>
      <c r="I37" s="1343"/>
      <c r="J37" s="1343"/>
      <c r="K37" s="1343"/>
      <c r="L37" s="1345"/>
      <c r="M37" s="1350"/>
      <c r="N37" s="1345"/>
      <c r="O37" s="1345"/>
      <c r="P37" s="1345"/>
      <c r="Q37" s="1345"/>
      <c r="R37" s="1345"/>
      <c r="S37" s="1345"/>
      <c r="T37" s="1345"/>
      <c r="U37" s="1345"/>
    </row>
    <row r="38" spans="1:21">
      <c r="A38" s="684" t="str">
        <f>A4</f>
        <v>FROM DECEMBER 1, 2017 TO NOVEMBER 30, 2018</v>
      </c>
      <c r="B38" s="1343"/>
      <c r="C38" s="1343"/>
      <c r="D38" s="1343"/>
      <c r="E38" s="684"/>
      <c r="F38" s="1343"/>
      <c r="G38" s="1343"/>
      <c r="H38" s="1343"/>
      <c r="I38" s="1343"/>
      <c r="J38" s="1343"/>
      <c r="K38" s="1343"/>
      <c r="L38" s="1345"/>
      <c r="M38" s="1350"/>
      <c r="N38" s="1345"/>
      <c r="O38" s="1345"/>
      <c r="P38" s="1345"/>
      <c r="Q38" s="1345"/>
      <c r="R38" s="1345"/>
      <c r="S38" s="1345"/>
      <c r="T38" s="1345"/>
      <c r="U38" s="1345"/>
    </row>
    <row r="39" spans="1:21">
      <c r="A39" s="1343"/>
      <c r="B39" s="1343"/>
      <c r="C39" s="1343"/>
      <c r="D39" s="1343"/>
      <c r="E39" s="1343"/>
      <c r="F39" s="1343"/>
      <c r="G39" s="1343"/>
      <c r="H39" s="1343"/>
      <c r="I39" s="1343"/>
      <c r="J39" s="1343"/>
      <c r="K39" s="1343"/>
      <c r="L39" s="1345"/>
      <c r="M39" s="1350"/>
      <c r="N39" s="1345"/>
      <c r="O39" s="1345"/>
      <c r="P39" s="1345"/>
      <c r="Q39" s="1345"/>
      <c r="R39" s="1345"/>
      <c r="S39" s="1345"/>
      <c r="T39" s="1345"/>
      <c r="U39" s="1345"/>
    </row>
    <row r="40" spans="1:21">
      <c r="A40" s="684" t="s">
        <v>1164</v>
      </c>
      <c r="B40" s="1343"/>
      <c r="C40" s="1343"/>
      <c r="D40" s="1343"/>
      <c r="E40" s="684"/>
      <c r="F40" s="1343"/>
      <c r="G40" s="1343"/>
      <c r="H40" s="1343"/>
      <c r="I40" s="1343"/>
      <c r="J40" s="1343"/>
      <c r="K40" s="1343"/>
      <c r="L40" s="1345"/>
      <c r="M40" s="1350"/>
      <c r="N40" s="1345"/>
      <c r="O40" s="1345"/>
      <c r="P40" s="1345"/>
      <c r="Q40" s="1345"/>
      <c r="R40" s="1345"/>
      <c r="S40" s="1345"/>
      <c r="T40" s="1345"/>
      <c r="U40" s="1345"/>
    </row>
    <row r="41" spans="1:21">
      <c r="A41" s="1343"/>
      <c r="B41" s="1343"/>
      <c r="C41" s="1343"/>
      <c r="D41" s="1343"/>
      <c r="E41" s="684"/>
      <c r="F41" s="1343"/>
      <c r="G41" s="1343"/>
      <c r="H41" s="1343"/>
      <c r="I41" s="1343"/>
      <c r="J41" s="1343"/>
      <c r="K41" s="1343"/>
      <c r="L41" s="1345"/>
      <c r="M41" s="1350"/>
      <c r="N41" s="1345"/>
      <c r="O41" s="1345"/>
      <c r="P41" s="1345"/>
      <c r="Q41" s="1345"/>
      <c r="R41" s="1345"/>
      <c r="S41" s="1345"/>
      <c r="T41" s="1345"/>
      <c r="U41" s="1345"/>
    </row>
    <row r="42" spans="1:21">
      <c r="A42" s="1344"/>
      <c r="B42" s="1343"/>
      <c r="C42" s="1343"/>
      <c r="D42" s="1343"/>
      <c r="E42" s="1343"/>
      <c r="F42" s="1343"/>
      <c r="G42" s="1343"/>
      <c r="H42" s="1343"/>
      <c r="I42" s="1343"/>
      <c r="J42" s="1343"/>
      <c r="K42" s="1343"/>
      <c r="L42" s="1345"/>
      <c r="M42" s="1350"/>
      <c r="N42" s="1345"/>
      <c r="O42" s="1345"/>
      <c r="P42" s="1345"/>
      <c r="Q42" s="1345"/>
      <c r="R42" s="1345"/>
      <c r="S42" s="1345"/>
      <c r="T42" s="1345"/>
      <c r="U42" s="1345"/>
    </row>
    <row r="43" spans="1:21">
      <c r="A43" s="1344"/>
      <c r="B43" s="1343"/>
      <c r="C43" s="1343"/>
      <c r="D43" s="1343"/>
      <c r="E43" s="1343"/>
      <c r="F43" s="1343"/>
      <c r="G43" s="1343"/>
      <c r="H43" s="1343"/>
      <c r="I43" s="1343"/>
      <c r="J43" s="1343"/>
      <c r="K43" s="1343"/>
      <c r="L43" s="1345"/>
      <c r="M43" s="1350"/>
      <c r="N43" s="1345"/>
      <c r="O43" s="1345"/>
      <c r="P43" s="1345"/>
      <c r="Q43" s="1345"/>
      <c r="R43" s="1345"/>
      <c r="S43" s="1345"/>
      <c r="T43" s="1345"/>
      <c r="U43" s="1345"/>
    </row>
    <row r="44" spans="1:21">
      <c r="A44" s="1298" t="str">
        <f>Data</f>
        <v>DATA: "X" BASE PERIOD   FORECASTED PERIOD</v>
      </c>
      <c r="B44" s="1345"/>
      <c r="C44" s="1345"/>
      <c r="D44" s="1345"/>
      <c r="E44" s="1345"/>
      <c r="F44" s="1345"/>
      <c r="G44" s="1345"/>
      <c r="H44" s="1345"/>
      <c r="I44" s="1345"/>
      <c r="J44" s="1298" t="str">
        <f>J10</f>
        <v>SCHEDULE B-2.3</v>
      </c>
      <c r="K44" s="1345"/>
      <c r="L44" s="1345"/>
      <c r="M44" s="1350"/>
      <c r="N44" s="1345"/>
      <c r="O44" s="1345"/>
      <c r="P44" s="1345"/>
      <c r="Q44" s="1345"/>
      <c r="R44" s="1345"/>
      <c r="S44" s="1345"/>
      <c r="T44" s="1345"/>
      <c r="U44" s="1345"/>
    </row>
    <row r="45" spans="1:21">
      <c r="A45" s="1298" t="str">
        <f>A11</f>
        <v xml:space="preserve">TYPE OF FILING:  "X" ORIGINAL   UPDATED    REVISED  </v>
      </c>
      <c r="B45" s="1345"/>
      <c r="C45" s="1345"/>
      <c r="D45" s="1345"/>
      <c r="E45" s="1345"/>
      <c r="F45" s="1345"/>
      <c r="G45" s="1345"/>
      <c r="H45" s="1345"/>
      <c r="I45" s="1345"/>
      <c r="J45" s="1298" t="s">
        <v>497</v>
      </c>
      <c r="K45" s="1345"/>
      <c r="L45" s="1345"/>
      <c r="M45" s="1350"/>
      <c r="N45" s="1345"/>
      <c r="O45" s="1345"/>
      <c r="P45" s="1345"/>
      <c r="Q45" s="1345"/>
      <c r="R45" s="1345"/>
      <c r="S45" s="1345"/>
      <c r="T45" s="1345"/>
      <c r="U45" s="1345"/>
    </row>
    <row r="46" spans="1:21">
      <c r="A46" s="1298" t="str">
        <f>A12</f>
        <v>WORK PAPER REFERENCE NO(S).:</v>
      </c>
      <c r="B46" s="1345"/>
      <c r="C46" s="1345"/>
      <c r="D46" s="1345"/>
      <c r="E46" s="1345"/>
      <c r="F46" s="1345"/>
      <c r="G46" s="1345"/>
      <c r="H46" s="1345"/>
      <c r="I46" s="1345"/>
      <c r="J46" s="1346" t="s">
        <v>566</v>
      </c>
      <c r="K46" s="1345"/>
      <c r="L46" s="1345"/>
      <c r="M46" s="1350"/>
      <c r="N46" s="1345"/>
      <c r="O46" s="1345"/>
      <c r="P46" s="1345"/>
      <c r="Q46" s="1345"/>
      <c r="R46" s="1345"/>
      <c r="S46" s="1345"/>
      <c r="T46" s="1345"/>
      <c r="U46" s="1345"/>
    </row>
    <row r="47" spans="1:21">
      <c r="A47" s="1345"/>
      <c r="B47" s="1345"/>
      <c r="C47" s="1345"/>
      <c r="D47" s="1345"/>
      <c r="E47" s="1345"/>
      <c r="F47" s="1345"/>
      <c r="G47" s="1345"/>
      <c r="H47" s="1345"/>
      <c r="I47" s="1345"/>
      <c r="J47" s="1346" t="str">
        <f>J13</f>
        <v>R. H. PRATT / C. S. LEE</v>
      </c>
      <c r="K47" s="1345"/>
      <c r="L47" s="1345"/>
      <c r="M47" s="1350"/>
      <c r="N47" s="1345"/>
      <c r="O47" s="1345"/>
      <c r="P47" s="1345"/>
      <c r="Q47" s="1345"/>
      <c r="R47" s="1345"/>
      <c r="S47" s="1345"/>
      <c r="T47" s="1345"/>
      <c r="U47" s="1345"/>
    </row>
    <row r="48" spans="1:21">
      <c r="A48" s="1345"/>
      <c r="B48" s="1345"/>
      <c r="C48" s="1345"/>
      <c r="D48" s="1345"/>
      <c r="E48" s="1345"/>
      <c r="F48" s="1345"/>
      <c r="G48" s="1345"/>
      <c r="H48" s="1345"/>
      <c r="I48" s="1345"/>
      <c r="J48" s="1345"/>
      <c r="K48" s="1345"/>
      <c r="L48" s="1345"/>
      <c r="M48" s="1350"/>
      <c r="N48" s="1345"/>
      <c r="O48" s="1345"/>
      <c r="P48" s="1345"/>
      <c r="Q48" s="1345"/>
      <c r="R48" s="1345"/>
      <c r="S48" s="1345"/>
      <c r="T48" s="1345"/>
      <c r="U48" s="1345"/>
    </row>
    <row r="49" spans="1:21">
      <c r="A49" s="1345"/>
      <c r="B49" s="1345"/>
      <c r="C49" s="1345"/>
      <c r="D49" s="1345"/>
      <c r="E49" s="1345"/>
      <c r="F49" s="1345"/>
      <c r="G49" s="1345"/>
      <c r="H49" s="1347"/>
      <c r="I49" s="1345"/>
      <c r="J49" s="1345"/>
      <c r="K49" s="1345"/>
      <c r="L49" s="1345"/>
      <c r="M49" s="1350"/>
      <c r="N49" s="1345"/>
      <c r="O49" s="1345"/>
      <c r="P49" s="1345"/>
      <c r="Q49" s="1345"/>
      <c r="R49" s="1345"/>
      <c r="S49" s="1345"/>
      <c r="T49" s="1345"/>
      <c r="U49" s="1345"/>
    </row>
    <row r="50" spans="1:21">
      <c r="A50" s="599"/>
      <c r="B50" s="599"/>
      <c r="C50" s="607"/>
      <c r="D50" s="599"/>
      <c r="E50" s="599"/>
      <c r="F50" s="599"/>
      <c r="G50" s="599"/>
      <c r="I50" s="599"/>
      <c r="J50" s="599"/>
      <c r="K50" s="599"/>
      <c r="L50" s="1345"/>
      <c r="M50" s="1350"/>
      <c r="N50" s="1345"/>
      <c r="O50" s="1345"/>
      <c r="P50" s="1345"/>
      <c r="Q50" s="1345"/>
      <c r="R50" s="1345"/>
      <c r="S50" s="1345"/>
      <c r="T50" s="1345"/>
      <c r="U50" s="1345"/>
    </row>
    <row r="51" spans="1:21">
      <c r="A51" s="1345"/>
      <c r="B51" s="1348" t="s">
        <v>1041</v>
      </c>
      <c r="C51" s="1348" t="s">
        <v>2137</v>
      </c>
      <c r="D51" s="1345"/>
      <c r="E51" s="1345"/>
      <c r="F51" s="1345"/>
      <c r="G51" s="1345"/>
      <c r="H51" s="608" t="s">
        <v>1401</v>
      </c>
      <c r="I51" s="608"/>
      <c r="J51" s="608"/>
      <c r="K51" s="1345"/>
      <c r="L51" s="1345"/>
      <c r="M51" s="1350"/>
      <c r="N51" s="1345"/>
      <c r="O51" s="1345"/>
      <c r="P51" s="1345"/>
      <c r="Q51" s="1345"/>
      <c r="R51" s="1345"/>
      <c r="S51" s="1345"/>
      <c r="T51" s="1345"/>
      <c r="U51" s="1345"/>
    </row>
    <row r="52" spans="1:21">
      <c r="A52" s="1348" t="s">
        <v>1938</v>
      </c>
      <c r="B52" s="1348" t="s">
        <v>1150</v>
      </c>
      <c r="C52" s="1348" t="s">
        <v>1150</v>
      </c>
      <c r="D52" s="1348" t="s">
        <v>1987</v>
      </c>
      <c r="E52" s="1348" t="s">
        <v>1402</v>
      </c>
      <c r="F52" s="1345"/>
      <c r="G52" s="1345"/>
      <c r="H52" s="599"/>
      <c r="I52" s="602" t="s">
        <v>1403</v>
      </c>
      <c r="J52" s="602" t="s">
        <v>1404</v>
      </c>
      <c r="K52" s="1348" t="s">
        <v>1405</v>
      </c>
      <c r="L52" s="1345"/>
      <c r="M52" s="1350"/>
      <c r="N52" s="1345"/>
      <c r="O52" s="1345"/>
      <c r="P52" s="1345"/>
      <c r="Q52" s="1345"/>
      <c r="R52" s="1345"/>
      <c r="S52" s="1345"/>
      <c r="T52" s="1345"/>
      <c r="U52" s="1345"/>
    </row>
    <row r="53" spans="1:21">
      <c r="A53" s="1348" t="s">
        <v>1939</v>
      </c>
      <c r="B53" s="1348" t="s">
        <v>1939</v>
      </c>
      <c r="C53" s="1348" t="s">
        <v>1939</v>
      </c>
      <c r="D53" s="1348" t="s">
        <v>1406</v>
      </c>
      <c r="E53" s="1348" t="s">
        <v>1407</v>
      </c>
      <c r="F53" s="1348" t="s">
        <v>1408</v>
      </c>
      <c r="G53" s="1348" t="s">
        <v>1409</v>
      </c>
      <c r="H53" s="1348" t="s">
        <v>2125</v>
      </c>
      <c r="I53" s="1348" t="s">
        <v>1410</v>
      </c>
      <c r="J53" s="1348" t="s">
        <v>1411</v>
      </c>
      <c r="K53" s="1348" t="s">
        <v>1407</v>
      </c>
      <c r="L53" s="1345"/>
      <c r="M53" s="1350"/>
      <c r="N53" s="1345"/>
      <c r="O53" s="1345"/>
      <c r="P53" s="1345"/>
      <c r="Q53" s="1345"/>
      <c r="R53" s="1345"/>
      <c r="S53" s="1345"/>
      <c r="T53" s="1345"/>
      <c r="U53" s="1345"/>
    </row>
    <row r="54" spans="1:21">
      <c r="A54" s="1345"/>
      <c r="B54" s="1345"/>
      <c r="C54" s="1345"/>
      <c r="D54" s="1345"/>
      <c r="E54" s="1345"/>
      <c r="F54" s="1345"/>
      <c r="G54" s="1345"/>
      <c r="H54" s="1345"/>
      <c r="I54" s="1345"/>
      <c r="J54" s="1345"/>
      <c r="K54" s="1345"/>
      <c r="L54" s="1345"/>
      <c r="M54" s="1350"/>
      <c r="N54" s="1345"/>
      <c r="O54" s="1345"/>
      <c r="P54" s="1345"/>
      <c r="Q54" s="1345"/>
      <c r="R54" s="1345"/>
      <c r="S54" s="1345"/>
      <c r="T54" s="1345"/>
      <c r="U54" s="1345"/>
    </row>
    <row r="55" spans="1:21">
      <c r="A55" s="599"/>
      <c r="B55" s="599"/>
      <c r="C55" s="599"/>
      <c r="D55" s="599"/>
      <c r="E55" s="602" t="s">
        <v>695</v>
      </c>
      <c r="F55" s="602" t="s">
        <v>695</v>
      </c>
      <c r="G55" s="602" t="s">
        <v>695</v>
      </c>
      <c r="H55" s="602" t="s">
        <v>695</v>
      </c>
      <c r="I55" s="599"/>
      <c r="J55" s="599"/>
      <c r="K55" s="602" t="s">
        <v>695</v>
      </c>
      <c r="L55" s="1345"/>
      <c r="M55" s="1350"/>
      <c r="N55" s="1345"/>
      <c r="O55" s="1345"/>
      <c r="P55" s="1345"/>
      <c r="Q55" s="1345"/>
      <c r="R55" s="1345"/>
      <c r="S55" s="1345"/>
      <c r="T55" s="1345"/>
      <c r="U55" s="1345"/>
    </row>
    <row r="56" spans="1:21">
      <c r="A56" s="1345"/>
      <c r="B56" s="1345"/>
      <c r="C56" s="1345"/>
      <c r="D56" s="1345"/>
      <c r="E56" s="1345"/>
      <c r="F56" s="1345"/>
      <c r="G56" s="1345"/>
      <c r="H56" s="1345"/>
      <c r="I56" s="1345"/>
      <c r="J56" s="1345"/>
      <c r="K56" s="1345"/>
      <c r="L56" s="1345"/>
      <c r="M56" s="1350"/>
      <c r="N56" s="1345"/>
      <c r="O56" s="1345"/>
      <c r="P56" s="1345"/>
      <c r="Q56" s="1345"/>
      <c r="R56" s="1345"/>
      <c r="S56" s="1345"/>
      <c r="T56" s="1345"/>
      <c r="U56" s="1345"/>
    </row>
    <row r="57" spans="1:21">
      <c r="A57" s="1348">
        <v>1</v>
      </c>
      <c r="B57" s="2953" t="s">
        <v>1166</v>
      </c>
      <c r="C57" s="2953">
        <v>27400</v>
      </c>
      <c r="D57" s="2758" t="s">
        <v>1167</v>
      </c>
      <c r="E57" s="2755">
        <v>43358</v>
      </c>
      <c r="F57" s="2755">
        <v>0</v>
      </c>
      <c r="G57" s="2755">
        <v>0</v>
      </c>
      <c r="H57" s="2755"/>
      <c r="I57" s="2757"/>
      <c r="J57" s="2757"/>
      <c r="K57" s="1349">
        <f t="shared" ref="K57:K79" si="0">E57+F57-G57+H57</f>
        <v>43358</v>
      </c>
      <c r="L57" s="1350"/>
      <c r="M57" s="1350"/>
      <c r="N57" s="1345"/>
      <c r="O57" s="1345"/>
      <c r="P57" s="1345"/>
      <c r="Q57" s="1345"/>
      <c r="R57" s="1345"/>
      <c r="S57" s="1345"/>
      <c r="T57" s="1345"/>
      <c r="U57" s="1345"/>
    </row>
    <row r="58" spans="1:21">
      <c r="A58" s="1348">
        <f>1+A57</f>
        <v>2</v>
      </c>
      <c r="B58" s="2953" t="s">
        <v>1166</v>
      </c>
      <c r="C58" s="2953">
        <v>27401</v>
      </c>
      <c r="D58" s="2758" t="s">
        <v>1156</v>
      </c>
      <c r="E58" s="2755">
        <v>1095119</v>
      </c>
      <c r="F58" s="2755">
        <v>0</v>
      </c>
      <c r="G58" s="2755">
        <v>0</v>
      </c>
      <c r="H58" s="2755"/>
      <c r="I58" s="2757"/>
      <c r="J58" s="2757"/>
      <c r="K58" s="1349">
        <f t="shared" si="0"/>
        <v>1095119</v>
      </c>
      <c r="L58" s="1350"/>
      <c r="M58" s="1350"/>
      <c r="N58" s="1345"/>
      <c r="O58" s="1345"/>
      <c r="P58" s="1345"/>
      <c r="Q58" s="1345"/>
      <c r="R58" s="1345"/>
      <c r="S58" s="1345"/>
      <c r="T58" s="1345"/>
      <c r="U58" s="1345"/>
    </row>
    <row r="59" spans="1:21">
      <c r="A59" s="1348">
        <f t="shared" ref="A59:A79" si="1">1+A58</f>
        <v>3</v>
      </c>
      <c r="B59" s="2953" t="s">
        <v>1168</v>
      </c>
      <c r="C59" s="2953">
        <v>27500</v>
      </c>
      <c r="D59" s="2758" t="s">
        <v>1159</v>
      </c>
      <c r="E59" s="2755">
        <v>555988</v>
      </c>
      <c r="F59" s="2755">
        <v>21534</v>
      </c>
      <c r="G59" s="2755">
        <v>0</v>
      </c>
      <c r="H59" s="2755"/>
      <c r="I59" s="2757"/>
      <c r="J59" s="2757"/>
      <c r="K59" s="1349">
        <f t="shared" si="0"/>
        <v>577522</v>
      </c>
      <c r="L59" s="1350"/>
      <c r="M59" s="1350"/>
      <c r="N59" s="1345"/>
      <c r="O59" s="1345"/>
      <c r="P59" s="1345"/>
      <c r="Q59" s="1345"/>
      <c r="R59" s="1345"/>
      <c r="S59" s="1345"/>
      <c r="T59" s="1345"/>
      <c r="U59" s="1345"/>
    </row>
    <row r="60" spans="1:21">
      <c r="A60" s="1348">
        <f t="shared" si="1"/>
        <v>4</v>
      </c>
      <c r="B60" s="2953" t="s">
        <v>1169</v>
      </c>
      <c r="C60" s="2953">
        <v>27601</v>
      </c>
      <c r="D60" s="2758" t="s">
        <v>1170</v>
      </c>
      <c r="E60" s="2755">
        <v>982749</v>
      </c>
      <c r="F60" s="2755">
        <v>0</v>
      </c>
      <c r="G60" s="2755">
        <v>0</v>
      </c>
      <c r="H60" s="2755"/>
      <c r="I60" s="2757"/>
      <c r="J60" s="2757"/>
      <c r="K60" s="1349">
        <f t="shared" si="0"/>
        <v>982749</v>
      </c>
      <c r="L60" s="1350"/>
      <c r="M60" s="1350"/>
      <c r="N60" s="1345"/>
      <c r="O60" s="1345"/>
      <c r="P60" s="1345"/>
      <c r="Q60" s="1345"/>
      <c r="R60" s="1345"/>
      <c r="S60" s="1345"/>
      <c r="T60" s="1345"/>
      <c r="U60" s="1345"/>
    </row>
    <row r="61" spans="1:21">
      <c r="A61" s="1348">
        <f t="shared" si="1"/>
        <v>5</v>
      </c>
      <c r="B61" s="2953" t="s">
        <v>1169</v>
      </c>
      <c r="C61" s="2953" t="s">
        <v>2270</v>
      </c>
      <c r="D61" s="2758" t="s">
        <v>1171</v>
      </c>
      <c r="E61" s="2755">
        <v>83504430</v>
      </c>
      <c r="F61" s="2755">
        <v>22276655</v>
      </c>
      <c r="G61" s="2755">
        <v>48563</v>
      </c>
      <c r="H61" s="2755"/>
      <c r="I61" s="2757"/>
      <c r="J61" s="2757"/>
      <c r="K61" s="1349">
        <f t="shared" si="0"/>
        <v>105732522</v>
      </c>
      <c r="L61" s="1350"/>
      <c r="M61" s="1350"/>
      <c r="N61" s="1345"/>
      <c r="O61" s="1345"/>
      <c r="P61" s="1345"/>
      <c r="Q61" s="1345"/>
      <c r="R61" s="1345"/>
      <c r="S61" s="1345"/>
      <c r="T61" s="1345"/>
      <c r="U61" s="1345"/>
    </row>
    <row r="62" spans="1:21">
      <c r="A62" s="1348">
        <f t="shared" si="1"/>
        <v>6</v>
      </c>
      <c r="B62" s="2953" t="s">
        <v>1169</v>
      </c>
      <c r="C62" s="2953" t="s">
        <v>2271</v>
      </c>
      <c r="D62" s="2758" t="s">
        <v>1081</v>
      </c>
      <c r="E62" s="2755">
        <v>149291614</v>
      </c>
      <c r="F62" s="2755">
        <v>580646</v>
      </c>
      <c r="G62" s="2755">
        <v>58233</v>
      </c>
      <c r="H62" s="2755"/>
      <c r="I62" s="2757"/>
      <c r="J62" s="2757"/>
      <c r="K62" s="1349">
        <f t="shared" si="0"/>
        <v>149814027</v>
      </c>
      <c r="L62" s="1350"/>
      <c r="M62" s="1350"/>
      <c r="N62" s="1345"/>
      <c r="O62" s="1345"/>
      <c r="P62" s="1345"/>
      <c r="Q62" s="1345"/>
      <c r="R62" s="1345"/>
      <c r="S62" s="1345"/>
      <c r="T62" s="1345"/>
      <c r="U62" s="1345"/>
    </row>
    <row r="63" spans="1:21">
      <c r="A63" s="1348">
        <f t="shared" si="1"/>
        <v>7</v>
      </c>
      <c r="B63" s="2953" t="s">
        <v>1169</v>
      </c>
      <c r="C63" s="2953">
        <v>27605</v>
      </c>
      <c r="D63" s="2758" t="s">
        <v>1189</v>
      </c>
      <c r="E63" s="2755">
        <v>33744569</v>
      </c>
      <c r="F63" s="2755">
        <v>-441107</v>
      </c>
      <c r="G63" s="2755">
        <v>-412539</v>
      </c>
      <c r="H63" s="2755"/>
      <c r="I63" s="2757"/>
      <c r="J63" s="2757"/>
      <c r="K63" s="1349">
        <f t="shared" si="0"/>
        <v>33716001</v>
      </c>
      <c r="L63" s="1350"/>
      <c r="M63" s="1350"/>
      <c r="N63" s="1345"/>
      <c r="O63" s="1345"/>
      <c r="P63" s="1345"/>
      <c r="Q63" s="1345"/>
      <c r="R63" s="1345"/>
      <c r="S63" s="1345"/>
      <c r="T63" s="1345"/>
      <c r="U63" s="1345"/>
    </row>
    <row r="64" spans="1:21">
      <c r="A64" s="1348">
        <f t="shared" si="1"/>
        <v>8</v>
      </c>
      <c r="B64" s="2953" t="s">
        <v>1190</v>
      </c>
      <c r="C64" s="2953">
        <v>27800</v>
      </c>
      <c r="D64" s="2758" t="s">
        <v>1191</v>
      </c>
      <c r="E64" s="2755">
        <v>6554634</v>
      </c>
      <c r="F64" s="2755">
        <v>794783</v>
      </c>
      <c r="G64" s="2755">
        <v>0</v>
      </c>
      <c r="H64" s="2755"/>
      <c r="I64" s="2758"/>
      <c r="J64" s="2758"/>
      <c r="K64" s="1349">
        <f t="shared" si="0"/>
        <v>7349417</v>
      </c>
      <c r="L64" s="1350"/>
      <c r="M64" s="1350"/>
      <c r="N64" s="1345"/>
      <c r="O64" s="1345"/>
      <c r="P64" s="1345"/>
      <c r="Q64" s="1345"/>
      <c r="R64" s="1345"/>
      <c r="S64" s="1345"/>
      <c r="T64" s="1345"/>
      <c r="U64" s="1345"/>
    </row>
    <row r="65" spans="1:21">
      <c r="A65" s="1348">
        <f t="shared" si="1"/>
        <v>9</v>
      </c>
      <c r="B65" s="2953" t="s">
        <v>1190</v>
      </c>
      <c r="C65" s="2953">
        <v>27801</v>
      </c>
      <c r="D65" s="2758" t="s">
        <v>1311</v>
      </c>
      <c r="E65" s="2755">
        <v>1136973</v>
      </c>
      <c r="F65" s="2755">
        <v>156184</v>
      </c>
      <c r="G65" s="2755">
        <v>0</v>
      </c>
      <c r="H65" s="2755"/>
      <c r="I65" s="2758"/>
      <c r="J65" s="2758"/>
      <c r="K65" s="1349">
        <f t="shared" si="0"/>
        <v>1293157</v>
      </c>
      <c r="L65" s="1350"/>
      <c r="M65" s="1345"/>
      <c r="N65" s="1345"/>
      <c r="O65" s="1345"/>
      <c r="P65" s="1345"/>
      <c r="Q65" s="1345"/>
      <c r="R65" s="1345"/>
      <c r="S65" s="1345"/>
      <c r="T65" s="1345"/>
      <c r="U65" s="1345"/>
    </row>
    <row r="66" spans="1:21">
      <c r="A66" s="1348">
        <f t="shared" si="1"/>
        <v>10</v>
      </c>
      <c r="B66" s="2953" t="s">
        <v>1190</v>
      </c>
      <c r="C66" s="2953">
        <v>27802</v>
      </c>
      <c r="D66" s="2758" t="s">
        <v>1085</v>
      </c>
      <c r="E66" s="2755">
        <v>2302853</v>
      </c>
      <c r="F66" s="2755">
        <v>116323</v>
      </c>
      <c r="G66" s="2755">
        <v>0</v>
      </c>
      <c r="H66" s="2755"/>
      <c r="I66" s="2757"/>
      <c r="J66" s="2757"/>
      <c r="K66" s="1349">
        <f t="shared" si="0"/>
        <v>2419176</v>
      </c>
      <c r="L66" s="1350"/>
      <c r="M66" s="1345"/>
      <c r="N66" s="1345"/>
      <c r="O66" s="1345"/>
      <c r="P66" s="1345"/>
      <c r="Q66" s="1345"/>
      <c r="R66" s="1345"/>
      <c r="S66" s="1345"/>
      <c r="T66" s="1345"/>
      <c r="U66" s="1345"/>
    </row>
    <row r="67" spans="1:21">
      <c r="A67" s="1348">
        <f t="shared" si="1"/>
        <v>11</v>
      </c>
      <c r="B67" s="2953" t="s">
        <v>1086</v>
      </c>
      <c r="C67" s="2953">
        <v>28001</v>
      </c>
      <c r="D67" s="2758" t="s">
        <v>1087</v>
      </c>
      <c r="E67" s="2755">
        <v>3546047</v>
      </c>
      <c r="F67" s="2755">
        <v>0</v>
      </c>
      <c r="G67" s="2755">
        <v>215238</v>
      </c>
      <c r="H67" s="2755"/>
      <c r="I67" s="2757"/>
      <c r="J67" s="2759"/>
      <c r="K67" s="1349">
        <f t="shared" si="0"/>
        <v>3330809</v>
      </c>
      <c r="L67" s="1350"/>
      <c r="M67" s="1350"/>
      <c r="N67" s="1345"/>
      <c r="O67" s="1345"/>
      <c r="P67" s="1345"/>
      <c r="Q67" s="1345"/>
      <c r="R67" s="1345"/>
      <c r="S67" s="1345"/>
      <c r="T67" s="1345"/>
      <c r="U67" s="1345"/>
    </row>
    <row r="68" spans="1:21">
      <c r="A68" s="1348">
        <f t="shared" si="1"/>
        <v>12</v>
      </c>
      <c r="B68" s="2953" t="s">
        <v>1086</v>
      </c>
      <c r="C68" s="2953" t="s">
        <v>2272</v>
      </c>
      <c r="D68" s="2758" t="s">
        <v>1088</v>
      </c>
      <c r="E68" s="2755">
        <v>8827968</v>
      </c>
      <c r="F68" s="2755">
        <v>70473</v>
      </c>
      <c r="G68" s="2755">
        <v>45019</v>
      </c>
      <c r="H68" s="2755"/>
      <c r="I68" s="2757"/>
      <c r="J68" s="2759"/>
      <c r="K68" s="1349">
        <f t="shared" si="0"/>
        <v>8853422</v>
      </c>
      <c r="L68" s="1350"/>
      <c r="M68" s="1350"/>
      <c r="N68" s="1345"/>
      <c r="O68" s="1345"/>
      <c r="P68" s="1345"/>
      <c r="Q68" s="1345"/>
      <c r="R68" s="1345"/>
      <c r="S68" s="1345"/>
      <c r="T68" s="1345"/>
      <c r="U68" s="1345"/>
    </row>
    <row r="69" spans="1:21">
      <c r="A69" s="1348">
        <f t="shared" si="1"/>
        <v>13</v>
      </c>
      <c r="B69" s="2953" t="s">
        <v>1086</v>
      </c>
      <c r="C69" s="2953" t="s">
        <v>2273</v>
      </c>
      <c r="D69" s="2758" t="s">
        <v>1089</v>
      </c>
      <c r="E69" s="2755">
        <v>146581307</v>
      </c>
      <c r="F69" s="2755">
        <v>5154752</v>
      </c>
      <c r="G69" s="2755">
        <v>385396</v>
      </c>
      <c r="H69" s="2755"/>
      <c r="I69" s="2757"/>
      <c r="J69" s="2759"/>
      <c r="K69" s="1349">
        <f t="shared" si="0"/>
        <v>151350663</v>
      </c>
      <c r="L69" s="1350"/>
      <c r="M69" s="1350"/>
      <c r="N69" s="1345"/>
      <c r="O69" s="1345"/>
      <c r="P69" s="1345"/>
      <c r="Q69" s="1345"/>
      <c r="R69" s="1345"/>
      <c r="S69" s="1345"/>
      <c r="T69" s="1345"/>
      <c r="U69" s="1345"/>
    </row>
    <row r="70" spans="1:21">
      <c r="A70" s="1348">
        <f t="shared" si="1"/>
        <v>14</v>
      </c>
      <c r="B70" s="2953" t="s">
        <v>1312</v>
      </c>
      <c r="C70" s="3186" t="s">
        <v>2274</v>
      </c>
      <c r="D70" s="2758" t="s">
        <v>1558</v>
      </c>
      <c r="E70" s="2755">
        <v>14160850</v>
      </c>
      <c r="F70" s="2755">
        <v>1216584</v>
      </c>
      <c r="G70" s="2755">
        <v>1101342</v>
      </c>
      <c r="H70" s="2755"/>
      <c r="I70" s="2757"/>
      <c r="J70" s="2759"/>
      <c r="K70" s="1349">
        <f t="shared" si="0"/>
        <v>14276092</v>
      </c>
      <c r="L70" s="1350"/>
      <c r="M70" s="1350"/>
      <c r="N70" s="1345"/>
      <c r="O70" s="1345"/>
      <c r="P70" s="1345"/>
      <c r="Q70" s="1345"/>
      <c r="R70" s="1345"/>
      <c r="S70" s="1345"/>
      <c r="T70" s="1345"/>
      <c r="U70" s="1345"/>
    </row>
    <row r="71" spans="1:21">
      <c r="A71" s="1348">
        <f t="shared" si="1"/>
        <v>15</v>
      </c>
      <c r="B71" s="2953">
        <v>382</v>
      </c>
      <c r="C71" s="3186" t="s">
        <v>2275</v>
      </c>
      <c r="D71" s="2758" t="s">
        <v>1091</v>
      </c>
      <c r="E71" s="2755">
        <v>10424840</v>
      </c>
      <c r="F71" s="2755">
        <v>0</v>
      </c>
      <c r="G71" s="2755">
        <v>0</v>
      </c>
      <c r="H71" s="2755"/>
      <c r="I71" s="2759"/>
      <c r="J71" s="2759"/>
      <c r="K71" s="1349">
        <f t="shared" si="0"/>
        <v>10424840</v>
      </c>
      <c r="L71" s="1350"/>
      <c r="M71" s="1350"/>
      <c r="N71" s="1345"/>
      <c r="O71" s="1345"/>
      <c r="P71" s="1345"/>
      <c r="Q71" s="1345"/>
      <c r="R71" s="1345"/>
      <c r="S71" s="1345"/>
      <c r="T71" s="1345"/>
      <c r="U71" s="1345"/>
    </row>
    <row r="72" spans="1:21">
      <c r="A72" s="1348">
        <f t="shared" si="1"/>
        <v>16</v>
      </c>
      <c r="B72" s="2953" t="s">
        <v>1092</v>
      </c>
      <c r="C72" s="2953" t="s">
        <v>2276</v>
      </c>
      <c r="D72" s="2758" t="s">
        <v>1093</v>
      </c>
      <c r="E72" s="2755">
        <v>6751002</v>
      </c>
      <c r="F72" s="2755">
        <v>0</v>
      </c>
      <c r="G72" s="2755">
        <v>76214</v>
      </c>
      <c r="H72" s="2755"/>
      <c r="I72" s="2758"/>
      <c r="J72" s="2760"/>
      <c r="K72" s="1349">
        <f t="shared" si="0"/>
        <v>6674788</v>
      </c>
      <c r="L72" s="1350"/>
      <c r="M72" s="1350"/>
      <c r="N72" s="1345"/>
      <c r="O72" s="1345"/>
      <c r="P72" s="1345"/>
      <c r="Q72" s="1345"/>
      <c r="R72" s="1345"/>
      <c r="S72" s="1345"/>
      <c r="T72" s="1345"/>
      <c r="U72" s="1345"/>
    </row>
    <row r="73" spans="1:21">
      <c r="A73" s="1348">
        <f t="shared" si="1"/>
        <v>17</v>
      </c>
      <c r="B73" s="2953" t="s">
        <v>1094</v>
      </c>
      <c r="C73" s="2953" t="s">
        <v>2277</v>
      </c>
      <c r="D73" s="2758" t="s">
        <v>1095</v>
      </c>
      <c r="E73" s="2755">
        <v>5939296</v>
      </c>
      <c r="F73" s="2755">
        <v>0</v>
      </c>
      <c r="G73" s="2755">
        <v>61</v>
      </c>
      <c r="H73" s="2755"/>
      <c r="I73" s="2759"/>
      <c r="J73" s="2759"/>
      <c r="K73" s="1349">
        <f t="shared" si="0"/>
        <v>5939235</v>
      </c>
      <c r="L73" s="1350"/>
      <c r="M73" s="1345"/>
      <c r="N73" s="1345"/>
      <c r="O73" s="1345"/>
      <c r="P73" s="1345"/>
      <c r="Q73" s="1345"/>
      <c r="R73" s="1345"/>
      <c r="S73" s="1345"/>
      <c r="T73" s="1345"/>
      <c r="U73" s="1345"/>
    </row>
    <row r="74" spans="1:21">
      <c r="A74" s="1348">
        <f t="shared" si="1"/>
        <v>18</v>
      </c>
      <c r="B74" s="2953" t="s">
        <v>1096</v>
      </c>
      <c r="C74" s="2953">
        <v>28500</v>
      </c>
      <c r="D74" s="2758" t="s">
        <v>1097</v>
      </c>
      <c r="E74" s="2755">
        <v>455084</v>
      </c>
      <c r="F74" s="2755">
        <v>0</v>
      </c>
      <c r="G74" s="2755">
        <v>0</v>
      </c>
      <c r="H74" s="2755"/>
      <c r="I74" s="2758"/>
      <c r="J74" s="2758"/>
      <c r="K74" s="1349">
        <f t="shared" si="0"/>
        <v>455084</v>
      </c>
      <c r="L74" s="1350"/>
      <c r="M74" s="1350"/>
      <c r="N74" s="1345"/>
      <c r="O74" s="1345"/>
      <c r="P74" s="1345"/>
      <c r="Q74" s="1345"/>
      <c r="R74" s="1345"/>
      <c r="S74" s="1345"/>
      <c r="T74" s="1345"/>
      <c r="U74" s="1345"/>
    </row>
    <row r="75" spans="1:21">
      <c r="A75" s="1348">
        <f t="shared" si="1"/>
        <v>19</v>
      </c>
      <c r="B75" s="2953" t="s">
        <v>1096</v>
      </c>
      <c r="C75" s="2953">
        <v>28501</v>
      </c>
      <c r="D75" s="2758" t="s">
        <v>1098</v>
      </c>
      <c r="E75" s="2755">
        <v>64791</v>
      </c>
      <c r="F75" s="2755">
        <v>0</v>
      </c>
      <c r="G75" s="2755">
        <v>0</v>
      </c>
      <c r="H75" s="2755"/>
      <c r="I75" s="2757"/>
      <c r="J75" s="2757"/>
      <c r="K75" s="1349">
        <f t="shared" si="0"/>
        <v>64791</v>
      </c>
      <c r="L75" s="1350"/>
      <c r="M75" s="1350"/>
      <c r="N75" s="1345"/>
      <c r="O75" s="1345"/>
      <c r="P75" s="1345"/>
      <c r="Q75" s="1345"/>
      <c r="R75" s="1345"/>
      <c r="S75" s="1345"/>
      <c r="T75" s="1345"/>
      <c r="U75" s="1345"/>
    </row>
    <row r="76" spans="1:21">
      <c r="A76" s="1348">
        <f t="shared" si="1"/>
        <v>20</v>
      </c>
      <c r="B76" s="2953">
        <v>387</v>
      </c>
      <c r="C76" s="2953">
        <v>28700</v>
      </c>
      <c r="D76" s="2758" t="s">
        <v>1099</v>
      </c>
      <c r="E76" s="2755">
        <v>21447</v>
      </c>
      <c r="F76" s="2755">
        <v>0</v>
      </c>
      <c r="G76" s="2755">
        <v>0</v>
      </c>
      <c r="H76" s="2755"/>
      <c r="I76" s="2757"/>
      <c r="J76" s="2757"/>
      <c r="K76" s="1349">
        <f t="shared" si="0"/>
        <v>21447</v>
      </c>
      <c r="L76" s="1350"/>
      <c r="M76" s="1350"/>
      <c r="N76" s="1345"/>
      <c r="O76" s="1345"/>
      <c r="P76" s="1345"/>
      <c r="Q76" s="1345"/>
      <c r="R76" s="1345"/>
      <c r="S76" s="1345"/>
      <c r="T76" s="1345"/>
      <c r="U76" s="1345"/>
    </row>
    <row r="77" spans="1:21">
      <c r="A77" s="1348">
        <f t="shared" si="1"/>
        <v>21</v>
      </c>
      <c r="B77" s="2953" t="s">
        <v>1100</v>
      </c>
      <c r="C77" s="2953">
        <v>28701</v>
      </c>
      <c r="D77" s="2758" t="s">
        <v>1101</v>
      </c>
      <c r="E77" s="2755">
        <v>28290</v>
      </c>
      <c r="F77" s="2755">
        <v>0</v>
      </c>
      <c r="G77" s="2755">
        <v>0</v>
      </c>
      <c r="H77" s="2755"/>
      <c r="I77" s="2757"/>
      <c r="J77" s="2759"/>
      <c r="K77" s="1349">
        <f t="shared" si="0"/>
        <v>28290</v>
      </c>
      <c r="L77" s="1350"/>
      <c r="M77" s="1350"/>
      <c r="N77" s="1345"/>
      <c r="O77" s="1345"/>
      <c r="P77" s="1345"/>
      <c r="Q77" s="1345"/>
      <c r="R77" s="1345"/>
      <c r="S77" s="1345"/>
      <c r="T77" s="1345"/>
      <c r="U77" s="1345"/>
    </row>
    <row r="78" spans="1:21">
      <c r="A78" s="1348">
        <f t="shared" si="1"/>
        <v>22</v>
      </c>
      <c r="B78" s="2757"/>
      <c r="C78" s="2953"/>
      <c r="D78" s="2758" t="s">
        <v>2314</v>
      </c>
      <c r="E78" s="2755">
        <v>2242134</v>
      </c>
      <c r="F78" s="2755">
        <v>1207326</v>
      </c>
      <c r="G78" s="2755">
        <v>-134086</v>
      </c>
      <c r="H78" s="2755"/>
      <c r="I78" s="2759"/>
      <c r="J78" s="2759"/>
      <c r="K78" s="1349">
        <f t="shared" si="0"/>
        <v>3583546</v>
      </c>
      <c r="L78" s="1350"/>
      <c r="M78" s="1350"/>
      <c r="N78" s="1345"/>
      <c r="O78" s="1345"/>
      <c r="P78" s="1345"/>
      <c r="Q78" s="1345"/>
      <c r="R78" s="1345"/>
      <c r="S78" s="1345"/>
      <c r="T78" s="1345"/>
      <c r="U78" s="1345"/>
    </row>
    <row r="79" spans="1:21">
      <c r="A79" s="1348">
        <f t="shared" si="1"/>
        <v>23</v>
      </c>
      <c r="B79" s="2757"/>
      <c r="C79" s="2757"/>
      <c r="D79" s="2757" t="s">
        <v>1385</v>
      </c>
      <c r="E79" s="1351"/>
      <c r="F79" s="2762">
        <v>25395218</v>
      </c>
      <c r="G79" s="2762">
        <v>0</v>
      </c>
      <c r="H79" s="1351"/>
      <c r="I79" s="1351"/>
      <c r="J79" s="1351"/>
      <c r="K79" s="1349">
        <f t="shared" si="0"/>
        <v>25395218</v>
      </c>
      <c r="L79" s="1350"/>
      <c r="M79" s="1350"/>
      <c r="N79" s="1345"/>
      <c r="O79" s="1345"/>
      <c r="P79" s="1345"/>
      <c r="Q79" s="1345"/>
      <c r="R79" s="1345"/>
      <c r="S79" s="1345"/>
      <c r="T79" s="1345"/>
      <c r="U79" s="1345"/>
    </row>
    <row r="80" spans="1:21">
      <c r="A80" s="1345"/>
      <c r="B80" s="1345"/>
      <c r="C80" s="1345"/>
      <c r="D80" s="1345"/>
      <c r="E80" s="1351"/>
      <c r="F80" s="1465"/>
      <c r="G80" s="1351"/>
      <c r="H80" s="1351"/>
      <c r="I80" s="1351"/>
      <c r="J80" s="1351"/>
      <c r="K80" s="1351"/>
      <c r="L80" s="1350"/>
      <c r="M80" s="1350"/>
      <c r="N80" s="1345"/>
      <c r="O80" s="1345"/>
      <c r="P80" s="1345"/>
      <c r="Q80" s="1345"/>
      <c r="R80" s="1345"/>
      <c r="S80" s="1345"/>
      <c r="T80" s="1345"/>
      <c r="U80" s="1345"/>
    </row>
    <row r="81" spans="1:21">
      <c r="A81" s="599"/>
      <c r="B81" s="599"/>
      <c r="C81" s="599"/>
      <c r="D81" s="599"/>
      <c r="E81" s="601"/>
      <c r="F81" s="611"/>
      <c r="G81" s="601"/>
      <c r="H81" s="601"/>
      <c r="I81" s="601"/>
      <c r="J81" s="610"/>
      <c r="K81" s="601"/>
      <c r="L81" s="1350"/>
      <c r="M81" s="1350"/>
      <c r="N81" s="1345"/>
      <c r="O81" s="1345"/>
      <c r="P81" s="1345"/>
      <c r="Q81" s="1345"/>
      <c r="R81" s="1345"/>
      <c r="S81" s="1345"/>
      <c r="T81" s="1345"/>
      <c r="U81" s="1345"/>
    </row>
    <row r="82" spans="1:21">
      <c r="A82" s="1348">
        <f>A79+1</f>
        <v>24</v>
      </c>
      <c r="B82" s="1345"/>
      <c r="C82" s="1345"/>
      <c r="D82" s="1298" t="s">
        <v>1102</v>
      </c>
      <c r="E82" s="1351">
        <f t="shared" ref="E82:H82" si="2">SUM(E57:E79)</f>
        <v>478255343</v>
      </c>
      <c r="F82" s="1351">
        <f t="shared" si="2"/>
        <v>56549371</v>
      </c>
      <c r="G82" s="1351">
        <f t="shared" si="2"/>
        <v>1383441</v>
      </c>
      <c r="H82" s="1351">
        <f t="shared" si="2"/>
        <v>0</v>
      </c>
      <c r="I82" s="1351"/>
      <c r="J82" s="1350"/>
      <c r="K82" s="1351">
        <f>SUM(K57:K79)</f>
        <v>533421273</v>
      </c>
      <c r="L82" s="1350"/>
      <c r="M82" s="1350"/>
      <c r="N82" s="1345"/>
      <c r="O82" s="1345"/>
      <c r="P82" s="1345"/>
      <c r="Q82" s="1345"/>
      <c r="R82" s="1345"/>
      <c r="S82" s="1345"/>
      <c r="T82" s="1345"/>
      <c r="U82" s="1345"/>
    </row>
    <row r="83" spans="1:21">
      <c r="A83" s="1345"/>
      <c r="B83" s="1345"/>
      <c r="C83" s="1345"/>
      <c r="D83" s="1345"/>
      <c r="E83" s="1351"/>
      <c r="F83" s="1465"/>
      <c r="G83" s="1351"/>
      <c r="H83" s="1351"/>
      <c r="I83" s="1351"/>
      <c r="J83" s="1351"/>
      <c r="K83" s="1351"/>
      <c r="L83" s="1350"/>
      <c r="M83" s="1350"/>
      <c r="N83" s="1345"/>
      <c r="O83" s="1345"/>
      <c r="P83" s="1345"/>
      <c r="Q83" s="1345"/>
      <c r="R83" s="1345"/>
      <c r="S83" s="1345"/>
      <c r="T83" s="1345"/>
      <c r="U83" s="1345"/>
    </row>
    <row r="84" spans="1:21">
      <c r="A84" s="599"/>
      <c r="B84" s="599"/>
      <c r="C84" s="599"/>
      <c r="D84" s="599"/>
      <c r="E84" s="601"/>
      <c r="F84" s="601"/>
      <c r="G84" s="601"/>
      <c r="H84" s="601"/>
      <c r="I84" s="610"/>
      <c r="J84" s="610"/>
      <c r="K84" s="601"/>
      <c r="L84" s="1350"/>
      <c r="M84" s="1350"/>
      <c r="N84" s="1345"/>
      <c r="O84" s="1345"/>
      <c r="P84" s="1345"/>
      <c r="Q84" s="1345"/>
      <c r="R84" s="1345"/>
      <c r="S84" s="1345"/>
      <c r="T84" s="1345"/>
      <c r="U84" s="1345"/>
    </row>
    <row r="85" spans="1:21">
      <c r="A85" s="1298"/>
      <c r="B85" s="1345"/>
      <c r="C85" s="1345"/>
      <c r="D85" s="1345"/>
      <c r="E85" s="1345"/>
      <c r="F85" s="1345"/>
      <c r="G85" s="1345"/>
      <c r="H85" s="1345"/>
      <c r="I85" s="1345"/>
      <c r="J85" s="1345"/>
      <c r="K85" s="1345"/>
      <c r="L85" s="1350"/>
      <c r="M85" s="1350"/>
      <c r="N85" s="1345"/>
      <c r="O85" s="1345"/>
      <c r="P85" s="1345"/>
      <c r="Q85" s="1345"/>
      <c r="R85" s="1345"/>
      <c r="S85" s="1345"/>
      <c r="T85" s="1345"/>
      <c r="U85" s="1345"/>
    </row>
    <row r="86" spans="1:21">
      <c r="A86" s="684" t="str">
        <f>A1</f>
        <v>DUKE ENERGY KENTUCKY, INC.</v>
      </c>
      <c r="B86" s="1343"/>
      <c r="C86" s="1343"/>
      <c r="D86" s="1343"/>
      <c r="E86" s="684"/>
      <c r="F86" s="1343"/>
      <c r="G86" s="1343"/>
      <c r="H86" s="1343"/>
      <c r="I86" s="1343"/>
      <c r="J86" s="1343"/>
      <c r="K86" s="1343"/>
      <c r="L86" s="1345"/>
      <c r="M86" s="1350"/>
      <c r="N86" s="1345"/>
      <c r="O86" s="1345"/>
      <c r="P86" s="1345"/>
      <c r="Q86" s="1345"/>
      <c r="R86" s="1345"/>
      <c r="S86" s="1345"/>
      <c r="T86" s="1345"/>
      <c r="U86" s="1345"/>
    </row>
    <row r="87" spans="1:21">
      <c r="A87" s="684" t="str">
        <f>A2</f>
        <v>CASE NO. 2018-00261</v>
      </c>
      <c r="B87" s="1343"/>
      <c r="C87" s="1343"/>
      <c r="D87" s="1343"/>
      <c r="E87" s="684"/>
      <c r="F87" s="1343"/>
      <c r="G87" s="1343"/>
      <c r="H87" s="1343"/>
      <c r="I87" s="1343"/>
      <c r="J87" s="1343"/>
      <c r="K87" s="1343"/>
      <c r="L87" s="1345"/>
      <c r="M87" s="1350"/>
      <c r="N87" s="1345"/>
      <c r="O87" s="1345"/>
      <c r="P87" s="1345"/>
      <c r="Q87" s="1345"/>
      <c r="R87" s="1345"/>
      <c r="S87" s="1345"/>
      <c r="T87" s="1345"/>
      <c r="U87" s="1345"/>
    </row>
    <row r="88" spans="1:21">
      <c r="A88" s="684" t="str">
        <f>A3</f>
        <v>GROSS ADDITIONS, RETIREMENTS, AND TRANSFERS</v>
      </c>
      <c r="B88" s="1343"/>
      <c r="C88" s="1343"/>
      <c r="D88" s="1343"/>
      <c r="E88" s="684"/>
      <c r="F88" s="1343"/>
      <c r="G88" s="1343"/>
      <c r="H88" s="1343"/>
      <c r="I88" s="1343"/>
      <c r="J88" s="1343"/>
      <c r="K88" s="1343"/>
      <c r="L88" s="1345"/>
      <c r="M88" s="1350"/>
      <c r="N88" s="1345"/>
      <c r="O88" s="1345"/>
      <c r="P88" s="1345"/>
      <c r="Q88" s="1345"/>
      <c r="R88" s="1345"/>
      <c r="S88" s="1345"/>
      <c r="T88" s="1345"/>
      <c r="U88" s="1345"/>
    </row>
    <row r="89" spans="1:21">
      <c r="A89" s="684" t="str">
        <f>A4</f>
        <v>FROM DECEMBER 1, 2017 TO NOVEMBER 30, 2018</v>
      </c>
      <c r="B89" s="1343"/>
      <c r="C89" s="1343"/>
      <c r="D89" s="1343"/>
      <c r="E89" s="684"/>
      <c r="F89" s="1343"/>
      <c r="G89" s="1343"/>
      <c r="H89" s="1343"/>
      <c r="I89" s="1343"/>
      <c r="J89" s="1343"/>
      <c r="K89" s="1343"/>
      <c r="L89" s="1345"/>
      <c r="M89" s="1350"/>
      <c r="N89" s="1345"/>
      <c r="O89" s="1345"/>
      <c r="P89" s="1345"/>
      <c r="Q89" s="1345"/>
      <c r="R89" s="1345"/>
      <c r="S89" s="1345"/>
      <c r="T89" s="1345"/>
      <c r="U89" s="1345"/>
    </row>
    <row r="90" spans="1:21">
      <c r="A90" s="1343"/>
      <c r="B90" s="1343"/>
      <c r="C90" s="1343"/>
      <c r="D90" s="1343"/>
      <c r="E90" s="1343"/>
      <c r="F90" s="1343"/>
      <c r="G90" s="1343"/>
      <c r="H90" s="1343"/>
      <c r="I90" s="1343"/>
      <c r="J90" s="1343"/>
      <c r="K90" s="1343"/>
      <c r="L90" s="1345"/>
      <c r="M90" s="1350"/>
      <c r="N90" s="1345"/>
      <c r="O90" s="1345"/>
      <c r="P90" s="1345"/>
      <c r="Q90" s="1345"/>
      <c r="R90" s="1345"/>
      <c r="S90" s="1345"/>
      <c r="T90" s="1345"/>
      <c r="U90" s="1345"/>
    </row>
    <row r="91" spans="1:21">
      <c r="A91" s="684" t="s">
        <v>1103</v>
      </c>
      <c r="B91" s="1343"/>
      <c r="C91" s="1343"/>
      <c r="D91" s="1343"/>
      <c r="E91" s="684"/>
      <c r="F91" s="1343"/>
      <c r="G91" s="1343"/>
      <c r="H91" s="1343"/>
      <c r="I91" s="1343"/>
      <c r="J91" s="1343"/>
      <c r="K91" s="1343"/>
      <c r="L91" s="1345"/>
      <c r="M91" s="1350"/>
      <c r="N91" s="1345"/>
      <c r="O91" s="1345"/>
      <c r="P91" s="1345"/>
      <c r="Q91" s="1345"/>
      <c r="R91" s="1345"/>
      <c r="S91" s="1345"/>
      <c r="T91" s="1345"/>
      <c r="U91" s="1345"/>
    </row>
    <row r="92" spans="1:21">
      <c r="A92" s="1343"/>
      <c r="B92" s="1343"/>
      <c r="C92" s="1343"/>
      <c r="D92" s="1343"/>
      <c r="E92" s="684"/>
      <c r="F92" s="1343"/>
      <c r="G92" s="1343"/>
      <c r="H92" s="1343"/>
      <c r="I92" s="1343"/>
      <c r="J92" s="1343"/>
      <c r="K92" s="1343"/>
      <c r="L92" s="1345"/>
      <c r="M92" s="1350"/>
      <c r="N92" s="1345"/>
      <c r="O92" s="1345"/>
      <c r="P92" s="1345"/>
      <c r="Q92" s="1345"/>
      <c r="R92" s="1345"/>
      <c r="S92" s="1345"/>
      <c r="T92" s="1345"/>
      <c r="U92" s="1345"/>
    </row>
    <row r="93" spans="1:21">
      <c r="A93" s="1344"/>
      <c r="B93" s="1343"/>
      <c r="C93" s="1343"/>
      <c r="D93" s="1343"/>
      <c r="E93" s="1343"/>
      <c r="F93" s="1343"/>
      <c r="G93" s="1343"/>
      <c r="H93" s="1343"/>
      <c r="I93" s="1343"/>
      <c r="J93" s="1343"/>
      <c r="K93" s="1343"/>
      <c r="L93" s="1345"/>
      <c r="M93" s="1350"/>
      <c r="N93" s="1345"/>
      <c r="O93" s="1345"/>
      <c r="P93" s="1345"/>
      <c r="Q93" s="1345"/>
      <c r="R93" s="1345"/>
      <c r="S93" s="1345"/>
      <c r="T93" s="1345"/>
      <c r="U93" s="1345"/>
    </row>
    <row r="94" spans="1:21">
      <c r="A94" s="1344"/>
      <c r="B94" s="1343"/>
      <c r="C94" s="1343"/>
      <c r="D94" s="1343"/>
      <c r="E94" s="1343"/>
      <c r="F94" s="1343"/>
      <c r="G94" s="1343"/>
      <c r="H94" s="1343"/>
      <c r="I94" s="1343"/>
      <c r="J94" s="1343"/>
      <c r="K94" s="1343"/>
      <c r="L94" s="1345"/>
      <c r="M94" s="1350"/>
      <c r="N94" s="1345"/>
      <c r="O94" s="1345"/>
      <c r="P94" s="1345"/>
      <c r="Q94" s="1345"/>
      <c r="R94" s="1345"/>
      <c r="S94" s="1345"/>
      <c r="T94" s="1345"/>
      <c r="U94" s="1345"/>
    </row>
    <row r="95" spans="1:21">
      <c r="A95" s="1298" t="str">
        <f>Data</f>
        <v>DATA: "X" BASE PERIOD   FORECASTED PERIOD</v>
      </c>
      <c r="B95" s="1345"/>
      <c r="C95" s="1345"/>
      <c r="D95" s="1345"/>
      <c r="E95" s="1345"/>
      <c r="F95" s="1345"/>
      <c r="G95" s="1345"/>
      <c r="H95" s="1345"/>
      <c r="I95" s="1345"/>
      <c r="J95" s="1298" t="str">
        <f>J10</f>
        <v>SCHEDULE B-2.3</v>
      </c>
      <c r="K95" s="1345"/>
      <c r="L95" s="1345"/>
      <c r="M95" s="1350"/>
      <c r="N95" s="1345"/>
      <c r="O95" s="1345"/>
      <c r="P95" s="1345"/>
      <c r="Q95" s="1345"/>
      <c r="R95" s="1345"/>
      <c r="S95" s="1345"/>
      <c r="T95" s="1345"/>
      <c r="U95" s="1345"/>
    </row>
    <row r="96" spans="1:21">
      <c r="A96" s="1298" t="str">
        <f>A11</f>
        <v xml:space="preserve">TYPE OF FILING:  "X" ORIGINAL   UPDATED    REVISED  </v>
      </c>
      <c r="B96" s="1345"/>
      <c r="C96" s="1345"/>
      <c r="D96" s="1345"/>
      <c r="E96" s="1345"/>
      <c r="F96" s="1345"/>
      <c r="G96" s="1345"/>
      <c r="H96" s="1345"/>
      <c r="I96" s="1345"/>
      <c r="J96" s="1298" t="s">
        <v>498</v>
      </c>
      <c r="K96" s="1345"/>
      <c r="L96" s="1345"/>
      <c r="M96" s="1350"/>
      <c r="N96" s="1345"/>
      <c r="O96" s="1345"/>
      <c r="P96" s="1345"/>
      <c r="Q96" s="1345"/>
      <c r="R96" s="1345"/>
      <c r="S96" s="1345"/>
      <c r="T96" s="1345"/>
      <c r="U96" s="1345"/>
    </row>
    <row r="97" spans="1:21">
      <c r="A97" s="1298" t="str">
        <f>A12</f>
        <v>WORK PAPER REFERENCE NO(S).:</v>
      </c>
      <c r="B97" s="1345"/>
      <c r="C97" s="1345"/>
      <c r="D97" s="1345"/>
      <c r="E97" s="1345"/>
      <c r="F97" s="1345"/>
      <c r="G97" s="1345"/>
      <c r="H97" s="1345"/>
      <c r="I97" s="1345"/>
      <c r="J97" s="1346" t="s">
        <v>566</v>
      </c>
      <c r="K97" s="1345"/>
      <c r="L97" s="1345"/>
      <c r="M97" s="1350"/>
      <c r="N97" s="1345"/>
      <c r="O97" s="1345"/>
      <c r="P97" s="1345"/>
      <c r="Q97" s="1345"/>
      <c r="R97" s="1345"/>
      <c r="S97" s="1345"/>
      <c r="T97" s="1345"/>
      <c r="U97" s="1345"/>
    </row>
    <row r="98" spans="1:21">
      <c r="A98" s="1345"/>
      <c r="B98" s="1345"/>
      <c r="C98" s="1345"/>
      <c r="D98" s="1345"/>
      <c r="E98" s="1345"/>
      <c r="F98" s="1345"/>
      <c r="G98" s="1345"/>
      <c r="H98" s="1345"/>
      <c r="I98" s="1345"/>
      <c r="J98" s="1346" t="str">
        <f>J13</f>
        <v>R. H. PRATT / C. S. LEE</v>
      </c>
      <c r="K98" s="1345"/>
      <c r="L98" s="1345"/>
      <c r="M98" s="1350"/>
      <c r="N98" s="1345"/>
      <c r="O98" s="1345"/>
      <c r="P98" s="1345"/>
      <c r="Q98" s="1345"/>
      <c r="R98" s="1345"/>
      <c r="S98" s="1345"/>
      <c r="T98" s="1345"/>
      <c r="U98" s="1345"/>
    </row>
    <row r="99" spans="1:21">
      <c r="A99" s="1345"/>
      <c r="B99" s="1345"/>
      <c r="C99" s="1345"/>
      <c r="D99" s="1345"/>
      <c r="E99" s="1345"/>
      <c r="F99" s="1345"/>
      <c r="G99" s="1345"/>
      <c r="H99" s="1345"/>
      <c r="I99" s="1345"/>
      <c r="J99" s="1345"/>
      <c r="K99" s="1345"/>
      <c r="L99" s="1345"/>
      <c r="M99" s="1350"/>
      <c r="N99" s="1345"/>
      <c r="O99" s="1345"/>
      <c r="P99" s="1345"/>
      <c r="Q99" s="1345"/>
      <c r="R99" s="1345"/>
      <c r="S99" s="1345"/>
      <c r="T99" s="1345"/>
      <c r="U99" s="1345"/>
    </row>
    <row r="100" spans="1:21">
      <c r="A100" s="1345"/>
      <c r="B100" s="1345"/>
      <c r="C100" s="1345"/>
      <c r="D100" s="1345"/>
      <c r="E100" s="1345"/>
      <c r="F100" s="1345"/>
      <c r="G100" s="1345"/>
      <c r="H100" s="1347"/>
      <c r="I100" s="1345"/>
      <c r="J100" s="1345"/>
      <c r="K100" s="1345"/>
      <c r="L100" s="1345"/>
      <c r="M100" s="1350"/>
      <c r="N100" s="1345"/>
      <c r="O100" s="1345"/>
      <c r="P100" s="1345"/>
      <c r="Q100" s="1345"/>
      <c r="R100" s="1345"/>
      <c r="S100" s="1345"/>
      <c r="T100" s="1345"/>
      <c r="U100" s="1345"/>
    </row>
    <row r="101" spans="1:21">
      <c r="A101" s="599"/>
      <c r="B101" s="599"/>
      <c r="C101" s="607"/>
      <c r="D101" s="599"/>
      <c r="E101" s="599"/>
      <c r="F101" s="599"/>
      <c r="G101" s="599"/>
      <c r="I101" s="599"/>
      <c r="J101" s="599"/>
      <c r="K101" s="599"/>
      <c r="L101" s="1345"/>
      <c r="M101" s="1350"/>
      <c r="N101" s="1345"/>
      <c r="O101" s="1345"/>
      <c r="P101" s="1345"/>
      <c r="Q101" s="1345"/>
      <c r="R101" s="1345"/>
      <c r="S101" s="1345"/>
      <c r="T101" s="1345"/>
      <c r="U101" s="1345"/>
    </row>
    <row r="102" spans="1:21">
      <c r="A102" s="1345"/>
      <c r="B102" s="1348" t="s">
        <v>1041</v>
      </c>
      <c r="C102" s="1348" t="s">
        <v>2137</v>
      </c>
      <c r="D102" s="1345"/>
      <c r="E102" s="1345"/>
      <c r="F102" s="1345"/>
      <c r="G102" s="1345"/>
      <c r="H102" s="608" t="s">
        <v>1401</v>
      </c>
      <c r="I102" s="608"/>
      <c r="J102" s="608"/>
      <c r="K102" s="1345"/>
      <c r="L102" s="1345"/>
      <c r="M102" s="1350"/>
      <c r="N102" s="1345"/>
      <c r="O102" s="1345"/>
      <c r="P102" s="1345"/>
      <c r="Q102" s="1345"/>
      <c r="R102" s="1345"/>
      <c r="S102" s="1345"/>
      <c r="T102" s="1345"/>
      <c r="U102" s="1345"/>
    </row>
    <row r="103" spans="1:21">
      <c r="A103" s="1348" t="s">
        <v>1938</v>
      </c>
      <c r="B103" s="1348" t="s">
        <v>1150</v>
      </c>
      <c r="C103" s="1348" t="s">
        <v>1150</v>
      </c>
      <c r="D103" s="1348" t="s">
        <v>1987</v>
      </c>
      <c r="E103" s="1348" t="s">
        <v>1402</v>
      </c>
      <c r="F103" s="1345"/>
      <c r="G103" s="1345"/>
      <c r="H103" s="599"/>
      <c r="I103" s="602" t="s">
        <v>1403</v>
      </c>
      <c r="J103" s="602" t="s">
        <v>1404</v>
      </c>
      <c r="K103" s="1348" t="s">
        <v>1405</v>
      </c>
      <c r="L103" s="1345"/>
      <c r="M103" s="1350"/>
      <c r="N103" s="1345"/>
      <c r="O103" s="1345"/>
      <c r="P103" s="1345"/>
      <c r="Q103" s="1345"/>
      <c r="R103" s="1345"/>
      <c r="S103" s="1345"/>
      <c r="T103" s="1345"/>
      <c r="U103" s="1345"/>
    </row>
    <row r="104" spans="1:21">
      <c r="A104" s="1348" t="s">
        <v>1939</v>
      </c>
      <c r="B104" s="1348" t="s">
        <v>1939</v>
      </c>
      <c r="C104" s="1348" t="s">
        <v>1939</v>
      </c>
      <c r="D104" s="1348" t="s">
        <v>1406</v>
      </c>
      <c r="E104" s="1348" t="s">
        <v>1407</v>
      </c>
      <c r="F104" s="1348" t="s">
        <v>1408</v>
      </c>
      <c r="G104" s="1348" t="s">
        <v>1409</v>
      </c>
      <c r="H104" s="1348" t="s">
        <v>2125</v>
      </c>
      <c r="I104" s="1348" t="s">
        <v>1410</v>
      </c>
      <c r="J104" s="1348" t="s">
        <v>1411</v>
      </c>
      <c r="K104" s="1348" t="s">
        <v>1407</v>
      </c>
      <c r="L104" s="1345"/>
      <c r="M104" s="1350"/>
      <c r="N104" s="1345"/>
      <c r="O104" s="1345"/>
      <c r="P104" s="1345"/>
      <c r="Q104" s="1345"/>
      <c r="R104" s="1345"/>
      <c r="S104" s="1345"/>
      <c r="T104" s="1345"/>
      <c r="U104" s="1345"/>
    </row>
    <row r="105" spans="1:21">
      <c r="A105" s="1345"/>
      <c r="B105" s="1345"/>
      <c r="C105" s="1345"/>
      <c r="D105" s="1345"/>
      <c r="E105" s="1345"/>
      <c r="F105" s="1345"/>
      <c r="G105" s="1345"/>
      <c r="H105" s="1345"/>
      <c r="I105" s="1345"/>
      <c r="J105" s="1345"/>
      <c r="K105" s="1345"/>
      <c r="L105" s="1345"/>
      <c r="M105" s="1350"/>
      <c r="N105" s="1345"/>
      <c r="O105" s="1345"/>
      <c r="P105" s="1345"/>
      <c r="Q105" s="1345"/>
      <c r="R105" s="1345"/>
      <c r="S105" s="1345"/>
      <c r="T105" s="1345"/>
      <c r="U105" s="1345"/>
    </row>
    <row r="106" spans="1:21">
      <c r="A106" s="599"/>
      <c r="B106" s="599"/>
      <c r="C106" s="599"/>
      <c r="D106" s="599"/>
      <c r="E106" s="602" t="s">
        <v>695</v>
      </c>
      <c r="F106" s="602" t="s">
        <v>695</v>
      </c>
      <c r="G106" s="602" t="s">
        <v>695</v>
      </c>
      <c r="H106" s="602" t="s">
        <v>695</v>
      </c>
      <c r="I106" s="599"/>
      <c r="J106" s="599"/>
      <c r="K106" s="602" t="s">
        <v>695</v>
      </c>
      <c r="L106" s="1345"/>
      <c r="M106" s="1350"/>
      <c r="N106" s="1345"/>
      <c r="O106" s="1345"/>
      <c r="P106" s="1345"/>
      <c r="Q106" s="1345"/>
      <c r="R106" s="1345"/>
      <c r="S106" s="1345"/>
      <c r="T106" s="1345"/>
      <c r="U106" s="1345"/>
    </row>
    <row r="107" spans="1:21">
      <c r="A107" s="603"/>
      <c r="B107" s="603"/>
      <c r="C107" s="603"/>
      <c r="D107" s="603"/>
      <c r="E107" s="604"/>
      <c r="F107" s="604"/>
      <c r="G107" s="604"/>
      <c r="H107" s="604"/>
      <c r="I107" s="603"/>
      <c r="J107" s="603"/>
      <c r="K107" s="604"/>
      <c r="L107" s="1345"/>
      <c r="M107" s="1350"/>
      <c r="N107" s="1345"/>
      <c r="O107" s="1345"/>
      <c r="P107" s="1345"/>
      <c r="Q107" s="1345"/>
      <c r="R107" s="1345"/>
      <c r="S107" s="1345"/>
      <c r="T107" s="1345"/>
      <c r="U107" s="1345"/>
    </row>
    <row r="108" spans="1:21">
      <c r="A108" s="1348">
        <v>1</v>
      </c>
      <c r="B108" s="2953">
        <v>303</v>
      </c>
      <c r="C108" s="2954">
        <v>20300</v>
      </c>
      <c r="D108" s="2757" t="s">
        <v>1105</v>
      </c>
      <c r="E108" s="2755">
        <v>8728214</v>
      </c>
      <c r="F108" s="3359">
        <v>29031</v>
      </c>
      <c r="G108" s="2755">
        <v>0</v>
      </c>
      <c r="H108" s="2761"/>
      <c r="I108" s="2757"/>
      <c r="J108" s="2757"/>
      <c r="K108" s="1349">
        <f t="shared" ref="K108:K118" si="3">E108+F108-G108+H108</f>
        <v>8757245</v>
      </c>
      <c r="L108" s="1345"/>
      <c r="M108" s="1350"/>
      <c r="N108" s="1345"/>
      <c r="O108" s="1345"/>
      <c r="P108" s="1345"/>
      <c r="Q108" s="1345"/>
      <c r="R108" s="1345"/>
      <c r="S108" s="1345"/>
      <c r="T108" s="1345"/>
      <c r="U108" s="1345"/>
    </row>
    <row r="109" spans="1:21">
      <c r="A109" s="1348">
        <f t="shared" ref="A109:A118" si="4">A108+1</f>
        <v>2</v>
      </c>
      <c r="B109" s="2953">
        <v>303</v>
      </c>
      <c r="C109" s="2953" t="s">
        <v>2675</v>
      </c>
      <c r="D109" s="2758" t="s">
        <v>2676</v>
      </c>
      <c r="E109" s="2755">
        <v>2551238</v>
      </c>
      <c r="F109" s="2756">
        <v>119722</v>
      </c>
      <c r="G109" s="2755">
        <v>0</v>
      </c>
      <c r="H109" s="2755"/>
      <c r="I109" s="2760"/>
      <c r="J109" s="2760"/>
      <c r="K109" s="1349">
        <f t="shared" si="3"/>
        <v>2670960</v>
      </c>
      <c r="L109" s="1350"/>
      <c r="M109" s="1350"/>
      <c r="N109" s="1345"/>
      <c r="O109" s="1345"/>
      <c r="P109" s="1345"/>
      <c r="Q109" s="1345"/>
      <c r="R109" s="1345"/>
      <c r="S109" s="1345"/>
      <c r="T109" s="1345"/>
      <c r="U109" s="1345"/>
    </row>
    <row r="110" spans="1:21">
      <c r="A110" s="1348">
        <f t="shared" si="4"/>
        <v>3</v>
      </c>
      <c r="B110" s="2953" t="s">
        <v>1106</v>
      </c>
      <c r="C110" s="2953">
        <v>29100</v>
      </c>
      <c r="D110" s="2758" t="s">
        <v>1107</v>
      </c>
      <c r="E110" s="2755">
        <v>13861</v>
      </c>
      <c r="F110" s="2756">
        <v>0</v>
      </c>
      <c r="G110" s="2755">
        <v>365</v>
      </c>
      <c r="H110" s="2755"/>
      <c r="I110" s="2760"/>
      <c r="J110" s="2760"/>
      <c r="K110" s="1349">
        <f t="shared" si="3"/>
        <v>13496</v>
      </c>
      <c r="L110" s="1350"/>
      <c r="M110" s="1350"/>
      <c r="N110" s="1345"/>
      <c r="O110" s="1345"/>
      <c r="P110" s="1345"/>
      <c r="Q110" s="1345"/>
      <c r="R110" s="1345"/>
      <c r="S110" s="1345"/>
      <c r="T110" s="1345"/>
      <c r="U110" s="1345"/>
    </row>
    <row r="111" spans="1:21">
      <c r="A111" s="1348">
        <f t="shared" si="4"/>
        <v>4</v>
      </c>
      <c r="B111" s="2953">
        <v>391</v>
      </c>
      <c r="C111" s="2953">
        <v>29101</v>
      </c>
      <c r="D111" s="2758" t="s">
        <v>2677</v>
      </c>
      <c r="E111" s="2755">
        <v>310655</v>
      </c>
      <c r="F111" s="2756">
        <v>70799</v>
      </c>
      <c r="G111" s="2755">
        <v>62880</v>
      </c>
      <c r="H111" s="2755"/>
      <c r="I111" s="2757"/>
      <c r="J111" s="2759"/>
      <c r="K111" s="1349">
        <f t="shared" si="3"/>
        <v>318574</v>
      </c>
      <c r="L111" s="1350"/>
      <c r="M111" s="1345"/>
      <c r="N111" s="1345"/>
      <c r="O111" s="1345"/>
      <c r="P111" s="1345"/>
      <c r="Q111" s="1345"/>
      <c r="R111" s="1345"/>
      <c r="S111" s="1345"/>
      <c r="T111" s="1345"/>
      <c r="U111" s="1345"/>
    </row>
    <row r="112" spans="1:21">
      <c r="A112" s="1348">
        <f t="shared" si="4"/>
        <v>5</v>
      </c>
      <c r="B112" s="2953" t="s">
        <v>1108</v>
      </c>
      <c r="C112" s="2953">
        <v>29200</v>
      </c>
      <c r="D112" s="2758" t="s">
        <v>1109</v>
      </c>
      <c r="E112" s="2755">
        <v>0</v>
      </c>
      <c r="F112" s="2756">
        <v>0</v>
      </c>
      <c r="G112" s="2755">
        <v>0</v>
      </c>
      <c r="H112" s="2755"/>
      <c r="I112" s="2760"/>
      <c r="J112" s="2760"/>
      <c r="K112" s="1349">
        <f t="shared" si="3"/>
        <v>0</v>
      </c>
      <c r="L112" s="1350"/>
      <c r="M112" s="1345"/>
      <c r="N112" s="1345"/>
      <c r="O112" s="1345"/>
      <c r="P112" s="1345"/>
      <c r="Q112" s="1345"/>
      <c r="R112" s="1345"/>
      <c r="S112" s="1345"/>
      <c r="T112" s="1345"/>
      <c r="U112" s="1345"/>
    </row>
    <row r="113" spans="1:21">
      <c r="A113" s="1348">
        <f t="shared" si="4"/>
        <v>6</v>
      </c>
      <c r="B113" s="2953" t="s">
        <v>1108</v>
      </c>
      <c r="C113" s="2953">
        <v>29201</v>
      </c>
      <c r="D113" s="2758" t="s">
        <v>1110</v>
      </c>
      <c r="E113" s="2755">
        <v>65845</v>
      </c>
      <c r="F113" s="2756">
        <v>20774</v>
      </c>
      <c r="G113" s="2755">
        <v>23171</v>
      </c>
      <c r="H113" s="2755"/>
      <c r="I113" s="2757"/>
      <c r="J113" s="2759"/>
      <c r="K113" s="1349">
        <f t="shared" si="3"/>
        <v>63448</v>
      </c>
      <c r="L113" s="1350"/>
      <c r="M113" s="1350"/>
      <c r="N113" s="1345"/>
      <c r="O113" s="1345"/>
      <c r="P113" s="1345"/>
      <c r="Q113" s="1345"/>
      <c r="R113" s="1345"/>
      <c r="S113" s="1345"/>
      <c r="T113" s="1345"/>
      <c r="U113" s="1345"/>
    </row>
    <row r="114" spans="1:21">
      <c r="A114" s="1348">
        <f t="shared" si="4"/>
        <v>7</v>
      </c>
      <c r="B114" s="2953" t="s">
        <v>1111</v>
      </c>
      <c r="C114" s="2953">
        <v>29400</v>
      </c>
      <c r="D114" s="2758" t="s">
        <v>1112</v>
      </c>
      <c r="E114" s="2755">
        <v>1278772</v>
      </c>
      <c r="F114" s="2756">
        <v>30133</v>
      </c>
      <c r="G114" s="2755">
        <v>70056</v>
      </c>
      <c r="H114" s="2755"/>
      <c r="I114" s="2757"/>
      <c r="J114" s="2759"/>
      <c r="K114" s="1349">
        <f t="shared" si="3"/>
        <v>1238849</v>
      </c>
      <c r="L114" s="1350"/>
      <c r="M114" s="1350"/>
      <c r="N114" s="1345"/>
      <c r="O114" s="1345"/>
      <c r="P114" s="1345"/>
      <c r="Q114" s="1345"/>
      <c r="R114" s="1345"/>
      <c r="S114" s="1345"/>
      <c r="T114" s="1345"/>
      <c r="U114" s="1345"/>
    </row>
    <row r="115" spans="1:21">
      <c r="A115" s="1348">
        <f t="shared" si="4"/>
        <v>8</v>
      </c>
      <c r="B115" s="2953" t="s">
        <v>1113</v>
      </c>
      <c r="C115" s="2953">
        <v>29600</v>
      </c>
      <c r="D115" s="2758" t="s">
        <v>1114</v>
      </c>
      <c r="E115" s="2755">
        <v>0</v>
      </c>
      <c r="F115" s="2756">
        <v>168272</v>
      </c>
      <c r="G115" s="2755">
        <v>0</v>
      </c>
      <c r="H115" s="2755"/>
      <c r="I115" s="2757"/>
      <c r="J115" s="2759"/>
      <c r="K115" s="1349">
        <f t="shared" si="3"/>
        <v>168272</v>
      </c>
      <c r="L115" s="1350"/>
      <c r="M115" s="1350"/>
      <c r="N115" s="1345"/>
      <c r="O115" s="1345"/>
      <c r="P115" s="1345"/>
      <c r="Q115" s="1345"/>
      <c r="R115" s="1345"/>
      <c r="S115" s="1345"/>
      <c r="T115" s="1345"/>
      <c r="U115" s="1345"/>
    </row>
    <row r="116" spans="1:21">
      <c r="A116" s="1348">
        <f t="shared" si="4"/>
        <v>9</v>
      </c>
      <c r="B116" s="2953">
        <v>397</v>
      </c>
      <c r="C116" s="2953" t="s">
        <v>2678</v>
      </c>
      <c r="D116" s="2758" t="s">
        <v>1080</v>
      </c>
      <c r="E116" s="2755">
        <v>2830460</v>
      </c>
      <c r="F116" s="2756">
        <v>7691812</v>
      </c>
      <c r="G116" s="2755">
        <v>0</v>
      </c>
      <c r="H116" s="2755"/>
      <c r="I116" s="2757"/>
      <c r="J116" s="2759"/>
      <c r="K116" s="1349">
        <f t="shared" si="3"/>
        <v>10522272</v>
      </c>
      <c r="L116" s="1350"/>
      <c r="M116" s="1350"/>
      <c r="N116" s="1345"/>
      <c r="O116" s="1345"/>
      <c r="P116" s="1345"/>
      <c r="Q116" s="1345"/>
      <c r="R116" s="1345"/>
      <c r="S116" s="1345"/>
      <c r="T116" s="1345"/>
      <c r="U116" s="1345"/>
    </row>
    <row r="117" spans="1:21">
      <c r="A117" s="1348">
        <f t="shared" si="4"/>
        <v>10</v>
      </c>
      <c r="B117" s="2953" t="s">
        <v>1115</v>
      </c>
      <c r="C117" s="2953">
        <v>29800</v>
      </c>
      <c r="D117" s="2758" t="s">
        <v>1116</v>
      </c>
      <c r="E117" s="2755">
        <v>83591</v>
      </c>
      <c r="F117" s="2756">
        <v>0</v>
      </c>
      <c r="G117" s="2755">
        <v>0</v>
      </c>
      <c r="H117" s="2755"/>
      <c r="I117" s="2759"/>
      <c r="J117" s="2759"/>
      <c r="K117" s="1349">
        <f t="shared" si="3"/>
        <v>83591</v>
      </c>
      <c r="L117" s="1350"/>
      <c r="M117" s="1350"/>
      <c r="N117" s="1345"/>
      <c r="O117" s="1345"/>
      <c r="P117" s="1345"/>
      <c r="Q117" s="1345"/>
      <c r="R117" s="1345"/>
      <c r="S117" s="1345"/>
      <c r="T117" s="1345"/>
      <c r="U117" s="1345"/>
    </row>
    <row r="118" spans="1:21">
      <c r="A118" s="1348">
        <f t="shared" si="4"/>
        <v>11</v>
      </c>
      <c r="B118" s="2757"/>
      <c r="C118" s="2953"/>
      <c r="D118" s="2758" t="s">
        <v>1385</v>
      </c>
      <c r="E118" s="2755"/>
      <c r="F118" s="2756">
        <v>270697</v>
      </c>
      <c r="G118" s="2755">
        <v>0</v>
      </c>
      <c r="H118" s="2755"/>
      <c r="I118" s="2759"/>
      <c r="J118" s="2759"/>
      <c r="K118" s="1349">
        <f t="shared" si="3"/>
        <v>270697</v>
      </c>
      <c r="L118" s="1350"/>
      <c r="M118" s="1350"/>
      <c r="N118" s="1345"/>
      <c r="O118" s="1345"/>
      <c r="P118" s="1345"/>
      <c r="Q118" s="1345"/>
      <c r="R118" s="1345"/>
      <c r="S118" s="1345"/>
      <c r="T118" s="1345"/>
      <c r="U118" s="1345"/>
    </row>
    <row r="119" spans="1:21">
      <c r="A119" s="1345"/>
      <c r="B119" s="1345"/>
      <c r="C119" s="1345"/>
      <c r="D119" s="1345"/>
      <c r="E119" s="2762"/>
      <c r="F119" s="2762"/>
      <c r="G119" s="2762"/>
      <c r="H119" s="2762"/>
      <c r="I119" s="2759"/>
      <c r="J119" s="2759"/>
      <c r="K119" s="1351"/>
      <c r="L119" s="1350"/>
      <c r="M119" s="1350"/>
      <c r="N119" s="1345"/>
      <c r="O119" s="1345"/>
      <c r="P119" s="1345"/>
      <c r="Q119" s="1345"/>
      <c r="R119" s="1345"/>
      <c r="S119" s="1345"/>
      <c r="T119" s="1345"/>
      <c r="U119" s="1345"/>
    </row>
    <row r="120" spans="1:21">
      <c r="A120" s="1345"/>
      <c r="B120" s="1345"/>
      <c r="C120" s="1345"/>
      <c r="D120" s="1345"/>
      <c r="E120" s="2762"/>
      <c r="F120" s="2762"/>
      <c r="G120" s="2762"/>
      <c r="H120" s="2762"/>
      <c r="I120" s="2762"/>
      <c r="J120" s="2762"/>
      <c r="K120" s="1351"/>
      <c r="L120" s="1350"/>
      <c r="M120" s="1350"/>
      <c r="N120" s="1345"/>
      <c r="O120" s="1345"/>
      <c r="P120" s="1345"/>
      <c r="Q120" s="1345"/>
      <c r="R120" s="1345"/>
      <c r="S120" s="1345"/>
      <c r="T120" s="1345"/>
      <c r="U120" s="1345"/>
    </row>
    <row r="121" spans="1:21">
      <c r="A121" s="1345"/>
      <c r="B121" s="1345"/>
      <c r="C121" s="1345"/>
      <c r="D121" s="1345"/>
      <c r="E121" s="2757"/>
      <c r="F121" s="2757"/>
      <c r="G121" s="2757"/>
      <c r="H121" s="2757"/>
      <c r="I121" s="2757"/>
      <c r="J121" s="2757"/>
      <c r="K121" s="1349"/>
      <c r="L121" s="1350"/>
      <c r="M121" s="1350"/>
      <c r="N121" s="1345"/>
      <c r="O121" s="1345"/>
      <c r="P121" s="1345"/>
      <c r="Q121" s="1345"/>
      <c r="R121" s="1345"/>
      <c r="S121" s="1345"/>
      <c r="T121" s="1345"/>
      <c r="U121" s="1345"/>
    </row>
    <row r="122" spans="1:21">
      <c r="A122" s="599"/>
      <c r="B122" s="599"/>
      <c r="C122" s="599"/>
      <c r="D122" s="599"/>
      <c r="E122" s="601"/>
      <c r="F122" s="601"/>
      <c r="G122" s="601"/>
      <c r="H122" s="601"/>
      <c r="I122" s="610"/>
      <c r="J122" s="610"/>
      <c r="K122" s="601"/>
      <c r="L122" s="1350"/>
      <c r="M122" s="1345"/>
      <c r="N122" s="1345"/>
      <c r="O122" s="1345"/>
      <c r="P122" s="1345"/>
      <c r="Q122" s="1345"/>
      <c r="R122" s="1345"/>
      <c r="S122" s="1345"/>
      <c r="T122" s="1345"/>
      <c r="U122" s="1345"/>
    </row>
    <row r="123" spans="1:21">
      <c r="A123" s="1348">
        <f>A118+1</f>
        <v>12</v>
      </c>
      <c r="B123" s="1345"/>
      <c r="C123" s="1345"/>
      <c r="D123" s="1298" t="s">
        <v>1117</v>
      </c>
      <c r="E123" s="1351">
        <f>SUM(E108:E118)</f>
        <v>15862636</v>
      </c>
      <c r="F123" s="1351">
        <f>SUM(F108:F118)</f>
        <v>8401240</v>
      </c>
      <c r="G123" s="1351">
        <f>SUM(G108:G118)</f>
        <v>156472</v>
      </c>
      <c r="H123" s="1351">
        <f>SUM(H108:H118)</f>
        <v>0</v>
      </c>
      <c r="I123" s="1350"/>
      <c r="J123" s="1350"/>
      <c r="K123" s="1351">
        <f>SUM(K108:K118)</f>
        <v>24107404</v>
      </c>
      <c r="L123" s="1350"/>
      <c r="M123" s="1345"/>
      <c r="N123" s="1345"/>
      <c r="O123" s="1345"/>
      <c r="P123" s="1345"/>
      <c r="Q123" s="1345"/>
      <c r="R123" s="1345"/>
      <c r="S123" s="1345"/>
      <c r="T123" s="1345"/>
      <c r="U123" s="1345"/>
    </row>
    <row r="124" spans="1:21">
      <c r="A124" s="1345"/>
      <c r="B124" s="1345"/>
      <c r="C124" s="1345"/>
      <c r="D124" s="1345"/>
      <c r="E124" s="1345"/>
      <c r="F124" s="1345"/>
      <c r="G124" s="1345"/>
      <c r="H124" s="1345"/>
      <c r="I124" s="1345"/>
      <c r="J124" s="1345"/>
      <c r="K124" s="1349"/>
      <c r="L124" s="1350"/>
      <c r="M124" s="1345"/>
      <c r="N124" s="1345"/>
      <c r="O124" s="1345"/>
      <c r="P124" s="1345"/>
      <c r="Q124" s="1345"/>
      <c r="R124" s="1345"/>
      <c r="S124" s="1345"/>
      <c r="T124" s="1345"/>
      <c r="U124" s="1345"/>
    </row>
    <row r="125" spans="1:21">
      <c r="A125" s="599"/>
      <c r="B125" s="599"/>
      <c r="C125" s="599"/>
      <c r="D125" s="599"/>
      <c r="E125" s="601"/>
      <c r="F125" s="601"/>
      <c r="G125" s="601"/>
      <c r="H125" s="601"/>
      <c r="I125" s="610"/>
      <c r="J125" s="610"/>
      <c r="K125" s="601"/>
      <c r="L125" s="1350"/>
      <c r="M125" s="1345"/>
      <c r="N125" s="1345"/>
      <c r="O125" s="1345"/>
      <c r="P125" s="1345"/>
      <c r="Q125" s="1345"/>
      <c r="R125" s="1345"/>
      <c r="S125" s="1345"/>
      <c r="T125" s="1345"/>
      <c r="U125" s="1345"/>
    </row>
    <row r="126" spans="1:21">
      <c r="A126" s="1348">
        <f>A123+1</f>
        <v>13</v>
      </c>
      <c r="B126" s="1345"/>
      <c r="C126" s="1345"/>
      <c r="D126" s="1298" t="s">
        <v>106</v>
      </c>
      <c r="E126" s="1351">
        <f>E31+E82+E123</f>
        <v>501938111</v>
      </c>
      <c r="F126" s="1351">
        <f>F31+F82+F123</f>
        <v>64950611</v>
      </c>
      <c r="G126" s="1351">
        <f>G31+G82+G123</f>
        <v>1539913</v>
      </c>
      <c r="H126" s="1351">
        <f>H31+H82+H123</f>
        <v>0</v>
      </c>
      <c r="I126" s="1345"/>
      <c r="J126" s="1345"/>
      <c r="K126" s="1351">
        <f>K31+K82+K123</f>
        <v>565348809</v>
      </c>
      <c r="L126" s="1350"/>
      <c r="M126" s="1350"/>
      <c r="N126" s="1345"/>
      <c r="O126" s="1345"/>
      <c r="P126" s="1345"/>
      <c r="Q126" s="1345"/>
      <c r="R126" s="1345"/>
      <c r="S126" s="1345"/>
      <c r="T126" s="1345"/>
      <c r="U126" s="1345"/>
    </row>
    <row r="127" spans="1:21">
      <c r="A127" s="1345"/>
      <c r="B127" s="1345"/>
      <c r="C127" s="1345"/>
      <c r="D127" s="1345"/>
      <c r="E127" s="1345"/>
      <c r="F127" s="1345"/>
      <c r="G127" s="1345"/>
      <c r="H127" s="1345"/>
      <c r="I127" s="1345"/>
      <c r="J127" s="1345"/>
      <c r="K127" s="1345"/>
      <c r="L127" s="1350"/>
      <c r="M127" s="1350"/>
      <c r="N127" s="1345"/>
      <c r="O127" s="1345"/>
      <c r="P127" s="1345"/>
      <c r="Q127" s="1345"/>
      <c r="R127" s="1345"/>
      <c r="S127" s="1345"/>
      <c r="T127" s="1345"/>
      <c r="U127" s="1345"/>
    </row>
    <row r="128" spans="1:21">
      <c r="A128" s="599"/>
      <c r="B128" s="599"/>
      <c r="C128" s="599"/>
      <c r="D128" s="599"/>
      <c r="E128" s="599"/>
      <c r="F128" s="599"/>
      <c r="G128" s="599"/>
      <c r="H128" s="599"/>
      <c r="I128" s="599"/>
      <c r="J128" s="599"/>
      <c r="K128" s="599"/>
      <c r="L128" s="1350"/>
      <c r="M128" s="1350"/>
      <c r="N128" s="1345"/>
      <c r="O128" s="1345"/>
      <c r="P128" s="1345"/>
      <c r="Q128" s="1345"/>
      <c r="R128" s="1345"/>
      <c r="S128" s="1345"/>
      <c r="T128" s="1345"/>
      <c r="U128" s="1345"/>
    </row>
    <row r="129" spans="1:21">
      <c r="A129" s="1345"/>
      <c r="B129" s="1345"/>
      <c r="C129" s="1345"/>
      <c r="D129" s="1345"/>
      <c r="E129" s="1345"/>
      <c r="F129" s="1345"/>
      <c r="G129" s="1345"/>
      <c r="H129" s="1345"/>
      <c r="I129" s="1345"/>
      <c r="J129" s="1345"/>
      <c r="K129" s="1345"/>
      <c r="L129" s="1350"/>
      <c r="M129" s="1350"/>
      <c r="N129" s="1345"/>
      <c r="O129" s="1345"/>
      <c r="P129" s="1345"/>
      <c r="Q129" s="1345"/>
      <c r="R129" s="1345"/>
      <c r="S129" s="1345"/>
      <c r="T129" s="1345"/>
      <c r="U129" s="1345"/>
    </row>
    <row r="130" spans="1:21">
      <c r="A130" s="684" t="str">
        <f>A1</f>
        <v>DUKE ENERGY KENTUCKY, INC.</v>
      </c>
      <c r="B130" s="1343"/>
      <c r="C130" s="1343"/>
      <c r="D130" s="1343"/>
      <c r="E130" s="684"/>
      <c r="F130" s="1343"/>
      <c r="G130" s="1343"/>
      <c r="H130" s="1343"/>
      <c r="I130" s="1343"/>
      <c r="J130" s="1343"/>
      <c r="K130" s="1343"/>
      <c r="L130" s="1345"/>
      <c r="M130" s="1350"/>
      <c r="N130" s="1345"/>
      <c r="O130" s="1345"/>
      <c r="P130" s="1345"/>
      <c r="Q130" s="1345"/>
      <c r="R130" s="1345"/>
      <c r="S130" s="1345"/>
      <c r="T130" s="1345"/>
      <c r="U130" s="1345"/>
    </row>
    <row r="131" spans="1:21">
      <c r="A131" s="684" t="str">
        <f>A2</f>
        <v>CASE NO. 2018-00261</v>
      </c>
      <c r="B131" s="1343"/>
      <c r="C131" s="1343"/>
      <c r="D131" s="1343"/>
      <c r="E131" s="684"/>
      <c r="F131" s="1343"/>
      <c r="G131" s="1343"/>
      <c r="H131" s="1343"/>
      <c r="I131" s="1343"/>
      <c r="J131" s="1343"/>
      <c r="K131" s="1343"/>
      <c r="L131" s="1345"/>
      <c r="M131" s="1350"/>
      <c r="N131" s="1345"/>
      <c r="O131" s="1345"/>
      <c r="P131" s="1345"/>
      <c r="Q131" s="1345"/>
      <c r="R131" s="1345"/>
      <c r="S131" s="1345"/>
      <c r="T131" s="1345"/>
      <c r="U131" s="1345"/>
    </row>
    <row r="132" spans="1:21">
      <c r="A132" s="684" t="str">
        <f>A3</f>
        <v>GROSS ADDITIONS, RETIREMENTS, AND TRANSFERS</v>
      </c>
      <c r="B132" s="1343"/>
      <c r="C132" s="1343"/>
      <c r="D132" s="1343"/>
      <c r="E132" s="684"/>
      <c r="F132" s="1343"/>
      <c r="G132" s="1343"/>
      <c r="H132" s="1343"/>
      <c r="I132" s="1343"/>
      <c r="J132" s="1343"/>
      <c r="K132" s="1343"/>
      <c r="L132" s="1345"/>
      <c r="M132" s="1350"/>
      <c r="N132" s="1345"/>
      <c r="O132" s="1345"/>
      <c r="P132" s="1345"/>
      <c r="Q132" s="1345"/>
      <c r="R132" s="1345"/>
      <c r="S132" s="1345"/>
      <c r="T132" s="1345"/>
      <c r="U132" s="1345"/>
    </row>
    <row r="133" spans="1:21">
      <c r="A133" s="684" t="str">
        <f>A4</f>
        <v>FROM DECEMBER 1, 2017 TO NOVEMBER 30, 2018</v>
      </c>
      <c r="B133" s="1343"/>
      <c r="C133" s="1343"/>
      <c r="D133" s="1343"/>
      <c r="E133" s="684"/>
      <c r="F133" s="1343"/>
      <c r="G133" s="1343"/>
      <c r="H133" s="1343"/>
      <c r="I133" s="1343"/>
      <c r="J133" s="1343"/>
      <c r="K133" s="1343"/>
      <c r="L133" s="1345"/>
      <c r="M133" s="1350"/>
      <c r="N133" s="1345"/>
      <c r="O133" s="1345"/>
      <c r="P133" s="1345"/>
      <c r="Q133" s="1345"/>
      <c r="R133" s="1345"/>
      <c r="S133" s="1345"/>
      <c r="T133" s="1345"/>
      <c r="U133" s="1345"/>
    </row>
    <row r="134" spans="1:21">
      <c r="A134" s="1343"/>
      <c r="B134" s="1343"/>
      <c r="C134" s="1343"/>
      <c r="D134" s="1343"/>
      <c r="E134" s="1343"/>
      <c r="F134" s="1343"/>
      <c r="G134" s="1343"/>
      <c r="H134" s="1343"/>
      <c r="I134" s="1343"/>
      <c r="J134" s="1343"/>
      <c r="K134" s="1343"/>
      <c r="L134" s="1345"/>
      <c r="M134" s="1350"/>
      <c r="N134" s="1345"/>
      <c r="O134" s="1345"/>
      <c r="P134" s="1345"/>
      <c r="Q134" s="1345"/>
      <c r="R134" s="1345"/>
      <c r="S134" s="1345"/>
      <c r="T134" s="1345"/>
      <c r="U134" s="1345"/>
    </row>
    <row r="135" spans="1:21">
      <c r="A135" s="684" t="s">
        <v>1119</v>
      </c>
      <c r="B135" s="1343"/>
      <c r="C135" s="1343"/>
      <c r="D135" s="1343"/>
      <c r="E135" s="684"/>
      <c r="F135" s="1343"/>
      <c r="G135" s="1343"/>
      <c r="H135" s="1343"/>
      <c r="I135" s="1343"/>
      <c r="J135" s="1343"/>
      <c r="K135" s="1343"/>
      <c r="L135" s="1345"/>
      <c r="M135" s="1350"/>
      <c r="N135" s="1345"/>
      <c r="O135" s="1345"/>
      <c r="P135" s="1345"/>
      <c r="Q135" s="1345"/>
      <c r="R135" s="1345"/>
      <c r="S135" s="1345"/>
      <c r="T135" s="1345"/>
      <c r="U135" s="1345"/>
    </row>
    <row r="136" spans="1:21">
      <c r="A136" s="1343"/>
      <c r="B136" s="1343"/>
      <c r="C136" s="1343"/>
      <c r="D136" s="1343"/>
      <c r="E136" s="684"/>
      <c r="F136" s="1343"/>
      <c r="G136" s="1343"/>
      <c r="H136" s="1343"/>
      <c r="I136" s="1343"/>
      <c r="J136" s="1343"/>
      <c r="K136" s="1343"/>
      <c r="L136" s="1345"/>
      <c r="M136" s="1350"/>
      <c r="N136" s="1345"/>
      <c r="O136" s="1345"/>
      <c r="P136" s="1345"/>
      <c r="Q136" s="1345"/>
      <c r="R136" s="1345"/>
      <c r="S136" s="1345"/>
      <c r="T136" s="1345"/>
      <c r="U136" s="1345"/>
    </row>
    <row r="137" spans="1:21">
      <c r="A137" s="1344"/>
      <c r="B137" s="1343"/>
      <c r="C137" s="1343"/>
      <c r="D137" s="1343"/>
      <c r="E137" s="1343"/>
      <c r="F137" s="1343"/>
      <c r="G137" s="1343"/>
      <c r="H137" s="1343"/>
      <c r="I137" s="1343"/>
      <c r="J137" s="1343"/>
      <c r="K137" s="1343"/>
      <c r="L137" s="1345"/>
      <c r="M137" s="1350"/>
      <c r="N137" s="1345"/>
      <c r="O137" s="1345"/>
      <c r="P137" s="1345"/>
      <c r="Q137" s="1345"/>
      <c r="R137" s="1345"/>
      <c r="S137" s="1345"/>
      <c r="T137" s="1345"/>
      <c r="U137" s="1345"/>
    </row>
    <row r="138" spans="1:21">
      <c r="A138" s="1344"/>
      <c r="B138" s="1343"/>
      <c r="C138" s="1343"/>
      <c r="D138" s="1343"/>
      <c r="E138" s="1343"/>
      <c r="F138" s="1343"/>
      <c r="G138" s="1343"/>
      <c r="H138" s="1343"/>
      <c r="I138" s="1343"/>
      <c r="J138" s="1343"/>
      <c r="K138" s="1343"/>
      <c r="L138" s="1345"/>
      <c r="M138" s="1350"/>
      <c r="N138" s="1345"/>
      <c r="O138" s="1345"/>
      <c r="P138" s="1345"/>
      <c r="Q138" s="1345"/>
      <c r="R138" s="1345"/>
      <c r="S138" s="1345"/>
      <c r="T138" s="1345"/>
      <c r="U138" s="1345"/>
    </row>
    <row r="139" spans="1:21">
      <c r="A139" s="1298" t="str">
        <f>Data</f>
        <v>DATA: "X" BASE PERIOD   FORECASTED PERIOD</v>
      </c>
      <c r="B139" s="1345"/>
      <c r="C139" s="1345"/>
      <c r="D139" s="1345"/>
      <c r="E139" s="1345"/>
      <c r="F139" s="1345"/>
      <c r="G139" s="1345"/>
      <c r="H139" s="1345"/>
      <c r="I139" s="1345"/>
      <c r="J139" s="1298" t="str">
        <f>J10</f>
        <v>SCHEDULE B-2.3</v>
      </c>
      <c r="K139" s="1345"/>
      <c r="L139" s="1345"/>
      <c r="M139" s="1350"/>
      <c r="N139" s="1345"/>
      <c r="O139" s="1345"/>
      <c r="P139" s="1345"/>
      <c r="Q139" s="1345"/>
      <c r="R139" s="1345"/>
      <c r="S139" s="1345"/>
      <c r="T139" s="1345"/>
      <c r="U139" s="1345"/>
    </row>
    <row r="140" spans="1:21">
      <c r="A140" s="1298" t="str">
        <f>A11</f>
        <v xml:space="preserve">TYPE OF FILING:  "X" ORIGINAL   UPDATED    REVISED  </v>
      </c>
      <c r="B140" s="1345"/>
      <c r="C140" s="1345"/>
      <c r="D140" s="1345"/>
      <c r="E140" s="1345"/>
      <c r="F140" s="1345"/>
      <c r="G140" s="1345"/>
      <c r="H140" s="1345"/>
      <c r="I140" s="1345"/>
      <c r="J140" s="1298" t="s">
        <v>499</v>
      </c>
      <c r="K140" s="1345"/>
      <c r="L140" s="1345"/>
      <c r="M140" s="1350"/>
      <c r="N140" s="1345"/>
      <c r="O140" s="1345"/>
      <c r="P140" s="1345"/>
      <c r="Q140" s="1345"/>
      <c r="R140" s="1345"/>
      <c r="S140" s="1345"/>
      <c r="T140" s="1345"/>
      <c r="U140" s="1345"/>
    </row>
    <row r="141" spans="1:21">
      <c r="A141" s="1298" t="str">
        <f>A12</f>
        <v>WORK PAPER REFERENCE NO(S).:</v>
      </c>
      <c r="B141" s="1345"/>
      <c r="C141" s="1345"/>
      <c r="D141" s="1345"/>
      <c r="E141" s="1345"/>
      <c r="F141" s="1345"/>
      <c r="G141" s="1345"/>
      <c r="H141" s="1345"/>
      <c r="I141" s="1345"/>
      <c r="J141" s="1346" t="s">
        <v>566</v>
      </c>
      <c r="K141" s="1345"/>
      <c r="L141" s="1345"/>
      <c r="M141" s="1350"/>
      <c r="N141" s="1345"/>
      <c r="O141" s="1345"/>
      <c r="P141" s="1345"/>
      <c r="Q141" s="1345"/>
      <c r="R141" s="1345"/>
      <c r="S141" s="1345"/>
      <c r="T141" s="1345"/>
      <c r="U141" s="1345"/>
    </row>
    <row r="142" spans="1:21">
      <c r="A142" s="1345"/>
      <c r="B142" s="1345"/>
      <c r="C142" s="1345"/>
      <c r="D142" s="1345"/>
      <c r="E142" s="1345"/>
      <c r="F142" s="1345"/>
      <c r="G142" s="1345"/>
      <c r="H142" s="1345"/>
      <c r="I142" s="1345"/>
      <c r="J142" s="1346" t="str">
        <f>J13</f>
        <v>R. H. PRATT / C. S. LEE</v>
      </c>
      <c r="K142" s="1345"/>
      <c r="L142" s="1345"/>
      <c r="M142" s="1350"/>
      <c r="N142" s="1345"/>
      <c r="O142" s="1345"/>
      <c r="P142" s="1345"/>
      <c r="Q142" s="1345"/>
      <c r="R142" s="1345"/>
      <c r="S142" s="1345"/>
      <c r="T142" s="1345"/>
      <c r="U142" s="1345"/>
    </row>
    <row r="143" spans="1:21">
      <c r="A143" s="1345"/>
      <c r="B143" s="1345"/>
      <c r="C143" s="1345"/>
      <c r="D143" s="1345"/>
      <c r="E143" s="1345"/>
      <c r="F143" s="1345"/>
      <c r="G143" s="1345"/>
      <c r="H143" s="1345"/>
      <c r="I143" s="1345"/>
      <c r="J143" s="1345"/>
      <c r="K143" s="1345"/>
      <c r="L143" s="1345"/>
      <c r="M143" s="1350"/>
      <c r="N143" s="1345"/>
      <c r="O143" s="1345"/>
      <c r="P143" s="1345"/>
      <c r="Q143" s="1345"/>
      <c r="R143" s="1345"/>
      <c r="S143" s="1345"/>
      <c r="T143" s="1345"/>
      <c r="U143" s="1345"/>
    </row>
    <row r="144" spans="1:21">
      <c r="A144" s="1345"/>
      <c r="B144" s="1345"/>
      <c r="C144" s="1345"/>
      <c r="D144" s="1345"/>
      <c r="E144" s="1345"/>
      <c r="F144" s="1345"/>
      <c r="G144" s="1345"/>
      <c r="H144" s="1347"/>
      <c r="I144" s="1345"/>
      <c r="J144" s="1345"/>
      <c r="K144" s="1345"/>
      <c r="L144" s="1345"/>
      <c r="M144" s="1350"/>
      <c r="N144" s="1345"/>
      <c r="O144" s="1345"/>
      <c r="P144" s="1345"/>
      <c r="Q144" s="1345"/>
      <c r="R144" s="1345"/>
      <c r="S144" s="1345"/>
      <c r="T144" s="1345"/>
      <c r="U144" s="1345"/>
    </row>
    <row r="145" spans="1:21">
      <c r="A145" s="599"/>
      <c r="B145" s="599"/>
      <c r="C145" s="607"/>
      <c r="D145" s="599"/>
      <c r="E145" s="599"/>
      <c r="F145" s="599"/>
      <c r="G145" s="599"/>
      <c r="I145" s="599"/>
      <c r="J145" s="599"/>
      <c r="K145" s="599"/>
      <c r="L145" s="1345"/>
      <c r="M145" s="1350"/>
      <c r="N145" s="1345"/>
      <c r="O145" s="1345"/>
      <c r="P145" s="1345"/>
      <c r="Q145" s="1345"/>
      <c r="R145" s="1345"/>
      <c r="S145" s="1345"/>
      <c r="T145" s="1345"/>
      <c r="U145" s="1345"/>
    </row>
    <row r="146" spans="1:21">
      <c r="A146" s="1345"/>
      <c r="B146" s="1348" t="s">
        <v>1041</v>
      </c>
      <c r="C146" s="1348" t="s">
        <v>2137</v>
      </c>
      <c r="D146" s="1345"/>
      <c r="E146" s="1345"/>
      <c r="F146" s="1345"/>
      <c r="G146" s="1345"/>
      <c r="H146" s="608" t="s">
        <v>1401</v>
      </c>
      <c r="I146" s="608"/>
      <c r="J146" s="608"/>
      <c r="K146" s="1345"/>
      <c r="L146" s="1345"/>
      <c r="M146" s="1350"/>
      <c r="N146" s="1345"/>
      <c r="O146" s="1345"/>
      <c r="P146" s="1345"/>
      <c r="Q146" s="1345"/>
      <c r="R146" s="1345"/>
      <c r="S146" s="1345"/>
      <c r="T146" s="1345"/>
      <c r="U146" s="1345"/>
    </row>
    <row r="147" spans="1:21">
      <c r="A147" s="1348" t="s">
        <v>1938</v>
      </c>
      <c r="B147" s="1348" t="s">
        <v>1150</v>
      </c>
      <c r="C147" s="1348" t="s">
        <v>1150</v>
      </c>
      <c r="D147" s="1348" t="s">
        <v>1987</v>
      </c>
      <c r="E147" s="1348" t="s">
        <v>1402</v>
      </c>
      <c r="F147" s="1345"/>
      <c r="G147" s="1345"/>
      <c r="H147" s="599"/>
      <c r="I147" s="602" t="s">
        <v>1403</v>
      </c>
      <c r="J147" s="602" t="s">
        <v>1404</v>
      </c>
      <c r="K147" s="1348" t="s">
        <v>1405</v>
      </c>
      <c r="L147" s="1345"/>
      <c r="M147" s="1350"/>
      <c r="N147" s="1345"/>
      <c r="O147" s="1345"/>
      <c r="P147" s="1345"/>
      <c r="Q147" s="1345"/>
      <c r="R147" s="1345"/>
      <c r="S147" s="1345"/>
      <c r="T147" s="1345"/>
      <c r="U147" s="1345"/>
    </row>
    <row r="148" spans="1:21">
      <c r="A148" s="1348" t="s">
        <v>1939</v>
      </c>
      <c r="B148" s="1348" t="s">
        <v>1939</v>
      </c>
      <c r="C148" s="1348" t="s">
        <v>1939</v>
      </c>
      <c r="D148" s="1348" t="s">
        <v>1406</v>
      </c>
      <c r="E148" s="1348" t="s">
        <v>1407</v>
      </c>
      <c r="F148" s="1348" t="s">
        <v>1408</v>
      </c>
      <c r="G148" s="1348" t="s">
        <v>1409</v>
      </c>
      <c r="H148" s="1348" t="s">
        <v>2125</v>
      </c>
      <c r="I148" s="1348" t="s">
        <v>1410</v>
      </c>
      <c r="J148" s="1348" t="s">
        <v>1411</v>
      </c>
      <c r="K148" s="1348" t="s">
        <v>1407</v>
      </c>
      <c r="L148" s="1345"/>
      <c r="M148" s="1350"/>
      <c r="N148" s="1345"/>
      <c r="O148" s="1345"/>
      <c r="P148" s="1345"/>
      <c r="Q148" s="1345"/>
      <c r="R148" s="1345"/>
      <c r="S148" s="1345"/>
      <c r="T148" s="1345"/>
      <c r="U148" s="1345"/>
    </row>
    <row r="149" spans="1:21">
      <c r="A149" s="1345"/>
      <c r="B149" s="1345"/>
      <c r="C149" s="1345"/>
      <c r="D149" s="1345"/>
      <c r="E149" s="1345"/>
      <c r="F149" s="1345"/>
      <c r="G149" s="1345"/>
      <c r="H149" s="1345"/>
      <c r="I149" s="1345"/>
      <c r="J149" s="1345"/>
      <c r="K149" s="1345"/>
      <c r="L149" s="1345"/>
      <c r="M149" s="1350"/>
      <c r="N149" s="1345"/>
      <c r="O149" s="1345"/>
      <c r="P149" s="1345"/>
      <c r="Q149" s="1345"/>
      <c r="R149" s="1345"/>
      <c r="S149" s="1345"/>
      <c r="T149" s="1345"/>
      <c r="U149" s="1345"/>
    </row>
    <row r="150" spans="1:21">
      <c r="A150" s="599"/>
      <c r="B150" s="599"/>
      <c r="C150" s="599"/>
      <c r="D150" s="599"/>
      <c r="E150" s="602" t="s">
        <v>695</v>
      </c>
      <c r="F150" s="602" t="s">
        <v>695</v>
      </c>
      <c r="G150" s="602" t="s">
        <v>695</v>
      </c>
      <c r="H150" s="602" t="s">
        <v>695</v>
      </c>
      <c r="I150" s="599"/>
      <c r="J150" s="599"/>
      <c r="K150" s="602" t="s">
        <v>695</v>
      </c>
      <c r="L150" s="1345"/>
      <c r="M150" s="1350"/>
      <c r="N150" s="1345"/>
      <c r="O150" s="1345"/>
      <c r="P150" s="1345"/>
      <c r="Q150" s="1345"/>
      <c r="R150" s="1345"/>
      <c r="S150" s="1345"/>
      <c r="T150" s="1345"/>
      <c r="U150" s="1345"/>
    </row>
    <row r="151" spans="1:21">
      <c r="A151" s="1345"/>
      <c r="B151" s="1345"/>
      <c r="C151" s="1345"/>
      <c r="D151" s="1345"/>
      <c r="E151" s="2757"/>
      <c r="F151" s="2757"/>
      <c r="G151" s="2757"/>
      <c r="H151" s="2757"/>
      <c r="I151" s="2757"/>
      <c r="J151" s="2757"/>
      <c r="K151" s="1345"/>
      <c r="L151" s="1345"/>
      <c r="M151" s="1350"/>
      <c r="N151" s="1345"/>
      <c r="O151" s="1345"/>
      <c r="P151" s="1345"/>
      <c r="Q151" s="1345"/>
      <c r="R151" s="1345"/>
      <c r="S151" s="1345"/>
      <c r="T151" s="1345"/>
      <c r="U151" s="1345"/>
    </row>
    <row r="152" spans="1:21">
      <c r="A152" s="1348" t="s">
        <v>1152</v>
      </c>
      <c r="B152" s="1345"/>
      <c r="C152" s="2953">
        <v>10300</v>
      </c>
      <c r="D152" s="2758" t="s">
        <v>1077</v>
      </c>
      <c r="E152" s="2755">
        <v>22332072</v>
      </c>
      <c r="F152" s="2756">
        <v>0</v>
      </c>
      <c r="G152" s="2755">
        <v>0</v>
      </c>
      <c r="H152" s="2755"/>
      <c r="I152" s="2763"/>
      <c r="J152" s="2758"/>
      <c r="K152" s="1349">
        <f t="shared" ref="K152:K161" si="5">E152+F152-G152+H152</f>
        <v>22332072</v>
      </c>
      <c r="L152" s="1350"/>
      <c r="M152" s="1350"/>
      <c r="N152" s="1345"/>
      <c r="O152" s="1345"/>
      <c r="P152" s="1345"/>
      <c r="Q152" s="1345"/>
      <c r="R152" s="1345"/>
      <c r="S152" s="1345"/>
      <c r="T152" s="1345"/>
      <c r="U152" s="1345"/>
    </row>
    <row r="153" spans="1:21">
      <c r="A153" s="1348">
        <f>A152+1</f>
        <v>2</v>
      </c>
      <c r="B153" s="1345"/>
      <c r="C153" s="2953">
        <v>18900</v>
      </c>
      <c r="D153" s="2758" t="s">
        <v>1167</v>
      </c>
      <c r="E153" s="2755">
        <v>154248</v>
      </c>
      <c r="F153" s="2756">
        <v>0</v>
      </c>
      <c r="G153" s="2755">
        <v>0</v>
      </c>
      <c r="H153" s="2755"/>
      <c r="I153" s="2763"/>
      <c r="J153" s="2758"/>
      <c r="K153" s="1349">
        <f t="shared" si="5"/>
        <v>154248</v>
      </c>
      <c r="L153" s="1350"/>
      <c r="M153" s="1350"/>
      <c r="N153" s="1345"/>
      <c r="O153" s="1345"/>
      <c r="P153" s="1345"/>
      <c r="Q153" s="1345"/>
      <c r="R153" s="1345"/>
      <c r="S153" s="1345"/>
      <c r="T153" s="1345"/>
      <c r="U153" s="1345"/>
    </row>
    <row r="154" spans="1:21">
      <c r="A154" s="1348">
        <f t="shared" ref="A154:A161" si="6">A153+1</f>
        <v>3</v>
      </c>
      <c r="B154" s="1345"/>
      <c r="C154" s="2953">
        <v>19000</v>
      </c>
      <c r="D154" s="2758" t="s">
        <v>1159</v>
      </c>
      <c r="E154" s="2755">
        <v>11408937</v>
      </c>
      <c r="F154" s="2756">
        <v>3573380</v>
      </c>
      <c r="G154" s="2755">
        <v>177720</v>
      </c>
      <c r="H154" s="2755"/>
      <c r="I154" s="2764"/>
      <c r="J154" s="2760"/>
      <c r="K154" s="1349">
        <f t="shared" si="5"/>
        <v>14804597</v>
      </c>
      <c r="L154" s="1350"/>
      <c r="M154" s="1350"/>
      <c r="N154" s="1345"/>
      <c r="O154" s="1345"/>
      <c r="P154" s="1345"/>
      <c r="Q154" s="1345"/>
      <c r="R154" s="1345"/>
      <c r="S154" s="1345"/>
      <c r="T154" s="1345"/>
      <c r="U154" s="1345"/>
    </row>
    <row r="155" spans="1:21">
      <c r="A155" s="1348">
        <f t="shared" si="6"/>
        <v>4</v>
      </c>
      <c r="B155" s="1345"/>
      <c r="C155" s="2953">
        <v>19100</v>
      </c>
      <c r="D155" s="2758" t="s">
        <v>1107</v>
      </c>
      <c r="E155" s="2755">
        <v>755564</v>
      </c>
      <c r="F155" s="2756">
        <v>0</v>
      </c>
      <c r="G155" s="2755">
        <v>0</v>
      </c>
      <c r="H155" s="2755"/>
      <c r="I155" s="2764"/>
      <c r="J155" s="2760"/>
      <c r="K155" s="1349">
        <f t="shared" si="5"/>
        <v>755564</v>
      </c>
      <c r="L155" s="1350"/>
      <c r="M155" s="1350"/>
      <c r="N155" s="1345"/>
      <c r="O155" s="1345"/>
      <c r="P155" s="1345"/>
      <c r="Q155" s="1345"/>
      <c r="R155" s="1345"/>
      <c r="S155" s="1345"/>
      <c r="T155" s="1345"/>
      <c r="U155" s="1345"/>
    </row>
    <row r="156" spans="1:21">
      <c r="A156" s="1348">
        <f t="shared" si="6"/>
        <v>5</v>
      </c>
      <c r="B156" s="1345"/>
      <c r="C156" s="2953">
        <v>19101</v>
      </c>
      <c r="D156" s="2758" t="s">
        <v>2677</v>
      </c>
      <c r="E156" s="2755">
        <v>807217</v>
      </c>
      <c r="F156" s="2756">
        <v>0</v>
      </c>
      <c r="G156" s="2755">
        <v>0</v>
      </c>
      <c r="H156" s="2755"/>
      <c r="I156" s="2764"/>
      <c r="J156" s="2758"/>
      <c r="K156" s="1349">
        <f t="shared" si="5"/>
        <v>807217</v>
      </c>
      <c r="L156" s="1350"/>
      <c r="M156" s="1350"/>
      <c r="N156" s="1345"/>
      <c r="O156" s="1345"/>
      <c r="P156" s="1345"/>
      <c r="Q156" s="1345"/>
      <c r="R156" s="1345"/>
      <c r="S156" s="1345"/>
      <c r="T156" s="1345"/>
      <c r="U156" s="1345"/>
    </row>
    <row r="157" spans="1:21">
      <c r="A157" s="1348">
        <f t="shared" si="6"/>
        <v>6</v>
      </c>
      <c r="B157" s="1345"/>
      <c r="C157" s="2953">
        <v>19300</v>
      </c>
      <c r="D157" s="2758" t="s">
        <v>1079</v>
      </c>
      <c r="E157" s="2755">
        <v>0</v>
      </c>
      <c r="F157" s="2756">
        <v>0</v>
      </c>
      <c r="G157" s="2755">
        <v>0</v>
      </c>
      <c r="H157" s="2755"/>
      <c r="I157" s="2764"/>
      <c r="J157" s="2760"/>
      <c r="K157" s="1349">
        <f t="shared" si="5"/>
        <v>0</v>
      </c>
      <c r="L157" s="1350"/>
      <c r="M157" s="1350"/>
      <c r="N157" s="1345"/>
      <c r="O157" s="1345"/>
      <c r="P157" s="1345"/>
      <c r="Q157" s="1345"/>
      <c r="R157" s="1345"/>
      <c r="S157" s="1345"/>
      <c r="T157" s="1345"/>
      <c r="U157" s="1345"/>
    </row>
    <row r="158" spans="1:21">
      <c r="A158" s="1348">
        <f t="shared" si="6"/>
        <v>7</v>
      </c>
      <c r="B158" s="1345"/>
      <c r="C158" s="2953">
        <v>19400</v>
      </c>
      <c r="D158" s="2758" t="s">
        <v>1112</v>
      </c>
      <c r="E158" s="2755">
        <v>121888</v>
      </c>
      <c r="F158" s="2756">
        <v>0</v>
      </c>
      <c r="G158" s="2755">
        <v>0</v>
      </c>
      <c r="H158" s="2755"/>
      <c r="I158" s="2764"/>
      <c r="J158" s="2760"/>
      <c r="K158" s="1349">
        <f t="shared" si="5"/>
        <v>121888</v>
      </c>
      <c r="L158" s="1350"/>
      <c r="M158" s="1350"/>
      <c r="N158" s="1345"/>
      <c r="O158" s="1345"/>
      <c r="P158" s="1345"/>
      <c r="Q158" s="1345"/>
      <c r="R158" s="1345"/>
      <c r="S158" s="1345"/>
      <c r="T158" s="1345"/>
      <c r="U158" s="1345"/>
    </row>
    <row r="159" spans="1:21">
      <c r="A159" s="1348">
        <f t="shared" si="6"/>
        <v>8</v>
      </c>
      <c r="B159" s="1345"/>
      <c r="C159" s="2953">
        <v>19700</v>
      </c>
      <c r="D159" s="2758" t="s">
        <v>1080</v>
      </c>
      <c r="E159" s="2755">
        <v>7828641</v>
      </c>
      <c r="F159" s="2756">
        <v>285553</v>
      </c>
      <c r="G159" s="2755">
        <v>0</v>
      </c>
      <c r="H159" s="2755"/>
      <c r="I159" s="2764"/>
      <c r="J159" s="2760"/>
      <c r="K159" s="1349">
        <f t="shared" si="5"/>
        <v>8114194</v>
      </c>
      <c r="L159" s="1350"/>
      <c r="M159" s="1350"/>
      <c r="N159" s="1345"/>
      <c r="O159" s="1345"/>
      <c r="P159" s="1345"/>
      <c r="Q159" s="1345"/>
      <c r="R159" s="1345"/>
      <c r="S159" s="1345"/>
      <c r="T159" s="1345"/>
      <c r="U159" s="1345"/>
    </row>
    <row r="160" spans="1:21">
      <c r="A160" s="1348">
        <f t="shared" si="6"/>
        <v>9</v>
      </c>
      <c r="B160" s="1345"/>
      <c r="C160" s="2953">
        <v>19800</v>
      </c>
      <c r="D160" s="2758" t="s">
        <v>1116</v>
      </c>
      <c r="E160" s="2755">
        <v>41504</v>
      </c>
      <c r="F160" s="2756">
        <v>0</v>
      </c>
      <c r="G160" s="2755">
        <v>0</v>
      </c>
      <c r="H160" s="2755"/>
      <c r="I160" s="2765"/>
      <c r="J160" s="2759"/>
      <c r="K160" s="1349">
        <f t="shared" si="5"/>
        <v>41504</v>
      </c>
      <c r="L160" s="1350"/>
      <c r="M160" s="1350"/>
      <c r="N160" s="1345"/>
      <c r="O160" s="1345"/>
      <c r="P160" s="1345"/>
      <c r="Q160" s="1345"/>
      <c r="R160" s="1345"/>
      <c r="S160" s="1345"/>
      <c r="T160" s="1345"/>
      <c r="U160" s="1345"/>
    </row>
    <row r="161" spans="1:21">
      <c r="A161" s="1348">
        <f t="shared" si="6"/>
        <v>10</v>
      </c>
      <c r="B161" s="1345"/>
      <c r="C161" s="2953"/>
      <c r="D161" s="2758" t="s">
        <v>2314</v>
      </c>
      <c r="E161" s="2755">
        <v>0</v>
      </c>
      <c r="F161" s="2756">
        <v>314111</v>
      </c>
      <c r="G161" s="2755">
        <v>0</v>
      </c>
      <c r="H161" s="2755"/>
      <c r="I161" s="2766"/>
      <c r="J161" s="2757"/>
      <c r="K161" s="1349">
        <f t="shared" si="5"/>
        <v>314111</v>
      </c>
      <c r="L161" s="1350"/>
      <c r="M161" s="1350"/>
      <c r="N161" s="1345"/>
      <c r="O161" s="1345"/>
      <c r="P161" s="1345"/>
      <c r="Q161" s="1345"/>
      <c r="R161" s="1345"/>
      <c r="S161" s="1345"/>
      <c r="T161" s="1345"/>
      <c r="U161" s="1345"/>
    </row>
    <row r="162" spans="1:21">
      <c r="A162" s="1345"/>
      <c r="B162" s="1345"/>
      <c r="C162" s="1345"/>
      <c r="D162" s="1345"/>
      <c r="E162" s="2757"/>
      <c r="F162" s="2757"/>
      <c r="G162" s="2757"/>
      <c r="H162" s="2757"/>
      <c r="I162" s="2757"/>
      <c r="J162" s="2757"/>
      <c r="K162" s="1349"/>
      <c r="L162" s="1350"/>
      <c r="M162" s="1350"/>
      <c r="N162" s="1345"/>
      <c r="O162" s="1345"/>
      <c r="P162" s="1345"/>
      <c r="Q162" s="1345"/>
      <c r="R162" s="1345"/>
      <c r="S162" s="1345"/>
      <c r="T162" s="1345"/>
      <c r="U162" s="1345"/>
    </row>
    <row r="163" spans="1:21">
      <c r="A163" s="599"/>
      <c r="B163" s="599"/>
      <c r="C163" s="599"/>
      <c r="D163" s="599"/>
      <c r="E163" s="601"/>
      <c r="F163" s="601"/>
      <c r="G163" s="601"/>
      <c r="H163" s="601"/>
      <c r="I163" s="610"/>
      <c r="J163" s="610"/>
      <c r="K163" s="601"/>
      <c r="L163" s="1350"/>
      <c r="M163" s="1350"/>
      <c r="N163" s="1345"/>
      <c r="O163" s="1345"/>
      <c r="P163" s="1345"/>
      <c r="Q163" s="1345"/>
      <c r="R163" s="1345"/>
      <c r="S163" s="1345"/>
      <c r="T163" s="1345"/>
      <c r="U163" s="1345"/>
    </row>
    <row r="164" spans="1:21">
      <c r="A164" s="1348">
        <f>A161+1</f>
        <v>11</v>
      </c>
      <c r="B164" s="1345"/>
      <c r="C164" s="1345"/>
      <c r="D164" s="1298" t="s">
        <v>1321</v>
      </c>
      <c r="E164" s="1351">
        <f>SUM(E152:E161)</f>
        <v>43450071</v>
      </c>
      <c r="F164" s="1351">
        <f>SUM(F152:F161)</f>
        <v>4173044</v>
      </c>
      <c r="G164" s="1351">
        <f>SUM(G152:G161)</f>
        <v>177720</v>
      </c>
      <c r="H164" s="1351">
        <f>SUM(H152:H161)</f>
        <v>0</v>
      </c>
      <c r="I164" s="1350"/>
      <c r="J164" s="1350"/>
      <c r="K164" s="1351">
        <f>SUM(K152:K161)</f>
        <v>47445395</v>
      </c>
      <c r="L164" s="1350"/>
      <c r="M164" s="1345"/>
      <c r="N164" s="1345"/>
      <c r="O164" s="1345"/>
      <c r="P164" s="1345"/>
      <c r="Q164" s="1345"/>
      <c r="R164" s="1345"/>
      <c r="S164" s="1345"/>
      <c r="T164" s="1345"/>
      <c r="U164" s="1345"/>
    </row>
    <row r="165" spans="1:21">
      <c r="A165" s="1345"/>
      <c r="B165" s="1345"/>
      <c r="C165" s="1345"/>
      <c r="D165" s="1345"/>
      <c r="E165" s="1345"/>
      <c r="F165" s="1345"/>
      <c r="G165" s="1345"/>
      <c r="H165" s="1345"/>
      <c r="I165" s="1345"/>
      <c r="J165" s="1345"/>
      <c r="K165" s="1349"/>
      <c r="L165" s="1350"/>
      <c r="M165" s="1350"/>
      <c r="N165" s="1345"/>
      <c r="O165" s="1345"/>
      <c r="P165" s="1345"/>
      <c r="Q165" s="1345"/>
      <c r="R165" s="1345"/>
      <c r="S165" s="1345"/>
      <c r="T165" s="1345"/>
      <c r="U165" s="1345"/>
    </row>
    <row r="166" spans="1:21">
      <c r="A166" s="599"/>
      <c r="B166" s="599"/>
      <c r="C166" s="599"/>
      <c r="D166" s="599"/>
      <c r="E166" s="601"/>
      <c r="F166" s="601"/>
      <c r="G166" s="601"/>
      <c r="H166" s="601"/>
      <c r="I166" s="610"/>
      <c r="J166" s="610"/>
      <c r="K166" s="601"/>
      <c r="L166" s="1350"/>
      <c r="M166" s="1350"/>
      <c r="N166" s="1345"/>
      <c r="O166" s="1345"/>
      <c r="P166" s="1345"/>
      <c r="Q166" s="1345"/>
      <c r="R166" s="1345"/>
      <c r="S166" s="1345"/>
      <c r="T166" s="1345"/>
      <c r="U166" s="1345"/>
    </row>
    <row r="167" spans="1:21">
      <c r="A167" s="1348">
        <f>A164+1</f>
        <v>12</v>
      </c>
      <c r="B167" s="1345"/>
      <c r="C167" s="2134">
        <f>CommonG</f>
        <v>0.27379999999999999</v>
      </c>
      <c r="D167" s="1298" t="s">
        <v>1322</v>
      </c>
      <c r="E167" s="1351">
        <f>ROUND(E164*$C$167,0)</f>
        <v>11896629</v>
      </c>
      <c r="F167" s="1351">
        <f>ROUND(F164*$C$167,0)+1</f>
        <v>1142580</v>
      </c>
      <c r="G167" s="1351">
        <f>ROUND(G164*$C$167,0)</f>
        <v>48660</v>
      </c>
      <c r="H167" s="1351">
        <f>ROUND(H164*$C$167,0)</f>
        <v>0</v>
      </c>
      <c r="I167" s="1350"/>
      <c r="J167" s="1350"/>
      <c r="K167" s="1351">
        <f>E167+F167-G167+H167</f>
        <v>12990549</v>
      </c>
      <c r="L167" s="1350"/>
      <c r="M167" s="1350"/>
      <c r="N167" s="1345"/>
      <c r="O167" s="1345"/>
      <c r="P167" s="1345"/>
      <c r="Q167" s="1345"/>
      <c r="R167" s="1345"/>
      <c r="S167" s="1345"/>
      <c r="T167" s="1345"/>
      <c r="U167" s="1345"/>
    </row>
    <row r="168" spans="1:21">
      <c r="A168" s="1345"/>
      <c r="B168" s="1345"/>
      <c r="C168" s="1345"/>
      <c r="D168" s="1345"/>
      <c r="E168" s="1345"/>
      <c r="F168" s="1345"/>
      <c r="G168" s="1345"/>
      <c r="H168" s="1345"/>
      <c r="I168" s="1345"/>
      <c r="J168" s="1345"/>
      <c r="K168" s="1349"/>
      <c r="L168" s="1350"/>
      <c r="M168" s="1350"/>
      <c r="N168" s="1345"/>
      <c r="O168" s="1345"/>
      <c r="P168" s="1345"/>
      <c r="Q168" s="1345"/>
      <c r="R168" s="1345"/>
      <c r="S168" s="1345"/>
      <c r="T168" s="1345"/>
      <c r="U168" s="1345"/>
    </row>
    <row r="169" spans="1:21">
      <c r="A169" s="599"/>
      <c r="B169" s="599"/>
      <c r="C169" s="599"/>
      <c r="D169" s="599"/>
      <c r="E169" s="601"/>
      <c r="F169" s="601"/>
      <c r="G169" s="601"/>
      <c r="H169" s="601"/>
      <c r="I169" s="610"/>
      <c r="J169" s="610"/>
      <c r="K169" s="601"/>
      <c r="L169" s="1350"/>
      <c r="M169" s="1350"/>
      <c r="N169" s="1345"/>
      <c r="O169" s="1345"/>
      <c r="P169" s="1345"/>
      <c r="Q169" s="1345"/>
      <c r="R169" s="1345"/>
      <c r="S169" s="1345"/>
      <c r="T169" s="1345"/>
      <c r="U169" s="1345"/>
    </row>
    <row r="170" spans="1:21">
      <c r="A170" s="1348">
        <f>A167+1</f>
        <v>13</v>
      </c>
      <c r="B170" s="1345"/>
      <c r="C170" s="1345"/>
      <c r="D170" s="1298" t="s">
        <v>1323</v>
      </c>
      <c r="E170" s="1351">
        <f>E167+E126</f>
        <v>513834740</v>
      </c>
      <c r="F170" s="1351">
        <f>F167+F126</f>
        <v>66093191</v>
      </c>
      <c r="G170" s="1351">
        <f>G167+G126</f>
        <v>1588573</v>
      </c>
      <c r="H170" s="1351">
        <f>H167+H126</f>
        <v>0</v>
      </c>
      <c r="I170" s="1350"/>
      <c r="J170" s="1350"/>
      <c r="K170" s="1351">
        <f>K167+K126</f>
        <v>578339358</v>
      </c>
      <c r="L170" s="1350"/>
      <c r="M170" s="1350"/>
      <c r="N170" s="1345"/>
      <c r="O170" s="1345"/>
      <c r="P170" s="1345"/>
      <c r="Q170" s="1345"/>
      <c r="R170" s="1345"/>
      <c r="S170" s="1345"/>
      <c r="T170" s="1345"/>
      <c r="U170" s="1345"/>
    </row>
    <row r="171" spans="1:21">
      <c r="A171" s="1345"/>
      <c r="B171" s="1345"/>
      <c r="C171" s="1345"/>
      <c r="D171" s="1345"/>
      <c r="E171" s="1345"/>
      <c r="F171" s="1345"/>
      <c r="G171" s="1345"/>
      <c r="H171" s="1345"/>
      <c r="I171" s="1345"/>
      <c r="J171" s="1345"/>
      <c r="K171" s="1345"/>
      <c r="L171" s="1350"/>
      <c r="M171" s="1350"/>
      <c r="N171" s="1345"/>
      <c r="O171" s="1345"/>
      <c r="P171" s="1345"/>
      <c r="Q171" s="1345"/>
      <c r="R171" s="1345"/>
      <c r="S171" s="1345"/>
      <c r="T171" s="1345"/>
      <c r="U171" s="1345"/>
    </row>
    <row r="172" spans="1:21">
      <c r="A172" s="599"/>
      <c r="B172" s="599"/>
      <c r="C172" s="599"/>
      <c r="D172" s="599"/>
      <c r="E172" s="601"/>
      <c r="F172" s="601"/>
      <c r="G172" s="601"/>
      <c r="H172" s="601"/>
      <c r="I172" s="610"/>
      <c r="J172" s="610"/>
      <c r="K172" s="601"/>
      <c r="L172" s="1350"/>
      <c r="M172" s="1350"/>
      <c r="N172" s="1345"/>
      <c r="O172" s="1345"/>
      <c r="P172" s="1345"/>
      <c r="Q172" s="1345"/>
      <c r="R172" s="1345"/>
      <c r="S172" s="1345"/>
      <c r="T172" s="1345"/>
      <c r="U172" s="1345"/>
    </row>
    <row r="173" spans="1:21">
      <c r="A173" s="3432"/>
      <c r="B173" s="3432"/>
      <c r="C173" s="3432"/>
      <c r="D173" s="3432"/>
      <c r="E173" s="3432"/>
      <c r="F173" s="3432"/>
      <c r="G173" s="3432"/>
      <c r="H173" s="3432"/>
      <c r="I173" s="3432"/>
      <c r="J173" s="3432"/>
      <c r="K173" s="3432"/>
      <c r="L173" s="3432"/>
      <c r="M173" s="1350"/>
      <c r="N173" s="1345"/>
      <c r="O173" s="1345"/>
      <c r="P173" s="1345"/>
      <c r="Q173" s="1345"/>
      <c r="R173" s="1345"/>
      <c r="S173" s="1345"/>
      <c r="T173" s="1345"/>
      <c r="U173" s="1345"/>
    </row>
    <row r="174" spans="1:21">
      <c r="A174" s="684" t="str">
        <f>COMPANY</f>
        <v>DUKE ENERGY KENTUCKY, INC.</v>
      </c>
      <c r="B174" s="1343"/>
      <c r="C174" s="1343"/>
      <c r="D174" s="1343"/>
      <c r="E174" s="1461"/>
      <c r="F174" s="1343"/>
      <c r="G174" s="1343"/>
      <c r="H174" s="1343"/>
      <c r="I174" s="1343"/>
      <c r="J174" s="1343"/>
      <c r="K174" s="1343"/>
      <c r="L174" s="1345"/>
      <c r="M174" s="1350"/>
      <c r="N174" s="1345"/>
      <c r="O174" s="1345"/>
      <c r="P174" s="1345"/>
      <c r="Q174" s="1345"/>
      <c r="R174" s="1345"/>
      <c r="S174" s="1345"/>
      <c r="T174" s="1345"/>
      <c r="U174" s="1345"/>
    </row>
    <row r="175" spans="1:21">
      <c r="A175" s="684" t="str">
        <f>CASE</f>
        <v>CASE NO. 2018-00261</v>
      </c>
      <c r="B175" s="1343"/>
      <c r="C175" s="1343"/>
      <c r="D175" s="1343"/>
      <c r="E175" s="1461"/>
      <c r="F175" s="1343"/>
      <c r="G175" s="1343"/>
      <c r="H175" s="1343"/>
      <c r="I175" s="1343"/>
      <c r="J175" s="1343"/>
      <c r="K175" s="1343"/>
      <c r="L175" s="1345"/>
      <c r="M175" s="1350"/>
      <c r="N175" s="1345"/>
      <c r="O175" s="1345"/>
      <c r="P175" s="1345"/>
      <c r="Q175" s="1345"/>
      <c r="R175" s="1345"/>
      <c r="S175" s="1345"/>
      <c r="T175" s="1345"/>
      <c r="U175" s="1345"/>
    </row>
    <row r="176" spans="1:21">
      <c r="A176" s="684" t="s">
        <v>1399</v>
      </c>
      <c r="B176" s="1343"/>
      <c r="C176" s="1343"/>
      <c r="D176" s="1343"/>
      <c r="E176" s="1461"/>
      <c r="F176" s="1343"/>
      <c r="G176" s="1343"/>
      <c r="H176" s="1343"/>
      <c r="I176" s="1343"/>
      <c r="J176" s="1343"/>
      <c r="K176" s="1343"/>
      <c r="L176" s="1345"/>
      <c r="M176" s="1350"/>
      <c r="N176" s="1345"/>
      <c r="O176" s="1345"/>
      <c r="P176" s="1345"/>
      <c r="Q176" s="1345"/>
      <c r="R176" s="1345"/>
      <c r="S176" s="1345"/>
      <c r="T176" s="1345"/>
      <c r="U176" s="1345"/>
    </row>
    <row r="177" spans="1:21">
      <c r="A177" s="684" t="str">
        <f>"FROM APRIL 1, 2019"&amp;" TO "&amp;RIGHT(Forecast,(LEN(Forecast)-16))</f>
        <v>FROM APRIL 1, 2019 TO MARCH 31, 2020</v>
      </c>
      <c r="B177" s="1343"/>
      <c r="C177" s="1343"/>
      <c r="D177" s="1343"/>
      <c r="E177" s="1461"/>
      <c r="F177" s="1343"/>
      <c r="G177" s="1343"/>
      <c r="H177" s="1343"/>
      <c r="I177" s="1343"/>
      <c r="J177" s="1343"/>
      <c r="K177" s="1343"/>
      <c r="L177" s="1345"/>
      <c r="M177" s="1350"/>
      <c r="N177" s="1345"/>
      <c r="O177" s="1345"/>
      <c r="P177" s="1345"/>
      <c r="Q177" s="1345"/>
      <c r="R177" s="1345"/>
      <c r="S177" s="1345"/>
      <c r="T177" s="1345"/>
      <c r="U177" s="1345"/>
    </row>
    <row r="178" spans="1:21">
      <c r="A178" s="1343"/>
      <c r="B178" s="1343"/>
      <c r="C178" s="1343"/>
      <c r="D178" s="1343"/>
      <c r="E178" s="1461"/>
      <c r="F178" s="1343"/>
      <c r="G178" s="1343"/>
      <c r="H178" s="1343"/>
      <c r="I178" s="1343"/>
      <c r="J178" s="1343"/>
      <c r="K178" s="1343"/>
      <c r="L178" s="1345"/>
      <c r="M178" s="1350"/>
      <c r="N178" s="1345"/>
      <c r="O178" s="1345"/>
      <c r="P178" s="1345"/>
      <c r="Q178" s="1345"/>
      <c r="R178" s="1345"/>
      <c r="S178" s="1345"/>
      <c r="T178" s="1345"/>
      <c r="U178" s="1345"/>
    </row>
    <row r="179" spans="1:21">
      <c r="A179" s="684" t="s">
        <v>1147</v>
      </c>
      <c r="B179" s="1343"/>
      <c r="C179" s="1343"/>
      <c r="D179" s="1343"/>
      <c r="E179" s="1461"/>
      <c r="F179" s="1343"/>
      <c r="G179" s="1343"/>
      <c r="H179" s="1343"/>
      <c r="I179" s="1343"/>
      <c r="J179" s="1343"/>
      <c r="K179" s="1343"/>
      <c r="L179" s="1345"/>
      <c r="M179" s="1350"/>
      <c r="N179" s="1345"/>
      <c r="O179" s="1345"/>
      <c r="P179" s="1345"/>
      <c r="Q179" s="1345"/>
      <c r="R179" s="1345"/>
      <c r="S179" s="1345"/>
      <c r="T179" s="1345"/>
      <c r="U179" s="1345"/>
    </row>
    <row r="180" spans="1:21">
      <c r="A180" s="1343"/>
      <c r="B180" s="1343"/>
      <c r="C180" s="1343"/>
      <c r="D180" s="1343"/>
      <c r="E180" s="1461"/>
      <c r="F180" s="1343"/>
      <c r="G180" s="1343"/>
      <c r="H180" s="1343"/>
      <c r="I180" s="1343"/>
      <c r="J180" s="1343"/>
      <c r="K180" s="1343"/>
      <c r="L180" s="1345"/>
      <c r="M180" s="1350"/>
      <c r="N180" s="1345"/>
      <c r="O180" s="1345"/>
      <c r="P180" s="1345"/>
      <c r="Q180" s="1345"/>
      <c r="R180" s="1345"/>
      <c r="S180" s="1345"/>
      <c r="T180" s="1345"/>
      <c r="U180" s="1345"/>
    </row>
    <row r="181" spans="1:21">
      <c r="A181" s="1344"/>
      <c r="B181" s="1343"/>
      <c r="C181" s="1343"/>
      <c r="D181" s="1343"/>
      <c r="E181" s="1461"/>
      <c r="F181" s="1343"/>
      <c r="G181" s="1343"/>
      <c r="H181" s="1343"/>
      <c r="I181" s="1343"/>
      <c r="J181" s="1343"/>
      <c r="K181" s="1343"/>
      <c r="L181" s="1345"/>
      <c r="M181" s="1350"/>
      <c r="N181" s="1345"/>
      <c r="O181" s="1345"/>
      <c r="P181" s="1345"/>
      <c r="Q181" s="1345"/>
      <c r="R181" s="1345"/>
      <c r="S181" s="1345"/>
      <c r="T181" s="1345"/>
      <c r="U181" s="1345"/>
    </row>
    <row r="182" spans="1:21">
      <c r="A182" s="1345"/>
      <c r="B182" s="1345"/>
      <c r="C182" s="1345"/>
      <c r="D182" s="1345"/>
      <c r="E182" s="1345"/>
      <c r="F182" s="1345"/>
      <c r="G182" s="1345"/>
      <c r="H182" s="1345"/>
      <c r="I182" s="1345"/>
      <c r="J182" s="1345"/>
      <c r="K182" s="1345"/>
      <c r="L182" s="1345"/>
      <c r="M182" s="1350"/>
      <c r="N182" s="1345"/>
      <c r="O182" s="1345"/>
      <c r="P182" s="1345"/>
      <c r="Q182" s="1345"/>
      <c r="R182" s="1345"/>
      <c r="S182" s="1345"/>
      <c r="T182" s="1345"/>
      <c r="U182" s="1345"/>
    </row>
    <row r="183" spans="1:21">
      <c r="A183" s="1298" t="str">
        <f>DataF</f>
        <v>DATA:  BASE PERIOD  "X" FORECASTED PERIOD</v>
      </c>
      <c r="B183" s="1345"/>
      <c r="C183" s="1345"/>
      <c r="D183" s="1345"/>
      <c r="E183" s="1345"/>
      <c r="F183" s="1345"/>
      <c r="G183" s="1345"/>
      <c r="H183" s="1345"/>
      <c r="I183" s="1345"/>
      <c r="K183" s="1298" t="s">
        <v>1400</v>
      </c>
      <c r="L183" s="1345"/>
      <c r="M183" s="1350"/>
      <c r="N183" s="1345"/>
      <c r="O183" s="1345"/>
      <c r="P183" s="1345"/>
      <c r="Q183" s="1345"/>
      <c r="R183" s="1345"/>
      <c r="S183" s="1345"/>
      <c r="T183" s="1345"/>
      <c r="U183" s="1345"/>
    </row>
    <row r="184" spans="1:21">
      <c r="A184" s="1298" t="str">
        <f>Type</f>
        <v xml:space="preserve">TYPE OF FILING:  "X" ORIGINAL   UPDATED    REVISED  </v>
      </c>
      <c r="B184" s="1345"/>
      <c r="C184" s="1345"/>
      <c r="D184" s="1345"/>
      <c r="E184" s="1345"/>
      <c r="F184" s="1345"/>
      <c r="G184" s="1345"/>
      <c r="H184" s="1345"/>
      <c r="I184" s="1345"/>
      <c r="K184" s="1298" t="s">
        <v>500</v>
      </c>
      <c r="L184" s="1345"/>
      <c r="M184" s="1350"/>
      <c r="N184" s="1345"/>
      <c r="O184" s="1345"/>
      <c r="P184" s="1345"/>
      <c r="Q184" s="1345"/>
      <c r="R184" s="1345"/>
      <c r="S184" s="1345"/>
      <c r="T184" s="1345"/>
      <c r="U184" s="1345"/>
    </row>
    <row r="185" spans="1:21">
      <c r="A185" s="1298" t="s">
        <v>852</v>
      </c>
      <c r="B185" s="1345"/>
      <c r="C185" s="1345"/>
      <c r="D185" s="1345"/>
      <c r="E185" s="1345"/>
      <c r="F185" s="1345"/>
      <c r="G185" s="1345"/>
      <c r="H185" s="1345"/>
      <c r="I185" s="1345"/>
      <c r="K185" s="1346" t="s">
        <v>566</v>
      </c>
      <c r="L185" s="1345"/>
      <c r="M185" s="1350"/>
      <c r="N185" s="1345"/>
      <c r="O185" s="1345"/>
      <c r="P185" s="1345"/>
      <c r="Q185" s="1345"/>
      <c r="R185" s="1345"/>
      <c r="S185" s="1345"/>
      <c r="T185" s="1345"/>
      <c r="U185" s="1345"/>
    </row>
    <row r="186" spans="1:21">
      <c r="A186" s="1345"/>
      <c r="B186" s="1345"/>
      <c r="C186" s="1345"/>
      <c r="D186" s="1345"/>
      <c r="E186" s="1345"/>
      <c r="F186" s="1345"/>
      <c r="G186" s="1345"/>
      <c r="H186" s="1345"/>
      <c r="I186" s="1345"/>
      <c r="K186" s="1346" t="str">
        <f>_WIT7</f>
        <v>R. H. PRATT / C. S. LEE</v>
      </c>
      <c r="L186" s="1345"/>
      <c r="M186" s="1350"/>
      <c r="N186" s="1345"/>
      <c r="O186" s="1345"/>
      <c r="P186" s="1345"/>
      <c r="Q186" s="1345"/>
      <c r="R186" s="1345"/>
      <c r="S186" s="1345"/>
      <c r="T186" s="1345"/>
      <c r="U186" s="1345"/>
    </row>
    <row r="187" spans="1:21">
      <c r="A187" s="1345"/>
      <c r="B187" s="1345"/>
      <c r="C187" s="1345"/>
      <c r="D187" s="1345"/>
      <c r="E187" s="1345"/>
      <c r="F187" s="1345"/>
      <c r="G187" s="1345"/>
      <c r="H187" s="1345"/>
      <c r="I187" s="1345"/>
      <c r="J187" s="1345"/>
      <c r="K187" s="1345"/>
      <c r="L187" s="1345"/>
      <c r="M187" s="1350"/>
      <c r="N187" s="1345"/>
      <c r="O187" s="1345"/>
      <c r="P187" s="1345"/>
      <c r="Q187" s="1345"/>
      <c r="R187" s="1345"/>
      <c r="S187" s="1345"/>
      <c r="T187" s="1345"/>
      <c r="U187" s="1345"/>
    </row>
    <row r="188" spans="1:21">
      <c r="A188" s="1345"/>
      <c r="B188" s="1345"/>
      <c r="C188" s="1345"/>
      <c r="D188" s="1345"/>
      <c r="E188" s="1345"/>
      <c r="F188" s="1345"/>
      <c r="G188" s="1345"/>
      <c r="H188" s="1347"/>
      <c r="I188" s="1345"/>
      <c r="J188" s="1345"/>
      <c r="K188" s="1345"/>
      <c r="L188" s="1345"/>
      <c r="M188" s="1350"/>
      <c r="N188" s="1345"/>
      <c r="O188" s="1345"/>
      <c r="P188" s="1345"/>
      <c r="Q188" s="1345"/>
      <c r="R188" s="1345"/>
      <c r="S188" s="1345"/>
      <c r="T188" s="1345"/>
      <c r="U188" s="1345"/>
    </row>
    <row r="189" spans="1:21">
      <c r="A189" s="599"/>
      <c r="B189" s="599"/>
      <c r="C189" s="607"/>
      <c r="D189" s="599"/>
      <c r="E189" s="599"/>
      <c r="F189" s="599"/>
      <c r="G189" s="599"/>
      <c r="I189" s="599"/>
      <c r="J189" s="599"/>
      <c r="K189" s="599"/>
      <c r="L189" s="599"/>
      <c r="M189" s="1350"/>
      <c r="N189" s="1345"/>
      <c r="O189" s="1345"/>
      <c r="P189" s="1345"/>
      <c r="Q189" s="1345"/>
      <c r="R189" s="1345"/>
      <c r="S189" s="1345"/>
      <c r="T189" s="1345"/>
      <c r="U189" s="1345"/>
    </row>
    <row r="190" spans="1:21">
      <c r="A190" s="1345"/>
      <c r="B190" s="1348" t="s">
        <v>1041</v>
      </c>
      <c r="C190" s="1348" t="s">
        <v>2137</v>
      </c>
      <c r="D190" s="1345"/>
      <c r="E190" s="1345"/>
      <c r="F190" s="1345"/>
      <c r="G190" s="1345"/>
      <c r="H190" s="616" t="s">
        <v>1401</v>
      </c>
      <c r="I190" s="616"/>
      <c r="J190" s="616"/>
      <c r="K190" s="1345"/>
      <c r="L190" s="1345"/>
      <c r="M190" s="1350"/>
      <c r="N190" s="1345"/>
      <c r="O190" s="1345"/>
      <c r="P190" s="1345"/>
      <c r="Q190" s="1345"/>
      <c r="R190" s="1345"/>
      <c r="S190" s="1345"/>
      <c r="T190" s="1345"/>
      <c r="U190" s="1345"/>
    </row>
    <row r="191" spans="1:21">
      <c r="A191" s="1348" t="s">
        <v>1938</v>
      </c>
      <c r="B191" s="1348" t="s">
        <v>1150</v>
      </c>
      <c r="C191" s="1348" t="s">
        <v>1150</v>
      </c>
      <c r="D191" s="1348" t="s">
        <v>1987</v>
      </c>
      <c r="E191" s="1348" t="s">
        <v>1402</v>
      </c>
      <c r="F191" s="1345"/>
      <c r="G191" s="1345"/>
      <c r="H191" s="617"/>
      <c r="I191" s="613" t="s">
        <v>1403</v>
      </c>
      <c r="J191" s="613" t="s">
        <v>1404</v>
      </c>
      <c r="K191" s="1348" t="s">
        <v>1405</v>
      </c>
      <c r="L191" s="1348" t="s">
        <v>621</v>
      </c>
      <c r="M191" s="1350"/>
      <c r="N191" s="1345"/>
      <c r="O191" s="1345"/>
      <c r="P191" s="1345"/>
      <c r="Q191" s="1345"/>
      <c r="R191" s="1345"/>
      <c r="S191" s="1345"/>
      <c r="T191" s="1345"/>
      <c r="U191" s="1345"/>
    </row>
    <row r="192" spans="1:21">
      <c r="A192" s="1348" t="s">
        <v>1939</v>
      </c>
      <c r="B192" s="1348" t="s">
        <v>1939</v>
      </c>
      <c r="C192" s="1348" t="s">
        <v>1939</v>
      </c>
      <c r="D192" s="1348" t="s">
        <v>1406</v>
      </c>
      <c r="E192" s="1348" t="s">
        <v>1407</v>
      </c>
      <c r="F192" s="1348" t="s">
        <v>1408</v>
      </c>
      <c r="G192" s="1348" t="s">
        <v>1409</v>
      </c>
      <c r="H192" s="1348" t="s">
        <v>2125</v>
      </c>
      <c r="I192" s="1348" t="s">
        <v>1410</v>
      </c>
      <c r="J192" s="1348" t="s">
        <v>1411</v>
      </c>
      <c r="K192" s="1348" t="s">
        <v>1407</v>
      </c>
      <c r="L192" s="1348" t="s">
        <v>799</v>
      </c>
      <c r="M192" s="1350"/>
      <c r="N192" s="1345"/>
      <c r="O192" s="1345"/>
      <c r="P192" s="1345"/>
      <c r="Q192" s="1345"/>
      <c r="R192" s="1345"/>
      <c r="S192" s="1345"/>
      <c r="T192" s="1345"/>
      <c r="U192" s="1345"/>
    </row>
    <row r="193" spans="1:21">
      <c r="A193" s="1345"/>
      <c r="B193" s="1345"/>
      <c r="C193" s="1345"/>
      <c r="D193" s="1345"/>
      <c r="E193" s="1345"/>
      <c r="F193" s="1345"/>
      <c r="G193" s="1345"/>
      <c r="H193" s="1345"/>
      <c r="I193" s="1345"/>
      <c r="J193" s="1345"/>
      <c r="K193" s="1345"/>
      <c r="L193" s="1345"/>
      <c r="M193" s="1350"/>
      <c r="N193" s="1345"/>
      <c r="O193" s="1345"/>
      <c r="P193" s="1345"/>
      <c r="Q193" s="1345"/>
      <c r="R193" s="1345"/>
      <c r="S193" s="1345"/>
      <c r="T193" s="1345"/>
      <c r="U193" s="1345"/>
    </row>
    <row r="194" spans="1:21">
      <c r="A194" s="599"/>
      <c r="B194" s="599"/>
      <c r="C194" s="599"/>
      <c r="D194" s="599"/>
      <c r="E194" s="602" t="s">
        <v>695</v>
      </c>
      <c r="F194" s="602" t="s">
        <v>695</v>
      </c>
      <c r="G194" s="602" t="s">
        <v>695</v>
      </c>
      <c r="H194" s="602" t="s">
        <v>695</v>
      </c>
      <c r="I194" s="599"/>
      <c r="J194" s="599"/>
      <c r="K194" s="602" t="s">
        <v>695</v>
      </c>
      <c r="L194" s="602" t="s">
        <v>695</v>
      </c>
      <c r="M194" s="1350"/>
      <c r="N194" s="1345"/>
      <c r="O194" s="1345"/>
      <c r="P194" s="1345"/>
      <c r="Q194" s="1345"/>
      <c r="R194" s="1345"/>
      <c r="S194" s="1345"/>
      <c r="T194" s="1345"/>
      <c r="U194" s="1345"/>
    </row>
    <row r="195" spans="1:21">
      <c r="A195" s="1345"/>
      <c r="B195" s="1345"/>
      <c r="C195" s="1345"/>
      <c r="D195" s="1451"/>
      <c r="E195" s="1345"/>
      <c r="F195" s="1345"/>
      <c r="G195" s="1345"/>
      <c r="H195" s="1345"/>
      <c r="I195" s="1345"/>
      <c r="J195" s="1345"/>
      <c r="K195" s="1345"/>
      <c r="L195" s="1345"/>
      <c r="M195" s="1350"/>
      <c r="N195" s="1345"/>
      <c r="O195" s="1345"/>
      <c r="P195" s="1345"/>
      <c r="Q195" s="1345"/>
      <c r="R195" s="1345"/>
      <c r="S195" s="1345"/>
      <c r="T195" s="1345"/>
      <c r="U195" s="1345"/>
    </row>
    <row r="196" spans="1:21">
      <c r="A196" s="1348" t="s">
        <v>1152</v>
      </c>
      <c r="B196" s="1348" t="str">
        <f>B23</f>
        <v>304</v>
      </c>
      <c r="C196" s="1348">
        <f t="shared" ref="C196:D196" si="7">C23</f>
        <v>20400</v>
      </c>
      <c r="D196" s="1298" t="str">
        <f t="shared" si="7"/>
        <v>Land and Land Rights</v>
      </c>
      <c r="E196" s="2755">
        <v>117711</v>
      </c>
      <c r="F196" s="1297"/>
      <c r="G196" s="1275"/>
      <c r="H196" s="816"/>
      <c r="I196" s="1350"/>
      <c r="J196" s="1350"/>
      <c r="K196" s="1349">
        <f>E196+F196-G196+H196</f>
        <v>117711</v>
      </c>
      <c r="L196" s="2755">
        <v>117711</v>
      </c>
      <c r="M196" s="1350"/>
      <c r="N196" s="1345"/>
      <c r="O196" s="1345"/>
      <c r="P196" s="1345"/>
      <c r="Q196" s="1345"/>
      <c r="R196" s="1345"/>
      <c r="S196" s="1345"/>
      <c r="T196" s="1345"/>
      <c r="U196" s="1345"/>
    </row>
    <row r="197" spans="1:21">
      <c r="A197" s="1348" t="s">
        <v>1155</v>
      </c>
      <c r="B197" s="1348" t="str">
        <f t="shared" ref="B197:D197" si="8">B24</f>
        <v>304</v>
      </c>
      <c r="C197" s="1348">
        <f t="shared" si="8"/>
        <v>20401</v>
      </c>
      <c r="D197" s="1298" t="str">
        <f t="shared" si="8"/>
        <v>Rights of Way</v>
      </c>
      <c r="E197" s="2755">
        <v>24459</v>
      </c>
      <c r="F197" s="1297"/>
      <c r="G197" s="1275"/>
      <c r="H197" s="816"/>
      <c r="I197" s="1350"/>
      <c r="J197" s="1350"/>
      <c r="K197" s="1349">
        <f>E197+F197-G197+H197</f>
        <v>24459</v>
      </c>
      <c r="L197" s="2755">
        <v>24459</v>
      </c>
      <c r="M197" s="1350"/>
      <c r="N197" s="1345"/>
      <c r="O197" s="1345"/>
      <c r="P197" s="1345"/>
      <c r="Q197" s="1345"/>
      <c r="R197" s="1345"/>
      <c r="S197" s="1345"/>
      <c r="T197" s="1345"/>
      <c r="U197" s="1345"/>
    </row>
    <row r="198" spans="1:21">
      <c r="A198" s="1348" t="s">
        <v>1157</v>
      </c>
      <c r="B198" s="1348" t="str">
        <f t="shared" ref="B198:D198" si="9">B25</f>
        <v>305</v>
      </c>
      <c r="C198" s="1348">
        <f t="shared" si="9"/>
        <v>20500</v>
      </c>
      <c r="D198" s="1298" t="str">
        <f t="shared" si="9"/>
        <v>Structures &amp; Improvements</v>
      </c>
      <c r="E198" s="2755">
        <v>1722764</v>
      </c>
      <c r="F198" s="1297"/>
      <c r="G198" s="1275"/>
      <c r="H198" s="816"/>
      <c r="I198" s="1350"/>
      <c r="J198" s="1350"/>
      <c r="K198" s="1349">
        <f>E198+F198-G198+H198</f>
        <v>1722764</v>
      </c>
      <c r="L198" s="2755">
        <v>1722764</v>
      </c>
      <c r="M198" s="1350"/>
      <c r="N198" s="1345"/>
      <c r="O198" s="1345"/>
      <c r="P198" s="1345"/>
      <c r="Q198" s="1345"/>
      <c r="R198" s="1345"/>
      <c r="S198" s="1345"/>
      <c r="T198" s="1345"/>
      <c r="U198" s="1345"/>
    </row>
    <row r="199" spans="1:21">
      <c r="A199" s="1348" t="s">
        <v>1160</v>
      </c>
      <c r="B199" s="1348" t="str">
        <f t="shared" ref="B199:D199" si="10">B26</f>
        <v>311</v>
      </c>
      <c r="C199" s="1348">
        <f t="shared" si="10"/>
        <v>21100</v>
      </c>
      <c r="D199" s="1298" t="str">
        <f t="shared" si="10"/>
        <v>Liquefied Petroleum Gas Equipment</v>
      </c>
      <c r="E199" s="2755">
        <v>5955198</v>
      </c>
      <c r="F199" s="1297"/>
      <c r="G199" s="1275"/>
      <c r="H199" s="816"/>
      <c r="I199" s="1350"/>
      <c r="J199" s="1350"/>
      <c r="K199" s="1349">
        <f>E199+F199-G199+H199</f>
        <v>5955198</v>
      </c>
      <c r="L199" s="2755">
        <v>5955198</v>
      </c>
      <c r="M199" s="1350"/>
      <c r="N199" s="1345"/>
      <c r="O199" s="1345"/>
      <c r="P199" s="1345"/>
      <c r="Q199" s="1345"/>
      <c r="R199" s="1345"/>
      <c r="S199" s="1345"/>
      <c r="T199" s="1345"/>
      <c r="U199" s="1345"/>
    </row>
    <row r="200" spans="1:21">
      <c r="A200" s="1348">
        <f>A199+1</f>
        <v>5</v>
      </c>
      <c r="B200" s="1345"/>
      <c r="C200" s="1348"/>
      <c r="D200" s="1298"/>
      <c r="E200" s="1275"/>
      <c r="F200" s="1297"/>
      <c r="G200" s="1275"/>
      <c r="H200" s="816"/>
      <c r="I200" s="1350"/>
      <c r="J200" s="1350"/>
      <c r="K200" s="1349"/>
      <c r="L200" s="2755"/>
      <c r="M200" s="1350"/>
      <c r="N200" s="1345"/>
      <c r="O200" s="1345"/>
      <c r="P200" s="1345"/>
      <c r="Q200" s="1345"/>
      <c r="R200" s="1345"/>
      <c r="S200" s="1345"/>
      <c r="T200" s="1345"/>
      <c r="U200" s="1345"/>
    </row>
    <row r="201" spans="1:21">
      <c r="A201" s="1345"/>
      <c r="B201" s="1345"/>
      <c r="C201" s="1345"/>
      <c r="D201" s="1345"/>
      <c r="E201" s="1351"/>
      <c r="F201" s="1351"/>
      <c r="G201" s="1351"/>
      <c r="H201" s="1351"/>
      <c r="I201" s="1350"/>
      <c r="J201" s="1350"/>
      <c r="K201" s="1349"/>
      <c r="L201" s="2767"/>
      <c r="M201" s="1350"/>
      <c r="N201" s="1345"/>
      <c r="O201" s="1345"/>
      <c r="P201" s="1345"/>
      <c r="Q201" s="1345"/>
      <c r="R201" s="1345"/>
      <c r="S201" s="1345"/>
      <c r="T201" s="1345"/>
      <c r="U201" s="1345"/>
    </row>
    <row r="202" spans="1:21">
      <c r="A202" s="1345"/>
      <c r="B202" s="1345"/>
      <c r="C202" s="1345"/>
      <c r="D202" s="1345"/>
      <c r="E202" s="1345"/>
      <c r="F202" s="1345"/>
      <c r="G202" s="1345"/>
      <c r="H202" s="1345"/>
      <c r="I202" s="1345"/>
      <c r="J202" s="1345"/>
      <c r="K202" s="1349"/>
      <c r="L202" s="2767"/>
      <c r="M202" s="1350"/>
      <c r="N202" s="1345"/>
      <c r="O202" s="1345"/>
      <c r="P202" s="1345"/>
      <c r="Q202" s="1345"/>
      <c r="R202" s="1345"/>
      <c r="S202" s="1345"/>
      <c r="T202" s="1345"/>
      <c r="U202" s="1345"/>
    </row>
    <row r="203" spans="1:21">
      <c r="A203" s="599"/>
      <c r="B203" s="599"/>
      <c r="C203" s="599"/>
      <c r="D203" s="599"/>
      <c r="E203" s="599"/>
      <c r="F203" s="599"/>
      <c r="G203" s="599"/>
      <c r="H203" s="599"/>
      <c r="I203" s="599"/>
      <c r="J203" s="599"/>
      <c r="K203" s="612"/>
      <c r="L203" s="612"/>
      <c r="M203" s="1350"/>
      <c r="N203" s="1345"/>
      <c r="O203" s="1345"/>
      <c r="P203" s="1345"/>
      <c r="Q203" s="1345"/>
      <c r="R203" s="1345"/>
      <c r="S203" s="1345"/>
      <c r="T203" s="1345"/>
      <c r="U203" s="1345"/>
    </row>
    <row r="204" spans="1:21">
      <c r="A204" s="1348">
        <f>A200+1</f>
        <v>6</v>
      </c>
      <c r="B204" s="1345"/>
      <c r="C204" s="1345"/>
      <c r="D204" s="1298" t="s">
        <v>1175</v>
      </c>
      <c r="E204" s="1351">
        <f>SUM(E196:E200)</f>
        <v>7820132</v>
      </c>
      <c r="F204" s="1351">
        <f>SUM(F196:F200)</f>
        <v>0</v>
      </c>
      <c r="G204" s="1351">
        <f>SUM(G196:G200)</f>
        <v>0</v>
      </c>
      <c r="H204" s="1351">
        <f>SUM(H196:H200)</f>
        <v>0</v>
      </c>
      <c r="I204" s="1350"/>
      <c r="J204" s="1350"/>
      <c r="K204" s="1351">
        <f>SUM(K196:K200)</f>
        <v>7820132</v>
      </c>
      <c r="L204" s="1351">
        <f>SUM(L196:L200)</f>
        <v>7820132</v>
      </c>
      <c r="M204" s="1350"/>
      <c r="N204" s="1351"/>
      <c r="O204" s="1345"/>
      <c r="P204" s="1345"/>
      <c r="Q204" s="1345"/>
      <c r="R204" s="1345"/>
      <c r="S204" s="1345"/>
      <c r="T204" s="1345"/>
      <c r="U204" s="1345"/>
    </row>
    <row r="205" spans="1:21">
      <c r="A205" s="1345"/>
      <c r="B205" s="1345"/>
      <c r="C205" s="1345"/>
      <c r="D205" s="1345"/>
      <c r="E205" s="1345"/>
      <c r="F205" s="1345"/>
      <c r="G205" s="1345"/>
      <c r="H205" s="1345"/>
      <c r="I205" s="1345"/>
      <c r="J205" s="1345"/>
      <c r="K205" s="1345"/>
      <c r="L205" s="1345"/>
      <c r="M205" s="1350"/>
      <c r="N205" s="1345"/>
      <c r="O205" s="1345"/>
      <c r="P205" s="1345"/>
      <c r="Q205" s="1345"/>
      <c r="R205" s="1345"/>
      <c r="S205" s="1345"/>
      <c r="T205" s="1345"/>
      <c r="U205" s="1345"/>
    </row>
    <row r="206" spans="1:21">
      <c r="A206" s="599"/>
      <c r="B206" s="599"/>
      <c r="C206" s="599"/>
      <c r="D206" s="599"/>
      <c r="E206" s="601"/>
      <c r="F206" s="601"/>
      <c r="G206" s="601"/>
      <c r="H206" s="601"/>
      <c r="I206" s="610"/>
      <c r="J206" s="610"/>
      <c r="K206" s="601"/>
      <c r="L206" s="601"/>
      <c r="M206" s="1350"/>
      <c r="N206" s="1345"/>
      <c r="O206" s="1345"/>
      <c r="P206" s="1345"/>
      <c r="Q206" s="1345"/>
      <c r="R206" s="1345"/>
      <c r="S206" s="1345"/>
      <c r="T206" s="1345"/>
      <c r="U206" s="1345"/>
    </row>
    <row r="207" spans="1:21">
      <c r="A207" s="1345"/>
      <c r="B207" s="1345"/>
      <c r="C207" s="1345"/>
      <c r="D207" s="1345"/>
      <c r="E207" s="1351"/>
      <c r="F207" s="1351"/>
      <c r="G207" s="1351"/>
      <c r="H207" s="1351"/>
      <c r="I207" s="1350"/>
      <c r="J207" s="1350"/>
      <c r="K207" s="1351"/>
      <c r="L207" s="1351"/>
      <c r="M207" s="1350"/>
      <c r="N207" s="1345"/>
      <c r="O207" s="1345"/>
      <c r="P207" s="1345"/>
      <c r="Q207" s="1345"/>
      <c r="R207" s="1345"/>
      <c r="S207" s="1345"/>
      <c r="T207" s="1345"/>
      <c r="U207" s="1345"/>
    </row>
    <row r="208" spans="1:21">
      <c r="A208" s="684" t="str">
        <f>A174</f>
        <v>DUKE ENERGY KENTUCKY, INC.</v>
      </c>
      <c r="B208" s="1343"/>
      <c r="C208" s="1343"/>
      <c r="D208" s="1343"/>
      <c r="E208" s="684"/>
      <c r="F208" s="1343"/>
      <c r="G208" s="1343"/>
      <c r="H208" s="1343"/>
      <c r="I208" s="1343"/>
      <c r="J208" s="1343"/>
      <c r="K208" s="1343"/>
      <c r="L208" s="1343"/>
      <c r="M208" s="1350"/>
      <c r="N208" s="1345"/>
      <c r="O208" s="1345"/>
      <c r="P208" s="1345"/>
      <c r="Q208" s="1345"/>
      <c r="R208" s="1345"/>
      <c r="S208" s="1345"/>
      <c r="T208" s="1345"/>
      <c r="U208" s="1345"/>
    </row>
    <row r="209" spans="1:21">
      <c r="A209" s="684" t="str">
        <f>A175</f>
        <v>CASE NO. 2018-00261</v>
      </c>
      <c r="B209" s="1343"/>
      <c r="C209" s="1343"/>
      <c r="D209" s="1343"/>
      <c r="E209" s="684"/>
      <c r="F209" s="1343"/>
      <c r="G209" s="1343"/>
      <c r="H209" s="1343"/>
      <c r="I209" s="1343"/>
      <c r="J209" s="1343"/>
      <c r="K209" s="1343"/>
      <c r="L209" s="1343"/>
      <c r="M209" s="1350"/>
      <c r="N209" s="1345"/>
      <c r="O209" s="1345"/>
      <c r="P209" s="1345"/>
      <c r="Q209" s="1345"/>
      <c r="R209" s="1345"/>
      <c r="S209" s="1345"/>
      <c r="T209" s="1345"/>
      <c r="U209" s="1345"/>
    </row>
    <row r="210" spans="1:21">
      <c r="A210" s="684" t="str">
        <f>A176</f>
        <v>GROSS ADDITIONS, RETIREMENTS, AND TRANSFERS</v>
      </c>
      <c r="B210" s="1343"/>
      <c r="C210" s="1343"/>
      <c r="D210" s="1343"/>
      <c r="E210" s="684"/>
      <c r="F210" s="1343"/>
      <c r="G210" s="1343"/>
      <c r="H210" s="1343"/>
      <c r="I210" s="1343"/>
      <c r="J210" s="1343"/>
      <c r="K210" s="1343"/>
      <c r="L210" s="1343"/>
      <c r="M210" s="1350"/>
      <c r="N210" s="1345"/>
      <c r="O210" s="1345"/>
      <c r="P210" s="1345"/>
      <c r="Q210" s="1345"/>
      <c r="R210" s="1345"/>
      <c r="S210" s="1345"/>
      <c r="T210" s="1345"/>
      <c r="U210" s="1345"/>
    </row>
    <row r="211" spans="1:21">
      <c r="A211" s="684" t="str">
        <f>A177</f>
        <v>FROM APRIL 1, 2019 TO MARCH 31, 2020</v>
      </c>
      <c r="B211" s="1343"/>
      <c r="C211" s="1343"/>
      <c r="D211" s="1343"/>
      <c r="E211" s="684"/>
      <c r="F211" s="1343"/>
      <c r="G211" s="1343"/>
      <c r="H211" s="1343"/>
      <c r="I211" s="1343"/>
      <c r="J211" s="1343"/>
      <c r="K211" s="1343"/>
      <c r="L211" s="1343"/>
      <c r="M211" s="1350"/>
      <c r="N211" s="1345"/>
      <c r="O211" s="1345"/>
      <c r="P211" s="1345"/>
      <c r="Q211" s="1345"/>
      <c r="R211" s="1345"/>
      <c r="S211" s="1345"/>
      <c r="T211" s="1345"/>
      <c r="U211" s="1345"/>
    </row>
    <row r="212" spans="1:21">
      <c r="A212" s="1343"/>
      <c r="B212" s="1343"/>
      <c r="C212" s="1343"/>
      <c r="D212" s="1343"/>
      <c r="E212" s="1343"/>
      <c r="F212" s="1343"/>
      <c r="G212" s="1343"/>
      <c r="H212" s="1343"/>
      <c r="I212" s="1343"/>
      <c r="J212" s="1343"/>
      <c r="K212" s="1343"/>
      <c r="L212" s="1343"/>
      <c r="M212" s="1350"/>
      <c r="N212" s="1345"/>
      <c r="O212" s="1345"/>
      <c r="P212" s="1345"/>
      <c r="Q212" s="1345"/>
      <c r="R212" s="1345"/>
      <c r="S212" s="1345"/>
      <c r="T212" s="1345"/>
      <c r="U212" s="1345"/>
    </row>
    <row r="213" spans="1:21">
      <c r="A213" s="684" t="s">
        <v>1164</v>
      </c>
      <c r="B213" s="1343"/>
      <c r="C213" s="1343"/>
      <c r="D213" s="1343"/>
      <c r="E213" s="684"/>
      <c r="F213" s="1343"/>
      <c r="G213" s="1343"/>
      <c r="H213" s="1343"/>
      <c r="I213" s="1343"/>
      <c r="J213" s="1343"/>
      <c r="K213" s="1343"/>
      <c r="L213" s="1343"/>
      <c r="M213" s="1350"/>
      <c r="N213" s="1345"/>
      <c r="O213" s="1345"/>
      <c r="P213" s="1345"/>
      <c r="Q213" s="1345"/>
      <c r="R213" s="1345"/>
      <c r="S213" s="1345"/>
      <c r="T213" s="1345"/>
      <c r="U213" s="1345"/>
    </row>
    <row r="214" spans="1:21">
      <c r="A214" s="1343"/>
      <c r="B214" s="1343"/>
      <c r="C214" s="1343"/>
      <c r="D214" s="1343"/>
      <c r="E214" s="684"/>
      <c r="F214" s="1343"/>
      <c r="G214" s="1343"/>
      <c r="H214" s="1343"/>
      <c r="I214" s="1343"/>
      <c r="J214" s="1343"/>
      <c r="K214" s="1343"/>
      <c r="L214" s="1343"/>
      <c r="M214" s="1350"/>
      <c r="N214" s="1345"/>
      <c r="O214" s="1345"/>
      <c r="P214" s="1345"/>
      <c r="Q214" s="1345"/>
      <c r="R214" s="1345"/>
      <c r="S214" s="1345"/>
      <c r="T214" s="1345"/>
      <c r="U214" s="1345"/>
    </row>
    <row r="215" spans="1:21">
      <c r="A215" s="1344"/>
      <c r="B215" s="1343"/>
      <c r="C215" s="1343"/>
      <c r="D215" s="1343"/>
      <c r="E215" s="1343"/>
      <c r="F215" s="1343"/>
      <c r="G215" s="1343"/>
      <c r="H215" s="1343"/>
      <c r="I215" s="1343"/>
      <c r="J215" s="1343"/>
      <c r="K215" s="1343"/>
      <c r="L215" s="1343"/>
      <c r="M215" s="1350"/>
      <c r="N215" s="1345"/>
      <c r="O215" s="1345"/>
      <c r="P215" s="1345"/>
      <c r="Q215" s="1345"/>
      <c r="R215" s="1345"/>
      <c r="S215" s="1345"/>
      <c r="T215" s="1345"/>
      <c r="U215" s="1345"/>
    </row>
    <row r="216" spans="1:21">
      <c r="A216" s="1344"/>
      <c r="B216" s="1343"/>
      <c r="C216" s="1343"/>
      <c r="D216" s="1343"/>
      <c r="E216" s="1343"/>
      <c r="F216" s="1343"/>
      <c r="G216" s="1343"/>
      <c r="H216" s="1343"/>
      <c r="I216" s="1343"/>
      <c r="J216" s="1343"/>
      <c r="K216" s="1343"/>
      <c r="L216" s="1343"/>
      <c r="M216" s="1350"/>
      <c r="N216" s="1345"/>
      <c r="O216" s="1345"/>
      <c r="P216" s="1345"/>
      <c r="Q216" s="1345"/>
      <c r="R216" s="1345"/>
      <c r="S216" s="1345"/>
      <c r="T216" s="1345"/>
      <c r="U216" s="1345"/>
    </row>
    <row r="217" spans="1:21">
      <c r="A217" s="1298" t="str">
        <f>DataF</f>
        <v>DATA:  BASE PERIOD  "X" FORECASTED PERIOD</v>
      </c>
      <c r="B217" s="1345"/>
      <c r="C217" s="1345"/>
      <c r="D217" s="1345"/>
      <c r="E217" s="1345"/>
      <c r="F217" s="1345"/>
      <c r="G217" s="1345"/>
      <c r="H217" s="1345"/>
      <c r="I217" s="1345"/>
      <c r="K217" s="1298" t="str">
        <f>K183</f>
        <v>SCHEDULE B-2.3</v>
      </c>
      <c r="L217" s="1345"/>
      <c r="M217" s="1350"/>
      <c r="N217" s="1345"/>
      <c r="O217" s="1345"/>
      <c r="P217" s="1345"/>
      <c r="Q217" s="1345"/>
      <c r="R217" s="1345"/>
      <c r="S217" s="1345"/>
      <c r="T217" s="1345"/>
      <c r="U217" s="1345"/>
    </row>
    <row r="218" spans="1:21">
      <c r="A218" s="1298" t="str">
        <f>A184</f>
        <v xml:space="preserve">TYPE OF FILING:  "X" ORIGINAL   UPDATED    REVISED  </v>
      </c>
      <c r="B218" s="1345"/>
      <c r="C218" s="1345"/>
      <c r="D218" s="1345"/>
      <c r="E218" s="1345"/>
      <c r="F218" s="1345"/>
      <c r="G218" s="1345"/>
      <c r="H218" s="1345"/>
      <c r="I218" s="1345"/>
      <c r="K218" s="1298" t="s">
        <v>501</v>
      </c>
      <c r="L218" s="1345"/>
      <c r="M218" s="1350"/>
      <c r="N218" s="1345"/>
      <c r="O218" s="1345"/>
      <c r="P218" s="1345"/>
      <c r="Q218" s="1345"/>
      <c r="R218" s="1345"/>
      <c r="S218" s="1345"/>
      <c r="T218" s="1345"/>
      <c r="U218" s="1345"/>
    </row>
    <row r="219" spans="1:21">
      <c r="A219" s="1298" t="str">
        <f>A185</f>
        <v xml:space="preserve">WORK PAPER REFERENCE NO(S).: </v>
      </c>
      <c r="B219" s="1345"/>
      <c r="C219" s="1345"/>
      <c r="D219" s="1345"/>
      <c r="E219" s="1345"/>
      <c r="F219" s="1345"/>
      <c r="G219" s="1345"/>
      <c r="H219" s="1345"/>
      <c r="I219" s="1345"/>
      <c r="K219" s="1346" t="s">
        <v>566</v>
      </c>
      <c r="L219" s="1345"/>
      <c r="M219" s="1350"/>
      <c r="N219" s="1345"/>
      <c r="O219" s="1345"/>
      <c r="P219" s="1345"/>
      <c r="Q219" s="1345"/>
      <c r="R219" s="1345"/>
      <c r="S219" s="1345"/>
      <c r="T219" s="1345"/>
      <c r="U219" s="1345"/>
    </row>
    <row r="220" spans="1:21">
      <c r="A220" s="1345"/>
      <c r="B220" s="1345"/>
      <c r="C220" s="1345"/>
      <c r="D220" s="1345"/>
      <c r="E220" s="1345"/>
      <c r="F220" s="1345"/>
      <c r="G220" s="1345"/>
      <c r="H220" s="1345"/>
      <c r="I220" s="1345"/>
      <c r="K220" s="1346" t="str">
        <f>K186</f>
        <v>R. H. PRATT / C. S. LEE</v>
      </c>
      <c r="L220" s="1345"/>
      <c r="M220" s="1350"/>
      <c r="N220" s="1345"/>
      <c r="O220" s="1345"/>
      <c r="P220" s="1345"/>
      <c r="Q220" s="1345"/>
      <c r="R220" s="1345"/>
      <c r="S220" s="1345"/>
      <c r="T220" s="1345"/>
      <c r="U220" s="1345"/>
    </row>
    <row r="221" spans="1:21">
      <c r="A221" s="1345"/>
      <c r="B221" s="1345"/>
      <c r="C221" s="1345"/>
      <c r="D221" s="1345"/>
      <c r="E221" s="1345"/>
      <c r="F221" s="1345"/>
      <c r="G221" s="1345"/>
      <c r="H221" s="1345"/>
      <c r="I221" s="1345"/>
      <c r="J221" s="1345"/>
      <c r="K221" s="1345"/>
      <c r="L221" s="1345"/>
      <c r="M221" s="1350"/>
      <c r="N221" s="1345"/>
      <c r="O221" s="1345"/>
      <c r="P221" s="1345"/>
      <c r="Q221" s="1345"/>
      <c r="R221" s="1345"/>
      <c r="S221" s="1345"/>
      <c r="T221" s="1345"/>
      <c r="U221" s="1345"/>
    </row>
    <row r="222" spans="1:21">
      <c r="A222" s="1345"/>
      <c r="B222" s="1345"/>
      <c r="C222" s="1345"/>
      <c r="D222" s="1345"/>
      <c r="E222" s="1345"/>
      <c r="F222" s="1345"/>
      <c r="G222" s="1345"/>
      <c r="H222" s="1347"/>
      <c r="I222" s="1345"/>
      <c r="J222" s="1345"/>
      <c r="K222" s="1345"/>
      <c r="L222" s="1345"/>
      <c r="M222" s="1350"/>
      <c r="N222" s="1345"/>
      <c r="O222" s="1345"/>
      <c r="P222" s="1345"/>
      <c r="Q222" s="1345"/>
      <c r="R222" s="1345"/>
      <c r="S222" s="1345"/>
      <c r="T222" s="1345"/>
      <c r="U222" s="1345"/>
    </row>
    <row r="223" spans="1:21">
      <c r="A223" s="599"/>
      <c r="B223" s="599"/>
      <c r="C223" s="607"/>
      <c r="D223" s="599"/>
      <c r="E223" s="599"/>
      <c r="F223" s="599"/>
      <c r="G223" s="599"/>
      <c r="I223" s="599"/>
      <c r="J223" s="599"/>
      <c r="K223" s="599"/>
      <c r="L223" s="599"/>
      <c r="M223" s="1350"/>
      <c r="N223" s="1345"/>
      <c r="O223" s="1345"/>
      <c r="P223" s="1345"/>
      <c r="Q223" s="1345"/>
      <c r="R223" s="1345"/>
      <c r="S223" s="1345"/>
      <c r="T223" s="1345"/>
      <c r="U223" s="1345"/>
    </row>
    <row r="224" spans="1:21">
      <c r="A224" s="1345"/>
      <c r="B224" s="1348" t="s">
        <v>1041</v>
      </c>
      <c r="C224" s="1348" t="s">
        <v>2137</v>
      </c>
      <c r="D224" s="1345"/>
      <c r="E224" s="1345"/>
      <c r="F224" s="1345"/>
      <c r="G224" s="1345"/>
      <c r="H224" s="608" t="s">
        <v>1401</v>
      </c>
      <c r="I224" s="608"/>
      <c r="J224" s="608"/>
      <c r="K224" s="1345"/>
      <c r="L224" s="1345"/>
      <c r="M224" s="1350"/>
      <c r="N224" s="1345"/>
      <c r="O224" s="1345"/>
      <c r="P224" s="1345"/>
      <c r="Q224" s="1345"/>
      <c r="R224" s="1345"/>
      <c r="S224" s="1345"/>
      <c r="T224" s="1345"/>
      <c r="U224" s="1345"/>
    </row>
    <row r="225" spans="1:21">
      <c r="A225" s="1348" t="s">
        <v>1938</v>
      </c>
      <c r="B225" s="1348" t="s">
        <v>1150</v>
      </c>
      <c r="C225" s="1348" t="s">
        <v>1150</v>
      </c>
      <c r="D225" s="1348" t="s">
        <v>1987</v>
      </c>
      <c r="E225" s="1348" t="s">
        <v>1402</v>
      </c>
      <c r="F225" s="1345"/>
      <c r="G225" s="1345"/>
      <c r="H225" s="599"/>
      <c r="I225" s="602" t="s">
        <v>1403</v>
      </c>
      <c r="J225" s="602" t="s">
        <v>1404</v>
      </c>
      <c r="K225" s="1348" t="s">
        <v>1405</v>
      </c>
      <c r="L225" s="1348" t="s">
        <v>621</v>
      </c>
      <c r="M225" s="1350"/>
      <c r="N225" s="1345"/>
      <c r="O225" s="1345"/>
      <c r="P225" s="1345"/>
      <c r="Q225" s="1345"/>
      <c r="R225" s="1345"/>
      <c r="S225" s="1345"/>
      <c r="T225" s="1345"/>
      <c r="U225" s="1345"/>
    </row>
    <row r="226" spans="1:21">
      <c r="A226" s="1348" t="s">
        <v>1939</v>
      </c>
      <c r="B226" s="1348" t="s">
        <v>1939</v>
      </c>
      <c r="C226" s="1348" t="s">
        <v>1939</v>
      </c>
      <c r="D226" s="1348" t="s">
        <v>1406</v>
      </c>
      <c r="E226" s="1348" t="s">
        <v>1407</v>
      </c>
      <c r="F226" s="1348" t="s">
        <v>1408</v>
      </c>
      <c r="G226" s="1348" t="s">
        <v>1409</v>
      </c>
      <c r="H226" s="1348" t="s">
        <v>2125</v>
      </c>
      <c r="I226" s="1348" t="s">
        <v>1410</v>
      </c>
      <c r="J226" s="1348" t="s">
        <v>1411</v>
      </c>
      <c r="K226" s="1348" t="s">
        <v>1407</v>
      </c>
      <c r="L226" s="1348" t="s">
        <v>799</v>
      </c>
      <c r="M226" s="1350"/>
      <c r="N226" s="1345"/>
      <c r="O226" s="1345"/>
      <c r="P226" s="1345"/>
      <c r="Q226" s="1345"/>
      <c r="R226" s="1345"/>
      <c r="S226" s="1345"/>
      <c r="T226" s="1345"/>
      <c r="U226" s="1345"/>
    </row>
    <row r="227" spans="1:21">
      <c r="A227" s="1345"/>
      <c r="B227" s="1345"/>
      <c r="C227" s="1345"/>
      <c r="D227" s="1345"/>
      <c r="E227" s="1345"/>
      <c r="F227" s="1345"/>
      <c r="G227" s="1345"/>
      <c r="H227" s="1345"/>
      <c r="I227" s="1345"/>
      <c r="J227" s="1345"/>
      <c r="K227" s="1345"/>
      <c r="L227" s="1345"/>
      <c r="M227" s="1350"/>
      <c r="N227" s="1345"/>
      <c r="O227" s="1345"/>
      <c r="P227" s="1345"/>
      <c r="Q227" s="1345"/>
      <c r="R227" s="1345"/>
      <c r="S227" s="1345"/>
      <c r="T227" s="1345"/>
      <c r="U227" s="1345"/>
    </row>
    <row r="228" spans="1:21">
      <c r="A228" s="599"/>
      <c r="B228" s="599"/>
      <c r="C228" s="599"/>
      <c r="D228" s="599"/>
      <c r="E228" s="602" t="s">
        <v>695</v>
      </c>
      <c r="F228" s="602" t="s">
        <v>695</v>
      </c>
      <c r="G228" s="602" t="s">
        <v>695</v>
      </c>
      <c r="H228" s="602" t="s">
        <v>695</v>
      </c>
      <c r="I228" s="599"/>
      <c r="J228" s="599"/>
      <c r="K228" s="602" t="s">
        <v>695</v>
      </c>
      <c r="L228" s="602" t="s">
        <v>695</v>
      </c>
      <c r="M228" s="1350"/>
      <c r="N228" s="1345"/>
      <c r="O228" s="1345"/>
      <c r="P228" s="1345"/>
      <c r="Q228" s="1345"/>
      <c r="R228" s="1345"/>
      <c r="S228" s="1345"/>
      <c r="T228" s="1345"/>
      <c r="U228" s="1345"/>
    </row>
    <row r="229" spans="1:21">
      <c r="A229" s="1345"/>
      <c r="B229" s="1345"/>
      <c r="C229" s="1345"/>
      <c r="D229" s="1345"/>
      <c r="E229" s="1345"/>
      <c r="F229" s="1345"/>
      <c r="G229" s="1345"/>
      <c r="H229" s="1345"/>
      <c r="I229" s="1345"/>
      <c r="J229" s="1345"/>
      <c r="K229" s="1345"/>
      <c r="L229" s="1345"/>
      <c r="M229" s="1350"/>
      <c r="N229" s="1345"/>
      <c r="O229" s="1345"/>
      <c r="P229" s="1345"/>
      <c r="Q229" s="1345"/>
      <c r="R229" s="1345"/>
      <c r="S229" s="1345"/>
      <c r="T229" s="1345"/>
      <c r="U229" s="1345"/>
    </row>
    <row r="230" spans="1:21">
      <c r="A230" s="1348">
        <v>1</v>
      </c>
      <c r="B230" s="1348" t="str">
        <f t="shared" ref="B230:D230" si="11">B57</f>
        <v>374</v>
      </c>
      <c r="C230" s="1348">
        <f t="shared" si="11"/>
        <v>27400</v>
      </c>
      <c r="D230" s="1298" t="str">
        <f t="shared" si="11"/>
        <v>Land and Land Rights</v>
      </c>
      <c r="E230" s="2755">
        <v>43358</v>
      </c>
      <c r="F230" s="2756"/>
      <c r="G230" s="2762">
        <v>0</v>
      </c>
      <c r="H230" s="2755"/>
      <c r="I230" s="2757"/>
      <c r="J230" s="2767"/>
      <c r="K230" s="1349">
        <f t="shared" ref="K230:K252" si="12">E230+F230-G230+H230</f>
        <v>43358</v>
      </c>
      <c r="L230" s="2755">
        <v>43358</v>
      </c>
      <c r="M230" s="1350"/>
      <c r="N230" s="1345"/>
      <c r="O230" s="1345"/>
      <c r="P230" s="1345"/>
      <c r="Q230" s="1345"/>
      <c r="R230" s="1345"/>
      <c r="S230" s="1345"/>
      <c r="T230" s="1345"/>
      <c r="U230" s="1345"/>
    </row>
    <row r="231" spans="1:21">
      <c r="A231" s="1348">
        <f>1+A230</f>
        <v>2</v>
      </c>
      <c r="B231" s="1348" t="str">
        <f t="shared" ref="B231:D231" si="13">B58</f>
        <v>374</v>
      </c>
      <c r="C231" s="1348">
        <f t="shared" si="13"/>
        <v>27401</v>
      </c>
      <c r="D231" s="1298" t="str">
        <f t="shared" si="13"/>
        <v>Rights of Way</v>
      </c>
      <c r="E231" s="2755">
        <v>1095119</v>
      </c>
      <c r="F231" s="2756"/>
      <c r="G231" s="2762">
        <v>0</v>
      </c>
      <c r="H231" s="2755"/>
      <c r="I231" s="2757"/>
      <c r="J231" s="2767"/>
      <c r="K231" s="1349">
        <f t="shared" si="12"/>
        <v>1095119</v>
      </c>
      <c r="L231" s="2755">
        <v>1095119</v>
      </c>
      <c r="M231" s="1350"/>
      <c r="N231" s="1345"/>
      <c r="O231" s="1345"/>
      <c r="P231" s="1345"/>
      <c r="Q231" s="1345"/>
      <c r="R231" s="1345"/>
      <c r="S231" s="1345"/>
      <c r="T231" s="1345"/>
      <c r="U231" s="1345"/>
    </row>
    <row r="232" spans="1:21">
      <c r="A232" s="1348">
        <f t="shared" ref="A232:A252" si="14">1+A231</f>
        <v>3</v>
      </c>
      <c r="B232" s="1348" t="str">
        <f t="shared" ref="B232:D232" si="15">B59</f>
        <v>375</v>
      </c>
      <c r="C232" s="1348">
        <f t="shared" si="15"/>
        <v>27500</v>
      </c>
      <c r="D232" s="1298" t="str">
        <f t="shared" si="15"/>
        <v>Structures &amp; Improvements</v>
      </c>
      <c r="E232" s="2755">
        <v>577522</v>
      </c>
      <c r="F232" s="2756"/>
      <c r="G232" s="2762">
        <v>0</v>
      </c>
      <c r="H232" s="2755"/>
      <c r="I232" s="2757"/>
      <c r="J232" s="2767"/>
      <c r="K232" s="1349">
        <f t="shared" si="12"/>
        <v>577522</v>
      </c>
      <c r="L232" s="2755">
        <v>577522</v>
      </c>
      <c r="M232" s="1350"/>
      <c r="N232" s="1345"/>
      <c r="O232" s="1345"/>
      <c r="P232" s="1345"/>
      <c r="Q232" s="1345"/>
      <c r="R232" s="1345"/>
      <c r="S232" s="1345"/>
      <c r="T232" s="1345"/>
      <c r="U232" s="1345"/>
    </row>
    <row r="233" spans="1:21">
      <c r="A233" s="1348">
        <f t="shared" si="14"/>
        <v>4</v>
      </c>
      <c r="B233" s="1348" t="str">
        <f t="shared" ref="B233:D233" si="16">B60</f>
        <v>376</v>
      </c>
      <c r="C233" s="1348">
        <f t="shared" si="16"/>
        <v>27601</v>
      </c>
      <c r="D233" s="1298" t="str">
        <f t="shared" si="16"/>
        <v>Mains - Cast Iron &amp; Copper</v>
      </c>
      <c r="E233" s="2755">
        <v>982749</v>
      </c>
      <c r="F233" s="2756"/>
      <c r="G233" s="2762">
        <v>0</v>
      </c>
      <c r="H233" s="2755"/>
      <c r="I233" s="2757"/>
      <c r="J233" s="2767"/>
      <c r="K233" s="1349">
        <f t="shared" si="12"/>
        <v>982749</v>
      </c>
      <c r="L233" s="2755">
        <v>982749</v>
      </c>
      <c r="M233" s="1350"/>
      <c r="N233" s="1345"/>
      <c r="O233" s="1345"/>
      <c r="P233" s="1345"/>
      <c r="Q233" s="1345"/>
      <c r="R233" s="1345"/>
      <c r="S233" s="1345"/>
      <c r="T233" s="1345"/>
      <c r="U233" s="1345"/>
    </row>
    <row r="234" spans="1:21">
      <c r="A234" s="1348">
        <f t="shared" si="14"/>
        <v>5</v>
      </c>
      <c r="B234" s="1348" t="str">
        <f t="shared" ref="B234:D234" si="17">B61</f>
        <v>376</v>
      </c>
      <c r="C234" s="1348" t="str">
        <f t="shared" si="17"/>
        <v>27602,27607</v>
      </c>
      <c r="D234" s="1298" t="str">
        <f t="shared" si="17"/>
        <v>Mains - Steel</v>
      </c>
      <c r="E234" s="2755">
        <v>105705307</v>
      </c>
      <c r="F234" s="2756"/>
      <c r="G234" s="2762">
        <v>82686</v>
      </c>
      <c r="H234" s="2755"/>
      <c r="I234" s="2757"/>
      <c r="J234" s="2767"/>
      <c r="K234" s="1349">
        <f t="shared" si="12"/>
        <v>105622621</v>
      </c>
      <c r="L234" s="2755">
        <v>105664083</v>
      </c>
      <c r="M234" s="1350"/>
      <c r="N234" s="1345"/>
      <c r="O234" s="1345"/>
      <c r="P234" s="1345"/>
      <c r="Q234" s="1345"/>
      <c r="R234" s="1345"/>
      <c r="S234" s="1345"/>
      <c r="T234" s="1345"/>
      <c r="U234" s="1345"/>
    </row>
    <row r="235" spans="1:21">
      <c r="A235" s="1348">
        <f t="shared" si="14"/>
        <v>6</v>
      </c>
      <c r="B235" s="1348" t="str">
        <f t="shared" ref="B235:D235" si="18">B62</f>
        <v>376</v>
      </c>
      <c r="C235" s="1348" t="str">
        <f t="shared" si="18"/>
        <v>27603,27608</v>
      </c>
      <c r="D235" s="1298" t="str">
        <f t="shared" si="18"/>
        <v>Mains - Plastic</v>
      </c>
      <c r="E235" s="2755">
        <v>149793718</v>
      </c>
      <c r="F235" s="2756"/>
      <c r="G235" s="2762">
        <v>61704</v>
      </c>
      <c r="H235" s="2755"/>
      <c r="I235" s="2757"/>
      <c r="J235" s="2767"/>
      <c r="K235" s="1349">
        <f t="shared" si="12"/>
        <v>149732014</v>
      </c>
      <c r="L235" s="2755">
        <v>149762955</v>
      </c>
      <c r="M235" s="1350"/>
      <c r="N235" s="1345"/>
      <c r="O235" s="1345"/>
      <c r="P235" s="1345"/>
      <c r="Q235" s="1345"/>
      <c r="R235" s="1345"/>
      <c r="S235" s="1345"/>
      <c r="T235" s="1345"/>
      <c r="U235" s="1345"/>
    </row>
    <row r="236" spans="1:21">
      <c r="A236" s="1348">
        <f t="shared" si="14"/>
        <v>7</v>
      </c>
      <c r="B236" s="1348" t="str">
        <f t="shared" ref="B236:D236" si="19">B63</f>
        <v>376</v>
      </c>
      <c r="C236" s="1348">
        <f t="shared" si="19"/>
        <v>27605</v>
      </c>
      <c r="D236" s="1298" t="str">
        <f t="shared" si="19"/>
        <v>Mains - Feeder</v>
      </c>
      <c r="E236" s="2755">
        <v>33642160</v>
      </c>
      <c r="F236" s="2756"/>
      <c r="G236" s="2762">
        <v>224346</v>
      </c>
      <c r="H236" s="2755"/>
      <c r="I236" s="2757"/>
      <c r="J236" s="2767"/>
      <c r="K236" s="1349">
        <f t="shared" si="12"/>
        <v>33417814</v>
      </c>
      <c r="L236" s="2755">
        <v>33530313</v>
      </c>
      <c r="M236" s="1350"/>
      <c r="N236" s="1345"/>
      <c r="O236" s="1345"/>
      <c r="P236" s="1345"/>
      <c r="Q236" s="1345"/>
      <c r="R236" s="1345"/>
      <c r="S236" s="1345"/>
      <c r="T236" s="1345"/>
      <c r="U236" s="1345"/>
    </row>
    <row r="237" spans="1:21">
      <c r="A237" s="1348">
        <f t="shared" si="14"/>
        <v>8</v>
      </c>
      <c r="B237" s="1348" t="str">
        <f t="shared" ref="B237:D237" si="20">B64</f>
        <v>378</v>
      </c>
      <c r="C237" s="1348">
        <f t="shared" si="20"/>
        <v>27800</v>
      </c>
      <c r="D237" s="1298" t="str">
        <f t="shared" si="20"/>
        <v>System Meas. &amp; Reg. Station Equipment</v>
      </c>
      <c r="E237" s="2755">
        <v>7349417</v>
      </c>
      <c r="F237" s="2756"/>
      <c r="G237" s="2762">
        <v>0</v>
      </c>
      <c r="H237" s="2755"/>
      <c r="I237" s="2758"/>
      <c r="J237" s="2767"/>
      <c r="K237" s="1349">
        <f t="shared" si="12"/>
        <v>7349417</v>
      </c>
      <c r="L237" s="2755">
        <v>7349417</v>
      </c>
      <c r="M237" s="1350"/>
      <c r="N237" s="1345"/>
      <c r="O237" s="1345"/>
      <c r="P237" s="1345"/>
      <c r="Q237" s="1345"/>
      <c r="R237" s="1345"/>
      <c r="S237" s="1345"/>
      <c r="T237" s="1345"/>
      <c r="U237" s="1345"/>
    </row>
    <row r="238" spans="1:21">
      <c r="A238" s="1348">
        <f t="shared" si="14"/>
        <v>9</v>
      </c>
      <c r="B238" s="1348" t="str">
        <f t="shared" ref="B238:D238" si="21">B65</f>
        <v>378</v>
      </c>
      <c r="C238" s="1348">
        <f t="shared" si="21"/>
        <v>27801</v>
      </c>
      <c r="D238" s="1298" t="str">
        <f t="shared" si="21"/>
        <v>System Meas. &amp; Reg. Station Equipment - Electric</v>
      </c>
      <c r="E238" s="2755">
        <v>1293157</v>
      </c>
      <c r="F238" s="2756"/>
      <c r="G238" s="2762">
        <v>0</v>
      </c>
      <c r="H238" s="2755"/>
      <c r="I238" s="2758"/>
      <c r="J238" s="2767"/>
      <c r="K238" s="1349">
        <f t="shared" si="12"/>
        <v>1293157</v>
      </c>
      <c r="L238" s="2755">
        <v>1293157</v>
      </c>
      <c r="M238" s="1350"/>
      <c r="N238" s="1345"/>
      <c r="O238" s="1345"/>
      <c r="P238" s="1345"/>
      <c r="Q238" s="1345"/>
      <c r="R238" s="1345"/>
      <c r="S238" s="1345"/>
      <c r="T238" s="1345"/>
      <c r="U238" s="1345"/>
    </row>
    <row r="239" spans="1:21">
      <c r="A239" s="1348">
        <f t="shared" si="14"/>
        <v>10</v>
      </c>
      <c r="B239" s="1348" t="str">
        <f t="shared" ref="B239:D239" si="22">B66</f>
        <v>378</v>
      </c>
      <c r="C239" s="1348">
        <f t="shared" si="22"/>
        <v>27802</v>
      </c>
      <c r="D239" s="1298" t="str">
        <f t="shared" si="22"/>
        <v>District Regulating Equipment</v>
      </c>
      <c r="E239" s="2755">
        <v>2419176</v>
      </c>
      <c r="F239" s="2756"/>
      <c r="G239" s="2762">
        <v>0</v>
      </c>
      <c r="H239" s="2755"/>
      <c r="I239" s="2757"/>
      <c r="J239" s="2767"/>
      <c r="K239" s="1349">
        <f t="shared" si="12"/>
        <v>2419176</v>
      </c>
      <c r="L239" s="2755">
        <v>2419176</v>
      </c>
      <c r="M239" s="1350"/>
      <c r="N239" s="1345"/>
      <c r="O239" s="1345"/>
      <c r="P239" s="1345"/>
      <c r="Q239" s="1345"/>
      <c r="R239" s="1345"/>
      <c r="S239" s="1345"/>
      <c r="T239" s="1345"/>
      <c r="U239" s="1345"/>
    </row>
    <row r="240" spans="1:21">
      <c r="A240" s="1348">
        <f t="shared" si="14"/>
        <v>11</v>
      </c>
      <c r="B240" s="1348" t="str">
        <f t="shared" ref="B240:D240" si="23">B67</f>
        <v>380</v>
      </c>
      <c r="C240" s="1348">
        <f t="shared" si="23"/>
        <v>28001</v>
      </c>
      <c r="D240" s="1298" t="str">
        <f t="shared" si="23"/>
        <v>Services- Cast Iron &amp; Copper</v>
      </c>
      <c r="E240" s="2755">
        <v>3245568</v>
      </c>
      <c r="F240" s="2756"/>
      <c r="G240" s="2762">
        <v>258985</v>
      </c>
      <c r="H240" s="2755"/>
      <c r="I240" s="2757"/>
      <c r="J240" s="2767"/>
      <c r="K240" s="1349">
        <f t="shared" si="12"/>
        <v>2986583</v>
      </c>
      <c r="L240" s="2755">
        <v>3116451</v>
      </c>
      <c r="M240" s="1350"/>
      <c r="N240" s="1345"/>
      <c r="O240" s="1345"/>
      <c r="P240" s="1345"/>
      <c r="Q240" s="1345"/>
      <c r="R240" s="1345"/>
      <c r="S240" s="1345"/>
      <c r="T240" s="1345"/>
      <c r="U240" s="1345"/>
    </row>
    <row r="241" spans="1:21">
      <c r="A241" s="1348">
        <f t="shared" si="14"/>
        <v>12</v>
      </c>
      <c r="B241" s="1348" t="str">
        <f t="shared" ref="B241:D241" si="24">B68</f>
        <v>380</v>
      </c>
      <c r="C241" s="1348" t="str">
        <f t="shared" si="24"/>
        <v>28002,28004</v>
      </c>
      <c r="D241" s="1298" t="str">
        <f t="shared" si="24"/>
        <v>Services-Steel</v>
      </c>
      <c r="E241" s="2755">
        <v>8839324</v>
      </c>
      <c r="F241" s="2756"/>
      <c r="G241" s="2762">
        <v>42833</v>
      </c>
      <c r="H241" s="2755"/>
      <c r="I241" s="2757"/>
      <c r="J241" s="2767"/>
      <c r="K241" s="1349">
        <f t="shared" si="12"/>
        <v>8796491</v>
      </c>
      <c r="L241" s="2755">
        <v>8817969</v>
      </c>
      <c r="M241" s="1350"/>
      <c r="N241" s="1345"/>
      <c r="O241" s="1345"/>
      <c r="P241" s="1345"/>
      <c r="Q241" s="1345"/>
      <c r="R241" s="1345"/>
      <c r="S241" s="1345"/>
      <c r="T241" s="1345"/>
      <c r="U241" s="1345"/>
    </row>
    <row r="242" spans="1:21">
      <c r="A242" s="1348">
        <f t="shared" si="14"/>
        <v>13</v>
      </c>
      <c r="B242" s="1348" t="str">
        <f t="shared" ref="B242:D242" si="25">B69</f>
        <v>380</v>
      </c>
      <c r="C242" s="1348" t="str">
        <f t="shared" si="25"/>
        <v>28003,28005-28007</v>
      </c>
      <c r="D242" s="1298" t="str">
        <f t="shared" si="25"/>
        <v>Services-Plastic</v>
      </c>
      <c r="E242" s="2755">
        <v>151248627</v>
      </c>
      <c r="F242" s="2756"/>
      <c r="G242" s="2762">
        <v>310012</v>
      </c>
      <c r="H242" s="2755"/>
      <c r="I242" s="2757"/>
      <c r="J242" s="2767"/>
      <c r="K242" s="1349">
        <f t="shared" si="12"/>
        <v>150938615</v>
      </c>
      <c r="L242" s="2755">
        <v>151094070</v>
      </c>
      <c r="M242" s="1350"/>
      <c r="N242" s="1345"/>
      <c r="O242" s="1345"/>
      <c r="P242" s="1345"/>
      <c r="Q242" s="1345"/>
      <c r="R242" s="1345"/>
      <c r="S242" s="1345"/>
      <c r="T242" s="1345"/>
      <c r="U242" s="1345"/>
    </row>
    <row r="243" spans="1:21">
      <c r="A243" s="1348">
        <f t="shared" si="14"/>
        <v>14</v>
      </c>
      <c r="B243" s="1348" t="str">
        <f t="shared" ref="B243:D243" si="26">B70</f>
        <v>381</v>
      </c>
      <c r="C243" s="1348" t="str">
        <f t="shared" si="26"/>
        <v>28100,28101</v>
      </c>
      <c r="D243" s="1298" t="str">
        <f t="shared" si="26"/>
        <v>Meters</v>
      </c>
      <c r="E243" s="2755">
        <v>13701999</v>
      </c>
      <c r="F243" s="2756"/>
      <c r="G243" s="2762">
        <v>1744237</v>
      </c>
      <c r="H243" s="2755"/>
      <c r="I243" s="2757"/>
      <c r="J243" s="2767"/>
      <c r="K243" s="1349">
        <f t="shared" si="12"/>
        <v>11957762</v>
      </c>
      <c r="L243" s="2755">
        <v>12832410</v>
      </c>
      <c r="M243" s="1350"/>
      <c r="N243" s="1345"/>
      <c r="O243" s="1345"/>
      <c r="P243" s="1345"/>
      <c r="Q243" s="1345"/>
      <c r="R243" s="1345"/>
      <c r="S243" s="1345"/>
      <c r="T243" s="1345"/>
      <c r="U243" s="1345"/>
    </row>
    <row r="244" spans="1:21">
      <c r="A244" s="1348">
        <f t="shared" si="14"/>
        <v>15</v>
      </c>
      <c r="B244" s="1348">
        <f t="shared" ref="B244:D244" si="27">B71</f>
        <v>382</v>
      </c>
      <c r="C244" s="1348" t="str">
        <f t="shared" si="27"/>
        <v>28200,28201</v>
      </c>
      <c r="D244" s="1298" t="str">
        <f t="shared" si="27"/>
        <v>Meter Installations</v>
      </c>
      <c r="E244" s="2755">
        <v>10424840</v>
      </c>
      <c r="F244" s="2756"/>
      <c r="G244" s="2762">
        <v>0</v>
      </c>
      <c r="H244" s="2755"/>
      <c r="I244" s="2759"/>
      <c r="J244" s="2767"/>
      <c r="K244" s="1349">
        <f t="shared" si="12"/>
        <v>10424840</v>
      </c>
      <c r="L244" s="2755">
        <v>10424840</v>
      </c>
      <c r="M244" s="1350"/>
      <c r="N244" s="1345"/>
      <c r="O244" s="1345"/>
      <c r="P244" s="1345"/>
      <c r="Q244" s="1345"/>
      <c r="R244" s="1345"/>
      <c r="S244" s="1345"/>
      <c r="T244" s="1345"/>
      <c r="U244" s="1345"/>
    </row>
    <row r="245" spans="1:21">
      <c r="A245" s="1348">
        <f t="shared" si="14"/>
        <v>16</v>
      </c>
      <c r="B245" s="1348" t="str">
        <f t="shared" ref="B245:D245" si="28">B72</f>
        <v>383</v>
      </c>
      <c r="C245" s="1348" t="str">
        <f t="shared" si="28"/>
        <v>28300,283001</v>
      </c>
      <c r="D245" s="1298" t="str">
        <f t="shared" si="28"/>
        <v>House Regulators</v>
      </c>
      <c r="E245" s="2755">
        <v>6628326</v>
      </c>
      <c r="F245" s="2756"/>
      <c r="G245" s="2762">
        <v>141163</v>
      </c>
      <c r="H245" s="2755"/>
      <c r="I245" s="2758"/>
      <c r="J245" s="2767"/>
      <c r="K245" s="1349">
        <f t="shared" si="12"/>
        <v>6487163</v>
      </c>
      <c r="L245" s="2755">
        <v>6557950</v>
      </c>
      <c r="M245" s="1350"/>
      <c r="N245" s="1345"/>
      <c r="O245" s="1345"/>
      <c r="P245" s="1345"/>
      <c r="Q245" s="1345"/>
      <c r="R245" s="1345"/>
      <c r="S245" s="1345"/>
      <c r="T245" s="1345"/>
      <c r="U245" s="1345"/>
    </row>
    <row r="246" spans="1:21">
      <c r="A246" s="1348">
        <f t="shared" si="14"/>
        <v>17</v>
      </c>
      <c r="B246" s="1348" t="str">
        <f t="shared" ref="B246:D246" si="29">B73</f>
        <v>384</v>
      </c>
      <c r="C246" s="1348" t="str">
        <f t="shared" si="29"/>
        <v>28400,28401</v>
      </c>
      <c r="D246" s="1298" t="str">
        <f t="shared" si="29"/>
        <v>House Regulator Installations</v>
      </c>
      <c r="E246" s="2755">
        <v>5939194</v>
      </c>
      <c r="F246" s="2756"/>
      <c r="G246" s="2762">
        <v>124</v>
      </c>
      <c r="H246" s="2755"/>
      <c r="I246" s="2759"/>
      <c r="J246" s="2767"/>
      <c r="K246" s="1349">
        <f t="shared" si="12"/>
        <v>5939070</v>
      </c>
      <c r="L246" s="2755">
        <v>5939132</v>
      </c>
      <c r="M246" s="1350"/>
      <c r="N246" s="1345"/>
      <c r="O246" s="1345"/>
      <c r="P246" s="1345"/>
      <c r="Q246" s="1345"/>
      <c r="R246" s="1345"/>
      <c r="S246" s="1345"/>
      <c r="T246" s="1345"/>
      <c r="U246" s="1345"/>
    </row>
    <row r="247" spans="1:21">
      <c r="A247" s="1348">
        <f t="shared" si="14"/>
        <v>18</v>
      </c>
      <c r="B247" s="1348" t="str">
        <f t="shared" ref="B247:D247" si="30">B74</f>
        <v>385</v>
      </c>
      <c r="C247" s="1348">
        <f t="shared" si="30"/>
        <v>28500</v>
      </c>
      <c r="D247" s="1298" t="str">
        <f t="shared" si="30"/>
        <v>Large Industrial Meas. &amp; Reg. Equipment</v>
      </c>
      <c r="E247" s="2755">
        <v>455084</v>
      </c>
      <c r="F247" s="2756"/>
      <c r="G247" s="2762">
        <v>0</v>
      </c>
      <c r="H247" s="2755"/>
      <c r="I247" s="2758"/>
      <c r="J247" s="2767"/>
      <c r="K247" s="1349">
        <f t="shared" si="12"/>
        <v>455084</v>
      </c>
      <c r="L247" s="2755">
        <v>455084</v>
      </c>
      <c r="M247" s="1350"/>
      <c r="N247" s="1345"/>
      <c r="O247" s="1345"/>
      <c r="P247" s="1345"/>
      <c r="Q247" s="1345"/>
      <c r="R247" s="1345"/>
      <c r="S247" s="1345"/>
      <c r="T247" s="1345"/>
      <c r="U247" s="1345"/>
    </row>
    <row r="248" spans="1:21">
      <c r="A248" s="1348">
        <f t="shared" si="14"/>
        <v>19</v>
      </c>
      <c r="B248" s="1348" t="str">
        <f t="shared" ref="B248:D248" si="31">B75</f>
        <v>385</v>
      </c>
      <c r="C248" s="1348">
        <f t="shared" si="31"/>
        <v>28501</v>
      </c>
      <c r="D248" s="1298" t="str">
        <f t="shared" si="31"/>
        <v>Large Industrial Meas. &amp; Reg. Equipment - Comm</v>
      </c>
      <c r="E248" s="2755">
        <v>64791</v>
      </c>
      <c r="F248" s="2756"/>
      <c r="G248" s="2762">
        <v>0</v>
      </c>
      <c r="H248" s="2755"/>
      <c r="I248" s="2757"/>
      <c r="J248" s="2767"/>
      <c r="K248" s="1349">
        <f t="shared" si="12"/>
        <v>64791</v>
      </c>
      <c r="L248" s="2755">
        <v>64791</v>
      </c>
      <c r="M248" s="1350"/>
      <c r="N248" s="1345"/>
      <c r="O248" s="1345"/>
      <c r="P248" s="1345"/>
      <c r="Q248" s="1345"/>
      <c r="R248" s="1345"/>
      <c r="S248" s="1345"/>
      <c r="T248" s="1345"/>
      <c r="U248" s="1345"/>
    </row>
    <row r="249" spans="1:21">
      <c r="A249" s="1348">
        <f t="shared" si="14"/>
        <v>20</v>
      </c>
      <c r="B249" s="1348">
        <f t="shared" ref="B249:D249" si="32">B76</f>
        <v>387</v>
      </c>
      <c r="C249" s="1348">
        <f t="shared" si="32"/>
        <v>28700</v>
      </c>
      <c r="D249" s="1298" t="str">
        <f t="shared" si="32"/>
        <v>Other Equipment - Other</v>
      </c>
      <c r="E249" s="2755">
        <v>21447</v>
      </c>
      <c r="F249" s="2756"/>
      <c r="G249" s="2762">
        <v>0</v>
      </c>
      <c r="H249" s="2755"/>
      <c r="I249" s="2757"/>
      <c r="J249" s="2767"/>
      <c r="K249" s="1349">
        <f t="shared" si="12"/>
        <v>21447</v>
      </c>
      <c r="L249" s="2755">
        <v>21447</v>
      </c>
      <c r="M249" s="1350"/>
      <c r="N249" s="1345"/>
      <c r="O249" s="1345"/>
      <c r="P249" s="1345"/>
      <c r="Q249" s="1345"/>
      <c r="R249" s="1345"/>
      <c r="S249" s="1345"/>
      <c r="T249" s="1345"/>
      <c r="U249" s="1345"/>
    </row>
    <row r="250" spans="1:21">
      <c r="A250" s="1348">
        <f t="shared" si="14"/>
        <v>21</v>
      </c>
      <c r="B250" s="1348" t="str">
        <f t="shared" ref="B250:D250" si="33">B77</f>
        <v>387</v>
      </c>
      <c r="C250" s="1348">
        <f t="shared" si="33"/>
        <v>28701</v>
      </c>
      <c r="D250" s="1298" t="str">
        <f t="shared" si="33"/>
        <v>Street Lighting Equipment</v>
      </c>
      <c r="E250" s="2755">
        <v>28290</v>
      </c>
      <c r="F250" s="2756"/>
      <c r="G250" s="2762">
        <v>0</v>
      </c>
      <c r="H250" s="2755"/>
      <c r="I250" s="2757"/>
      <c r="J250" s="2767"/>
      <c r="K250" s="1349">
        <f t="shared" si="12"/>
        <v>28290</v>
      </c>
      <c r="L250" s="2755">
        <v>28290</v>
      </c>
      <c r="M250" s="1350"/>
      <c r="N250" s="1345"/>
      <c r="O250" s="1345"/>
      <c r="P250" s="1345"/>
      <c r="Q250" s="1345"/>
      <c r="R250" s="1345"/>
      <c r="S250" s="1345"/>
      <c r="T250" s="1345"/>
      <c r="U250" s="1345"/>
    </row>
    <row r="251" spans="1:21">
      <c r="A251" s="1348">
        <f t="shared" si="14"/>
        <v>22</v>
      </c>
      <c r="B251" s="1345"/>
      <c r="C251" s="1348"/>
      <c r="D251" s="1298" t="str">
        <f t="shared" ref="D251" si="34">D78</f>
        <v>Asset Retirement Cost Obligation</v>
      </c>
      <c r="E251" s="2755">
        <v>3583546</v>
      </c>
      <c r="F251" s="2756"/>
      <c r="G251" s="2762">
        <v>0</v>
      </c>
      <c r="H251" s="2755"/>
      <c r="I251" s="2759"/>
      <c r="J251" s="2767"/>
      <c r="K251" s="1349">
        <f t="shared" si="12"/>
        <v>3583546</v>
      </c>
      <c r="L251" s="2755">
        <v>3583546</v>
      </c>
      <c r="M251" s="1350"/>
      <c r="N251" s="1345"/>
      <c r="O251" s="1345"/>
      <c r="P251" s="1345"/>
      <c r="Q251" s="1345"/>
      <c r="R251" s="1345"/>
      <c r="S251" s="1345"/>
      <c r="T251" s="1345"/>
      <c r="U251" s="1345"/>
    </row>
    <row r="252" spans="1:21">
      <c r="A252" s="1348">
        <f t="shared" si="14"/>
        <v>23</v>
      </c>
      <c r="B252" s="1345"/>
      <c r="C252" s="1345"/>
      <c r="D252" s="1298" t="str">
        <f t="shared" ref="D252" si="35">D79</f>
        <v>Completed Construction Not Classified</v>
      </c>
      <c r="E252" s="2762">
        <v>38229494</v>
      </c>
      <c r="F252" s="2762">
        <v>26213664</v>
      </c>
      <c r="G252" s="2762">
        <v>0</v>
      </c>
      <c r="H252" s="2762"/>
      <c r="I252" s="2762"/>
      <c r="J252" s="2767"/>
      <c r="K252" s="1349">
        <f t="shared" si="12"/>
        <v>64443158</v>
      </c>
      <c r="L252" s="2762">
        <v>50026690</v>
      </c>
      <c r="M252" s="1350"/>
      <c r="N252" s="1345"/>
      <c r="O252" s="1345"/>
      <c r="P252" s="1345"/>
      <c r="Q252" s="1345"/>
      <c r="R252" s="1345"/>
      <c r="S252" s="1345"/>
      <c r="T252" s="1345"/>
      <c r="U252" s="1345"/>
    </row>
    <row r="253" spans="1:21">
      <c r="A253" s="1345"/>
      <c r="B253" s="1345"/>
      <c r="C253" s="1345"/>
      <c r="D253" s="1345"/>
      <c r="E253" s="2762"/>
      <c r="F253" s="2768"/>
      <c r="G253" s="2762"/>
      <c r="H253" s="2762"/>
      <c r="I253" s="2762"/>
      <c r="J253" s="2762"/>
      <c r="K253" s="1351"/>
      <c r="L253" s="1351"/>
      <c r="M253" s="1350"/>
      <c r="N253" s="1345"/>
      <c r="O253" s="1345"/>
      <c r="P253" s="1345"/>
      <c r="Q253" s="1345"/>
      <c r="R253" s="1345"/>
      <c r="S253" s="1345"/>
      <c r="T253" s="1345"/>
      <c r="U253" s="1345"/>
    </row>
    <row r="254" spans="1:21">
      <c r="A254" s="599"/>
      <c r="B254" s="599"/>
      <c r="C254" s="599"/>
      <c r="D254" s="599"/>
      <c r="E254" s="601"/>
      <c r="F254" s="611"/>
      <c r="G254" s="601"/>
      <c r="H254" s="601"/>
      <c r="I254" s="601"/>
      <c r="J254" s="610"/>
      <c r="K254" s="601"/>
      <c r="L254" s="601"/>
      <c r="M254" s="1350"/>
      <c r="N254" s="1345"/>
      <c r="O254" s="1345"/>
      <c r="P254" s="1345"/>
      <c r="Q254" s="1345"/>
      <c r="R254" s="1345"/>
      <c r="S254" s="1345"/>
      <c r="T254" s="1345"/>
      <c r="U254" s="1345"/>
    </row>
    <row r="255" spans="1:21">
      <c r="A255" s="1348">
        <f>A252+1</f>
        <v>24</v>
      </c>
      <c r="B255" s="1345"/>
      <c r="C255" s="1345"/>
      <c r="D255" s="1298" t="s">
        <v>1102</v>
      </c>
      <c r="E255" s="1351">
        <f>SUM(E230:E252)</f>
        <v>545312213</v>
      </c>
      <c r="F255" s="1351">
        <f t="shared" ref="F255:H255" si="36">SUM(F230:F252)</f>
        <v>26213664</v>
      </c>
      <c r="G255" s="1351">
        <f t="shared" si="36"/>
        <v>2866090</v>
      </c>
      <c r="H255" s="1351">
        <f t="shared" si="36"/>
        <v>0</v>
      </c>
      <c r="I255" s="1351"/>
      <c r="J255" s="1350"/>
      <c r="K255" s="1351">
        <f>SUM(K230:K252)</f>
        <v>568659787</v>
      </c>
      <c r="L255" s="1351">
        <f t="shared" ref="L255" si="37">SUM(L230:L252)</f>
        <v>555680519</v>
      </c>
      <c r="M255" s="1350"/>
      <c r="N255" s="1345"/>
      <c r="O255" s="1345"/>
      <c r="P255" s="1345"/>
      <c r="Q255" s="1345"/>
      <c r="R255" s="1345"/>
      <c r="S255" s="1345"/>
      <c r="T255" s="1345"/>
      <c r="U255" s="1345"/>
    </row>
    <row r="256" spans="1:21">
      <c r="A256" s="1345"/>
      <c r="B256" s="1345"/>
      <c r="C256" s="1345"/>
      <c r="D256" s="1345"/>
      <c r="E256" s="1351"/>
      <c r="F256" s="1465"/>
      <c r="G256" s="1351"/>
      <c r="H256" s="1351"/>
      <c r="I256" s="1351"/>
      <c r="J256" s="1351"/>
      <c r="K256" s="1351"/>
      <c r="L256" s="1351"/>
      <c r="M256" s="1350"/>
      <c r="N256" s="1345"/>
      <c r="O256" s="1345"/>
      <c r="P256" s="1345"/>
      <c r="Q256" s="1345"/>
      <c r="R256" s="1345"/>
      <c r="S256" s="1345"/>
      <c r="T256" s="1345"/>
      <c r="U256" s="1345"/>
    </row>
    <row r="257" spans="1:21">
      <c r="A257" s="599"/>
      <c r="B257" s="599"/>
      <c r="C257" s="599"/>
      <c r="D257" s="599"/>
      <c r="E257" s="601"/>
      <c r="F257" s="601"/>
      <c r="G257" s="601"/>
      <c r="H257" s="601"/>
      <c r="I257" s="610"/>
      <c r="J257" s="610"/>
      <c r="K257" s="601"/>
      <c r="L257" s="601"/>
      <c r="M257" s="1350"/>
      <c r="N257" s="1345"/>
      <c r="O257" s="1345"/>
      <c r="P257" s="1345"/>
      <c r="Q257" s="1345"/>
      <c r="R257" s="1345"/>
      <c r="S257" s="1345"/>
      <c r="T257" s="1345"/>
      <c r="U257" s="1345"/>
    </row>
    <row r="258" spans="1:21">
      <c r="A258" s="1298"/>
      <c r="B258" s="1345"/>
      <c r="C258" s="1345"/>
      <c r="D258" s="1345"/>
      <c r="E258" s="1345"/>
      <c r="F258" s="1345"/>
      <c r="G258" s="1345"/>
      <c r="H258" s="1345"/>
      <c r="I258" s="1345"/>
      <c r="J258" s="1345"/>
      <c r="K258" s="1345"/>
      <c r="L258" s="1345"/>
      <c r="M258" s="1350"/>
      <c r="N258" s="1345"/>
      <c r="O258" s="1345"/>
      <c r="P258" s="1345"/>
      <c r="Q258" s="1345"/>
      <c r="R258" s="1345"/>
      <c r="S258" s="1345"/>
      <c r="T258" s="1345"/>
      <c r="U258" s="1345"/>
    </row>
    <row r="259" spans="1:21">
      <c r="A259" s="684" t="str">
        <f>A174</f>
        <v>DUKE ENERGY KENTUCKY, INC.</v>
      </c>
      <c r="B259" s="1343"/>
      <c r="C259" s="1343"/>
      <c r="D259" s="1343"/>
      <c r="E259" s="684"/>
      <c r="F259" s="1343"/>
      <c r="G259" s="1343"/>
      <c r="H259" s="1343"/>
      <c r="I259" s="1343"/>
      <c r="J259" s="1343"/>
      <c r="K259" s="1343"/>
      <c r="L259" s="1343"/>
      <c r="M259" s="1350"/>
      <c r="N259" s="1345"/>
      <c r="O259" s="1345"/>
      <c r="P259" s="1345"/>
      <c r="Q259" s="1345"/>
      <c r="R259" s="1345"/>
      <c r="S259" s="1345"/>
      <c r="T259" s="1345"/>
      <c r="U259" s="1345"/>
    </row>
    <row r="260" spans="1:21">
      <c r="A260" s="684" t="str">
        <f>A175</f>
        <v>CASE NO. 2018-00261</v>
      </c>
      <c r="B260" s="1343"/>
      <c r="C260" s="1343"/>
      <c r="D260" s="1343"/>
      <c r="E260" s="684"/>
      <c r="F260" s="1343"/>
      <c r="G260" s="1343"/>
      <c r="H260" s="1343"/>
      <c r="I260" s="1343"/>
      <c r="J260" s="1343"/>
      <c r="K260" s="1343"/>
      <c r="L260" s="1343"/>
      <c r="M260" s="1350"/>
      <c r="N260" s="1345"/>
      <c r="O260" s="1345"/>
      <c r="P260" s="1345"/>
      <c r="Q260" s="1345"/>
      <c r="R260" s="1345"/>
      <c r="S260" s="1345"/>
      <c r="T260" s="1345"/>
      <c r="U260" s="1345"/>
    </row>
    <row r="261" spans="1:21">
      <c r="A261" s="684" t="str">
        <f>A176</f>
        <v>GROSS ADDITIONS, RETIREMENTS, AND TRANSFERS</v>
      </c>
      <c r="B261" s="1343"/>
      <c r="C261" s="1343"/>
      <c r="D261" s="1343"/>
      <c r="E261" s="684"/>
      <c r="F261" s="1343"/>
      <c r="G261" s="1343"/>
      <c r="H261" s="1343"/>
      <c r="I261" s="1343"/>
      <c r="J261" s="1343"/>
      <c r="K261" s="1343"/>
      <c r="L261" s="1343"/>
      <c r="M261" s="1350"/>
      <c r="N261" s="1345"/>
      <c r="O261" s="1345"/>
      <c r="P261" s="1345"/>
      <c r="Q261" s="1345"/>
      <c r="R261" s="1345"/>
      <c r="S261" s="1345"/>
      <c r="T261" s="1345"/>
      <c r="U261" s="1345"/>
    </row>
    <row r="262" spans="1:21">
      <c r="A262" s="684" t="str">
        <f>A177</f>
        <v>FROM APRIL 1, 2019 TO MARCH 31, 2020</v>
      </c>
      <c r="B262" s="1343"/>
      <c r="C262" s="1343"/>
      <c r="D262" s="1343"/>
      <c r="E262" s="684"/>
      <c r="F262" s="1343"/>
      <c r="G262" s="1343"/>
      <c r="H262" s="1343"/>
      <c r="I262" s="1343"/>
      <c r="J262" s="1343"/>
      <c r="K262" s="1343"/>
      <c r="L262" s="1343"/>
      <c r="M262" s="1350"/>
      <c r="N262" s="1345"/>
      <c r="O262" s="1345"/>
      <c r="P262" s="1345"/>
      <c r="Q262" s="1345"/>
      <c r="R262" s="1345"/>
      <c r="S262" s="1345"/>
      <c r="T262" s="1345"/>
      <c r="U262" s="1345"/>
    </row>
    <row r="263" spans="1:21">
      <c r="A263" s="1343"/>
      <c r="B263" s="1343"/>
      <c r="C263" s="1343"/>
      <c r="D263" s="1343"/>
      <c r="E263" s="1343"/>
      <c r="F263" s="1343"/>
      <c r="G263" s="1343"/>
      <c r="H263" s="1343"/>
      <c r="I263" s="1343"/>
      <c r="J263" s="1343"/>
      <c r="K263" s="1343"/>
      <c r="L263" s="1343"/>
      <c r="M263" s="1350"/>
      <c r="N263" s="1345"/>
      <c r="O263" s="1345"/>
      <c r="P263" s="1345"/>
      <c r="Q263" s="1345"/>
      <c r="R263" s="1345"/>
      <c r="S263" s="1345"/>
      <c r="T263" s="1345"/>
      <c r="U263" s="1345"/>
    </row>
    <row r="264" spans="1:21">
      <c r="A264" s="684" t="s">
        <v>1103</v>
      </c>
      <c r="B264" s="1343"/>
      <c r="C264" s="1343"/>
      <c r="D264" s="1343"/>
      <c r="E264" s="684"/>
      <c r="F264" s="1343"/>
      <c r="G264" s="1343"/>
      <c r="H264" s="1343"/>
      <c r="I264" s="1343"/>
      <c r="J264" s="1343"/>
      <c r="K264" s="1343"/>
      <c r="L264" s="1343"/>
      <c r="M264" s="1350"/>
      <c r="N264" s="1345"/>
      <c r="O264" s="1345"/>
      <c r="P264" s="1345"/>
      <c r="Q264" s="1345"/>
      <c r="R264" s="1345"/>
      <c r="S264" s="1345"/>
      <c r="T264" s="1345"/>
      <c r="U264" s="1345"/>
    </row>
    <row r="265" spans="1:21">
      <c r="A265" s="1343"/>
      <c r="B265" s="1343"/>
      <c r="C265" s="1343"/>
      <c r="D265" s="1343"/>
      <c r="E265" s="684"/>
      <c r="F265" s="1343"/>
      <c r="G265" s="1343"/>
      <c r="H265" s="1343"/>
      <c r="I265" s="1343"/>
      <c r="J265" s="1343"/>
      <c r="K265" s="1343"/>
      <c r="L265" s="1343"/>
      <c r="M265" s="1350"/>
      <c r="N265" s="1345"/>
      <c r="O265" s="1345"/>
      <c r="P265" s="1345"/>
      <c r="Q265" s="1345"/>
      <c r="R265" s="1345"/>
      <c r="S265" s="1345"/>
      <c r="T265" s="1345"/>
      <c r="U265" s="1345"/>
    </row>
    <row r="266" spans="1:21">
      <c r="A266" s="1344"/>
      <c r="B266" s="1343"/>
      <c r="C266" s="1343"/>
      <c r="D266" s="1343"/>
      <c r="E266" s="1343"/>
      <c r="F266" s="1343"/>
      <c r="G266" s="1343"/>
      <c r="H266" s="1343"/>
      <c r="I266" s="1343"/>
      <c r="J266" s="1343"/>
      <c r="K266" s="1343"/>
      <c r="L266" s="1343"/>
      <c r="M266" s="1350"/>
      <c r="N266" s="1345"/>
      <c r="O266" s="1345"/>
      <c r="P266" s="1345"/>
      <c r="Q266" s="1345"/>
      <c r="R266" s="1345"/>
      <c r="S266" s="1345"/>
      <c r="T266" s="1345"/>
      <c r="U266" s="1345"/>
    </row>
    <row r="267" spans="1:21">
      <c r="A267" s="1344"/>
      <c r="B267" s="1343"/>
      <c r="C267" s="1343"/>
      <c r="D267" s="1343"/>
      <c r="E267" s="1343"/>
      <c r="F267" s="1343"/>
      <c r="G267" s="1343"/>
      <c r="H267" s="1343"/>
      <c r="I267" s="1343"/>
      <c r="J267" s="1343"/>
      <c r="K267" s="1343"/>
      <c r="L267" s="1343"/>
      <c r="M267" s="1350"/>
      <c r="N267" s="1345"/>
      <c r="O267" s="1345"/>
      <c r="P267" s="1345"/>
      <c r="Q267" s="1345"/>
      <c r="R267" s="1345"/>
      <c r="S267" s="1345"/>
      <c r="T267" s="1345"/>
      <c r="U267" s="1345"/>
    </row>
    <row r="268" spans="1:21">
      <c r="A268" s="1298" t="str">
        <f>DataF</f>
        <v>DATA:  BASE PERIOD  "X" FORECASTED PERIOD</v>
      </c>
      <c r="B268" s="1345"/>
      <c r="C268" s="1345"/>
      <c r="D268" s="1345"/>
      <c r="E268" s="1345"/>
      <c r="F268" s="1345"/>
      <c r="G268" s="1345"/>
      <c r="H268" s="1345"/>
      <c r="I268" s="1345"/>
      <c r="K268" s="1298" t="str">
        <f>K183</f>
        <v>SCHEDULE B-2.3</v>
      </c>
      <c r="L268" s="1345"/>
      <c r="M268" s="1350"/>
      <c r="N268" s="1345"/>
      <c r="O268" s="1345"/>
      <c r="P268" s="1345"/>
      <c r="Q268" s="1345"/>
      <c r="R268" s="1345"/>
      <c r="S268" s="1345"/>
      <c r="T268" s="1345"/>
      <c r="U268" s="1345"/>
    </row>
    <row r="269" spans="1:21">
      <c r="A269" s="1298" t="str">
        <f>A184</f>
        <v xml:space="preserve">TYPE OF FILING:  "X" ORIGINAL   UPDATED    REVISED  </v>
      </c>
      <c r="B269" s="1345"/>
      <c r="C269" s="1345"/>
      <c r="D269" s="1345"/>
      <c r="E269" s="1345"/>
      <c r="F269" s="1345"/>
      <c r="G269" s="1345"/>
      <c r="H269" s="1345"/>
      <c r="I269" s="1345"/>
      <c r="K269" s="1298" t="s">
        <v>502</v>
      </c>
      <c r="L269" s="1345"/>
      <c r="M269" s="1350"/>
      <c r="N269" s="1345"/>
      <c r="O269" s="1345"/>
      <c r="P269" s="1345"/>
      <c r="Q269" s="1345"/>
      <c r="R269" s="1345"/>
      <c r="S269" s="1345"/>
      <c r="T269" s="1345"/>
      <c r="U269" s="1345"/>
    </row>
    <row r="270" spans="1:21">
      <c r="A270" s="1298" t="str">
        <f>A185</f>
        <v xml:space="preserve">WORK PAPER REFERENCE NO(S).: </v>
      </c>
      <c r="B270" s="1345"/>
      <c r="C270" s="1345"/>
      <c r="D270" s="1345"/>
      <c r="E270" s="1345"/>
      <c r="F270" s="1345"/>
      <c r="G270" s="1345"/>
      <c r="H270" s="1345"/>
      <c r="I270" s="1345"/>
      <c r="K270" s="1346" t="s">
        <v>566</v>
      </c>
      <c r="L270" s="1345"/>
      <c r="M270" s="1350"/>
      <c r="N270" s="1345"/>
      <c r="O270" s="1345"/>
      <c r="P270" s="1345"/>
      <c r="Q270" s="1345"/>
      <c r="R270" s="1345"/>
      <c r="S270" s="1345"/>
      <c r="T270" s="1345"/>
      <c r="U270" s="1345"/>
    </row>
    <row r="271" spans="1:21">
      <c r="A271" s="1345"/>
      <c r="B271" s="1345"/>
      <c r="C271" s="1345"/>
      <c r="D271" s="1345"/>
      <c r="E271" s="1345"/>
      <c r="F271" s="1345"/>
      <c r="G271" s="1345"/>
      <c r="H271" s="1345"/>
      <c r="I271" s="1345"/>
      <c r="K271" s="1346" t="str">
        <f>K186</f>
        <v>R. H. PRATT / C. S. LEE</v>
      </c>
      <c r="L271" s="1345"/>
      <c r="M271" s="1350"/>
      <c r="N271" s="1345"/>
      <c r="O271" s="1345"/>
      <c r="P271" s="1345"/>
      <c r="Q271" s="1345"/>
      <c r="R271" s="1345"/>
      <c r="S271" s="1345"/>
      <c r="T271" s="1345"/>
      <c r="U271" s="1345"/>
    </row>
    <row r="272" spans="1:21">
      <c r="A272" s="1345"/>
      <c r="B272" s="1345"/>
      <c r="C272" s="1345"/>
      <c r="D272" s="1345"/>
      <c r="E272" s="1345"/>
      <c r="F272" s="1345"/>
      <c r="G272" s="1345"/>
      <c r="H272" s="1345"/>
      <c r="I272" s="1345"/>
      <c r="J272" s="1345"/>
      <c r="K272" s="1345"/>
      <c r="L272" s="1345"/>
      <c r="M272" s="1350"/>
      <c r="N272" s="1345"/>
      <c r="O272" s="1345"/>
      <c r="P272" s="1345"/>
      <c r="Q272" s="1345"/>
      <c r="R272" s="1345"/>
      <c r="S272" s="1345"/>
      <c r="T272" s="1345"/>
      <c r="U272" s="1345"/>
    </row>
    <row r="273" spans="1:21">
      <c r="A273" s="1345"/>
      <c r="B273" s="1345"/>
      <c r="C273" s="1345"/>
      <c r="D273" s="1345"/>
      <c r="E273" s="1345"/>
      <c r="F273" s="1345"/>
      <c r="G273" s="1345"/>
      <c r="H273" s="1347"/>
      <c r="I273" s="1345"/>
      <c r="J273" s="1345"/>
      <c r="K273" s="1345"/>
      <c r="L273" s="1345"/>
      <c r="M273" s="1350"/>
      <c r="N273" s="1345"/>
      <c r="O273" s="1345"/>
      <c r="P273" s="1345"/>
      <c r="Q273" s="1345"/>
      <c r="R273" s="1345"/>
      <c r="S273" s="1345"/>
      <c r="T273" s="1345"/>
      <c r="U273" s="1345"/>
    </row>
    <row r="274" spans="1:21">
      <c r="A274" s="599"/>
      <c r="B274" s="599"/>
      <c r="C274" s="607"/>
      <c r="D274" s="599"/>
      <c r="E274" s="599"/>
      <c r="F274" s="599"/>
      <c r="G274" s="599"/>
      <c r="I274" s="599"/>
      <c r="J274" s="599"/>
      <c r="K274" s="599"/>
      <c r="L274" s="599"/>
      <c r="M274" s="1350"/>
      <c r="N274" s="1345"/>
      <c r="O274" s="1345"/>
      <c r="P274" s="1345"/>
      <c r="Q274" s="1345"/>
      <c r="R274" s="1345"/>
      <c r="S274" s="1345"/>
      <c r="T274" s="1345"/>
      <c r="U274" s="1345"/>
    </row>
    <row r="275" spans="1:21">
      <c r="A275" s="1345"/>
      <c r="B275" s="1348" t="s">
        <v>1041</v>
      </c>
      <c r="C275" s="1348" t="s">
        <v>2137</v>
      </c>
      <c r="D275" s="1345"/>
      <c r="E275" s="1345"/>
      <c r="F275" s="1345"/>
      <c r="G275" s="1345"/>
      <c r="H275" s="608" t="s">
        <v>1401</v>
      </c>
      <c r="I275" s="608"/>
      <c r="J275" s="608"/>
      <c r="K275" s="1345"/>
      <c r="L275" s="1345"/>
      <c r="M275" s="1350"/>
      <c r="N275" s="1345"/>
      <c r="O275" s="1345"/>
      <c r="P275" s="1345"/>
      <c r="Q275" s="1345"/>
      <c r="R275" s="1345"/>
      <c r="S275" s="1345"/>
      <c r="T275" s="1345"/>
      <c r="U275" s="1345"/>
    </row>
    <row r="276" spans="1:21">
      <c r="A276" s="1348" t="s">
        <v>1938</v>
      </c>
      <c r="B276" s="1348" t="s">
        <v>1150</v>
      </c>
      <c r="C276" s="1348" t="s">
        <v>1150</v>
      </c>
      <c r="D276" s="1348" t="s">
        <v>1987</v>
      </c>
      <c r="E276" s="1348" t="s">
        <v>1402</v>
      </c>
      <c r="F276" s="1345"/>
      <c r="G276" s="1345"/>
      <c r="H276" s="599"/>
      <c r="I276" s="602" t="s">
        <v>1403</v>
      </c>
      <c r="J276" s="602" t="s">
        <v>1404</v>
      </c>
      <c r="K276" s="1348" t="s">
        <v>1405</v>
      </c>
      <c r="L276" s="1348" t="s">
        <v>621</v>
      </c>
      <c r="M276" s="1350"/>
      <c r="N276" s="1345"/>
      <c r="O276" s="1345"/>
      <c r="P276" s="1345"/>
      <c r="Q276" s="1345"/>
      <c r="R276" s="1345"/>
      <c r="S276" s="1345"/>
      <c r="T276" s="1345"/>
      <c r="U276" s="1345"/>
    </row>
    <row r="277" spans="1:21">
      <c r="A277" s="1348" t="s">
        <v>1939</v>
      </c>
      <c r="B277" s="1348" t="s">
        <v>1939</v>
      </c>
      <c r="C277" s="1348" t="s">
        <v>1939</v>
      </c>
      <c r="D277" s="1348" t="s">
        <v>1406</v>
      </c>
      <c r="E277" s="1348" t="s">
        <v>1407</v>
      </c>
      <c r="F277" s="1348" t="s">
        <v>1408</v>
      </c>
      <c r="G277" s="1348" t="s">
        <v>1409</v>
      </c>
      <c r="H277" s="1348" t="s">
        <v>2125</v>
      </c>
      <c r="I277" s="1348" t="s">
        <v>1410</v>
      </c>
      <c r="J277" s="1348" t="s">
        <v>1411</v>
      </c>
      <c r="K277" s="1348" t="s">
        <v>1407</v>
      </c>
      <c r="L277" s="1348" t="s">
        <v>799</v>
      </c>
      <c r="M277" s="1350"/>
      <c r="N277" s="1345"/>
      <c r="O277" s="1345"/>
      <c r="P277" s="1345"/>
      <c r="Q277" s="1345"/>
      <c r="R277" s="1345"/>
      <c r="S277" s="1345"/>
      <c r="T277" s="1345"/>
      <c r="U277" s="1345"/>
    </row>
    <row r="278" spans="1:21">
      <c r="A278" s="1345"/>
      <c r="B278" s="1345"/>
      <c r="C278" s="1345"/>
      <c r="D278" s="1345"/>
      <c r="E278" s="1345"/>
      <c r="F278" s="1345"/>
      <c r="G278" s="1345"/>
      <c r="H278" s="1345"/>
      <c r="I278" s="1345"/>
      <c r="J278" s="1345"/>
      <c r="K278" s="1345"/>
      <c r="L278" s="1345"/>
      <c r="M278" s="1350"/>
      <c r="N278" s="1345"/>
      <c r="O278" s="1345"/>
      <c r="P278" s="1345"/>
      <c r="Q278" s="1345"/>
      <c r="R278" s="1345"/>
      <c r="S278" s="1345"/>
      <c r="T278" s="1345"/>
      <c r="U278" s="1345"/>
    </row>
    <row r="279" spans="1:21">
      <c r="A279" s="599"/>
      <c r="B279" s="599"/>
      <c r="C279" s="599"/>
      <c r="D279" s="599"/>
      <c r="E279" s="602" t="s">
        <v>695</v>
      </c>
      <c r="F279" s="602" t="s">
        <v>695</v>
      </c>
      <c r="G279" s="602" t="s">
        <v>695</v>
      </c>
      <c r="H279" s="602" t="s">
        <v>695</v>
      </c>
      <c r="I279" s="599"/>
      <c r="J279" s="599"/>
      <c r="K279" s="602" t="s">
        <v>695</v>
      </c>
      <c r="L279" s="602" t="s">
        <v>695</v>
      </c>
      <c r="M279" s="1350"/>
      <c r="N279" s="1345"/>
      <c r="O279" s="1345"/>
      <c r="P279" s="1345"/>
      <c r="Q279" s="1345"/>
      <c r="R279" s="1345"/>
      <c r="S279" s="1345"/>
      <c r="T279" s="1345"/>
      <c r="U279" s="1345"/>
    </row>
    <row r="280" spans="1:21">
      <c r="A280" s="603"/>
      <c r="B280" s="603"/>
      <c r="C280" s="603"/>
      <c r="D280" s="603"/>
      <c r="E280" s="604"/>
      <c r="F280" s="604"/>
      <c r="G280" s="604"/>
      <c r="H280" s="604"/>
      <c r="I280" s="603"/>
      <c r="J280" s="603"/>
      <c r="K280" s="604"/>
      <c r="L280" s="604"/>
      <c r="M280" s="1350"/>
      <c r="N280" s="1345"/>
      <c r="O280" s="1345"/>
      <c r="P280" s="1345"/>
      <c r="Q280" s="1345"/>
      <c r="R280" s="1345"/>
      <c r="S280" s="1345"/>
      <c r="T280" s="1345"/>
      <c r="U280" s="1345"/>
    </row>
    <row r="281" spans="1:21">
      <c r="A281" s="1348">
        <v>1</v>
      </c>
      <c r="B281" s="1348">
        <f t="shared" ref="B281:D281" si="38">B108</f>
        <v>303</v>
      </c>
      <c r="C281" s="1348">
        <f t="shared" si="38"/>
        <v>20300</v>
      </c>
      <c r="D281" s="1298" t="str">
        <f t="shared" si="38"/>
        <v>Miscellaneous Intangible Plant</v>
      </c>
      <c r="E281" s="2755">
        <v>8757245</v>
      </c>
      <c r="F281" s="2755"/>
      <c r="G281" s="2755">
        <v>0</v>
      </c>
      <c r="H281" s="2761"/>
      <c r="I281" s="2757"/>
      <c r="J281" s="2757"/>
      <c r="K281" s="1349">
        <f t="shared" ref="K281:K291" si="39">E281+F281-G281+H281</f>
        <v>8757245</v>
      </c>
      <c r="L281" s="2755">
        <v>8757245</v>
      </c>
      <c r="M281" s="1350"/>
      <c r="N281" s="1345"/>
      <c r="O281" s="1345"/>
      <c r="P281" s="1345"/>
      <c r="Q281" s="1345"/>
      <c r="R281" s="1345"/>
      <c r="S281" s="1345"/>
      <c r="T281" s="1345"/>
      <c r="U281" s="1345"/>
    </row>
    <row r="282" spans="1:21">
      <c r="A282" s="1348">
        <f t="shared" ref="A282:A291" si="40">A281+1</f>
        <v>2</v>
      </c>
      <c r="B282" s="1348">
        <f t="shared" ref="B282:D282" si="41">B109</f>
        <v>303</v>
      </c>
      <c r="C282" s="1348" t="str">
        <f t="shared" si="41"/>
        <v>20310</v>
      </c>
      <c r="D282" s="1298" t="str">
        <f t="shared" si="41"/>
        <v>Misc Intangible Plt - 10 Yr</v>
      </c>
      <c r="E282" s="2755">
        <v>2670960</v>
      </c>
      <c r="F282" s="2755"/>
      <c r="G282" s="2755">
        <v>0</v>
      </c>
      <c r="H282" s="2755"/>
      <c r="I282" s="2760"/>
      <c r="J282" s="2760"/>
      <c r="K282" s="1349">
        <f t="shared" si="39"/>
        <v>2670960</v>
      </c>
      <c r="L282" s="2755">
        <v>2670960</v>
      </c>
      <c r="M282" s="1350"/>
      <c r="N282" s="1345"/>
      <c r="O282" s="1345"/>
      <c r="P282" s="1345"/>
      <c r="Q282" s="1345"/>
      <c r="R282" s="1345"/>
      <c r="S282" s="1345"/>
      <c r="T282" s="1345"/>
      <c r="U282" s="1345"/>
    </row>
    <row r="283" spans="1:21">
      <c r="A283" s="1348">
        <f t="shared" si="40"/>
        <v>3</v>
      </c>
      <c r="B283" s="1348" t="str">
        <f t="shared" ref="B283:D283" si="42">B110</f>
        <v>391</v>
      </c>
      <c r="C283" s="1348">
        <f t="shared" si="42"/>
        <v>29100</v>
      </c>
      <c r="D283" s="1298" t="str">
        <f t="shared" si="42"/>
        <v>Office Furniture &amp; Equipment</v>
      </c>
      <c r="E283" s="2755">
        <v>13251</v>
      </c>
      <c r="F283" s="2755"/>
      <c r="G283" s="2755">
        <v>745</v>
      </c>
      <c r="H283" s="2755"/>
      <c r="I283" s="2760"/>
      <c r="J283" s="2760"/>
      <c r="K283" s="1349">
        <f t="shared" si="39"/>
        <v>12506</v>
      </c>
      <c r="L283" s="2755">
        <v>12880</v>
      </c>
      <c r="M283" s="1350"/>
      <c r="N283" s="1345"/>
      <c r="O283" s="1345"/>
      <c r="P283" s="1345"/>
      <c r="Q283" s="1345"/>
      <c r="R283" s="1345"/>
      <c r="S283" s="1345"/>
      <c r="T283" s="1345"/>
      <c r="U283" s="1345"/>
    </row>
    <row r="284" spans="1:21">
      <c r="A284" s="1348">
        <f t="shared" si="40"/>
        <v>4</v>
      </c>
      <c r="B284" s="1348">
        <f t="shared" ref="B284:D284" si="43">B111</f>
        <v>391</v>
      </c>
      <c r="C284" s="1348">
        <f t="shared" si="43"/>
        <v>29101</v>
      </c>
      <c r="D284" s="1298" t="str">
        <f t="shared" si="43"/>
        <v>Electronic Data Processing</v>
      </c>
      <c r="E284" s="2755">
        <v>276321</v>
      </c>
      <c r="F284" s="2755"/>
      <c r="G284" s="2755">
        <v>128375</v>
      </c>
      <c r="H284" s="2755"/>
      <c r="I284" s="2757"/>
      <c r="J284" s="2759"/>
      <c r="K284" s="1349">
        <f t="shared" si="39"/>
        <v>147946</v>
      </c>
      <c r="L284" s="2755">
        <v>212320</v>
      </c>
      <c r="M284" s="1350"/>
      <c r="N284" s="1345"/>
      <c r="O284" s="1345"/>
      <c r="P284" s="1345"/>
      <c r="Q284" s="1345"/>
      <c r="R284" s="1345"/>
      <c r="S284" s="1345"/>
      <c r="T284" s="1345"/>
      <c r="U284" s="1345"/>
    </row>
    <row r="285" spans="1:21">
      <c r="A285" s="1348">
        <f t="shared" si="40"/>
        <v>5</v>
      </c>
      <c r="B285" s="1348" t="str">
        <f t="shared" ref="B285:D285" si="44">B112</f>
        <v>392</v>
      </c>
      <c r="C285" s="1348">
        <f t="shared" si="44"/>
        <v>29200</v>
      </c>
      <c r="D285" s="1298" t="str">
        <f t="shared" si="44"/>
        <v>Transportation Equipment</v>
      </c>
      <c r="E285" s="2755">
        <v>0</v>
      </c>
      <c r="F285" s="2755"/>
      <c r="G285" s="2755">
        <v>0</v>
      </c>
      <c r="H285" s="2755"/>
      <c r="I285" s="2760"/>
      <c r="J285" s="2760"/>
      <c r="K285" s="1349">
        <f t="shared" si="39"/>
        <v>0</v>
      </c>
      <c r="L285" s="2755">
        <v>0</v>
      </c>
      <c r="M285" s="1350"/>
      <c r="N285" s="1345"/>
      <c r="O285" s="1345"/>
      <c r="P285" s="1345"/>
      <c r="Q285" s="1345"/>
      <c r="R285" s="1345"/>
      <c r="S285" s="1345"/>
      <c r="T285" s="1345"/>
      <c r="U285" s="1345"/>
    </row>
    <row r="286" spans="1:21">
      <c r="A286" s="1348">
        <f t="shared" si="40"/>
        <v>6</v>
      </c>
      <c r="B286" s="1348" t="str">
        <f t="shared" ref="B286:D286" si="45">B113</f>
        <v>392</v>
      </c>
      <c r="C286" s="1348">
        <f t="shared" si="45"/>
        <v>29201</v>
      </c>
      <c r="D286" s="1298" t="str">
        <f t="shared" si="45"/>
        <v>Trailers</v>
      </c>
      <c r="E286" s="2755">
        <v>63448</v>
      </c>
      <c r="F286" s="2755"/>
      <c r="G286" s="2755">
        <v>0</v>
      </c>
      <c r="H286" s="2755"/>
      <c r="I286" s="2757"/>
      <c r="J286" s="2759"/>
      <c r="K286" s="1349">
        <f t="shared" si="39"/>
        <v>63448</v>
      </c>
      <c r="L286" s="2755">
        <v>63448</v>
      </c>
      <c r="M286" s="1350"/>
      <c r="N286" s="1345"/>
      <c r="O286" s="1345"/>
      <c r="P286" s="1345"/>
      <c r="Q286" s="1345"/>
      <c r="R286" s="1345"/>
      <c r="S286" s="1345"/>
      <c r="T286" s="1345"/>
      <c r="U286" s="1345"/>
    </row>
    <row r="287" spans="1:21">
      <c r="A287" s="1348">
        <f t="shared" si="40"/>
        <v>7</v>
      </c>
      <c r="B287" s="1348" t="str">
        <f t="shared" ref="B287:D287" si="46">B114</f>
        <v>394</v>
      </c>
      <c r="C287" s="1348">
        <f t="shared" si="46"/>
        <v>29400</v>
      </c>
      <c r="D287" s="1298" t="str">
        <f t="shared" si="46"/>
        <v>Tools, Shop &amp; Garage Equipment</v>
      </c>
      <c r="E287" s="2755">
        <v>1191774</v>
      </c>
      <c r="F287" s="2755"/>
      <c r="G287" s="2755">
        <v>143025</v>
      </c>
      <c r="H287" s="2755"/>
      <c r="I287" s="2757"/>
      <c r="J287" s="2759"/>
      <c r="K287" s="1349">
        <f t="shared" ref="K287:K289" si="47">E287+F287-G287+H287</f>
        <v>1048749</v>
      </c>
      <c r="L287" s="2755">
        <v>1120469</v>
      </c>
      <c r="M287" s="1350"/>
      <c r="N287" s="1345"/>
      <c r="O287" s="1345"/>
      <c r="P287" s="1345"/>
      <c r="Q287" s="1345"/>
      <c r="R287" s="1345"/>
      <c r="S287" s="1345"/>
      <c r="T287" s="1345"/>
      <c r="U287" s="1345"/>
    </row>
    <row r="288" spans="1:21">
      <c r="A288" s="1348">
        <f t="shared" si="40"/>
        <v>8</v>
      </c>
      <c r="B288" s="1348" t="str">
        <f t="shared" ref="B288:D288" si="48">B115</f>
        <v>396</v>
      </c>
      <c r="C288" s="1348">
        <f t="shared" si="48"/>
        <v>29600</v>
      </c>
      <c r="D288" s="1298" t="str">
        <f t="shared" si="48"/>
        <v>Power Operated Equipment</v>
      </c>
      <c r="E288" s="2755">
        <v>168272</v>
      </c>
      <c r="F288" s="2755"/>
      <c r="G288" s="2755">
        <v>0</v>
      </c>
      <c r="H288" s="2755"/>
      <c r="I288" s="2757"/>
      <c r="J288" s="2759"/>
      <c r="K288" s="1349">
        <f t="shared" si="47"/>
        <v>168272</v>
      </c>
      <c r="L288" s="2755">
        <v>168272</v>
      </c>
      <c r="M288" s="1350"/>
      <c r="N288" s="1345"/>
      <c r="O288" s="1345"/>
      <c r="P288" s="1345"/>
      <c r="Q288" s="1345"/>
      <c r="R288" s="1345"/>
      <c r="S288" s="1345"/>
      <c r="T288" s="1345"/>
      <c r="U288" s="1345"/>
    </row>
    <row r="289" spans="1:21">
      <c r="A289" s="1348">
        <f t="shared" si="40"/>
        <v>9</v>
      </c>
      <c r="B289" s="1348">
        <f t="shared" ref="B289:D289" si="49">B116</f>
        <v>397</v>
      </c>
      <c r="C289" s="1348" t="str">
        <f t="shared" si="49"/>
        <v>29700</v>
      </c>
      <c r="D289" s="1298" t="str">
        <f t="shared" si="49"/>
        <v>Communication Equipment</v>
      </c>
      <c r="E289" s="2755">
        <v>10766945</v>
      </c>
      <c r="F289" s="2755">
        <v>0</v>
      </c>
      <c r="G289" s="2755">
        <v>0</v>
      </c>
      <c r="H289" s="2755"/>
      <c r="I289" s="2757"/>
      <c r="J289" s="2759"/>
      <c r="K289" s="1349">
        <f t="shared" si="47"/>
        <v>10766945</v>
      </c>
      <c r="L289" s="2755">
        <v>10766945</v>
      </c>
      <c r="M289" s="1350"/>
      <c r="N289" s="1345"/>
      <c r="O289" s="1345"/>
      <c r="P289" s="1345"/>
      <c r="Q289" s="1345"/>
      <c r="R289" s="1345"/>
      <c r="S289" s="1345"/>
      <c r="T289" s="1345"/>
      <c r="U289" s="1345"/>
    </row>
    <row r="290" spans="1:21">
      <c r="A290" s="1348">
        <f t="shared" si="40"/>
        <v>10</v>
      </c>
      <c r="B290" s="1348" t="str">
        <f t="shared" ref="B290:D290" si="50">B117</f>
        <v>398</v>
      </c>
      <c r="C290" s="1348">
        <f t="shared" si="50"/>
        <v>29800</v>
      </c>
      <c r="D290" s="1298" t="str">
        <f t="shared" si="50"/>
        <v>Miscellaneous Equipment</v>
      </c>
      <c r="E290" s="2755">
        <v>83591</v>
      </c>
      <c r="F290" s="2755"/>
      <c r="G290" s="2755">
        <v>0</v>
      </c>
      <c r="H290" s="2755"/>
      <c r="I290" s="2759"/>
      <c r="J290" s="2759"/>
      <c r="K290" s="1349">
        <f t="shared" si="39"/>
        <v>83591</v>
      </c>
      <c r="L290" s="2755">
        <v>83591</v>
      </c>
      <c r="M290" s="1350"/>
      <c r="N290" s="1345"/>
      <c r="O290" s="1345"/>
      <c r="P290" s="1345"/>
      <c r="Q290" s="1345"/>
      <c r="R290" s="1345"/>
      <c r="S290" s="1345"/>
      <c r="T290" s="1345"/>
      <c r="U290" s="1345"/>
    </row>
    <row r="291" spans="1:21">
      <c r="A291" s="1348">
        <f t="shared" si="40"/>
        <v>11</v>
      </c>
      <c r="B291" s="1348"/>
      <c r="C291" s="1348"/>
      <c r="D291" s="1298" t="str">
        <f t="shared" ref="D291" si="51">D118</f>
        <v>Completed Construction Not Classified</v>
      </c>
      <c r="E291" s="2755">
        <v>521420</v>
      </c>
      <c r="F291" s="2755">
        <v>386338</v>
      </c>
      <c r="G291" s="2755">
        <v>0</v>
      </c>
      <c r="H291" s="2755"/>
      <c r="I291" s="2759"/>
      <c r="J291" s="2759"/>
      <c r="K291" s="1349">
        <f t="shared" si="39"/>
        <v>907758</v>
      </c>
      <c r="L291" s="2755">
        <v>723715</v>
      </c>
      <c r="M291" s="1350"/>
      <c r="N291" s="1345"/>
      <c r="O291" s="1345"/>
      <c r="P291" s="1345"/>
      <c r="Q291" s="1345"/>
      <c r="R291" s="1345"/>
      <c r="S291" s="1345"/>
      <c r="T291" s="1345"/>
      <c r="U291" s="1345"/>
    </row>
    <row r="292" spans="1:21">
      <c r="A292" s="1345"/>
      <c r="B292" s="1345"/>
      <c r="C292" s="1345"/>
      <c r="D292" s="1345"/>
      <c r="E292" s="2762"/>
      <c r="F292" s="2762"/>
      <c r="G292" s="2762"/>
      <c r="H292" s="2762"/>
      <c r="I292" s="2759"/>
      <c r="J292" s="2759"/>
      <c r="K292" s="1351"/>
      <c r="L292" s="2762"/>
      <c r="M292" s="1350"/>
      <c r="N292" s="1345"/>
      <c r="O292" s="1345"/>
      <c r="P292" s="1345"/>
      <c r="Q292" s="1345"/>
      <c r="R292" s="1345"/>
      <c r="S292" s="1345"/>
      <c r="T292" s="1345"/>
      <c r="U292" s="1345"/>
    </row>
    <row r="293" spans="1:21">
      <c r="A293" s="1345"/>
      <c r="B293" s="1345"/>
      <c r="C293" s="1345"/>
      <c r="D293" s="1345"/>
      <c r="E293" s="2762"/>
      <c r="F293" s="2762"/>
      <c r="G293" s="2762"/>
      <c r="H293" s="2762"/>
      <c r="I293" s="2762"/>
      <c r="J293" s="2762"/>
      <c r="K293" s="1351"/>
      <c r="L293" s="2762"/>
      <c r="M293" s="1350"/>
      <c r="N293" s="1345"/>
      <c r="O293" s="1345"/>
      <c r="P293" s="1345"/>
      <c r="Q293" s="1345"/>
      <c r="R293" s="1345"/>
      <c r="S293" s="1345"/>
      <c r="T293" s="1345"/>
      <c r="U293" s="1345"/>
    </row>
    <row r="294" spans="1:21">
      <c r="A294" s="1345"/>
      <c r="B294" s="1345"/>
      <c r="C294" s="1345"/>
      <c r="D294" s="1345"/>
      <c r="E294" s="2757"/>
      <c r="F294" s="2757"/>
      <c r="G294" s="2757"/>
      <c r="H294" s="2757"/>
      <c r="I294" s="2757"/>
      <c r="J294" s="2757"/>
      <c r="K294" s="1349"/>
      <c r="L294" s="1349"/>
      <c r="M294" s="1350"/>
      <c r="N294" s="1345"/>
      <c r="O294" s="1345"/>
      <c r="P294" s="1345"/>
      <c r="Q294" s="1345"/>
      <c r="R294" s="1345"/>
      <c r="S294" s="1345"/>
      <c r="T294" s="1345"/>
      <c r="U294" s="1345"/>
    </row>
    <row r="295" spans="1:21">
      <c r="A295" s="599"/>
      <c r="B295" s="599"/>
      <c r="C295" s="599"/>
      <c r="D295" s="599"/>
      <c r="E295" s="601"/>
      <c r="F295" s="601"/>
      <c r="G295" s="601"/>
      <c r="H295" s="601"/>
      <c r="I295" s="610"/>
      <c r="J295" s="610"/>
      <c r="K295" s="601"/>
      <c r="L295" s="601"/>
      <c r="M295" s="1350"/>
      <c r="N295" s="1345"/>
      <c r="O295" s="1345"/>
      <c r="P295" s="1345"/>
      <c r="Q295" s="1345"/>
      <c r="R295" s="1345"/>
      <c r="S295" s="1345"/>
      <c r="T295" s="1345"/>
      <c r="U295" s="1345"/>
    </row>
    <row r="296" spans="1:21">
      <c r="A296" s="1348">
        <f>A291+1</f>
        <v>12</v>
      </c>
      <c r="B296" s="1345"/>
      <c r="C296" s="1345"/>
      <c r="D296" s="1298" t="s">
        <v>1117</v>
      </c>
      <c r="E296" s="1351">
        <f>SUM(E281:E291)</f>
        <v>24513227</v>
      </c>
      <c r="F296" s="1351">
        <f>SUM(F281:F291)</f>
        <v>386338</v>
      </c>
      <c r="G296" s="1351">
        <f>SUM(G281:G291)</f>
        <v>272145</v>
      </c>
      <c r="H296" s="1351">
        <f>SUM(H281:H291)</f>
        <v>0</v>
      </c>
      <c r="I296" s="1350"/>
      <c r="J296" s="1350"/>
      <c r="K296" s="1351">
        <f>SUM(K281:K291)</f>
        <v>24627420</v>
      </c>
      <c r="L296" s="1351">
        <f>SUM(L281:L291)</f>
        <v>24579845</v>
      </c>
      <c r="M296" s="1350"/>
      <c r="N296" s="1345"/>
      <c r="O296" s="1345"/>
      <c r="P296" s="1345"/>
      <c r="Q296" s="1345"/>
      <c r="R296" s="1345"/>
      <c r="S296" s="1345"/>
      <c r="T296" s="1345"/>
      <c r="U296" s="1345"/>
    </row>
    <row r="297" spans="1:21">
      <c r="A297" s="1345"/>
      <c r="B297" s="1345"/>
      <c r="C297" s="1345"/>
      <c r="D297" s="1345"/>
      <c r="E297" s="1345"/>
      <c r="F297" s="1345"/>
      <c r="G297" s="1345"/>
      <c r="H297" s="1345"/>
      <c r="I297" s="1345"/>
      <c r="J297" s="1345"/>
      <c r="K297" s="1349"/>
      <c r="L297" s="1349"/>
      <c r="M297" s="1350"/>
      <c r="N297" s="1345"/>
      <c r="O297" s="1345"/>
      <c r="P297" s="1345"/>
      <c r="Q297" s="1345"/>
      <c r="R297" s="1345"/>
      <c r="S297" s="1345"/>
      <c r="T297" s="1345"/>
      <c r="U297" s="1345"/>
    </row>
    <row r="298" spans="1:21">
      <c r="A298" s="599"/>
      <c r="B298" s="599"/>
      <c r="C298" s="599"/>
      <c r="D298" s="599"/>
      <c r="E298" s="601"/>
      <c r="F298" s="601"/>
      <c r="G298" s="601"/>
      <c r="H298" s="601"/>
      <c r="I298" s="610"/>
      <c r="J298" s="610"/>
      <c r="K298" s="601"/>
      <c r="L298" s="601"/>
      <c r="M298" s="1350"/>
      <c r="N298" s="1345"/>
      <c r="O298" s="1345"/>
      <c r="P298" s="1345"/>
      <c r="Q298" s="1345"/>
      <c r="R298" s="1345"/>
      <c r="S298" s="1345"/>
      <c r="T298" s="1345"/>
      <c r="U298" s="1345"/>
    </row>
    <row r="299" spans="1:21">
      <c r="A299" s="1348">
        <f>A296+1</f>
        <v>13</v>
      </c>
      <c r="B299" s="1345"/>
      <c r="C299" s="1345"/>
      <c r="D299" s="1298" t="s">
        <v>106</v>
      </c>
      <c r="E299" s="1351">
        <f>E204+E255+E296</f>
        <v>577645572</v>
      </c>
      <c r="F299" s="1351">
        <f>F204+F255+F296</f>
        <v>26600002</v>
      </c>
      <c r="G299" s="1351">
        <f>G204+G255+G296</f>
        <v>3138235</v>
      </c>
      <c r="H299" s="1351">
        <f>H204+H255+H296</f>
        <v>0</v>
      </c>
      <c r="I299" s="1345"/>
      <c r="J299" s="1345"/>
      <c r="K299" s="1351">
        <f>K204+K255+K296</f>
        <v>601107339</v>
      </c>
      <c r="L299" s="1351">
        <f>L204+L255+L296</f>
        <v>588080496</v>
      </c>
      <c r="M299" s="1350"/>
      <c r="N299" s="1345"/>
      <c r="O299" s="1345"/>
      <c r="P299" s="1345"/>
      <c r="Q299" s="1345"/>
      <c r="R299" s="1345"/>
      <c r="S299" s="1345"/>
      <c r="T299" s="1345"/>
      <c r="U299" s="1345"/>
    </row>
    <row r="300" spans="1:21">
      <c r="A300" s="1345"/>
      <c r="B300" s="1345"/>
      <c r="C300" s="1345"/>
      <c r="D300" s="1345"/>
      <c r="E300" s="1345"/>
      <c r="F300" s="1345"/>
      <c r="G300" s="1345"/>
      <c r="H300" s="1345"/>
      <c r="I300" s="1345"/>
      <c r="J300" s="1345"/>
      <c r="K300" s="1345"/>
      <c r="L300" s="1345"/>
      <c r="M300" s="1350"/>
      <c r="N300" s="1345"/>
      <c r="O300" s="1345"/>
      <c r="P300" s="1345"/>
      <c r="Q300" s="1345"/>
      <c r="R300" s="1345"/>
      <c r="S300" s="1345"/>
      <c r="T300" s="1345"/>
      <c r="U300" s="1345"/>
    </row>
    <row r="301" spans="1:21">
      <c r="A301" s="599"/>
      <c r="B301" s="599"/>
      <c r="C301" s="599"/>
      <c r="D301" s="599"/>
      <c r="E301" s="599"/>
      <c r="F301" s="599"/>
      <c r="G301" s="599"/>
      <c r="H301" s="599"/>
      <c r="I301" s="599"/>
      <c r="J301" s="599"/>
      <c r="K301" s="599"/>
      <c r="L301" s="599"/>
      <c r="M301" s="1350"/>
      <c r="N301" s="1345"/>
      <c r="O301" s="1345"/>
      <c r="P301" s="1345"/>
      <c r="Q301" s="1345"/>
      <c r="R301" s="1345"/>
      <c r="S301" s="1345"/>
      <c r="T301" s="1345"/>
      <c r="U301" s="1345"/>
    </row>
    <row r="302" spans="1:21">
      <c r="A302" s="1345"/>
      <c r="B302" s="1345"/>
      <c r="C302" s="1345"/>
      <c r="D302" s="1345"/>
      <c r="E302" s="1345"/>
      <c r="F302" s="1345"/>
      <c r="G302" s="1345"/>
      <c r="H302" s="1345"/>
      <c r="I302" s="1345"/>
      <c r="J302" s="1345"/>
      <c r="K302" s="1345"/>
      <c r="L302" s="1345"/>
      <c r="M302" s="1350"/>
      <c r="N302" s="1345"/>
      <c r="O302" s="1345"/>
      <c r="P302" s="1345"/>
      <c r="Q302" s="1345"/>
      <c r="R302" s="1345"/>
      <c r="S302" s="1345"/>
      <c r="T302" s="1345"/>
      <c r="U302" s="1345"/>
    </row>
    <row r="303" spans="1:21">
      <c r="A303" s="684" t="str">
        <f>A174</f>
        <v>DUKE ENERGY KENTUCKY, INC.</v>
      </c>
      <c r="B303" s="1343"/>
      <c r="C303" s="1343"/>
      <c r="D303" s="1343"/>
      <c r="E303" s="684"/>
      <c r="F303" s="1343"/>
      <c r="G303" s="1343"/>
      <c r="H303" s="1343"/>
      <c r="I303" s="1343"/>
      <c r="J303" s="1343"/>
      <c r="K303" s="1343"/>
      <c r="L303" s="1343"/>
      <c r="M303" s="1350"/>
      <c r="N303" s="1345"/>
      <c r="O303" s="1345"/>
      <c r="P303" s="1345"/>
      <c r="Q303" s="1345"/>
      <c r="R303" s="1345"/>
      <c r="S303" s="1345"/>
      <c r="T303" s="1345"/>
      <c r="U303" s="1345"/>
    </row>
    <row r="304" spans="1:21">
      <c r="A304" s="684" t="str">
        <f>A175</f>
        <v>CASE NO. 2018-00261</v>
      </c>
      <c r="B304" s="1343"/>
      <c r="C304" s="1343"/>
      <c r="D304" s="1343"/>
      <c r="E304" s="684"/>
      <c r="F304" s="1343"/>
      <c r="G304" s="1343"/>
      <c r="H304" s="1343"/>
      <c r="I304" s="1343"/>
      <c r="J304" s="1343"/>
      <c r="K304" s="1343"/>
      <c r="L304" s="1343"/>
      <c r="M304" s="1350"/>
      <c r="N304" s="1345"/>
      <c r="O304" s="1345"/>
      <c r="P304" s="1345"/>
      <c r="Q304" s="1345"/>
      <c r="R304" s="1345"/>
      <c r="S304" s="1345"/>
      <c r="T304" s="1345"/>
      <c r="U304" s="1345"/>
    </row>
    <row r="305" spans="1:21">
      <c r="A305" s="684" t="str">
        <f>A176</f>
        <v>GROSS ADDITIONS, RETIREMENTS, AND TRANSFERS</v>
      </c>
      <c r="B305" s="1343"/>
      <c r="C305" s="1343"/>
      <c r="D305" s="1343"/>
      <c r="E305" s="684"/>
      <c r="F305" s="1343"/>
      <c r="G305" s="1343"/>
      <c r="H305" s="1343"/>
      <c r="I305" s="1343"/>
      <c r="J305" s="1343"/>
      <c r="K305" s="1343"/>
      <c r="L305" s="1343"/>
      <c r="M305" s="1350"/>
      <c r="N305" s="1345"/>
      <c r="O305" s="1345"/>
      <c r="P305" s="1345"/>
      <c r="Q305" s="1345"/>
      <c r="R305" s="1345"/>
      <c r="S305" s="1345"/>
      <c r="T305" s="1345"/>
      <c r="U305" s="1345"/>
    </row>
    <row r="306" spans="1:21">
      <c r="A306" s="684" t="str">
        <f>A177</f>
        <v>FROM APRIL 1, 2019 TO MARCH 31, 2020</v>
      </c>
      <c r="B306" s="1343"/>
      <c r="C306" s="1343"/>
      <c r="D306" s="1343"/>
      <c r="E306" s="684"/>
      <c r="F306" s="1343"/>
      <c r="G306" s="1343"/>
      <c r="H306" s="1343"/>
      <c r="I306" s="1343"/>
      <c r="J306" s="1343"/>
      <c r="K306" s="1343"/>
      <c r="L306" s="1343"/>
      <c r="M306" s="1350"/>
      <c r="N306" s="1345"/>
      <c r="O306" s="1345"/>
      <c r="P306" s="1345"/>
      <c r="Q306" s="1345"/>
      <c r="R306" s="1345"/>
      <c r="S306" s="1345"/>
      <c r="T306" s="1345"/>
      <c r="U306" s="1345"/>
    </row>
    <row r="307" spans="1:21">
      <c r="A307" s="1343"/>
      <c r="B307" s="1343"/>
      <c r="C307" s="1343"/>
      <c r="D307" s="1343"/>
      <c r="E307" s="1343"/>
      <c r="F307" s="1343"/>
      <c r="G307" s="1343"/>
      <c r="H307" s="1343"/>
      <c r="I307" s="1343"/>
      <c r="J307" s="1343"/>
      <c r="K307" s="1343"/>
      <c r="L307" s="1343"/>
      <c r="M307" s="1350"/>
      <c r="N307" s="1345"/>
      <c r="O307" s="1345"/>
      <c r="P307" s="1345"/>
      <c r="Q307" s="1345"/>
      <c r="R307" s="1345"/>
      <c r="S307" s="1345"/>
      <c r="T307" s="1345"/>
      <c r="U307" s="1345"/>
    </row>
    <row r="308" spans="1:21">
      <c r="A308" s="684" t="s">
        <v>1119</v>
      </c>
      <c r="B308" s="1343"/>
      <c r="C308" s="1343"/>
      <c r="D308" s="1343"/>
      <c r="E308" s="684"/>
      <c r="F308" s="1343"/>
      <c r="G308" s="1343"/>
      <c r="H308" s="1343"/>
      <c r="I308" s="1343"/>
      <c r="J308" s="1343"/>
      <c r="K308" s="1343"/>
      <c r="L308" s="1343"/>
      <c r="M308" s="1350"/>
      <c r="N308" s="1345"/>
      <c r="O308" s="1345"/>
      <c r="P308" s="1345"/>
      <c r="Q308" s="1345"/>
      <c r="R308" s="1345"/>
      <c r="S308" s="1345"/>
      <c r="T308" s="1345"/>
      <c r="U308" s="1345"/>
    </row>
    <row r="309" spans="1:21">
      <c r="A309" s="1343"/>
      <c r="B309" s="1343"/>
      <c r="C309" s="1343"/>
      <c r="D309" s="1343"/>
      <c r="E309" s="684"/>
      <c r="F309" s="1343"/>
      <c r="G309" s="1343"/>
      <c r="H309" s="1343"/>
      <c r="I309" s="1343"/>
      <c r="J309" s="1343"/>
      <c r="K309" s="1343"/>
      <c r="L309" s="1343"/>
      <c r="M309" s="1350"/>
      <c r="N309" s="1345"/>
      <c r="O309" s="1345"/>
      <c r="P309" s="1345"/>
      <c r="Q309" s="1345"/>
      <c r="R309" s="1345"/>
      <c r="S309" s="1345"/>
      <c r="T309" s="1345"/>
      <c r="U309" s="1345"/>
    </row>
    <row r="310" spans="1:21">
      <c r="A310" s="1344"/>
      <c r="B310" s="1343"/>
      <c r="C310" s="1343"/>
      <c r="D310" s="1343"/>
      <c r="E310" s="1343"/>
      <c r="F310" s="1343"/>
      <c r="G310" s="1343"/>
      <c r="H310" s="1343"/>
      <c r="I310" s="1343"/>
      <c r="J310" s="1343"/>
      <c r="K310" s="1343"/>
      <c r="L310" s="1343"/>
      <c r="M310" s="1350"/>
      <c r="N310" s="1345"/>
      <c r="O310" s="1345"/>
      <c r="P310" s="1345"/>
      <c r="Q310" s="1345"/>
      <c r="R310" s="1345"/>
      <c r="S310" s="1345"/>
      <c r="T310" s="1345"/>
      <c r="U310" s="1345"/>
    </row>
    <row r="311" spans="1:21">
      <c r="A311" s="1344"/>
      <c r="B311" s="1343"/>
      <c r="C311" s="1343"/>
      <c r="D311" s="1343"/>
      <c r="E311" s="1343"/>
      <c r="F311" s="1343"/>
      <c r="G311" s="1343"/>
      <c r="H311" s="1343"/>
      <c r="I311" s="1343"/>
      <c r="J311" s="1343"/>
      <c r="K311" s="1343"/>
      <c r="L311" s="1343"/>
      <c r="M311" s="1350"/>
      <c r="N311" s="1345"/>
      <c r="O311" s="1345"/>
      <c r="P311" s="1345"/>
      <c r="Q311" s="1345"/>
      <c r="R311" s="1345"/>
      <c r="S311" s="1345"/>
      <c r="T311" s="1345"/>
      <c r="U311" s="1345"/>
    </row>
    <row r="312" spans="1:21">
      <c r="A312" s="1298" t="str">
        <f>DataF</f>
        <v>DATA:  BASE PERIOD  "X" FORECASTED PERIOD</v>
      </c>
      <c r="B312" s="1345"/>
      <c r="C312" s="1345"/>
      <c r="D312" s="1345"/>
      <c r="E312" s="1345"/>
      <c r="F312" s="1345"/>
      <c r="G312" s="1345"/>
      <c r="H312" s="1345"/>
      <c r="I312" s="1345"/>
      <c r="K312" s="1298" t="str">
        <f>K183</f>
        <v>SCHEDULE B-2.3</v>
      </c>
      <c r="L312" s="1345"/>
      <c r="M312" s="1350"/>
      <c r="N312" s="1345"/>
      <c r="O312" s="1345"/>
      <c r="P312" s="1345"/>
      <c r="Q312" s="1345"/>
      <c r="R312" s="1345"/>
      <c r="S312" s="1345"/>
      <c r="T312" s="1345"/>
      <c r="U312" s="1345"/>
    </row>
    <row r="313" spans="1:21">
      <c r="A313" s="1298" t="str">
        <f>A184</f>
        <v xml:space="preserve">TYPE OF FILING:  "X" ORIGINAL   UPDATED    REVISED  </v>
      </c>
      <c r="B313" s="1345"/>
      <c r="C313" s="1345"/>
      <c r="D313" s="1345"/>
      <c r="E313" s="1345"/>
      <c r="F313" s="1345"/>
      <c r="G313" s="1345"/>
      <c r="H313" s="1345"/>
      <c r="I313" s="1345"/>
      <c r="K313" s="1298" t="s">
        <v>503</v>
      </c>
      <c r="L313" s="1345"/>
      <c r="M313" s="1350"/>
      <c r="N313" s="1345"/>
      <c r="O313" s="1345"/>
      <c r="P313" s="1345"/>
      <c r="Q313" s="1345"/>
      <c r="R313" s="1345"/>
      <c r="S313" s="1345"/>
      <c r="T313" s="1345"/>
      <c r="U313" s="1345"/>
    </row>
    <row r="314" spans="1:21">
      <c r="A314" s="1298" t="str">
        <f>A185</f>
        <v xml:space="preserve">WORK PAPER REFERENCE NO(S).: </v>
      </c>
      <c r="B314" s="1345"/>
      <c r="C314" s="1345"/>
      <c r="D314" s="1345"/>
      <c r="E314" s="1345"/>
      <c r="F314" s="1345"/>
      <c r="G314" s="1345"/>
      <c r="H314" s="1345"/>
      <c r="I314" s="1345"/>
      <c r="K314" s="1346" t="s">
        <v>566</v>
      </c>
      <c r="L314" s="1345"/>
      <c r="M314" s="1350"/>
      <c r="N314" s="1345"/>
      <c r="O314" s="1345"/>
      <c r="P314" s="1345"/>
      <c r="Q314" s="1345"/>
      <c r="R314" s="1345"/>
      <c r="S314" s="1345"/>
      <c r="T314" s="1345"/>
      <c r="U314" s="1345"/>
    </row>
    <row r="315" spans="1:21">
      <c r="A315" s="1345"/>
      <c r="B315" s="1345"/>
      <c r="C315" s="1345"/>
      <c r="D315" s="1345"/>
      <c r="E315" s="1345"/>
      <c r="F315" s="1345"/>
      <c r="G315" s="1345"/>
      <c r="H315" s="1345"/>
      <c r="I315" s="1345"/>
      <c r="K315" s="1346" t="str">
        <f>K186</f>
        <v>R. H. PRATT / C. S. LEE</v>
      </c>
      <c r="L315" s="1345"/>
      <c r="M315" s="1350"/>
      <c r="N315" s="1345"/>
      <c r="O315" s="1345"/>
      <c r="P315" s="1345"/>
      <c r="Q315" s="1345"/>
      <c r="R315" s="1345"/>
      <c r="S315" s="1345"/>
      <c r="T315" s="1345"/>
      <c r="U315" s="1345"/>
    </row>
    <row r="316" spans="1:21">
      <c r="A316" s="1345"/>
      <c r="B316" s="1345"/>
      <c r="C316" s="1345"/>
      <c r="D316" s="1345"/>
      <c r="E316" s="1345"/>
      <c r="F316" s="1345"/>
      <c r="G316" s="1345"/>
      <c r="H316" s="1345"/>
      <c r="I316" s="1345"/>
      <c r="J316" s="1345"/>
      <c r="K316" s="1345"/>
      <c r="L316" s="1345"/>
      <c r="M316" s="1350"/>
      <c r="N316" s="1345"/>
      <c r="O316" s="1345"/>
      <c r="P316" s="1345"/>
      <c r="Q316" s="1345"/>
      <c r="R316" s="1345"/>
      <c r="S316" s="1345"/>
      <c r="T316" s="1345"/>
      <c r="U316" s="1345"/>
    </row>
    <row r="317" spans="1:21">
      <c r="A317" s="1345"/>
      <c r="B317" s="1345"/>
      <c r="C317" s="1345"/>
      <c r="D317" s="1345"/>
      <c r="E317" s="1345"/>
      <c r="F317" s="1345"/>
      <c r="G317" s="1345"/>
      <c r="H317" s="1347"/>
      <c r="I317" s="1345"/>
      <c r="J317" s="1345"/>
      <c r="K317" s="1345"/>
      <c r="L317" s="1345"/>
      <c r="M317" s="1350"/>
      <c r="N317" s="1345"/>
      <c r="O317" s="1345"/>
      <c r="P317" s="1345"/>
      <c r="Q317" s="1345"/>
      <c r="R317" s="1345"/>
      <c r="S317" s="1345"/>
      <c r="T317" s="1345"/>
      <c r="U317" s="1345"/>
    </row>
    <row r="318" spans="1:21">
      <c r="A318" s="599"/>
      <c r="B318" s="599"/>
      <c r="C318" s="607"/>
      <c r="D318" s="599"/>
      <c r="E318" s="599"/>
      <c r="F318" s="599"/>
      <c r="G318" s="599"/>
      <c r="I318" s="599"/>
      <c r="J318" s="599"/>
      <c r="K318" s="599"/>
      <c r="L318" s="599"/>
      <c r="M318" s="1350"/>
      <c r="N318" s="1345"/>
      <c r="O318" s="1345"/>
      <c r="P318" s="1345"/>
      <c r="Q318" s="1345"/>
      <c r="R318" s="1345"/>
      <c r="S318" s="1345"/>
      <c r="T318" s="1345"/>
      <c r="U318" s="1345"/>
    </row>
    <row r="319" spans="1:21">
      <c r="A319" s="1345"/>
      <c r="B319" s="1348" t="s">
        <v>1041</v>
      </c>
      <c r="C319" s="1348" t="s">
        <v>2137</v>
      </c>
      <c r="D319" s="1345"/>
      <c r="E319" s="1345"/>
      <c r="F319" s="1345"/>
      <c r="G319" s="1345"/>
      <c r="H319" s="608" t="s">
        <v>1401</v>
      </c>
      <c r="I319" s="608"/>
      <c r="J319" s="608"/>
      <c r="K319" s="1345"/>
      <c r="L319" s="1345"/>
      <c r="M319" s="1350"/>
      <c r="N319" s="1345"/>
      <c r="O319" s="1345"/>
      <c r="P319" s="1345"/>
      <c r="Q319" s="1345"/>
      <c r="R319" s="1345"/>
      <c r="S319" s="1345"/>
      <c r="T319" s="1345"/>
      <c r="U319" s="1345"/>
    </row>
    <row r="320" spans="1:21">
      <c r="A320" s="1348" t="s">
        <v>1938</v>
      </c>
      <c r="B320" s="1348" t="s">
        <v>1150</v>
      </c>
      <c r="C320" s="1348" t="s">
        <v>1150</v>
      </c>
      <c r="D320" s="1348" t="s">
        <v>1987</v>
      </c>
      <c r="E320" s="1348" t="s">
        <v>1402</v>
      </c>
      <c r="F320" s="1345"/>
      <c r="G320" s="1345"/>
      <c r="H320" s="599"/>
      <c r="I320" s="602" t="s">
        <v>1403</v>
      </c>
      <c r="J320" s="602" t="s">
        <v>1404</v>
      </c>
      <c r="K320" s="1348" t="s">
        <v>1405</v>
      </c>
      <c r="L320" s="1348" t="s">
        <v>286</v>
      </c>
      <c r="M320" s="1350"/>
      <c r="N320" s="1345"/>
      <c r="O320" s="1345"/>
      <c r="P320" s="1345"/>
      <c r="Q320" s="1345"/>
      <c r="R320" s="1345"/>
      <c r="S320" s="1345"/>
      <c r="T320" s="1345"/>
      <c r="U320" s="1345"/>
    </row>
    <row r="321" spans="1:21">
      <c r="A321" s="1348" t="s">
        <v>1939</v>
      </c>
      <c r="B321" s="1348" t="s">
        <v>1939</v>
      </c>
      <c r="C321" s="1348" t="s">
        <v>1939</v>
      </c>
      <c r="D321" s="1348" t="s">
        <v>1406</v>
      </c>
      <c r="E321" s="1348" t="s">
        <v>1407</v>
      </c>
      <c r="F321" s="1348" t="s">
        <v>1408</v>
      </c>
      <c r="G321" s="1348" t="s">
        <v>1409</v>
      </c>
      <c r="H321" s="1348" t="s">
        <v>2125</v>
      </c>
      <c r="I321" s="1348" t="s">
        <v>1410</v>
      </c>
      <c r="J321" s="1348" t="s">
        <v>1411</v>
      </c>
      <c r="K321" s="1348" t="s">
        <v>1407</v>
      </c>
      <c r="L321" s="1348" t="s">
        <v>799</v>
      </c>
      <c r="M321" s="1350"/>
      <c r="N321" s="1345"/>
      <c r="O321" s="1345"/>
      <c r="P321" s="1345"/>
      <c r="Q321" s="1345"/>
      <c r="R321" s="1345"/>
      <c r="S321" s="1345"/>
      <c r="T321" s="1345"/>
      <c r="U321" s="1345"/>
    </row>
    <row r="322" spans="1:21">
      <c r="A322" s="1345"/>
      <c r="B322" s="1345"/>
      <c r="C322" s="1345"/>
      <c r="D322" s="1345"/>
      <c r="E322" s="1345"/>
      <c r="F322" s="1345"/>
      <c r="G322" s="1345"/>
      <c r="H322" s="1345"/>
      <c r="I322" s="1345"/>
      <c r="J322" s="1345"/>
      <c r="K322" s="1345"/>
      <c r="L322" s="1345"/>
      <c r="M322" s="1350"/>
      <c r="N322" s="1345"/>
      <c r="O322" s="1345"/>
      <c r="P322" s="1345"/>
      <c r="Q322" s="1345"/>
      <c r="R322" s="1345"/>
      <c r="S322" s="1345"/>
      <c r="T322" s="1345"/>
      <c r="U322" s="1345"/>
    </row>
    <row r="323" spans="1:21">
      <c r="A323" s="599"/>
      <c r="B323" s="599"/>
      <c r="C323" s="599"/>
      <c r="D323" s="599"/>
      <c r="E323" s="602" t="s">
        <v>695</v>
      </c>
      <c r="F323" s="602" t="s">
        <v>695</v>
      </c>
      <c r="G323" s="602" t="s">
        <v>695</v>
      </c>
      <c r="H323" s="602" t="s">
        <v>695</v>
      </c>
      <c r="I323" s="599"/>
      <c r="J323" s="599"/>
      <c r="K323" s="602" t="s">
        <v>695</v>
      </c>
      <c r="L323" s="602" t="s">
        <v>695</v>
      </c>
      <c r="M323" s="1350"/>
      <c r="N323" s="1345"/>
      <c r="O323" s="1345"/>
      <c r="P323" s="1345"/>
      <c r="Q323" s="1345"/>
      <c r="R323" s="1345"/>
      <c r="S323" s="1345"/>
      <c r="T323" s="1345"/>
      <c r="U323" s="1345"/>
    </row>
    <row r="324" spans="1:21">
      <c r="A324" s="1345"/>
      <c r="B324" s="1345"/>
      <c r="C324" s="1345"/>
      <c r="D324" s="1345"/>
      <c r="E324" s="1345"/>
      <c r="F324" s="1345"/>
      <c r="G324" s="1345"/>
      <c r="H324" s="1345"/>
      <c r="I324" s="1345"/>
      <c r="J324" s="1345"/>
      <c r="K324" s="1345"/>
      <c r="L324" s="1345"/>
      <c r="M324" s="1350"/>
      <c r="N324" s="1345"/>
      <c r="O324" s="1345"/>
      <c r="P324" s="1345"/>
      <c r="Q324" s="1345"/>
      <c r="R324" s="1345"/>
      <c r="S324" s="1345"/>
      <c r="T324" s="1345"/>
      <c r="U324" s="1345"/>
    </row>
    <row r="325" spans="1:21">
      <c r="A325" s="1348" t="s">
        <v>1152</v>
      </c>
      <c r="B325" s="1348"/>
      <c r="C325" s="1348">
        <f t="shared" ref="C325:D325" si="52">C152</f>
        <v>10300</v>
      </c>
      <c r="D325" s="1298" t="str">
        <f t="shared" si="52"/>
        <v xml:space="preserve">Miscellaneous Intangible Plant </v>
      </c>
      <c r="E325" s="2755">
        <v>22332072</v>
      </c>
      <c r="F325" s="2756"/>
      <c r="G325" s="2755"/>
      <c r="H325" s="2755"/>
      <c r="I325" s="2758"/>
      <c r="J325" s="2758"/>
      <c r="K325" s="1349">
        <f t="shared" ref="K325:K334" si="53">E325+F325-G325+H325</f>
        <v>22332072</v>
      </c>
      <c r="L325" s="2755">
        <v>22332072</v>
      </c>
      <c r="M325" s="1350"/>
      <c r="N325" s="1345"/>
      <c r="O325" s="1345"/>
      <c r="P325" s="1345"/>
      <c r="Q325" s="1345"/>
      <c r="R325" s="1345"/>
      <c r="S325" s="1345"/>
      <c r="T325" s="1345"/>
      <c r="U325" s="1345"/>
    </row>
    <row r="326" spans="1:21">
      <c r="A326" s="1348">
        <f t="shared" ref="A326:A334" si="54">A325+1</f>
        <v>2</v>
      </c>
      <c r="B326" s="1345"/>
      <c r="C326" s="1348">
        <f t="shared" ref="C326:D326" si="55">C153</f>
        <v>18900</v>
      </c>
      <c r="D326" s="1298" t="str">
        <f t="shared" si="55"/>
        <v>Land and Land Rights</v>
      </c>
      <c r="E326" s="2755">
        <v>154248</v>
      </c>
      <c r="F326" s="2756"/>
      <c r="G326" s="2755"/>
      <c r="H326" s="2755"/>
      <c r="I326" s="2758"/>
      <c r="J326" s="2758"/>
      <c r="K326" s="1349">
        <f t="shared" si="53"/>
        <v>154248</v>
      </c>
      <c r="L326" s="2755">
        <v>154248</v>
      </c>
      <c r="M326" s="1350"/>
      <c r="N326" s="1345"/>
      <c r="O326" s="1345"/>
      <c r="P326" s="1345"/>
      <c r="Q326" s="1345"/>
      <c r="R326" s="1345"/>
      <c r="S326" s="1345"/>
      <c r="T326" s="1345"/>
      <c r="U326" s="1345"/>
    </row>
    <row r="327" spans="1:21">
      <c r="A327" s="1348">
        <f t="shared" si="54"/>
        <v>3</v>
      </c>
      <c r="B327" s="1345"/>
      <c r="C327" s="1348">
        <f t="shared" ref="C327:D327" si="56">C154</f>
        <v>19000</v>
      </c>
      <c r="D327" s="1298" t="str">
        <f t="shared" si="56"/>
        <v>Structures &amp; Improvements</v>
      </c>
      <c r="E327" s="2755">
        <v>14741462</v>
      </c>
      <c r="F327" s="2756"/>
      <c r="G327" s="2755">
        <v>191818</v>
      </c>
      <c r="H327" s="2755"/>
      <c r="I327" s="2760"/>
      <c r="J327" s="2760"/>
      <c r="K327" s="1349">
        <f t="shared" si="53"/>
        <v>14549644</v>
      </c>
      <c r="L327" s="2755">
        <v>14645832</v>
      </c>
      <c r="M327" s="1350"/>
      <c r="N327" s="1345"/>
      <c r="O327" s="1345"/>
      <c r="P327" s="1345"/>
      <c r="Q327" s="1345"/>
      <c r="R327" s="1345"/>
      <c r="S327" s="1345"/>
      <c r="T327" s="1345"/>
      <c r="U327" s="1345"/>
    </row>
    <row r="328" spans="1:21">
      <c r="A328" s="1348">
        <f t="shared" si="54"/>
        <v>4</v>
      </c>
      <c r="B328" s="1345"/>
      <c r="C328" s="1348">
        <f t="shared" ref="C328:D328" si="57">C155</f>
        <v>19100</v>
      </c>
      <c r="D328" s="1298" t="str">
        <f t="shared" si="57"/>
        <v>Office Furniture &amp; Equipment</v>
      </c>
      <c r="E328" s="2755">
        <v>598474</v>
      </c>
      <c r="F328" s="2756"/>
      <c r="G328" s="2755"/>
      <c r="H328" s="2755"/>
      <c r="I328" s="2760"/>
      <c r="J328" s="2760"/>
      <c r="K328" s="1349">
        <f t="shared" si="53"/>
        <v>598474</v>
      </c>
      <c r="L328" s="2755">
        <v>502844</v>
      </c>
      <c r="M328" s="1350"/>
      <c r="N328" s="1345"/>
      <c r="O328" s="1345"/>
      <c r="P328" s="1345"/>
      <c r="Q328" s="1345"/>
      <c r="R328" s="1345"/>
      <c r="S328" s="1345"/>
      <c r="T328" s="1345"/>
      <c r="U328" s="1345"/>
    </row>
    <row r="329" spans="1:21">
      <c r="A329" s="1348">
        <f t="shared" si="54"/>
        <v>5</v>
      </c>
      <c r="B329" s="1345"/>
      <c r="C329" s="1348">
        <f t="shared" ref="C329:D329" si="58">C156</f>
        <v>19101</v>
      </c>
      <c r="D329" s="1298" t="str">
        <f t="shared" si="58"/>
        <v>Electronic Data Processing</v>
      </c>
      <c r="E329" s="2755">
        <v>807217</v>
      </c>
      <c r="F329" s="2756"/>
      <c r="G329" s="2755"/>
      <c r="H329" s="2755"/>
      <c r="I329" s="2760"/>
      <c r="J329" s="2758"/>
      <c r="K329" s="1349">
        <f t="shared" si="53"/>
        <v>807217</v>
      </c>
      <c r="L329" s="2755">
        <v>807217</v>
      </c>
      <c r="M329" s="1350"/>
      <c r="N329" s="1345"/>
      <c r="O329" s="1345"/>
      <c r="P329" s="1345"/>
      <c r="Q329" s="1345"/>
      <c r="R329" s="1345"/>
      <c r="S329" s="1345"/>
      <c r="T329" s="1345"/>
      <c r="U329" s="1345"/>
    </row>
    <row r="330" spans="1:21">
      <c r="A330" s="1348">
        <f t="shared" si="54"/>
        <v>6</v>
      </c>
      <c r="B330" s="1345"/>
      <c r="C330" s="1348">
        <f t="shared" ref="C330:D330" si="59">C157</f>
        <v>19300</v>
      </c>
      <c r="D330" s="1298" t="str">
        <f t="shared" si="59"/>
        <v>Stores Equipment</v>
      </c>
      <c r="E330" s="2755">
        <v>0</v>
      </c>
      <c r="F330" s="2756"/>
      <c r="G330" s="2755"/>
      <c r="H330" s="2755"/>
      <c r="I330" s="2760"/>
      <c r="J330" s="2760"/>
      <c r="K330" s="1349">
        <f t="shared" si="53"/>
        <v>0</v>
      </c>
      <c r="L330" s="2755">
        <v>0</v>
      </c>
      <c r="M330" s="1350"/>
      <c r="N330" s="1345"/>
      <c r="O330" s="1345"/>
      <c r="P330" s="1345"/>
      <c r="Q330" s="1345"/>
      <c r="R330" s="1345"/>
      <c r="S330" s="1345"/>
      <c r="T330" s="1345"/>
      <c r="U330" s="1345"/>
    </row>
    <row r="331" spans="1:21">
      <c r="A331" s="1348">
        <f t="shared" si="54"/>
        <v>7</v>
      </c>
      <c r="B331" s="1345"/>
      <c r="C331" s="1348">
        <f t="shared" ref="C331:D331" si="60">C158</f>
        <v>19400</v>
      </c>
      <c r="D331" s="1298" t="str">
        <f t="shared" si="60"/>
        <v>Tools, Shop &amp; Garage Equipment</v>
      </c>
      <c r="E331" s="2755">
        <v>121888</v>
      </c>
      <c r="F331" s="2756"/>
      <c r="G331" s="2755"/>
      <c r="H331" s="2755"/>
      <c r="I331" s="2760"/>
      <c r="J331" s="2760"/>
      <c r="K331" s="1349">
        <f t="shared" si="53"/>
        <v>121888</v>
      </c>
      <c r="L331" s="2755">
        <v>121888</v>
      </c>
      <c r="M331" s="1350"/>
      <c r="N331" s="1345"/>
      <c r="O331" s="1345"/>
      <c r="P331" s="1345"/>
      <c r="Q331" s="1345"/>
      <c r="R331" s="1345"/>
      <c r="S331" s="1345"/>
      <c r="T331" s="1345"/>
      <c r="U331" s="1345"/>
    </row>
    <row r="332" spans="1:21">
      <c r="A332" s="1348">
        <f t="shared" si="54"/>
        <v>8</v>
      </c>
      <c r="B332" s="1345"/>
      <c r="C332" s="1348">
        <f t="shared" ref="C332:D332" si="61">C159</f>
        <v>19700</v>
      </c>
      <c r="D332" s="1298" t="str">
        <f t="shared" si="61"/>
        <v>Communication Equipment</v>
      </c>
      <c r="E332" s="2755">
        <v>8114194</v>
      </c>
      <c r="F332" s="2756"/>
      <c r="G332" s="2755"/>
      <c r="H332" s="2755"/>
      <c r="I332" s="2760"/>
      <c r="J332" s="2760"/>
      <c r="K332" s="1349">
        <f t="shared" si="53"/>
        <v>8114194</v>
      </c>
      <c r="L332" s="2755">
        <v>8114194</v>
      </c>
      <c r="M332" s="1350"/>
      <c r="N332" s="1345"/>
      <c r="O332" s="1345"/>
      <c r="P332" s="1345"/>
      <c r="Q332" s="1345"/>
      <c r="R332" s="1345"/>
      <c r="S332" s="1345"/>
      <c r="T332" s="1345"/>
      <c r="U332" s="1345"/>
    </row>
    <row r="333" spans="1:21">
      <c r="A333" s="1348">
        <f t="shared" si="54"/>
        <v>9</v>
      </c>
      <c r="B333" s="1345"/>
      <c r="C333" s="1348">
        <f t="shared" ref="C333:D334" si="62">C160</f>
        <v>19800</v>
      </c>
      <c r="D333" s="1298" t="str">
        <f t="shared" si="62"/>
        <v>Miscellaneous Equipment</v>
      </c>
      <c r="E333" s="2755">
        <v>41504</v>
      </c>
      <c r="F333" s="2756"/>
      <c r="G333" s="2755"/>
      <c r="H333" s="2755"/>
      <c r="I333" s="2759"/>
      <c r="J333" s="2759"/>
      <c r="K333" s="1349">
        <f t="shared" si="53"/>
        <v>41504</v>
      </c>
      <c r="L333" s="2755">
        <v>41504</v>
      </c>
      <c r="M333" s="1350"/>
      <c r="N333" s="1345"/>
      <c r="O333" s="1345"/>
      <c r="P333" s="1345"/>
      <c r="Q333" s="1345"/>
      <c r="R333" s="1345"/>
      <c r="S333" s="1345"/>
      <c r="T333" s="1345"/>
      <c r="U333" s="1345"/>
    </row>
    <row r="334" spans="1:21">
      <c r="A334" s="1348">
        <f t="shared" si="54"/>
        <v>10</v>
      </c>
      <c r="B334" s="1345"/>
      <c r="C334" s="1348"/>
      <c r="D334" s="1298" t="str">
        <f t="shared" si="62"/>
        <v>Asset Retirement Cost Obligation</v>
      </c>
      <c r="E334" s="2755">
        <v>314111</v>
      </c>
      <c r="F334" s="2756"/>
      <c r="G334" s="2755"/>
      <c r="H334" s="2755"/>
      <c r="I334" s="2757"/>
      <c r="J334" s="2757"/>
      <c r="K334" s="1349">
        <f t="shared" si="53"/>
        <v>314111</v>
      </c>
      <c r="L334" s="2755">
        <v>314111</v>
      </c>
      <c r="M334" s="1350"/>
      <c r="N334" s="1345"/>
      <c r="O334" s="1345"/>
      <c r="P334" s="1345"/>
      <c r="Q334" s="1345"/>
      <c r="R334" s="1345"/>
      <c r="S334" s="1345"/>
      <c r="T334" s="1345"/>
      <c r="U334" s="1345"/>
    </row>
    <row r="335" spans="1:21">
      <c r="A335" s="1345"/>
      <c r="B335" s="1345"/>
      <c r="C335" s="1345"/>
      <c r="D335" s="1345"/>
      <c r="E335" s="2757"/>
      <c r="F335" s="2757"/>
      <c r="G335" s="2757"/>
      <c r="H335" s="2757"/>
      <c r="I335" s="2757"/>
      <c r="J335" s="2757"/>
      <c r="K335" s="1349"/>
      <c r="L335" s="1349"/>
      <c r="M335" s="1350"/>
      <c r="N335" s="1345"/>
      <c r="O335" s="1345"/>
      <c r="P335" s="1345"/>
      <c r="Q335" s="1345"/>
      <c r="R335" s="1345"/>
      <c r="S335" s="1345"/>
      <c r="T335" s="1345"/>
      <c r="U335" s="1345"/>
    </row>
    <row r="336" spans="1:21">
      <c r="A336" s="599"/>
      <c r="B336" s="599"/>
      <c r="C336" s="599"/>
      <c r="D336" s="599"/>
      <c r="E336" s="601"/>
      <c r="F336" s="601"/>
      <c r="G336" s="601"/>
      <c r="H336" s="601"/>
      <c r="I336" s="610"/>
      <c r="J336" s="610"/>
      <c r="K336" s="601"/>
      <c r="L336" s="601"/>
      <c r="M336" s="1350"/>
      <c r="N336" s="1345"/>
      <c r="O336" s="1345"/>
      <c r="P336" s="1345"/>
      <c r="Q336" s="1345"/>
      <c r="R336" s="1345"/>
      <c r="S336" s="1345"/>
      <c r="T336" s="1345"/>
      <c r="U336" s="1345"/>
    </row>
    <row r="337" spans="1:21">
      <c r="A337" s="1348">
        <f>A334+1</f>
        <v>11</v>
      </c>
      <c r="B337" s="1345"/>
      <c r="C337" s="1345"/>
      <c r="D337" s="1298" t="s">
        <v>1321</v>
      </c>
      <c r="E337" s="1351">
        <f>SUM(E325:E334)</f>
        <v>47225170</v>
      </c>
      <c r="F337" s="1351">
        <f>SUM(F325:F334)</f>
        <v>0</v>
      </c>
      <c r="G337" s="1351">
        <f>SUM(G325:G334)</f>
        <v>191818</v>
      </c>
      <c r="H337" s="1351">
        <f>SUM(H325:H334)</f>
        <v>0</v>
      </c>
      <c r="I337" s="1350"/>
      <c r="J337" s="1350"/>
      <c r="K337" s="1351">
        <f>SUM(K325:K334)</f>
        <v>47033352</v>
      </c>
      <c r="L337" s="1351">
        <f>SUM(L325:L334)</f>
        <v>47033910</v>
      </c>
      <c r="M337" s="1350"/>
      <c r="N337" s="1345"/>
      <c r="O337" s="1345"/>
      <c r="P337" s="1345"/>
      <c r="Q337" s="1345"/>
      <c r="R337" s="1345"/>
      <c r="S337" s="1345"/>
      <c r="T337" s="1345"/>
      <c r="U337" s="1345"/>
    </row>
    <row r="338" spans="1:21">
      <c r="A338" s="1345"/>
      <c r="B338" s="1345"/>
      <c r="C338" s="1345"/>
      <c r="D338" s="1345"/>
      <c r="E338" s="1345"/>
      <c r="F338" s="1345"/>
      <c r="G338" s="1345"/>
      <c r="H338" s="1345"/>
      <c r="I338" s="1345"/>
      <c r="J338" s="1345"/>
      <c r="K338" s="1349"/>
      <c r="L338" s="1349"/>
      <c r="M338" s="1350"/>
      <c r="N338" s="1345"/>
      <c r="O338" s="1345"/>
      <c r="P338" s="1345"/>
      <c r="Q338" s="1345"/>
      <c r="R338" s="1345"/>
      <c r="S338" s="1345"/>
      <c r="T338" s="1345"/>
      <c r="U338" s="1345"/>
    </row>
    <row r="339" spans="1:21">
      <c r="A339" s="599"/>
      <c r="B339" s="599"/>
      <c r="C339" s="599"/>
      <c r="D339" s="599"/>
      <c r="E339" s="601"/>
      <c r="F339" s="601"/>
      <c r="G339" s="601"/>
      <c r="H339" s="601"/>
      <c r="I339" s="610"/>
      <c r="J339" s="610"/>
      <c r="K339" s="601"/>
      <c r="L339" s="601"/>
      <c r="M339" s="1350"/>
      <c r="N339" s="1345"/>
      <c r="O339" s="1345"/>
      <c r="P339" s="1345"/>
      <c r="Q339" s="1345"/>
      <c r="R339" s="1345"/>
      <c r="S339" s="1345"/>
      <c r="T339" s="1345"/>
      <c r="U339" s="1345"/>
    </row>
    <row r="340" spans="1:21">
      <c r="A340" s="1348">
        <f>A337+1</f>
        <v>12</v>
      </c>
      <c r="B340" s="1345"/>
      <c r="C340" s="2134">
        <f>CommonG</f>
        <v>0.27379999999999999</v>
      </c>
      <c r="D340" s="1298" t="s">
        <v>1322</v>
      </c>
      <c r="E340" s="1351">
        <f>E337*$C$167</f>
        <v>12930251.546</v>
      </c>
      <c r="F340" s="1351">
        <f>(F337*$C$167)</f>
        <v>0</v>
      </c>
      <c r="G340" s="1351">
        <f>G337*$C$167+1</f>
        <v>52520.768400000001</v>
      </c>
      <c r="H340" s="1351">
        <f>H337*$C$167</f>
        <v>0</v>
      </c>
      <c r="I340" s="1350"/>
      <c r="J340" s="1350"/>
      <c r="K340" s="1351">
        <f>E340+F340-G340+H340</f>
        <v>12877730.7776</v>
      </c>
      <c r="L340" s="1351">
        <f>ROUND(L337*$C$167,0)</f>
        <v>12877885</v>
      </c>
      <c r="M340" s="1350"/>
      <c r="N340" s="1345"/>
      <c r="O340" s="1345"/>
      <c r="P340" s="1345"/>
      <c r="Q340" s="1345"/>
      <c r="R340" s="1345"/>
      <c r="S340" s="1345"/>
      <c r="T340" s="1345"/>
      <c r="U340" s="1345"/>
    </row>
    <row r="341" spans="1:21">
      <c r="A341" s="1345"/>
      <c r="B341" s="1345"/>
      <c r="C341" s="1345"/>
      <c r="D341" s="1345"/>
      <c r="E341" s="1345"/>
      <c r="F341" s="1345"/>
      <c r="G341" s="1345"/>
      <c r="H341" s="1345"/>
      <c r="I341" s="1345"/>
      <c r="J341" s="1345"/>
      <c r="K341" s="1349"/>
      <c r="L341" s="1349"/>
      <c r="M341" s="1350"/>
      <c r="N341" s="1345"/>
      <c r="O341" s="1345"/>
      <c r="P341" s="1345"/>
      <c r="Q341" s="1345"/>
      <c r="R341" s="1345"/>
      <c r="S341" s="1345"/>
      <c r="T341" s="1345"/>
      <c r="U341" s="1345"/>
    </row>
    <row r="342" spans="1:21">
      <c r="A342" s="599"/>
      <c r="B342" s="599"/>
      <c r="C342" s="599"/>
      <c r="D342" s="599"/>
      <c r="E342" s="601"/>
      <c r="F342" s="601"/>
      <c r="G342" s="601"/>
      <c r="H342" s="601"/>
      <c r="I342" s="610"/>
      <c r="J342" s="610"/>
      <c r="K342" s="601"/>
      <c r="L342" s="601"/>
      <c r="M342" s="1350"/>
      <c r="N342" s="1345"/>
      <c r="O342" s="1345"/>
      <c r="P342" s="1345"/>
      <c r="Q342" s="1345"/>
      <c r="R342" s="1345"/>
      <c r="S342" s="1345"/>
      <c r="T342" s="1345"/>
      <c r="U342" s="1345"/>
    </row>
    <row r="343" spans="1:21">
      <c r="A343" s="1348">
        <f>A340+1</f>
        <v>13</v>
      </c>
      <c r="B343" s="1345"/>
      <c r="C343" s="1345"/>
      <c r="D343" s="1298" t="s">
        <v>1323</v>
      </c>
      <c r="E343" s="1351">
        <f>E340+E299</f>
        <v>590575823.546</v>
      </c>
      <c r="F343" s="1351">
        <f>F340+F299</f>
        <v>26600002</v>
      </c>
      <c r="G343" s="1351">
        <f>G340+G299</f>
        <v>3190755.7683999999</v>
      </c>
      <c r="H343" s="1351">
        <f>H340+H299</f>
        <v>0</v>
      </c>
      <c r="I343" s="1350"/>
      <c r="J343" s="1350"/>
      <c r="K343" s="1351">
        <f>K340+K299</f>
        <v>613985069.77760005</v>
      </c>
      <c r="L343" s="1351">
        <f>L340+L299</f>
        <v>600958381</v>
      </c>
      <c r="M343" s="1350"/>
      <c r="N343" s="1345"/>
      <c r="O343" s="1345"/>
      <c r="P343" s="1345"/>
      <c r="Q343" s="1345"/>
      <c r="R343" s="1345"/>
      <c r="S343" s="1345"/>
      <c r="T343" s="1345"/>
      <c r="U343" s="1345"/>
    </row>
    <row r="344" spans="1:21">
      <c r="A344" s="1345"/>
      <c r="B344" s="1345"/>
      <c r="C344" s="1345"/>
      <c r="D344" s="1345"/>
      <c r="E344" s="1345"/>
      <c r="F344" s="1345"/>
      <c r="G344" s="1345"/>
      <c r="H344" s="1345"/>
      <c r="I344" s="1345"/>
      <c r="J344" s="1345"/>
      <c r="K344" s="1345"/>
      <c r="L344" s="1347"/>
      <c r="M344" s="1350"/>
      <c r="N344" s="1345"/>
      <c r="O344" s="1345"/>
      <c r="P344" s="1345"/>
      <c r="Q344" s="1345"/>
      <c r="R344" s="1345"/>
      <c r="S344" s="1345"/>
      <c r="T344" s="1345"/>
      <c r="U344" s="1345"/>
    </row>
    <row r="345" spans="1:21">
      <c r="A345" s="599"/>
      <c r="B345" s="599"/>
      <c r="C345" s="599"/>
      <c r="D345" s="599"/>
      <c r="E345" s="601"/>
      <c r="F345" s="601"/>
      <c r="G345" s="601"/>
      <c r="H345" s="601"/>
      <c r="I345" s="610"/>
      <c r="J345" s="610"/>
      <c r="K345" s="601"/>
      <c r="L345" s="1345"/>
      <c r="M345" s="1350"/>
      <c r="N345" s="1345"/>
      <c r="O345" s="1345"/>
      <c r="P345" s="1345"/>
      <c r="Q345" s="1345"/>
      <c r="R345" s="1345"/>
      <c r="S345" s="1345"/>
      <c r="T345" s="1345"/>
      <c r="U345" s="1345"/>
    </row>
    <row r="346" spans="1:21">
      <c r="A346" s="1298"/>
      <c r="B346" s="1345"/>
      <c r="C346" s="1345"/>
      <c r="D346" s="1345"/>
      <c r="E346" s="1351"/>
      <c r="F346" s="1351"/>
      <c r="G346" s="1351"/>
      <c r="H346" s="1351"/>
      <c r="I346" s="1350"/>
      <c r="J346" s="1350"/>
      <c r="K346" s="1351"/>
      <c r="L346" s="1345"/>
      <c r="M346" s="1350"/>
      <c r="N346" s="1345"/>
      <c r="O346" s="1345"/>
      <c r="P346" s="1345"/>
      <c r="Q346" s="1345"/>
      <c r="R346" s="1345"/>
      <c r="S346" s="1345"/>
      <c r="T346" s="1345"/>
      <c r="U346" s="1345"/>
    </row>
    <row r="347" spans="1:21">
      <c r="A347" s="1298"/>
      <c r="B347" s="1345"/>
      <c r="C347" s="1345"/>
      <c r="D347" s="1345"/>
      <c r="E347" s="1351"/>
      <c r="F347" s="1351"/>
      <c r="G347" s="1351"/>
      <c r="H347" s="1351"/>
      <c r="I347" s="1350"/>
      <c r="J347" s="1350"/>
      <c r="K347" s="1351"/>
      <c r="L347" s="1345"/>
      <c r="M347" s="1350"/>
      <c r="N347" s="1345"/>
      <c r="O347" s="1345"/>
      <c r="P347" s="1345"/>
      <c r="Q347" s="1345"/>
      <c r="R347" s="1345"/>
      <c r="S347" s="1345"/>
      <c r="T347" s="1345"/>
      <c r="U347" s="1345"/>
    </row>
    <row r="348" spans="1:21">
      <c r="A348" s="1345"/>
      <c r="B348" s="1345"/>
      <c r="C348" s="1345"/>
      <c r="D348" s="1345"/>
      <c r="E348" s="1345"/>
      <c r="F348" s="1345"/>
      <c r="G348" s="1345"/>
      <c r="H348" s="1345"/>
      <c r="I348" s="1345"/>
      <c r="J348" s="1345"/>
      <c r="K348" s="1345"/>
      <c r="L348" s="1345"/>
      <c r="M348" s="1350"/>
      <c r="N348" s="1345"/>
      <c r="O348" s="1345"/>
      <c r="P348" s="1345"/>
      <c r="Q348" s="1345"/>
      <c r="R348" s="1345"/>
      <c r="S348" s="1345"/>
      <c r="T348" s="1345"/>
      <c r="U348" s="1345"/>
    </row>
    <row r="349" spans="1:21">
      <c r="A349" s="1345"/>
      <c r="B349" s="1345"/>
      <c r="C349" s="1345"/>
      <c r="D349" s="1345"/>
      <c r="E349" s="1345"/>
      <c r="F349" s="1345"/>
      <c r="G349" s="1345"/>
      <c r="H349" s="1345"/>
      <c r="I349" s="1345"/>
      <c r="J349" s="1345"/>
      <c r="K349" s="1345"/>
      <c r="L349" s="1345"/>
      <c r="M349" s="1345"/>
      <c r="N349" s="1345"/>
      <c r="O349" s="1345"/>
      <c r="P349" s="1345"/>
      <c r="Q349" s="1345"/>
      <c r="R349" s="1345"/>
      <c r="S349" s="1345"/>
      <c r="T349" s="1345"/>
      <c r="U349" s="1345"/>
    </row>
    <row r="350" spans="1:21">
      <c r="A350" s="1345"/>
      <c r="B350" s="1345"/>
      <c r="C350" s="1345"/>
      <c r="D350" s="1345"/>
      <c r="E350" s="1345"/>
      <c r="F350" s="1345"/>
      <c r="G350" s="1345"/>
      <c r="H350" s="1345"/>
      <c r="I350" s="1345"/>
      <c r="J350" s="1345"/>
      <c r="K350" s="1345"/>
      <c r="L350" s="1345"/>
      <c r="M350" s="1350"/>
      <c r="N350" s="1345"/>
      <c r="O350" s="1345"/>
      <c r="P350" s="1345"/>
      <c r="Q350" s="1345"/>
      <c r="R350" s="1345"/>
      <c r="S350" s="1345"/>
      <c r="T350" s="1345"/>
      <c r="U350" s="1345"/>
    </row>
    <row r="351" spans="1:21">
      <c r="A351" s="1345"/>
      <c r="B351" s="1345"/>
      <c r="C351" s="1345"/>
      <c r="D351" s="1345"/>
      <c r="E351" s="1345"/>
      <c r="F351" s="1345"/>
      <c r="G351" s="1345"/>
      <c r="H351" s="1345"/>
      <c r="I351" s="1345"/>
      <c r="J351" s="1345"/>
      <c r="K351" s="1345"/>
      <c r="L351" s="1345"/>
      <c r="M351" s="1350"/>
      <c r="N351" s="1345"/>
      <c r="O351" s="1345"/>
      <c r="P351" s="1345"/>
      <c r="Q351" s="1345"/>
      <c r="R351" s="1345"/>
      <c r="S351" s="1345"/>
      <c r="T351" s="1345"/>
      <c r="U351" s="1345"/>
    </row>
    <row r="352" spans="1:21">
      <c r="A352" s="1345"/>
      <c r="B352" s="1345"/>
      <c r="C352" s="1345"/>
      <c r="D352" s="1345"/>
      <c r="E352" s="1345"/>
      <c r="F352" s="1345"/>
      <c r="G352" s="1345"/>
      <c r="H352" s="1345"/>
      <c r="I352" s="1345"/>
      <c r="J352" s="1345"/>
      <c r="K352" s="1345"/>
      <c r="L352" s="1345"/>
      <c r="M352" s="1350"/>
      <c r="N352" s="1345"/>
      <c r="O352" s="1345"/>
      <c r="P352" s="1345"/>
      <c r="Q352" s="1345"/>
      <c r="R352" s="1345"/>
      <c r="S352" s="1345"/>
      <c r="T352" s="1345"/>
      <c r="U352" s="1345"/>
    </row>
    <row r="353" spans="1:21">
      <c r="A353" s="1345"/>
      <c r="B353" s="1345"/>
      <c r="C353" s="1345"/>
      <c r="D353" s="1345"/>
      <c r="E353" s="1345"/>
      <c r="F353" s="1345"/>
      <c r="G353" s="1345"/>
      <c r="H353" s="1345"/>
      <c r="I353" s="1345"/>
      <c r="J353" s="1345"/>
      <c r="K353" s="1345"/>
      <c r="L353" s="1345"/>
      <c r="M353" s="1350"/>
      <c r="N353" s="1345"/>
      <c r="O353" s="1345"/>
      <c r="P353" s="1345"/>
      <c r="Q353" s="1345"/>
      <c r="R353" s="1345"/>
      <c r="S353" s="1345"/>
      <c r="T353" s="1345"/>
      <c r="U353" s="1345"/>
    </row>
    <row r="354" spans="1:21">
      <c r="A354" s="1345"/>
      <c r="B354" s="1345"/>
      <c r="C354" s="1345"/>
      <c r="D354" s="1345"/>
      <c r="E354" s="1345"/>
      <c r="F354" s="1345"/>
      <c r="G354" s="1345"/>
      <c r="H354" s="1345"/>
      <c r="I354" s="1345"/>
      <c r="J354" s="1345"/>
      <c r="K354" s="1345"/>
      <c r="L354" s="1345"/>
      <c r="M354" s="1350"/>
      <c r="N354" s="1345"/>
      <c r="O354" s="1345"/>
      <c r="P354" s="1345"/>
      <c r="Q354" s="1345"/>
      <c r="R354" s="1345"/>
      <c r="S354" s="1345"/>
      <c r="T354" s="1345"/>
      <c r="U354" s="1345"/>
    </row>
    <row r="355" spans="1:21">
      <c r="A355" s="1345"/>
      <c r="B355" s="1345"/>
      <c r="C355" s="1345"/>
      <c r="D355" s="1345"/>
      <c r="E355" s="1345"/>
      <c r="F355" s="1345"/>
      <c r="G355" s="1345"/>
      <c r="H355" s="1345"/>
      <c r="I355" s="1345"/>
      <c r="J355" s="1345"/>
      <c r="K355" s="1345"/>
      <c r="L355" s="1345"/>
      <c r="M355" s="1345"/>
      <c r="N355" s="1345"/>
      <c r="O355" s="1345"/>
      <c r="P355" s="1345"/>
      <c r="Q355" s="1345"/>
      <c r="R355" s="1345"/>
      <c r="S355" s="1345"/>
      <c r="T355" s="1345"/>
      <c r="U355" s="1345"/>
    </row>
    <row r="356" spans="1:21">
      <c r="A356" s="1345"/>
      <c r="B356" s="1345"/>
      <c r="C356" s="1345"/>
      <c r="D356" s="1345"/>
      <c r="E356" s="1345"/>
      <c r="F356" s="1345"/>
      <c r="G356" s="1345"/>
      <c r="H356" s="1345"/>
      <c r="I356" s="1345"/>
      <c r="J356" s="1345"/>
      <c r="K356" s="1345"/>
      <c r="L356" s="1345"/>
      <c r="M356" s="1350"/>
      <c r="N356" s="1345"/>
      <c r="O356" s="1345"/>
      <c r="P356" s="1345"/>
      <c r="Q356" s="1345"/>
      <c r="R356" s="1345"/>
      <c r="S356" s="1345"/>
      <c r="T356" s="1345"/>
      <c r="U356" s="1345"/>
    </row>
    <row r="357" spans="1:21">
      <c r="A357" s="1345"/>
      <c r="B357" s="1345"/>
      <c r="C357" s="1345"/>
      <c r="D357" s="1345"/>
      <c r="E357" s="1345"/>
      <c r="F357" s="1345"/>
      <c r="G357" s="1345"/>
      <c r="H357" s="1345"/>
      <c r="I357" s="1345"/>
      <c r="J357" s="1345"/>
      <c r="K357" s="1345"/>
      <c r="L357" s="1345"/>
      <c r="M357" s="1350"/>
      <c r="N357" s="1345"/>
      <c r="O357" s="1345"/>
      <c r="P357" s="1345"/>
      <c r="Q357" s="1345"/>
      <c r="R357" s="1345"/>
      <c r="S357" s="1345"/>
      <c r="T357" s="1345"/>
      <c r="U357" s="1345"/>
    </row>
    <row r="358" spans="1:21">
      <c r="A358" s="1345"/>
      <c r="B358" s="1345"/>
      <c r="C358" s="1345"/>
      <c r="D358" s="1345"/>
      <c r="E358" s="1345"/>
      <c r="F358" s="1345"/>
      <c r="G358" s="1345"/>
      <c r="H358" s="1345"/>
      <c r="I358" s="1345"/>
      <c r="J358" s="1345"/>
      <c r="K358" s="1345"/>
      <c r="L358" s="1345"/>
      <c r="M358" s="1350"/>
      <c r="N358" s="1345"/>
      <c r="O358" s="1345"/>
      <c r="P358" s="1345"/>
      <c r="Q358" s="1345"/>
      <c r="R358" s="1345"/>
      <c r="S358" s="1345"/>
      <c r="T358" s="1345"/>
      <c r="U358" s="1345"/>
    </row>
    <row r="359" spans="1:21">
      <c r="A359" s="1345"/>
      <c r="B359" s="1345"/>
      <c r="C359" s="1345"/>
      <c r="D359" s="1345"/>
      <c r="E359" s="1345"/>
      <c r="F359" s="1345"/>
      <c r="G359" s="1345"/>
      <c r="H359" s="1345"/>
      <c r="I359" s="1345"/>
      <c r="J359" s="1345"/>
      <c r="K359" s="1345"/>
      <c r="L359" s="1345"/>
      <c r="M359" s="1350"/>
      <c r="N359" s="1345"/>
      <c r="O359" s="1345"/>
      <c r="P359" s="1345"/>
      <c r="Q359" s="1345"/>
      <c r="R359" s="1345"/>
      <c r="S359" s="1345"/>
      <c r="T359" s="1345"/>
      <c r="U359" s="1345"/>
    </row>
    <row r="360" spans="1:21">
      <c r="A360" s="1345"/>
      <c r="B360" s="1345"/>
      <c r="C360" s="1345"/>
      <c r="D360" s="1345"/>
      <c r="E360" s="1345"/>
      <c r="F360" s="1345"/>
      <c r="G360" s="1345"/>
      <c r="H360" s="1345"/>
      <c r="I360" s="1345"/>
      <c r="J360" s="1345"/>
      <c r="K360" s="1345"/>
      <c r="L360" s="1345"/>
      <c r="M360" s="1350"/>
      <c r="N360" s="1345"/>
      <c r="O360" s="1345"/>
      <c r="P360" s="1345"/>
      <c r="Q360" s="1345"/>
      <c r="R360" s="1345"/>
      <c r="S360" s="1345"/>
      <c r="T360" s="1345"/>
      <c r="U360" s="1345"/>
    </row>
    <row r="361" spans="1:21">
      <c r="A361" s="1345"/>
      <c r="B361" s="1345"/>
      <c r="C361" s="1345"/>
      <c r="D361" s="1345"/>
      <c r="E361" s="1345"/>
      <c r="F361" s="1345"/>
      <c r="G361" s="1345"/>
      <c r="H361" s="1345"/>
      <c r="I361" s="1345"/>
      <c r="J361" s="1345"/>
      <c r="K361" s="1345"/>
      <c r="L361" s="1345"/>
      <c r="M361" s="1350"/>
      <c r="N361" s="1345"/>
      <c r="O361" s="1345"/>
      <c r="P361" s="1345"/>
      <c r="Q361" s="1345"/>
      <c r="R361" s="1345"/>
      <c r="S361" s="1345"/>
      <c r="T361" s="1345"/>
      <c r="U361" s="1345"/>
    </row>
    <row r="362" spans="1:21">
      <c r="A362" s="1345"/>
      <c r="B362" s="1345"/>
      <c r="C362" s="1345"/>
      <c r="D362" s="1345"/>
      <c r="E362" s="1345"/>
      <c r="F362" s="1345"/>
      <c r="G362" s="1345"/>
      <c r="H362" s="1345"/>
      <c r="I362" s="1345"/>
      <c r="J362" s="1345"/>
      <c r="K362" s="1345"/>
      <c r="L362" s="1345"/>
      <c r="M362" s="1350"/>
      <c r="N362" s="1345"/>
      <c r="O362" s="1345"/>
      <c r="P362" s="1345"/>
      <c r="Q362" s="1345"/>
      <c r="R362" s="1345"/>
      <c r="S362" s="1345"/>
      <c r="T362" s="1345"/>
      <c r="U362" s="1345"/>
    </row>
    <row r="363" spans="1:21">
      <c r="A363" s="1345"/>
      <c r="B363" s="1345"/>
      <c r="C363" s="1345"/>
      <c r="D363" s="1345"/>
      <c r="E363" s="1345"/>
      <c r="F363" s="1345"/>
      <c r="G363" s="1345"/>
      <c r="H363" s="1345"/>
      <c r="I363" s="1345"/>
      <c r="J363" s="1345"/>
      <c r="K363" s="1345"/>
      <c r="L363" s="1345"/>
      <c r="M363" s="1350"/>
      <c r="N363" s="1345"/>
      <c r="O363" s="1345"/>
      <c r="P363" s="1345"/>
      <c r="Q363" s="1345"/>
      <c r="R363" s="1345"/>
      <c r="S363" s="1345"/>
      <c r="T363" s="1345"/>
      <c r="U363" s="1345"/>
    </row>
    <row r="364" spans="1:21">
      <c r="A364" s="1345"/>
      <c r="B364" s="1345"/>
      <c r="C364" s="1345"/>
      <c r="D364" s="1345"/>
      <c r="E364" s="1345"/>
      <c r="F364" s="1345"/>
      <c r="G364" s="1345"/>
      <c r="H364" s="1345"/>
      <c r="I364" s="1345"/>
      <c r="J364" s="1345"/>
      <c r="K364" s="1345"/>
      <c r="L364" s="1345"/>
      <c r="M364" s="1350"/>
      <c r="N364" s="1345"/>
      <c r="O364" s="1345"/>
      <c r="P364" s="1345"/>
      <c r="Q364" s="1345"/>
      <c r="R364" s="1345"/>
      <c r="S364" s="1345"/>
      <c r="T364" s="1345"/>
      <c r="U364" s="1345"/>
    </row>
    <row r="365" spans="1:21">
      <c r="A365" s="1345"/>
      <c r="B365" s="1345"/>
      <c r="C365" s="1345"/>
      <c r="D365" s="1345"/>
      <c r="E365" s="1345"/>
      <c r="F365" s="1345"/>
      <c r="G365" s="1345"/>
      <c r="H365" s="1345"/>
      <c r="I365" s="1345"/>
      <c r="J365" s="1345"/>
      <c r="K365" s="1345"/>
      <c r="L365" s="1345"/>
      <c r="M365" s="1345"/>
      <c r="N365" s="1345"/>
      <c r="O365" s="1345"/>
      <c r="P365" s="1345"/>
      <c r="Q365" s="1345"/>
      <c r="R365" s="1345"/>
      <c r="S365" s="1345"/>
      <c r="T365" s="1345"/>
      <c r="U365" s="1345"/>
    </row>
    <row r="366" spans="1:21">
      <c r="A366" s="1345"/>
      <c r="B366" s="1345"/>
      <c r="C366" s="1345"/>
      <c r="D366" s="1345"/>
      <c r="E366" s="1345"/>
      <c r="F366" s="1345"/>
      <c r="G366" s="1345"/>
      <c r="H366" s="1345"/>
      <c r="I366" s="1345"/>
      <c r="J366" s="1345"/>
      <c r="K366" s="1345"/>
      <c r="L366" s="1345"/>
      <c r="M366" s="1345"/>
      <c r="N366" s="1345"/>
      <c r="O366" s="1345"/>
      <c r="P366" s="1345"/>
      <c r="Q366" s="1345"/>
      <c r="R366" s="1345"/>
      <c r="S366" s="1345"/>
      <c r="T366" s="1345"/>
      <c r="U366" s="1345"/>
    </row>
    <row r="367" spans="1:21">
      <c r="A367" s="1345"/>
      <c r="B367" s="1345"/>
      <c r="C367" s="1345"/>
      <c r="D367" s="1345"/>
      <c r="E367" s="1345"/>
      <c r="F367" s="1345"/>
      <c r="G367" s="1345"/>
      <c r="H367" s="1345"/>
      <c r="I367" s="1345"/>
      <c r="J367" s="1345"/>
      <c r="K367" s="1345"/>
      <c r="L367" s="1345"/>
      <c r="M367" s="1345"/>
      <c r="N367" s="1345"/>
      <c r="O367" s="1345"/>
      <c r="P367" s="1345"/>
      <c r="Q367" s="1345"/>
      <c r="R367" s="1345"/>
      <c r="S367" s="1345"/>
      <c r="T367" s="1345"/>
      <c r="U367" s="1345"/>
    </row>
    <row r="368" spans="1:21">
      <c r="A368" s="1345"/>
      <c r="B368" s="1345"/>
      <c r="C368" s="1345"/>
      <c r="D368" s="1345"/>
      <c r="E368" s="1345"/>
      <c r="F368" s="1345"/>
      <c r="G368" s="1345"/>
      <c r="H368" s="1345"/>
      <c r="I368" s="1345"/>
      <c r="J368" s="1345"/>
      <c r="K368" s="1345"/>
      <c r="L368" s="1345"/>
      <c r="M368" s="1345"/>
      <c r="N368" s="1345"/>
      <c r="O368" s="1345"/>
      <c r="P368" s="1345"/>
      <c r="Q368" s="1345"/>
      <c r="R368" s="1345"/>
      <c r="S368" s="1345"/>
      <c r="T368" s="1345"/>
      <c r="U368" s="1345"/>
    </row>
    <row r="369" spans="1:21">
      <c r="A369" s="1345"/>
      <c r="B369" s="1345"/>
      <c r="C369" s="1345"/>
      <c r="D369" s="1345"/>
      <c r="E369" s="1345"/>
      <c r="F369" s="1345"/>
      <c r="G369" s="1345"/>
      <c r="H369" s="1345"/>
      <c r="I369" s="1345"/>
      <c r="J369" s="1345"/>
      <c r="K369" s="1345"/>
      <c r="L369" s="1345"/>
      <c r="M369" s="1350"/>
      <c r="N369" s="1345"/>
      <c r="O369" s="1345"/>
      <c r="P369" s="1345"/>
      <c r="Q369" s="1345"/>
      <c r="R369" s="1345"/>
      <c r="S369" s="1345"/>
      <c r="T369" s="1345"/>
      <c r="U369" s="1345"/>
    </row>
    <row r="370" spans="1:21">
      <c r="A370" s="1345"/>
      <c r="B370" s="1345"/>
      <c r="C370" s="1345"/>
      <c r="D370" s="1345"/>
      <c r="E370" s="1345"/>
      <c r="F370" s="1345"/>
      <c r="G370" s="1345"/>
      <c r="H370" s="1345"/>
      <c r="I370" s="1345"/>
      <c r="J370" s="1345"/>
      <c r="K370" s="1345"/>
      <c r="L370" s="1345"/>
      <c r="M370" s="1350"/>
      <c r="N370" s="1345"/>
      <c r="O370" s="1345"/>
      <c r="P370" s="1345"/>
      <c r="Q370" s="1345"/>
      <c r="R370" s="1345"/>
      <c r="S370" s="1345"/>
      <c r="T370" s="1345"/>
      <c r="U370" s="1345"/>
    </row>
    <row r="371" spans="1:21">
      <c r="A371" s="1345"/>
      <c r="B371" s="1345"/>
      <c r="C371" s="1345"/>
      <c r="D371" s="1345"/>
      <c r="E371" s="1345"/>
      <c r="F371" s="1345"/>
      <c r="G371" s="1345"/>
      <c r="H371" s="1345"/>
      <c r="I371" s="1345"/>
      <c r="J371" s="1345"/>
      <c r="K371" s="1345"/>
      <c r="L371" s="1345"/>
      <c r="M371" s="1350"/>
      <c r="N371" s="1345"/>
      <c r="O371" s="1345"/>
      <c r="P371" s="1345"/>
      <c r="Q371" s="1345"/>
      <c r="R371" s="1345"/>
      <c r="S371" s="1345"/>
      <c r="T371" s="1345"/>
      <c r="U371" s="1345"/>
    </row>
    <row r="372" spans="1:21">
      <c r="A372" s="1345"/>
      <c r="B372" s="1345"/>
      <c r="C372" s="1345"/>
      <c r="D372" s="1345"/>
      <c r="E372" s="1345"/>
      <c r="F372" s="1345"/>
      <c r="G372" s="1345"/>
      <c r="H372" s="1345"/>
      <c r="I372" s="1345"/>
      <c r="J372" s="1345"/>
      <c r="K372" s="1345"/>
      <c r="L372" s="1345"/>
      <c r="M372" s="1350"/>
      <c r="N372" s="1345"/>
      <c r="O372" s="1345"/>
      <c r="P372" s="1345"/>
      <c r="Q372" s="1345"/>
      <c r="R372" s="1345"/>
      <c r="S372" s="1345"/>
      <c r="T372" s="1345"/>
      <c r="U372" s="1345"/>
    </row>
    <row r="373" spans="1:21">
      <c r="A373" s="1345"/>
      <c r="B373" s="1345"/>
      <c r="C373" s="1345"/>
      <c r="D373" s="1345"/>
      <c r="E373" s="1345"/>
      <c r="F373" s="1345"/>
      <c r="G373" s="1345"/>
      <c r="H373" s="1345"/>
      <c r="I373" s="1345"/>
      <c r="J373" s="1345"/>
      <c r="K373" s="1345"/>
      <c r="L373" s="1345"/>
      <c r="M373" s="1345"/>
      <c r="N373" s="1345"/>
      <c r="O373" s="1345"/>
      <c r="P373" s="1345"/>
      <c r="Q373" s="1345"/>
      <c r="R373" s="1345"/>
      <c r="S373" s="1345"/>
      <c r="T373" s="1345"/>
      <c r="U373" s="1345"/>
    </row>
    <row r="374" spans="1:21">
      <c r="A374" s="1345"/>
      <c r="B374" s="1345"/>
      <c r="C374" s="1345"/>
      <c r="D374" s="1345"/>
      <c r="E374" s="1345"/>
      <c r="F374" s="1345"/>
      <c r="G374" s="1345"/>
      <c r="H374" s="1345"/>
      <c r="I374" s="1345"/>
      <c r="J374" s="1345"/>
      <c r="K374" s="1345"/>
      <c r="L374" s="1345"/>
      <c r="M374" s="1350"/>
      <c r="N374" s="1345"/>
      <c r="O374" s="1345"/>
      <c r="P374" s="1345"/>
      <c r="Q374" s="1345"/>
      <c r="R374" s="1345"/>
      <c r="S374" s="1345"/>
      <c r="T374" s="1345"/>
      <c r="U374" s="1345"/>
    </row>
    <row r="375" spans="1:21">
      <c r="A375" s="1345"/>
      <c r="B375" s="1345"/>
      <c r="C375" s="1345"/>
      <c r="D375" s="1345"/>
      <c r="E375" s="1345"/>
      <c r="F375" s="1345"/>
      <c r="G375" s="1345"/>
      <c r="H375" s="1345"/>
      <c r="I375" s="1345"/>
      <c r="J375" s="1345"/>
      <c r="K375" s="1345"/>
      <c r="L375" s="1345"/>
      <c r="M375" s="1350"/>
      <c r="N375" s="1345"/>
      <c r="O375" s="1345"/>
      <c r="P375" s="1345"/>
      <c r="Q375" s="1345"/>
      <c r="R375" s="1345"/>
      <c r="S375" s="1345"/>
      <c r="T375" s="1345"/>
      <c r="U375" s="1345"/>
    </row>
    <row r="376" spans="1:21">
      <c r="A376" s="1345"/>
      <c r="B376" s="1345"/>
      <c r="C376" s="1345"/>
      <c r="D376" s="1345"/>
      <c r="E376" s="1345"/>
      <c r="F376" s="1345"/>
      <c r="G376" s="1345"/>
      <c r="H376" s="1345"/>
      <c r="I376" s="1345"/>
      <c r="J376" s="1345"/>
      <c r="K376" s="1345"/>
      <c r="L376" s="1345"/>
      <c r="M376" s="1350"/>
      <c r="N376" s="1345"/>
      <c r="O376" s="1345"/>
      <c r="P376" s="1345"/>
      <c r="Q376" s="1345"/>
      <c r="R376" s="1345"/>
      <c r="S376" s="1345"/>
      <c r="T376" s="1345"/>
      <c r="U376" s="1345"/>
    </row>
    <row r="377" spans="1:21">
      <c r="A377" s="1345"/>
      <c r="B377" s="1345"/>
      <c r="C377" s="1345"/>
      <c r="D377" s="1345"/>
      <c r="E377" s="1345"/>
      <c r="F377" s="1345"/>
      <c r="G377" s="1345"/>
      <c r="H377" s="1345"/>
      <c r="I377" s="1345"/>
      <c r="J377" s="1345"/>
      <c r="K377" s="1345"/>
      <c r="L377" s="1345"/>
      <c r="M377" s="1350"/>
      <c r="N377" s="1345"/>
      <c r="O377" s="1345"/>
      <c r="P377" s="1345"/>
      <c r="Q377" s="1345"/>
      <c r="R377" s="1345"/>
      <c r="S377" s="1345"/>
      <c r="T377" s="1345"/>
      <c r="U377" s="1345"/>
    </row>
    <row r="378" spans="1:21">
      <c r="A378" s="1345"/>
      <c r="B378" s="1345"/>
      <c r="C378" s="1345"/>
      <c r="D378" s="1345"/>
      <c r="E378" s="1345"/>
      <c r="F378" s="1345"/>
      <c r="G378" s="1345"/>
      <c r="H378" s="1345"/>
      <c r="I378" s="1345"/>
      <c r="J378" s="1345"/>
      <c r="K378" s="1345"/>
      <c r="L378" s="1345"/>
      <c r="M378" s="1350"/>
      <c r="N378" s="1345"/>
      <c r="O378" s="1345"/>
      <c r="P378" s="1345"/>
      <c r="Q378" s="1345"/>
      <c r="R378" s="1345"/>
      <c r="S378" s="1345"/>
      <c r="T378" s="1345"/>
      <c r="U378" s="1345"/>
    </row>
    <row r="379" spans="1:21">
      <c r="A379" s="1345"/>
      <c r="B379" s="1345"/>
      <c r="C379" s="1345"/>
      <c r="D379" s="1345"/>
      <c r="E379" s="1345"/>
      <c r="F379" s="1345"/>
      <c r="G379" s="1345"/>
      <c r="H379" s="1345"/>
      <c r="I379" s="1345"/>
      <c r="J379" s="1345"/>
      <c r="K379" s="1345"/>
      <c r="L379" s="1345"/>
      <c r="M379" s="1350"/>
      <c r="N379" s="1345"/>
      <c r="O379" s="1345"/>
      <c r="P379" s="1345"/>
      <c r="Q379" s="1345"/>
      <c r="R379" s="1345"/>
      <c r="S379" s="1345"/>
      <c r="T379" s="1345"/>
      <c r="U379" s="1345"/>
    </row>
    <row r="380" spans="1:21">
      <c r="A380" s="1345"/>
      <c r="B380" s="1345"/>
      <c r="C380" s="1345"/>
      <c r="D380" s="1345"/>
      <c r="E380" s="1345"/>
      <c r="F380" s="1345"/>
      <c r="G380" s="1345"/>
      <c r="H380" s="1345"/>
      <c r="I380" s="1345"/>
      <c r="J380" s="1345"/>
      <c r="K380" s="1345"/>
      <c r="L380" s="1345"/>
      <c r="M380" s="1350"/>
      <c r="N380" s="1345"/>
      <c r="O380" s="1345"/>
      <c r="P380" s="1345"/>
      <c r="Q380" s="1345"/>
      <c r="R380" s="1345"/>
      <c r="S380" s="1345"/>
      <c r="T380" s="1345"/>
      <c r="U380" s="1345"/>
    </row>
    <row r="381" spans="1:21">
      <c r="A381" s="1345"/>
      <c r="B381" s="1345"/>
      <c r="C381" s="1345"/>
      <c r="D381" s="1345"/>
      <c r="E381" s="1345"/>
      <c r="F381" s="1345"/>
      <c r="G381" s="1345"/>
      <c r="H381" s="1345"/>
      <c r="I381" s="1345"/>
      <c r="J381" s="1345"/>
      <c r="K381" s="1345"/>
      <c r="L381" s="1345"/>
      <c r="M381" s="1350"/>
      <c r="N381" s="1345"/>
      <c r="O381" s="1345"/>
      <c r="P381" s="1345"/>
      <c r="Q381" s="1345"/>
      <c r="R381" s="1345"/>
      <c r="S381" s="1345"/>
      <c r="T381" s="1345"/>
      <c r="U381" s="1345"/>
    </row>
    <row r="382" spans="1:21">
      <c r="A382" s="1345"/>
      <c r="B382" s="1345"/>
      <c r="C382" s="1345"/>
      <c r="D382" s="1345"/>
      <c r="E382" s="1345"/>
      <c r="F382" s="1345"/>
      <c r="G382" s="1345"/>
      <c r="H382" s="1345"/>
      <c r="I382" s="1345"/>
      <c r="J382" s="1345"/>
      <c r="K382" s="1345"/>
      <c r="L382" s="1345"/>
      <c r="M382" s="1350"/>
      <c r="N382" s="1345"/>
      <c r="O382" s="1345"/>
      <c r="P382" s="1345"/>
      <c r="Q382" s="1345"/>
      <c r="R382" s="1345"/>
      <c r="S382" s="1345"/>
      <c r="T382" s="1345"/>
      <c r="U382" s="1345"/>
    </row>
    <row r="383" spans="1:21">
      <c r="A383" s="1345"/>
      <c r="B383" s="1345"/>
      <c r="C383" s="1345"/>
      <c r="D383" s="1345"/>
      <c r="E383" s="1345"/>
      <c r="F383" s="1345"/>
      <c r="G383" s="1345"/>
      <c r="H383" s="1345"/>
      <c r="I383" s="1345"/>
      <c r="J383" s="1345"/>
      <c r="K383" s="1345"/>
      <c r="L383" s="1345"/>
      <c r="M383" s="1350"/>
      <c r="N383" s="1345"/>
      <c r="O383" s="1345"/>
      <c r="P383" s="1345"/>
      <c r="Q383" s="1345"/>
      <c r="R383" s="1345"/>
      <c r="S383" s="1345"/>
      <c r="T383" s="1345"/>
      <c r="U383" s="1345"/>
    </row>
    <row r="384" spans="1:21">
      <c r="A384" s="1345"/>
      <c r="B384" s="1345"/>
      <c r="C384" s="1345"/>
      <c r="D384" s="1345"/>
      <c r="E384" s="1345"/>
      <c r="F384" s="1345"/>
      <c r="G384" s="1345"/>
      <c r="H384" s="1345"/>
      <c r="I384" s="1345"/>
      <c r="J384" s="1345"/>
      <c r="K384" s="1345"/>
      <c r="L384" s="1345"/>
      <c r="M384" s="1350"/>
      <c r="N384" s="1345"/>
      <c r="O384" s="1345"/>
      <c r="P384" s="1345"/>
      <c r="Q384" s="1345"/>
      <c r="R384" s="1345"/>
      <c r="S384" s="1345"/>
      <c r="T384" s="1345"/>
      <c r="U384" s="1345"/>
    </row>
    <row r="385" spans="1:21">
      <c r="A385" s="1345"/>
      <c r="B385" s="1345"/>
      <c r="C385" s="1345"/>
      <c r="D385" s="1345"/>
      <c r="E385" s="1345"/>
      <c r="F385" s="1345"/>
      <c r="G385" s="1345"/>
      <c r="H385" s="1345"/>
      <c r="I385" s="1345"/>
      <c r="J385" s="1345"/>
      <c r="K385" s="1345"/>
      <c r="L385" s="1345"/>
      <c r="M385" s="1350"/>
      <c r="N385" s="1345"/>
      <c r="O385" s="1345"/>
      <c r="P385" s="1345"/>
      <c r="Q385" s="1345"/>
      <c r="R385" s="1345"/>
      <c r="S385" s="1345"/>
      <c r="T385" s="1345"/>
      <c r="U385" s="1345"/>
    </row>
    <row r="386" spans="1:21">
      <c r="A386" s="1345"/>
      <c r="B386" s="1345"/>
      <c r="C386" s="1345"/>
      <c r="D386" s="1345"/>
      <c r="E386" s="1345"/>
      <c r="F386" s="1345"/>
      <c r="G386" s="1345"/>
      <c r="H386" s="1345"/>
      <c r="I386" s="1345"/>
      <c r="J386" s="1345"/>
      <c r="K386" s="1345"/>
      <c r="L386" s="1345"/>
      <c r="M386" s="1350"/>
      <c r="N386" s="1345"/>
      <c r="O386" s="1345"/>
      <c r="P386" s="1345"/>
      <c r="Q386" s="1345"/>
      <c r="R386" s="1345"/>
      <c r="S386" s="1345"/>
      <c r="T386" s="1345"/>
      <c r="U386" s="1345"/>
    </row>
    <row r="387" spans="1:21">
      <c r="A387" s="1345"/>
      <c r="B387" s="1345"/>
      <c r="C387" s="1345"/>
      <c r="D387" s="1345"/>
      <c r="E387" s="1345"/>
      <c r="F387" s="1345"/>
      <c r="G387" s="1345"/>
      <c r="H387" s="1345"/>
      <c r="I387" s="1345"/>
      <c r="J387" s="1345"/>
      <c r="K387" s="1345"/>
      <c r="L387" s="1345"/>
      <c r="M387" s="1350"/>
      <c r="N387" s="1345"/>
      <c r="O387" s="1345"/>
      <c r="P387" s="1345"/>
      <c r="Q387" s="1345"/>
      <c r="R387" s="1345"/>
      <c r="S387" s="1345"/>
      <c r="T387" s="1345"/>
      <c r="U387" s="1345"/>
    </row>
    <row r="388" spans="1:21">
      <c r="A388" s="1345"/>
      <c r="B388" s="1345"/>
      <c r="C388" s="1345"/>
      <c r="D388" s="1345"/>
      <c r="E388" s="1345"/>
      <c r="F388" s="1345"/>
      <c r="G388" s="1345"/>
      <c r="H388" s="1345"/>
      <c r="I388" s="1345"/>
      <c r="J388" s="1345"/>
      <c r="K388" s="1345"/>
      <c r="L388" s="1345"/>
      <c r="M388" s="1350"/>
      <c r="N388" s="1345"/>
      <c r="O388" s="1345"/>
      <c r="P388" s="1345"/>
      <c r="Q388" s="1345"/>
      <c r="R388" s="1345"/>
      <c r="S388" s="1345"/>
      <c r="T388" s="1345"/>
      <c r="U388" s="1345"/>
    </row>
    <row r="389" spans="1:21">
      <c r="A389" s="1345"/>
      <c r="B389" s="1345"/>
      <c r="C389" s="1345"/>
      <c r="D389" s="1345"/>
      <c r="E389" s="1345"/>
      <c r="F389" s="1345"/>
      <c r="G389" s="1345"/>
      <c r="H389" s="1345"/>
      <c r="I389" s="1345"/>
      <c r="J389" s="1345"/>
      <c r="K389" s="1345"/>
      <c r="L389" s="1345"/>
      <c r="M389" s="1350"/>
      <c r="N389" s="1345"/>
      <c r="O389" s="1345"/>
      <c r="P389" s="1345"/>
      <c r="Q389" s="1345"/>
      <c r="R389" s="1345"/>
      <c r="S389" s="1345"/>
      <c r="T389" s="1345"/>
      <c r="U389" s="1345"/>
    </row>
    <row r="390" spans="1:21">
      <c r="A390" s="1345"/>
      <c r="B390" s="1345"/>
      <c r="C390" s="1345"/>
      <c r="D390" s="1345"/>
      <c r="E390" s="1345"/>
      <c r="F390" s="1345"/>
      <c r="G390" s="1345"/>
      <c r="H390" s="1345"/>
      <c r="I390" s="1345"/>
      <c r="J390" s="1345"/>
      <c r="K390" s="1345"/>
      <c r="L390" s="1345"/>
      <c r="M390" s="1350"/>
      <c r="N390" s="1345"/>
      <c r="O390" s="1345"/>
      <c r="P390" s="1345"/>
      <c r="Q390" s="1345"/>
      <c r="R390" s="1345"/>
      <c r="S390" s="1345"/>
      <c r="T390" s="1345"/>
      <c r="U390" s="1345"/>
    </row>
    <row r="391" spans="1:21">
      <c r="A391" s="1345"/>
      <c r="B391" s="1345"/>
      <c r="C391" s="1345"/>
      <c r="D391" s="1345"/>
      <c r="E391" s="1345"/>
      <c r="F391" s="1345"/>
      <c r="G391" s="1345"/>
      <c r="H391" s="1345"/>
      <c r="I391" s="1345"/>
      <c r="J391" s="1345"/>
      <c r="K391" s="1345"/>
      <c r="L391" s="1345"/>
      <c r="M391" s="1350"/>
      <c r="N391" s="1345"/>
      <c r="O391" s="1345"/>
      <c r="P391" s="1345"/>
      <c r="Q391" s="1345"/>
      <c r="R391" s="1345"/>
      <c r="S391" s="1345"/>
      <c r="T391" s="1345"/>
      <c r="U391" s="1345"/>
    </row>
    <row r="392" spans="1:21">
      <c r="A392" s="1345"/>
      <c r="B392" s="1345"/>
      <c r="C392" s="1345"/>
      <c r="D392" s="1345"/>
      <c r="E392" s="1345"/>
      <c r="F392" s="1345"/>
      <c r="G392" s="1345"/>
      <c r="H392" s="1345"/>
      <c r="I392" s="1345"/>
      <c r="J392" s="1345"/>
      <c r="K392" s="1345"/>
      <c r="L392" s="1345"/>
      <c r="M392" s="1350"/>
      <c r="N392" s="1345"/>
      <c r="O392" s="1345"/>
      <c r="P392" s="1345"/>
      <c r="Q392" s="1345"/>
      <c r="R392" s="1345"/>
      <c r="S392" s="1345"/>
      <c r="T392" s="1345"/>
      <c r="U392" s="1345"/>
    </row>
    <row r="393" spans="1:21">
      <c r="A393" s="1345"/>
      <c r="B393" s="1345"/>
      <c r="C393" s="1345"/>
      <c r="D393" s="1345"/>
      <c r="E393" s="1345"/>
      <c r="F393" s="1345"/>
      <c r="G393" s="1345"/>
      <c r="H393" s="1345"/>
      <c r="I393" s="1345"/>
      <c r="J393" s="1345"/>
      <c r="K393" s="1345"/>
      <c r="L393" s="1345"/>
      <c r="M393" s="1350"/>
      <c r="N393" s="1345"/>
      <c r="O393" s="1345"/>
      <c r="P393" s="1345"/>
      <c r="Q393" s="1345"/>
      <c r="R393" s="1345"/>
      <c r="S393" s="1345"/>
      <c r="T393" s="1345"/>
      <c r="U393" s="1345"/>
    </row>
    <row r="394" spans="1:21">
      <c r="A394" s="1345"/>
      <c r="B394" s="1345"/>
      <c r="C394" s="1345"/>
      <c r="D394" s="1345"/>
      <c r="E394" s="1345"/>
      <c r="F394" s="1345"/>
      <c r="G394" s="1345"/>
      <c r="H394" s="1345"/>
      <c r="I394" s="1345"/>
      <c r="J394" s="1345"/>
      <c r="K394" s="1345"/>
      <c r="L394" s="1345"/>
      <c r="M394" s="1350"/>
      <c r="N394" s="1345"/>
      <c r="O394" s="1345"/>
      <c r="P394" s="1345"/>
      <c r="Q394" s="1345"/>
      <c r="R394" s="1345"/>
      <c r="S394" s="1345"/>
      <c r="T394" s="1345"/>
      <c r="U394" s="1345"/>
    </row>
    <row r="395" spans="1:21">
      <c r="A395" s="1345"/>
      <c r="B395" s="1345"/>
      <c r="C395" s="1345"/>
      <c r="D395" s="1345"/>
      <c r="E395" s="1345"/>
      <c r="F395" s="1345"/>
      <c r="G395" s="1345"/>
      <c r="H395" s="1345"/>
      <c r="I395" s="1345"/>
      <c r="J395" s="1345"/>
      <c r="K395" s="1345"/>
      <c r="L395" s="1345"/>
      <c r="M395" s="1350"/>
      <c r="N395" s="1345"/>
      <c r="O395" s="1345"/>
      <c r="P395" s="1345"/>
      <c r="Q395" s="1345"/>
      <c r="R395" s="1345"/>
      <c r="S395" s="1345"/>
      <c r="T395" s="1345"/>
      <c r="U395" s="1345"/>
    </row>
    <row r="396" spans="1:21">
      <c r="A396" s="1345"/>
      <c r="B396" s="1345"/>
      <c r="C396" s="1345"/>
      <c r="D396" s="1345"/>
      <c r="E396" s="1345"/>
      <c r="F396" s="1345"/>
      <c r="G396" s="1345"/>
      <c r="H396" s="1345"/>
      <c r="I396" s="1345"/>
      <c r="J396" s="1345"/>
      <c r="K396" s="1345"/>
      <c r="L396" s="1345"/>
      <c r="M396" s="1350"/>
      <c r="N396" s="1345"/>
      <c r="O396" s="1345"/>
      <c r="P396" s="1345"/>
      <c r="Q396" s="1345"/>
      <c r="R396" s="1345"/>
      <c r="S396" s="1345"/>
      <c r="T396" s="1345"/>
      <c r="U396" s="1345"/>
    </row>
    <row r="397" spans="1:21">
      <c r="A397" s="1345"/>
      <c r="B397" s="1345"/>
      <c r="C397" s="1345"/>
      <c r="D397" s="1345"/>
      <c r="E397" s="1345"/>
      <c r="F397" s="1345"/>
      <c r="G397" s="1345"/>
      <c r="H397" s="1345"/>
      <c r="I397" s="1345"/>
      <c r="J397" s="1345"/>
      <c r="K397" s="1345"/>
      <c r="L397" s="1345"/>
      <c r="M397" s="1350"/>
      <c r="N397" s="1345"/>
      <c r="O397" s="1345"/>
      <c r="P397" s="1345"/>
      <c r="Q397" s="1345"/>
      <c r="R397" s="1345"/>
      <c r="S397" s="1345"/>
      <c r="T397" s="1345"/>
      <c r="U397" s="1345"/>
    </row>
    <row r="398" spans="1:21">
      <c r="A398" s="1345"/>
      <c r="B398" s="1345"/>
      <c r="C398" s="1345"/>
      <c r="D398" s="1345"/>
      <c r="E398" s="1345"/>
      <c r="F398" s="1345"/>
      <c r="G398" s="1345"/>
      <c r="H398" s="1345"/>
      <c r="I398" s="1345"/>
      <c r="J398" s="1345"/>
      <c r="K398" s="1345"/>
      <c r="L398" s="1345"/>
      <c r="M398" s="1350"/>
      <c r="N398" s="1345"/>
      <c r="O398" s="1345"/>
      <c r="P398" s="1345"/>
      <c r="Q398" s="1345"/>
      <c r="R398" s="1345"/>
      <c r="S398" s="1345"/>
      <c r="T398" s="1345"/>
      <c r="U398" s="1345"/>
    </row>
    <row r="399" spans="1:21">
      <c r="A399" s="1345"/>
      <c r="B399" s="1345"/>
      <c r="C399" s="1345"/>
      <c r="D399" s="1345"/>
      <c r="E399" s="1345"/>
      <c r="F399" s="1345"/>
      <c r="G399" s="1345"/>
      <c r="H399" s="1345"/>
      <c r="I399" s="1345"/>
      <c r="J399" s="1345"/>
      <c r="K399" s="1345"/>
      <c r="L399" s="1345"/>
      <c r="M399" s="1350"/>
      <c r="N399" s="1345"/>
      <c r="O399" s="1345"/>
      <c r="P399" s="1345"/>
      <c r="Q399" s="1345"/>
      <c r="R399" s="1345"/>
      <c r="S399" s="1345"/>
      <c r="T399" s="1345"/>
      <c r="U399" s="1345"/>
    </row>
    <row r="400" spans="1:21">
      <c r="A400" s="1345"/>
      <c r="B400" s="1345"/>
      <c r="C400" s="1345"/>
      <c r="D400" s="1345"/>
      <c r="E400" s="1345"/>
      <c r="F400" s="1345"/>
      <c r="G400" s="1345"/>
      <c r="H400" s="1345"/>
      <c r="I400" s="1345"/>
      <c r="J400" s="1345"/>
      <c r="K400" s="1345"/>
      <c r="L400" s="1345"/>
      <c r="M400" s="1350"/>
      <c r="N400" s="1345"/>
      <c r="O400" s="1345"/>
      <c r="P400" s="1345"/>
      <c r="Q400" s="1345"/>
      <c r="R400" s="1345"/>
      <c r="S400" s="1345"/>
      <c r="T400" s="1345"/>
      <c r="U400" s="1345"/>
    </row>
    <row r="401" spans="1:21">
      <c r="A401" s="1345"/>
      <c r="B401" s="1345"/>
      <c r="C401" s="1345"/>
      <c r="D401" s="1345"/>
      <c r="E401" s="1345"/>
      <c r="F401" s="1345"/>
      <c r="G401" s="1345"/>
      <c r="H401" s="1345"/>
      <c r="I401" s="1345"/>
      <c r="J401" s="1345"/>
      <c r="K401" s="1345"/>
      <c r="L401" s="1345"/>
      <c r="M401" s="1350"/>
      <c r="N401" s="1345"/>
      <c r="O401" s="1345"/>
      <c r="P401" s="1345"/>
      <c r="Q401" s="1345"/>
      <c r="R401" s="1345"/>
      <c r="S401" s="1345"/>
      <c r="T401" s="1345"/>
      <c r="U401" s="1345"/>
    </row>
    <row r="402" spans="1:21">
      <c r="A402" s="1345"/>
      <c r="B402" s="1345"/>
      <c r="C402" s="1345"/>
      <c r="D402" s="1345"/>
      <c r="E402" s="1345"/>
      <c r="F402" s="1345"/>
      <c r="G402" s="1345"/>
      <c r="H402" s="1345"/>
      <c r="I402" s="1345"/>
      <c r="J402" s="1345"/>
      <c r="K402" s="1345"/>
      <c r="L402" s="1345"/>
      <c r="M402" s="1350"/>
      <c r="N402" s="1345"/>
      <c r="O402" s="1345"/>
      <c r="P402" s="1345"/>
      <c r="Q402" s="1345"/>
      <c r="R402" s="1345"/>
      <c r="S402" s="1345"/>
      <c r="T402" s="1345"/>
      <c r="U402" s="1345"/>
    </row>
    <row r="403" spans="1:21">
      <c r="A403" s="1345"/>
      <c r="B403" s="1345"/>
      <c r="C403" s="1345"/>
      <c r="D403" s="1345"/>
      <c r="E403" s="1345"/>
      <c r="F403" s="1345"/>
      <c r="G403" s="1345"/>
      <c r="H403" s="1345"/>
      <c r="I403" s="1345"/>
      <c r="J403" s="1345"/>
      <c r="K403" s="1345"/>
      <c r="L403" s="1345"/>
      <c r="M403" s="1350"/>
      <c r="N403" s="1345"/>
      <c r="O403" s="1345"/>
      <c r="P403" s="1345"/>
      <c r="Q403" s="1345"/>
      <c r="R403" s="1345"/>
      <c r="S403" s="1345"/>
      <c r="T403" s="1345"/>
      <c r="U403" s="1345"/>
    </row>
    <row r="404" spans="1:21">
      <c r="A404" s="1345"/>
      <c r="B404" s="1345"/>
      <c r="C404" s="1345"/>
      <c r="D404" s="1345"/>
      <c r="E404" s="1345"/>
      <c r="F404" s="1345"/>
      <c r="G404" s="1345"/>
      <c r="H404" s="1345"/>
      <c r="I404" s="1345"/>
      <c r="J404" s="1345"/>
      <c r="K404" s="1345"/>
      <c r="L404" s="1345"/>
      <c r="M404" s="1350"/>
      <c r="N404" s="1345"/>
      <c r="O404" s="1345"/>
      <c r="P404" s="1345"/>
      <c r="Q404" s="1345"/>
      <c r="R404" s="1345"/>
      <c r="S404" s="1345"/>
      <c r="T404" s="1345"/>
      <c r="U404" s="1345"/>
    </row>
    <row r="405" spans="1:21">
      <c r="A405" s="1345"/>
      <c r="B405" s="1345"/>
      <c r="C405" s="1345"/>
      <c r="D405" s="1345"/>
      <c r="E405" s="1345"/>
      <c r="F405" s="1345"/>
      <c r="G405" s="1345"/>
      <c r="H405" s="1345"/>
      <c r="I405" s="1345"/>
      <c r="J405" s="1345"/>
      <c r="K405" s="1345"/>
      <c r="L405" s="1345"/>
      <c r="M405" s="1350"/>
      <c r="N405" s="1345"/>
      <c r="O405" s="1345"/>
      <c r="P405" s="1345"/>
      <c r="Q405" s="1345"/>
      <c r="R405" s="1345"/>
      <c r="S405" s="1345"/>
      <c r="T405" s="1345"/>
      <c r="U405" s="1345"/>
    </row>
    <row r="406" spans="1:21">
      <c r="A406" s="1345"/>
      <c r="B406" s="1345"/>
      <c r="C406" s="1345"/>
      <c r="D406" s="1345"/>
      <c r="E406" s="1345"/>
      <c r="F406" s="1345"/>
      <c r="G406" s="1345"/>
      <c r="H406" s="1345"/>
      <c r="I406" s="1345"/>
      <c r="J406" s="1345"/>
      <c r="K406" s="1345"/>
      <c r="L406" s="1345"/>
      <c r="M406" s="1350"/>
      <c r="N406" s="1345"/>
      <c r="O406" s="1345"/>
      <c r="P406" s="1345"/>
      <c r="Q406" s="1345"/>
      <c r="R406" s="1345"/>
      <c r="S406" s="1345"/>
      <c r="T406" s="1345"/>
      <c r="U406" s="1345"/>
    </row>
    <row r="407" spans="1:21">
      <c r="A407" s="1345"/>
      <c r="B407" s="1345"/>
      <c r="C407" s="1345"/>
      <c r="D407" s="1345"/>
      <c r="E407" s="1345"/>
      <c r="F407" s="1345"/>
      <c r="G407" s="1345"/>
      <c r="H407" s="1345"/>
      <c r="I407" s="1345"/>
      <c r="J407" s="1345"/>
      <c r="K407" s="1345"/>
      <c r="L407" s="1345"/>
      <c r="M407" s="1350"/>
      <c r="N407" s="1345"/>
      <c r="O407" s="1345"/>
      <c r="P407" s="1345"/>
      <c r="Q407" s="1345"/>
      <c r="R407" s="1345"/>
      <c r="S407" s="1345"/>
      <c r="T407" s="1345"/>
      <c r="U407" s="1345"/>
    </row>
    <row r="408" spans="1:21">
      <c r="A408" s="1345"/>
      <c r="B408" s="1345"/>
      <c r="C408" s="1345"/>
      <c r="D408" s="1345"/>
      <c r="E408" s="1345"/>
      <c r="F408" s="1345"/>
      <c r="G408" s="1345"/>
      <c r="H408" s="1345"/>
      <c r="I408" s="1345"/>
      <c r="J408" s="1345"/>
      <c r="K408" s="1345"/>
      <c r="L408" s="1345"/>
      <c r="M408" s="1350"/>
      <c r="N408" s="1345"/>
      <c r="O408" s="1345"/>
      <c r="P408" s="1345"/>
      <c r="Q408" s="1345"/>
      <c r="R408" s="1345"/>
      <c r="S408" s="1345"/>
      <c r="T408" s="1345"/>
      <c r="U408" s="1345"/>
    </row>
    <row r="409" spans="1:21">
      <c r="A409" s="1345"/>
      <c r="B409" s="1345"/>
      <c r="C409" s="1345"/>
      <c r="D409" s="1345"/>
      <c r="E409" s="1345"/>
      <c r="F409" s="1345"/>
      <c r="G409" s="1345"/>
      <c r="H409" s="1345"/>
      <c r="I409" s="1345"/>
      <c r="J409" s="1345"/>
      <c r="K409" s="1345"/>
      <c r="L409" s="1345"/>
      <c r="M409" s="1350"/>
      <c r="N409" s="1345"/>
      <c r="O409" s="1345"/>
      <c r="P409" s="1345"/>
      <c r="Q409" s="1345"/>
      <c r="R409" s="1345"/>
      <c r="S409" s="1345"/>
      <c r="T409" s="1345"/>
      <c r="U409" s="1345"/>
    </row>
    <row r="410" spans="1:21">
      <c r="A410" s="1345"/>
      <c r="B410" s="1345"/>
      <c r="C410" s="1345"/>
      <c r="D410" s="1345"/>
      <c r="E410" s="1345"/>
      <c r="F410" s="1345"/>
      <c r="G410" s="1345"/>
      <c r="H410" s="1345"/>
      <c r="I410" s="1345"/>
      <c r="J410" s="1345"/>
      <c r="K410" s="1345"/>
      <c r="L410" s="1345"/>
      <c r="M410" s="1350"/>
      <c r="N410" s="1345"/>
      <c r="O410" s="1345"/>
      <c r="P410" s="1345"/>
      <c r="Q410" s="1345"/>
      <c r="R410" s="1345"/>
      <c r="S410" s="1345"/>
      <c r="T410" s="1345"/>
      <c r="U410" s="1345"/>
    </row>
    <row r="411" spans="1:21">
      <c r="A411" s="1345"/>
      <c r="B411" s="1345"/>
      <c r="C411" s="1345"/>
      <c r="D411" s="1345"/>
      <c r="E411" s="1345"/>
      <c r="F411" s="1345"/>
      <c r="G411" s="1345"/>
      <c r="H411" s="1345"/>
      <c r="I411" s="1345"/>
      <c r="J411" s="1345"/>
      <c r="K411" s="1345"/>
      <c r="L411" s="1345"/>
      <c r="M411" s="1350"/>
      <c r="N411" s="1345"/>
      <c r="O411" s="1345"/>
      <c r="P411" s="1345"/>
      <c r="Q411" s="1345"/>
      <c r="R411" s="1345"/>
      <c r="S411" s="1345"/>
      <c r="T411" s="1345"/>
      <c r="U411" s="1345"/>
    </row>
    <row r="412" spans="1:21">
      <c r="A412" s="1345"/>
      <c r="B412" s="1345"/>
      <c r="C412" s="1345"/>
      <c r="D412" s="1345"/>
      <c r="E412" s="1345"/>
      <c r="F412" s="1345"/>
      <c r="G412" s="1345"/>
      <c r="H412" s="1345"/>
      <c r="I412" s="1345"/>
      <c r="J412" s="1345"/>
      <c r="K412" s="1345"/>
      <c r="L412" s="1345"/>
      <c r="M412" s="1350"/>
      <c r="N412" s="1345"/>
      <c r="O412" s="1345"/>
      <c r="P412" s="1345"/>
      <c r="Q412" s="1345"/>
      <c r="R412" s="1345"/>
      <c r="S412" s="1345"/>
      <c r="T412" s="1345"/>
      <c r="U412" s="1345"/>
    </row>
    <row r="413" spans="1:21">
      <c r="A413" s="1345"/>
      <c r="B413" s="1345"/>
      <c r="C413" s="1345"/>
      <c r="D413" s="1345"/>
      <c r="E413" s="1345"/>
      <c r="F413" s="1345"/>
      <c r="G413" s="1345"/>
      <c r="H413" s="1345"/>
      <c r="I413" s="1345"/>
      <c r="J413" s="1345"/>
      <c r="K413" s="1345"/>
      <c r="L413" s="1345"/>
      <c r="M413" s="1350"/>
      <c r="N413" s="1345"/>
      <c r="O413" s="1345"/>
      <c r="P413" s="1345"/>
      <c r="Q413" s="1345"/>
      <c r="R413" s="1345"/>
      <c r="S413" s="1345"/>
      <c r="T413" s="1345"/>
      <c r="U413" s="1345"/>
    </row>
    <row r="414" spans="1:21">
      <c r="A414" s="1345"/>
      <c r="B414" s="1345"/>
      <c r="C414" s="1345"/>
      <c r="D414" s="1345"/>
      <c r="E414" s="1345"/>
      <c r="F414" s="1345"/>
      <c r="G414" s="1345"/>
      <c r="H414" s="1345"/>
      <c r="I414" s="1345"/>
      <c r="J414" s="1345"/>
      <c r="K414" s="1345"/>
      <c r="L414" s="1345"/>
      <c r="M414" s="1350"/>
      <c r="N414" s="1345"/>
      <c r="O414" s="1345"/>
      <c r="P414" s="1345"/>
      <c r="Q414" s="1345"/>
      <c r="R414" s="1345"/>
      <c r="S414" s="1345"/>
      <c r="T414" s="1345"/>
      <c r="U414" s="1345"/>
    </row>
    <row r="415" spans="1:21">
      <c r="A415" s="1345"/>
      <c r="B415" s="1345"/>
      <c r="C415" s="1345"/>
      <c r="D415" s="1345"/>
      <c r="E415" s="1345"/>
      <c r="F415" s="1345"/>
      <c r="G415" s="1345"/>
      <c r="H415" s="1345"/>
      <c r="I415" s="1345"/>
      <c r="J415" s="1345"/>
      <c r="K415" s="1345"/>
      <c r="L415" s="1345"/>
      <c r="M415" s="1350"/>
      <c r="N415" s="1345"/>
      <c r="O415" s="1345"/>
      <c r="P415" s="1345"/>
      <c r="Q415" s="1345"/>
      <c r="R415" s="1345"/>
      <c r="S415" s="1345"/>
      <c r="T415" s="1345"/>
      <c r="U415" s="1345"/>
    </row>
    <row r="416" spans="1:21">
      <c r="A416" s="1345"/>
      <c r="B416" s="1345"/>
      <c r="C416" s="1345"/>
      <c r="D416" s="1345"/>
      <c r="E416" s="1345"/>
      <c r="F416" s="1345"/>
      <c r="G416" s="1345"/>
      <c r="H416" s="1345"/>
      <c r="I416" s="1345"/>
      <c r="J416" s="1345"/>
      <c r="K416" s="1345"/>
      <c r="L416" s="1345"/>
      <c r="M416" s="1350"/>
      <c r="N416" s="1345"/>
      <c r="O416" s="1345"/>
      <c r="P416" s="1345"/>
      <c r="Q416" s="1345"/>
      <c r="R416" s="1345"/>
      <c r="S416" s="1345"/>
      <c r="T416" s="1345"/>
      <c r="U416" s="1345"/>
    </row>
    <row r="417" spans="1:21">
      <c r="A417" s="1345"/>
      <c r="B417" s="1345"/>
      <c r="C417" s="1345"/>
      <c r="D417" s="1345"/>
      <c r="E417" s="1345"/>
      <c r="F417" s="1345"/>
      <c r="G417" s="1345"/>
      <c r="H417" s="1345"/>
      <c r="I417" s="1345"/>
      <c r="J417" s="1345"/>
      <c r="K417" s="1345"/>
      <c r="L417" s="1345"/>
      <c r="M417" s="1350"/>
      <c r="N417" s="1345"/>
      <c r="O417" s="1345"/>
      <c r="P417" s="1345"/>
      <c r="Q417" s="1345"/>
      <c r="R417" s="1345"/>
      <c r="S417" s="1345"/>
      <c r="T417" s="1345"/>
      <c r="U417" s="1345"/>
    </row>
    <row r="418" spans="1:21">
      <c r="A418" s="1345"/>
      <c r="B418" s="1345"/>
      <c r="C418" s="1345"/>
      <c r="D418" s="1345"/>
      <c r="E418" s="1345"/>
      <c r="F418" s="1345"/>
      <c r="G418" s="1345"/>
      <c r="H418" s="1345"/>
      <c r="I418" s="1345"/>
      <c r="J418" s="1345"/>
      <c r="K418" s="1345"/>
      <c r="L418" s="1345"/>
      <c r="M418" s="1350"/>
      <c r="N418" s="1345"/>
      <c r="O418" s="1345"/>
      <c r="P418" s="1345"/>
      <c r="Q418" s="1345"/>
      <c r="R418" s="1345"/>
      <c r="S418" s="1345"/>
      <c r="T418" s="1345"/>
      <c r="U418" s="1345"/>
    </row>
    <row r="419" spans="1:21">
      <c r="A419" s="1345"/>
      <c r="B419" s="1345"/>
      <c r="C419" s="1345"/>
      <c r="D419" s="1345"/>
      <c r="E419" s="1345"/>
      <c r="F419" s="1345"/>
      <c r="G419" s="1345"/>
      <c r="H419" s="1345"/>
      <c r="I419" s="1345"/>
      <c r="J419" s="1345"/>
      <c r="K419" s="1345"/>
      <c r="L419" s="1345"/>
      <c r="M419" s="1350"/>
      <c r="N419" s="1345"/>
      <c r="O419" s="1345"/>
      <c r="P419" s="1345"/>
      <c r="Q419" s="1345"/>
      <c r="R419" s="1345"/>
      <c r="S419" s="1345"/>
      <c r="T419" s="1345"/>
      <c r="U419" s="1345"/>
    </row>
    <row r="420" spans="1:21">
      <c r="A420" s="1345"/>
      <c r="B420" s="1345"/>
      <c r="C420" s="1345"/>
      <c r="D420" s="1345"/>
      <c r="E420" s="1345"/>
      <c r="F420" s="1345"/>
      <c r="G420" s="1345"/>
      <c r="H420" s="1345"/>
      <c r="I420" s="1345"/>
      <c r="J420" s="1345"/>
      <c r="K420" s="1345"/>
      <c r="L420" s="1345"/>
      <c r="M420" s="1350"/>
      <c r="N420" s="1345"/>
      <c r="O420" s="1345"/>
      <c r="P420" s="1345"/>
      <c r="Q420" s="1345"/>
      <c r="R420" s="1345"/>
      <c r="S420" s="1345"/>
      <c r="T420" s="1345"/>
      <c r="U420" s="1345"/>
    </row>
    <row r="421" spans="1:21">
      <c r="A421" s="1345"/>
      <c r="B421" s="1345"/>
      <c r="C421" s="1345"/>
      <c r="D421" s="1345"/>
      <c r="E421" s="1345"/>
      <c r="F421" s="1345"/>
      <c r="G421" s="1345"/>
      <c r="H421" s="1345"/>
      <c r="I421" s="1345"/>
      <c r="J421" s="1345"/>
      <c r="K421" s="1345"/>
      <c r="L421" s="1345"/>
      <c r="M421" s="1350"/>
      <c r="N421" s="1345"/>
      <c r="O421" s="1345"/>
      <c r="P421" s="1345"/>
      <c r="Q421" s="1345"/>
      <c r="R421" s="1345"/>
      <c r="S421" s="1345"/>
      <c r="T421" s="1345"/>
      <c r="U421" s="1345"/>
    </row>
    <row r="422" spans="1:21">
      <c r="A422" s="1345"/>
      <c r="B422" s="1345"/>
      <c r="C422" s="1345"/>
      <c r="D422" s="1345"/>
      <c r="E422" s="1345"/>
      <c r="F422" s="1345"/>
      <c r="G422" s="1345"/>
      <c r="H422" s="1345"/>
      <c r="I422" s="1345"/>
      <c r="J422" s="1345"/>
      <c r="K422" s="1345"/>
      <c r="L422" s="1345"/>
      <c r="M422" s="1350"/>
      <c r="N422" s="1345"/>
      <c r="O422" s="1345"/>
      <c r="P422" s="1345"/>
      <c r="Q422" s="1345"/>
      <c r="R422" s="1345"/>
      <c r="S422" s="1345"/>
      <c r="T422" s="1345"/>
      <c r="U422" s="1345"/>
    </row>
    <row r="423" spans="1:21">
      <c r="A423" s="1345"/>
      <c r="B423" s="1345"/>
      <c r="C423" s="1345"/>
      <c r="D423" s="1345"/>
      <c r="E423" s="1345"/>
      <c r="F423" s="1345"/>
      <c r="G423" s="1345"/>
      <c r="H423" s="1345"/>
      <c r="I423" s="1345"/>
      <c r="J423" s="1345"/>
      <c r="K423" s="1345"/>
      <c r="L423" s="1345"/>
      <c r="M423" s="1345"/>
      <c r="N423" s="1345"/>
      <c r="O423" s="1345"/>
      <c r="P423" s="1345"/>
      <c r="Q423" s="1345"/>
      <c r="R423" s="1345"/>
      <c r="S423" s="1345"/>
      <c r="T423" s="1345"/>
      <c r="U423" s="1345"/>
    </row>
    <row r="424" spans="1:21">
      <c r="A424" s="1345"/>
      <c r="B424" s="1345"/>
      <c r="C424" s="1345"/>
      <c r="D424" s="1345"/>
      <c r="E424" s="1345"/>
      <c r="F424" s="1345"/>
      <c r="G424" s="1345"/>
      <c r="H424" s="1345"/>
      <c r="I424" s="1345"/>
      <c r="J424" s="1345"/>
      <c r="K424" s="1345"/>
      <c r="L424" s="1345"/>
      <c r="M424" s="1350"/>
      <c r="N424" s="1345"/>
      <c r="O424" s="1345"/>
      <c r="P424" s="1345"/>
      <c r="Q424" s="1345"/>
      <c r="R424" s="1345"/>
      <c r="S424" s="1345"/>
      <c r="T424" s="1345"/>
      <c r="U424" s="1345"/>
    </row>
    <row r="425" spans="1:21">
      <c r="A425" s="1345"/>
      <c r="B425" s="1345"/>
      <c r="C425" s="1345"/>
      <c r="D425" s="1345"/>
      <c r="E425" s="1345"/>
      <c r="F425" s="1345"/>
      <c r="G425" s="1345"/>
      <c r="H425" s="1345"/>
      <c r="I425" s="1345"/>
      <c r="J425" s="1345"/>
      <c r="K425" s="1345"/>
      <c r="L425" s="1345"/>
      <c r="M425" s="1345"/>
      <c r="N425" s="1345"/>
      <c r="O425" s="1345"/>
      <c r="P425" s="1345"/>
      <c r="Q425" s="1345"/>
      <c r="R425" s="1345"/>
      <c r="S425" s="1345"/>
      <c r="T425" s="1345"/>
      <c r="U425" s="1345"/>
    </row>
    <row r="426" spans="1:21">
      <c r="A426" s="1345"/>
      <c r="B426" s="1345"/>
      <c r="C426" s="1345"/>
      <c r="D426" s="1345"/>
      <c r="E426" s="1345"/>
      <c r="F426" s="1345"/>
      <c r="G426" s="1345"/>
      <c r="H426" s="1345"/>
      <c r="I426" s="1345"/>
      <c r="J426" s="1345"/>
      <c r="K426" s="1345"/>
      <c r="L426" s="1345"/>
      <c r="M426" s="1350"/>
      <c r="N426" s="1345"/>
      <c r="O426" s="1345"/>
      <c r="P426" s="1345"/>
      <c r="Q426" s="1345"/>
      <c r="R426" s="1345"/>
      <c r="S426" s="1345"/>
      <c r="T426" s="1345"/>
      <c r="U426" s="1345"/>
    </row>
    <row r="427" spans="1:21">
      <c r="A427" s="1345"/>
      <c r="B427" s="1345"/>
      <c r="C427" s="1345"/>
      <c r="D427" s="1345"/>
      <c r="E427" s="1345"/>
      <c r="F427" s="1345"/>
      <c r="G427" s="1345"/>
      <c r="H427" s="1345"/>
      <c r="I427" s="1345"/>
      <c r="J427" s="1345"/>
      <c r="K427" s="1345"/>
      <c r="L427" s="1345"/>
      <c r="M427" s="1350"/>
      <c r="N427" s="1345"/>
      <c r="O427" s="1345"/>
      <c r="P427" s="1345"/>
      <c r="Q427" s="1345"/>
      <c r="R427" s="1345"/>
      <c r="S427" s="1345"/>
      <c r="T427" s="1345"/>
      <c r="U427" s="1345"/>
    </row>
    <row r="428" spans="1:21">
      <c r="A428" s="1345"/>
      <c r="B428" s="1345"/>
      <c r="C428" s="1345"/>
      <c r="D428" s="1345"/>
      <c r="E428" s="1345"/>
      <c r="F428" s="1345"/>
      <c r="G428" s="1345"/>
      <c r="H428" s="1345"/>
      <c r="I428" s="1345"/>
      <c r="J428" s="1345"/>
      <c r="K428" s="1345"/>
      <c r="L428" s="1345"/>
      <c r="M428" s="1350"/>
      <c r="N428" s="1345"/>
      <c r="O428" s="1345"/>
      <c r="P428" s="1345"/>
      <c r="Q428" s="1345"/>
      <c r="R428" s="1345"/>
      <c r="S428" s="1345"/>
      <c r="T428" s="1345"/>
      <c r="U428" s="1345"/>
    </row>
    <row r="429" spans="1:21">
      <c r="A429" s="1345"/>
      <c r="B429" s="1345"/>
      <c r="C429" s="1345"/>
      <c r="D429" s="1345"/>
      <c r="E429" s="1345"/>
      <c r="F429" s="1345"/>
      <c r="G429" s="1345"/>
      <c r="H429" s="1345"/>
      <c r="I429" s="1345"/>
      <c r="J429" s="1345"/>
      <c r="K429" s="1345"/>
      <c r="L429" s="1345"/>
      <c r="M429" s="1350"/>
      <c r="N429" s="1345"/>
      <c r="O429" s="1345"/>
      <c r="P429" s="1345"/>
      <c r="Q429" s="1345"/>
      <c r="R429" s="1345"/>
      <c r="S429" s="1345"/>
      <c r="T429" s="1345"/>
      <c r="U429" s="1345"/>
    </row>
    <row r="430" spans="1:21">
      <c r="A430" s="1345"/>
      <c r="B430" s="1345"/>
      <c r="C430" s="1345"/>
      <c r="D430" s="1345"/>
      <c r="E430" s="1345"/>
      <c r="F430" s="1345"/>
      <c r="G430" s="1345"/>
      <c r="H430" s="1345"/>
      <c r="I430" s="1345"/>
      <c r="J430" s="1345"/>
      <c r="K430" s="1345"/>
      <c r="L430" s="1345"/>
      <c r="M430" s="1350"/>
      <c r="N430" s="1345"/>
      <c r="O430" s="1345"/>
      <c r="P430" s="1345"/>
      <c r="Q430" s="1345"/>
      <c r="R430" s="1345"/>
      <c r="S430" s="1345"/>
      <c r="T430" s="1345"/>
      <c r="U430" s="1345"/>
    </row>
    <row r="431" spans="1:21">
      <c r="A431" s="1345"/>
      <c r="B431" s="1345"/>
      <c r="C431" s="1345"/>
      <c r="D431" s="1345"/>
      <c r="E431" s="1345"/>
      <c r="F431" s="1345"/>
      <c r="G431" s="1345"/>
      <c r="H431" s="1345"/>
      <c r="I431" s="1345"/>
      <c r="J431" s="1345"/>
      <c r="K431" s="1345"/>
      <c r="L431" s="1345"/>
      <c r="M431" s="1350"/>
      <c r="N431" s="1345"/>
      <c r="O431" s="1345"/>
      <c r="P431" s="1345"/>
      <c r="Q431" s="1345"/>
      <c r="R431" s="1345"/>
      <c r="S431" s="1345"/>
      <c r="T431" s="1345"/>
      <c r="U431" s="1345"/>
    </row>
    <row r="432" spans="1:21">
      <c r="A432" s="1345"/>
      <c r="B432" s="1345"/>
      <c r="C432" s="1345"/>
      <c r="D432" s="1345"/>
      <c r="E432" s="1345"/>
      <c r="F432" s="1345"/>
      <c r="G432" s="1345"/>
      <c r="H432" s="1345"/>
      <c r="I432" s="1345"/>
      <c r="J432" s="1345"/>
      <c r="K432" s="1345"/>
      <c r="L432" s="1345"/>
      <c r="M432" s="1350"/>
      <c r="N432" s="1345"/>
      <c r="O432" s="1345"/>
      <c r="P432" s="1345"/>
      <c r="Q432" s="1345"/>
      <c r="R432" s="1345"/>
      <c r="S432" s="1345"/>
      <c r="T432" s="1345"/>
      <c r="U432" s="1345"/>
    </row>
    <row r="433" spans="1:21">
      <c r="A433" s="1345"/>
      <c r="B433" s="1345"/>
      <c r="C433" s="1345"/>
      <c r="D433" s="1345"/>
      <c r="E433" s="1345"/>
      <c r="F433" s="1345"/>
      <c r="G433" s="1345"/>
      <c r="H433" s="1345"/>
      <c r="I433" s="1345"/>
      <c r="J433" s="1345"/>
      <c r="K433" s="1345"/>
      <c r="L433" s="1345"/>
      <c r="M433" s="1350"/>
      <c r="N433" s="1345"/>
      <c r="O433" s="1345"/>
      <c r="P433" s="1345"/>
      <c r="Q433" s="1345"/>
      <c r="R433" s="1345"/>
      <c r="S433" s="1345"/>
      <c r="T433" s="1345"/>
      <c r="U433" s="1345"/>
    </row>
    <row r="434" spans="1:21">
      <c r="A434" s="1345"/>
      <c r="B434" s="1345"/>
      <c r="C434" s="1345"/>
      <c r="D434" s="1345"/>
      <c r="E434" s="1345"/>
      <c r="F434" s="1345"/>
      <c r="G434" s="1345"/>
      <c r="H434" s="1345"/>
      <c r="I434" s="1345"/>
      <c r="J434" s="1345"/>
      <c r="K434" s="1345"/>
      <c r="L434" s="1345"/>
      <c r="M434" s="1345"/>
      <c r="N434" s="1345"/>
      <c r="O434" s="1345"/>
      <c r="P434" s="1345"/>
      <c r="Q434" s="1345"/>
      <c r="R434" s="1345"/>
      <c r="S434" s="1345"/>
      <c r="T434" s="1345"/>
      <c r="U434" s="1345"/>
    </row>
    <row r="435" spans="1:21">
      <c r="A435" s="1345"/>
      <c r="B435" s="1345"/>
      <c r="C435" s="1345"/>
      <c r="D435" s="1345"/>
      <c r="E435" s="1345"/>
      <c r="F435" s="1345"/>
      <c r="G435" s="1345"/>
      <c r="H435" s="1345"/>
      <c r="I435" s="1345"/>
      <c r="J435" s="1345"/>
      <c r="K435" s="1345"/>
      <c r="L435" s="1345"/>
      <c r="M435" s="1345"/>
      <c r="N435" s="1345"/>
      <c r="O435" s="1345"/>
      <c r="P435" s="1345"/>
      <c r="Q435" s="1345"/>
      <c r="R435" s="1345"/>
      <c r="S435" s="1345"/>
      <c r="T435" s="1345"/>
      <c r="U435" s="1345"/>
    </row>
    <row r="436" spans="1:21">
      <c r="A436" s="1345"/>
      <c r="B436" s="1345"/>
      <c r="C436" s="1345"/>
      <c r="D436" s="1345"/>
      <c r="E436" s="1345"/>
      <c r="F436" s="1345"/>
      <c r="G436" s="1345"/>
      <c r="H436" s="1345"/>
      <c r="I436" s="1345"/>
      <c r="J436" s="1345"/>
      <c r="K436" s="1345"/>
      <c r="L436" s="1345"/>
      <c r="M436" s="1345"/>
      <c r="N436" s="1345"/>
      <c r="O436" s="1345"/>
      <c r="P436" s="1345"/>
      <c r="Q436" s="1345"/>
      <c r="R436" s="1345"/>
      <c r="S436" s="1345"/>
      <c r="T436" s="1345"/>
      <c r="U436" s="1345"/>
    </row>
    <row r="437" spans="1:21">
      <c r="A437" s="1345"/>
      <c r="B437" s="1345"/>
      <c r="C437" s="1345"/>
      <c r="D437" s="1345"/>
      <c r="E437" s="1345"/>
      <c r="F437" s="1345"/>
      <c r="G437" s="1345"/>
      <c r="H437" s="1345"/>
      <c r="I437" s="1345"/>
      <c r="J437" s="1345"/>
      <c r="K437" s="1345"/>
      <c r="L437" s="1345"/>
      <c r="M437" s="1345"/>
      <c r="N437" s="1345"/>
      <c r="O437" s="1345"/>
      <c r="P437" s="1345"/>
      <c r="Q437" s="1345"/>
      <c r="R437" s="1345"/>
      <c r="S437" s="1345"/>
      <c r="T437" s="1345"/>
      <c r="U437" s="1345"/>
    </row>
    <row r="438" spans="1:21">
      <c r="A438" s="1345"/>
      <c r="B438" s="1345"/>
      <c r="C438" s="1345"/>
      <c r="D438" s="1345"/>
      <c r="E438" s="1345"/>
      <c r="F438" s="1345"/>
      <c r="G438" s="1345"/>
      <c r="H438" s="1345"/>
      <c r="I438" s="1345"/>
      <c r="J438" s="1345"/>
      <c r="K438" s="1345"/>
      <c r="L438" s="1345"/>
      <c r="M438" s="1345"/>
      <c r="N438" s="1345"/>
      <c r="O438" s="1345"/>
      <c r="P438" s="1345"/>
      <c r="Q438" s="1345"/>
      <c r="R438" s="1345"/>
      <c r="S438" s="1345"/>
      <c r="T438" s="1345"/>
      <c r="U438" s="1345"/>
    </row>
    <row r="439" spans="1:21">
      <c r="A439" s="1345"/>
      <c r="B439" s="1345"/>
      <c r="C439" s="1345"/>
      <c r="D439" s="1345"/>
      <c r="E439" s="1345"/>
      <c r="F439" s="1345"/>
      <c r="G439" s="1345"/>
      <c r="H439" s="1345"/>
      <c r="I439" s="1345"/>
      <c r="J439" s="1345"/>
      <c r="K439" s="1345"/>
      <c r="L439" s="1345"/>
      <c r="M439" s="1350"/>
      <c r="N439" s="1345"/>
      <c r="O439" s="1345"/>
      <c r="P439" s="1345"/>
      <c r="Q439" s="1345"/>
      <c r="R439" s="1345"/>
      <c r="S439" s="1345"/>
      <c r="T439" s="1345"/>
      <c r="U439" s="1345"/>
    </row>
    <row r="440" spans="1:21">
      <c r="A440" s="1345"/>
      <c r="B440" s="1345"/>
      <c r="C440" s="1345"/>
      <c r="D440" s="1345"/>
      <c r="E440" s="1345"/>
      <c r="F440" s="1345"/>
      <c r="G440" s="1345"/>
      <c r="H440" s="1345"/>
      <c r="I440" s="1345"/>
      <c r="J440" s="1345"/>
      <c r="K440" s="1345"/>
      <c r="L440" s="1345"/>
      <c r="M440" s="1350"/>
      <c r="N440" s="1345"/>
      <c r="O440" s="1345"/>
      <c r="P440" s="1345"/>
      <c r="Q440" s="1345"/>
      <c r="R440" s="1345"/>
      <c r="S440" s="1345"/>
      <c r="T440" s="1345"/>
      <c r="U440" s="1345"/>
    </row>
    <row r="441" spans="1:21">
      <c r="A441" s="1345"/>
      <c r="B441" s="1345"/>
      <c r="C441" s="1345"/>
      <c r="D441" s="1345"/>
      <c r="E441" s="1345"/>
      <c r="F441" s="1345"/>
      <c r="G441" s="1345"/>
      <c r="H441" s="1345"/>
      <c r="I441" s="1345"/>
      <c r="J441" s="1345"/>
      <c r="K441" s="1345"/>
      <c r="L441" s="1345"/>
      <c r="M441" s="1350"/>
      <c r="N441" s="1345"/>
      <c r="O441" s="1345"/>
      <c r="P441" s="1345"/>
      <c r="Q441" s="1345"/>
      <c r="R441" s="1345"/>
      <c r="S441" s="1345"/>
      <c r="T441" s="1345"/>
      <c r="U441" s="1345"/>
    </row>
    <row r="442" spans="1:21">
      <c r="A442" s="1345"/>
      <c r="B442" s="1345"/>
      <c r="C442" s="1345"/>
      <c r="D442" s="1345"/>
      <c r="E442" s="1345"/>
      <c r="F442" s="1345"/>
      <c r="G442" s="1345"/>
      <c r="H442" s="1345"/>
      <c r="I442" s="1345"/>
      <c r="J442" s="1345"/>
      <c r="K442" s="1345"/>
      <c r="L442" s="1345"/>
      <c r="M442" s="1350"/>
      <c r="N442" s="1345"/>
      <c r="O442" s="1345"/>
      <c r="P442" s="1345"/>
      <c r="Q442" s="1345"/>
      <c r="R442" s="1345"/>
      <c r="S442" s="1345"/>
      <c r="T442" s="1345"/>
      <c r="U442" s="1345"/>
    </row>
    <row r="443" spans="1:21">
      <c r="A443" s="1345"/>
      <c r="B443" s="1345"/>
      <c r="C443" s="1345"/>
      <c r="D443" s="1345"/>
      <c r="E443" s="1345"/>
      <c r="F443" s="1345"/>
      <c r="G443" s="1345"/>
      <c r="H443" s="1345"/>
      <c r="I443" s="1345"/>
      <c r="J443" s="1345"/>
      <c r="K443" s="1345"/>
      <c r="L443" s="1345"/>
      <c r="M443" s="1350"/>
      <c r="N443" s="1345"/>
      <c r="O443" s="1345"/>
      <c r="P443" s="1345"/>
      <c r="Q443" s="1345"/>
      <c r="R443" s="1345"/>
      <c r="S443" s="1345"/>
      <c r="T443" s="1345"/>
      <c r="U443" s="1345"/>
    </row>
    <row r="444" spans="1:21">
      <c r="A444" s="1345"/>
      <c r="B444" s="1345"/>
      <c r="C444" s="1345"/>
      <c r="D444" s="1345"/>
      <c r="E444" s="1345"/>
      <c r="F444" s="1345"/>
      <c r="G444" s="1345"/>
      <c r="H444" s="1345"/>
      <c r="I444" s="1345"/>
      <c r="J444" s="1345"/>
      <c r="K444" s="1345"/>
      <c r="L444" s="1345"/>
      <c r="M444" s="1350"/>
      <c r="N444" s="1345"/>
      <c r="O444" s="1345"/>
      <c r="P444" s="1345"/>
      <c r="Q444" s="1345"/>
      <c r="R444" s="1345"/>
      <c r="S444" s="1345"/>
      <c r="T444" s="1345"/>
      <c r="U444" s="1345"/>
    </row>
    <row r="445" spans="1:21">
      <c r="A445" s="1345"/>
      <c r="B445" s="1345"/>
      <c r="C445" s="1345"/>
      <c r="D445" s="1345"/>
      <c r="E445" s="1345"/>
      <c r="F445" s="1345"/>
      <c r="G445" s="1345"/>
      <c r="H445" s="1345"/>
      <c r="I445" s="1345"/>
      <c r="J445" s="1345"/>
      <c r="K445" s="1345"/>
      <c r="L445" s="1345"/>
      <c r="M445" s="1350"/>
      <c r="N445" s="1345"/>
      <c r="O445" s="1345"/>
      <c r="P445" s="1345"/>
      <c r="Q445" s="1345"/>
      <c r="R445" s="1345"/>
      <c r="S445" s="1345"/>
      <c r="T445" s="1345"/>
      <c r="U445" s="1345"/>
    </row>
    <row r="446" spans="1:21">
      <c r="A446" s="1345"/>
      <c r="B446" s="1345"/>
      <c r="C446" s="1345"/>
      <c r="D446" s="1345"/>
      <c r="E446" s="1345"/>
      <c r="F446" s="1345"/>
      <c r="G446" s="1345"/>
      <c r="H446" s="1345"/>
      <c r="I446" s="1345"/>
      <c r="J446" s="1345"/>
      <c r="K446" s="1345"/>
      <c r="L446" s="1345"/>
      <c r="M446" s="1350"/>
      <c r="N446" s="1345"/>
      <c r="O446" s="1345"/>
      <c r="P446" s="1345"/>
      <c r="Q446" s="1345"/>
      <c r="R446" s="1345"/>
      <c r="S446" s="1345"/>
      <c r="T446" s="1345"/>
      <c r="U446" s="1345"/>
    </row>
    <row r="447" spans="1:21">
      <c r="A447" s="1345"/>
      <c r="B447" s="1345"/>
      <c r="C447" s="1345"/>
      <c r="D447" s="1345"/>
      <c r="E447" s="1345"/>
      <c r="F447" s="1345"/>
      <c r="G447" s="1345"/>
      <c r="H447" s="1345"/>
      <c r="I447" s="1345"/>
      <c r="J447" s="1345"/>
      <c r="K447" s="1345"/>
      <c r="L447" s="1345"/>
      <c r="M447" s="1350"/>
      <c r="N447" s="1345"/>
      <c r="O447" s="1345"/>
      <c r="P447" s="1345"/>
      <c r="Q447" s="1345"/>
      <c r="R447" s="1345"/>
      <c r="S447" s="1345"/>
      <c r="T447" s="1345"/>
      <c r="U447" s="1345"/>
    </row>
    <row r="448" spans="1:21">
      <c r="A448" s="1345"/>
      <c r="B448" s="1345"/>
      <c r="C448" s="1345"/>
      <c r="D448" s="1345"/>
      <c r="E448" s="1345"/>
      <c r="F448" s="1345"/>
      <c r="G448" s="1345"/>
      <c r="H448" s="1345"/>
      <c r="I448" s="1345"/>
      <c r="J448" s="1345"/>
      <c r="K448" s="1345"/>
      <c r="L448" s="1345"/>
      <c r="M448" s="1350"/>
      <c r="N448" s="1345"/>
      <c r="O448" s="1345"/>
      <c r="P448" s="1345"/>
      <c r="Q448" s="1345"/>
      <c r="R448" s="1345"/>
      <c r="S448" s="1345"/>
      <c r="T448" s="1345"/>
      <c r="U448" s="1345"/>
    </row>
    <row r="449" spans="1:21">
      <c r="A449" s="1345"/>
      <c r="B449" s="1345"/>
      <c r="C449" s="1345"/>
      <c r="D449" s="1345"/>
      <c r="E449" s="1345"/>
      <c r="F449" s="1345"/>
      <c r="G449" s="1345"/>
      <c r="H449" s="1345"/>
      <c r="I449" s="1345"/>
      <c r="J449" s="1345"/>
      <c r="K449" s="1345"/>
      <c r="L449" s="1345"/>
      <c r="M449" s="1350"/>
      <c r="N449" s="1345"/>
      <c r="O449" s="1345"/>
      <c r="P449" s="1345"/>
      <c r="Q449" s="1345"/>
      <c r="R449" s="1345"/>
      <c r="S449" s="1345"/>
      <c r="T449" s="1345"/>
      <c r="U449" s="1345"/>
    </row>
    <row r="450" spans="1:21">
      <c r="A450" s="1345"/>
      <c r="B450" s="1345"/>
      <c r="C450" s="1345"/>
      <c r="D450" s="1345"/>
      <c r="E450" s="1345"/>
      <c r="F450" s="1345"/>
      <c r="G450" s="1345"/>
      <c r="H450" s="1345"/>
      <c r="I450" s="1345"/>
      <c r="J450" s="1345"/>
      <c r="K450" s="1345"/>
      <c r="L450" s="1345"/>
      <c r="M450" s="1350"/>
      <c r="N450" s="1345"/>
      <c r="O450" s="1345"/>
      <c r="P450" s="1345"/>
      <c r="Q450" s="1345"/>
      <c r="R450" s="1345"/>
      <c r="S450" s="1345"/>
      <c r="T450" s="1345"/>
      <c r="U450" s="1345"/>
    </row>
    <row r="451" spans="1:21">
      <c r="A451" s="1345"/>
      <c r="B451" s="1345"/>
      <c r="C451" s="1345"/>
      <c r="D451" s="1345"/>
      <c r="E451" s="1345"/>
      <c r="F451" s="1345"/>
      <c r="G451" s="1345"/>
      <c r="H451" s="1345"/>
      <c r="I451" s="1345"/>
      <c r="J451" s="1345"/>
      <c r="K451" s="1345"/>
      <c r="L451" s="1345"/>
      <c r="M451" s="1350"/>
      <c r="N451" s="1345"/>
      <c r="O451" s="1345"/>
      <c r="P451" s="1345"/>
      <c r="Q451" s="1345"/>
      <c r="R451" s="1345"/>
      <c r="S451" s="1345"/>
      <c r="T451" s="1345"/>
      <c r="U451" s="1345"/>
    </row>
    <row r="452" spans="1:21">
      <c r="A452" s="1345"/>
      <c r="B452" s="1345"/>
      <c r="C452" s="1345"/>
      <c r="D452" s="1345"/>
      <c r="E452" s="1345"/>
      <c r="F452" s="1345"/>
      <c r="G452" s="1345"/>
      <c r="H452" s="1345"/>
      <c r="I452" s="1345"/>
      <c r="J452" s="1345"/>
      <c r="K452" s="1345"/>
      <c r="L452" s="1345"/>
      <c r="M452" s="1350"/>
      <c r="N452" s="1345"/>
      <c r="O452" s="1345"/>
      <c r="P452" s="1345"/>
      <c r="Q452" s="1345"/>
      <c r="R452" s="1345"/>
      <c r="S452" s="1345"/>
      <c r="T452" s="1345"/>
      <c r="U452" s="1345"/>
    </row>
    <row r="453" spans="1:21">
      <c r="A453" s="1345"/>
      <c r="B453" s="1345"/>
      <c r="C453" s="1345"/>
      <c r="D453" s="1345"/>
      <c r="E453" s="1345"/>
      <c r="F453" s="1345"/>
      <c r="G453" s="1345"/>
      <c r="H453" s="1345"/>
      <c r="I453" s="1345"/>
      <c r="J453" s="1345"/>
      <c r="K453" s="1345"/>
      <c r="L453" s="1345"/>
      <c r="M453" s="1350"/>
      <c r="N453" s="1345"/>
      <c r="O453" s="1345"/>
      <c r="P453" s="1345"/>
      <c r="Q453" s="1345"/>
      <c r="R453" s="1345"/>
      <c r="S453" s="1345"/>
      <c r="T453" s="1345"/>
      <c r="U453" s="1345"/>
    </row>
    <row r="454" spans="1:21">
      <c r="A454" s="1345"/>
      <c r="B454" s="1345"/>
      <c r="C454" s="1345"/>
      <c r="D454" s="1345"/>
      <c r="E454" s="1345"/>
      <c r="F454" s="1345"/>
      <c r="G454" s="1345"/>
      <c r="H454" s="1345"/>
      <c r="I454" s="1345"/>
      <c r="J454" s="1345"/>
      <c r="K454" s="1345"/>
      <c r="L454" s="1345"/>
      <c r="M454" s="1350"/>
      <c r="N454" s="1345"/>
      <c r="O454" s="1345"/>
      <c r="P454" s="1345"/>
      <c r="Q454" s="1345"/>
      <c r="R454" s="1345"/>
      <c r="S454" s="1345"/>
      <c r="T454" s="1345"/>
      <c r="U454" s="1345"/>
    </row>
    <row r="455" spans="1:21">
      <c r="A455" s="1345"/>
      <c r="B455" s="1345"/>
      <c r="C455" s="1345"/>
      <c r="D455" s="1345"/>
      <c r="E455" s="1345"/>
      <c r="F455" s="1345"/>
      <c r="G455" s="1345"/>
      <c r="H455" s="1345"/>
      <c r="I455" s="1345"/>
      <c r="J455" s="1345"/>
      <c r="K455" s="1345"/>
      <c r="L455" s="1345"/>
      <c r="M455" s="1350"/>
      <c r="N455" s="1345"/>
      <c r="O455" s="1345"/>
      <c r="P455" s="1345"/>
      <c r="Q455" s="1345"/>
      <c r="R455" s="1345"/>
      <c r="S455" s="1345"/>
      <c r="T455" s="1345"/>
      <c r="U455" s="1345"/>
    </row>
    <row r="456" spans="1:21">
      <c r="A456" s="1345"/>
      <c r="B456" s="1345"/>
      <c r="C456" s="1345"/>
      <c r="D456" s="1345"/>
      <c r="E456" s="1345"/>
      <c r="F456" s="1345"/>
      <c r="G456" s="1345"/>
      <c r="H456" s="1345"/>
      <c r="I456" s="1345"/>
      <c r="J456" s="1345"/>
      <c r="K456" s="1345"/>
      <c r="L456" s="1345"/>
      <c r="M456" s="1350"/>
      <c r="N456" s="1345"/>
      <c r="O456" s="1345"/>
      <c r="P456" s="1345"/>
      <c r="Q456" s="1345"/>
      <c r="R456" s="1345"/>
      <c r="S456" s="1345"/>
      <c r="T456" s="1345"/>
      <c r="U456" s="1345"/>
    </row>
    <row r="457" spans="1:21">
      <c r="A457" s="1345"/>
      <c r="B457" s="1345"/>
      <c r="C457" s="1345"/>
      <c r="D457" s="1345"/>
      <c r="E457" s="1345"/>
      <c r="F457" s="1345"/>
      <c r="G457" s="1345"/>
      <c r="H457" s="1345"/>
      <c r="I457" s="1345"/>
      <c r="J457" s="1345"/>
      <c r="K457" s="1345"/>
      <c r="L457" s="1345"/>
      <c r="M457" s="1350"/>
      <c r="N457" s="1345"/>
      <c r="O457" s="1345"/>
      <c r="P457" s="1345"/>
      <c r="Q457" s="1345"/>
      <c r="R457" s="1345"/>
      <c r="S457" s="1345"/>
      <c r="T457" s="1345"/>
      <c r="U457" s="1345"/>
    </row>
    <row r="458" spans="1:21">
      <c r="A458" s="1345"/>
      <c r="B458" s="1345"/>
      <c r="C458" s="1345"/>
      <c r="D458" s="1345"/>
      <c r="E458" s="1345"/>
      <c r="F458" s="1345"/>
      <c r="G458" s="1345"/>
      <c r="H458" s="1345"/>
      <c r="I458" s="1345"/>
      <c r="J458" s="1345"/>
      <c r="K458" s="1345"/>
      <c r="L458" s="1345"/>
      <c r="M458" s="1350"/>
      <c r="N458" s="1345"/>
      <c r="O458" s="1345"/>
      <c r="P458" s="1345"/>
      <c r="Q458" s="1345"/>
      <c r="R458" s="1345"/>
      <c r="S458" s="1345"/>
      <c r="T458" s="1345"/>
      <c r="U458" s="1345"/>
    </row>
    <row r="459" spans="1:21">
      <c r="A459" s="1345"/>
      <c r="B459" s="1345"/>
      <c r="C459" s="1345"/>
      <c r="D459" s="1345"/>
      <c r="E459" s="1345"/>
      <c r="F459" s="1345"/>
      <c r="G459" s="1345"/>
      <c r="H459" s="1345"/>
      <c r="I459" s="1345"/>
      <c r="J459" s="1345"/>
      <c r="K459" s="1345"/>
      <c r="L459" s="1345"/>
      <c r="M459" s="1350"/>
      <c r="N459" s="1345"/>
      <c r="O459" s="1345"/>
      <c r="P459" s="1345"/>
      <c r="Q459" s="1345"/>
      <c r="R459" s="1345"/>
      <c r="S459" s="1345"/>
      <c r="T459" s="1345"/>
      <c r="U459" s="1345"/>
    </row>
    <row r="460" spans="1:21">
      <c r="A460" s="1345"/>
      <c r="B460" s="1345"/>
      <c r="C460" s="1345"/>
      <c r="D460" s="1345"/>
      <c r="E460" s="1345"/>
      <c r="F460" s="1345"/>
      <c r="G460" s="1345"/>
      <c r="H460" s="1345"/>
      <c r="I460" s="1345"/>
      <c r="J460" s="1345"/>
      <c r="K460" s="1345"/>
      <c r="L460" s="1345"/>
      <c r="M460" s="1350"/>
      <c r="N460" s="1345"/>
      <c r="O460" s="1345"/>
      <c r="P460" s="1345"/>
      <c r="Q460" s="1345"/>
      <c r="R460" s="1345"/>
      <c r="S460" s="1345"/>
      <c r="T460" s="1345"/>
      <c r="U460" s="1345"/>
    </row>
    <row r="461" spans="1:21">
      <c r="A461" s="1345"/>
      <c r="B461" s="1345"/>
      <c r="C461" s="1345"/>
      <c r="D461" s="1345"/>
      <c r="E461" s="1345"/>
      <c r="F461" s="1345"/>
      <c r="G461" s="1345"/>
      <c r="H461" s="1345"/>
      <c r="I461" s="1345"/>
      <c r="J461" s="1345"/>
      <c r="K461" s="1345"/>
      <c r="L461" s="1345"/>
      <c r="M461" s="1350"/>
      <c r="N461" s="1345"/>
      <c r="O461" s="1345"/>
      <c r="P461" s="1345"/>
      <c r="Q461" s="1345"/>
      <c r="R461" s="1345"/>
      <c r="S461" s="1345"/>
      <c r="T461" s="1345"/>
      <c r="U461" s="1345"/>
    </row>
    <row r="462" spans="1:21">
      <c r="A462" s="1345"/>
      <c r="B462" s="1345"/>
      <c r="C462" s="1345"/>
      <c r="D462" s="1345"/>
      <c r="E462" s="1345"/>
      <c r="F462" s="1345"/>
      <c r="G462" s="1345"/>
      <c r="H462" s="1345"/>
      <c r="I462" s="1345"/>
      <c r="J462" s="1345"/>
      <c r="K462" s="1345"/>
      <c r="L462" s="1345"/>
      <c r="M462" s="1350"/>
      <c r="N462" s="1345"/>
      <c r="O462" s="1345"/>
      <c r="P462" s="1345"/>
      <c r="Q462" s="1345"/>
      <c r="R462" s="1345"/>
      <c r="S462" s="1345"/>
      <c r="T462" s="1345"/>
      <c r="U462" s="1345"/>
    </row>
    <row r="463" spans="1:21">
      <c r="A463" s="1345"/>
      <c r="B463" s="1345"/>
      <c r="C463" s="1345"/>
      <c r="D463" s="1345"/>
      <c r="E463" s="1345"/>
      <c r="F463" s="1345"/>
      <c r="G463" s="1345"/>
      <c r="H463" s="1345"/>
      <c r="I463" s="1345"/>
      <c r="J463" s="1345"/>
      <c r="K463" s="1345"/>
      <c r="L463" s="1345"/>
      <c r="M463" s="1350"/>
      <c r="N463" s="1345"/>
      <c r="O463" s="1345"/>
      <c r="P463" s="1345"/>
      <c r="Q463" s="1345"/>
      <c r="R463" s="1345"/>
      <c r="S463" s="1345"/>
      <c r="T463" s="1345"/>
      <c r="U463" s="1345"/>
    </row>
    <row r="464" spans="1:21">
      <c r="A464" s="1345"/>
      <c r="B464" s="1345"/>
      <c r="C464" s="1345"/>
      <c r="D464" s="1345"/>
      <c r="E464" s="1345"/>
      <c r="F464" s="1345"/>
      <c r="G464" s="1345"/>
      <c r="H464" s="1345"/>
      <c r="I464" s="1345"/>
      <c r="J464" s="1345"/>
      <c r="K464" s="1345"/>
      <c r="L464" s="1345"/>
      <c r="M464" s="1350"/>
      <c r="N464" s="1345"/>
      <c r="O464" s="1345"/>
      <c r="P464" s="1345"/>
      <c r="Q464" s="1345"/>
      <c r="R464" s="1345"/>
      <c r="S464" s="1345"/>
      <c r="T464" s="1345"/>
      <c r="U464" s="1345"/>
    </row>
    <row r="465" spans="1:21">
      <c r="A465" s="1345"/>
      <c r="B465" s="1345"/>
      <c r="C465" s="1345"/>
      <c r="D465" s="1345"/>
      <c r="E465" s="1345"/>
      <c r="F465" s="1345"/>
      <c r="G465" s="1345"/>
      <c r="H465" s="1345"/>
      <c r="I465" s="1345"/>
      <c r="J465" s="1345"/>
      <c r="K465" s="1345"/>
      <c r="L465" s="1345"/>
      <c r="M465" s="1350"/>
      <c r="N465" s="1345"/>
      <c r="O465" s="1345"/>
      <c r="P465" s="1345"/>
      <c r="Q465" s="1345"/>
      <c r="R465" s="1345"/>
      <c r="S465" s="1345"/>
      <c r="T465" s="1345"/>
      <c r="U465" s="1345"/>
    </row>
    <row r="466" spans="1:21">
      <c r="A466" s="1345"/>
      <c r="B466" s="1345"/>
      <c r="C466" s="1345"/>
      <c r="D466" s="1345"/>
      <c r="E466" s="1345"/>
      <c r="F466" s="1345"/>
      <c r="G466" s="1345"/>
      <c r="H466" s="1345"/>
      <c r="I466" s="1345"/>
      <c r="J466" s="1345"/>
      <c r="K466" s="1345"/>
      <c r="L466" s="1345"/>
      <c r="M466" s="1350"/>
      <c r="N466" s="1345"/>
      <c r="O466" s="1345"/>
      <c r="P466" s="1345"/>
      <c r="Q466" s="1345"/>
      <c r="R466" s="1345"/>
      <c r="S466" s="1345"/>
      <c r="T466" s="1345"/>
      <c r="U466" s="1345"/>
    </row>
    <row r="467" spans="1:21">
      <c r="A467" s="1345"/>
      <c r="B467" s="1345"/>
      <c r="C467" s="1345"/>
      <c r="D467" s="1345"/>
      <c r="E467" s="1345"/>
      <c r="F467" s="1345"/>
      <c r="G467" s="1345"/>
      <c r="H467" s="1345"/>
      <c r="I467" s="1345"/>
      <c r="J467" s="1345"/>
      <c r="K467" s="1345"/>
      <c r="L467" s="1345"/>
      <c r="M467" s="1350"/>
      <c r="N467" s="1345"/>
      <c r="O467" s="1345"/>
      <c r="P467" s="1345"/>
      <c r="Q467" s="1345"/>
      <c r="R467" s="1345"/>
      <c r="S467" s="1345"/>
      <c r="T467" s="1345"/>
      <c r="U467" s="1345"/>
    </row>
    <row r="468" spans="1:21">
      <c r="A468" s="1345"/>
      <c r="B468" s="1345"/>
      <c r="C468" s="1345"/>
      <c r="D468" s="1345"/>
      <c r="E468" s="1345"/>
      <c r="F468" s="1345"/>
      <c r="G468" s="1345"/>
      <c r="H468" s="1345"/>
      <c r="I468" s="1345"/>
      <c r="J468" s="1345"/>
      <c r="K468" s="1345"/>
      <c r="L468" s="1345"/>
      <c r="M468" s="1350"/>
      <c r="N468" s="1345"/>
      <c r="O468" s="1345"/>
      <c r="P468" s="1345"/>
      <c r="Q468" s="1345"/>
      <c r="R468" s="1345"/>
      <c r="S468" s="1345"/>
      <c r="T468" s="1345"/>
      <c r="U468" s="1345"/>
    </row>
    <row r="469" spans="1:21">
      <c r="A469" s="1345"/>
      <c r="B469" s="1345"/>
      <c r="C469" s="1345"/>
      <c r="D469" s="1345"/>
      <c r="E469" s="1345"/>
      <c r="F469" s="1345"/>
      <c r="G469" s="1345"/>
      <c r="H469" s="1345"/>
      <c r="I469" s="1345"/>
      <c r="J469" s="1345"/>
      <c r="K469" s="1345"/>
      <c r="L469" s="1345"/>
      <c r="M469" s="1350"/>
      <c r="N469" s="1345"/>
      <c r="O469" s="1345"/>
      <c r="P469" s="1345"/>
      <c r="Q469" s="1345"/>
      <c r="R469" s="1345"/>
      <c r="S469" s="1345"/>
      <c r="T469" s="1345"/>
      <c r="U469" s="1345"/>
    </row>
    <row r="470" spans="1:21">
      <c r="A470" s="1345"/>
      <c r="B470" s="1345"/>
      <c r="C470" s="1345"/>
      <c r="D470" s="1345"/>
      <c r="E470" s="1345"/>
      <c r="F470" s="1345"/>
      <c r="G470" s="1345"/>
      <c r="H470" s="1345"/>
      <c r="I470" s="1345"/>
      <c r="J470" s="1345"/>
      <c r="K470" s="1345"/>
      <c r="L470" s="1345"/>
      <c r="M470" s="1350"/>
      <c r="N470" s="1345"/>
      <c r="O470" s="1345"/>
      <c r="P470" s="1345"/>
      <c r="Q470" s="1345"/>
      <c r="R470" s="1345"/>
      <c r="S470" s="1345"/>
      <c r="T470" s="1345"/>
      <c r="U470" s="1345"/>
    </row>
    <row r="471" spans="1:21">
      <c r="A471" s="1345"/>
      <c r="B471" s="1345"/>
      <c r="C471" s="1345"/>
      <c r="D471" s="1345"/>
      <c r="E471" s="1345"/>
      <c r="F471" s="1345"/>
      <c r="G471" s="1345"/>
      <c r="H471" s="1345"/>
      <c r="I471" s="1345"/>
      <c r="J471" s="1345"/>
      <c r="K471" s="1345"/>
      <c r="L471" s="1345"/>
      <c r="M471" s="1350"/>
      <c r="N471" s="1345"/>
      <c r="O471" s="1345"/>
      <c r="P471" s="1345"/>
      <c r="Q471" s="1345"/>
      <c r="R471" s="1345"/>
      <c r="S471" s="1345"/>
      <c r="T471" s="1345"/>
      <c r="U471" s="1345"/>
    </row>
    <row r="472" spans="1:21">
      <c r="A472" s="1345"/>
      <c r="B472" s="1345"/>
      <c r="C472" s="1345"/>
      <c r="D472" s="1345"/>
      <c r="E472" s="1345"/>
      <c r="F472" s="1345"/>
      <c r="G472" s="1345"/>
      <c r="H472" s="1345"/>
      <c r="I472" s="1345"/>
      <c r="J472" s="1345"/>
      <c r="K472" s="1345"/>
      <c r="L472" s="1345"/>
      <c r="M472" s="1350"/>
      <c r="N472" s="1345"/>
      <c r="O472" s="1345"/>
      <c r="P472" s="1345"/>
      <c r="Q472" s="1345"/>
      <c r="R472" s="1345"/>
      <c r="S472" s="1345"/>
      <c r="T472" s="1345"/>
      <c r="U472" s="1345"/>
    </row>
    <row r="473" spans="1:21">
      <c r="A473" s="1345"/>
      <c r="B473" s="1345"/>
      <c r="C473" s="1345"/>
      <c r="D473" s="1345"/>
      <c r="E473" s="1345"/>
      <c r="F473" s="1345"/>
      <c r="G473" s="1345"/>
      <c r="H473" s="1345"/>
      <c r="I473" s="1345"/>
      <c r="J473" s="1345"/>
      <c r="K473" s="1345"/>
      <c r="L473" s="1345"/>
      <c r="M473" s="1350"/>
      <c r="N473" s="1345"/>
      <c r="O473" s="1345"/>
      <c r="P473" s="1345"/>
      <c r="Q473" s="1345"/>
      <c r="R473" s="1345"/>
      <c r="S473" s="1345"/>
      <c r="T473" s="1345"/>
      <c r="U473" s="1345"/>
    </row>
    <row r="474" spans="1:21">
      <c r="A474" s="1345"/>
      <c r="B474" s="1345"/>
      <c r="C474" s="1345"/>
      <c r="D474" s="1345"/>
      <c r="E474" s="1345"/>
      <c r="F474" s="1345"/>
      <c r="G474" s="1345"/>
      <c r="H474" s="1345"/>
      <c r="I474" s="1345"/>
      <c r="J474" s="1345"/>
      <c r="K474" s="1345"/>
      <c r="L474" s="1345"/>
      <c r="M474" s="1350"/>
      <c r="N474" s="1345"/>
      <c r="O474" s="1345"/>
      <c r="P474" s="1345"/>
      <c r="Q474" s="1345"/>
      <c r="R474" s="1345"/>
      <c r="S474" s="1345"/>
      <c r="T474" s="1345"/>
      <c r="U474" s="1345"/>
    </row>
    <row r="475" spans="1:21">
      <c r="A475" s="1345"/>
      <c r="B475" s="1345"/>
      <c r="C475" s="1345"/>
      <c r="D475" s="1345"/>
      <c r="E475" s="1345"/>
      <c r="F475" s="1345"/>
      <c r="G475" s="1345"/>
      <c r="H475" s="1345"/>
      <c r="I475" s="1345"/>
      <c r="J475" s="1345"/>
      <c r="K475" s="1345"/>
      <c r="L475" s="1345"/>
      <c r="M475" s="1345"/>
      <c r="N475" s="1345"/>
      <c r="O475" s="1345"/>
      <c r="P475" s="1345"/>
      <c r="Q475" s="1345"/>
      <c r="R475" s="1345"/>
      <c r="S475" s="1345"/>
      <c r="T475" s="1345"/>
      <c r="U475" s="1345"/>
    </row>
    <row r="476" spans="1:21">
      <c r="A476" s="1345"/>
      <c r="B476" s="1345"/>
      <c r="C476" s="1345"/>
      <c r="D476" s="1345"/>
      <c r="E476" s="1345"/>
      <c r="F476" s="1345"/>
      <c r="G476" s="1345"/>
      <c r="H476" s="1345"/>
      <c r="I476" s="1345"/>
      <c r="J476" s="1345"/>
      <c r="K476" s="1345"/>
      <c r="L476" s="1345"/>
      <c r="M476" s="1350"/>
      <c r="N476" s="1345"/>
      <c r="O476" s="1345"/>
      <c r="P476" s="1345"/>
      <c r="Q476" s="1345"/>
      <c r="R476" s="1345"/>
      <c r="S476" s="1345"/>
      <c r="T476" s="1345"/>
      <c r="U476" s="1345"/>
    </row>
    <row r="477" spans="1:21">
      <c r="A477" s="1345"/>
      <c r="B477" s="1345"/>
      <c r="C477" s="1345"/>
      <c r="D477" s="1345"/>
      <c r="E477" s="1345"/>
      <c r="F477" s="1345"/>
      <c r="G477" s="1345"/>
      <c r="H477" s="1345"/>
      <c r="I477" s="1345"/>
      <c r="J477" s="1345"/>
      <c r="K477" s="1345"/>
      <c r="L477" s="1345"/>
      <c r="M477" s="1345"/>
      <c r="N477" s="1345"/>
      <c r="O477" s="1345"/>
      <c r="P477" s="1345"/>
      <c r="Q477" s="1345"/>
      <c r="R477" s="1345"/>
      <c r="S477" s="1345"/>
      <c r="T477" s="1345"/>
      <c r="U477" s="1345"/>
    </row>
    <row r="478" spans="1:21">
      <c r="A478" s="1345"/>
      <c r="B478" s="1345"/>
      <c r="C478" s="1345"/>
      <c r="D478" s="1345"/>
      <c r="E478" s="1345"/>
      <c r="F478" s="1345"/>
      <c r="G478" s="1345"/>
      <c r="H478" s="1345"/>
      <c r="I478" s="1345"/>
      <c r="J478" s="1345"/>
      <c r="K478" s="1345"/>
      <c r="L478" s="1345"/>
      <c r="M478" s="1350"/>
      <c r="N478" s="1345"/>
      <c r="O478" s="1345"/>
      <c r="P478" s="1345"/>
      <c r="Q478" s="1345"/>
      <c r="R478" s="1345"/>
      <c r="S478" s="1345"/>
      <c r="T478" s="1345"/>
      <c r="U478" s="1345"/>
    </row>
    <row r="479" spans="1:21">
      <c r="A479" s="1345"/>
      <c r="B479" s="1345"/>
      <c r="C479" s="1345"/>
      <c r="D479" s="1345"/>
      <c r="E479" s="1345"/>
      <c r="F479" s="1345"/>
      <c r="G479" s="1345"/>
      <c r="H479" s="1345"/>
      <c r="I479" s="1345"/>
      <c r="J479" s="1345"/>
      <c r="K479" s="1345"/>
      <c r="L479" s="1345"/>
      <c r="M479" s="1350"/>
      <c r="N479" s="1345"/>
      <c r="O479" s="1345"/>
      <c r="P479" s="1345"/>
      <c r="Q479" s="1345"/>
      <c r="R479" s="1345"/>
      <c r="S479" s="1345"/>
      <c r="T479" s="1345"/>
      <c r="U479" s="1345"/>
    </row>
    <row r="480" spans="1:21">
      <c r="A480" s="1345"/>
      <c r="B480" s="1345"/>
      <c r="C480" s="1345"/>
      <c r="D480" s="1345"/>
      <c r="E480" s="1345"/>
      <c r="F480" s="1345"/>
      <c r="G480" s="1345"/>
      <c r="H480" s="1345"/>
      <c r="I480" s="1345"/>
      <c r="J480" s="1345"/>
      <c r="K480" s="1345"/>
      <c r="L480" s="1345"/>
      <c r="M480" s="1350"/>
      <c r="N480" s="1345"/>
      <c r="O480" s="1345"/>
      <c r="P480" s="1345"/>
      <c r="Q480" s="1345"/>
      <c r="R480" s="1345"/>
      <c r="S480" s="1345"/>
      <c r="T480" s="1345"/>
      <c r="U480" s="1345"/>
    </row>
    <row r="481" spans="1:21">
      <c r="A481" s="1345"/>
      <c r="B481" s="1345"/>
      <c r="C481" s="1345"/>
      <c r="D481" s="1345"/>
      <c r="E481" s="1345"/>
      <c r="F481" s="1345"/>
      <c r="G481" s="1345"/>
      <c r="H481" s="1345"/>
      <c r="I481" s="1345"/>
      <c r="J481" s="1345"/>
      <c r="K481" s="1345"/>
      <c r="L481" s="1345"/>
      <c r="M481" s="1350"/>
      <c r="N481" s="1345"/>
      <c r="O481" s="1345"/>
      <c r="P481" s="1345"/>
      <c r="Q481" s="1345"/>
      <c r="R481" s="1345"/>
      <c r="S481" s="1345"/>
      <c r="T481" s="1345"/>
      <c r="U481" s="1345"/>
    </row>
    <row r="482" spans="1:21">
      <c r="A482" s="1345"/>
      <c r="B482" s="1345"/>
      <c r="C482" s="1345"/>
      <c r="D482" s="1345"/>
      <c r="E482" s="1345"/>
      <c r="F482" s="1345"/>
      <c r="G482" s="1345"/>
      <c r="H482" s="1345"/>
      <c r="I482" s="1345"/>
      <c r="J482" s="1345"/>
      <c r="K482" s="1345"/>
      <c r="L482" s="1345"/>
      <c r="M482" s="1350"/>
      <c r="N482" s="1345"/>
      <c r="O482" s="1345"/>
      <c r="P482" s="1345"/>
      <c r="Q482" s="1345"/>
      <c r="R482" s="1345"/>
      <c r="S482" s="1345"/>
      <c r="T482" s="1345"/>
      <c r="U482" s="1345"/>
    </row>
    <row r="483" spans="1:21">
      <c r="A483" s="1345"/>
      <c r="B483" s="1345"/>
      <c r="C483" s="1345"/>
      <c r="D483" s="1345"/>
      <c r="E483" s="1345"/>
      <c r="F483" s="1345"/>
      <c r="G483" s="1345"/>
      <c r="H483" s="1345"/>
      <c r="I483" s="1345"/>
      <c r="J483" s="1345"/>
      <c r="K483" s="1345"/>
      <c r="L483" s="1345"/>
      <c r="M483" s="1345"/>
      <c r="N483" s="1345"/>
      <c r="O483" s="1345"/>
      <c r="P483" s="1345"/>
      <c r="Q483" s="1345"/>
      <c r="R483" s="1345"/>
      <c r="S483" s="1345"/>
      <c r="T483" s="1345"/>
      <c r="U483" s="1345"/>
    </row>
    <row r="484" spans="1:21">
      <c r="A484" s="1345"/>
      <c r="B484" s="1345"/>
      <c r="C484" s="1345"/>
      <c r="D484" s="1345"/>
      <c r="E484" s="1345"/>
      <c r="F484" s="1345"/>
      <c r="G484" s="1345"/>
      <c r="H484" s="1345"/>
      <c r="I484" s="1345"/>
      <c r="J484" s="1345"/>
      <c r="K484" s="1345"/>
      <c r="L484" s="1345"/>
      <c r="M484" s="1350"/>
      <c r="N484" s="1345"/>
      <c r="O484" s="1345"/>
      <c r="P484" s="1345"/>
      <c r="Q484" s="1345"/>
      <c r="R484" s="1345"/>
      <c r="S484" s="1345"/>
      <c r="T484" s="1345"/>
      <c r="U484" s="1345"/>
    </row>
    <row r="485" spans="1:21">
      <c r="A485" s="1345"/>
      <c r="B485" s="1345"/>
      <c r="C485" s="1345"/>
      <c r="D485" s="1345"/>
      <c r="E485" s="1345"/>
      <c r="F485" s="1345"/>
      <c r="G485" s="1345"/>
      <c r="H485" s="1345"/>
      <c r="I485" s="1345"/>
      <c r="J485" s="1345"/>
      <c r="K485" s="1345"/>
      <c r="L485" s="1345"/>
      <c r="M485" s="1350"/>
      <c r="N485" s="1345"/>
      <c r="O485" s="1345"/>
      <c r="P485" s="1345"/>
      <c r="Q485" s="1345"/>
      <c r="R485" s="1345"/>
      <c r="S485" s="1345"/>
      <c r="T485" s="1345"/>
      <c r="U485" s="1345"/>
    </row>
    <row r="486" spans="1:21">
      <c r="A486" s="1345"/>
      <c r="B486" s="1345"/>
      <c r="C486" s="1345"/>
      <c r="D486" s="1345"/>
      <c r="E486" s="1345"/>
      <c r="F486" s="1345"/>
      <c r="G486" s="1345"/>
      <c r="H486" s="1345"/>
      <c r="I486" s="1345"/>
      <c r="J486" s="1345"/>
      <c r="K486" s="1345"/>
      <c r="L486" s="1345"/>
      <c r="M486" s="1350"/>
      <c r="N486" s="1345"/>
      <c r="O486" s="1345"/>
      <c r="P486" s="1345"/>
      <c r="Q486" s="1345"/>
      <c r="R486" s="1345"/>
      <c r="S486" s="1345"/>
      <c r="T486" s="1345"/>
      <c r="U486" s="1345"/>
    </row>
    <row r="487" spans="1:21">
      <c r="A487" s="1345"/>
      <c r="B487" s="1345"/>
      <c r="C487" s="1345"/>
      <c r="D487" s="1345"/>
      <c r="E487" s="1345"/>
      <c r="F487" s="1345"/>
      <c r="G487" s="1345"/>
      <c r="H487" s="1345"/>
      <c r="I487" s="1345"/>
      <c r="J487" s="1345"/>
      <c r="K487" s="1345"/>
      <c r="L487" s="1345"/>
      <c r="M487" s="1350"/>
      <c r="N487" s="1345"/>
      <c r="O487" s="1345"/>
      <c r="P487" s="1345"/>
      <c r="Q487" s="1345"/>
      <c r="R487" s="1345"/>
      <c r="S487" s="1345"/>
      <c r="T487" s="1345"/>
      <c r="U487" s="1345"/>
    </row>
    <row r="488" spans="1:21">
      <c r="A488" s="1345"/>
      <c r="B488" s="1345"/>
      <c r="C488" s="1345"/>
      <c r="D488" s="1345"/>
      <c r="E488" s="1345"/>
      <c r="F488" s="1345"/>
      <c r="G488" s="1345"/>
      <c r="H488" s="1345"/>
      <c r="I488" s="1345"/>
      <c r="J488" s="1345"/>
      <c r="K488" s="1345"/>
      <c r="L488" s="1345"/>
      <c r="M488" s="1350"/>
      <c r="N488" s="1345"/>
      <c r="O488" s="1345"/>
      <c r="P488" s="1345"/>
      <c r="Q488" s="1345"/>
      <c r="R488" s="1345"/>
      <c r="S488" s="1345"/>
      <c r="T488" s="1345"/>
      <c r="U488" s="1345"/>
    </row>
    <row r="489" spans="1:21">
      <c r="A489" s="1345"/>
      <c r="B489" s="1345"/>
      <c r="C489" s="1345"/>
      <c r="D489" s="1345"/>
      <c r="E489" s="1345"/>
      <c r="F489" s="1345"/>
      <c r="G489" s="1345"/>
      <c r="H489" s="1345"/>
      <c r="I489" s="1345"/>
      <c r="J489" s="1345"/>
      <c r="K489" s="1345"/>
      <c r="L489" s="1345"/>
      <c r="M489" s="1350"/>
      <c r="N489" s="1345"/>
      <c r="O489" s="1345"/>
      <c r="P489" s="1345"/>
      <c r="Q489" s="1345"/>
      <c r="R489" s="1345"/>
      <c r="S489" s="1345"/>
      <c r="T489" s="1345"/>
      <c r="U489" s="1345"/>
    </row>
    <row r="490" spans="1:21">
      <c r="A490" s="1345"/>
      <c r="B490" s="1345"/>
      <c r="C490" s="1345"/>
      <c r="D490" s="1345"/>
      <c r="E490" s="1345"/>
      <c r="F490" s="1345"/>
      <c r="G490" s="1345"/>
      <c r="H490" s="1345"/>
      <c r="I490" s="1345"/>
      <c r="J490" s="1345"/>
      <c r="K490" s="1345"/>
      <c r="L490" s="1345"/>
      <c r="M490" s="1350"/>
      <c r="N490" s="1345"/>
      <c r="O490" s="1345"/>
      <c r="P490" s="1345"/>
      <c r="Q490" s="1345"/>
      <c r="R490" s="1345"/>
      <c r="S490" s="1345"/>
      <c r="T490" s="1345"/>
      <c r="U490" s="1345"/>
    </row>
    <row r="491" spans="1:21">
      <c r="A491" s="1345"/>
      <c r="B491" s="1345"/>
      <c r="C491" s="1345"/>
      <c r="D491" s="1345"/>
      <c r="E491" s="1345"/>
      <c r="F491" s="1345"/>
      <c r="G491" s="1345"/>
      <c r="H491" s="1345"/>
      <c r="I491" s="1345"/>
      <c r="J491" s="1345"/>
      <c r="K491" s="1345"/>
      <c r="L491" s="1345"/>
      <c r="M491" s="1350"/>
      <c r="N491" s="1345"/>
      <c r="O491" s="1345"/>
      <c r="P491" s="1345"/>
      <c r="Q491" s="1345"/>
      <c r="R491" s="1345"/>
      <c r="S491" s="1345"/>
      <c r="T491" s="1345"/>
      <c r="U491" s="1345"/>
    </row>
    <row r="492" spans="1:21">
      <c r="A492" s="1345"/>
      <c r="B492" s="1345"/>
      <c r="C492" s="1345"/>
      <c r="D492" s="1345"/>
      <c r="E492" s="1345"/>
      <c r="F492" s="1345"/>
      <c r="G492" s="1345"/>
      <c r="H492" s="1345"/>
      <c r="I492" s="1345"/>
      <c r="J492" s="1345"/>
      <c r="K492" s="1345"/>
      <c r="L492" s="1345"/>
      <c r="M492" s="1350"/>
      <c r="N492" s="1345"/>
      <c r="O492" s="1345"/>
      <c r="P492" s="1345"/>
      <c r="Q492" s="1345"/>
      <c r="R492" s="1345"/>
      <c r="S492" s="1345"/>
      <c r="T492" s="1345"/>
      <c r="U492" s="1345"/>
    </row>
    <row r="493" spans="1:21">
      <c r="A493" s="1345"/>
      <c r="B493" s="1345"/>
      <c r="C493" s="1345"/>
      <c r="D493" s="1345"/>
      <c r="E493" s="1345"/>
      <c r="F493" s="1345"/>
      <c r="G493" s="1345"/>
      <c r="H493" s="1345"/>
      <c r="I493" s="1345"/>
      <c r="J493" s="1345"/>
      <c r="K493" s="1345"/>
      <c r="L493" s="1345"/>
      <c r="M493" s="1345"/>
      <c r="N493" s="1345"/>
      <c r="O493" s="1345"/>
      <c r="P493" s="1345"/>
      <c r="Q493" s="1345"/>
      <c r="R493" s="1345"/>
      <c r="S493" s="1345"/>
      <c r="T493" s="1345"/>
      <c r="U493" s="1345"/>
    </row>
    <row r="494" spans="1:21">
      <c r="A494" s="1345"/>
      <c r="B494" s="1345"/>
      <c r="C494" s="1345"/>
      <c r="D494" s="1345"/>
      <c r="E494" s="1345"/>
      <c r="F494" s="1345"/>
      <c r="G494" s="1345"/>
      <c r="H494" s="1345"/>
      <c r="I494" s="1345"/>
      <c r="J494" s="1345"/>
      <c r="K494" s="1345"/>
      <c r="L494" s="1345"/>
      <c r="M494" s="1350"/>
      <c r="N494" s="1345"/>
      <c r="O494" s="1345"/>
      <c r="P494" s="1345"/>
      <c r="Q494" s="1345"/>
      <c r="R494" s="1345"/>
      <c r="S494" s="1345"/>
      <c r="T494" s="1345"/>
      <c r="U494" s="1345"/>
    </row>
    <row r="495" spans="1:21">
      <c r="A495" s="1345"/>
      <c r="B495" s="1345"/>
      <c r="C495" s="1345"/>
      <c r="D495" s="1345"/>
      <c r="E495" s="1345"/>
      <c r="F495" s="1345"/>
      <c r="G495" s="1345"/>
      <c r="H495" s="1345"/>
      <c r="I495" s="1345"/>
      <c r="J495" s="1345"/>
      <c r="K495" s="1345"/>
      <c r="L495" s="1345"/>
      <c r="M495" s="1350"/>
      <c r="N495" s="1345"/>
      <c r="O495" s="1345"/>
      <c r="P495" s="1345"/>
      <c r="Q495" s="1345"/>
      <c r="R495" s="1345"/>
      <c r="S495" s="1345"/>
      <c r="T495" s="1345"/>
      <c r="U495" s="1345"/>
    </row>
    <row r="496" spans="1:21">
      <c r="A496" s="1345"/>
      <c r="B496" s="1345"/>
      <c r="C496" s="1345"/>
      <c r="D496" s="1345"/>
      <c r="E496" s="1345"/>
      <c r="F496" s="1345"/>
      <c r="G496" s="1345"/>
      <c r="H496" s="1345"/>
      <c r="I496" s="1345"/>
      <c r="J496" s="1345"/>
      <c r="K496" s="1345"/>
      <c r="L496" s="1345"/>
      <c r="M496" s="1350"/>
      <c r="N496" s="1345"/>
      <c r="O496" s="1345"/>
      <c r="P496" s="1345"/>
      <c r="Q496" s="1345"/>
      <c r="R496" s="1345"/>
      <c r="S496" s="1345"/>
      <c r="T496" s="1345"/>
      <c r="U496" s="1345"/>
    </row>
    <row r="497" spans="1:21">
      <c r="A497" s="1345"/>
      <c r="B497" s="1345"/>
      <c r="C497" s="1345"/>
      <c r="D497" s="1345"/>
      <c r="E497" s="1345"/>
      <c r="F497" s="1345"/>
      <c r="G497" s="1345"/>
      <c r="H497" s="1345"/>
      <c r="I497" s="1345"/>
      <c r="J497" s="1345"/>
      <c r="K497" s="1345"/>
      <c r="L497" s="1345"/>
      <c r="M497" s="1350"/>
      <c r="N497" s="1345"/>
      <c r="O497" s="1345"/>
      <c r="P497" s="1345"/>
      <c r="Q497" s="1345"/>
      <c r="R497" s="1345"/>
      <c r="S497" s="1345"/>
      <c r="T497" s="1345"/>
      <c r="U497" s="1345"/>
    </row>
    <row r="498" spans="1:21">
      <c r="A498" s="1345"/>
      <c r="B498" s="1345"/>
      <c r="C498" s="1345"/>
      <c r="D498" s="1345"/>
      <c r="E498" s="1345"/>
      <c r="F498" s="1345"/>
      <c r="G498" s="1345"/>
      <c r="H498" s="1345"/>
      <c r="I498" s="1345"/>
      <c r="J498" s="1345"/>
      <c r="K498" s="1345"/>
      <c r="L498" s="1345"/>
      <c r="M498" s="1350"/>
      <c r="N498" s="1345"/>
      <c r="O498" s="1345"/>
      <c r="P498" s="1345"/>
      <c r="Q498" s="1345"/>
      <c r="R498" s="1345"/>
      <c r="S498" s="1345"/>
      <c r="T498" s="1345"/>
      <c r="U498" s="1345"/>
    </row>
    <row r="499" spans="1:21">
      <c r="A499" s="1345"/>
      <c r="B499" s="1345"/>
      <c r="C499" s="1345"/>
      <c r="D499" s="1345"/>
      <c r="E499" s="1345"/>
      <c r="F499" s="1345"/>
      <c r="G499" s="1345"/>
      <c r="H499" s="1345"/>
      <c r="I499" s="1345"/>
      <c r="J499" s="1345"/>
      <c r="K499" s="1345"/>
      <c r="L499" s="1345"/>
      <c r="M499" s="1350"/>
      <c r="N499" s="1345"/>
      <c r="O499" s="1345"/>
      <c r="P499" s="1345"/>
      <c r="Q499" s="1345"/>
      <c r="R499" s="1345"/>
      <c r="S499" s="1345"/>
      <c r="T499" s="1345"/>
      <c r="U499" s="1345"/>
    </row>
    <row r="500" spans="1:21">
      <c r="A500" s="1345"/>
      <c r="B500" s="1345"/>
      <c r="C500" s="1345"/>
      <c r="D500" s="1345"/>
      <c r="E500" s="1345"/>
      <c r="F500" s="1345"/>
      <c r="G500" s="1345"/>
      <c r="H500" s="1345"/>
      <c r="I500" s="1345"/>
      <c r="J500" s="1345"/>
      <c r="K500" s="1345"/>
      <c r="L500" s="1345"/>
      <c r="M500" s="1350"/>
      <c r="N500" s="1345"/>
      <c r="O500" s="1345"/>
      <c r="P500" s="1345"/>
      <c r="Q500" s="1345"/>
      <c r="R500" s="1345"/>
      <c r="S500" s="1345"/>
      <c r="T500" s="1345"/>
      <c r="U500" s="1345"/>
    </row>
    <row r="501" spans="1:21">
      <c r="A501" s="1345"/>
      <c r="B501" s="1345"/>
      <c r="C501" s="1345"/>
      <c r="D501" s="1345"/>
      <c r="E501" s="1345"/>
      <c r="F501" s="1345"/>
      <c r="G501" s="1345"/>
      <c r="H501" s="1345"/>
      <c r="I501" s="1345"/>
      <c r="J501" s="1345"/>
      <c r="K501" s="1345"/>
      <c r="L501" s="1345"/>
      <c r="M501" s="1350"/>
      <c r="N501" s="1345"/>
      <c r="O501" s="1345"/>
      <c r="P501" s="1345"/>
      <c r="Q501" s="1345"/>
      <c r="R501" s="1345"/>
      <c r="S501" s="1345"/>
      <c r="T501" s="1345"/>
      <c r="U501" s="1345"/>
    </row>
    <row r="502" spans="1:21">
      <c r="A502" s="1345"/>
      <c r="B502" s="1345"/>
      <c r="C502" s="1345"/>
      <c r="D502" s="1345"/>
      <c r="E502" s="1345"/>
      <c r="F502" s="1345"/>
      <c r="G502" s="1345"/>
      <c r="H502" s="1345"/>
      <c r="I502" s="1345"/>
      <c r="J502" s="1345"/>
      <c r="K502" s="1345"/>
      <c r="L502" s="1345"/>
      <c r="M502" s="1350"/>
      <c r="N502" s="1345"/>
      <c r="O502" s="1345"/>
      <c r="P502" s="1345"/>
      <c r="Q502" s="1345"/>
      <c r="R502" s="1345"/>
      <c r="S502" s="1345"/>
      <c r="T502" s="1345"/>
      <c r="U502" s="1345"/>
    </row>
    <row r="503" spans="1:21">
      <c r="A503" s="1345"/>
      <c r="B503" s="1345"/>
      <c r="C503" s="1345"/>
      <c r="D503" s="1345"/>
      <c r="E503" s="1345"/>
      <c r="F503" s="1345"/>
      <c r="G503" s="1345"/>
      <c r="H503" s="1345"/>
      <c r="I503" s="1345"/>
      <c r="J503" s="1345"/>
      <c r="K503" s="1345"/>
      <c r="L503" s="1345"/>
      <c r="M503" s="1350"/>
      <c r="N503" s="1345"/>
      <c r="O503" s="1345"/>
      <c r="P503" s="1345"/>
      <c r="Q503" s="1345"/>
      <c r="R503" s="1345"/>
      <c r="S503" s="1345"/>
      <c r="T503" s="1345"/>
      <c r="U503" s="1345"/>
    </row>
    <row r="504" spans="1:21">
      <c r="A504" s="1345"/>
      <c r="B504" s="1345"/>
      <c r="C504" s="1345"/>
      <c r="D504" s="1345"/>
      <c r="E504" s="1345"/>
      <c r="F504" s="1345"/>
      <c r="G504" s="1345"/>
      <c r="H504" s="1345"/>
      <c r="I504" s="1345"/>
      <c r="J504" s="1345"/>
      <c r="K504" s="1345"/>
      <c r="L504" s="1345"/>
      <c r="M504" s="1350"/>
      <c r="N504" s="1345"/>
      <c r="O504" s="1345"/>
      <c r="P504" s="1345"/>
      <c r="Q504" s="1345"/>
      <c r="R504" s="1345"/>
      <c r="S504" s="1345"/>
      <c r="T504" s="1345"/>
      <c r="U504" s="1345"/>
    </row>
    <row r="505" spans="1:21">
      <c r="A505" s="1345"/>
      <c r="B505" s="1345"/>
      <c r="C505" s="1345"/>
      <c r="D505" s="1345"/>
      <c r="E505" s="1345"/>
      <c r="F505" s="1345"/>
      <c r="G505" s="1345"/>
      <c r="H505" s="1345"/>
      <c r="I505" s="1345"/>
      <c r="J505" s="1345"/>
      <c r="K505" s="1345"/>
      <c r="L505" s="1345"/>
      <c r="M505" s="1350"/>
      <c r="N505" s="1345"/>
      <c r="O505" s="1345"/>
      <c r="P505" s="1345"/>
      <c r="Q505" s="1345"/>
      <c r="R505" s="1345"/>
      <c r="S505" s="1345"/>
      <c r="T505" s="1345"/>
      <c r="U505" s="1345"/>
    </row>
    <row r="506" spans="1:21">
      <c r="A506" s="1345"/>
      <c r="B506" s="1345"/>
      <c r="C506" s="1345"/>
      <c r="D506" s="1345"/>
      <c r="E506" s="1345"/>
      <c r="F506" s="1345"/>
      <c r="G506" s="1345"/>
      <c r="H506" s="1345"/>
      <c r="I506" s="1345"/>
      <c r="J506" s="1345"/>
      <c r="K506" s="1345"/>
      <c r="L506" s="1345"/>
      <c r="M506" s="1350"/>
      <c r="N506" s="1345"/>
      <c r="O506" s="1345"/>
      <c r="P506" s="1345"/>
      <c r="Q506" s="1345"/>
      <c r="R506" s="1345"/>
      <c r="S506" s="1345"/>
      <c r="T506" s="1345"/>
      <c r="U506" s="1345"/>
    </row>
    <row r="507" spans="1:21">
      <c r="A507" s="1345"/>
      <c r="B507" s="1345"/>
      <c r="C507" s="1345"/>
      <c r="D507" s="1345"/>
      <c r="E507" s="1345"/>
      <c r="F507" s="1345"/>
      <c r="G507" s="1345"/>
      <c r="H507" s="1345"/>
      <c r="I507" s="1345"/>
      <c r="J507" s="1345"/>
      <c r="K507" s="1345"/>
      <c r="L507" s="1345"/>
      <c r="M507" s="1350"/>
      <c r="N507" s="1345"/>
      <c r="O507" s="1345"/>
      <c r="P507" s="1345"/>
      <c r="Q507" s="1345"/>
      <c r="R507" s="1345"/>
      <c r="S507" s="1345"/>
      <c r="T507" s="1345"/>
      <c r="U507" s="1345"/>
    </row>
    <row r="508" spans="1:21">
      <c r="A508" s="1345"/>
      <c r="B508" s="1345"/>
      <c r="C508" s="1345"/>
      <c r="D508" s="1345"/>
      <c r="E508" s="1345"/>
      <c r="F508" s="1345"/>
      <c r="G508" s="1345"/>
      <c r="H508" s="1345"/>
      <c r="I508" s="1345"/>
      <c r="J508" s="1345"/>
      <c r="K508" s="1345"/>
      <c r="L508" s="1345"/>
      <c r="M508" s="1350"/>
      <c r="N508" s="1345"/>
      <c r="O508" s="1345"/>
      <c r="P508" s="1345"/>
      <c r="Q508" s="1345"/>
      <c r="R508" s="1345"/>
      <c r="S508" s="1345"/>
      <c r="T508" s="1345"/>
      <c r="U508" s="1345"/>
    </row>
    <row r="509" spans="1:21">
      <c r="A509" s="1345"/>
      <c r="B509" s="1345"/>
      <c r="C509" s="1345"/>
      <c r="D509" s="1345"/>
      <c r="E509" s="1345"/>
      <c r="F509" s="1345"/>
      <c r="G509" s="1345"/>
      <c r="H509" s="1345"/>
      <c r="I509" s="1345"/>
      <c r="J509" s="1345"/>
      <c r="K509" s="1345"/>
      <c r="L509" s="1345"/>
      <c r="M509" s="1350"/>
      <c r="N509" s="1345"/>
      <c r="O509" s="1345"/>
      <c r="P509" s="1345"/>
      <c r="Q509" s="1345"/>
      <c r="R509" s="1345"/>
      <c r="S509" s="1345"/>
      <c r="T509" s="1345"/>
      <c r="U509" s="1345"/>
    </row>
    <row r="510" spans="1:21">
      <c r="A510" s="1345"/>
      <c r="B510" s="1345"/>
      <c r="C510" s="1345"/>
      <c r="D510" s="1345"/>
      <c r="E510" s="1345"/>
      <c r="F510" s="1345"/>
      <c r="G510" s="1345"/>
      <c r="H510" s="1345"/>
      <c r="I510" s="1345"/>
      <c r="J510" s="1345"/>
      <c r="K510" s="1345"/>
      <c r="L510" s="1345"/>
      <c r="M510" s="1350"/>
      <c r="N510" s="1345"/>
      <c r="O510" s="1345"/>
      <c r="P510" s="1345"/>
      <c r="Q510" s="1345"/>
      <c r="R510" s="1345"/>
      <c r="S510" s="1345"/>
      <c r="T510" s="1345"/>
      <c r="U510" s="1345"/>
    </row>
    <row r="511" spans="1:21">
      <c r="A511" s="1345"/>
      <c r="B511" s="1345"/>
      <c r="C511" s="1345"/>
      <c r="D511" s="1345"/>
      <c r="E511" s="1345"/>
      <c r="F511" s="1345"/>
      <c r="G511" s="1345"/>
      <c r="H511" s="1345"/>
      <c r="I511" s="1345"/>
      <c r="J511" s="1345"/>
      <c r="K511" s="1345"/>
      <c r="L511" s="1345"/>
      <c r="M511" s="1350"/>
      <c r="N511" s="1345"/>
      <c r="O511" s="1345"/>
      <c r="P511" s="1345"/>
      <c r="Q511" s="1345"/>
      <c r="R511" s="1345"/>
      <c r="S511" s="1345"/>
      <c r="T511" s="1345"/>
      <c r="U511" s="1345"/>
    </row>
    <row r="512" spans="1:21">
      <c r="A512" s="1345"/>
      <c r="B512" s="1345"/>
      <c r="C512" s="1345"/>
      <c r="D512" s="1345"/>
      <c r="E512" s="1345"/>
      <c r="F512" s="1345"/>
      <c r="G512" s="1345"/>
      <c r="H512" s="1345"/>
      <c r="I512" s="1345"/>
      <c r="J512" s="1345"/>
      <c r="K512" s="1345"/>
      <c r="L512" s="1345"/>
      <c r="M512" s="1350"/>
      <c r="N512" s="1345"/>
      <c r="O512" s="1345"/>
      <c r="P512" s="1345"/>
      <c r="Q512" s="1345"/>
      <c r="R512" s="1345"/>
      <c r="S512" s="1345"/>
      <c r="T512" s="1345"/>
      <c r="U512" s="1345"/>
    </row>
    <row r="513" spans="1:21">
      <c r="A513" s="1345"/>
      <c r="B513" s="1345"/>
      <c r="C513" s="1345"/>
      <c r="D513" s="1345"/>
      <c r="E513" s="1345"/>
      <c r="F513" s="1345"/>
      <c r="G513" s="1345"/>
      <c r="H513" s="1345"/>
      <c r="I513" s="1345"/>
      <c r="J513" s="1345"/>
      <c r="K513" s="1345"/>
      <c r="L513" s="1345"/>
      <c r="M513" s="1350"/>
      <c r="N513" s="1345"/>
      <c r="O513" s="1345"/>
      <c r="P513" s="1345"/>
      <c r="Q513" s="1345"/>
      <c r="R513" s="1345"/>
      <c r="S513" s="1345"/>
      <c r="T513" s="1345"/>
      <c r="U513" s="1345"/>
    </row>
    <row r="514" spans="1:21">
      <c r="A514" s="1345"/>
      <c r="B514" s="1345"/>
      <c r="C514" s="1345"/>
      <c r="D514" s="1345"/>
      <c r="E514" s="1345"/>
      <c r="F514" s="1345"/>
      <c r="G514" s="1345"/>
      <c r="H514" s="1345"/>
      <c r="I514" s="1345"/>
      <c r="J514" s="1345"/>
      <c r="K514" s="1345"/>
      <c r="L514" s="1345"/>
      <c r="M514" s="1350"/>
      <c r="N514" s="1345"/>
      <c r="O514" s="1345"/>
      <c r="P514" s="1345"/>
      <c r="Q514" s="1345"/>
      <c r="R514" s="1345"/>
      <c r="S514" s="1345"/>
      <c r="T514" s="1345"/>
      <c r="U514" s="1345"/>
    </row>
    <row r="515" spans="1:21">
      <c r="A515" s="1345"/>
      <c r="B515" s="1345"/>
      <c r="C515" s="1345"/>
      <c r="D515" s="1345"/>
      <c r="E515" s="1345"/>
      <c r="F515" s="1345"/>
      <c r="G515" s="1345"/>
      <c r="H515" s="1345"/>
      <c r="I515" s="1345"/>
      <c r="J515" s="1345"/>
      <c r="K515" s="1345"/>
      <c r="L515" s="1345"/>
      <c r="M515" s="1350"/>
      <c r="N515" s="1345"/>
      <c r="O515" s="1345"/>
      <c r="P515" s="1345"/>
      <c r="Q515" s="1345"/>
      <c r="R515" s="1345"/>
      <c r="S515" s="1345"/>
      <c r="T515" s="1345"/>
      <c r="U515" s="1345"/>
    </row>
    <row r="516" spans="1:21">
      <c r="A516" s="1345"/>
      <c r="B516" s="1345"/>
      <c r="C516" s="1345"/>
      <c r="D516" s="1345"/>
      <c r="E516" s="1345"/>
      <c r="F516" s="1345"/>
      <c r="G516" s="1345"/>
      <c r="H516" s="1345"/>
      <c r="I516" s="1345"/>
      <c r="J516" s="1345"/>
      <c r="K516" s="1345"/>
      <c r="L516" s="1345"/>
      <c r="M516" s="1350"/>
      <c r="N516" s="1345"/>
      <c r="O516" s="1345"/>
      <c r="P516" s="1345"/>
      <c r="Q516" s="1345"/>
      <c r="R516" s="1345"/>
      <c r="S516" s="1345"/>
      <c r="T516" s="1345"/>
      <c r="U516" s="1345"/>
    </row>
    <row r="517" spans="1:21">
      <c r="A517" s="1345"/>
      <c r="B517" s="1345"/>
      <c r="C517" s="1345"/>
      <c r="D517" s="1345"/>
      <c r="E517" s="1345"/>
      <c r="F517" s="1345"/>
      <c r="G517" s="1345"/>
      <c r="H517" s="1345"/>
      <c r="I517" s="1345"/>
      <c r="J517" s="1345"/>
      <c r="K517" s="1345"/>
      <c r="L517" s="1345"/>
      <c r="M517" s="1350"/>
      <c r="N517" s="1345"/>
      <c r="O517" s="1345"/>
      <c r="P517" s="1345"/>
      <c r="Q517" s="1345"/>
      <c r="R517" s="1345"/>
      <c r="S517" s="1345"/>
      <c r="T517" s="1345"/>
      <c r="U517" s="1345"/>
    </row>
    <row r="518" spans="1:21">
      <c r="A518" s="1345"/>
      <c r="B518" s="1345"/>
      <c r="C518" s="1345"/>
      <c r="D518" s="1345"/>
      <c r="E518" s="1345"/>
      <c r="F518" s="1345"/>
      <c r="G518" s="1345"/>
      <c r="H518" s="1345"/>
      <c r="I518" s="1345"/>
      <c r="J518" s="1345"/>
      <c r="K518" s="1345"/>
      <c r="L518" s="1345"/>
      <c r="M518" s="1350"/>
      <c r="N518" s="1345"/>
      <c r="O518" s="1345"/>
      <c r="P518" s="1345"/>
      <c r="Q518" s="1345"/>
      <c r="R518" s="1345"/>
      <c r="S518" s="1345"/>
      <c r="T518" s="1345"/>
      <c r="U518" s="1345"/>
    </row>
    <row r="519" spans="1:21">
      <c r="A519" s="1345"/>
      <c r="B519" s="1345"/>
      <c r="C519" s="1345"/>
      <c r="D519" s="1345"/>
      <c r="E519" s="1345"/>
      <c r="F519" s="1345"/>
      <c r="G519" s="1345"/>
      <c r="H519" s="1345"/>
      <c r="I519" s="1345"/>
      <c r="J519" s="1345"/>
      <c r="K519" s="1345"/>
      <c r="L519" s="1345"/>
      <c r="M519" s="1350"/>
      <c r="N519" s="1345"/>
      <c r="O519" s="1345"/>
      <c r="P519" s="1345"/>
      <c r="Q519" s="1345"/>
      <c r="R519" s="1345"/>
      <c r="S519" s="1345"/>
      <c r="T519" s="1345"/>
      <c r="U519" s="1345"/>
    </row>
    <row r="520" spans="1:21">
      <c r="A520" s="1345"/>
      <c r="B520" s="1345"/>
      <c r="C520" s="1345"/>
      <c r="D520" s="1345"/>
      <c r="E520" s="1345"/>
      <c r="F520" s="1345"/>
      <c r="G520" s="1345"/>
      <c r="H520" s="1345"/>
      <c r="I520" s="1345"/>
      <c r="J520" s="1345"/>
      <c r="K520" s="1345"/>
      <c r="L520" s="1345"/>
      <c r="M520" s="1350"/>
      <c r="N520" s="1345"/>
      <c r="O520" s="1345"/>
      <c r="P520" s="1345"/>
      <c r="Q520" s="1345"/>
      <c r="R520" s="1345"/>
      <c r="S520" s="1345"/>
      <c r="T520" s="1345"/>
      <c r="U520" s="1345"/>
    </row>
    <row r="521" spans="1:21">
      <c r="A521" s="1345"/>
      <c r="B521" s="1345"/>
      <c r="C521" s="1345"/>
      <c r="D521" s="1345"/>
      <c r="E521" s="1345"/>
      <c r="F521" s="1345"/>
      <c r="G521" s="1345"/>
      <c r="H521" s="1345"/>
      <c r="I521" s="1345"/>
      <c r="J521" s="1345"/>
      <c r="K521" s="1345"/>
      <c r="L521" s="1345"/>
      <c r="M521" s="1350"/>
      <c r="N521" s="1345"/>
      <c r="O521" s="1345"/>
      <c r="P521" s="1345"/>
      <c r="Q521" s="1345"/>
      <c r="R521" s="1345"/>
      <c r="S521" s="1345"/>
      <c r="T521" s="1345"/>
      <c r="U521" s="1345"/>
    </row>
    <row r="522" spans="1:21">
      <c r="A522" s="1345"/>
      <c r="B522" s="1345"/>
      <c r="C522" s="1345"/>
      <c r="D522" s="1345"/>
      <c r="E522" s="1345"/>
      <c r="F522" s="1345"/>
      <c r="G522" s="1345"/>
      <c r="H522" s="1345"/>
      <c r="I522" s="1345"/>
      <c r="J522" s="1345"/>
      <c r="K522" s="1345"/>
      <c r="L522" s="1345"/>
      <c r="M522" s="1350"/>
      <c r="N522" s="1345"/>
      <c r="O522" s="1345"/>
      <c r="P522" s="1345"/>
      <c r="Q522" s="1345"/>
      <c r="R522" s="1345"/>
      <c r="S522" s="1345"/>
      <c r="T522" s="1345"/>
      <c r="U522" s="1345"/>
    </row>
    <row r="523" spans="1:21">
      <c r="A523" s="1345"/>
      <c r="B523" s="1345"/>
      <c r="C523" s="1345"/>
      <c r="D523" s="1345"/>
      <c r="E523" s="1345"/>
      <c r="F523" s="1345"/>
      <c r="G523" s="1345"/>
      <c r="H523" s="1345"/>
      <c r="I523" s="1345"/>
      <c r="J523" s="1345"/>
      <c r="K523" s="1345"/>
      <c r="L523" s="1345"/>
      <c r="M523" s="1350"/>
      <c r="N523" s="1345"/>
      <c r="O523" s="1345"/>
      <c r="P523" s="1345"/>
      <c r="Q523" s="1345"/>
      <c r="R523" s="1345"/>
      <c r="S523" s="1345"/>
      <c r="T523" s="1345"/>
      <c r="U523" s="1345"/>
    </row>
    <row r="524" spans="1:21">
      <c r="A524" s="1345"/>
      <c r="B524" s="1345"/>
      <c r="C524" s="1345"/>
      <c r="D524" s="1345"/>
      <c r="E524" s="1345"/>
      <c r="F524" s="1345"/>
      <c r="G524" s="1345"/>
      <c r="H524" s="1345"/>
      <c r="I524" s="1345"/>
      <c r="J524" s="1345"/>
      <c r="K524" s="1345"/>
      <c r="L524" s="1345"/>
      <c r="M524" s="1350"/>
      <c r="N524" s="1345"/>
      <c r="O524" s="1345"/>
      <c r="P524" s="1345"/>
      <c r="Q524" s="1345"/>
      <c r="R524" s="1345"/>
      <c r="S524" s="1345"/>
      <c r="T524" s="1345"/>
      <c r="U524" s="1345"/>
    </row>
    <row r="525" spans="1:21">
      <c r="A525" s="1345"/>
      <c r="B525" s="1345"/>
      <c r="C525" s="1345"/>
      <c r="D525" s="1345"/>
      <c r="E525" s="1345"/>
      <c r="F525" s="1345"/>
      <c r="G525" s="1345"/>
      <c r="H525" s="1345"/>
      <c r="I525" s="1345"/>
      <c r="J525" s="1345"/>
      <c r="K525" s="1345"/>
      <c r="L525" s="1345"/>
      <c r="M525" s="1350"/>
      <c r="N525" s="1345"/>
      <c r="O525" s="1345"/>
      <c r="P525" s="1345"/>
      <c r="Q525" s="1345"/>
      <c r="R525" s="1345"/>
      <c r="S525" s="1345"/>
      <c r="T525" s="1345"/>
      <c r="U525" s="1345"/>
    </row>
    <row r="526" spans="1:21">
      <c r="A526" s="1345"/>
      <c r="B526" s="1345"/>
      <c r="C526" s="1345"/>
      <c r="D526" s="1345"/>
      <c r="E526" s="1345"/>
      <c r="F526" s="1345"/>
      <c r="G526" s="1345"/>
      <c r="H526" s="1345"/>
      <c r="I526" s="1345"/>
      <c r="J526" s="1345"/>
      <c r="K526" s="1345"/>
      <c r="L526" s="1345"/>
      <c r="M526" s="1350"/>
      <c r="N526" s="1345"/>
      <c r="O526" s="1345"/>
      <c r="P526" s="1345"/>
      <c r="Q526" s="1345"/>
      <c r="R526" s="1345"/>
      <c r="S526" s="1345"/>
      <c r="T526" s="1345"/>
      <c r="U526" s="1345"/>
    </row>
    <row r="527" spans="1:21">
      <c r="A527" s="1345"/>
      <c r="B527" s="1345"/>
      <c r="C527" s="1345"/>
      <c r="D527" s="1345"/>
      <c r="E527" s="1345"/>
      <c r="F527" s="1345"/>
      <c r="G527" s="1345"/>
      <c r="H527" s="1345"/>
      <c r="I527" s="1345"/>
      <c r="J527" s="1345"/>
      <c r="K527" s="1345"/>
      <c r="L527" s="1345"/>
      <c r="M527" s="1350"/>
      <c r="N527" s="1345"/>
      <c r="O527" s="1345"/>
      <c r="P527" s="1345"/>
      <c r="Q527" s="1345"/>
      <c r="R527" s="1345"/>
      <c r="S527" s="1345"/>
      <c r="T527" s="1345"/>
      <c r="U527" s="1345"/>
    </row>
    <row r="528" spans="1:21">
      <c r="A528" s="1345"/>
      <c r="B528" s="1345"/>
      <c r="C528" s="1345"/>
      <c r="D528" s="1345"/>
      <c r="E528" s="1345"/>
      <c r="F528" s="1345"/>
      <c r="G528" s="1345"/>
      <c r="H528" s="1345"/>
      <c r="I528" s="1345"/>
      <c r="J528" s="1345"/>
      <c r="K528" s="1345"/>
      <c r="L528" s="1345"/>
      <c r="M528" s="1350"/>
      <c r="N528" s="1345"/>
      <c r="O528" s="1345"/>
      <c r="P528" s="1345"/>
      <c r="Q528" s="1345"/>
      <c r="R528" s="1345"/>
      <c r="S528" s="1345"/>
      <c r="T528" s="1345"/>
      <c r="U528" s="1345"/>
    </row>
    <row r="529" spans="1:21">
      <c r="A529" s="1345"/>
      <c r="B529" s="1345"/>
      <c r="C529" s="1345"/>
      <c r="D529" s="1345"/>
      <c r="E529" s="1345"/>
      <c r="F529" s="1345"/>
      <c r="G529" s="1345"/>
      <c r="H529" s="1345"/>
      <c r="I529" s="1345"/>
      <c r="J529" s="1345"/>
      <c r="K529" s="1345"/>
      <c r="L529" s="1345"/>
      <c r="M529" s="1345"/>
      <c r="N529" s="1345"/>
      <c r="O529" s="1345"/>
      <c r="P529" s="1345"/>
      <c r="Q529" s="1345"/>
      <c r="R529" s="1345"/>
      <c r="S529" s="1345"/>
      <c r="T529" s="1345"/>
      <c r="U529" s="1345"/>
    </row>
    <row r="530" spans="1:21">
      <c r="A530" s="1345"/>
      <c r="B530" s="1345"/>
      <c r="C530" s="1345"/>
      <c r="D530" s="1345"/>
      <c r="E530" s="1345"/>
      <c r="F530" s="1345"/>
      <c r="G530" s="1345"/>
      <c r="H530" s="1345"/>
      <c r="I530" s="1345"/>
      <c r="J530" s="1345"/>
      <c r="K530" s="1345"/>
      <c r="L530" s="1345"/>
      <c r="M530" s="1345"/>
      <c r="N530" s="1345"/>
      <c r="O530" s="1345"/>
      <c r="P530" s="1345"/>
      <c r="Q530" s="1345"/>
      <c r="R530" s="1345"/>
      <c r="S530" s="1345"/>
      <c r="T530" s="1345"/>
      <c r="U530" s="1345"/>
    </row>
    <row r="531" spans="1:21">
      <c r="A531" s="1345"/>
      <c r="B531" s="1345"/>
      <c r="C531" s="1345"/>
      <c r="D531" s="1345"/>
      <c r="E531" s="1345"/>
      <c r="F531" s="1345"/>
      <c r="G531" s="1345"/>
      <c r="H531" s="1345"/>
      <c r="I531" s="1345"/>
      <c r="J531" s="1345"/>
      <c r="K531" s="1345"/>
      <c r="L531" s="1345"/>
      <c r="M531" s="1345"/>
      <c r="N531" s="1345"/>
      <c r="O531" s="1345"/>
      <c r="P531" s="1345"/>
      <c r="Q531" s="1345"/>
      <c r="R531" s="1345"/>
      <c r="S531" s="1345"/>
      <c r="T531" s="1345"/>
      <c r="U531" s="1345"/>
    </row>
    <row r="532" spans="1:21">
      <c r="A532" s="1345"/>
      <c r="B532" s="1345"/>
      <c r="C532" s="1345"/>
      <c r="D532" s="1345"/>
      <c r="E532" s="1345"/>
      <c r="F532" s="1345"/>
      <c r="G532" s="1345"/>
      <c r="H532" s="1345"/>
      <c r="I532" s="1345"/>
      <c r="J532" s="1345"/>
      <c r="K532" s="1345"/>
      <c r="L532" s="1345"/>
      <c r="M532" s="1345"/>
      <c r="N532" s="1345"/>
      <c r="O532" s="1345"/>
      <c r="P532" s="1345"/>
      <c r="Q532" s="1345"/>
      <c r="R532" s="1345"/>
      <c r="S532" s="1345"/>
      <c r="T532" s="1345"/>
      <c r="U532" s="1345"/>
    </row>
    <row r="533" spans="1:21">
      <c r="A533" s="1345"/>
      <c r="B533" s="1345"/>
      <c r="C533" s="1345"/>
      <c r="D533" s="1345"/>
      <c r="E533" s="1345"/>
      <c r="F533" s="1345"/>
      <c r="G533" s="1345"/>
      <c r="H533" s="1345"/>
      <c r="I533" s="1345"/>
      <c r="J533" s="1345"/>
      <c r="K533" s="1345"/>
      <c r="L533" s="1345"/>
      <c r="M533" s="1345"/>
      <c r="N533" s="1345"/>
      <c r="O533" s="1345"/>
      <c r="P533" s="1345"/>
      <c r="Q533" s="1345"/>
      <c r="R533" s="1345"/>
      <c r="S533" s="1345"/>
      <c r="T533" s="1345"/>
      <c r="U533" s="1345"/>
    </row>
    <row r="534" spans="1:21">
      <c r="A534" s="1345"/>
      <c r="B534" s="1345"/>
      <c r="C534" s="1345"/>
      <c r="D534" s="1345"/>
      <c r="E534" s="1345"/>
      <c r="F534" s="1345"/>
      <c r="G534" s="1345"/>
      <c r="H534" s="1345"/>
      <c r="I534" s="1345"/>
      <c r="J534" s="1345"/>
      <c r="K534" s="1345"/>
      <c r="L534" s="1345"/>
      <c r="M534" s="1345"/>
      <c r="N534" s="1345"/>
      <c r="O534" s="1345"/>
      <c r="P534" s="1345"/>
      <c r="Q534" s="1345"/>
      <c r="R534" s="1345"/>
      <c r="S534" s="1345"/>
      <c r="T534" s="1345"/>
      <c r="U534" s="1345"/>
    </row>
    <row r="535" spans="1:21">
      <c r="A535" s="1345"/>
      <c r="B535" s="1345"/>
      <c r="C535" s="1345"/>
      <c r="D535" s="1345"/>
      <c r="E535" s="1345"/>
      <c r="F535" s="1345"/>
      <c r="G535" s="1345"/>
      <c r="H535" s="1345"/>
      <c r="I535" s="1345"/>
      <c r="J535" s="1345"/>
      <c r="K535" s="1345"/>
      <c r="L535" s="1345"/>
      <c r="M535" s="1345"/>
      <c r="N535" s="1345"/>
      <c r="O535" s="1345"/>
      <c r="P535" s="1345"/>
      <c r="Q535" s="1345"/>
      <c r="R535" s="1345"/>
      <c r="S535" s="1345"/>
      <c r="T535" s="1345"/>
      <c r="U535" s="1345"/>
    </row>
    <row r="536" spans="1:21">
      <c r="A536" s="1345"/>
      <c r="B536" s="1345"/>
      <c r="C536" s="1345"/>
      <c r="D536" s="1345"/>
      <c r="E536" s="1345"/>
      <c r="F536" s="1345"/>
      <c r="G536" s="1345"/>
      <c r="H536" s="1345"/>
      <c r="I536" s="1345"/>
      <c r="J536" s="1345"/>
      <c r="K536" s="1345"/>
      <c r="L536" s="1345"/>
      <c r="M536" s="1350"/>
      <c r="N536" s="1345"/>
      <c r="O536" s="1345"/>
      <c r="P536" s="1345"/>
      <c r="Q536" s="1345"/>
      <c r="R536" s="1345"/>
      <c r="S536" s="1345"/>
      <c r="T536" s="1345"/>
      <c r="U536" s="1345"/>
    </row>
    <row r="537" spans="1:21">
      <c r="A537" s="1345"/>
      <c r="B537" s="1345"/>
      <c r="C537" s="1345"/>
      <c r="D537" s="1345"/>
      <c r="E537" s="1345"/>
      <c r="F537" s="1345"/>
      <c r="G537" s="1345"/>
      <c r="H537" s="1345"/>
      <c r="I537" s="1345"/>
      <c r="J537" s="1345"/>
      <c r="K537" s="1345"/>
      <c r="L537" s="1345"/>
      <c r="M537" s="1345"/>
      <c r="N537" s="1345"/>
      <c r="O537" s="1345"/>
      <c r="P537" s="1345"/>
      <c r="Q537" s="1345"/>
      <c r="R537" s="1345"/>
      <c r="S537" s="1345"/>
      <c r="T537" s="1345"/>
      <c r="U537" s="1345"/>
    </row>
    <row r="538" spans="1:21">
      <c r="A538" s="1345"/>
      <c r="B538" s="1345"/>
      <c r="C538" s="1345"/>
      <c r="D538" s="1345"/>
      <c r="E538" s="1345"/>
      <c r="F538" s="1345"/>
      <c r="G538" s="1345"/>
      <c r="H538" s="1345"/>
      <c r="I538" s="1345"/>
      <c r="J538" s="1345"/>
      <c r="K538" s="1345"/>
      <c r="L538" s="1345"/>
      <c r="M538" s="1345"/>
      <c r="N538" s="1345"/>
      <c r="O538" s="1345"/>
      <c r="P538" s="1345"/>
      <c r="Q538" s="1345"/>
      <c r="R538" s="1345"/>
      <c r="S538" s="1345"/>
      <c r="T538" s="1345"/>
      <c r="U538" s="1345"/>
    </row>
    <row r="539" spans="1:21">
      <c r="A539" s="1345"/>
      <c r="B539" s="1345"/>
      <c r="C539" s="1345"/>
      <c r="D539" s="1345"/>
      <c r="E539" s="1345"/>
      <c r="F539" s="1345"/>
      <c r="G539" s="1345"/>
      <c r="H539" s="1345"/>
      <c r="I539" s="1345"/>
      <c r="J539" s="1345"/>
      <c r="K539" s="1345"/>
      <c r="L539" s="1345"/>
      <c r="M539" s="1345"/>
      <c r="N539" s="1345"/>
      <c r="O539" s="1345"/>
      <c r="P539" s="1345"/>
      <c r="Q539" s="1345"/>
      <c r="R539" s="1345"/>
      <c r="S539" s="1345"/>
      <c r="T539" s="1345"/>
      <c r="U539" s="1345"/>
    </row>
    <row r="540" spans="1:21">
      <c r="A540" s="1345"/>
      <c r="B540" s="1345"/>
      <c r="C540" s="1345"/>
      <c r="D540" s="1345"/>
      <c r="E540" s="1345"/>
      <c r="F540" s="1345"/>
      <c r="G540" s="1345"/>
      <c r="H540" s="1345"/>
      <c r="I540" s="1345"/>
      <c r="J540" s="1345"/>
      <c r="K540" s="1345"/>
      <c r="L540" s="1345"/>
      <c r="M540" s="1345"/>
      <c r="N540" s="1345"/>
      <c r="O540" s="1345"/>
      <c r="P540" s="1345"/>
      <c r="Q540" s="1345"/>
      <c r="R540" s="1345"/>
      <c r="S540" s="1345"/>
      <c r="T540" s="1345"/>
      <c r="U540" s="1345"/>
    </row>
    <row r="541" spans="1:21">
      <c r="A541" s="1345"/>
      <c r="B541" s="1345"/>
      <c r="C541" s="1345"/>
      <c r="D541" s="1345"/>
      <c r="E541" s="1345"/>
      <c r="F541" s="1345"/>
      <c r="G541" s="1345"/>
      <c r="H541" s="1345"/>
      <c r="I541" s="1345"/>
      <c r="J541" s="1345"/>
      <c r="K541" s="1345"/>
      <c r="L541" s="1345"/>
      <c r="M541" s="1345"/>
      <c r="N541" s="1345"/>
      <c r="O541" s="1345"/>
      <c r="P541" s="1345"/>
      <c r="Q541" s="1345"/>
      <c r="R541" s="1345"/>
      <c r="S541" s="1345"/>
      <c r="T541" s="1345"/>
      <c r="U541" s="1345"/>
    </row>
    <row r="542" spans="1:21">
      <c r="A542" s="1345"/>
      <c r="B542" s="1345"/>
      <c r="C542" s="1345"/>
      <c r="D542" s="1345"/>
      <c r="E542" s="1345"/>
      <c r="F542" s="1345"/>
      <c r="G542" s="1345"/>
      <c r="H542" s="1345"/>
      <c r="I542" s="1345"/>
      <c r="J542" s="1345"/>
      <c r="K542" s="1345"/>
      <c r="L542" s="1345"/>
      <c r="M542" s="1345"/>
      <c r="N542" s="1345"/>
      <c r="O542" s="1345"/>
      <c r="P542" s="1345"/>
      <c r="Q542" s="1345"/>
      <c r="R542" s="1345"/>
      <c r="S542" s="1345"/>
      <c r="T542" s="1345"/>
      <c r="U542" s="1345"/>
    </row>
    <row r="543" spans="1:21">
      <c r="A543" s="1345"/>
      <c r="B543" s="1345"/>
      <c r="C543" s="1345"/>
      <c r="D543" s="1345"/>
      <c r="E543" s="1345"/>
      <c r="F543" s="1345"/>
      <c r="G543" s="1345"/>
      <c r="H543" s="1345"/>
      <c r="I543" s="1345"/>
      <c r="J543" s="1345"/>
      <c r="K543" s="1345"/>
      <c r="L543" s="1345"/>
      <c r="M543" s="1345"/>
      <c r="N543" s="1345"/>
      <c r="O543" s="1345"/>
      <c r="P543" s="1345"/>
      <c r="Q543" s="1345"/>
      <c r="R543" s="1345"/>
      <c r="S543" s="1345"/>
      <c r="T543" s="1345"/>
      <c r="U543" s="1345"/>
    </row>
    <row r="544" spans="1:21">
      <c r="A544" s="1345"/>
      <c r="B544" s="1345"/>
      <c r="C544" s="1345"/>
      <c r="D544" s="1345"/>
      <c r="E544" s="1345"/>
      <c r="F544" s="1345"/>
      <c r="G544" s="1345"/>
      <c r="H544" s="1345"/>
      <c r="I544" s="1345"/>
      <c r="J544" s="1345"/>
      <c r="K544" s="1345"/>
      <c r="L544" s="1345"/>
      <c r="M544" s="1350"/>
      <c r="N544" s="1345"/>
      <c r="O544" s="1345"/>
      <c r="P544" s="1345"/>
      <c r="Q544" s="1345"/>
      <c r="R544" s="1345"/>
      <c r="S544" s="1345"/>
      <c r="T544" s="1345"/>
      <c r="U544" s="1345"/>
    </row>
    <row r="545" spans="1:21">
      <c r="A545" s="1345"/>
      <c r="B545" s="1345"/>
      <c r="C545" s="1345"/>
      <c r="D545" s="1345"/>
      <c r="E545" s="1345"/>
      <c r="F545" s="1345"/>
      <c r="G545" s="1345"/>
      <c r="H545" s="1345"/>
      <c r="I545" s="1345"/>
      <c r="J545" s="1345"/>
      <c r="K545" s="1345"/>
      <c r="L545" s="1345"/>
      <c r="M545" s="1345"/>
      <c r="N545" s="1345"/>
      <c r="O545" s="1345"/>
      <c r="P545" s="1345"/>
      <c r="Q545" s="1345"/>
      <c r="R545" s="1345"/>
      <c r="S545" s="1345"/>
      <c r="T545" s="1345"/>
      <c r="U545" s="1345"/>
    </row>
    <row r="546" spans="1:21">
      <c r="A546" s="1345"/>
      <c r="B546" s="1345"/>
      <c r="C546" s="1345"/>
      <c r="D546" s="1345"/>
      <c r="E546" s="1345"/>
      <c r="F546" s="1345"/>
      <c r="G546" s="1345"/>
      <c r="H546" s="1345"/>
      <c r="I546" s="1345"/>
      <c r="J546" s="1345"/>
      <c r="K546" s="1345"/>
      <c r="L546" s="1345"/>
      <c r="M546" s="1350"/>
      <c r="N546" s="1345"/>
      <c r="O546" s="1345"/>
      <c r="P546" s="1345"/>
      <c r="Q546" s="1345"/>
      <c r="R546" s="1345"/>
      <c r="S546" s="1345"/>
      <c r="T546" s="1345"/>
      <c r="U546" s="1345"/>
    </row>
    <row r="547" spans="1:21">
      <c r="A547" s="1345"/>
      <c r="B547" s="1345"/>
      <c r="C547" s="1345"/>
      <c r="D547" s="1345"/>
      <c r="E547" s="1345"/>
      <c r="F547" s="1345"/>
      <c r="G547" s="1345"/>
      <c r="H547" s="1345"/>
      <c r="I547" s="1345"/>
      <c r="J547" s="1345"/>
      <c r="K547" s="1345"/>
      <c r="L547" s="1345"/>
      <c r="M547" s="1350"/>
      <c r="N547" s="1345"/>
      <c r="O547" s="1345"/>
      <c r="P547" s="1345"/>
      <c r="Q547" s="1345"/>
      <c r="R547" s="1345"/>
      <c r="S547" s="1345"/>
      <c r="T547" s="1345"/>
      <c r="U547" s="1345"/>
    </row>
    <row r="548" spans="1:21">
      <c r="A548" s="1345"/>
      <c r="B548" s="1345"/>
      <c r="C548" s="1345"/>
      <c r="D548" s="1345"/>
      <c r="E548" s="1345"/>
      <c r="F548" s="1345"/>
      <c r="G548" s="1345"/>
      <c r="H548" s="1345"/>
      <c r="I548" s="1345"/>
      <c r="J548" s="1345"/>
      <c r="K548" s="1345"/>
      <c r="L548" s="1345"/>
      <c r="M548" s="1350"/>
      <c r="N548" s="1345"/>
      <c r="O548" s="1345"/>
      <c r="P548" s="1345"/>
      <c r="Q548" s="1345"/>
      <c r="R548" s="1345"/>
      <c r="S548" s="1345"/>
      <c r="T548" s="1345"/>
      <c r="U548" s="1345"/>
    </row>
    <row r="549" spans="1:21">
      <c r="A549" s="1345"/>
      <c r="B549" s="1345"/>
      <c r="C549" s="1345"/>
      <c r="D549" s="1345"/>
      <c r="E549" s="1345"/>
      <c r="F549" s="1345"/>
      <c r="G549" s="1345"/>
      <c r="H549" s="1345"/>
      <c r="I549" s="1345"/>
      <c r="J549" s="1345"/>
      <c r="K549" s="1345"/>
      <c r="L549" s="1345"/>
      <c r="M549" s="1350"/>
      <c r="N549" s="1345"/>
      <c r="O549" s="1345"/>
      <c r="P549" s="1345"/>
      <c r="Q549" s="1345"/>
      <c r="R549" s="1345"/>
      <c r="S549" s="1345"/>
      <c r="T549" s="1345"/>
      <c r="U549" s="1345"/>
    </row>
    <row r="550" spans="1:21">
      <c r="A550" s="1345"/>
      <c r="B550" s="1345"/>
      <c r="C550" s="1345"/>
      <c r="D550" s="1345"/>
      <c r="E550" s="1345"/>
      <c r="F550" s="1345"/>
      <c r="G550" s="1345"/>
      <c r="H550" s="1345"/>
      <c r="I550" s="1345"/>
      <c r="J550" s="1345"/>
      <c r="K550" s="1345"/>
      <c r="L550" s="1345"/>
      <c r="M550" s="1350"/>
      <c r="N550" s="1345"/>
      <c r="O550" s="1345"/>
      <c r="P550" s="1345"/>
      <c r="Q550" s="1345"/>
      <c r="R550" s="1345"/>
      <c r="S550" s="1345"/>
      <c r="T550" s="1345"/>
      <c r="U550" s="1345"/>
    </row>
    <row r="551" spans="1:21">
      <c r="A551" s="1345"/>
      <c r="B551" s="1345"/>
      <c r="C551" s="1345"/>
      <c r="D551" s="1345"/>
      <c r="E551" s="1345"/>
      <c r="F551" s="1345"/>
      <c r="G551" s="1345"/>
      <c r="H551" s="1345"/>
      <c r="I551" s="1345"/>
      <c r="J551" s="1345"/>
      <c r="K551" s="1345"/>
      <c r="L551" s="1345"/>
      <c r="M551" s="1350"/>
      <c r="N551" s="1345"/>
      <c r="O551" s="1345"/>
      <c r="P551" s="1345"/>
      <c r="Q551" s="1345"/>
      <c r="R551" s="1345"/>
      <c r="S551" s="1345"/>
      <c r="T551" s="1345"/>
      <c r="U551" s="1345"/>
    </row>
    <row r="552" spans="1:21">
      <c r="A552" s="1345"/>
      <c r="B552" s="1345"/>
      <c r="C552" s="1345"/>
      <c r="D552" s="1345"/>
      <c r="E552" s="1345"/>
      <c r="F552" s="1345"/>
      <c r="G552" s="1345"/>
      <c r="H552" s="1345"/>
      <c r="I552" s="1345"/>
      <c r="J552" s="1345"/>
      <c r="K552" s="1345"/>
      <c r="L552" s="1345"/>
      <c r="M552" s="1350"/>
      <c r="N552" s="1345"/>
      <c r="O552" s="1345"/>
      <c r="P552" s="1345"/>
      <c r="Q552" s="1345"/>
      <c r="R552" s="1345"/>
      <c r="S552" s="1345"/>
      <c r="T552" s="1345"/>
      <c r="U552" s="1345"/>
    </row>
    <row r="553" spans="1:21">
      <c r="A553" s="1345"/>
      <c r="B553" s="1345"/>
      <c r="C553" s="1345"/>
      <c r="D553" s="1345"/>
      <c r="E553" s="1345"/>
      <c r="F553" s="1345"/>
      <c r="G553" s="1345"/>
      <c r="H553" s="1345"/>
      <c r="I553" s="1345"/>
      <c r="J553" s="1345"/>
      <c r="K553" s="1345"/>
      <c r="L553" s="1345"/>
      <c r="M553" s="1345"/>
      <c r="N553" s="1345"/>
      <c r="O553" s="1345"/>
      <c r="P553" s="1345"/>
      <c r="Q553" s="1345"/>
      <c r="R553" s="1345"/>
      <c r="S553" s="1345"/>
      <c r="T553" s="1345"/>
      <c r="U553" s="1345"/>
    </row>
    <row r="554" spans="1:21">
      <c r="A554" s="1345"/>
      <c r="B554" s="1345"/>
      <c r="C554" s="1345"/>
      <c r="D554" s="1345"/>
      <c r="E554" s="1345"/>
      <c r="F554" s="1345"/>
      <c r="G554" s="1345"/>
      <c r="H554" s="1345"/>
      <c r="I554" s="1345"/>
      <c r="J554" s="1345"/>
      <c r="K554" s="1345"/>
      <c r="L554" s="1345"/>
      <c r="M554" s="1350"/>
      <c r="N554" s="1345"/>
      <c r="O554" s="1345"/>
      <c r="P554" s="1345"/>
      <c r="Q554" s="1345"/>
      <c r="R554" s="1345"/>
      <c r="S554" s="1345"/>
      <c r="T554" s="1345"/>
      <c r="U554" s="1345"/>
    </row>
    <row r="555" spans="1:21">
      <c r="A555" s="1345"/>
      <c r="B555" s="1345"/>
      <c r="C555" s="1345"/>
      <c r="D555" s="1345"/>
      <c r="E555" s="1345"/>
      <c r="F555" s="1345"/>
      <c r="G555" s="1345"/>
      <c r="H555" s="1345"/>
      <c r="I555" s="1345"/>
      <c r="J555" s="1345"/>
      <c r="K555" s="1345"/>
      <c r="L555" s="1345"/>
      <c r="M555" s="1350"/>
      <c r="N555" s="1345"/>
      <c r="O555" s="1345"/>
      <c r="P555" s="1345"/>
      <c r="Q555" s="1345"/>
      <c r="R555" s="1345"/>
      <c r="S555" s="1345"/>
      <c r="T555" s="1345"/>
      <c r="U555" s="1345"/>
    </row>
    <row r="556" spans="1:21">
      <c r="A556" s="1345"/>
      <c r="B556" s="1345"/>
      <c r="C556" s="1345"/>
      <c r="D556" s="1345"/>
      <c r="E556" s="1345"/>
      <c r="F556" s="1345"/>
      <c r="G556" s="1345"/>
      <c r="H556" s="1345"/>
      <c r="I556" s="1345"/>
      <c r="J556" s="1345"/>
      <c r="K556" s="1345"/>
      <c r="L556" s="1345"/>
      <c r="M556" s="1350"/>
      <c r="N556" s="1345"/>
      <c r="O556" s="1345"/>
      <c r="P556" s="1345"/>
      <c r="Q556" s="1345"/>
      <c r="R556" s="1345"/>
      <c r="S556" s="1345"/>
      <c r="T556" s="1345"/>
      <c r="U556" s="1345"/>
    </row>
    <row r="557" spans="1:21">
      <c r="A557" s="1345"/>
      <c r="B557" s="1345"/>
      <c r="C557" s="1345"/>
      <c r="D557" s="1345"/>
      <c r="E557" s="1345"/>
      <c r="F557" s="1345"/>
      <c r="G557" s="1345"/>
      <c r="H557" s="1345"/>
      <c r="I557" s="1345"/>
      <c r="J557" s="1345"/>
      <c r="K557" s="1345"/>
      <c r="L557" s="1345"/>
      <c r="M557" s="1350"/>
      <c r="N557" s="1345"/>
      <c r="O557" s="1345"/>
      <c r="P557" s="1345"/>
      <c r="Q557" s="1345"/>
      <c r="R557" s="1345"/>
      <c r="S557" s="1345"/>
      <c r="T557" s="1345"/>
      <c r="U557" s="1345"/>
    </row>
    <row r="558" spans="1:21">
      <c r="A558" s="1345"/>
      <c r="B558" s="1345"/>
      <c r="C558" s="1345"/>
      <c r="D558" s="1345"/>
      <c r="E558" s="1345"/>
      <c r="F558" s="1345"/>
      <c r="G558" s="1345"/>
      <c r="H558" s="1345"/>
      <c r="I558" s="1345"/>
      <c r="J558" s="1345"/>
      <c r="K558" s="1345"/>
      <c r="L558" s="1345"/>
      <c r="M558" s="1350"/>
      <c r="N558" s="1345"/>
      <c r="O558" s="1345"/>
      <c r="P558" s="1345"/>
      <c r="Q558" s="1345"/>
      <c r="R558" s="1345"/>
      <c r="S558" s="1345"/>
      <c r="T558" s="1345"/>
      <c r="U558" s="1345"/>
    </row>
    <row r="559" spans="1:21">
      <c r="A559" s="1345"/>
      <c r="B559" s="1345"/>
      <c r="C559" s="1345"/>
      <c r="D559" s="1345"/>
      <c r="E559" s="1345"/>
      <c r="F559" s="1345"/>
      <c r="G559" s="1345"/>
      <c r="H559" s="1345"/>
      <c r="I559" s="1345"/>
      <c r="J559" s="1345"/>
      <c r="K559" s="1345"/>
      <c r="L559" s="1345"/>
      <c r="M559" s="1350"/>
      <c r="N559" s="1345"/>
      <c r="O559" s="1345"/>
      <c r="P559" s="1345"/>
      <c r="Q559" s="1345"/>
      <c r="R559" s="1345"/>
      <c r="S559" s="1345"/>
      <c r="T559" s="1345"/>
      <c r="U559" s="1345"/>
    </row>
    <row r="560" spans="1:21">
      <c r="A560" s="1345"/>
      <c r="B560" s="1345"/>
      <c r="C560" s="1345"/>
      <c r="D560" s="1345"/>
      <c r="E560" s="1345"/>
      <c r="F560" s="1345"/>
      <c r="G560" s="1345"/>
      <c r="H560" s="1345"/>
      <c r="I560" s="1345"/>
      <c r="J560" s="1345"/>
      <c r="K560" s="1345"/>
      <c r="L560" s="1345"/>
      <c r="M560" s="1350"/>
      <c r="N560" s="1345"/>
      <c r="O560" s="1345"/>
      <c r="P560" s="1345"/>
      <c r="Q560" s="1345"/>
      <c r="R560" s="1345"/>
      <c r="S560" s="1345"/>
      <c r="T560" s="1345"/>
      <c r="U560" s="1345"/>
    </row>
    <row r="561" spans="1:21">
      <c r="A561" s="1345"/>
      <c r="B561" s="1345"/>
      <c r="C561" s="1345"/>
      <c r="D561" s="1345"/>
      <c r="E561" s="1345"/>
      <c r="F561" s="1345"/>
      <c r="G561" s="1345"/>
      <c r="H561" s="1345"/>
      <c r="I561" s="1345"/>
      <c r="J561" s="1345"/>
      <c r="K561" s="1345"/>
      <c r="L561" s="1345"/>
      <c r="M561" s="1350"/>
      <c r="N561" s="1345"/>
      <c r="O561" s="1345"/>
      <c r="P561" s="1345"/>
      <c r="Q561" s="1345"/>
      <c r="R561" s="1345"/>
      <c r="S561" s="1345"/>
      <c r="T561" s="1345"/>
      <c r="U561" s="1345"/>
    </row>
    <row r="562" spans="1:21">
      <c r="A562" s="1345"/>
      <c r="B562" s="1345"/>
      <c r="C562" s="1345"/>
      <c r="D562" s="1345"/>
      <c r="E562" s="1345"/>
      <c r="F562" s="1345"/>
      <c r="G562" s="1345"/>
      <c r="H562" s="1345"/>
      <c r="I562" s="1345"/>
      <c r="J562" s="1345"/>
      <c r="K562" s="1345"/>
      <c r="L562" s="1345"/>
      <c r="M562" s="1350"/>
      <c r="N562" s="1345"/>
      <c r="O562" s="1345"/>
      <c r="P562" s="1345"/>
      <c r="Q562" s="1345"/>
      <c r="R562" s="1345"/>
      <c r="S562" s="1345"/>
      <c r="T562" s="1345"/>
      <c r="U562" s="1345"/>
    </row>
    <row r="563" spans="1:21">
      <c r="A563" s="1345"/>
      <c r="B563" s="1345"/>
      <c r="C563" s="1345"/>
      <c r="D563" s="1345"/>
      <c r="E563" s="1345"/>
      <c r="F563" s="1345"/>
      <c r="G563" s="1345"/>
      <c r="H563" s="1345"/>
      <c r="I563" s="1345"/>
      <c r="J563" s="1345"/>
      <c r="K563" s="1345"/>
      <c r="L563" s="1345"/>
      <c r="M563" s="1350"/>
      <c r="N563" s="1345"/>
      <c r="O563" s="1345"/>
      <c r="P563" s="1345"/>
      <c r="Q563" s="1345"/>
      <c r="R563" s="1345"/>
      <c r="S563" s="1345"/>
      <c r="T563" s="1345"/>
      <c r="U563" s="1345"/>
    </row>
    <row r="564" spans="1:21">
      <c r="A564" s="1345"/>
      <c r="B564" s="1345"/>
      <c r="C564" s="1345"/>
      <c r="D564" s="1345"/>
      <c r="E564" s="1345"/>
      <c r="F564" s="1345"/>
      <c r="G564" s="1345"/>
      <c r="H564" s="1345"/>
      <c r="I564" s="1345"/>
      <c r="J564" s="1345"/>
      <c r="K564" s="1345"/>
      <c r="L564" s="1345"/>
      <c r="M564" s="1350"/>
      <c r="N564" s="1345"/>
      <c r="O564" s="1345"/>
      <c r="P564" s="1345"/>
      <c r="Q564" s="1345"/>
      <c r="R564" s="1345"/>
      <c r="S564" s="1345"/>
      <c r="T564" s="1345"/>
      <c r="U564" s="1345"/>
    </row>
    <row r="565" spans="1:21">
      <c r="A565" s="1345"/>
      <c r="B565" s="1345"/>
      <c r="C565" s="1345"/>
      <c r="D565" s="1345"/>
      <c r="E565" s="1345"/>
      <c r="F565" s="1345"/>
      <c r="G565" s="1345"/>
      <c r="H565" s="1345"/>
      <c r="I565" s="1345"/>
      <c r="J565" s="1345"/>
      <c r="K565" s="1345"/>
      <c r="L565" s="1345"/>
      <c r="M565" s="1350"/>
      <c r="N565" s="1345"/>
      <c r="O565" s="1345"/>
      <c r="P565" s="1345"/>
      <c r="Q565" s="1345"/>
      <c r="R565" s="1345"/>
      <c r="S565" s="1345"/>
      <c r="T565" s="1345"/>
      <c r="U565" s="1345"/>
    </row>
    <row r="566" spans="1:21">
      <c r="A566" s="1345"/>
      <c r="B566" s="1345"/>
      <c r="C566" s="1345"/>
      <c r="D566" s="1345"/>
      <c r="E566" s="1345"/>
      <c r="F566" s="1345"/>
      <c r="G566" s="1345"/>
      <c r="H566" s="1345"/>
      <c r="I566" s="1345"/>
      <c r="J566" s="1345"/>
      <c r="K566" s="1345"/>
      <c r="L566" s="1345"/>
      <c r="M566" s="1350"/>
      <c r="N566" s="1345"/>
      <c r="O566" s="1345"/>
      <c r="P566" s="1345"/>
      <c r="Q566" s="1345"/>
      <c r="R566" s="1345"/>
      <c r="S566" s="1345"/>
      <c r="T566" s="1345"/>
      <c r="U566" s="1345"/>
    </row>
    <row r="567" spans="1:21">
      <c r="A567" s="1345"/>
      <c r="B567" s="1345"/>
      <c r="C567" s="1345"/>
      <c r="D567" s="1345"/>
      <c r="E567" s="1345"/>
      <c r="F567" s="1345"/>
      <c r="G567" s="1345"/>
      <c r="H567" s="1345"/>
      <c r="I567" s="1345"/>
      <c r="J567" s="1345"/>
      <c r="K567" s="1345"/>
      <c r="L567" s="1345"/>
      <c r="M567" s="1350"/>
      <c r="N567" s="1345"/>
      <c r="O567" s="1345"/>
      <c r="P567" s="1345"/>
      <c r="Q567" s="1345"/>
      <c r="R567" s="1345"/>
      <c r="S567" s="1345"/>
      <c r="T567" s="1345"/>
      <c r="U567" s="1345"/>
    </row>
    <row r="568" spans="1:21">
      <c r="A568" s="1345"/>
      <c r="B568" s="1345"/>
      <c r="C568" s="1345"/>
      <c r="D568" s="1345"/>
      <c r="E568" s="1345"/>
      <c r="F568" s="1345"/>
      <c r="G568" s="1345"/>
      <c r="H568" s="1345"/>
      <c r="I568" s="1345"/>
      <c r="J568" s="1345"/>
      <c r="K568" s="1345"/>
      <c r="L568" s="1345"/>
      <c r="M568" s="1350"/>
      <c r="N568" s="1345"/>
      <c r="O568" s="1345"/>
      <c r="P568" s="1345"/>
      <c r="Q568" s="1345"/>
      <c r="R568" s="1345"/>
      <c r="S568" s="1345"/>
      <c r="T568" s="1345"/>
      <c r="U568" s="1345"/>
    </row>
    <row r="569" spans="1:21">
      <c r="A569" s="1345"/>
      <c r="B569" s="1345"/>
      <c r="C569" s="1345"/>
      <c r="D569" s="1345"/>
      <c r="E569" s="1345"/>
      <c r="F569" s="1345"/>
      <c r="G569" s="1345"/>
      <c r="H569" s="1345"/>
      <c r="I569" s="1345"/>
      <c r="J569" s="1345"/>
      <c r="K569" s="1345"/>
      <c r="L569" s="1345"/>
      <c r="M569" s="1350"/>
      <c r="N569" s="1345"/>
      <c r="O569" s="1345"/>
      <c r="P569" s="1345"/>
      <c r="Q569" s="1345"/>
      <c r="R569" s="1345"/>
      <c r="S569" s="1345"/>
      <c r="T569" s="1345"/>
      <c r="U569" s="1345"/>
    </row>
    <row r="570" spans="1:21">
      <c r="A570" s="1345"/>
      <c r="B570" s="1345"/>
      <c r="C570" s="1345"/>
      <c r="D570" s="1345"/>
      <c r="E570" s="1345"/>
      <c r="F570" s="1345"/>
      <c r="G570" s="1345"/>
      <c r="H570" s="1345"/>
      <c r="I570" s="1345"/>
      <c r="J570" s="1345"/>
      <c r="K570" s="1345"/>
      <c r="L570" s="1345"/>
      <c r="M570" s="1350"/>
      <c r="N570" s="1345"/>
      <c r="O570" s="1345"/>
      <c r="P570" s="1345"/>
      <c r="Q570" s="1345"/>
      <c r="R570" s="1345"/>
      <c r="S570" s="1345"/>
      <c r="T570" s="1345"/>
      <c r="U570" s="1345"/>
    </row>
    <row r="571" spans="1:21">
      <c r="A571" s="1345"/>
      <c r="B571" s="1345"/>
      <c r="C571" s="1345"/>
      <c r="D571" s="1345"/>
      <c r="E571" s="1345"/>
      <c r="F571" s="1345"/>
      <c r="G571" s="1345"/>
      <c r="H571" s="1345"/>
      <c r="I571" s="1345"/>
      <c r="J571" s="1345"/>
      <c r="K571" s="1345"/>
      <c r="L571" s="1345"/>
      <c r="M571" s="1350"/>
      <c r="N571" s="1345"/>
      <c r="O571" s="1345"/>
      <c r="P571" s="1345"/>
      <c r="Q571" s="1345"/>
      <c r="R571" s="1345"/>
      <c r="S571" s="1345"/>
      <c r="T571" s="1345"/>
      <c r="U571" s="1345"/>
    </row>
    <row r="572" spans="1:21">
      <c r="A572" s="1345"/>
      <c r="B572" s="1345"/>
      <c r="C572" s="1345"/>
      <c r="D572" s="1345"/>
      <c r="E572" s="1345"/>
      <c r="F572" s="1345"/>
      <c r="G572" s="1345"/>
      <c r="H572" s="1345"/>
      <c r="I572" s="1345"/>
      <c r="J572" s="1345"/>
      <c r="K572" s="1345"/>
      <c r="L572" s="1345"/>
      <c r="M572" s="1350"/>
      <c r="N572" s="1345"/>
      <c r="O572" s="1345"/>
      <c r="P572" s="1345"/>
      <c r="Q572" s="1345"/>
      <c r="R572" s="1345"/>
      <c r="S572" s="1345"/>
      <c r="T572" s="1345"/>
      <c r="U572" s="1345"/>
    </row>
    <row r="573" spans="1:21">
      <c r="A573" s="1345"/>
      <c r="B573" s="1345"/>
      <c r="C573" s="1345"/>
      <c r="D573" s="1345"/>
      <c r="E573" s="1345"/>
      <c r="F573" s="1345"/>
      <c r="G573" s="1345"/>
      <c r="H573" s="1345"/>
      <c r="I573" s="1345"/>
      <c r="J573" s="1345"/>
      <c r="K573" s="1345"/>
      <c r="L573" s="1345"/>
      <c r="M573" s="1350"/>
      <c r="N573" s="1345"/>
      <c r="O573" s="1345"/>
      <c r="P573" s="1345"/>
      <c r="Q573" s="1345"/>
      <c r="R573" s="1345"/>
      <c r="S573" s="1345"/>
      <c r="T573" s="1345"/>
      <c r="U573" s="1345"/>
    </row>
    <row r="574" spans="1:21">
      <c r="A574" s="1345"/>
      <c r="B574" s="1345"/>
      <c r="C574" s="1345"/>
      <c r="D574" s="1345"/>
      <c r="E574" s="1345"/>
      <c r="F574" s="1345"/>
      <c r="G574" s="1345"/>
      <c r="H574" s="1345"/>
      <c r="I574" s="1345"/>
      <c r="J574" s="1345"/>
      <c r="K574" s="1345"/>
      <c r="L574" s="1345"/>
      <c r="M574" s="1350"/>
      <c r="N574" s="1345"/>
      <c r="O574" s="1345"/>
      <c r="P574" s="1345"/>
      <c r="Q574" s="1345"/>
      <c r="R574" s="1345"/>
      <c r="S574" s="1345"/>
      <c r="T574" s="1345"/>
      <c r="U574" s="1345"/>
    </row>
    <row r="575" spans="1:21">
      <c r="A575" s="1345"/>
      <c r="B575" s="1345"/>
      <c r="C575" s="1345"/>
      <c r="D575" s="1345"/>
      <c r="E575" s="1345"/>
      <c r="F575" s="1345"/>
      <c r="G575" s="1345"/>
      <c r="H575" s="1345"/>
      <c r="I575" s="1345"/>
      <c r="J575" s="1345"/>
      <c r="K575" s="1345"/>
      <c r="L575" s="1345"/>
      <c r="M575" s="1350"/>
      <c r="N575" s="1345"/>
      <c r="O575" s="1345"/>
      <c r="P575" s="1345"/>
      <c r="Q575" s="1345"/>
      <c r="R575" s="1345"/>
      <c r="S575" s="1345"/>
      <c r="T575" s="1345"/>
      <c r="U575" s="1345"/>
    </row>
    <row r="576" spans="1:21">
      <c r="A576" s="1345"/>
      <c r="B576" s="1345"/>
      <c r="C576" s="1345"/>
      <c r="D576" s="1345"/>
      <c r="E576" s="1345"/>
      <c r="F576" s="1345"/>
      <c r="G576" s="1345"/>
      <c r="H576" s="1345"/>
      <c r="I576" s="1345"/>
      <c r="J576" s="1345"/>
      <c r="K576" s="1345"/>
      <c r="L576" s="1345"/>
      <c r="M576" s="1350"/>
      <c r="N576" s="1345"/>
      <c r="O576" s="1345"/>
      <c r="P576" s="1345"/>
      <c r="Q576" s="1345"/>
      <c r="R576" s="1345"/>
      <c r="S576" s="1345"/>
      <c r="T576" s="1345"/>
      <c r="U576" s="1345"/>
    </row>
    <row r="577" spans="1:21">
      <c r="A577" s="1345"/>
      <c r="B577" s="1345"/>
      <c r="C577" s="1345"/>
      <c r="D577" s="1345"/>
      <c r="E577" s="1345"/>
      <c r="F577" s="1345"/>
      <c r="G577" s="1345"/>
      <c r="H577" s="1345"/>
      <c r="I577" s="1345"/>
      <c r="J577" s="1345"/>
      <c r="K577" s="1345"/>
      <c r="L577" s="1345"/>
      <c r="M577" s="1350"/>
      <c r="N577" s="1345"/>
      <c r="O577" s="1345"/>
      <c r="P577" s="1345"/>
      <c r="Q577" s="1345"/>
      <c r="R577" s="1345"/>
      <c r="S577" s="1345"/>
      <c r="T577" s="1345"/>
      <c r="U577" s="1345"/>
    </row>
    <row r="578" spans="1:21">
      <c r="A578" s="1345"/>
      <c r="B578" s="1345"/>
      <c r="C578" s="1345"/>
      <c r="D578" s="1345"/>
      <c r="E578" s="1345"/>
      <c r="F578" s="1345"/>
      <c r="G578" s="1345"/>
      <c r="H578" s="1345"/>
      <c r="I578" s="1345"/>
      <c r="J578" s="1345"/>
      <c r="K578" s="1345"/>
      <c r="L578" s="1345"/>
      <c r="M578" s="1350"/>
      <c r="N578" s="1345"/>
      <c r="O578" s="1345"/>
      <c r="P578" s="1345"/>
      <c r="Q578" s="1345"/>
      <c r="R578" s="1345"/>
      <c r="S578" s="1345"/>
      <c r="T578" s="1345"/>
      <c r="U578" s="1345"/>
    </row>
    <row r="579" spans="1:21">
      <c r="A579" s="1345"/>
      <c r="B579" s="1345"/>
      <c r="C579" s="1345"/>
      <c r="D579" s="1345"/>
      <c r="E579" s="1345"/>
      <c r="F579" s="1345"/>
      <c r="G579" s="1345"/>
      <c r="H579" s="1345"/>
      <c r="I579" s="1345"/>
      <c r="J579" s="1345"/>
      <c r="K579" s="1345"/>
      <c r="L579" s="1345"/>
      <c r="M579" s="1350"/>
      <c r="N579" s="1345"/>
      <c r="O579" s="1345"/>
      <c r="P579" s="1345"/>
      <c r="Q579" s="1345"/>
      <c r="R579" s="1345"/>
      <c r="S579" s="1345"/>
      <c r="T579" s="1345"/>
      <c r="U579" s="1345"/>
    </row>
    <row r="580" spans="1:21">
      <c r="A580" s="1345"/>
      <c r="B580" s="1345"/>
      <c r="C580" s="1345"/>
      <c r="D580" s="1345"/>
      <c r="E580" s="1345"/>
      <c r="F580" s="1345"/>
      <c r="G580" s="1345"/>
      <c r="H580" s="1345"/>
      <c r="I580" s="1345"/>
      <c r="J580" s="1345"/>
      <c r="K580" s="1345"/>
      <c r="L580" s="1345"/>
      <c r="M580" s="1350"/>
      <c r="N580" s="1345"/>
      <c r="O580" s="1345"/>
      <c r="P580" s="1345"/>
      <c r="Q580" s="1345"/>
      <c r="R580" s="1345"/>
      <c r="S580" s="1345"/>
      <c r="T580" s="1345"/>
      <c r="U580" s="1345"/>
    </row>
    <row r="581" spans="1:21">
      <c r="A581" s="1345"/>
      <c r="B581" s="1345"/>
      <c r="C581" s="1345"/>
      <c r="D581" s="1345"/>
      <c r="E581" s="1345"/>
      <c r="F581" s="1345"/>
      <c r="G581" s="1345"/>
      <c r="H581" s="1345"/>
      <c r="I581" s="1345"/>
      <c r="J581" s="1345"/>
      <c r="K581" s="1345"/>
      <c r="L581" s="1345"/>
      <c r="M581" s="1350"/>
      <c r="N581" s="1345"/>
      <c r="O581" s="1345"/>
      <c r="P581" s="1345"/>
      <c r="Q581" s="1345"/>
      <c r="R581" s="1345"/>
      <c r="S581" s="1345"/>
      <c r="T581" s="1345"/>
      <c r="U581" s="1345"/>
    </row>
    <row r="582" spans="1:21">
      <c r="A582" s="1345"/>
      <c r="B582" s="1345"/>
      <c r="C582" s="1345"/>
      <c r="D582" s="1345"/>
      <c r="E582" s="1345"/>
      <c r="F582" s="1345"/>
      <c r="G582" s="1345"/>
      <c r="H582" s="1345"/>
      <c r="I582" s="1345"/>
      <c r="J582" s="1345"/>
      <c r="K582" s="1345"/>
      <c r="L582" s="1345"/>
      <c r="M582" s="1350"/>
      <c r="N582" s="1345"/>
      <c r="O582" s="1345"/>
      <c r="P582" s="1345"/>
      <c r="Q582" s="1345"/>
      <c r="R582" s="1345"/>
      <c r="S582" s="1345"/>
      <c r="T582" s="1345"/>
      <c r="U582" s="1345"/>
    </row>
    <row r="583" spans="1:21">
      <c r="A583" s="1345"/>
      <c r="B583" s="1345"/>
      <c r="C583" s="1345"/>
      <c r="D583" s="1345"/>
      <c r="E583" s="1345"/>
      <c r="F583" s="1345"/>
      <c r="G583" s="1345"/>
      <c r="H583" s="1345"/>
      <c r="I583" s="1345"/>
      <c r="J583" s="1345"/>
      <c r="K583" s="1345"/>
      <c r="L583" s="1345"/>
      <c r="M583" s="1350"/>
      <c r="N583" s="1345"/>
      <c r="O583" s="1345"/>
      <c r="P583" s="1345"/>
      <c r="Q583" s="1345"/>
      <c r="R583" s="1345"/>
      <c r="S583" s="1345"/>
      <c r="T583" s="1345"/>
      <c r="U583" s="1345"/>
    </row>
    <row r="584" spans="1:21">
      <c r="A584" s="1345"/>
      <c r="B584" s="1345"/>
      <c r="C584" s="1345"/>
      <c r="D584" s="1345"/>
      <c r="E584" s="1345"/>
      <c r="F584" s="1345"/>
      <c r="G584" s="1345"/>
      <c r="H584" s="1345"/>
      <c r="I584" s="1345"/>
      <c r="J584" s="1345"/>
      <c r="K584" s="1345"/>
      <c r="L584" s="1345"/>
      <c r="M584" s="1350"/>
      <c r="N584" s="1345"/>
      <c r="O584" s="1345"/>
      <c r="P584" s="1345"/>
      <c r="Q584" s="1345"/>
      <c r="R584" s="1345"/>
      <c r="S584" s="1345"/>
      <c r="T584" s="1345"/>
      <c r="U584" s="1345"/>
    </row>
    <row r="585" spans="1:21">
      <c r="A585" s="1345"/>
      <c r="B585" s="1345"/>
      <c r="C585" s="1345"/>
      <c r="D585" s="1345"/>
      <c r="E585" s="1345"/>
      <c r="F585" s="1345"/>
      <c r="G585" s="1345"/>
      <c r="H585" s="1345"/>
      <c r="I585" s="1345"/>
      <c r="J585" s="1345"/>
      <c r="K585" s="1345"/>
      <c r="L585" s="1345"/>
      <c r="M585" s="1350"/>
      <c r="N585" s="1345"/>
      <c r="O585" s="1345"/>
      <c r="P585" s="1345"/>
      <c r="Q585" s="1345"/>
      <c r="R585" s="1345"/>
      <c r="S585" s="1345"/>
      <c r="T585" s="1345"/>
      <c r="U585" s="1345"/>
    </row>
    <row r="586" spans="1:21">
      <c r="A586" s="1345"/>
      <c r="B586" s="1345"/>
      <c r="C586" s="1345"/>
      <c r="D586" s="1345"/>
      <c r="E586" s="1345"/>
      <c r="F586" s="1345"/>
      <c r="G586" s="1345"/>
      <c r="H586" s="1345"/>
      <c r="I586" s="1345"/>
      <c r="J586" s="1345"/>
      <c r="K586" s="1345"/>
      <c r="L586" s="1345"/>
      <c r="M586" s="1350"/>
      <c r="N586" s="1345"/>
      <c r="O586" s="1345"/>
      <c r="P586" s="1345"/>
      <c r="Q586" s="1345"/>
      <c r="R586" s="1345"/>
      <c r="S586" s="1345"/>
      <c r="T586" s="1345"/>
      <c r="U586" s="1345"/>
    </row>
    <row r="587" spans="1:21">
      <c r="A587" s="1345"/>
      <c r="B587" s="1345"/>
      <c r="C587" s="1345"/>
      <c r="D587" s="1345"/>
      <c r="E587" s="1345"/>
      <c r="F587" s="1345"/>
      <c r="G587" s="1345"/>
      <c r="H587" s="1345"/>
      <c r="I587" s="1345"/>
      <c r="J587" s="1345"/>
      <c r="K587" s="1345"/>
      <c r="L587" s="1345"/>
      <c r="M587" s="1350"/>
      <c r="N587" s="1345"/>
      <c r="O587" s="1345"/>
      <c r="P587" s="1345"/>
      <c r="Q587" s="1345"/>
      <c r="R587" s="1345"/>
      <c r="S587" s="1345"/>
      <c r="T587" s="1345"/>
      <c r="U587" s="1345"/>
    </row>
    <row r="588" spans="1:21">
      <c r="A588" s="1345"/>
      <c r="B588" s="1345"/>
      <c r="C588" s="1345"/>
      <c r="D588" s="1345"/>
      <c r="E588" s="1345"/>
      <c r="F588" s="1345"/>
      <c r="G588" s="1345"/>
      <c r="H588" s="1345"/>
      <c r="I588" s="1345"/>
      <c r="J588" s="1345"/>
      <c r="K588" s="1345"/>
      <c r="L588" s="1345"/>
      <c r="M588" s="1350"/>
      <c r="N588" s="1345"/>
      <c r="O588" s="1345"/>
      <c r="P588" s="1345"/>
      <c r="Q588" s="1345"/>
      <c r="R588" s="1345"/>
      <c r="S588" s="1345"/>
      <c r="T588" s="1345"/>
      <c r="U588" s="1345"/>
    </row>
    <row r="589" spans="1:21">
      <c r="A589" s="1345"/>
      <c r="B589" s="1345"/>
      <c r="C589" s="1345"/>
      <c r="D589" s="1345"/>
      <c r="E589" s="1345"/>
      <c r="F589" s="1345"/>
      <c r="G589" s="1345"/>
      <c r="H589" s="1345"/>
      <c r="I589" s="1345"/>
      <c r="J589" s="1345"/>
      <c r="K589" s="1345"/>
      <c r="L589" s="1345"/>
      <c r="M589" s="1350"/>
      <c r="N589" s="1345"/>
      <c r="O589" s="1345"/>
      <c r="P589" s="1345"/>
      <c r="Q589" s="1345"/>
      <c r="R589" s="1345"/>
      <c r="S589" s="1345"/>
      <c r="T589" s="1345"/>
      <c r="U589" s="1345"/>
    </row>
    <row r="590" spans="1:21">
      <c r="A590" s="1345"/>
      <c r="B590" s="1345"/>
      <c r="C590" s="1345"/>
      <c r="D590" s="1345"/>
      <c r="E590" s="1345"/>
      <c r="F590" s="1345"/>
      <c r="G590" s="1345"/>
      <c r="H590" s="1345"/>
      <c r="I590" s="1345"/>
      <c r="J590" s="1345"/>
      <c r="K590" s="1345"/>
      <c r="L590" s="1345"/>
      <c r="M590" s="1350"/>
      <c r="N590" s="1345"/>
      <c r="O590" s="1345"/>
      <c r="P590" s="1345"/>
      <c r="Q590" s="1345"/>
      <c r="R590" s="1345"/>
      <c r="S590" s="1345"/>
      <c r="T590" s="1345"/>
      <c r="U590" s="1345"/>
    </row>
    <row r="591" spans="1:21">
      <c r="A591" s="1345"/>
      <c r="B591" s="1345"/>
      <c r="C591" s="1345"/>
      <c r="D591" s="1345"/>
      <c r="E591" s="1345"/>
      <c r="F591" s="1345"/>
      <c r="G591" s="1345"/>
      <c r="H591" s="1345"/>
      <c r="I591" s="1345"/>
      <c r="J591" s="1345"/>
      <c r="K591" s="1345"/>
      <c r="L591" s="1345"/>
      <c r="M591" s="1350"/>
      <c r="N591" s="1345"/>
      <c r="O591" s="1345"/>
      <c r="P591" s="1345"/>
      <c r="Q591" s="1345"/>
      <c r="R591" s="1345"/>
      <c r="S591" s="1345"/>
      <c r="T591" s="1345"/>
      <c r="U591" s="1345"/>
    </row>
    <row r="592" spans="1:21">
      <c r="A592" s="1345"/>
      <c r="B592" s="1345"/>
      <c r="C592" s="1345"/>
      <c r="D592" s="1345"/>
      <c r="E592" s="1345"/>
      <c r="F592" s="1345"/>
      <c r="G592" s="1345"/>
      <c r="H592" s="1345"/>
      <c r="I592" s="1345"/>
      <c r="J592" s="1345"/>
      <c r="K592" s="1345"/>
      <c r="L592" s="1345"/>
      <c r="M592" s="1350"/>
      <c r="N592" s="1345"/>
      <c r="O592" s="1345"/>
      <c r="P592" s="1345"/>
      <c r="Q592" s="1345"/>
      <c r="R592" s="1345"/>
      <c r="S592" s="1345"/>
      <c r="T592" s="1345"/>
      <c r="U592" s="1345"/>
    </row>
    <row r="593" spans="1:21">
      <c r="A593" s="1345"/>
      <c r="B593" s="1345"/>
      <c r="C593" s="1345"/>
      <c r="D593" s="1345"/>
      <c r="E593" s="1345"/>
      <c r="F593" s="1345"/>
      <c r="G593" s="1345"/>
      <c r="H593" s="1345"/>
      <c r="I593" s="1345"/>
      <c r="J593" s="1345"/>
      <c r="K593" s="1345"/>
      <c r="L593" s="1345"/>
      <c r="M593" s="1350"/>
      <c r="N593" s="1345"/>
      <c r="O593" s="1345"/>
      <c r="P593" s="1345"/>
      <c r="Q593" s="1345"/>
      <c r="R593" s="1345"/>
      <c r="S593" s="1345"/>
      <c r="T593" s="1345"/>
      <c r="U593" s="1345"/>
    </row>
    <row r="594" spans="1:21">
      <c r="A594" s="1345"/>
      <c r="B594" s="1345"/>
      <c r="C594" s="1345"/>
      <c r="D594" s="1345"/>
      <c r="E594" s="1345"/>
      <c r="F594" s="1345"/>
      <c r="G594" s="1345"/>
      <c r="H594" s="1345"/>
      <c r="I594" s="1345"/>
      <c r="J594" s="1345"/>
      <c r="K594" s="1345"/>
      <c r="L594" s="1345"/>
      <c r="M594" s="1350"/>
      <c r="N594" s="1345"/>
      <c r="O594" s="1345"/>
      <c r="P594" s="1345"/>
      <c r="Q594" s="1345"/>
      <c r="R594" s="1345"/>
      <c r="S594" s="1345"/>
      <c r="T594" s="1345"/>
      <c r="U594" s="1345"/>
    </row>
    <row r="595" spans="1:21">
      <c r="A595" s="1345"/>
      <c r="B595" s="1345"/>
      <c r="C595" s="1345"/>
      <c r="D595" s="1345"/>
      <c r="E595" s="1345"/>
      <c r="F595" s="1345"/>
      <c r="G595" s="1345"/>
      <c r="H595" s="1345"/>
      <c r="I595" s="1345"/>
      <c r="J595" s="1345"/>
      <c r="K595" s="1345"/>
      <c r="L595" s="1345"/>
      <c r="M595" s="1345"/>
      <c r="N595" s="1345"/>
      <c r="O595" s="1345"/>
      <c r="P595" s="1345"/>
      <c r="Q595" s="1345"/>
      <c r="R595" s="1345"/>
      <c r="S595" s="1345"/>
      <c r="T595" s="1345"/>
      <c r="U595" s="1345"/>
    </row>
    <row r="596" spans="1:21">
      <c r="A596" s="1345"/>
      <c r="B596" s="1345"/>
      <c r="C596" s="1345"/>
      <c r="D596" s="1345"/>
      <c r="E596" s="1345"/>
      <c r="F596" s="1345"/>
      <c r="G596" s="1345"/>
      <c r="H596" s="1345"/>
      <c r="I596" s="1345"/>
      <c r="J596" s="1345"/>
      <c r="K596" s="1345"/>
      <c r="L596" s="1345"/>
      <c r="M596" s="1350"/>
      <c r="N596" s="1345"/>
      <c r="O596" s="1345"/>
      <c r="P596" s="1345"/>
      <c r="Q596" s="1345"/>
      <c r="R596" s="1345"/>
      <c r="S596" s="1345"/>
      <c r="T596" s="1345"/>
      <c r="U596" s="1345"/>
    </row>
    <row r="597" spans="1:21">
      <c r="A597" s="1345"/>
      <c r="B597" s="1345"/>
      <c r="C597" s="1345"/>
      <c r="D597" s="1345"/>
      <c r="E597" s="1345"/>
      <c r="F597" s="1345"/>
      <c r="G597" s="1345"/>
      <c r="H597" s="1345"/>
      <c r="I597" s="1345"/>
      <c r="J597" s="1345"/>
      <c r="K597" s="1345"/>
      <c r="L597" s="1345"/>
      <c r="M597" s="1345"/>
      <c r="N597" s="1345"/>
      <c r="O597" s="1345"/>
      <c r="P597" s="1345"/>
      <c r="Q597" s="1345"/>
      <c r="R597" s="1345"/>
      <c r="S597" s="1345"/>
      <c r="T597" s="1345"/>
      <c r="U597" s="1345"/>
    </row>
    <row r="598" spans="1:21">
      <c r="A598" s="1345"/>
      <c r="B598" s="1345"/>
      <c r="C598" s="1345"/>
      <c r="D598" s="1345"/>
      <c r="E598" s="1345"/>
      <c r="F598" s="1345"/>
      <c r="G598" s="1345"/>
      <c r="H598" s="1345"/>
      <c r="I598" s="1345"/>
      <c r="J598" s="1345"/>
      <c r="K598" s="1345"/>
      <c r="L598" s="1345"/>
      <c r="M598" s="1350"/>
      <c r="N598" s="1345"/>
      <c r="O598" s="1345"/>
      <c r="P598" s="1345"/>
      <c r="Q598" s="1345"/>
      <c r="R598" s="1345"/>
      <c r="S598" s="1345"/>
      <c r="T598" s="1345"/>
      <c r="U598" s="1345"/>
    </row>
    <row r="599" spans="1:21">
      <c r="A599" s="1345"/>
      <c r="B599" s="1345"/>
      <c r="C599" s="1345"/>
      <c r="D599" s="1345"/>
      <c r="E599" s="1345"/>
      <c r="F599" s="1345"/>
      <c r="G599" s="1345"/>
      <c r="H599" s="1345"/>
      <c r="I599" s="1345"/>
      <c r="J599" s="1345"/>
      <c r="K599" s="1345"/>
      <c r="L599" s="1345"/>
      <c r="M599" s="1350"/>
      <c r="N599" s="1345"/>
      <c r="O599" s="1345"/>
      <c r="P599" s="1345"/>
      <c r="Q599" s="1345"/>
      <c r="R599" s="1345"/>
      <c r="S599" s="1345"/>
      <c r="T599" s="1345"/>
      <c r="U599" s="1345"/>
    </row>
    <row r="600" spans="1:21">
      <c r="A600" s="1345"/>
      <c r="B600" s="1345"/>
      <c r="C600" s="1345"/>
      <c r="D600" s="1345"/>
      <c r="E600" s="1345"/>
      <c r="F600" s="1345"/>
      <c r="G600" s="1345"/>
      <c r="H600" s="1345"/>
      <c r="I600" s="1345"/>
      <c r="J600" s="1345"/>
      <c r="K600" s="1345"/>
      <c r="L600" s="1345"/>
      <c r="M600" s="1350"/>
      <c r="N600" s="1345"/>
      <c r="O600" s="1345"/>
      <c r="P600" s="1345"/>
      <c r="Q600" s="1345"/>
      <c r="R600" s="1345"/>
      <c r="S600" s="1345"/>
      <c r="T600" s="1345"/>
      <c r="U600" s="1345"/>
    </row>
    <row r="601" spans="1:21">
      <c r="A601" s="1345"/>
      <c r="B601" s="1345"/>
      <c r="C601" s="1345"/>
      <c r="D601" s="1345"/>
      <c r="E601" s="1345"/>
      <c r="F601" s="1345"/>
      <c r="G601" s="1345"/>
      <c r="H601" s="1345"/>
      <c r="I601" s="1345"/>
      <c r="J601" s="1345"/>
      <c r="K601" s="1345"/>
      <c r="L601" s="1345"/>
      <c r="M601" s="1350"/>
      <c r="N601" s="1345"/>
      <c r="O601" s="1345"/>
      <c r="P601" s="1345"/>
      <c r="Q601" s="1345"/>
      <c r="R601" s="1345"/>
      <c r="S601" s="1345"/>
      <c r="T601" s="1345"/>
      <c r="U601" s="1345"/>
    </row>
    <row r="602" spans="1:21">
      <c r="A602" s="1345"/>
      <c r="B602" s="1345"/>
      <c r="C602" s="1345"/>
      <c r="D602" s="1345"/>
      <c r="E602" s="1345"/>
      <c r="F602" s="1345"/>
      <c r="G602" s="1345"/>
      <c r="H602" s="1345"/>
      <c r="I602" s="1345"/>
      <c r="J602" s="1345"/>
      <c r="K602" s="1345"/>
      <c r="L602" s="1345"/>
      <c r="M602" s="1350"/>
      <c r="N602" s="1345"/>
      <c r="O602" s="1345"/>
      <c r="P602" s="1345"/>
      <c r="Q602" s="1345"/>
      <c r="R602" s="1345"/>
      <c r="S602" s="1345"/>
      <c r="T602" s="1345"/>
      <c r="U602" s="1345"/>
    </row>
    <row r="603" spans="1:21">
      <c r="A603" s="1345"/>
      <c r="B603" s="1345"/>
      <c r="C603" s="1345"/>
      <c r="D603" s="1345"/>
      <c r="E603" s="1345"/>
      <c r="F603" s="1345"/>
      <c r="G603" s="1345"/>
      <c r="H603" s="1345"/>
      <c r="I603" s="1345"/>
      <c r="J603" s="1345"/>
      <c r="K603" s="1345"/>
      <c r="L603" s="1345"/>
      <c r="M603" s="1345"/>
      <c r="N603" s="1345"/>
      <c r="O603" s="1345"/>
      <c r="P603" s="1345"/>
      <c r="Q603" s="1345"/>
      <c r="R603" s="1345"/>
      <c r="S603" s="1345"/>
      <c r="T603" s="1345"/>
      <c r="U603" s="1345"/>
    </row>
    <row r="604" spans="1:21">
      <c r="A604" s="1345"/>
      <c r="B604" s="1345"/>
      <c r="C604" s="1345"/>
      <c r="D604" s="1345"/>
      <c r="E604" s="1345"/>
      <c r="F604" s="1345"/>
      <c r="G604" s="1345"/>
      <c r="H604" s="1345"/>
      <c r="I604" s="1345"/>
      <c r="J604" s="1345"/>
      <c r="K604" s="1345"/>
      <c r="L604" s="1345"/>
      <c r="M604" s="1350"/>
      <c r="N604" s="1345"/>
      <c r="O604" s="1345"/>
      <c r="P604" s="1345"/>
      <c r="Q604" s="1345"/>
      <c r="R604" s="1345"/>
      <c r="S604" s="1345"/>
      <c r="T604" s="1345"/>
      <c r="U604" s="1345"/>
    </row>
    <row r="605" spans="1:21">
      <c r="A605" s="1345"/>
      <c r="B605" s="1345"/>
      <c r="C605" s="1345"/>
      <c r="D605" s="1345"/>
      <c r="E605" s="1345"/>
      <c r="F605" s="1345"/>
      <c r="G605" s="1345"/>
      <c r="H605" s="1345"/>
      <c r="I605" s="1345"/>
      <c r="J605" s="1345"/>
      <c r="K605" s="1345"/>
      <c r="L605" s="1345"/>
      <c r="M605" s="1350"/>
      <c r="N605" s="1345"/>
      <c r="O605" s="1345"/>
      <c r="P605" s="1345"/>
      <c r="Q605" s="1345"/>
      <c r="R605" s="1345"/>
      <c r="S605" s="1345"/>
      <c r="T605" s="1345"/>
      <c r="U605" s="1345"/>
    </row>
    <row r="606" spans="1:21">
      <c r="A606" s="1345"/>
      <c r="B606" s="1345"/>
      <c r="C606" s="1345"/>
      <c r="D606" s="1345"/>
      <c r="E606" s="1345"/>
      <c r="F606" s="1345"/>
      <c r="G606" s="1345"/>
      <c r="H606" s="1345"/>
      <c r="I606" s="1345"/>
      <c r="J606" s="1345"/>
      <c r="K606" s="1345"/>
      <c r="L606" s="1345"/>
      <c r="M606" s="1350"/>
      <c r="N606" s="1345"/>
      <c r="O606" s="1345"/>
      <c r="P606" s="1345"/>
      <c r="Q606" s="1345"/>
      <c r="R606" s="1345"/>
      <c r="S606" s="1345"/>
      <c r="T606" s="1345"/>
      <c r="U606" s="1345"/>
    </row>
    <row r="607" spans="1:21">
      <c r="A607" s="1345"/>
      <c r="B607" s="1345"/>
      <c r="C607" s="1345"/>
      <c r="D607" s="1345"/>
      <c r="E607" s="1345"/>
      <c r="F607" s="1345"/>
      <c r="G607" s="1345"/>
      <c r="H607" s="1345"/>
      <c r="I607" s="1345"/>
      <c r="J607" s="1345"/>
      <c r="K607" s="1345"/>
      <c r="L607" s="1345"/>
      <c r="M607" s="1350"/>
      <c r="N607" s="1345"/>
      <c r="O607" s="1345"/>
      <c r="P607" s="1345"/>
      <c r="Q607" s="1345"/>
      <c r="R607" s="1345"/>
      <c r="S607" s="1345"/>
      <c r="T607" s="1345"/>
      <c r="U607" s="1345"/>
    </row>
    <row r="608" spans="1:21">
      <c r="A608" s="1345"/>
      <c r="B608" s="1345"/>
      <c r="C608" s="1345"/>
      <c r="D608" s="1345"/>
      <c r="E608" s="1345"/>
      <c r="F608" s="1345"/>
      <c r="G608" s="1345"/>
      <c r="H608" s="1345"/>
      <c r="I608" s="1345"/>
      <c r="J608" s="1345"/>
      <c r="K608" s="1345"/>
      <c r="L608" s="1345"/>
      <c r="M608" s="1350"/>
      <c r="N608" s="1345"/>
      <c r="O608" s="1345"/>
      <c r="P608" s="1345"/>
      <c r="Q608" s="1345"/>
      <c r="R608" s="1345"/>
      <c r="S608" s="1345"/>
      <c r="T608" s="1345"/>
      <c r="U608" s="1345"/>
    </row>
    <row r="609" spans="1:21">
      <c r="A609" s="1345"/>
      <c r="B609" s="1345"/>
      <c r="C609" s="1345"/>
      <c r="D609" s="1345"/>
      <c r="E609" s="1345"/>
      <c r="F609" s="1345"/>
      <c r="G609" s="1345"/>
      <c r="H609" s="1345"/>
      <c r="I609" s="1345"/>
      <c r="J609" s="1345"/>
      <c r="K609" s="1345"/>
      <c r="L609" s="1345"/>
      <c r="M609" s="1350"/>
      <c r="N609" s="1345"/>
      <c r="O609" s="1345"/>
      <c r="P609" s="1345"/>
      <c r="Q609" s="1345"/>
      <c r="R609" s="1345"/>
      <c r="S609" s="1345"/>
      <c r="T609" s="1345"/>
      <c r="U609" s="1345"/>
    </row>
    <row r="610" spans="1:21">
      <c r="A610" s="1345"/>
      <c r="B610" s="1345"/>
      <c r="C610" s="1345"/>
      <c r="D610" s="1345"/>
      <c r="E610" s="1345"/>
      <c r="F610" s="1345"/>
      <c r="G610" s="1345"/>
      <c r="H610" s="1345"/>
      <c r="I610" s="1345"/>
      <c r="J610" s="1345"/>
      <c r="K610" s="1345"/>
      <c r="L610" s="1345"/>
      <c r="M610" s="1350"/>
      <c r="N610" s="1345"/>
      <c r="O610" s="1345"/>
      <c r="P610" s="1345"/>
      <c r="Q610" s="1345"/>
      <c r="R610" s="1345"/>
      <c r="S610" s="1345"/>
      <c r="T610" s="1345"/>
      <c r="U610" s="1345"/>
    </row>
    <row r="611" spans="1:21">
      <c r="A611" s="1345"/>
      <c r="B611" s="1345"/>
      <c r="C611" s="1345"/>
      <c r="D611" s="1345"/>
      <c r="E611" s="1345"/>
      <c r="F611" s="1345"/>
      <c r="G611" s="1345"/>
      <c r="H611" s="1345"/>
      <c r="I611" s="1345"/>
      <c r="J611" s="1345"/>
      <c r="K611" s="1345"/>
      <c r="L611" s="1345"/>
      <c r="M611" s="1350"/>
      <c r="N611" s="1345"/>
      <c r="O611" s="1345"/>
      <c r="P611" s="1345"/>
      <c r="Q611" s="1345"/>
      <c r="R611" s="1345"/>
      <c r="S611" s="1345"/>
      <c r="T611" s="1345"/>
      <c r="U611" s="1345"/>
    </row>
    <row r="612" spans="1:21">
      <c r="A612" s="1345"/>
      <c r="B612" s="1345"/>
      <c r="C612" s="1345"/>
      <c r="D612" s="1345"/>
      <c r="E612" s="1345"/>
      <c r="F612" s="1345"/>
      <c r="G612" s="1345"/>
      <c r="H612" s="1345"/>
      <c r="I612" s="1345"/>
      <c r="J612" s="1345"/>
      <c r="K612" s="1345"/>
      <c r="L612" s="1345"/>
      <c r="M612" s="1350"/>
      <c r="N612" s="1345"/>
      <c r="O612" s="1345"/>
      <c r="P612" s="1345"/>
      <c r="Q612" s="1345"/>
      <c r="R612" s="1345"/>
      <c r="S612" s="1345"/>
      <c r="T612" s="1345"/>
      <c r="U612" s="1345"/>
    </row>
    <row r="613" spans="1:21">
      <c r="A613" s="1345"/>
      <c r="B613" s="1345"/>
      <c r="C613" s="1345"/>
      <c r="D613" s="1345"/>
      <c r="E613" s="1345"/>
      <c r="F613" s="1345"/>
      <c r="G613" s="1345"/>
      <c r="H613" s="1345"/>
      <c r="I613" s="1345"/>
      <c r="J613" s="1345"/>
      <c r="K613" s="1345"/>
      <c r="L613" s="1345"/>
      <c r="M613" s="1345"/>
      <c r="N613" s="1345"/>
      <c r="O613" s="1345"/>
      <c r="P613" s="1345"/>
      <c r="Q613" s="1345"/>
      <c r="R613" s="1345"/>
      <c r="S613" s="1345"/>
      <c r="T613" s="1345"/>
      <c r="U613" s="1345"/>
    </row>
    <row r="614" spans="1:21">
      <c r="A614" s="1345"/>
      <c r="B614" s="1345"/>
      <c r="C614" s="1345"/>
      <c r="D614" s="1345"/>
      <c r="E614" s="1345"/>
      <c r="F614" s="1345"/>
      <c r="G614" s="1345"/>
      <c r="H614" s="1345"/>
      <c r="I614" s="1345"/>
      <c r="J614" s="1345"/>
      <c r="K614" s="1345"/>
      <c r="L614" s="1345"/>
      <c r="M614" s="1350"/>
      <c r="N614" s="1345"/>
      <c r="O614" s="1345"/>
      <c r="P614" s="1345"/>
      <c r="Q614" s="1345"/>
      <c r="R614" s="1345"/>
      <c r="S614" s="1345"/>
      <c r="T614" s="1345"/>
      <c r="U614" s="1345"/>
    </row>
    <row r="615" spans="1:21">
      <c r="A615" s="1345"/>
      <c r="B615" s="1345"/>
      <c r="C615" s="1345"/>
      <c r="D615" s="1345"/>
      <c r="E615" s="1345"/>
      <c r="F615" s="1345"/>
      <c r="G615" s="1345"/>
      <c r="H615" s="1345"/>
      <c r="I615" s="1345"/>
      <c r="J615" s="1345"/>
      <c r="K615" s="1345"/>
      <c r="L615" s="1345"/>
      <c r="M615" s="1350"/>
      <c r="N615" s="1345"/>
      <c r="O615" s="1345"/>
      <c r="P615" s="1345"/>
      <c r="Q615" s="1345"/>
      <c r="R615" s="1345"/>
      <c r="S615" s="1345"/>
      <c r="T615" s="1345"/>
      <c r="U615" s="1345"/>
    </row>
    <row r="616" spans="1:21">
      <c r="A616" s="1345"/>
      <c r="B616" s="1345"/>
      <c r="C616" s="1345"/>
      <c r="D616" s="1345"/>
      <c r="E616" s="1345"/>
      <c r="F616" s="1345"/>
      <c r="G616" s="1345"/>
      <c r="H616" s="1345"/>
      <c r="I616" s="1345"/>
      <c r="J616" s="1345"/>
      <c r="K616" s="1345"/>
      <c r="L616" s="1345"/>
      <c r="M616" s="1350"/>
      <c r="N616" s="1345"/>
      <c r="O616" s="1345"/>
      <c r="P616" s="1345"/>
      <c r="Q616" s="1345"/>
      <c r="R616" s="1345"/>
      <c r="S616" s="1345"/>
      <c r="T616" s="1345"/>
      <c r="U616" s="1345"/>
    </row>
    <row r="617" spans="1:21">
      <c r="A617" s="1345"/>
      <c r="B617" s="1345"/>
      <c r="C617" s="1345"/>
      <c r="D617" s="1345"/>
      <c r="E617" s="1345"/>
      <c r="F617" s="1345"/>
      <c r="G617" s="1345"/>
      <c r="H617" s="1345"/>
      <c r="I617" s="1345"/>
      <c r="J617" s="1345"/>
      <c r="K617" s="1345"/>
      <c r="L617" s="1345"/>
      <c r="M617" s="1350"/>
      <c r="N617" s="1345"/>
      <c r="O617" s="1345"/>
      <c r="P617" s="1345"/>
      <c r="Q617" s="1345"/>
      <c r="R617" s="1345"/>
      <c r="S617" s="1345"/>
      <c r="T617" s="1345"/>
      <c r="U617" s="1345"/>
    </row>
    <row r="618" spans="1:21">
      <c r="A618" s="1345"/>
      <c r="B618" s="1345"/>
      <c r="C618" s="1345"/>
      <c r="D618" s="1345"/>
      <c r="E618" s="1345"/>
      <c r="F618" s="1345"/>
      <c r="G618" s="1345"/>
      <c r="H618" s="1345"/>
      <c r="I618" s="1345"/>
      <c r="J618" s="1345"/>
      <c r="K618" s="1345"/>
      <c r="L618" s="1345"/>
      <c r="M618" s="1350"/>
      <c r="N618" s="1345"/>
      <c r="O618" s="1345"/>
      <c r="P618" s="1345"/>
      <c r="Q618" s="1345"/>
      <c r="R618" s="1345"/>
      <c r="S618" s="1345"/>
      <c r="T618" s="1345"/>
      <c r="U618" s="1345"/>
    </row>
    <row r="619" spans="1:21">
      <c r="A619" s="1345"/>
      <c r="B619" s="1345"/>
      <c r="C619" s="1345"/>
      <c r="D619" s="1345"/>
      <c r="E619" s="1345"/>
      <c r="F619" s="1345"/>
      <c r="G619" s="1345"/>
      <c r="H619" s="1345"/>
      <c r="I619" s="1345"/>
      <c r="J619" s="1345"/>
      <c r="K619" s="1345"/>
      <c r="L619" s="1345"/>
      <c r="M619" s="1350"/>
      <c r="N619" s="1345"/>
      <c r="O619" s="1345"/>
      <c r="P619" s="1345"/>
      <c r="Q619" s="1345"/>
      <c r="R619" s="1345"/>
      <c r="S619" s="1345"/>
      <c r="T619" s="1345"/>
      <c r="U619" s="1345"/>
    </row>
    <row r="620" spans="1:21">
      <c r="A620" s="1345"/>
      <c r="B620" s="1345"/>
      <c r="C620" s="1345"/>
      <c r="D620" s="1345"/>
      <c r="E620" s="1345"/>
      <c r="F620" s="1345"/>
      <c r="G620" s="1345"/>
      <c r="H620" s="1345"/>
      <c r="I620" s="1345"/>
      <c r="J620" s="1345"/>
      <c r="K620" s="1345"/>
      <c r="L620" s="1345"/>
      <c r="M620" s="1350"/>
      <c r="N620" s="1345"/>
      <c r="O620" s="1345"/>
      <c r="P620" s="1345"/>
      <c r="Q620" s="1345"/>
      <c r="R620" s="1345"/>
      <c r="S620" s="1345"/>
      <c r="T620" s="1345"/>
      <c r="U620" s="1345"/>
    </row>
    <row r="621" spans="1:21">
      <c r="A621" s="1345"/>
      <c r="B621" s="1345"/>
      <c r="C621" s="1345"/>
      <c r="D621" s="1345"/>
      <c r="E621" s="1345"/>
      <c r="F621" s="1345"/>
      <c r="G621" s="1345"/>
      <c r="H621" s="1345"/>
      <c r="I621" s="1345"/>
      <c r="J621" s="1345"/>
      <c r="K621" s="1345"/>
      <c r="L621" s="1345"/>
      <c r="M621" s="1350"/>
      <c r="N621" s="1345"/>
      <c r="O621" s="1345"/>
      <c r="P621" s="1345"/>
      <c r="Q621" s="1345"/>
      <c r="R621" s="1345"/>
      <c r="S621" s="1345"/>
      <c r="T621" s="1345"/>
      <c r="U621" s="1345"/>
    </row>
    <row r="622" spans="1:21">
      <c r="A622" s="1345"/>
      <c r="B622" s="1345"/>
      <c r="C622" s="1345"/>
      <c r="D622" s="1345"/>
      <c r="E622" s="1345"/>
      <c r="F622" s="1345"/>
      <c r="G622" s="1345"/>
      <c r="H622" s="1345"/>
      <c r="I622" s="1345"/>
      <c r="J622" s="1345"/>
      <c r="K622" s="1345"/>
      <c r="L622" s="1345"/>
      <c r="M622" s="1350"/>
      <c r="N622" s="1345"/>
      <c r="O622" s="1345"/>
      <c r="P622" s="1345"/>
      <c r="Q622" s="1345"/>
      <c r="R622" s="1345"/>
      <c r="S622" s="1345"/>
      <c r="T622" s="1345"/>
      <c r="U622" s="1345"/>
    </row>
    <row r="623" spans="1:21">
      <c r="A623" s="1345"/>
      <c r="B623" s="1345"/>
      <c r="C623" s="1345"/>
      <c r="D623" s="1345"/>
      <c r="E623" s="1345"/>
      <c r="F623" s="1345"/>
      <c r="G623" s="1345"/>
      <c r="H623" s="1345"/>
      <c r="I623" s="1345"/>
      <c r="J623" s="1345"/>
      <c r="K623" s="1345"/>
      <c r="L623" s="1345"/>
      <c r="M623" s="1350"/>
      <c r="N623" s="1345"/>
      <c r="O623" s="1345"/>
      <c r="P623" s="1345"/>
      <c r="Q623" s="1345"/>
      <c r="R623" s="1345"/>
      <c r="S623" s="1345"/>
      <c r="T623" s="1345"/>
      <c r="U623" s="1345"/>
    </row>
    <row r="624" spans="1:21">
      <c r="A624" s="1345"/>
      <c r="B624" s="1345"/>
      <c r="C624" s="1345"/>
      <c r="D624" s="1345"/>
      <c r="E624" s="1345"/>
      <c r="F624" s="1345"/>
      <c r="G624" s="1345"/>
      <c r="H624" s="1345"/>
      <c r="I624" s="1345"/>
      <c r="J624" s="1345"/>
      <c r="K624" s="1345"/>
      <c r="L624" s="1345"/>
      <c r="M624" s="1350"/>
      <c r="N624" s="1345"/>
      <c r="O624" s="1345"/>
      <c r="P624" s="1345"/>
      <c r="Q624" s="1345"/>
      <c r="R624" s="1345"/>
      <c r="S624" s="1345"/>
      <c r="T624" s="1345"/>
      <c r="U624" s="1345"/>
    </row>
    <row r="625" spans="1:21">
      <c r="A625" s="1345"/>
      <c r="B625" s="1345"/>
      <c r="C625" s="1345"/>
      <c r="D625" s="1345"/>
      <c r="E625" s="1345"/>
      <c r="F625" s="1345"/>
      <c r="G625" s="1345"/>
      <c r="H625" s="1345"/>
      <c r="I625" s="1345"/>
      <c r="J625" s="1345"/>
      <c r="K625" s="1345"/>
      <c r="L625" s="1345"/>
      <c r="M625" s="1350"/>
      <c r="N625" s="1345"/>
      <c r="O625" s="1345"/>
      <c r="P625" s="1345"/>
      <c r="Q625" s="1345"/>
      <c r="R625" s="1345"/>
      <c r="S625" s="1345"/>
      <c r="T625" s="1345"/>
      <c r="U625" s="1345"/>
    </row>
    <row r="626" spans="1:21">
      <c r="A626" s="1345"/>
      <c r="B626" s="1345"/>
      <c r="C626" s="1345"/>
      <c r="D626" s="1345"/>
      <c r="E626" s="1345"/>
      <c r="F626" s="1345"/>
      <c r="G626" s="1345"/>
      <c r="H626" s="1345"/>
      <c r="I626" s="1345"/>
      <c r="J626" s="1345"/>
      <c r="K626" s="1345"/>
      <c r="L626" s="1345"/>
      <c r="M626" s="1350"/>
      <c r="N626" s="1345"/>
      <c r="O626" s="1345"/>
      <c r="P626" s="1345"/>
      <c r="Q626" s="1345"/>
      <c r="R626" s="1345"/>
      <c r="S626" s="1345"/>
      <c r="T626" s="1345"/>
      <c r="U626" s="1345"/>
    </row>
    <row r="627" spans="1:21">
      <c r="A627" s="1345"/>
      <c r="B627" s="1345"/>
      <c r="C627" s="1345"/>
      <c r="D627" s="1345"/>
      <c r="E627" s="1345"/>
      <c r="F627" s="1345"/>
      <c r="G627" s="1345"/>
      <c r="H627" s="1345"/>
      <c r="I627" s="1345"/>
      <c r="J627" s="1345"/>
      <c r="K627" s="1345"/>
      <c r="L627" s="1345"/>
      <c r="M627" s="1350"/>
      <c r="N627" s="1345"/>
      <c r="O627" s="1345"/>
      <c r="P627" s="1345"/>
      <c r="Q627" s="1345"/>
      <c r="R627" s="1345"/>
      <c r="S627" s="1345"/>
      <c r="T627" s="1345"/>
      <c r="U627" s="1345"/>
    </row>
    <row r="628" spans="1:21">
      <c r="A628" s="1345"/>
      <c r="B628" s="1345"/>
      <c r="C628" s="1345"/>
      <c r="D628" s="1345"/>
      <c r="E628" s="1345"/>
      <c r="F628" s="1345"/>
      <c r="G628" s="1345"/>
      <c r="H628" s="1345"/>
      <c r="I628" s="1345"/>
      <c r="J628" s="1345"/>
      <c r="K628" s="1345"/>
      <c r="L628" s="1345"/>
      <c r="M628" s="1350"/>
      <c r="N628" s="1345"/>
      <c r="O628" s="1345"/>
      <c r="P628" s="1345"/>
      <c r="Q628" s="1345"/>
      <c r="R628" s="1345"/>
      <c r="S628" s="1345"/>
      <c r="T628" s="1345"/>
      <c r="U628" s="1345"/>
    </row>
    <row r="629" spans="1:21">
      <c r="A629" s="1345"/>
      <c r="B629" s="1345"/>
      <c r="C629" s="1345"/>
      <c r="D629" s="1345"/>
      <c r="E629" s="1345"/>
      <c r="F629" s="1345"/>
      <c r="G629" s="1345"/>
      <c r="H629" s="1345"/>
      <c r="I629" s="1345"/>
      <c r="J629" s="1345"/>
      <c r="K629" s="1345"/>
      <c r="L629" s="1345"/>
      <c r="M629" s="1350"/>
      <c r="N629" s="1345"/>
      <c r="O629" s="1345"/>
      <c r="P629" s="1345"/>
      <c r="Q629" s="1345"/>
      <c r="R629" s="1345"/>
      <c r="S629" s="1345"/>
      <c r="T629" s="1345"/>
      <c r="U629" s="1345"/>
    </row>
    <row r="630" spans="1:21">
      <c r="A630" s="1345"/>
      <c r="B630" s="1345"/>
      <c r="C630" s="1345"/>
      <c r="D630" s="1345"/>
      <c r="E630" s="1345"/>
      <c r="F630" s="1345"/>
      <c r="G630" s="1345"/>
      <c r="H630" s="1345"/>
      <c r="I630" s="1345"/>
      <c r="J630" s="1345"/>
      <c r="K630" s="1345"/>
      <c r="L630" s="1345"/>
      <c r="M630" s="1350"/>
      <c r="N630" s="1345"/>
      <c r="O630" s="1345"/>
      <c r="P630" s="1345"/>
      <c r="Q630" s="1345"/>
      <c r="R630" s="1345"/>
      <c r="S630" s="1345"/>
      <c r="T630" s="1345"/>
      <c r="U630" s="1345"/>
    </row>
    <row r="631" spans="1:21">
      <c r="A631" s="1345"/>
      <c r="B631" s="1345"/>
      <c r="C631" s="1345"/>
      <c r="D631" s="1345"/>
      <c r="E631" s="1345"/>
      <c r="F631" s="1345"/>
      <c r="G631" s="1345"/>
      <c r="H631" s="1345"/>
      <c r="I631" s="1345"/>
      <c r="J631" s="1345"/>
      <c r="K631" s="1345"/>
      <c r="L631" s="1345"/>
      <c r="M631" s="1350"/>
      <c r="N631" s="1345"/>
      <c r="O631" s="1345"/>
      <c r="P631" s="1345"/>
      <c r="Q631" s="1345"/>
      <c r="R631" s="1345"/>
      <c r="S631" s="1345"/>
      <c r="T631" s="1345"/>
      <c r="U631" s="1345"/>
    </row>
    <row r="632" spans="1:21">
      <c r="A632" s="1345"/>
      <c r="B632" s="1345"/>
      <c r="C632" s="1345"/>
      <c r="D632" s="1345"/>
      <c r="E632" s="1345"/>
      <c r="F632" s="1345"/>
      <c r="G632" s="1345"/>
      <c r="H632" s="1345"/>
      <c r="I632" s="1345"/>
      <c r="J632" s="1345"/>
      <c r="K632" s="1345"/>
      <c r="L632" s="1345"/>
      <c r="M632" s="1350"/>
      <c r="N632" s="1345"/>
      <c r="O632" s="1345"/>
      <c r="P632" s="1345"/>
      <c r="Q632" s="1345"/>
      <c r="R632" s="1345"/>
      <c r="S632" s="1345"/>
      <c r="T632" s="1345"/>
      <c r="U632" s="1345"/>
    </row>
    <row r="633" spans="1:21">
      <c r="A633" s="1345"/>
      <c r="B633" s="1345"/>
      <c r="C633" s="1345"/>
      <c r="D633" s="1345"/>
      <c r="E633" s="1345"/>
      <c r="F633" s="1345"/>
      <c r="G633" s="1345"/>
      <c r="H633" s="1345"/>
      <c r="I633" s="1345"/>
      <c r="J633" s="1345"/>
      <c r="K633" s="1345"/>
      <c r="L633" s="1345"/>
      <c r="M633" s="1350"/>
      <c r="N633" s="1345"/>
      <c r="O633" s="1345"/>
      <c r="P633" s="1345"/>
      <c r="Q633" s="1345"/>
      <c r="R633" s="1345"/>
      <c r="S633" s="1345"/>
      <c r="T633" s="1345"/>
      <c r="U633" s="1345"/>
    </row>
    <row r="634" spans="1:21">
      <c r="A634" s="1345"/>
      <c r="B634" s="1345"/>
      <c r="C634" s="1345"/>
      <c r="D634" s="1345"/>
      <c r="E634" s="1345"/>
      <c r="F634" s="1345"/>
      <c r="G634" s="1345"/>
      <c r="H634" s="1345"/>
      <c r="I634" s="1345"/>
      <c r="J634" s="1345"/>
      <c r="K634" s="1345"/>
      <c r="L634" s="1345"/>
      <c r="M634" s="1350"/>
      <c r="N634" s="1345"/>
      <c r="O634" s="1345"/>
      <c r="P634" s="1345"/>
      <c r="Q634" s="1345"/>
      <c r="R634" s="1345"/>
      <c r="S634" s="1345"/>
      <c r="T634" s="1345"/>
      <c r="U634" s="1345"/>
    </row>
    <row r="635" spans="1:21">
      <c r="A635" s="1345"/>
      <c r="B635" s="1345"/>
      <c r="C635" s="1345"/>
      <c r="D635" s="1345"/>
      <c r="E635" s="1345"/>
      <c r="F635" s="1345"/>
      <c r="G635" s="1345"/>
      <c r="H635" s="1345"/>
      <c r="I635" s="1345"/>
      <c r="J635" s="1345"/>
      <c r="K635" s="1345"/>
      <c r="L635" s="1345"/>
      <c r="M635" s="1350"/>
      <c r="N635" s="1345"/>
      <c r="O635" s="1345"/>
      <c r="P635" s="1345"/>
      <c r="Q635" s="1345"/>
      <c r="R635" s="1345"/>
      <c r="S635" s="1345"/>
      <c r="T635" s="1345"/>
      <c r="U635" s="1345"/>
    </row>
    <row r="636" spans="1:21">
      <c r="A636" s="1345"/>
      <c r="B636" s="1345"/>
      <c r="C636" s="1345"/>
      <c r="D636" s="1345"/>
      <c r="E636" s="1345"/>
      <c r="F636" s="1345"/>
      <c r="G636" s="1345"/>
      <c r="H636" s="1345"/>
      <c r="I636" s="1345"/>
      <c r="J636" s="1345"/>
      <c r="K636" s="1345"/>
      <c r="L636" s="1345"/>
      <c r="M636" s="1350"/>
      <c r="N636" s="1345"/>
      <c r="O636" s="1345"/>
      <c r="P636" s="1345"/>
      <c r="Q636" s="1345"/>
      <c r="R636" s="1345"/>
      <c r="S636" s="1345"/>
      <c r="T636" s="1345"/>
      <c r="U636" s="1345"/>
    </row>
    <row r="637" spans="1:21">
      <c r="A637" s="1345"/>
      <c r="B637" s="1345"/>
      <c r="C637" s="1345"/>
      <c r="D637" s="1345"/>
      <c r="E637" s="1345"/>
      <c r="F637" s="1345"/>
      <c r="G637" s="1345"/>
      <c r="H637" s="1345"/>
      <c r="I637" s="1345"/>
      <c r="J637" s="1345"/>
      <c r="K637" s="1345"/>
      <c r="L637" s="1345"/>
      <c r="M637" s="1350"/>
      <c r="N637" s="1345"/>
      <c r="O637" s="1345"/>
      <c r="P637" s="1345"/>
      <c r="Q637" s="1345"/>
      <c r="R637" s="1345"/>
      <c r="S637" s="1345"/>
      <c r="T637" s="1345"/>
      <c r="U637" s="1345"/>
    </row>
    <row r="638" spans="1:21">
      <c r="A638" s="1345"/>
      <c r="B638" s="1345"/>
      <c r="C638" s="1345"/>
      <c r="D638" s="1345"/>
      <c r="E638" s="1345"/>
      <c r="F638" s="1345"/>
      <c r="G638" s="1345"/>
      <c r="H638" s="1345"/>
      <c r="I638" s="1345"/>
      <c r="J638" s="1345"/>
      <c r="K638" s="1345"/>
      <c r="L638" s="1345"/>
      <c r="M638" s="1350"/>
      <c r="N638" s="1345"/>
      <c r="O638" s="1345"/>
      <c r="P638" s="1345"/>
      <c r="Q638" s="1345"/>
      <c r="R638" s="1345"/>
      <c r="S638" s="1345"/>
      <c r="T638" s="1345"/>
      <c r="U638" s="1345"/>
    </row>
    <row r="639" spans="1:21">
      <c r="A639" s="1345"/>
      <c r="B639" s="1345"/>
      <c r="C639" s="1345"/>
      <c r="D639" s="1345"/>
      <c r="E639" s="1345"/>
      <c r="F639" s="1345"/>
      <c r="G639" s="1345"/>
      <c r="H639" s="1345"/>
      <c r="I639" s="1345"/>
      <c r="J639" s="1345"/>
      <c r="K639" s="1345"/>
      <c r="L639" s="1345"/>
      <c r="M639" s="1350"/>
      <c r="N639" s="1345"/>
      <c r="O639" s="1345"/>
      <c r="P639" s="1345"/>
      <c r="Q639" s="1345"/>
      <c r="R639" s="1345"/>
      <c r="S639" s="1345"/>
      <c r="T639" s="1345"/>
      <c r="U639" s="1345"/>
    </row>
    <row r="640" spans="1:21">
      <c r="A640" s="1345"/>
      <c r="B640" s="1345"/>
      <c r="C640" s="1345"/>
      <c r="D640" s="1345"/>
      <c r="E640" s="1345"/>
      <c r="F640" s="1345"/>
      <c r="G640" s="1345"/>
      <c r="H640" s="1345"/>
      <c r="I640" s="1345"/>
      <c r="J640" s="1345"/>
      <c r="K640" s="1345"/>
      <c r="L640" s="1345"/>
      <c r="M640" s="1350"/>
      <c r="N640" s="1345"/>
      <c r="O640" s="1345"/>
      <c r="P640" s="1345"/>
      <c r="Q640" s="1345"/>
      <c r="R640" s="1345"/>
      <c r="S640" s="1345"/>
      <c r="T640" s="1345"/>
      <c r="U640" s="1345"/>
    </row>
    <row r="641" spans="1:21">
      <c r="A641" s="1345"/>
      <c r="B641" s="1345"/>
      <c r="C641" s="1345"/>
      <c r="D641" s="1345"/>
      <c r="E641" s="1345"/>
      <c r="F641" s="1345"/>
      <c r="G641" s="1345"/>
      <c r="H641" s="1345"/>
      <c r="I641" s="1345"/>
      <c r="J641" s="1345"/>
      <c r="K641" s="1345"/>
      <c r="L641" s="1345"/>
      <c r="M641" s="1350"/>
      <c r="N641" s="1345"/>
      <c r="O641" s="1345"/>
      <c r="P641" s="1345"/>
      <c r="Q641" s="1345"/>
      <c r="R641" s="1345"/>
      <c r="S641" s="1345"/>
      <c r="T641" s="1345"/>
      <c r="U641" s="1345"/>
    </row>
    <row r="642" spans="1:21">
      <c r="A642" s="1345"/>
      <c r="B642" s="1345"/>
      <c r="C642" s="1345"/>
      <c r="D642" s="1345"/>
      <c r="E642" s="1345"/>
      <c r="F642" s="1345"/>
      <c r="G642" s="1345"/>
      <c r="H642" s="1345"/>
      <c r="I642" s="1345"/>
      <c r="J642" s="1345"/>
      <c r="K642" s="1345"/>
      <c r="L642" s="1345"/>
      <c r="M642" s="1350"/>
      <c r="N642" s="1345"/>
      <c r="O642" s="1345"/>
      <c r="P642" s="1345"/>
      <c r="Q642" s="1345"/>
      <c r="R642" s="1345"/>
      <c r="S642" s="1345"/>
      <c r="T642" s="1345"/>
      <c r="U642" s="1345"/>
    </row>
    <row r="643" spans="1:21">
      <c r="A643" s="1345"/>
      <c r="B643" s="1345"/>
      <c r="C643" s="1345"/>
      <c r="D643" s="1345"/>
      <c r="E643" s="1345"/>
      <c r="F643" s="1345"/>
      <c r="G643" s="1345"/>
      <c r="H643" s="1345"/>
      <c r="I643" s="1345"/>
      <c r="J643" s="1345"/>
      <c r="K643" s="1345"/>
      <c r="L643" s="1345"/>
      <c r="M643" s="1350"/>
      <c r="N643" s="1345"/>
      <c r="O643" s="1345"/>
      <c r="P643" s="1345"/>
      <c r="Q643" s="1345"/>
      <c r="R643" s="1345"/>
      <c r="S643" s="1345"/>
      <c r="T643" s="1345"/>
      <c r="U643" s="1345"/>
    </row>
    <row r="644" spans="1:21">
      <c r="A644" s="1345"/>
      <c r="B644" s="1345"/>
      <c r="C644" s="1345"/>
      <c r="D644" s="1345"/>
      <c r="E644" s="1345"/>
      <c r="F644" s="1345"/>
      <c r="G644" s="1345"/>
      <c r="H644" s="1345"/>
      <c r="I644" s="1345"/>
      <c r="J644" s="1345"/>
      <c r="K644" s="1345"/>
      <c r="L644" s="1345"/>
      <c r="M644" s="1350"/>
      <c r="N644" s="1345"/>
      <c r="O644" s="1345"/>
      <c r="P644" s="1345"/>
      <c r="Q644" s="1345"/>
      <c r="R644" s="1345"/>
      <c r="S644" s="1345"/>
      <c r="T644" s="1345"/>
      <c r="U644" s="1345"/>
    </row>
    <row r="645" spans="1:21">
      <c r="A645" s="1345"/>
      <c r="B645" s="1345"/>
      <c r="C645" s="1345"/>
      <c r="D645" s="1345"/>
      <c r="E645" s="1345"/>
      <c r="F645" s="1345"/>
      <c r="G645" s="1345"/>
      <c r="H645" s="1345"/>
      <c r="I645" s="1345"/>
      <c r="J645" s="1345"/>
      <c r="K645" s="1345"/>
      <c r="L645" s="1345"/>
      <c r="M645" s="1345"/>
      <c r="N645" s="1345"/>
      <c r="O645" s="1345"/>
      <c r="P645" s="1345"/>
      <c r="Q645" s="1345"/>
      <c r="R645" s="1345"/>
      <c r="S645" s="1345"/>
      <c r="T645" s="1345"/>
      <c r="U645" s="1345"/>
    </row>
    <row r="646" spans="1:21">
      <c r="A646" s="1345"/>
      <c r="B646" s="1345"/>
      <c r="C646" s="1345"/>
      <c r="D646" s="1345"/>
      <c r="E646" s="1345"/>
      <c r="F646" s="1345"/>
      <c r="G646" s="1345"/>
      <c r="H646" s="1345"/>
      <c r="I646" s="1345"/>
      <c r="J646" s="1345"/>
      <c r="K646" s="1345"/>
      <c r="L646" s="1345"/>
      <c r="M646" s="1350"/>
      <c r="N646" s="1345"/>
      <c r="O646" s="1345"/>
      <c r="P646" s="1345"/>
      <c r="Q646" s="1345"/>
      <c r="R646" s="1345"/>
      <c r="S646" s="1345"/>
      <c r="T646" s="1345"/>
      <c r="U646" s="1345"/>
    </row>
    <row r="647" spans="1:21">
      <c r="A647" s="1345"/>
      <c r="B647" s="1345"/>
      <c r="C647" s="1345"/>
      <c r="D647" s="1345"/>
      <c r="E647" s="1345"/>
      <c r="F647" s="1345"/>
      <c r="G647" s="1345"/>
      <c r="H647" s="1345"/>
      <c r="I647" s="1345"/>
      <c r="J647" s="1345"/>
      <c r="K647" s="1345"/>
      <c r="L647" s="1345"/>
      <c r="M647" s="1350"/>
      <c r="N647" s="1345"/>
      <c r="O647" s="1345"/>
      <c r="P647" s="1345"/>
      <c r="Q647" s="1345"/>
      <c r="R647" s="1345"/>
      <c r="S647" s="1345"/>
      <c r="T647" s="1345"/>
      <c r="U647" s="1345"/>
    </row>
    <row r="648" spans="1:21">
      <c r="A648" s="1345"/>
      <c r="B648" s="1345"/>
      <c r="C648" s="1345"/>
      <c r="D648" s="1345"/>
      <c r="E648" s="1345"/>
      <c r="F648" s="1345"/>
      <c r="G648" s="1345"/>
      <c r="H648" s="1345"/>
      <c r="I648" s="1345"/>
      <c r="J648" s="1345"/>
      <c r="K648" s="1345"/>
      <c r="L648" s="1345"/>
      <c r="M648" s="1350"/>
      <c r="N648" s="1345"/>
      <c r="O648" s="1345"/>
      <c r="P648" s="1345"/>
      <c r="Q648" s="1345"/>
      <c r="R648" s="1345"/>
      <c r="S648" s="1345"/>
      <c r="T648" s="1345"/>
      <c r="U648" s="1345"/>
    </row>
    <row r="649" spans="1:21">
      <c r="A649" s="1345"/>
      <c r="B649" s="1345"/>
      <c r="C649" s="1345"/>
      <c r="D649" s="1345"/>
      <c r="E649" s="1345"/>
      <c r="F649" s="1345"/>
      <c r="G649" s="1345"/>
      <c r="H649" s="1345"/>
      <c r="I649" s="1345"/>
      <c r="J649" s="1345"/>
      <c r="K649" s="1345"/>
      <c r="L649" s="1345"/>
      <c r="M649" s="1350"/>
      <c r="N649" s="1345"/>
      <c r="O649" s="1345"/>
      <c r="P649" s="1345"/>
      <c r="Q649" s="1345"/>
      <c r="R649" s="1345"/>
      <c r="S649" s="1345"/>
      <c r="T649" s="1345"/>
      <c r="U649" s="1345"/>
    </row>
    <row r="650" spans="1:21">
      <c r="A650" s="1345"/>
      <c r="B650" s="1345"/>
      <c r="C650" s="1345"/>
      <c r="D650" s="1345"/>
      <c r="E650" s="1345"/>
      <c r="F650" s="1345"/>
      <c r="G650" s="1345"/>
      <c r="H650" s="1345"/>
      <c r="I650" s="1345"/>
      <c r="J650" s="1345"/>
      <c r="K650" s="1345"/>
      <c r="L650" s="1345"/>
      <c r="M650" s="1350"/>
      <c r="N650" s="1345"/>
      <c r="O650" s="1345"/>
      <c r="P650" s="1345"/>
      <c r="Q650" s="1345"/>
      <c r="R650" s="1345"/>
      <c r="S650" s="1345"/>
      <c r="T650" s="1345"/>
      <c r="U650" s="1345"/>
    </row>
    <row r="651" spans="1:21">
      <c r="A651" s="1345"/>
      <c r="B651" s="1345"/>
      <c r="C651" s="1345"/>
      <c r="D651" s="1345"/>
      <c r="E651" s="1345"/>
      <c r="F651" s="1345"/>
      <c r="G651" s="1345"/>
      <c r="H651" s="1345"/>
      <c r="I651" s="1345"/>
      <c r="J651" s="1345"/>
      <c r="K651" s="1345"/>
      <c r="L651" s="1345"/>
      <c r="M651" s="1350"/>
      <c r="N651" s="1345"/>
      <c r="O651" s="1345"/>
      <c r="P651" s="1345"/>
      <c r="Q651" s="1345"/>
      <c r="R651" s="1345"/>
      <c r="S651" s="1345"/>
      <c r="T651" s="1345"/>
      <c r="U651" s="1345"/>
    </row>
    <row r="652" spans="1:21">
      <c r="A652" s="1345"/>
      <c r="B652" s="1345"/>
      <c r="C652" s="1345"/>
      <c r="D652" s="1345"/>
      <c r="E652" s="1345"/>
      <c r="F652" s="1345"/>
      <c r="G652" s="1345"/>
      <c r="H652" s="1345"/>
      <c r="I652" s="1345"/>
      <c r="J652" s="1345"/>
      <c r="K652" s="1345"/>
      <c r="L652" s="1345"/>
      <c r="M652" s="1350"/>
      <c r="N652" s="1345"/>
      <c r="O652" s="1345"/>
      <c r="P652" s="1345"/>
      <c r="Q652" s="1345"/>
      <c r="R652" s="1345"/>
      <c r="S652" s="1345"/>
      <c r="T652" s="1345"/>
      <c r="U652" s="1345"/>
    </row>
    <row r="653" spans="1:21">
      <c r="A653" s="1345"/>
      <c r="B653" s="1345"/>
      <c r="C653" s="1345"/>
      <c r="D653" s="1345"/>
      <c r="E653" s="1345"/>
      <c r="F653" s="1345"/>
      <c r="G653" s="1345"/>
      <c r="H653" s="1345"/>
      <c r="I653" s="1345"/>
      <c r="J653" s="1345"/>
      <c r="K653" s="1345"/>
      <c r="L653" s="1345"/>
      <c r="M653" s="1350"/>
      <c r="N653" s="1345"/>
      <c r="O653" s="1345"/>
      <c r="P653" s="1345"/>
      <c r="Q653" s="1345"/>
      <c r="R653" s="1345"/>
      <c r="S653" s="1345"/>
      <c r="T653" s="1345"/>
      <c r="U653" s="1345"/>
    </row>
    <row r="654" spans="1:21">
      <c r="A654" s="1345"/>
      <c r="B654" s="1345"/>
      <c r="C654" s="1345"/>
      <c r="D654" s="1345"/>
      <c r="E654" s="1345"/>
      <c r="F654" s="1345"/>
      <c r="G654" s="1345"/>
      <c r="H654" s="1345"/>
      <c r="I654" s="1345"/>
      <c r="J654" s="1345"/>
      <c r="K654" s="1345"/>
      <c r="L654" s="1345"/>
      <c r="M654" s="1350"/>
      <c r="N654" s="1345"/>
      <c r="O654" s="1345"/>
      <c r="P654" s="1345"/>
      <c r="Q654" s="1345"/>
      <c r="R654" s="1345"/>
      <c r="S654" s="1345"/>
      <c r="T654" s="1345"/>
      <c r="U654" s="1345"/>
    </row>
    <row r="655" spans="1:21">
      <c r="A655" s="1345"/>
      <c r="B655" s="1345"/>
      <c r="C655" s="1345"/>
      <c r="D655" s="1345"/>
      <c r="E655" s="1345"/>
      <c r="F655" s="1345"/>
      <c r="G655" s="1345"/>
      <c r="H655" s="1345"/>
      <c r="I655" s="1345"/>
      <c r="J655" s="1345"/>
      <c r="K655" s="1345"/>
      <c r="L655" s="1345"/>
      <c r="M655" s="1350"/>
      <c r="N655" s="1345"/>
      <c r="O655" s="1345"/>
      <c r="P655" s="1345"/>
      <c r="Q655" s="1345"/>
      <c r="R655" s="1345"/>
      <c r="S655" s="1345"/>
      <c r="T655" s="1345"/>
      <c r="U655" s="1345"/>
    </row>
    <row r="656" spans="1:21">
      <c r="A656" s="1345"/>
      <c r="B656" s="1345"/>
      <c r="C656" s="1345"/>
      <c r="D656" s="1345"/>
      <c r="E656" s="1345"/>
      <c r="F656" s="1345"/>
      <c r="G656" s="1345"/>
      <c r="H656" s="1345"/>
      <c r="I656" s="1345"/>
      <c r="J656" s="1345"/>
      <c r="K656" s="1345"/>
      <c r="L656" s="1345"/>
      <c r="M656" s="1345"/>
      <c r="N656" s="1345"/>
      <c r="O656" s="1345"/>
      <c r="P656" s="1345"/>
      <c r="Q656" s="1345"/>
      <c r="R656" s="1345"/>
      <c r="S656" s="1345"/>
      <c r="T656" s="1345"/>
      <c r="U656" s="1345"/>
    </row>
    <row r="657" spans="1:21">
      <c r="A657" s="1345"/>
      <c r="B657" s="1345"/>
      <c r="C657" s="1345"/>
      <c r="D657" s="1345"/>
      <c r="E657" s="1345"/>
      <c r="F657" s="1345"/>
      <c r="G657" s="1345"/>
      <c r="H657" s="1345"/>
      <c r="I657" s="1345"/>
      <c r="J657" s="1345"/>
      <c r="K657" s="1345"/>
      <c r="L657" s="1345"/>
      <c r="M657" s="1350"/>
      <c r="N657" s="1345"/>
      <c r="O657" s="1345"/>
      <c r="P657" s="1345"/>
      <c r="Q657" s="1345"/>
      <c r="R657" s="1345"/>
      <c r="S657" s="1345"/>
      <c r="T657" s="1345"/>
      <c r="U657" s="1345"/>
    </row>
    <row r="658" spans="1:21">
      <c r="A658" s="1345"/>
      <c r="B658" s="1345"/>
      <c r="C658" s="1345"/>
      <c r="D658" s="1345"/>
      <c r="E658" s="1345"/>
      <c r="F658" s="1345"/>
      <c r="G658" s="1345"/>
      <c r="H658" s="1345"/>
      <c r="I658" s="1345"/>
      <c r="J658" s="1345"/>
      <c r="K658" s="1345"/>
      <c r="L658" s="1345"/>
      <c r="M658" s="1350"/>
      <c r="N658" s="1345"/>
      <c r="O658" s="1345"/>
      <c r="P658" s="1345"/>
      <c r="Q658" s="1345"/>
      <c r="R658" s="1345"/>
      <c r="S658" s="1345"/>
      <c r="T658" s="1345"/>
      <c r="U658" s="1345"/>
    </row>
    <row r="659" spans="1:21">
      <c r="A659" s="1345"/>
      <c r="B659" s="1345"/>
      <c r="C659" s="1345"/>
      <c r="D659" s="1345"/>
      <c r="E659" s="1345"/>
      <c r="F659" s="1345"/>
      <c r="G659" s="1345"/>
      <c r="H659" s="1345"/>
      <c r="I659" s="1345"/>
      <c r="J659" s="1345"/>
      <c r="K659" s="1345"/>
      <c r="L659" s="1345"/>
      <c r="M659" s="1350"/>
      <c r="N659" s="1345"/>
      <c r="O659" s="1345"/>
      <c r="P659" s="1345"/>
      <c r="Q659" s="1345"/>
      <c r="R659" s="1345"/>
      <c r="S659" s="1345"/>
      <c r="T659" s="1345"/>
      <c r="U659" s="1345"/>
    </row>
    <row r="660" spans="1:21">
      <c r="A660" s="1345"/>
      <c r="B660" s="1345"/>
      <c r="C660" s="1345"/>
      <c r="D660" s="1345"/>
      <c r="E660" s="1345"/>
      <c r="F660" s="1345"/>
      <c r="G660" s="1345"/>
      <c r="H660" s="1345"/>
      <c r="I660" s="1345"/>
      <c r="J660" s="1345"/>
      <c r="K660" s="1345"/>
      <c r="L660" s="1345"/>
      <c r="M660" s="1350"/>
      <c r="N660" s="1345"/>
      <c r="O660" s="1345"/>
      <c r="P660" s="1345"/>
      <c r="Q660" s="1345"/>
      <c r="R660" s="1345"/>
      <c r="S660" s="1345"/>
      <c r="T660" s="1345"/>
      <c r="U660" s="1345"/>
    </row>
    <row r="661" spans="1:21">
      <c r="A661" s="1345"/>
      <c r="B661" s="1345"/>
      <c r="C661" s="1345"/>
      <c r="D661" s="1345"/>
      <c r="E661" s="1345"/>
      <c r="F661" s="1345"/>
      <c r="G661" s="1345"/>
      <c r="H661" s="1345"/>
      <c r="I661" s="1345"/>
      <c r="J661" s="1345"/>
      <c r="K661" s="1345"/>
      <c r="L661" s="1345"/>
      <c r="M661" s="1350"/>
      <c r="N661" s="1345"/>
      <c r="O661" s="1345"/>
      <c r="P661" s="1345"/>
      <c r="Q661" s="1345"/>
      <c r="R661" s="1345"/>
      <c r="S661" s="1345"/>
      <c r="T661" s="1345"/>
      <c r="U661" s="1345"/>
    </row>
    <row r="662" spans="1:21">
      <c r="A662" s="1345"/>
      <c r="B662" s="1345"/>
      <c r="C662" s="1345"/>
      <c r="D662" s="1345"/>
      <c r="E662" s="1345"/>
      <c r="F662" s="1345"/>
      <c r="G662" s="1345"/>
      <c r="H662" s="1345"/>
      <c r="I662" s="1345"/>
      <c r="J662" s="1345"/>
      <c r="K662" s="1345"/>
      <c r="L662" s="1345"/>
      <c r="M662" s="1350"/>
      <c r="N662" s="1345"/>
      <c r="O662" s="1345"/>
      <c r="P662" s="1345"/>
      <c r="Q662" s="1345"/>
      <c r="R662" s="1345"/>
      <c r="S662" s="1345"/>
      <c r="T662" s="1345"/>
      <c r="U662" s="1345"/>
    </row>
    <row r="663" spans="1:21">
      <c r="A663" s="1345"/>
      <c r="B663" s="1345"/>
      <c r="C663" s="1345"/>
      <c r="D663" s="1345"/>
      <c r="E663" s="1345"/>
      <c r="F663" s="1345"/>
      <c r="G663" s="1345"/>
      <c r="H663" s="1345"/>
      <c r="I663" s="1345"/>
      <c r="J663" s="1345"/>
      <c r="K663" s="1345"/>
      <c r="L663" s="1345"/>
      <c r="M663" s="1350"/>
      <c r="N663" s="1345"/>
      <c r="O663" s="1345"/>
      <c r="P663" s="1345"/>
      <c r="Q663" s="1345"/>
      <c r="R663" s="1345"/>
      <c r="S663" s="1345"/>
      <c r="T663" s="1345"/>
      <c r="U663" s="1345"/>
    </row>
    <row r="664" spans="1:21">
      <c r="A664" s="1345"/>
      <c r="B664" s="1345"/>
      <c r="C664" s="1345"/>
      <c r="D664" s="1345"/>
      <c r="E664" s="1345"/>
      <c r="F664" s="1345"/>
      <c r="G664" s="1345"/>
      <c r="H664" s="1345"/>
      <c r="I664" s="1345"/>
      <c r="J664" s="1345"/>
      <c r="K664" s="1345"/>
      <c r="L664" s="1345"/>
      <c r="M664" s="1345"/>
      <c r="N664" s="1345"/>
      <c r="O664" s="1345"/>
      <c r="P664" s="1345"/>
      <c r="Q664" s="1345"/>
      <c r="R664" s="1345"/>
      <c r="S664" s="1345"/>
      <c r="T664" s="1345"/>
      <c r="U664" s="1345"/>
    </row>
    <row r="665" spans="1:21">
      <c r="A665" s="1345"/>
      <c r="B665" s="1345"/>
      <c r="C665" s="1345"/>
      <c r="D665" s="1345"/>
      <c r="E665" s="1345"/>
      <c r="F665" s="1345"/>
      <c r="G665" s="1345"/>
      <c r="H665" s="1345"/>
      <c r="I665" s="1345"/>
      <c r="J665" s="1345"/>
      <c r="K665" s="1345"/>
      <c r="L665" s="1345"/>
      <c r="M665" s="1350"/>
      <c r="N665" s="1345"/>
      <c r="O665" s="1345"/>
      <c r="P665" s="1345"/>
      <c r="Q665" s="1345"/>
      <c r="R665" s="1345"/>
      <c r="S665" s="1345"/>
      <c r="T665" s="1345"/>
      <c r="U665" s="1345"/>
    </row>
    <row r="666" spans="1:21">
      <c r="A666" s="1345"/>
      <c r="B666" s="1345"/>
      <c r="C666" s="1345"/>
      <c r="D666" s="1345"/>
      <c r="E666" s="1345"/>
      <c r="F666" s="1345"/>
      <c r="G666" s="1345"/>
      <c r="H666" s="1345"/>
      <c r="I666" s="1345"/>
      <c r="J666" s="1345"/>
      <c r="K666" s="1345"/>
      <c r="L666" s="1345"/>
      <c r="M666" s="1350"/>
      <c r="N666" s="1345"/>
      <c r="O666" s="1345"/>
      <c r="P666" s="1345"/>
      <c r="Q666" s="1345"/>
      <c r="R666" s="1345"/>
      <c r="S666" s="1345"/>
      <c r="T666" s="1345"/>
      <c r="U666" s="1345"/>
    </row>
    <row r="667" spans="1:21">
      <c r="A667" s="1345"/>
      <c r="B667" s="1345"/>
      <c r="C667" s="1345"/>
      <c r="D667" s="1345"/>
      <c r="E667" s="1345"/>
      <c r="F667" s="1345"/>
      <c r="G667" s="1345"/>
      <c r="H667" s="1345"/>
      <c r="I667" s="1345"/>
      <c r="J667" s="1345"/>
      <c r="K667" s="1345"/>
      <c r="L667" s="1345"/>
      <c r="M667" s="1350"/>
      <c r="N667" s="1345"/>
      <c r="O667" s="1345"/>
      <c r="P667" s="1345"/>
      <c r="Q667" s="1345"/>
      <c r="R667" s="1345"/>
      <c r="S667" s="1345"/>
      <c r="T667" s="1345"/>
      <c r="U667" s="1345"/>
    </row>
    <row r="668" spans="1:21">
      <c r="A668" s="1345"/>
      <c r="B668" s="1345"/>
      <c r="C668" s="1345"/>
      <c r="D668" s="1345"/>
      <c r="E668" s="1345"/>
      <c r="F668" s="1345"/>
      <c r="G668" s="1345"/>
      <c r="H668" s="1345"/>
      <c r="I668" s="1345"/>
      <c r="J668" s="1345"/>
      <c r="K668" s="1345"/>
      <c r="L668" s="1345"/>
      <c r="M668" s="1350"/>
      <c r="N668" s="1345"/>
      <c r="O668" s="1345"/>
      <c r="P668" s="1345"/>
      <c r="Q668" s="1345"/>
      <c r="R668" s="1345"/>
      <c r="S668" s="1345"/>
      <c r="T668" s="1345"/>
      <c r="U668" s="1345"/>
    </row>
    <row r="669" spans="1:21">
      <c r="A669" s="1345"/>
      <c r="B669" s="1345"/>
      <c r="C669" s="1345"/>
      <c r="D669" s="1345"/>
      <c r="E669" s="1345"/>
      <c r="F669" s="1345"/>
      <c r="G669" s="1345"/>
      <c r="H669" s="1345"/>
      <c r="I669" s="1345"/>
      <c r="J669" s="1345"/>
      <c r="K669" s="1345"/>
      <c r="L669" s="1345"/>
      <c r="M669" s="1350"/>
      <c r="N669" s="1345"/>
      <c r="O669" s="1345"/>
      <c r="P669" s="1345"/>
      <c r="Q669" s="1345"/>
      <c r="R669" s="1345"/>
      <c r="S669" s="1345"/>
      <c r="T669" s="1345"/>
      <c r="U669" s="1345"/>
    </row>
    <row r="670" spans="1:21">
      <c r="A670" s="1345"/>
      <c r="B670" s="1345"/>
      <c r="C670" s="1345"/>
      <c r="D670" s="1345"/>
      <c r="E670" s="1345"/>
      <c r="F670" s="1345"/>
      <c r="G670" s="1345"/>
      <c r="H670" s="1345"/>
      <c r="I670" s="1345"/>
      <c r="J670" s="1345"/>
      <c r="K670" s="1345"/>
      <c r="L670" s="1345"/>
      <c r="M670" s="1350"/>
      <c r="N670" s="1345"/>
      <c r="O670" s="1345"/>
      <c r="P670" s="1345"/>
      <c r="Q670" s="1345"/>
      <c r="R670" s="1345"/>
      <c r="S670" s="1345"/>
      <c r="T670" s="1345"/>
      <c r="U670" s="1345"/>
    </row>
    <row r="671" spans="1:21">
      <c r="A671" s="1345"/>
      <c r="B671" s="1345"/>
      <c r="C671" s="1345"/>
      <c r="D671" s="1345"/>
      <c r="E671" s="1345"/>
      <c r="F671" s="1345"/>
      <c r="G671" s="1345"/>
      <c r="H671" s="1345"/>
      <c r="I671" s="1345"/>
      <c r="J671" s="1345"/>
      <c r="K671" s="1345"/>
      <c r="L671" s="1345"/>
      <c r="M671" s="1350"/>
      <c r="N671" s="1345"/>
      <c r="O671" s="1345"/>
      <c r="P671" s="1345"/>
      <c r="Q671" s="1345"/>
      <c r="R671" s="1345"/>
      <c r="S671" s="1345"/>
      <c r="T671" s="1345"/>
      <c r="U671" s="1345"/>
    </row>
    <row r="672" spans="1:21">
      <c r="A672" s="1345"/>
      <c r="B672" s="1345"/>
      <c r="C672" s="1345"/>
      <c r="D672" s="1345"/>
      <c r="E672" s="1345"/>
      <c r="F672" s="1345"/>
      <c r="G672" s="1345"/>
      <c r="H672" s="1345"/>
      <c r="I672" s="1345"/>
      <c r="J672" s="1345"/>
      <c r="K672" s="1345"/>
      <c r="L672" s="1345"/>
      <c r="M672" s="1350"/>
      <c r="N672" s="1345"/>
      <c r="O672" s="1345"/>
      <c r="P672" s="1345"/>
      <c r="Q672" s="1345"/>
      <c r="R672" s="1345"/>
      <c r="S672" s="1345"/>
      <c r="T672" s="1345"/>
      <c r="U672" s="1345"/>
    </row>
    <row r="673" spans="1:21">
      <c r="A673" s="1345"/>
      <c r="B673" s="1345"/>
      <c r="C673" s="1345"/>
      <c r="D673" s="1345"/>
      <c r="E673" s="1345"/>
      <c r="F673" s="1345"/>
      <c r="G673" s="1345"/>
      <c r="H673" s="1345"/>
      <c r="I673" s="1345"/>
      <c r="J673" s="1345"/>
      <c r="K673" s="1345"/>
      <c r="L673" s="1345"/>
      <c r="M673" s="1350"/>
      <c r="N673" s="1345"/>
      <c r="O673" s="1345"/>
      <c r="P673" s="1345"/>
      <c r="Q673" s="1345"/>
      <c r="R673" s="1345"/>
      <c r="S673" s="1345"/>
      <c r="T673" s="1345"/>
      <c r="U673" s="1345"/>
    </row>
    <row r="674" spans="1:21">
      <c r="A674" s="1345"/>
      <c r="B674" s="1345"/>
      <c r="C674" s="1345"/>
      <c r="D674" s="1345"/>
      <c r="E674" s="1345"/>
      <c r="F674" s="1345"/>
      <c r="G674" s="1345"/>
      <c r="H674" s="1345"/>
      <c r="I674" s="1345"/>
      <c r="J674" s="1345"/>
      <c r="K674" s="1345"/>
      <c r="L674" s="1345"/>
      <c r="M674" s="1350"/>
      <c r="N674" s="1345"/>
      <c r="O674" s="1345"/>
      <c r="P674" s="1345"/>
      <c r="Q674" s="1345"/>
      <c r="R674" s="1345"/>
      <c r="S674" s="1345"/>
      <c r="T674" s="1345"/>
      <c r="U674" s="1345"/>
    </row>
    <row r="675" spans="1:21">
      <c r="A675" s="1345"/>
      <c r="B675" s="1345"/>
      <c r="C675" s="1345"/>
      <c r="D675" s="1345"/>
      <c r="E675" s="1345"/>
      <c r="F675" s="1345"/>
      <c r="G675" s="1345"/>
      <c r="H675" s="1345"/>
      <c r="I675" s="1345"/>
      <c r="J675" s="1345"/>
      <c r="K675" s="1345"/>
      <c r="L675" s="1345"/>
      <c r="M675" s="1350"/>
      <c r="N675" s="1345"/>
      <c r="O675" s="1345"/>
      <c r="P675" s="1345"/>
      <c r="Q675" s="1345"/>
      <c r="R675" s="1345"/>
      <c r="S675" s="1345"/>
      <c r="T675" s="1345"/>
      <c r="U675" s="1345"/>
    </row>
    <row r="676" spans="1:21">
      <c r="A676" s="1345"/>
      <c r="B676" s="1345"/>
      <c r="C676" s="1345"/>
      <c r="D676" s="1345"/>
      <c r="E676" s="1345"/>
      <c r="F676" s="1345"/>
      <c r="G676" s="1345"/>
      <c r="H676" s="1345"/>
      <c r="I676" s="1345"/>
      <c r="J676" s="1345"/>
      <c r="K676" s="1345"/>
      <c r="L676" s="1345"/>
      <c r="M676" s="1350"/>
      <c r="N676" s="1345"/>
      <c r="O676" s="1345"/>
      <c r="P676" s="1345"/>
      <c r="Q676" s="1345"/>
      <c r="R676" s="1345"/>
      <c r="S676" s="1345"/>
      <c r="T676" s="1345"/>
      <c r="U676" s="1345"/>
    </row>
    <row r="677" spans="1:21">
      <c r="A677" s="1345"/>
      <c r="B677" s="1345"/>
      <c r="C677" s="1345"/>
      <c r="D677" s="1345"/>
      <c r="E677" s="1345"/>
      <c r="F677" s="1345"/>
      <c r="G677" s="1345"/>
      <c r="H677" s="1345"/>
      <c r="I677" s="1345"/>
      <c r="J677" s="1345"/>
      <c r="K677" s="1345"/>
      <c r="L677" s="1345"/>
      <c r="M677" s="1350"/>
      <c r="N677" s="1345"/>
      <c r="O677" s="1345"/>
      <c r="P677" s="1345"/>
      <c r="Q677" s="1345"/>
      <c r="R677" s="1345"/>
      <c r="S677" s="1345"/>
      <c r="T677" s="1345"/>
      <c r="U677" s="1345"/>
    </row>
    <row r="678" spans="1:21">
      <c r="A678" s="1345"/>
      <c r="B678" s="1345"/>
      <c r="C678" s="1345"/>
      <c r="D678" s="1345"/>
      <c r="E678" s="1345"/>
      <c r="F678" s="1345"/>
      <c r="G678" s="1345"/>
      <c r="H678" s="1345"/>
      <c r="I678" s="1345"/>
      <c r="J678" s="1345"/>
      <c r="K678" s="1345"/>
      <c r="L678" s="1345"/>
      <c r="M678" s="1350"/>
      <c r="N678" s="1345"/>
      <c r="O678" s="1345"/>
      <c r="P678" s="1345"/>
      <c r="Q678" s="1345"/>
      <c r="R678" s="1345"/>
      <c r="S678" s="1345"/>
      <c r="T678" s="1345"/>
      <c r="U678" s="1345"/>
    </row>
    <row r="679" spans="1:21">
      <c r="A679" s="1345"/>
      <c r="B679" s="1345"/>
      <c r="C679" s="1345"/>
      <c r="D679" s="1345"/>
      <c r="E679" s="1345"/>
      <c r="F679" s="1345"/>
      <c r="G679" s="1345"/>
      <c r="H679" s="1345"/>
      <c r="I679" s="1345"/>
      <c r="J679" s="1345"/>
      <c r="K679" s="1345"/>
      <c r="L679" s="1345"/>
      <c r="M679" s="1350"/>
      <c r="N679" s="1345"/>
      <c r="O679" s="1345"/>
      <c r="P679" s="1345"/>
      <c r="Q679" s="1345"/>
      <c r="R679" s="1345"/>
      <c r="S679" s="1345"/>
      <c r="T679" s="1345"/>
      <c r="U679" s="1345"/>
    </row>
    <row r="680" spans="1:21">
      <c r="A680" s="1345"/>
      <c r="B680" s="1345"/>
      <c r="C680" s="1345"/>
      <c r="D680" s="1345"/>
      <c r="E680" s="1345"/>
      <c r="F680" s="1345"/>
      <c r="G680" s="1345"/>
      <c r="H680" s="1345"/>
      <c r="I680" s="1345"/>
      <c r="J680" s="1345"/>
      <c r="K680" s="1345"/>
      <c r="L680" s="1345"/>
      <c r="M680" s="1350"/>
      <c r="N680" s="1345"/>
      <c r="O680" s="1345"/>
      <c r="P680" s="1345"/>
      <c r="Q680" s="1345"/>
      <c r="R680" s="1345"/>
      <c r="S680" s="1345"/>
      <c r="T680" s="1345"/>
      <c r="U680" s="1345"/>
    </row>
    <row r="681" spans="1:21">
      <c r="A681" s="1345"/>
      <c r="B681" s="1345"/>
      <c r="C681" s="1345"/>
      <c r="D681" s="1345"/>
      <c r="E681" s="1345"/>
      <c r="F681" s="1345"/>
      <c r="G681" s="1345"/>
      <c r="H681" s="1345"/>
      <c r="I681" s="1345"/>
      <c r="J681" s="1345"/>
      <c r="K681" s="1345"/>
      <c r="L681" s="1345"/>
      <c r="M681" s="1350"/>
      <c r="N681" s="1345"/>
      <c r="O681" s="1345"/>
      <c r="P681" s="1345"/>
      <c r="Q681" s="1345"/>
      <c r="R681" s="1345"/>
      <c r="S681" s="1345"/>
      <c r="T681" s="1345"/>
      <c r="U681" s="1345"/>
    </row>
    <row r="682" spans="1:21">
      <c r="A682" s="1345"/>
      <c r="B682" s="1345"/>
      <c r="C682" s="1345"/>
      <c r="D682" s="1345"/>
      <c r="E682" s="1345"/>
      <c r="F682" s="1345"/>
      <c r="G682" s="1345"/>
      <c r="H682" s="1345"/>
      <c r="I682" s="1345"/>
      <c r="J682" s="1345"/>
      <c r="K682" s="1345"/>
      <c r="L682" s="1345"/>
      <c r="M682" s="1350"/>
      <c r="N682" s="1345"/>
      <c r="O682" s="1345"/>
      <c r="P682" s="1345"/>
      <c r="Q682" s="1345"/>
      <c r="R682" s="1345"/>
      <c r="S682" s="1345"/>
      <c r="T682" s="1345"/>
      <c r="U682" s="1345"/>
    </row>
    <row r="683" spans="1:21">
      <c r="A683" s="1345"/>
      <c r="B683" s="1345"/>
      <c r="C683" s="1345"/>
      <c r="D683" s="1345"/>
      <c r="E683" s="1345"/>
      <c r="F683" s="1345"/>
      <c r="G683" s="1345"/>
      <c r="H683" s="1345"/>
      <c r="I683" s="1345"/>
      <c r="J683" s="1345"/>
      <c r="K683" s="1345"/>
      <c r="L683" s="1345"/>
      <c r="M683" s="1350"/>
      <c r="N683" s="1345"/>
      <c r="O683" s="1345"/>
      <c r="P683" s="1345"/>
      <c r="Q683" s="1345"/>
      <c r="R683" s="1345"/>
      <c r="S683" s="1345"/>
      <c r="T683" s="1345"/>
      <c r="U683" s="1345"/>
    </row>
    <row r="684" spans="1:21">
      <c r="A684" s="1345"/>
      <c r="B684" s="1345"/>
      <c r="C684" s="1345"/>
      <c r="D684" s="1345"/>
      <c r="E684" s="1345"/>
      <c r="F684" s="1345"/>
      <c r="G684" s="1345"/>
      <c r="H684" s="1345"/>
      <c r="I684" s="1345"/>
      <c r="J684" s="1345"/>
      <c r="K684" s="1345"/>
      <c r="L684" s="1345"/>
      <c r="M684" s="1350"/>
      <c r="N684" s="1345"/>
      <c r="O684" s="1345"/>
      <c r="P684" s="1345"/>
      <c r="Q684" s="1345"/>
      <c r="R684" s="1345"/>
      <c r="S684" s="1345"/>
      <c r="T684" s="1345"/>
      <c r="U684" s="1345"/>
    </row>
    <row r="685" spans="1:21">
      <c r="A685" s="1345"/>
      <c r="B685" s="1345"/>
      <c r="C685" s="1345"/>
      <c r="D685" s="1345"/>
      <c r="E685" s="1345"/>
      <c r="F685" s="1345"/>
      <c r="G685" s="1345"/>
      <c r="H685" s="1345"/>
      <c r="I685" s="1345"/>
      <c r="J685" s="1345"/>
      <c r="K685" s="1345"/>
      <c r="L685" s="1345"/>
      <c r="M685" s="1350"/>
      <c r="N685" s="1345"/>
      <c r="O685" s="1345"/>
      <c r="P685" s="1345"/>
      <c r="Q685" s="1345"/>
      <c r="R685" s="1345"/>
      <c r="S685" s="1345"/>
      <c r="T685" s="1345"/>
      <c r="U685" s="1345"/>
    </row>
    <row r="686" spans="1:21">
      <c r="A686" s="1345"/>
      <c r="B686" s="1345"/>
      <c r="C686" s="1345"/>
      <c r="D686" s="1345"/>
      <c r="E686" s="1345"/>
      <c r="F686" s="1345"/>
      <c r="G686" s="1345"/>
      <c r="H686" s="1345"/>
      <c r="I686" s="1345"/>
      <c r="J686" s="1345"/>
      <c r="K686" s="1345"/>
      <c r="L686" s="1345"/>
      <c r="M686" s="1350"/>
      <c r="N686" s="1345"/>
      <c r="O686" s="1345"/>
      <c r="P686" s="1345"/>
      <c r="Q686" s="1345"/>
      <c r="R686" s="1345"/>
      <c r="S686" s="1345"/>
      <c r="T686" s="1345"/>
      <c r="U686" s="1345"/>
    </row>
    <row r="687" spans="1:21">
      <c r="A687" s="1345"/>
      <c r="B687" s="1345"/>
      <c r="C687" s="1345"/>
      <c r="D687" s="1345"/>
      <c r="E687" s="1345"/>
      <c r="F687" s="1345"/>
      <c r="G687" s="1345"/>
      <c r="H687" s="1345"/>
      <c r="I687" s="1345"/>
      <c r="J687" s="1345"/>
      <c r="K687" s="1345"/>
      <c r="L687" s="1345"/>
      <c r="M687" s="1350"/>
      <c r="N687" s="1345"/>
      <c r="O687" s="1345"/>
      <c r="P687" s="1345"/>
      <c r="Q687" s="1345"/>
      <c r="R687" s="1345"/>
      <c r="S687" s="1345"/>
      <c r="T687" s="1345"/>
      <c r="U687" s="1345"/>
    </row>
    <row r="688" spans="1:21">
      <c r="A688" s="1345"/>
      <c r="B688" s="1345"/>
      <c r="C688" s="1345"/>
      <c r="D688" s="1345"/>
      <c r="E688" s="1345"/>
      <c r="F688" s="1345"/>
      <c r="G688" s="1345"/>
      <c r="H688" s="1345"/>
      <c r="I688" s="1345"/>
      <c r="J688" s="1345"/>
      <c r="K688" s="1345"/>
      <c r="L688" s="1345"/>
      <c r="M688" s="1350"/>
      <c r="N688" s="1345"/>
      <c r="O688" s="1345"/>
      <c r="P688" s="1345"/>
      <c r="Q688" s="1345"/>
      <c r="R688" s="1345"/>
      <c r="S688" s="1345"/>
      <c r="T688" s="1345"/>
      <c r="U688" s="1345"/>
    </row>
    <row r="689" spans="1:21">
      <c r="A689" s="1345"/>
      <c r="B689" s="1345"/>
      <c r="C689" s="1345"/>
      <c r="D689" s="1345"/>
      <c r="E689" s="1345"/>
      <c r="F689" s="1345"/>
      <c r="G689" s="1345"/>
      <c r="H689" s="1345"/>
      <c r="I689" s="1345"/>
      <c r="J689" s="1345"/>
      <c r="K689" s="1345"/>
      <c r="L689" s="1345"/>
      <c r="M689" s="1350"/>
      <c r="N689" s="1345"/>
      <c r="O689" s="1345"/>
      <c r="P689" s="1345"/>
      <c r="Q689" s="1345"/>
      <c r="R689" s="1345"/>
      <c r="S689" s="1345"/>
      <c r="T689" s="1345"/>
      <c r="U689" s="1345"/>
    </row>
    <row r="690" spans="1:21">
      <c r="A690" s="1345"/>
      <c r="B690" s="1345"/>
      <c r="C690" s="1345"/>
      <c r="D690" s="1345"/>
      <c r="E690" s="1345"/>
      <c r="F690" s="1345"/>
      <c r="G690" s="1345"/>
      <c r="H690" s="1345"/>
      <c r="I690" s="1345"/>
      <c r="J690" s="1345"/>
      <c r="K690" s="1345"/>
      <c r="L690" s="1345"/>
      <c r="M690" s="1350"/>
      <c r="N690" s="1345"/>
      <c r="O690" s="1345"/>
      <c r="P690" s="1345"/>
      <c r="Q690" s="1345"/>
      <c r="R690" s="1345"/>
      <c r="S690" s="1345"/>
      <c r="T690" s="1345"/>
      <c r="U690" s="1345"/>
    </row>
    <row r="691" spans="1:21">
      <c r="A691" s="1345"/>
      <c r="B691" s="1345"/>
      <c r="C691" s="1345"/>
      <c r="D691" s="1345"/>
      <c r="E691" s="1345"/>
      <c r="F691" s="1345"/>
      <c r="G691" s="1345"/>
      <c r="H691" s="1345"/>
      <c r="I691" s="1345"/>
      <c r="J691" s="1345"/>
      <c r="K691" s="1345"/>
      <c r="L691" s="1345"/>
      <c r="M691" s="1350"/>
      <c r="N691" s="1345"/>
      <c r="O691" s="1345"/>
      <c r="P691" s="1345"/>
      <c r="Q691" s="1345"/>
      <c r="R691" s="1345"/>
      <c r="S691" s="1345"/>
      <c r="T691" s="1345"/>
      <c r="U691" s="1345"/>
    </row>
    <row r="692" spans="1:21">
      <c r="A692" s="1345"/>
      <c r="B692" s="1345"/>
      <c r="C692" s="1345"/>
      <c r="D692" s="1345"/>
      <c r="E692" s="1345"/>
      <c r="F692" s="1345"/>
      <c r="G692" s="1345"/>
      <c r="H692" s="1345"/>
      <c r="I692" s="1345"/>
      <c r="J692" s="1345"/>
      <c r="K692" s="1345"/>
      <c r="L692" s="1345"/>
      <c r="M692" s="1350"/>
      <c r="N692" s="1345"/>
      <c r="O692" s="1345"/>
      <c r="P692" s="1345"/>
      <c r="Q692" s="1345"/>
      <c r="R692" s="1345"/>
      <c r="S692" s="1345"/>
      <c r="T692" s="1345"/>
      <c r="U692" s="1345"/>
    </row>
    <row r="693" spans="1:21">
      <c r="A693" s="1345"/>
      <c r="B693" s="1345"/>
      <c r="C693" s="1345"/>
      <c r="D693" s="1345"/>
      <c r="E693" s="1345"/>
      <c r="F693" s="1345"/>
      <c r="G693" s="1345"/>
      <c r="H693" s="1345"/>
      <c r="I693" s="1345"/>
      <c r="J693" s="1345"/>
      <c r="K693" s="1345"/>
      <c r="L693" s="1345"/>
      <c r="M693" s="1350"/>
      <c r="N693" s="1345"/>
      <c r="O693" s="1345"/>
      <c r="P693" s="1345"/>
      <c r="Q693" s="1345"/>
      <c r="R693" s="1345"/>
      <c r="S693" s="1345"/>
      <c r="T693" s="1345"/>
      <c r="U693" s="1345"/>
    </row>
    <row r="694" spans="1:21">
      <c r="A694" s="1345"/>
      <c r="B694" s="1345"/>
      <c r="C694" s="1345"/>
      <c r="D694" s="1345"/>
      <c r="E694" s="1345"/>
      <c r="F694" s="1345"/>
      <c r="G694" s="1345"/>
      <c r="H694" s="1345"/>
      <c r="I694" s="1345"/>
      <c r="J694" s="1345"/>
      <c r="K694" s="1345"/>
      <c r="L694" s="1345"/>
      <c r="M694" s="1350"/>
      <c r="N694" s="1345"/>
      <c r="O694" s="1345"/>
      <c r="P694" s="1345"/>
      <c r="Q694" s="1345"/>
      <c r="R694" s="1345"/>
      <c r="S694" s="1345"/>
      <c r="T694" s="1345"/>
      <c r="U694" s="1345"/>
    </row>
    <row r="695" spans="1:21">
      <c r="A695" s="1345"/>
      <c r="B695" s="1345"/>
      <c r="C695" s="1345"/>
      <c r="D695" s="1345"/>
      <c r="E695" s="1345"/>
      <c r="F695" s="1345"/>
      <c r="G695" s="1345"/>
      <c r="H695" s="1345"/>
      <c r="I695" s="1345"/>
      <c r="J695" s="1345"/>
      <c r="K695" s="1345"/>
      <c r="L695" s="1345"/>
      <c r="M695" s="1350"/>
      <c r="N695" s="1345"/>
      <c r="O695" s="1345"/>
      <c r="P695" s="1345"/>
      <c r="Q695" s="1345"/>
      <c r="R695" s="1345"/>
      <c r="S695" s="1345"/>
      <c r="T695" s="1345"/>
      <c r="U695" s="1345"/>
    </row>
    <row r="696" spans="1:21">
      <c r="A696" s="1345"/>
      <c r="B696" s="1345"/>
      <c r="C696" s="1345"/>
      <c r="D696" s="1345"/>
      <c r="E696" s="1345"/>
      <c r="F696" s="1345"/>
      <c r="G696" s="1345"/>
      <c r="H696" s="1345"/>
      <c r="I696" s="1345"/>
      <c r="J696" s="1345"/>
      <c r="K696" s="1345"/>
      <c r="L696" s="1345"/>
      <c r="M696" s="1350"/>
      <c r="N696" s="1345"/>
      <c r="O696" s="1345"/>
      <c r="P696" s="1345"/>
      <c r="Q696" s="1345"/>
      <c r="R696" s="1345"/>
      <c r="S696" s="1345"/>
      <c r="T696" s="1345"/>
      <c r="U696" s="1345"/>
    </row>
    <row r="697" spans="1:21">
      <c r="A697" s="1345"/>
      <c r="B697" s="1345"/>
      <c r="C697" s="1345"/>
      <c r="D697" s="1345"/>
      <c r="E697" s="1345"/>
      <c r="F697" s="1345"/>
      <c r="G697" s="1345"/>
      <c r="H697" s="1345"/>
      <c r="I697" s="1345"/>
      <c r="J697" s="1345"/>
      <c r="K697" s="1345"/>
      <c r="L697" s="1345"/>
      <c r="M697" s="1350"/>
      <c r="N697" s="1345"/>
      <c r="O697" s="1345"/>
      <c r="P697" s="1345"/>
      <c r="Q697" s="1345"/>
      <c r="R697" s="1345"/>
      <c r="S697" s="1345"/>
      <c r="T697" s="1345"/>
      <c r="U697" s="1345"/>
    </row>
    <row r="698" spans="1:21">
      <c r="A698" s="1345"/>
      <c r="B698" s="1345"/>
      <c r="C698" s="1345"/>
      <c r="D698" s="1345"/>
      <c r="E698" s="1345"/>
      <c r="F698" s="1345"/>
      <c r="G698" s="1345"/>
      <c r="H698" s="1345"/>
      <c r="I698" s="1345"/>
      <c r="J698" s="1345"/>
      <c r="K698" s="1345"/>
      <c r="L698" s="1345"/>
      <c r="M698" s="1350"/>
      <c r="N698" s="1345"/>
      <c r="O698" s="1345"/>
      <c r="P698" s="1345"/>
      <c r="Q698" s="1345"/>
      <c r="R698" s="1345"/>
      <c r="S698" s="1345"/>
      <c r="T698" s="1345"/>
      <c r="U698" s="1345"/>
    </row>
    <row r="699" spans="1:21">
      <c r="A699" s="1345"/>
      <c r="B699" s="1345"/>
      <c r="C699" s="1345"/>
      <c r="D699" s="1345"/>
      <c r="E699" s="1345"/>
      <c r="F699" s="1345"/>
      <c r="G699" s="1345"/>
      <c r="H699" s="1345"/>
      <c r="I699" s="1345"/>
      <c r="J699" s="1345"/>
      <c r="K699" s="1345"/>
      <c r="L699" s="1345"/>
      <c r="M699" s="1350"/>
      <c r="N699" s="1345"/>
      <c r="O699" s="1345"/>
      <c r="P699" s="1345"/>
      <c r="Q699" s="1345"/>
      <c r="R699" s="1345"/>
      <c r="S699" s="1345"/>
      <c r="T699" s="1345"/>
      <c r="U699" s="1345"/>
    </row>
    <row r="700" spans="1:21">
      <c r="A700" s="1345"/>
      <c r="B700" s="1345"/>
      <c r="C700" s="1345"/>
      <c r="D700" s="1345"/>
      <c r="E700" s="1345"/>
      <c r="F700" s="1345"/>
      <c r="G700" s="1345"/>
      <c r="H700" s="1345"/>
      <c r="I700" s="1345"/>
      <c r="J700" s="1345"/>
      <c r="K700" s="1345"/>
      <c r="L700" s="1345"/>
      <c r="M700" s="1350"/>
      <c r="N700" s="1345"/>
      <c r="O700" s="1345"/>
      <c r="P700" s="1345"/>
      <c r="Q700" s="1345"/>
      <c r="R700" s="1345"/>
      <c r="S700" s="1345"/>
      <c r="T700" s="1345"/>
      <c r="U700" s="1345"/>
    </row>
    <row r="701" spans="1:21">
      <c r="A701" s="1345"/>
      <c r="B701" s="1345"/>
      <c r="C701" s="1345"/>
      <c r="D701" s="1345"/>
      <c r="E701" s="1345"/>
      <c r="F701" s="1345"/>
      <c r="G701" s="1345"/>
      <c r="H701" s="1345"/>
      <c r="I701" s="1345"/>
      <c r="J701" s="1345"/>
      <c r="K701" s="1345"/>
      <c r="L701" s="1345"/>
      <c r="M701" s="1350"/>
      <c r="N701" s="1345"/>
      <c r="O701" s="1345"/>
      <c r="P701" s="1345"/>
      <c r="Q701" s="1345"/>
      <c r="R701" s="1345"/>
      <c r="S701" s="1345"/>
      <c r="T701" s="1345"/>
      <c r="U701" s="1345"/>
    </row>
    <row r="702" spans="1:21">
      <c r="A702" s="1345"/>
      <c r="B702" s="1345"/>
      <c r="C702" s="1345"/>
      <c r="D702" s="1345"/>
      <c r="E702" s="1345"/>
      <c r="F702" s="1345"/>
      <c r="G702" s="1345"/>
      <c r="H702" s="1345"/>
      <c r="I702" s="1345"/>
      <c r="J702" s="1345"/>
      <c r="K702" s="1345"/>
      <c r="L702" s="1345"/>
      <c r="M702" s="1350"/>
      <c r="N702" s="1345"/>
      <c r="O702" s="1345"/>
      <c r="P702" s="1345"/>
      <c r="Q702" s="1345"/>
      <c r="R702" s="1345"/>
      <c r="S702" s="1345"/>
      <c r="T702" s="1345"/>
      <c r="U702" s="1345"/>
    </row>
    <row r="703" spans="1:21">
      <c r="A703" s="1345"/>
      <c r="B703" s="1345"/>
      <c r="C703" s="1345"/>
      <c r="D703" s="1345"/>
      <c r="E703" s="1345"/>
      <c r="F703" s="1345"/>
      <c r="G703" s="1345"/>
      <c r="H703" s="1345"/>
      <c r="I703" s="1345"/>
      <c r="J703" s="1345"/>
      <c r="K703" s="1345"/>
      <c r="L703" s="1345"/>
      <c r="M703" s="1350"/>
      <c r="N703" s="1345"/>
      <c r="O703" s="1345"/>
      <c r="P703" s="1345"/>
      <c r="Q703" s="1345"/>
      <c r="R703" s="1345"/>
      <c r="S703" s="1345"/>
      <c r="T703" s="1345"/>
      <c r="U703" s="1345"/>
    </row>
    <row r="704" spans="1:21">
      <c r="A704" s="1345"/>
      <c r="B704" s="1345"/>
      <c r="C704" s="1345"/>
      <c r="D704" s="1345"/>
      <c r="E704" s="1345"/>
      <c r="F704" s="1345"/>
      <c r="G704" s="1345"/>
      <c r="H704" s="1345"/>
      <c r="I704" s="1345"/>
      <c r="J704" s="1345"/>
      <c r="K704" s="1345"/>
      <c r="L704" s="1345"/>
      <c r="M704" s="1350"/>
      <c r="N704" s="1345"/>
      <c r="O704" s="1345"/>
      <c r="P704" s="1345"/>
      <c r="Q704" s="1345"/>
      <c r="R704" s="1345"/>
      <c r="S704" s="1345"/>
      <c r="T704" s="1345"/>
      <c r="U704" s="1345"/>
    </row>
    <row r="705" spans="1:21">
      <c r="A705" s="1345"/>
      <c r="B705" s="1345"/>
      <c r="C705" s="1345"/>
      <c r="D705" s="1345"/>
      <c r="E705" s="1345"/>
      <c r="F705" s="1345"/>
      <c r="G705" s="1345"/>
      <c r="H705" s="1345"/>
      <c r="I705" s="1345"/>
      <c r="J705" s="1345"/>
      <c r="K705" s="1345"/>
      <c r="L705" s="1345"/>
      <c r="M705" s="1350"/>
      <c r="N705" s="1345"/>
      <c r="O705" s="1345"/>
      <c r="P705" s="1345"/>
      <c r="Q705" s="1345"/>
      <c r="R705" s="1345"/>
      <c r="S705" s="1345"/>
      <c r="T705" s="1345"/>
      <c r="U705" s="1345"/>
    </row>
    <row r="706" spans="1:21">
      <c r="A706" s="1345"/>
      <c r="B706" s="1345"/>
      <c r="C706" s="1345"/>
      <c r="D706" s="1345"/>
      <c r="E706" s="1345"/>
      <c r="F706" s="1345"/>
      <c r="G706" s="1345"/>
      <c r="H706" s="1345"/>
      <c r="I706" s="1345"/>
      <c r="J706" s="1345"/>
      <c r="K706" s="1345"/>
      <c r="L706" s="1345"/>
      <c r="M706" s="1350"/>
      <c r="N706" s="1345"/>
      <c r="O706" s="1345"/>
      <c r="P706" s="1345"/>
      <c r="Q706" s="1345"/>
      <c r="R706" s="1345"/>
      <c r="S706" s="1345"/>
      <c r="T706" s="1345"/>
      <c r="U706" s="1345"/>
    </row>
    <row r="707" spans="1:21">
      <c r="A707" s="1345"/>
      <c r="B707" s="1345"/>
      <c r="C707" s="1345"/>
      <c r="D707" s="1345"/>
      <c r="E707" s="1345"/>
      <c r="F707" s="1345"/>
      <c r="G707" s="1345"/>
      <c r="H707" s="1345"/>
      <c r="I707" s="1345"/>
      <c r="J707" s="1345"/>
      <c r="K707" s="1345"/>
      <c r="L707" s="1345"/>
      <c r="M707" s="1350"/>
      <c r="N707" s="1345"/>
      <c r="O707" s="1345"/>
      <c r="P707" s="1345"/>
      <c r="Q707" s="1345"/>
      <c r="R707" s="1345"/>
      <c r="S707" s="1345"/>
      <c r="T707" s="1345"/>
      <c r="U707" s="1345"/>
    </row>
    <row r="708" spans="1:21">
      <c r="A708" s="1345"/>
      <c r="B708" s="1345"/>
      <c r="C708" s="1345"/>
      <c r="D708" s="1345"/>
      <c r="E708" s="1345"/>
      <c r="F708" s="1345"/>
      <c r="G708" s="1345"/>
      <c r="H708" s="1345"/>
      <c r="I708" s="1345"/>
      <c r="J708" s="1345"/>
      <c r="K708" s="1345"/>
      <c r="L708" s="1345"/>
      <c r="M708" s="1350"/>
      <c r="N708" s="1345"/>
      <c r="O708" s="1345"/>
      <c r="P708" s="1345"/>
      <c r="Q708" s="1345"/>
      <c r="R708" s="1345"/>
      <c r="S708" s="1345"/>
      <c r="T708" s="1345"/>
      <c r="U708" s="1345"/>
    </row>
    <row r="709" spans="1:21">
      <c r="A709" s="1345"/>
      <c r="B709" s="1345"/>
      <c r="C709" s="1345"/>
      <c r="D709" s="1345"/>
      <c r="E709" s="1345"/>
      <c r="F709" s="1345"/>
      <c r="G709" s="1345"/>
      <c r="H709" s="1345"/>
      <c r="I709" s="1345"/>
      <c r="J709" s="1345"/>
      <c r="K709" s="1345"/>
      <c r="L709" s="1345"/>
      <c r="M709" s="1350"/>
      <c r="N709" s="1345"/>
      <c r="O709" s="1345"/>
      <c r="P709" s="1345"/>
      <c r="Q709" s="1345"/>
      <c r="R709" s="1345"/>
      <c r="S709" s="1345"/>
      <c r="T709" s="1345"/>
      <c r="U709" s="1345"/>
    </row>
    <row r="710" spans="1:21">
      <c r="A710" s="1345"/>
      <c r="B710" s="1345"/>
      <c r="C710" s="1345"/>
      <c r="D710" s="1345"/>
      <c r="E710" s="1345"/>
      <c r="F710" s="1345"/>
      <c r="G710" s="1345"/>
      <c r="H710" s="1345"/>
      <c r="I710" s="1345"/>
      <c r="J710" s="1345"/>
      <c r="K710" s="1345"/>
      <c r="L710" s="1345"/>
      <c r="M710" s="1350"/>
      <c r="N710" s="1345"/>
      <c r="O710" s="1345"/>
      <c r="P710" s="1345"/>
      <c r="Q710" s="1345"/>
      <c r="R710" s="1345"/>
      <c r="S710" s="1345"/>
      <c r="T710" s="1345"/>
      <c r="U710" s="1345"/>
    </row>
    <row r="711" spans="1:21">
      <c r="A711" s="1345"/>
      <c r="B711" s="1345"/>
      <c r="C711" s="1345"/>
      <c r="D711" s="1345"/>
      <c r="E711" s="1345"/>
      <c r="F711" s="1345"/>
      <c r="G711" s="1345"/>
      <c r="H711" s="1345"/>
      <c r="I711" s="1345"/>
      <c r="J711" s="1345"/>
      <c r="K711" s="1345"/>
      <c r="L711" s="1345"/>
      <c r="M711" s="1350"/>
      <c r="N711" s="1345"/>
      <c r="O711" s="1345"/>
      <c r="P711" s="1345"/>
      <c r="Q711" s="1345"/>
      <c r="R711" s="1345"/>
      <c r="S711" s="1345"/>
      <c r="T711" s="1345"/>
      <c r="U711" s="1345"/>
    </row>
    <row r="712" spans="1:21">
      <c r="A712" s="1345"/>
      <c r="B712" s="1345"/>
      <c r="C712" s="1345"/>
      <c r="D712" s="1345"/>
      <c r="E712" s="1345"/>
      <c r="F712" s="1345"/>
      <c r="G712" s="1345"/>
      <c r="H712" s="1345"/>
      <c r="I712" s="1345"/>
      <c r="J712" s="1345"/>
      <c r="K712" s="1345"/>
      <c r="L712" s="1345"/>
      <c r="M712" s="1350"/>
      <c r="N712" s="1345"/>
      <c r="O712" s="1345"/>
      <c r="P712" s="1345"/>
      <c r="Q712" s="1345"/>
      <c r="R712" s="1345"/>
      <c r="S712" s="1345"/>
      <c r="T712" s="1345"/>
      <c r="U712" s="1345"/>
    </row>
    <row r="713" spans="1:21">
      <c r="A713" s="1345"/>
      <c r="B713" s="1345"/>
      <c r="C713" s="1345"/>
      <c r="D713" s="1345"/>
      <c r="E713" s="1345"/>
      <c r="F713" s="1345"/>
      <c r="G713" s="1345"/>
      <c r="H713" s="1345"/>
      <c r="I713" s="1345"/>
      <c r="J713" s="1345"/>
      <c r="K713" s="1345"/>
      <c r="L713" s="1345"/>
      <c r="M713" s="1350"/>
      <c r="N713" s="1345"/>
      <c r="O713" s="1345"/>
      <c r="P713" s="1345"/>
      <c r="Q713" s="1345"/>
      <c r="R713" s="1345"/>
      <c r="S713" s="1345"/>
      <c r="T713" s="1345"/>
      <c r="U713" s="1345"/>
    </row>
    <row r="714" spans="1:21">
      <c r="A714" s="1345"/>
      <c r="B714" s="1345"/>
      <c r="C714" s="1345"/>
      <c r="D714" s="1345"/>
      <c r="E714" s="1345"/>
      <c r="F714" s="1345"/>
      <c r="G714" s="1345"/>
      <c r="H714" s="1345"/>
      <c r="I714" s="1345"/>
      <c r="J714" s="1345"/>
      <c r="K714" s="1345"/>
      <c r="L714" s="1345"/>
      <c r="M714" s="1350"/>
      <c r="N714" s="1345"/>
      <c r="O714" s="1345"/>
      <c r="P714" s="1345"/>
      <c r="Q714" s="1345"/>
      <c r="R714" s="1345"/>
      <c r="S714" s="1345"/>
      <c r="T714" s="1345"/>
      <c r="U714" s="1345"/>
    </row>
    <row r="715" spans="1:21">
      <c r="A715" s="1345"/>
      <c r="B715" s="1345"/>
      <c r="C715" s="1345"/>
      <c r="D715" s="1345"/>
      <c r="E715" s="1345"/>
      <c r="F715" s="1345"/>
      <c r="G715" s="1345"/>
      <c r="H715" s="1345"/>
      <c r="I715" s="1345"/>
      <c r="J715" s="1345"/>
      <c r="K715" s="1345"/>
      <c r="L715" s="1345"/>
      <c r="M715" s="1350"/>
      <c r="N715" s="1345"/>
      <c r="O715" s="1345"/>
      <c r="P715" s="1345"/>
      <c r="Q715" s="1345"/>
      <c r="R715" s="1345"/>
      <c r="S715" s="1345"/>
      <c r="T715" s="1345"/>
      <c r="U715" s="1345"/>
    </row>
    <row r="716" spans="1:21">
      <c r="A716" s="1345"/>
      <c r="B716" s="1345"/>
      <c r="C716" s="1345"/>
      <c r="D716" s="1345"/>
      <c r="E716" s="1345"/>
      <c r="F716" s="1345"/>
      <c r="G716" s="1345"/>
      <c r="H716" s="1345"/>
      <c r="I716" s="1345"/>
      <c r="J716" s="1345"/>
      <c r="K716" s="1345"/>
      <c r="L716" s="1345"/>
      <c r="M716" s="1350"/>
      <c r="N716" s="1345"/>
      <c r="O716" s="1345"/>
      <c r="P716" s="1345"/>
      <c r="Q716" s="1345"/>
      <c r="R716" s="1345"/>
      <c r="S716" s="1345"/>
      <c r="T716" s="1345"/>
      <c r="U716" s="1345"/>
    </row>
    <row r="717" spans="1:21">
      <c r="A717" s="1345"/>
      <c r="B717" s="1345"/>
      <c r="C717" s="1345"/>
      <c r="D717" s="1345"/>
      <c r="E717" s="1345"/>
      <c r="F717" s="1345"/>
      <c r="G717" s="1345"/>
      <c r="H717" s="1345"/>
      <c r="I717" s="1345"/>
      <c r="J717" s="1345"/>
      <c r="K717" s="1345"/>
      <c r="L717" s="1345"/>
      <c r="M717" s="1350"/>
      <c r="N717" s="1345"/>
      <c r="O717" s="1345"/>
      <c r="P717" s="1345"/>
      <c r="Q717" s="1345"/>
      <c r="R717" s="1345"/>
      <c r="S717" s="1345"/>
      <c r="T717" s="1345"/>
      <c r="U717" s="1345"/>
    </row>
    <row r="718" spans="1:21">
      <c r="A718" s="1345"/>
      <c r="B718" s="1345"/>
      <c r="C718" s="1345"/>
      <c r="D718" s="1345"/>
      <c r="E718" s="1345"/>
      <c r="F718" s="1345"/>
      <c r="G718" s="1345"/>
      <c r="H718" s="1345"/>
      <c r="I718" s="1345"/>
      <c r="J718" s="1345"/>
      <c r="K718" s="1345"/>
      <c r="L718" s="1345"/>
      <c r="M718" s="1350"/>
      <c r="N718" s="1345"/>
      <c r="O718" s="1345"/>
      <c r="P718" s="1345"/>
      <c r="Q718" s="1345"/>
      <c r="R718" s="1345"/>
      <c r="S718" s="1345"/>
      <c r="T718" s="1345"/>
      <c r="U718" s="1345"/>
    </row>
    <row r="719" spans="1:21">
      <c r="A719" s="1345"/>
      <c r="B719" s="1345"/>
      <c r="C719" s="1345"/>
      <c r="D719" s="1345"/>
      <c r="E719" s="1345"/>
      <c r="F719" s="1345"/>
      <c r="G719" s="1345"/>
      <c r="H719" s="1345"/>
      <c r="I719" s="1345"/>
      <c r="J719" s="1345"/>
      <c r="K719" s="1345"/>
      <c r="L719" s="1345"/>
      <c r="M719" s="1350"/>
      <c r="N719" s="1345"/>
      <c r="O719" s="1345"/>
      <c r="P719" s="1345"/>
      <c r="Q719" s="1345"/>
      <c r="R719" s="1345"/>
      <c r="S719" s="1345"/>
      <c r="T719" s="1345"/>
      <c r="U719" s="1345"/>
    </row>
    <row r="720" spans="1:21">
      <c r="A720" s="1345"/>
      <c r="B720" s="1345"/>
      <c r="C720" s="1345"/>
      <c r="D720" s="1345"/>
      <c r="E720" s="1345"/>
      <c r="F720" s="1345"/>
      <c r="G720" s="1345"/>
      <c r="H720" s="1345"/>
      <c r="I720" s="1345"/>
      <c r="J720" s="1345"/>
      <c r="K720" s="1345"/>
      <c r="L720" s="1345"/>
      <c r="M720" s="1350"/>
      <c r="N720" s="1345"/>
      <c r="O720" s="1345"/>
      <c r="P720" s="1345"/>
      <c r="Q720" s="1345"/>
      <c r="R720" s="1345"/>
      <c r="S720" s="1345"/>
      <c r="T720" s="1345"/>
      <c r="U720" s="1345"/>
    </row>
    <row r="721" spans="1:21">
      <c r="A721" s="1345"/>
      <c r="B721" s="1345"/>
      <c r="C721" s="1345"/>
      <c r="D721" s="1345"/>
      <c r="E721" s="1345"/>
      <c r="F721" s="1345"/>
      <c r="G721" s="1345"/>
      <c r="H721" s="1345"/>
      <c r="I721" s="1345"/>
      <c r="J721" s="1345"/>
      <c r="K721" s="1345"/>
      <c r="L721" s="1345"/>
      <c r="M721" s="1350"/>
      <c r="N721" s="1345"/>
      <c r="O721" s="1345"/>
      <c r="P721" s="1345"/>
      <c r="Q721" s="1345"/>
      <c r="R721" s="1345"/>
      <c r="S721" s="1345"/>
      <c r="T721" s="1345"/>
      <c r="U721" s="1345"/>
    </row>
    <row r="722" spans="1:21">
      <c r="A722" s="1345"/>
      <c r="B722" s="1345"/>
      <c r="C722" s="1345"/>
      <c r="D722" s="1345"/>
      <c r="E722" s="1345"/>
      <c r="F722" s="1345"/>
      <c r="G722" s="1345"/>
      <c r="H722" s="1345"/>
      <c r="I722" s="1345"/>
      <c r="J722" s="1345"/>
      <c r="K722" s="1345"/>
      <c r="L722" s="1345"/>
      <c r="M722" s="1350"/>
      <c r="N722" s="1345"/>
      <c r="O722" s="1345"/>
      <c r="P722" s="1345"/>
      <c r="Q722" s="1345"/>
      <c r="R722" s="1345"/>
      <c r="S722" s="1345"/>
      <c r="T722" s="1345"/>
      <c r="U722" s="1345"/>
    </row>
    <row r="723" spans="1:21">
      <c r="A723" s="1345"/>
      <c r="B723" s="1345"/>
      <c r="C723" s="1345"/>
      <c r="D723" s="1345"/>
      <c r="E723" s="1345"/>
      <c r="F723" s="1345"/>
      <c r="G723" s="1345"/>
      <c r="H723" s="1345"/>
      <c r="I723" s="1345"/>
      <c r="J723" s="1345"/>
      <c r="K723" s="1345"/>
      <c r="L723" s="1345"/>
      <c r="M723" s="1350"/>
      <c r="N723" s="1345"/>
      <c r="O723" s="1345"/>
      <c r="P723" s="1345"/>
      <c r="Q723" s="1345"/>
      <c r="R723" s="1345"/>
      <c r="S723" s="1345"/>
      <c r="T723" s="1345"/>
      <c r="U723" s="1345"/>
    </row>
    <row r="724" spans="1:21">
      <c r="A724" s="1345"/>
      <c r="B724" s="1345"/>
      <c r="C724" s="1345"/>
      <c r="D724" s="1345"/>
      <c r="E724" s="1345"/>
      <c r="F724" s="1345"/>
      <c r="G724" s="1345"/>
      <c r="H724" s="1345"/>
      <c r="I724" s="1345"/>
      <c r="J724" s="1345"/>
      <c r="K724" s="1345"/>
      <c r="L724" s="1345"/>
      <c r="M724" s="1350"/>
      <c r="N724" s="1345"/>
      <c r="O724" s="1345"/>
      <c r="P724" s="1345"/>
      <c r="Q724" s="1345"/>
      <c r="R724" s="1345"/>
      <c r="S724" s="1345"/>
      <c r="T724" s="1345"/>
      <c r="U724" s="1345"/>
    </row>
    <row r="725" spans="1:21">
      <c r="A725" s="1345"/>
      <c r="B725" s="1345"/>
      <c r="C725" s="1345"/>
      <c r="D725" s="1345"/>
      <c r="E725" s="1345"/>
      <c r="F725" s="1345"/>
      <c r="G725" s="1345"/>
      <c r="H725" s="1345"/>
      <c r="I725" s="1345"/>
      <c r="J725" s="1345"/>
      <c r="K725" s="1345"/>
      <c r="L725" s="1345"/>
      <c r="M725" s="1350"/>
      <c r="N725" s="1345"/>
      <c r="O725" s="1345"/>
      <c r="P725" s="1345"/>
      <c r="Q725" s="1345"/>
      <c r="R725" s="1345"/>
      <c r="S725" s="1345"/>
      <c r="T725" s="1345"/>
      <c r="U725" s="1345"/>
    </row>
    <row r="726" spans="1:21">
      <c r="A726" s="1345"/>
      <c r="B726" s="1345"/>
      <c r="C726" s="1345"/>
      <c r="D726" s="1345"/>
      <c r="E726" s="1345"/>
      <c r="F726" s="1345"/>
      <c r="G726" s="1345"/>
      <c r="H726" s="1345"/>
      <c r="I726" s="1345"/>
      <c r="J726" s="1345"/>
      <c r="K726" s="1345"/>
      <c r="L726" s="1345"/>
      <c r="M726" s="1350"/>
      <c r="N726" s="1345"/>
      <c r="O726" s="1345"/>
      <c r="P726" s="1345"/>
      <c r="Q726" s="1345"/>
      <c r="R726" s="1345"/>
      <c r="S726" s="1345"/>
      <c r="T726" s="1345"/>
      <c r="U726" s="1345"/>
    </row>
    <row r="727" spans="1:21">
      <c r="A727" s="1345"/>
      <c r="B727" s="1345"/>
      <c r="C727" s="1345"/>
      <c r="D727" s="1345"/>
      <c r="E727" s="1345"/>
      <c r="F727" s="1345"/>
      <c r="G727" s="1345"/>
      <c r="H727" s="1345"/>
      <c r="I727" s="1345"/>
      <c r="J727" s="1345"/>
      <c r="K727" s="1345"/>
      <c r="L727" s="1345"/>
      <c r="M727" s="1350"/>
      <c r="N727" s="1345"/>
      <c r="O727" s="1345"/>
      <c r="P727" s="1345"/>
      <c r="Q727" s="1345"/>
      <c r="R727" s="1345"/>
      <c r="S727" s="1345"/>
      <c r="T727" s="1345"/>
      <c r="U727" s="1345"/>
    </row>
    <row r="728" spans="1:21">
      <c r="A728" s="1345"/>
      <c r="B728" s="1345"/>
      <c r="C728" s="1345"/>
      <c r="D728" s="1345"/>
      <c r="E728" s="1345"/>
      <c r="F728" s="1345"/>
      <c r="G728" s="1345"/>
      <c r="H728" s="1345"/>
      <c r="I728" s="1345"/>
      <c r="J728" s="1345"/>
      <c r="K728" s="1345"/>
      <c r="L728" s="1345"/>
      <c r="M728" s="1350"/>
      <c r="N728" s="1345"/>
      <c r="O728" s="1345"/>
      <c r="P728" s="1345"/>
      <c r="Q728" s="1345"/>
      <c r="R728" s="1345"/>
      <c r="S728" s="1345"/>
      <c r="T728" s="1345"/>
      <c r="U728" s="1345"/>
    </row>
    <row r="729" spans="1:21">
      <c r="A729" s="1345"/>
      <c r="B729" s="1345"/>
      <c r="C729" s="1345"/>
      <c r="D729" s="1345"/>
      <c r="E729" s="1345"/>
      <c r="F729" s="1345"/>
      <c r="G729" s="1345"/>
      <c r="H729" s="1345"/>
      <c r="I729" s="1345"/>
      <c r="J729" s="1345"/>
      <c r="K729" s="1345"/>
      <c r="L729" s="1345"/>
      <c r="M729" s="1350"/>
      <c r="N729" s="1345"/>
      <c r="O729" s="1345"/>
      <c r="P729" s="1345"/>
      <c r="Q729" s="1345"/>
      <c r="R729" s="1345"/>
      <c r="S729" s="1345"/>
      <c r="T729" s="1345"/>
      <c r="U729" s="1345"/>
    </row>
    <row r="730" spans="1:21">
      <c r="A730" s="1345"/>
      <c r="B730" s="1345"/>
      <c r="C730" s="1345"/>
      <c r="D730" s="1345"/>
      <c r="E730" s="1345"/>
      <c r="F730" s="1345"/>
      <c r="G730" s="1345"/>
      <c r="H730" s="1345"/>
      <c r="I730" s="1345"/>
      <c r="J730" s="1345"/>
      <c r="K730" s="1345"/>
      <c r="L730" s="1345"/>
      <c r="M730" s="1350"/>
      <c r="N730" s="1345"/>
      <c r="O730" s="1345"/>
      <c r="P730" s="1345"/>
      <c r="Q730" s="1345"/>
      <c r="R730" s="1345"/>
      <c r="S730" s="1345"/>
      <c r="T730" s="1345"/>
      <c r="U730" s="1345"/>
    </row>
    <row r="731" spans="1:21">
      <c r="A731" s="1345"/>
      <c r="B731" s="1345"/>
      <c r="C731" s="1345"/>
      <c r="D731" s="1345"/>
      <c r="E731" s="1345"/>
      <c r="F731" s="1345"/>
      <c r="G731" s="1345"/>
      <c r="H731" s="1345"/>
      <c r="I731" s="1345"/>
      <c r="J731" s="1345"/>
      <c r="K731" s="1345"/>
      <c r="L731" s="1345"/>
      <c r="M731" s="1350"/>
      <c r="N731" s="1345"/>
      <c r="O731" s="1345"/>
      <c r="P731" s="1345"/>
      <c r="Q731" s="1345"/>
      <c r="R731" s="1345"/>
      <c r="S731" s="1345"/>
      <c r="T731" s="1345"/>
      <c r="U731" s="1345"/>
    </row>
    <row r="732" spans="1:21">
      <c r="A732" s="1345"/>
      <c r="B732" s="1345"/>
      <c r="C732" s="1345"/>
      <c r="D732" s="1345"/>
      <c r="E732" s="1345"/>
      <c r="F732" s="1345"/>
      <c r="G732" s="1345"/>
      <c r="H732" s="1345"/>
      <c r="I732" s="1345"/>
      <c r="J732" s="1345"/>
      <c r="K732" s="1345"/>
      <c r="L732" s="1345"/>
      <c r="M732" s="1350"/>
      <c r="N732" s="1345"/>
      <c r="O732" s="1345"/>
      <c r="P732" s="1345"/>
      <c r="Q732" s="1345"/>
      <c r="R732" s="1345"/>
      <c r="S732" s="1345"/>
      <c r="T732" s="1345"/>
      <c r="U732" s="1345"/>
    </row>
    <row r="733" spans="1:21">
      <c r="A733" s="1345"/>
      <c r="B733" s="1345"/>
      <c r="C733" s="1345"/>
      <c r="D733" s="1345"/>
      <c r="E733" s="1345"/>
      <c r="F733" s="1345"/>
      <c r="G733" s="1345"/>
      <c r="H733" s="1345"/>
      <c r="I733" s="1345"/>
      <c r="J733" s="1345"/>
      <c r="K733" s="1345"/>
      <c r="L733" s="1345"/>
      <c r="M733" s="1350"/>
      <c r="N733" s="1345"/>
      <c r="O733" s="1345"/>
      <c r="P733" s="1345"/>
      <c r="Q733" s="1345"/>
      <c r="R733" s="1345"/>
      <c r="S733" s="1345"/>
      <c r="T733" s="1345"/>
      <c r="U733" s="1345"/>
    </row>
    <row r="734" spans="1:21">
      <c r="A734" s="1345"/>
      <c r="B734" s="1345"/>
      <c r="C734" s="1345"/>
      <c r="D734" s="1345"/>
      <c r="E734" s="1345"/>
      <c r="F734" s="1345"/>
      <c r="G734" s="1345"/>
      <c r="H734" s="1345"/>
      <c r="I734" s="1345"/>
      <c r="J734" s="1345"/>
      <c r="K734" s="1345"/>
      <c r="L734" s="1345"/>
      <c r="M734" s="1350"/>
      <c r="N734" s="1345"/>
      <c r="O734" s="1345"/>
      <c r="P734" s="1345"/>
      <c r="Q734" s="1345"/>
      <c r="R734" s="1345"/>
      <c r="S734" s="1345"/>
      <c r="T734" s="1345"/>
      <c r="U734" s="1345"/>
    </row>
    <row r="735" spans="1:21">
      <c r="A735" s="1345"/>
      <c r="B735" s="1345"/>
      <c r="C735" s="1345"/>
      <c r="D735" s="1345"/>
      <c r="E735" s="1345"/>
      <c r="F735" s="1345"/>
      <c r="G735" s="1345"/>
      <c r="H735" s="1345"/>
      <c r="I735" s="1345"/>
      <c r="J735" s="1345"/>
      <c r="K735" s="1345"/>
      <c r="L735" s="1345"/>
      <c r="M735" s="1350"/>
      <c r="N735" s="1345"/>
      <c r="O735" s="1345"/>
      <c r="P735" s="1345"/>
      <c r="Q735" s="1345"/>
      <c r="R735" s="1345"/>
      <c r="S735" s="1345"/>
      <c r="T735" s="1345"/>
      <c r="U735" s="1345"/>
    </row>
    <row r="736" spans="1:21">
      <c r="A736" s="1345"/>
      <c r="B736" s="1345"/>
      <c r="C736" s="1345"/>
      <c r="D736" s="1345"/>
      <c r="E736" s="1345"/>
      <c r="F736" s="1345"/>
      <c r="G736" s="1345"/>
      <c r="H736" s="1345"/>
      <c r="I736" s="1345"/>
      <c r="J736" s="1345"/>
      <c r="K736" s="1345"/>
      <c r="L736" s="1345"/>
      <c r="M736" s="1350"/>
      <c r="N736" s="1345"/>
      <c r="O736" s="1345"/>
      <c r="P736" s="1345"/>
      <c r="Q736" s="1345"/>
      <c r="R736" s="1345"/>
      <c r="S736" s="1345"/>
      <c r="T736" s="1345"/>
      <c r="U736" s="1345"/>
    </row>
    <row r="737" spans="1:21">
      <c r="A737" s="1345"/>
      <c r="B737" s="1345"/>
      <c r="C737" s="1345"/>
      <c r="D737" s="1345"/>
      <c r="E737" s="1345"/>
      <c r="F737" s="1345"/>
      <c r="G737" s="1345"/>
      <c r="H737" s="1345"/>
      <c r="I737" s="1345"/>
      <c r="J737" s="1345"/>
      <c r="K737" s="1345"/>
      <c r="L737" s="1345"/>
      <c r="M737" s="1350"/>
      <c r="N737" s="1345"/>
      <c r="O737" s="1345"/>
      <c r="P737" s="1345"/>
      <c r="Q737" s="1345"/>
      <c r="R737" s="1345"/>
      <c r="S737" s="1345"/>
      <c r="T737" s="1345"/>
      <c r="U737" s="1345"/>
    </row>
    <row r="738" spans="1:21">
      <c r="A738" s="1345"/>
      <c r="B738" s="1345"/>
      <c r="C738" s="1345"/>
      <c r="D738" s="1345"/>
      <c r="E738" s="1345"/>
      <c r="F738" s="1345"/>
      <c r="G738" s="1345"/>
      <c r="H738" s="1345"/>
      <c r="I738" s="1345"/>
      <c r="J738" s="1345"/>
      <c r="K738" s="1345"/>
      <c r="L738" s="1345"/>
      <c r="M738" s="1350"/>
      <c r="N738" s="1345"/>
      <c r="O738" s="1345"/>
      <c r="P738" s="1345"/>
      <c r="Q738" s="1345"/>
      <c r="R738" s="1345"/>
      <c r="S738" s="1345"/>
      <c r="T738" s="1345"/>
      <c r="U738" s="1345"/>
    </row>
    <row r="739" spans="1:21">
      <c r="A739" s="1345"/>
      <c r="B739" s="1345"/>
      <c r="C739" s="1345"/>
      <c r="D739" s="1345"/>
      <c r="E739" s="1345"/>
      <c r="F739" s="1345"/>
      <c r="G739" s="1345"/>
      <c r="H739" s="1345"/>
      <c r="I739" s="1345"/>
      <c r="J739" s="1345"/>
      <c r="K739" s="1345"/>
      <c r="L739" s="1345"/>
      <c r="M739" s="1350"/>
      <c r="N739" s="1345"/>
      <c r="O739" s="1345"/>
      <c r="P739" s="1345"/>
      <c r="Q739" s="1345"/>
      <c r="R739" s="1345"/>
      <c r="S739" s="1345"/>
      <c r="T739" s="1345"/>
      <c r="U739" s="1345"/>
    </row>
    <row r="740" spans="1:21">
      <c r="A740" s="1345"/>
      <c r="B740" s="1345"/>
      <c r="C740" s="1345"/>
      <c r="D740" s="1345"/>
      <c r="E740" s="1345"/>
      <c r="F740" s="1345"/>
      <c r="G740" s="1345"/>
      <c r="H740" s="1345"/>
      <c r="I740" s="1345"/>
      <c r="J740" s="1345"/>
      <c r="K740" s="1345"/>
      <c r="L740" s="1345"/>
      <c r="M740" s="1350"/>
      <c r="N740" s="1345"/>
      <c r="O740" s="1345"/>
      <c r="P740" s="1345"/>
      <c r="Q740" s="1345"/>
      <c r="R740" s="1345"/>
      <c r="S740" s="1345"/>
      <c r="T740" s="1345"/>
      <c r="U740" s="1345"/>
    </row>
    <row r="741" spans="1:21">
      <c r="A741" s="1345"/>
      <c r="B741" s="1345"/>
      <c r="C741" s="1345"/>
      <c r="D741" s="1345"/>
      <c r="E741" s="1345"/>
      <c r="F741" s="1345"/>
      <c r="G741" s="1345"/>
      <c r="H741" s="1345"/>
      <c r="I741" s="1345"/>
      <c r="J741" s="1345"/>
      <c r="K741" s="1345"/>
      <c r="L741" s="1345"/>
      <c r="M741" s="1350"/>
      <c r="N741" s="1345"/>
      <c r="O741" s="1345"/>
      <c r="P741" s="1345"/>
      <c r="Q741" s="1345"/>
      <c r="R741" s="1345"/>
      <c r="S741" s="1345"/>
      <c r="T741" s="1345"/>
      <c r="U741" s="1345"/>
    </row>
    <row r="742" spans="1:21">
      <c r="A742" s="1345"/>
      <c r="B742" s="1345"/>
      <c r="C742" s="1345"/>
      <c r="D742" s="1345"/>
      <c r="E742" s="1345"/>
      <c r="F742" s="1345"/>
      <c r="G742" s="1345"/>
      <c r="H742" s="1345"/>
      <c r="I742" s="1345"/>
      <c r="J742" s="1345"/>
      <c r="K742" s="1345"/>
      <c r="L742" s="1345"/>
      <c r="M742" s="1350"/>
      <c r="N742" s="1345"/>
      <c r="O742" s="1345"/>
      <c r="P742" s="1345"/>
      <c r="Q742" s="1345"/>
      <c r="R742" s="1345"/>
      <c r="S742" s="1345"/>
      <c r="T742" s="1345"/>
      <c r="U742" s="1345"/>
    </row>
    <row r="743" spans="1:21">
      <c r="A743" s="1345"/>
      <c r="B743" s="1345"/>
      <c r="C743" s="1345"/>
      <c r="D743" s="1345"/>
      <c r="E743" s="1345"/>
      <c r="F743" s="1345"/>
      <c r="G743" s="1345"/>
      <c r="H743" s="1345"/>
      <c r="I743" s="1345"/>
      <c r="J743" s="1345"/>
      <c r="K743" s="1345"/>
      <c r="L743" s="1345"/>
      <c r="M743" s="1350"/>
      <c r="N743" s="1345"/>
      <c r="O743" s="1345"/>
      <c r="P743" s="1345"/>
      <c r="Q743" s="1345"/>
      <c r="R743" s="1345"/>
      <c r="S743" s="1345"/>
      <c r="T743" s="1345"/>
      <c r="U743" s="1345"/>
    </row>
    <row r="744" spans="1:21">
      <c r="A744" s="1345"/>
      <c r="B744" s="1345"/>
      <c r="C744" s="1345"/>
      <c r="D744" s="1345"/>
      <c r="E744" s="1345"/>
      <c r="F744" s="1345"/>
      <c r="G744" s="1345"/>
      <c r="H744" s="1345"/>
      <c r="I744" s="1345"/>
      <c r="J744" s="1345"/>
      <c r="K744" s="1345"/>
      <c r="L744" s="1345"/>
      <c r="M744" s="1350"/>
      <c r="N744" s="1345"/>
      <c r="O744" s="1345"/>
      <c r="P744" s="1345"/>
      <c r="Q744" s="1345"/>
      <c r="R744" s="1345"/>
      <c r="S744" s="1345"/>
      <c r="T744" s="1345"/>
      <c r="U744" s="1345"/>
    </row>
    <row r="745" spans="1:21">
      <c r="A745" s="1345"/>
      <c r="B745" s="1345"/>
      <c r="C745" s="1345"/>
      <c r="D745" s="1345"/>
      <c r="E745" s="1345"/>
      <c r="F745" s="1345"/>
      <c r="G745" s="1345"/>
      <c r="H745" s="1345"/>
      <c r="I745" s="1345"/>
      <c r="J745" s="1345"/>
      <c r="K745" s="1345"/>
      <c r="L745" s="1345"/>
      <c r="M745" s="1350"/>
      <c r="N745" s="1345"/>
      <c r="O745" s="1345"/>
      <c r="P745" s="1345"/>
      <c r="Q745" s="1345"/>
      <c r="R745" s="1345"/>
      <c r="S745" s="1345"/>
      <c r="T745" s="1345"/>
      <c r="U745" s="1345"/>
    </row>
    <row r="746" spans="1:21">
      <c r="A746" s="1345"/>
      <c r="B746" s="1345"/>
      <c r="C746" s="1345"/>
      <c r="D746" s="1345"/>
      <c r="E746" s="1345"/>
      <c r="F746" s="1345"/>
      <c r="G746" s="1345"/>
      <c r="H746" s="1345"/>
      <c r="I746" s="1345"/>
      <c r="J746" s="1345"/>
      <c r="K746" s="1345"/>
      <c r="L746" s="1345"/>
      <c r="M746" s="1350"/>
      <c r="N746" s="1345"/>
      <c r="O746" s="1345"/>
      <c r="P746" s="1345"/>
      <c r="Q746" s="1345"/>
      <c r="R746" s="1345"/>
      <c r="S746" s="1345"/>
      <c r="T746" s="1345"/>
      <c r="U746" s="1345"/>
    </row>
    <row r="747" spans="1:21">
      <c r="A747" s="1345"/>
      <c r="B747" s="1345"/>
      <c r="C747" s="1345"/>
      <c r="D747" s="1345"/>
      <c r="E747" s="1345"/>
      <c r="F747" s="1345"/>
      <c r="G747" s="1345"/>
      <c r="H747" s="1345"/>
      <c r="I747" s="1345"/>
      <c r="J747" s="1345"/>
      <c r="K747" s="1345"/>
      <c r="L747" s="1345"/>
      <c r="M747" s="1350"/>
      <c r="N747" s="1345"/>
      <c r="O747" s="1345"/>
      <c r="P747" s="1345"/>
      <c r="Q747" s="1345"/>
      <c r="R747" s="1345"/>
      <c r="S747" s="1345"/>
      <c r="T747" s="1345"/>
      <c r="U747" s="1345"/>
    </row>
    <row r="748" spans="1:21">
      <c r="A748" s="1345"/>
      <c r="B748" s="1345"/>
      <c r="C748" s="1345"/>
      <c r="D748" s="1345"/>
      <c r="E748" s="1345"/>
      <c r="F748" s="1345"/>
      <c r="G748" s="1345"/>
      <c r="H748" s="1345"/>
      <c r="I748" s="1345"/>
      <c r="J748" s="1345"/>
      <c r="K748" s="1345"/>
      <c r="L748" s="1345"/>
      <c r="M748" s="1350"/>
      <c r="N748" s="1345"/>
      <c r="O748" s="1345"/>
      <c r="P748" s="1345"/>
      <c r="Q748" s="1345"/>
      <c r="R748" s="1345"/>
      <c r="S748" s="1345"/>
      <c r="T748" s="1345"/>
      <c r="U748" s="1345"/>
    </row>
    <row r="749" spans="1:21">
      <c r="A749" s="1345"/>
      <c r="B749" s="1345"/>
      <c r="C749" s="1345"/>
      <c r="D749" s="1345"/>
      <c r="E749" s="1345"/>
      <c r="F749" s="1345"/>
      <c r="G749" s="1345"/>
      <c r="H749" s="1345"/>
      <c r="I749" s="1345"/>
      <c r="J749" s="1345"/>
      <c r="K749" s="1345"/>
      <c r="L749" s="1345"/>
      <c r="M749" s="1350"/>
      <c r="N749" s="1345"/>
      <c r="O749" s="1345"/>
      <c r="P749" s="1345"/>
      <c r="Q749" s="1345"/>
      <c r="R749" s="1345"/>
      <c r="S749" s="1345"/>
      <c r="T749" s="1345"/>
      <c r="U749" s="1345"/>
    </row>
    <row r="750" spans="1:21">
      <c r="A750" s="1345"/>
      <c r="B750" s="1345"/>
      <c r="C750" s="1345"/>
      <c r="D750" s="1345"/>
      <c r="E750" s="1345"/>
      <c r="F750" s="1345"/>
      <c r="G750" s="1345"/>
      <c r="H750" s="1345"/>
      <c r="I750" s="1345"/>
      <c r="J750" s="1345"/>
      <c r="K750" s="1345"/>
      <c r="L750" s="1345"/>
      <c r="M750" s="1350"/>
      <c r="N750" s="1345"/>
      <c r="O750" s="1345"/>
      <c r="P750" s="1345"/>
      <c r="Q750" s="1345"/>
      <c r="R750" s="1345"/>
      <c r="S750" s="1345"/>
      <c r="T750" s="1345"/>
      <c r="U750" s="1345"/>
    </row>
    <row r="751" spans="1:21">
      <c r="A751" s="1345"/>
      <c r="B751" s="1345"/>
      <c r="C751" s="1345"/>
      <c r="D751" s="1345"/>
      <c r="E751" s="1345"/>
      <c r="F751" s="1345"/>
      <c r="G751" s="1345"/>
      <c r="H751" s="1345"/>
      <c r="I751" s="1345"/>
      <c r="J751" s="1345"/>
      <c r="K751" s="1345"/>
      <c r="L751" s="1345"/>
      <c r="M751" s="1350"/>
      <c r="N751" s="1345"/>
      <c r="O751" s="1345"/>
      <c r="P751" s="1345"/>
      <c r="Q751" s="1345"/>
      <c r="R751" s="1345"/>
      <c r="S751" s="1345"/>
      <c r="T751" s="1345"/>
      <c r="U751" s="1345"/>
    </row>
    <row r="752" spans="1:21">
      <c r="A752" s="1345"/>
      <c r="B752" s="1345"/>
      <c r="C752" s="1345"/>
      <c r="D752" s="1345"/>
      <c r="E752" s="1345"/>
      <c r="F752" s="1345"/>
      <c r="G752" s="1345"/>
      <c r="H752" s="1345"/>
      <c r="I752" s="1345"/>
      <c r="J752" s="1345"/>
      <c r="K752" s="1345"/>
      <c r="L752" s="1345"/>
      <c r="M752" s="1350"/>
      <c r="N752" s="1345"/>
      <c r="O752" s="1345"/>
      <c r="P752" s="1345"/>
      <c r="Q752" s="1345"/>
      <c r="R752" s="1345"/>
      <c r="S752" s="1345"/>
      <c r="T752" s="1345"/>
      <c r="U752" s="1345"/>
    </row>
    <row r="753" spans="1:21">
      <c r="A753" s="1345"/>
      <c r="B753" s="1345"/>
      <c r="C753" s="1345"/>
      <c r="D753" s="1345"/>
      <c r="E753" s="1345"/>
      <c r="F753" s="1345"/>
      <c r="G753" s="1345"/>
      <c r="H753" s="1345"/>
      <c r="I753" s="1345"/>
      <c r="J753" s="1345"/>
      <c r="K753" s="1345"/>
      <c r="L753" s="1345"/>
      <c r="M753" s="1350"/>
      <c r="N753" s="1345"/>
      <c r="O753" s="1345"/>
      <c r="P753" s="1345"/>
      <c r="Q753" s="1345"/>
      <c r="R753" s="1345"/>
      <c r="S753" s="1345"/>
      <c r="T753" s="1345"/>
      <c r="U753" s="1345"/>
    </row>
    <row r="754" spans="1:21">
      <c r="A754" s="1345"/>
      <c r="B754" s="1345"/>
      <c r="C754" s="1345"/>
      <c r="D754" s="1345"/>
      <c r="E754" s="1345"/>
      <c r="F754" s="1345"/>
      <c r="G754" s="1345"/>
      <c r="H754" s="1345"/>
      <c r="I754" s="1345"/>
      <c r="J754" s="1345"/>
      <c r="K754" s="1345"/>
      <c r="L754" s="1345"/>
      <c r="M754" s="1350"/>
      <c r="N754" s="1345"/>
      <c r="O754" s="1345"/>
      <c r="P754" s="1345"/>
      <c r="Q754" s="1345"/>
      <c r="R754" s="1345"/>
      <c r="S754" s="1345"/>
      <c r="T754" s="1345"/>
      <c r="U754" s="1345"/>
    </row>
    <row r="755" spans="1:21">
      <c r="A755" s="1345"/>
      <c r="B755" s="1345"/>
      <c r="C755" s="1345"/>
      <c r="D755" s="1345"/>
      <c r="E755" s="1345"/>
      <c r="F755" s="1345"/>
      <c r="G755" s="1345"/>
      <c r="H755" s="1345"/>
      <c r="I755" s="1345"/>
      <c r="J755" s="1345"/>
      <c r="K755" s="1345"/>
      <c r="L755" s="1345"/>
      <c r="M755" s="1350"/>
      <c r="N755" s="1345"/>
      <c r="O755" s="1345"/>
      <c r="P755" s="1345"/>
      <c r="Q755" s="1345"/>
      <c r="R755" s="1345"/>
      <c r="S755" s="1345"/>
      <c r="T755" s="1345"/>
      <c r="U755" s="1345"/>
    </row>
    <row r="756" spans="1:21">
      <c r="A756" s="1345"/>
      <c r="B756" s="1345"/>
      <c r="C756" s="1345"/>
      <c r="D756" s="1345"/>
      <c r="E756" s="1345"/>
      <c r="F756" s="1345"/>
      <c r="G756" s="1345"/>
      <c r="H756" s="1345"/>
      <c r="I756" s="1345"/>
      <c r="J756" s="1345"/>
      <c r="K756" s="1345"/>
      <c r="L756" s="1345"/>
      <c r="M756" s="1350"/>
      <c r="N756" s="1345"/>
      <c r="O756" s="1345"/>
      <c r="P756" s="1345"/>
      <c r="Q756" s="1345"/>
      <c r="R756" s="1345"/>
      <c r="S756" s="1345"/>
      <c r="T756" s="1345"/>
      <c r="U756" s="1345"/>
    </row>
    <row r="757" spans="1:21">
      <c r="A757" s="1345"/>
      <c r="B757" s="1345"/>
      <c r="C757" s="1345"/>
      <c r="D757" s="1345"/>
      <c r="E757" s="1345"/>
      <c r="F757" s="1345"/>
      <c r="G757" s="1345"/>
      <c r="H757" s="1345"/>
      <c r="I757" s="1345"/>
      <c r="J757" s="1345"/>
      <c r="K757" s="1345"/>
      <c r="L757" s="1345"/>
      <c r="M757" s="1350"/>
      <c r="N757" s="1345"/>
      <c r="O757" s="1345"/>
      <c r="P757" s="1345"/>
      <c r="Q757" s="1345"/>
      <c r="R757" s="1345"/>
      <c r="S757" s="1345"/>
      <c r="T757" s="1345"/>
      <c r="U757" s="1345"/>
    </row>
    <row r="758" spans="1:21">
      <c r="A758" s="1345"/>
      <c r="B758" s="1345"/>
      <c r="C758" s="1345"/>
      <c r="D758" s="1345"/>
      <c r="E758" s="1345"/>
      <c r="F758" s="1345"/>
      <c r="G758" s="1345"/>
      <c r="H758" s="1345"/>
      <c r="I758" s="1345"/>
      <c r="J758" s="1345"/>
      <c r="K758" s="1345"/>
      <c r="L758" s="1345"/>
      <c r="M758" s="1350"/>
      <c r="N758" s="1345"/>
      <c r="O758" s="1345"/>
      <c r="P758" s="1345"/>
      <c r="Q758" s="1345"/>
      <c r="R758" s="1345"/>
      <c r="S758" s="1345"/>
      <c r="T758" s="1345"/>
      <c r="U758" s="1345"/>
    </row>
    <row r="759" spans="1:21">
      <c r="A759" s="1345"/>
      <c r="B759" s="1345"/>
      <c r="C759" s="1345"/>
      <c r="D759" s="1345"/>
      <c r="E759" s="1345"/>
      <c r="F759" s="1345"/>
      <c r="G759" s="1345"/>
      <c r="H759" s="1345"/>
      <c r="I759" s="1345"/>
      <c r="J759" s="1345"/>
      <c r="K759" s="1345"/>
      <c r="L759" s="1345"/>
      <c r="M759" s="1350"/>
      <c r="N759" s="1345"/>
      <c r="O759" s="1345"/>
      <c r="P759" s="1345"/>
      <c r="Q759" s="1345"/>
      <c r="R759" s="1345"/>
      <c r="S759" s="1345"/>
      <c r="T759" s="1345"/>
      <c r="U759" s="1345"/>
    </row>
    <row r="760" spans="1:21">
      <c r="A760" s="1345"/>
      <c r="B760" s="1345"/>
      <c r="C760" s="1345"/>
      <c r="D760" s="1345"/>
      <c r="E760" s="1345"/>
      <c r="F760" s="1345"/>
      <c r="G760" s="1345"/>
      <c r="H760" s="1345"/>
      <c r="I760" s="1345"/>
      <c r="J760" s="1345"/>
      <c r="K760" s="1345"/>
      <c r="L760" s="1345"/>
      <c r="M760" s="1350"/>
      <c r="N760" s="1345"/>
      <c r="O760" s="1345"/>
      <c r="P760" s="1345"/>
      <c r="Q760" s="1345"/>
      <c r="R760" s="1345"/>
      <c r="S760" s="1345"/>
      <c r="T760" s="1345"/>
      <c r="U760" s="1345"/>
    </row>
    <row r="761" spans="1:21">
      <c r="A761" s="1345"/>
      <c r="B761" s="1345"/>
      <c r="C761" s="1345"/>
      <c r="D761" s="1345"/>
      <c r="E761" s="1345"/>
      <c r="F761" s="1345"/>
      <c r="G761" s="1345"/>
      <c r="H761" s="1345"/>
      <c r="I761" s="1345"/>
      <c r="J761" s="1345"/>
      <c r="K761" s="1345"/>
      <c r="L761" s="1345"/>
      <c r="M761" s="1350"/>
      <c r="N761" s="1345"/>
      <c r="O761" s="1345"/>
      <c r="P761" s="1345"/>
      <c r="Q761" s="1345"/>
      <c r="R761" s="1345"/>
      <c r="S761" s="1345"/>
      <c r="T761" s="1345"/>
      <c r="U761" s="1345"/>
    </row>
    <row r="762" spans="1:21">
      <c r="A762" s="1345"/>
      <c r="B762" s="1345"/>
      <c r="C762" s="1345"/>
      <c r="D762" s="1345"/>
      <c r="E762" s="1345"/>
      <c r="F762" s="1345"/>
      <c r="G762" s="1345"/>
      <c r="H762" s="1345"/>
      <c r="I762" s="1345"/>
      <c r="J762" s="1345"/>
      <c r="K762" s="1345"/>
      <c r="L762" s="1345"/>
      <c r="M762" s="1350"/>
      <c r="N762" s="1345"/>
      <c r="O762" s="1345"/>
      <c r="P762" s="1345"/>
      <c r="Q762" s="1345"/>
      <c r="R762" s="1345"/>
      <c r="S762" s="1345"/>
      <c r="T762" s="1345"/>
      <c r="U762" s="1345"/>
    </row>
    <row r="763" spans="1:21">
      <c r="A763" s="1345"/>
      <c r="B763" s="1345"/>
      <c r="C763" s="1345"/>
      <c r="D763" s="1345"/>
      <c r="E763" s="1345"/>
      <c r="F763" s="1345"/>
      <c r="G763" s="1345"/>
      <c r="H763" s="1345"/>
      <c r="I763" s="1345"/>
      <c r="J763" s="1345"/>
      <c r="K763" s="1345"/>
      <c r="L763" s="1345"/>
      <c r="M763" s="1350"/>
      <c r="N763" s="1345"/>
      <c r="O763" s="1345"/>
      <c r="P763" s="1345"/>
      <c r="Q763" s="1345"/>
      <c r="R763" s="1345"/>
      <c r="S763" s="1345"/>
      <c r="T763" s="1345"/>
      <c r="U763" s="1345"/>
    </row>
    <row r="764" spans="1:21">
      <c r="A764" s="1345"/>
      <c r="B764" s="1345"/>
      <c r="C764" s="1345"/>
      <c r="D764" s="1345"/>
      <c r="E764" s="1345"/>
      <c r="F764" s="1345"/>
      <c r="G764" s="1345"/>
      <c r="H764" s="1345"/>
      <c r="I764" s="1345"/>
      <c r="J764" s="1345"/>
      <c r="K764" s="1345"/>
      <c r="L764" s="1345"/>
      <c r="M764" s="1350"/>
      <c r="N764" s="1345"/>
      <c r="O764" s="1345"/>
      <c r="P764" s="1345"/>
      <c r="Q764" s="1345"/>
      <c r="R764" s="1345"/>
      <c r="S764" s="1345"/>
      <c r="T764" s="1345"/>
      <c r="U764" s="1345"/>
    </row>
    <row r="765" spans="1:21">
      <c r="A765" s="1345"/>
      <c r="B765" s="1345"/>
      <c r="C765" s="1345"/>
      <c r="D765" s="1345"/>
      <c r="E765" s="1345"/>
      <c r="F765" s="1345"/>
      <c r="G765" s="1345"/>
      <c r="H765" s="1345"/>
      <c r="I765" s="1345"/>
      <c r="J765" s="1345"/>
      <c r="K765" s="1345"/>
      <c r="L765" s="1345"/>
      <c r="M765" s="1350"/>
      <c r="N765" s="1345"/>
      <c r="O765" s="1345"/>
      <c r="P765" s="1345"/>
      <c r="Q765" s="1345"/>
      <c r="R765" s="1345"/>
      <c r="S765" s="1345"/>
      <c r="T765" s="1345"/>
      <c r="U765" s="1345"/>
    </row>
    <row r="766" spans="1:21">
      <c r="A766" s="1345"/>
      <c r="B766" s="1345"/>
      <c r="C766" s="1345"/>
      <c r="D766" s="1345"/>
      <c r="E766" s="1345"/>
      <c r="F766" s="1345"/>
      <c r="G766" s="1345"/>
      <c r="H766" s="1345"/>
      <c r="I766" s="1345"/>
      <c r="J766" s="1345"/>
      <c r="K766" s="1345"/>
      <c r="L766" s="1345"/>
      <c r="M766" s="1350"/>
      <c r="N766" s="1345"/>
      <c r="O766" s="1345"/>
      <c r="P766" s="1345"/>
      <c r="Q766" s="1345"/>
      <c r="R766" s="1345"/>
      <c r="S766" s="1345"/>
      <c r="T766" s="1345"/>
      <c r="U766" s="1345"/>
    </row>
    <row r="767" spans="1:21">
      <c r="A767" s="1345"/>
      <c r="B767" s="1345"/>
      <c r="C767" s="1345"/>
      <c r="D767" s="1345"/>
      <c r="E767" s="1345"/>
      <c r="F767" s="1345"/>
      <c r="G767" s="1345"/>
      <c r="H767" s="1345"/>
      <c r="I767" s="1345"/>
      <c r="J767" s="1345"/>
      <c r="K767" s="1345"/>
      <c r="L767" s="1345"/>
      <c r="M767" s="1350"/>
      <c r="N767" s="1345"/>
      <c r="O767" s="1345"/>
      <c r="P767" s="1345"/>
      <c r="Q767" s="1345"/>
      <c r="R767" s="1345"/>
      <c r="S767" s="1345"/>
      <c r="T767" s="1345"/>
      <c r="U767" s="1345"/>
    </row>
    <row r="768" spans="1:21">
      <c r="A768" s="1345"/>
      <c r="B768" s="1345"/>
      <c r="C768" s="1345"/>
      <c r="D768" s="1345"/>
      <c r="E768" s="1345"/>
      <c r="F768" s="1345"/>
      <c r="G768" s="1345"/>
      <c r="H768" s="1345"/>
      <c r="I768" s="1345"/>
      <c r="J768" s="1345"/>
      <c r="K768" s="1345"/>
      <c r="L768" s="1345"/>
      <c r="M768" s="1350"/>
      <c r="N768" s="1345"/>
      <c r="O768" s="1345"/>
      <c r="P768" s="1345"/>
      <c r="Q768" s="1345"/>
      <c r="R768" s="1345"/>
      <c r="S768" s="1345"/>
      <c r="T768" s="1345"/>
      <c r="U768" s="1345"/>
    </row>
    <row r="769" spans="1:21">
      <c r="A769" s="1345"/>
      <c r="B769" s="1345"/>
      <c r="C769" s="1345"/>
      <c r="D769" s="1345"/>
      <c r="E769" s="1345"/>
      <c r="F769" s="1345"/>
      <c r="G769" s="1345"/>
      <c r="H769" s="1345"/>
      <c r="I769" s="1345"/>
      <c r="J769" s="1345"/>
      <c r="K769" s="1345"/>
      <c r="L769" s="1345"/>
      <c r="M769" s="1350"/>
      <c r="N769" s="1345"/>
      <c r="O769" s="1345"/>
      <c r="P769" s="1345"/>
      <c r="Q769" s="1345"/>
      <c r="R769" s="1345"/>
      <c r="S769" s="1345"/>
      <c r="T769" s="1345"/>
      <c r="U769" s="1345"/>
    </row>
    <row r="770" spans="1:21">
      <c r="A770" s="1345"/>
      <c r="B770" s="1345"/>
      <c r="C770" s="1345"/>
      <c r="D770" s="1345"/>
      <c r="E770" s="1345"/>
      <c r="F770" s="1345"/>
      <c r="G770" s="1345"/>
      <c r="H770" s="1345"/>
      <c r="I770" s="1345"/>
      <c r="J770" s="1345"/>
      <c r="K770" s="1345"/>
      <c r="L770" s="1345"/>
      <c r="M770" s="1350"/>
      <c r="N770" s="1345"/>
      <c r="O770" s="1345"/>
      <c r="P770" s="1345"/>
      <c r="Q770" s="1345"/>
      <c r="R770" s="1345"/>
      <c r="S770" s="1345"/>
      <c r="T770" s="1345"/>
      <c r="U770" s="1345"/>
    </row>
    <row r="771" spans="1:21">
      <c r="A771" s="1345"/>
      <c r="B771" s="1345"/>
      <c r="C771" s="1345"/>
      <c r="D771" s="1345"/>
      <c r="E771" s="1345"/>
      <c r="F771" s="1345"/>
      <c r="G771" s="1345"/>
      <c r="H771" s="1345"/>
      <c r="I771" s="1345"/>
      <c r="J771" s="1345"/>
      <c r="K771" s="1345"/>
      <c r="L771" s="1345"/>
      <c r="M771" s="1350"/>
      <c r="N771" s="1345"/>
      <c r="O771" s="1345"/>
      <c r="P771" s="1345"/>
      <c r="Q771" s="1345"/>
      <c r="R771" s="1345"/>
      <c r="S771" s="1345"/>
      <c r="T771" s="1345"/>
      <c r="U771" s="1345"/>
    </row>
    <row r="772" spans="1:21">
      <c r="A772" s="1345"/>
      <c r="B772" s="1345"/>
      <c r="C772" s="1345"/>
      <c r="D772" s="1345"/>
      <c r="E772" s="1345"/>
      <c r="F772" s="1345"/>
      <c r="G772" s="1345"/>
      <c r="H772" s="1345"/>
      <c r="I772" s="1345"/>
      <c r="J772" s="1345"/>
      <c r="K772" s="1345"/>
      <c r="L772" s="1345"/>
      <c r="M772" s="1350"/>
      <c r="N772" s="1345"/>
      <c r="O772" s="1345"/>
      <c r="P772" s="1345"/>
      <c r="Q772" s="1345"/>
      <c r="R772" s="1345"/>
      <c r="S772" s="1345"/>
      <c r="T772" s="1345"/>
      <c r="U772" s="1345"/>
    </row>
    <row r="773" spans="1:21">
      <c r="A773" s="1345"/>
      <c r="B773" s="1345"/>
      <c r="C773" s="1345"/>
      <c r="D773" s="1345"/>
      <c r="E773" s="1345"/>
      <c r="F773" s="1345"/>
      <c r="G773" s="1345"/>
      <c r="H773" s="1345"/>
      <c r="I773" s="1345"/>
      <c r="J773" s="1345"/>
      <c r="K773" s="1345"/>
      <c r="L773" s="1345"/>
      <c r="M773" s="1350"/>
      <c r="N773" s="1345"/>
      <c r="O773" s="1345"/>
      <c r="P773" s="1345"/>
      <c r="Q773" s="1345"/>
      <c r="R773" s="1345"/>
      <c r="S773" s="1345"/>
      <c r="T773" s="1345"/>
      <c r="U773" s="1345"/>
    </row>
    <row r="774" spans="1:21">
      <c r="A774" s="1345"/>
      <c r="B774" s="1345"/>
      <c r="C774" s="1345"/>
      <c r="D774" s="1345"/>
      <c r="E774" s="1345"/>
      <c r="F774" s="1345"/>
      <c r="G774" s="1345"/>
      <c r="H774" s="1345"/>
      <c r="I774" s="1345"/>
      <c r="J774" s="1345"/>
      <c r="K774" s="1345"/>
      <c r="L774" s="1345"/>
      <c r="M774" s="1350"/>
      <c r="N774" s="1345"/>
      <c r="O774" s="1345"/>
      <c r="P774" s="1345"/>
      <c r="Q774" s="1345"/>
      <c r="R774" s="1345"/>
      <c r="S774" s="1345"/>
      <c r="T774" s="1345"/>
      <c r="U774" s="1345"/>
    </row>
    <row r="775" spans="1:21">
      <c r="A775" s="1345"/>
      <c r="B775" s="1345"/>
      <c r="C775" s="1345"/>
      <c r="D775" s="1345"/>
      <c r="E775" s="1345"/>
      <c r="F775" s="1345"/>
      <c r="G775" s="1345"/>
      <c r="H775" s="1345"/>
      <c r="I775" s="1345"/>
      <c r="J775" s="1345"/>
      <c r="K775" s="1345"/>
      <c r="L775" s="1345"/>
      <c r="M775" s="1345"/>
      <c r="N775" s="1345"/>
      <c r="O775" s="1345"/>
      <c r="P775" s="1345"/>
      <c r="Q775" s="1345"/>
      <c r="R775" s="1345"/>
      <c r="S775" s="1345"/>
      <c r="T775" s="1345"/>
      <c r="U775" s="1345"/>
    </row>
    <row r="776" spans="1:21">
      <c r="A776" s="1345"/>
      <c r="B776" s="1345"/>
      <c r="C776" s="1345"/>
      <c r="D776" s="1345"/>
      <c r="E776" s="1345"/>
      <c r="F776" s="1345"/>
      <c r="G776" s="1345"/>
      <c r="H776" s="1345"/>
      <c r="I776" s="1345"/>
      <c r="J776" s="1345"/>
      <c r="K776" s="1345"/>
      <c r="L776" s="1345"/>
      <c r="M776" s="1350"/>
      <c r="N776" s="1345"/>
      <c r="O776" s="1345"/>
      <c r="P776" s="1345"/>
      <c r="Q776" s="1345"/>
      <c r="R776" s="1345"/>
      <c r="S776" s="1345"/>
      <c r="T776" s="1345"/>
      <c r="U776" s="1345"/>
    </row>
    <row r="777" spans="1:21">
      <c r="A777" s="1345"/>
      <c r="B777" s="1345"/>
      <c r="C777" s="1345"/>
      <c r="D777" s="1345"/>
      <c r="E777" s="1345"/>
      <c r="F777" s="1345"/>
      <c r="G777" s="1345"/>
      <c r="H777" s="1345"/>
      <c r="I777" s="1345"/>
      <c r="J777" s="1345"/>
      <c r="K777" s="1345"/>
      <c r="L777" s="1345"/>
      <c r="M777" s="1345"/>
      <c r="N777" s="1345"/>
      <c r="O777" s="1345"/>
      <c r="P777" s="1345"/>
      <c r="Q777" s="1345"/>
      <c r="R777" s="1345"/>
      <c r="S777" s="1345"/>
      <c r="T777" s="1345"/>
      <c r="U777" s="1345"/>
    </row>
    <row r="778" spans="1:21">
      <c r="A778" s="1345"/>
      <c r="B778" s="1345"/>
      <c r="C778" s="1345"/>
      <c r="D778" s="1345"/>
      <c r="E778" s="1345"/>
      <c r="F778" s="1345"/>
      <c r="G778" s="1345"/>
      <c r="H778" s="1345"/>
      <c r="I778" s="1345"/>
      <c r="J778" s="1345"/>
      <c r="K778" s="1345"/>
      <c r="L778" s="1345"/>
      <c r="M778" s="1350"/>
      <c r="N778" s="1345"/>
      <c r="O778" s="1345"/>
      <c r="P778" s="1345"/>
      <c r="Q778" s="1345"/>
      <c r="R778" s="1345"/>
      <c r="S778" s="1345"/>
      <c r="T778" s="1345"/>
      <c r="U778" s="1345"/>
    </row>
    <row r="779" spans="1:21">
      <c r="A779" s="1345"/>
      <c r="B779" s="1345"/>
      <c r="C779" s="1345"/>
      <c r="D779" s="1345"/>
      <c r="E779" s="1345"/>
      <c r="F779" s="1345"/>
      <c r="G779" s="1345"/>
      <c r="H779" s="1345"/>
      <c r="I779" s="1345"/>
      <c r="J779" s="1345"/>
      <c r="K779" s="1345"/>
      <c r="L779" s="1345"/>
      <c r="M779" s="1350"/>
      <c r="N779" s="1345"/>
      <c r="O779" s="1345"/>
      <c r="P779" s="1345"/>
      <c r="Q779" s="1345"/>
      <c r="R779" s="1345"/>
      <c r="S779" s="1345"/>
      <c r="T779" s="1345"/>
      <c r="U779" s="1345"/>
    </row>
    <row r="780" spans="1:21">
      <c r="A780" s="1345"/>
      <c r="B780" s="1345"/>
      <c r="C780" s="1345"/>
      <c r="D780" s="1345"/>
      <c r="E780" s="1345"/>
      <c r="F780" s="1345"/>
      <c r="G780" s="1345"/>
      <c r="H780" s="1345"/>
      <c r="I780" s="1345"/>
      <c r="J780" s="1345"/>
      <c r="K780" s="1345"/>
      <c r="L780" s="1345"/>
      <c r="M780" s="1350"/>
      <c r="N780" s="1345"/>
      <c r="O780" s="1345"/>
      <c r="P780" s="1345"/>
      <c r="Q780" s="1345"/>
      <c r="R780" s="1345"/>
      <c r="S780" s="1345"/>
      <c r="T780" s="1345"/>
      <c r="U780" s="1345"/>
    </row>
    <row r="781" spans="1:21">
      <c r="A781" s="1345"/>
      <c r="B781" s="1345"/>
      <c r="C781" s="1345"/>
      <c r="D781" s="1345"/>
      <c r="E781" s="1345"/>
      <c r="F781" s="1345"/>
      <c r="G781" s="1345"/>
      <c r="H781" s="1345"/>
      <c r="I781" s="1345"/>
      <c r="J781" s="1345"/>
      <c r="K781" s="1345"/>
      <c r="L781" s="1345"/>
      <c r="M781" s="1350"/>
      <c r="N781" s="1345"/>
      <c r="O781" s="1345"/>
      <c r="P781" s="1345"/>
      <c r="Q781" s="1345"/>
      <c r="R781" s="1345"/>
      <c r="S781" s="1345"/>
      <c r="T781" s="1345"/>
      <c r="U781" s="1345"/>
    </row>
    <row r="782" spans="1:21">
      <c r="A782" s="1345"/>
      <c r="B782" s="1345"/>
      <c r="C782" s="1345"/>
      <c r="D782" s="1345"/>
      <c r="E782" s="1345"/>
      <c r="F782" s="1345"/>
      <c r="G782" s="1345"/>
      <c r="H782" s="1345"/>
      <c r="I782" s="1345"/>
      <c r="J782" s="1345"/>
      <c r="K782" s="1345"/>
      <c r="L782" s="1345"/>
      <c r="M782" s="1350"/>
      <c r="N782" s="1345"/>
      <c r="O782" s="1345"/>
      <c r="P782" s="1345"/>
      <c r="Q782" s="1345"/>
      <c r="R782" s="1345"/>
      <c r="S782" s="1345"/>
      <c r="T782" s="1345"/>
      <c r="U782" s="1345"/>
    </row>
    <row r="783" spans="1:21">
      <c r="A783" s="1345"/>
      <c r="B783" s="1345"/>
      <c r="C783" s="1345"/>
      <c r="D783" s="1345"/>
      <c r="E783" s="1345"/>
      <c r="F783" s="1345"/>
      <c r="G783" s="1345"/>
      <c r="H783" s="1345"/>
      <c r="I783" s="1345"/>
      <c r="J783" s="1345"/>
      <c r="K783" s="1345"/>
      <c r="L783" s="1345"/>
      <c r="M783" s="1345"/>
      <c r="N783" s="1345"/>
      <c r="O783" s="1345"/>
      <c r="P783" s="1345"/>
      <c r="Q783" s="1345"/>
      <c r="R783" s="1345"/>
      <c r="S783" s="1345"/>
      <c r="T783" s="1345"/>
      <c r="U783" s="1345"/>
    </row>
    <row r="784" spans="1:21">
      <c r="A784" s="1345"/>
      <c r="B784" s="1345"/>
      <c r="C784" s="1345"/>
      <c r="D784" s="1345"/>
      <c r="E784" s="1345"/>
      <c r="F784" s="1345"/>
      <c r="G784" s="1345"/>
      <c r="H784" s="1345"/>
      <c r="I784" s="1345"/>
      <c r="J784" s="1345"/>
      <c r="K784" s="1345"/>
      <c r="L784" s="1345"/>
      <c r="M784" s="1350"/>
      <c r="N784" s="1345"/>
      <c r="O784" s="1345"/>
      <c r="P784" s="1345"/>
      <c r="Q784" s="1345"/>
      <c r="R784" s="1345"/>
      <c r="S784" s="1345"/>
      <c r="T784" s="1345"/>
      <c r="U784" s="1345"/>
    </row>
    <row r="785" spans="1:21">
      <c r="A785" s="1345"/>
      <c r="B785" s="1345"/>
      <c r="C785" s="1345"/>
      <c r="D785" s="1345"/>
      <c r="E785" s="1345"/>
      <c r="F785" s="1345"/>
      <c r="G785" s="1345"/>
      <c r="H785" s="1345"/>
      <c r="I785" s="1345"/>
      <c r="J785" s="1345"/>
      <c r="K785" s="1345"/>
      <c r="L785" s="1345"/>
      <c r="M785" s="1350"/>
      <c r="N785" s="1345"/>
      <c r="O785" s="1345"/>
      <c r="P785" s="1345"/>
      <c r="Q785" s="1345"/>
      <c r="R785" s="1345"/>
      <c r="S785" s="1345"/>
      <c r="T785" s="1345"/>
      <c r="U785" s="1345"/>
    </row>
    <row r="786" spans="1:21">
      <c r="A786" s="1345"/>
      <c r="B786" s="1345"/>
      <c r="C786" s="1345"/>
      <c r="D786" s="1345"/>
      <c r="E786" s="1345"/>
      <c r="F786" s="1345"/>
      <c r="G786" s="1345"/>
      <c r="H786" s="1345"/>
      <c r="I786" s="1345"/>
      <c r="J786" s="1345"/>
      <c r="K786" s="1345"/>
      <c r="L786" s="1345"/>
      <c r="M786" s="1350"/>
      <c r="N786" s="1345"/>
      <c r="O786" s="1345"/>
      <c r="P786" s="1345"/>
      <c r="Q786" s="1345"/>
      <c r="R786" s="1345"/>
      <c r="S786" s="1345"/>
      <c r="T786" s="1345"/>
      <c r="U786" s="1345"/>
    </row>
    <row r="787" spans="1:21">
      <c r="A787" s="1345"/>
      <c r="B787" s="1345"/>
      <c r="C787" s="1345"/>
      <c r="D787" s="1345"/>
      <c r="E787" s="1345"/>
      <c r="F787" s="1345"/>
      <c r="G787" s="1345"/>
      <c r="H787" s="1345"/>
      <c r="I787" s="1345"/>
      <c r="J787" s="1345"/>
      <c r="K787" s="1345"/>
      <c r="L787" s="1345"/>
      <c r="M787" s="1350"/>
      <c r="N787" s="1345"/>
      <c r="O787" s="1345"/>
      <c r="P787" s="1345"/>
      <c r="Q787" s="1345"/>
      <c r="R787" s="1345"/>
      <c r="S787" s="1345"/>
      <c r="T787" s="1345"/>
      <c r="U787" s="1345"/>
    </row>
    <row r="788" spans="1:21">
      <c r="A788" s="1345"/>
      <c r="B788" s="1345"/>
      <c r="C788" s="1345"/>
      <c r="D788" s="1345"/>
      <c r="E788" s="1345"/>
      <c r="F788" s="1345"/>
      <c r="G788" s="1345"/>
      <c r="H788" s="1345"/>
      <c r="I788" s="1345"/>
      <c r="J788" s="1345"/>
      <c r="K788" s="1345"/>
      <c r="L788" s="1345"/>
      <c r="M788" s="1350"/>
      <c r="N788" s="1345"/>
      <c r="O788" s="1345"/>
      <c r="P788" s="1345"/>
      <c r="Q788" s="1345"/>
      <c r="R788" s="1345"/>
      <c r="S788" s="1345"/>
      <c r="T788" s="1345"/>
      <c r="U788" s="1345"/>
    </row>
    <row r="789" spans="1:21">
      <c r="A789" s="1345"/>
      <c r="B789" s="1345"/>
      <c r="C789" s="1345"/>
      <c r="D789" s="1345"/>
      <c r="E789" s="1345"/>
      <c r="F789" s="1345"/>
      <c r="G789" s="1345"/>
      <c r="H789" s="1345"/>
      <c r="I789" s="1345"/>
      <c r="J789" s="1345"/>
      <c r="K789" s="1345"/>
      <c r="L789" s="1345"/>
      <c r="M789" s="1350"/>
      <c r="N789" s="1345"/>
      <c r="O789" s="1345"/>
      <c r="P789" s="1345"/>
      <c r="Q789" s="1345"/>
      <c r="R789" s="1345"/>
      <c r="S789" s="1345"/>
      <c r="T789" s="1345"/>
      <c r="U789" s="1345"/>
    </row>
    <row r="790" spans="1:21">
      <c r="A790" s="1345"/>
      <c r="B790" s="1345"/>
      <c r="C790" s="1345"/>
      <c r="D790" s="1345"/>
      <c r="E790" s="1345"/>
      <c r="F790" s="1345"/>
      <c r="G790" s="1345"/>
      <c r="H790" s="1345"/>
      <c r="I790" s="1345"/>
      <c r="J790" s="1345"/>
      <c r="K790" s="1345"/>
      <c r="L790" s="1345"/>
      <c r="M790" s="1350"/>
      <c r="N790" s="1345"/>
      <c r="O790" s="1345"/>
      <c r="P790" s="1345"/>
      <c r="Q790" s="1345"/>
      <c r="R790" s="1345"/>
      <c r="S790" s="1345"/>
      <c r="T790" s="1345"/>
      <c r="U790" s="1345"/>
    </row>
    <row r="791" spans="1:21">
      <c r="A791" s="1345"/>
      <c r="B791" s="1345"/>
      <c r="C791" s="1345"/>
      <c r="D791" s="1345"/>
      <c r="E791" s="1345"/>
      <c r="F791" s="1345"/>
      <c r="G791" s="1345"/>
      <c r="H791" s="1345"/>
      <c r="I791" s="1345"/>
      <c r="J791" s="1345"/>
      <c r="K791" s="1345"/>
      <c r="L791" s="1345"/>
      <c r="M791" s="1350"/>
      <c r="N791" s="1345"/>
      <c r="O791" s="1345"/>
      <c r="P791" s="1345"/>
      <c r="Q791" s="1345"/>
      <c r="R791" s="1345"/>
      <c r="S791" s="1345"/>
      <c r="T791" s="1345"/>
      <c r="U791" s="1345"/>
    </row>
    <row r="792" spans="1:21">
      <c r="A792" s="1345"/>
      <c r="B792" s="1345"/>
      <c r="C792" s="1345"/>
      <c r="D792" s="1345"/>
      <c r="E792" s="1345"/>
      <c r="F792" s="1345"/>
      <c r="G792" s="1345"/>
      <c r="H792" s="1345"/>
      <c r="I792" s="1345"/>
      <c r="J792" s="1345"/>
      <c r="K792" s="1345"/>
      <c r="L792" s="1345"/>
      <c r="M792" s="1350"/>
      <c r="N792" s="1345"/>
      <c r="O792" s="1345"/>
      <c r="P792" s="1345"/>
      <c r="Q792" s="1345"/>
      <c r="R792" s="1345"/>
      <c r="S792" s="1345"/>
      <c r="T792" s="1345"/>
      <c r="U792" s="1345"/>
    </row>
    <row r="793" spans="1:21">
      <c r="A793" s="1345"/>
      <c r="B793" s="1345"/>
      <c r="C793" s="1345"/>
      <c r="D793" s="1345"/>
      <c r="E793" s="1345"/>
      <c r="F793" s="1345"/>
      <c r="G793" s="1345"/>
      <c r="H793" s="1345"/>
      <c r="I793" s="1345"/>
      <c r="J793" s="1345"/>
      <c r="K793" s="1345"/>
      <c r="L793" s="1345"/>
      <c r="M793" s="1345"/>
      <c r="N793" s="1345"/>
      <c r="O793" s="1345"/>
      <c r="P793" s="1345"/>
      <c r="Q793" s="1345"/>
      <c r="R793" s="1345"/>
      <c r="S793" s="1345"/>
      <c r="T793" s="1345"/>
      <c r="U793" s="1345"/>
    </row>
    <row r="794" spans="1:21">
      <c r="A794" s="1345"/>
      <c r="B794" s="1345"/>
      <c r="C794" s="1345"/>
      <c r="D794" s="1345"/>
      <c r="E794" s="1345"/>
      <c r="F794" s="1345"/>
      <c r="G794" s="1345"/>
      <c r="H794" s="1345"/>
      <c r="I794" s="1345"/>
      <c r="J794" s="1345"/>
      <c r="K794" s="1345"/>
      <c r="L794" s="1345"/>
      <c r="M794" s="1350"/>
      <c r="N794" s="1345"/>
      <c r="O794" s="1345"/>
      <c r="P794" s="1345"/>
      <c r="Q794" s="1345"/>
      <c r="R794" s="1345"/>
      <c r="S794" s="1345"/>
      <c r="T794" s="1345"/>
      <c r="U794" s="1345"/>
    </row>
    <row r="795" spans="1:21">
      <c r="A795" s="1345"/>
      <c r="B795" s="1345"/>
      <c r="C795" s="1345"/>
      <c r="D795" s="1345"/>
      <c r="E795" s="1345"/>
      <c r="F795" s="1345"/>
      <c r="G795" s="1345"/>
      <c r="H795" s="1345"/>
      <c r="I795" s="1345"/>
      <c r="J795" s="1345"/>
      <c r="K795" s="1345"/>
      <c r="L795" s="1345"/>
      <c r="M795" s="1350"/>
      <c r="N795" s="1345"/>
      <c r="O795" s="1345"/>
      <c r="P795" s="1345"/>
      <c r="Q795" s="1345"/>
      <c r="R795" s="1345"/>
      <c r="S795" s="1345"/>
      <c r="T795" s="1345"/>
      <c r="U795" s="1345"/>
    </row>
    <row r="796" spans="1:21">
      <c r="A796" s="1345"/>
      <c r="B796" s="1345"/>
      <c r="C796" s="1345"/>
      <c r="D796" s="1345"/>
      <c r="E796" s="1345"/>
      <c r="F796" s="1345"/>
      <c r="G796" s="1345"/>
      <c r="H796" s="1345"/>
      <c r="I796" s="1345"/>
      <c r="J796" s="1345"/>
      <c r="K796" s="1345"/>
      <c r="L796" s="1345"/>
      <c r="M796" s="1350"/>
      <c r="N796" s="1345"/>
      <c r="O796" s="1345"/>
      <c r="P796" s="1345"/>
      <c r="Q796" s="1345"/>
      <c r="R796" s="1345"/>
      <c r="S796" s="1345"/>
      <c r="T796" s="1345"/>
      <c r="U796" s="1345"/>
    </row>
    <row r="797" spans="1:21">
      <c r="A797" s="1345"/>
      <c r="B797" s="1345"/>
      <c r="C797" s="1345"/>
      <c r="D797" s="1345"/>
      <c r="E797" s="1345"/>
      <c r="F797" s="1345"/>
      <c r="G797" s="1345"/>
      <c r="H797" s="1345"/>
      <c r="I797" s="1345"/>
      <c r="J797" s="1345"/>
      <c r="K797" s="1345"/>
      <c r="L797" s="1345"/>
      <c r="M797" s="1350"/>
      <c r="N797" s="1345"/>
      <c r="O797" s="1345"/>
      <c r="P797" s="1345"/>
      <c r="Q797" s="1345"/>
      <c r="R797" s="1345"/>
      <c r="S797" s="1345"/>
      <c r="T797" s="1345"/>
      <c r="U797" s="1345"/>
    </row>
    <row r="798" spans="1:21">
      <c r="A798" s="1345"/>
      <c r="B798" s="1345"/>
      <c r="C798" s="1345"/>
      <c r="D798" s="1345"/>
      <c r="E798" s="1345"/>
      <c r="F798" s="1345"/>
      <c r="G798" s="1345"/>
      <c r="H798" s="1345"/>
      <c r="I798" s="1345"/>
      <c r="J798" s="1345"/>
      <c r="K798" s="1345"/>
      <c r="L798" s="1345"/>
      <c r="M798" s="1350"/>
      <c r="N798" s="1345"/>
      <c r="O798" s="1345"/>
      <c r="P798" s="1345"/>
      <c r="Q798" s="1345"/>
      <c r="R798" s="1345"/>
      <c r="S798" s="1345"/>
      <c r="T798" s="1345"/>
      <c r="U798" s="1345"/>
    </row>
    <row r="799" spans="1:21">
      <c r="A799" s="1345"/>
      <c r="B799" s="1345"/>
      <c r="C799" s="1345"/>
      <c r="D799" s="1345"/>
      <c r="E799" s="1345"/>
      <c r="F799" s="1345"/>
      <c r="G799" s="1345"/>
      <c r="H799" s="1345"/>
      <c r="I799" s="1345"/>
      <c r="J799" s="1345"/>
      <c r="K799" s="1345"/>
      <c r="L799" s="1345"/>
      <c r="M799" s="1350"/>
      <c r="N799" s="1345"/>
      <c r="O799" s="1345"/>
      <c r="P799" s="1345"/>
      <c r="Q799" s="1345"/>
      <c r="R799" s="1345"/>
      <c r="S799" s="1345"/>
      <c r="T799" s="1345"/>
      <c r="U799" s="1345"/>
    </row>
    <row r="800" spans="1:21">
      <c r="A800" s="1345"/>
      <c r="B800" s="1345"/>
      <c r="C800" s="1345"/>
      <c r="D800" s="1345"/>
      <c r="E800" s="1345"/>
      <c r="F800" s="1345"/>
      <c r="G800" s="1345"/>
      <c r="H800" s="1345"/>
      <c r="I800" s="1345"/>
      <c r="J800" s="1345"/>
      <c r="K800" s="1345"/>
      <c r="L800" s="1345"/>
      <c r="M800" s="1350"/>
      <c r="N800" s="1345"/>
      <c r="O800" s="1345"/>
      <c r="P800" s="1345"/>
      <c r="Q800" s="1345"/>
      <c r="R800" s="1345"/>
      <c r="S800" s="1345"/>
      <c r="T800" s="1345"/>
      <c r="U800" s="1345"/>
    </row>
    <row r="801" spans="1:21">
      <c r="A801" s="1345"/>
      <c r="B801" s="1345"/>
      <c r="C801" s="1345"/>
      <c r="D801" s="1345"/>
      <c r="E801" s="1345"/>
      <c r="F801" s="1345"/>
      <c r="G801" s="1345"/>
      <c r="H801" s="1345"/>
      <c r="I801" s="1345"/>
      <c r="J801" s="1345"/>
      <c r="K801" s="1345"/>
      <c r="L801" s="1345"/>
      <c r="M801" s="1350"/>
      <c r="N801" s="1345"/>
      <c r="O801" s="1345"/>
      <c r="P801" s="1345"/>
      <c r="Q801" s="1345"/>
      <c r="R801" s="1345"/>
      <c r="S801" s="1345"/>
      <c r="T801" s="1345"/>
      <c r="U801" s="1345"/>
    </row>
    <row r="802" spans="1:21">
      <c r="A802" s="1345"/>
      <c r="B802" s="1345"/>
      <c r="C802" s="1345"/>
      <c r="D802" s="1345"/>
      <c r="E802" s="1345"/>
      <c r="F802" s="1345"/>
      <c r="G802" s="1345"/>
      <c r="H802" s="1345"/>
      <c r="I802" s="1345"/>
      <c r="J802" s="1345"/>
      <c r="K802" s="1345"/>
      <c r="L802" s="1345"/>
      <c r="M802" s="1350"/>
      <c r="N802" s="1345"/>
      <c r="O802" s="1345"/>
      <c r="P802" s="1345"/>
      <c r="Q802" s="1345"/>
      <c r="R802" s="1345"/>
      <c r="S802" s="1345"/>
      <c r="T802" s="1345"/>
      <c r="U802" s="1345"/>
    </row>
    <row r="803" spans="1:21">
      <c r="A803" s="1345"/>
      <c r="B803" s="1345"/>
      <c r="C803" s="1345"/>
      <c r="D803" s="1345"/>
      <c r="E803" s="1345"/>
      <c r="F803" s="1345"/>
      <c r="G803" s="1345"/>
      <c r="H803" s="1345"/>
      <c r="I803" s="1345"/>
      <c r="J803" s="1345"/>
      <c r="K803" s="1345"/>
      <c r="L803" s="1345"/>
      <c r="M803" s="1350"/>
      <c r="N803" s="1345"/>
      <c r="O803" s="1345"/>
      <c r="P803" s="1345"/>
      <c r="Q803" s="1345"/>
      <c r="R803" s="1345"/>
      <c r="S803" s="1345"/>
      <c r="T803" s="1345"/>
      <c r="U803" s="1345"/>
    </row>
    <row r="804" spans="1:21">
      <c r="A804" s="1345"/>
      <c r="B804" s="1345"/>
      <c r="C804" s="1345"/>
      <c r="D804" s="1345"/>
      <c r="E804" s="1345"/>
      <c r="F804" s="1345"/>
      <c r="G804" s="1345"/>
      <c r="H804" s="1345"/>
      <c r="I804" s="1345"/>
      <c r="J804" s="1345"/>
      <c r="K804" s="1345"/>
      <c r="L804" s="1345"/>
      <c r="M804" s="1350"/>
      <c r="N804" s="1345"/>
      <c r="O804" s="1345"/>
      <c r="P804" s="1345"/>
      <c r="Q804" s="1345"/>
      <c r="R804" s="1345"/>
      <c r="S804" s="1345"/>
      <c r="T804" s="1345"/>
      <c r="U804" s="1345"/>
    </row>
    <row r="805" spans="1:21">
      <c r="A805" s="1345"/>
      <c r="B805" s="1345"/>
      <c r="C805" s="1345"/>
      <c r="D805" s="1345"/>
      <c r="E805" s="1345"/>
      <c r="F805" s="1345"/>
      <c r="G805" s="1345"/>
      <c r="H805" s="1345"/>
      <c r="I805" s="1345"/>
      <c r="J805" s="1345"/>
      <c r="K805" s="1345"/>
      <c r="L805" s="1345"/>
      <c r="M805" s="1350"/>
      <c r="N805" s="1345"/>
      <c r="O805" s="1345"/>
      <c r="P805" s="1345"/>
      <c r="Q805" s="1345"/>
      <c r="R805" s="1345"/>
      <c r="S805" s="1345"/>
      <c r="T805" s="1345"/>
      <c r="U805" s="1345"/>
    </row>
    <row r="806" spans="1:21">
      <c r="A806" s="1345"/>
      <c r="B806" s="1345"/>
      <c r="C806" s="1345"/>
      <c r="D806" s="1345"/>
      <c r="E806" s="1345"/>
      <c r="F806" s="1345"/>
      <c r="G806" s="1345"/>
      <c r="H806" s="1345"/>
      <c r="I806" s="1345"/>
      <c r="J806" s="1345"/>
      <c r="K806" s="1345"/>
      <c r="L806" s="1345"/>
      <c r="M806" s="1350"/>
      <c r="N806" s="1345"/>
      <c r="O806" s="1345"/>
      <c r="P806" s="1345"/>
      <c r="Q806" s="1345"/>
      <c r="R806" s="1345"/>
      <c r="S806" s="1345"/>
      <c r="T806" s="1345"/>
      <c r="U806" s="1345"/>
    </row>
    <row r="807" spans="1:21">
      <c r="A807" s="1345"/>
      <c r="B807" s="1345"/>
      <c r="C807" s="1345"/>
      <c r="D807" s="1345"/>
      <c r="E807" s="1345"/>
      <c r="F807" s="1345"/>
      <c r="G807" s="1345"/>
      <c r="H807" s="1345"/>
      <c r="I807" s="1345"/>
      <c r="J807" s="1345"/>
      <c r="K807" s="1345"/>
      <c r="L807" s="1345"/>
      <c r="M807" s="1350"/>
      <c r="N807" s="1345"/>
      <c r="O807" s="1345"/>
      <c r="P807" s="1345"/>
      <c r="Q807" s="1345"/>
      <c r="R807" s="1345"/>
      <c r="S807" s="1345"/>
      <c r="T807" s="1345"/>
      <c r="U807" s="1345"/>
    </row>
    <row r="808" spans="1:21">
      <c r="A808" s="1345"/>
      <c r="B808" s="1345"/>
      <c r="C808" s="1345"/>
      <c r="D808" s="1345"/>
      <c r="E808" s="1345"/>
      <c r="F808" s="1345"/>
      <c r="G808" s="1345"/>
      <c r="H808" s="1345"/>
      <c r="I808" s="1345"/>
      <c r="J808" s="1345"/>
      <c r="K808" s="1345"/>
      <c r="L808" s="1345"/>
      <c r="M808" s="1350"/>
      <c r="N808" s="1345"/>
      <c r="O808" s="1345"/>
      <c r="P808" s="1345"/>
      <c r="Q808" s="1345"/>
      <c r="R808" s="1345"/>
      <c r="S808" s="1345"/>
      <c r="T808" s="1345"/>
      <c r="U808" s="1345"/>
    </row>
    <row r="809" spans="1:21">
      <c r="A809" s="1345"/>
      <c r="B809" s="1345"/>
      <c r="C809" s="1345"/>
      <c r="D809" s="1345"/>
      <c r="E809" s="1345"/>
      <c r="F809" s="1345"/>
      <c r="G809" s="1345"/>
      <c r="H809" s="1345"/>
      <c r="I809" s="1345"/>
      <c r="J809" s="1345"/>
      <c r="K809" s="1345"/>
      <c r="L809" s="1345"/>
      <c r="M809" s="1350"/>
      <c r="N809" s="1345"/>
      <c r="O809" s="1345"/>
      <c r="P809" s="1345"/>
      <c r="Q809" s="1345"/>
      <c r="R809" s="1345"/>
      <c r="S809" s="1345"/>
      <c r="T809" s="1345"/>
      <c r="U809" s="1345"/>
    </row>
    <row r="810" spans="1:21">
      <c r="A810" s="1345"/>
      <c r="B810" s="1345"/>
      <c r="C810" s="1345"/>
      <c r="D810" s="1345"/>
      <c r="E810" s="1345"/>
      <c r="F810" s="1345"/>
      <c r="G810" s="1345"/>
      <c r="H810" s="1345"/>
      <c r="I810" s="1345"/>
      <c r="J810" s="1345"/>
      <c r="K810" s="1345"/>
      <c r="L810" s="1345"/>
      <c r="M810" s="1350"/>
      <c r="N810" s="1345"/>
      <c r="O810" s="1345"/>
      <c r="P810" s="1345"/>
      <c r="Q810" s="1345"/>
      <c r="R810" s="1345"/>
      <c r="S810" s="1345"/>
      <c r="T810" s="1345"/>
      <c r="U810" s="1345"/>
    </row>
    <row r="811" spans="1:21">
      <c r="A811" s="1345"/>
      <c r="B811" s="1345"/>
      <c r="C811" s="1345"/>
      <c r="D811" s="1345"/>
      <c r="E811" s="1345"/>
      <c r="F811" s="1345"/>
      <c r="G811" s="1345"/>
      <c r="H811" s="1345"/>
      <c r="I811" s="1345"/>
      <c r="J811" s="1345"/>
      <c r="K811" s="1345"/>
      <c r="L811" s="1345"/>
      <c r="M811" s="1350"/>
      <c r="N811" s="1345"/>
      <c r="O811" s="1345"/>
      <c r="P811" s="1345"/>
      <c r="Q811" s="1345"/>
      <c r="R811" s="1345"/>
      <c r="S811" s="1345"/>
      <c r="T811" s="1345"/>
      <c r="U811" s="1345"/>
    </row>
    <row r="812" spans="1:21">
      <c r="A812" s="1345"/>
      <c r="B812" s="1345"/>
      <c r="C812" s="1345"/>
      <c r="D812" s="1345"/>
      <c r="E812" s="1345"/>
      <c r="F812" s="1345"/>
      <c r="G812" s="1345"/>
      <c r="H812" s="1345"/>
      <c r="I812" s="1345"/>
      <c r="J812" s="1345"/>
      <c r="K812" s="1345"/>
      <c r="L812" s="1345"/>
      <c r="M812" s="1350"/>
      <c r="N812" s="1345"/>
      <c r="O812" s="1345"/>
      <c r="P812" s="1345"/>
      <c r="Q812" s="1345"/>
      <c r="R812" s="1345"/>
      <c r="S812" s="1345"/>
      <c r="T812" s="1345"/>
      <c r="U812" s="1345"/>
    </row>
    <row r="813" spans="1:21">
      <c r="A813" s="1345"/>
      <c r="B813" s="1345"/>
      <c r="C813" s="1345"/>
      <c r="D813" s="1345"/>
      <c r="E813" s="1345"/>
      <c r="F813" s="1345"/>
      <c r="G813" s="1345"/>
      <c r="H813" s="1345"/>
      <c r="I813" s="1345"/>
      <c r="J813" s="1345"/>
      <c r="K813" s="1345"/>
      <c r="L813" s="1345"/>
      <c r="M813" s="1350"/>
      <c r="N813" s="1345"/>
      <c r="O813" s="1345"/>
      <c r="P813" s="1345"/>
      <c r="Q813" s="1345"/>
      <c r="R813" s="1345"/>
      <c r="S813" s="1345"/>
      <c r="T813" s="1345"/>
      <c r="U813" s="1345"/>
    </row>
    <row r="814" spans="1:21">
      <c r="A814" s="1345"/>
      <c r="B814" s="1345"/>
      <c r="C814" s="1345"/>
      <c r="D814" s="1345"/>
      <c r="E814" s="1345"/>
      <c r="F814" s="1345"/>
      <c r="G814" s="1345"/>
      <c r="H814" s="1345"/>
      <c r="I814" s="1345"/>
      <c r="J814" s="1345"/>
      <c r="K814" s="1345"/>
      <c r="L814" s="1345"/>
      <c r="M814" s="1350"/>
      <c r="N814" s="1345"/>
      <c r="O814" s="1345"/>
      <c r="P814" s="1345"/>
      <c r="Q814" s="1345"/>
      <c r="R814" s="1345"/>
      <c r="S814" s="1345"/>
      <c r="T814" s="1345"/>
      <c r="U814" s="1345"/>
    </row>
    <row r="815" spans="1:21">
      <c r="A815" s="1345"/>
      <c r="B815" s="1345"/>
      <c r="C815" s="1345"/>
      <c r="D815" s="1345"/>
      <c r="E815" s="1345"/>
      <c r="F815" s="1345"/>
      <c r="G815" s="1345"/>
      <c r="H815" s="1345"/>
      <c r="I815" s="1345"/>
      <c r="J815" s="1345"/>
      <c r="K815" s="1345"/>
      <c r="L815" s="1345"/>
      <c r="M815" s="1350"/>
      <c r="N815" s="1345"/>
      <c r="O815" s="1345"/>
      <c r="P815" s="1345"/>
      <c r="Q815" s="1345"/>
      <c r="R815" s="1345"/>
      <c r="S815" s="1345"/>
      <c r="T815" s="1345"/>
      <c r="U815" s="1345"/>
    </row>
    <row r="816" spans="1:21">
      <c r="A816" s="1345"/>
      <c r="B816" s="1345"/>
      <c r="C816" s="1345"/>
      <c r="D816" s="1345"/>
      <c r="E816" s="1345"/>
      <c r="F816" s="1345"/>
      <c r="G816" s="1345"/>
      <c r="H816" s="1345"/>
      <c r="I816" s="1345"/>
      <c r="J816" s="1345"/>
      <c r="K816" s="1345"/>
      <c r="L816" s="1345"/>
      <c r="M816" s="1350"/>
      <c r="N816" s="1345"/>
      <c r="O816" s="1345"/>
      <c r="P816" s="1345"/>
      <c r="Q816" s="1345"/>
      <c r="R816" s="1345"/>
      <c r="S816" s="1345"/>
      <c r="T816" s="1345"/>
      <c r="U816" s="1345"/>
    </row>
    <row r="817" spans="1:21">
      <c r="A817" s="1345"/>
      <c r="B817" s="1345"/>
      <c r="C817" s="1345"/>
      <c r="D817" s="1345"/>
      <c r="E817" s="1345"/>
      <c r="F817" s="1345"/>
      <c r="G817" s="1345"/>
      <c r="H817" s="1345"/>
      <c r="I817" s="1345"/>
      <c r="J817" s="1345"/>
      <c r="K817" s="1345"/>
      <c r="L817" s="1345"/>
      <c r="M817" s="1350"/>
      <c r="N817" s="1345"/>
      <c r="O817" s="1345"/>
      <c r="P817" s="1345"/>
      <c r="Q817" s="1345"/>
      <c r="R817" s="1345"/>
      <c r="S817" s="1345"/>
      <c r="T817" s="1345"/>
      <c r="U817" s="1345"/>
    </row>
    <row r="818" spans="1:21">
      <c r="A818" s="1345"/>
      <c r="B818" s="1345"/>
      <c r="C818" s="1345"/>
      <c r="D818" s="1345"/>
      <c r="E818" s="1345"/>
      <c r="F818" s="1345"/>
      <c r="G818" s="1345"/>
      <c r="H818" s="1345"/>
      <c r="I818" s="1345"/>
      <c r="J818" s="1345"/>
      <c r="K818" s="1345"/>
      <c r="L818" s="1345"/>
      <c r="M818" s="1350"/>
      <c r="N818" s="1345"/>
      <c r="O818" s="1345"/>
      <c r="P818" s="1345"/>
      <c r="Q818" s="1345"/>
      <c r="R818" s="1345"/>
      <c r="S818" s="1345"/>
      <c r="T818" s="1345"/>
      <c r="U818" s="1345"/>
    </row>
    <row r="819" spans="1:21">
      <c r="A819" s="1345"/>
      <c r="B819" s="1345"/>
      <c r="C819" s="1345"/>
      <c r="D819" s="1345"/>
      <c r="E819" s="1345"/>
      <c r="F819" s="1345"/>
      <c r="G819" s="1345"/>
      <c r="H819" s="1345"/>
      <c r="I819" s="1345"/>
      <c r="J819" s="1345"/>
      <c r="K819" s="1345"/>
      <c r="L819" s="1345"/>
      <c r="M819" s="1350"/>
      <c r="N819" s="1345"/>
      <c r="O819" s="1345"/>
      <c r="P819" s="1345"/>
      <c r="Q819" s="1345"/>
      <c r="R819" s="1345"/>
      <c r="S819" s="1345"/>
      <c r="T819" s="1345"/>
      <c r="U819" s="1345"/>
    </row>
    <row r="820" spans="1:21">
      <c r="A820" s="1345"/>
      <c r="B820" s="1345"/>
      <c r="C820" s="1345"/>
      <c r="D820" s="1345"/>
      <c r="E820" s="1345"/>
      <c r="F820" s="1345"/>
      <c r="G820" s="1345"/>
      <c r="H820" s="1345"/>
      <c r="I820" s="1345"/>
      <c r="J820" s="1345"/>
      <c r="K820" s="1345"/>
      <c r="L820" s="1345"/>
      <c r="M820" s="1350"/>
      <c r="N820" s="1345"/>
      <c r="O820" s="1345"/>
      <c r="P820" s="1345"/>
      <c r="Q820" s="1345"/>
      <c r="R820" s="1345"/>
      <c r="S820" s="1345"/>
      <c r="T820" s="1345"/>
      <c r="U820" s="1345"/>
    </row>
    <row r="821" spans="1:21">
      <c r="A821" s="1345"/>
      <c r="B821" s="1345"/>
      <c r="C821" s="1345"/>
      <c r="D821" s="1345"/>
      <c r="E821" s="1345"/>
      <c r="F821" s="1345"/>
      <c r="G821" s="1345"/>
      <c r="H821" s="1345"/>
      <c r="I821" s="1345"/>
      <c r="J821" s="1345"/>
      <c r="K821" s="1345"/>
      <c r="L821" s="1345"/>
      <c r="M821" s="1350"/>
      <c r="N821" s="1345"/>
      <c r="O821" s="1345"/>
      <c r="P821" s="1345"/>
      <c r="Q821" s="1345"/>
      <c r="R821" s="1345"/>
      <c r="S821" s="1345"/>
      <c r="T821" s="1345"/>
      <c r="U821" s="1345"/>
    </row>
    <row r="822" spans="1:21">
      <c r="A822" s="1345"/>
      <c r="B822" s="1345"/>
      <c r="C822" s="1345"/>
      <c r="D822" s="1345"/>
      <c r="E822" s="1345"/>
      <c r="F822" s="1345"/>
      <c r="G822" s="1345"/>
      <c r="H822" s="1345"/>
      <c r="I822" s="1345"/>
      <c r="J822" s="1345"/>
      <c r="K822" s="1345"/>
      <c r="L822" s="1345"/>
      <c r="M822" s="1350"/>
      <c r="N822" s="1345"/>
      <c r="O822" s="1345"/>
      <c r="P822" s="1345"/>
      <c r="Q822" s="1345"/>
      <c r="R822" s="1345"/>
      <c r="S822" s="1345"/>
      <c r="T822" s="1345"/>
      <c r="U822" s="1345"/>
    </row>
    <row r="823" spans="1:21">
      <c r="A823" s="1345"/>
      <c r="B823" s="1345"/>
      <c r="C823" s="1345"/>
      <c r="D823" s="1345"/>
      <c r="E823" s="1345"/>
      <c r="F823" s="1345"/>
      <c r="G823" s="1345"/>
      <c r="H823" s="1345"/>
      <c r="I823" s="1345"/>
      <c r="J823" s="1345"/>
      <c r="K823" s="1345"/>
      <c r="L823" s="1345"/>
      <c r="M823" s="1350"/>
      <c r="N823" s="1345"/>
      <c r="O823" s="1345"/>
      <c r="P823" s="1345"/>
      <c r="Q823" s="1345"/>
      <c r="R823" s="1345"/>
      <c r="S823" s="1345"/>
      <c r="T823" s="1345"/>
      <c r="U823" s="1345"/>
    </row>
    <row r="824" spans="1:21">
      <c r="A824" s="1345"/>
      <c r="B824" s="1345"/>
      <c r="C824" s="1345"/>
      <c r="D824" s="1345"/>
      <c r="E824" s="1345"/>
      <c r="F824" s="1345"/>
      <c r="G824" s="1345"/>
      <c r="H824" s="1345"/>
      <c r="I824" s="1345"/>
      <c r="J824" s="1345"/>
      <c r="K824" s="1345"/>
      <c r="L824" s="1345"/>
      <c r="M824" s="1350"/>
      <c r="N824" s="1345"/>
      <c r="O824" s="1345"/>
      <c r="P824" s="1345"/>
      <c r="Q824" s="1345"/>
      <c r="R824" s="1345"/>
      <c r="S824" s="1345"/>
      <c r="T824" s="1345"/>
      <c r="U824" s="1345"/>
    </row>
    <row r="825" spans="1:21">
      <c r="A825" s="1345"/>
      <c r="B825" s="1345"/>
      <c r="C825" s="1345"/>
      <c r="D825" s="1345"/>
      <c r="E825" s="1345"/>
      <c r="F825" s="1345"/>
      <c r="G825" s="1345"/>
      <c r="H825" s="1345"/>
      <c r="I825" s="1345"/>
      <c r="J825" s="1345"/>
      <c r="K825" s="1345"/>
      <c r="L825" s="1345"/>
      <c r="M825" s="1350"/>
      <c r="N825" s="1345"/>
      <c r="O825" s="1345"/>
      <c r="P825" s="1345"/>
      <c r="Q825" s="1345"/>
      <c r="R825" s="1345"/>
      <c r="S825" s="1345"/>
      <c r="T825" s="1345"/>
      <c r="U825" s="1345"/>
    </row>
    <row r="826" spans="1:21">
      <c r="A826" s="1345"/>
      <c r="B826" s="1345"/>
      <c r="C826" s="1345"/>
      <c r="D826" s="1345"/>
      <c r="E826" s="1345"/>
      <c r="F826" s="1345"/>
      <c r="G826" s="1345"/>
      <c r="H826" s="1345"/>
      <c r="I826" s="1345"/>
      <c r="J826" s="1345"/>
      <c r="K826" s="1345"/>
      <c r="L826" s="1345"/>
      <c r="M826" s="1350"/>
      <c r="N826" s="1345"/>
      <c r="O826" s="1345"/>
      <c r="P826" s="1345"/>
      <c r="Q826" s="1345"/>
      <c r="R826" s="1345"/>
      <c r="S826" s="1345"/>
      <c r="T826" s="1345"/>
      <c r="U826" s="1345"/>
    </row>
    <row r="827" spans="1:21">
      <c r="A827" s="1345"/>
      <c r="B827" s="1345"/>
      <c r="C827" s="1345"/>
      <c r="D827" s="1345"/>
      <c r="E827" s="1345"/>
      <c r="F827" s="1345"/>
      <c r="G827" s="1345"/>
      <c r="H827" s="1345"/>
      <c r="I827" s="1345"/>
      <c r="J827" s="1345"/>
      <c r="K827" s="1345"/>
      <c r="L827" s="1345"/>
      <c r="M827" s="1350"/>
      <c r="N827" s="1345"/>
      <c r="O827" s="1345"/>
      <c r="P827" s="1345"/>
      <c r="Q827" s="1345"/>
      <c r="R827" s="1345"/>
      <c r="S827" s="1345"/>
      <c r="T827" s="1345"/>
      <c r="U827" s="1345"/>
    </row>
    <row r="828" spans="1:21">
      <c r="A828" s="1345"/>
      <c r="B828" s="1345"/>
      <c r="C828" s="1345"/>
      <c r="D828" s="1345"/>
      <c r="E828" s="1345"/>
      <c r="F828" s="1345"/>
      <c r="G828" s="1345"/>
      <c r="H828" s="1345"/>
      <c r="I828" s="1345"/>
      <c r="J828" s="1345"/>
      <c r="K828" s="1345"/>
      <c r="L828" s="1345"/>
      <c r="M828" s="1350"/>
      <c r="N828" s="1345"/>
      <c r="O828" s="1345"/>
      <c r="P828" s="1345"/>
      <c r="Q828" s="1345"/>
      <c r="R828" s="1345"/>
      <c r="S828" s="1345"/>
      <c r="T828" s="1345"/>
      <c r="U828" s="1345"/>
    </row>
    <row r="829" spans="1:21">
      <c r="A829" s="1345"/>
      <c r="B829" s="1345"/>
      <c r="C829" s="1345"/>
      <c r="D829" s="1345"/>
      <c r="E829" s="1345"/>
      <c r="F829" s="1345"/>
      <c r="G829" s="1345"/>
      <c r="H829" s="1345"/>
      <c r="I829" s="1345"/>
      <c r="J829" s="1345"/>
      <c r="K829" s="1345"/>
      <c r="L829" s="1345"/>
      <c r="M829" s="1350"/>
      <c r="N829" s="1345"/>
      <c r="O829" s="1345"/>
      <c r="P829" s="1345"/>
      <c r="Q829" s="1345"/>
      <c r="R829" s="1345"/>
      <c r="S829" s="1345"/>
      <c r="T829" s="1345"/>
      <c r="U829" s="1345"/>
    </row>
    <row r="830" spans="1:21">
      <c r="A830" s="1345"/>
      <c r="B830" s="1345"/>
      <c r="C830" s="1345"/>
      <c r="D830" s="1345"/>
      <c r="E830" s="1345"/>
      <c r="F830" s="1345"/>
      <c r="G830" s="1345"/>
      <c r="H830" s="1345"/>
      <c r="I830" s="1345"/>
      <c r="J830" s="1345"/>
      <c r="K830" s="1345"/>
      <c r="L830" s="1345"/>
      <c r="M830" s="1350"/>
      <c r="N830" s="1345"/>
      <c r="O830" s="1345"/>
      <c r="P830" s="1345"/>
      <c r="Q830" s="1345"/>
      <c r="R830" s="1345"/>
      <c r="S830" s="1345"/>
      <c r="T830" s="1345"/>
      <c r="U830" s="1345"/>
    </row>
    <row r="831" spans="1:21">
      <c r="A831" s="1345"/>
      <c r="B831" s="1345"/>
      <c r="C831" s="1345"/>
      <c r="D831" s="1345"/>
      <c r="E831" s="1345"/>
      <c r="F831" s="1345"/>
      <c r="G831" s="1345"/>
      <c r="H831" s="1345"/>
      <c r="I831" s="1345"/>
      <c r="J831" s="1345"/>
      <c r="K831" s="1345"/>
      <c r="L831" s="1345"/>
      <c r="M831" s="1350"/>
      <c r="N831" s="1345"/>
      <c r="O831" s="1345"/>
      <c r="P831" s="1345"/>
      <c r="Q831" s="1345"/>
      <c r="R831" s="1345"/>
      <c r="S831" s="1345"/>
      <c r="T831" s="1345"/>
      <c r="U831" s="1345"/>
    </row>
    <row r="832" spans="1:21">
      <c r="A832" s="1345"/>
      <c r="B832" s="1345"/>
      <c r="C832" s="1345"/>
      <c r="D832" s="1345"/>
      <c r="E832" s="1345"/>
      <c r="F832" s="1345"/>
      <c r="G832" s="1345"/>
      <c r="H832" s="1345"/>
      <c r="I832" s="1345"/>
      <c r="J832" s="1345"/>
      <c r="K832" s="1345"/>
      <c r="L832" s="1345"/>
      <c r="M832" s="1350"/>
      <c r="N832" s="1345"/>
      <c r="O832" s="1345"/>
      <c r="P832" s="1345"/>
      <c r="Q832" s="1345"/>
      <c r="R832" s="1345"/>
      <c r="S832" s="1345"/>
      <c r="T832" s="1345"/>
      <c r="U832" s="1345"/>
    </row>
    <row r="833" spans="1:21">
      <c r="A833" s="1345"/>
      <c r="B833" s="1345"/>
      <c r="C833" s="1345"/>
      <c r="D833" s="1345"/>
      <c r="E833" s="1345"/>
      <c r="F833" s="1345"/>
      <c r="G833" s="1345"/>
      <c r="H833" s="1345"/>
      <c r="I833" s="1345"/>
      <c r="J833" s="1345"/>
      <c r="K833" s="1345"/>
      <c r="L833" s="1345"/>
      <c r="M833" s="1350"/>
      <c r="N833" s="1345"/>
      <c r="O833" s="1345"/>
      <c r="P833" s="1345"/>
      <c r="Q833" s="1345"/>
      <c r="R833" s="1345"/>
      <c r="S833" s="1345"/>
      <c r="T833" s="1345"/>
      <c r="U833" s="1345"/>
    </row>
    <row r="834" spans="1:21">
      <c r="A834" s="1345"/>
      <c r="B834" s="1345"/>
      <c r="C834" s="1345"/>
      <c r="D834" s="1345"/>
      <c r="E834" s="1345"/>
      <c r="F834" s="1345"/>
      <c r="G834" s="1345"/>
      <c r="H834" s="1345"/>
      <c r="I834" s="1345"/>
      <c r="J834" s="1345"/>
      <c r="K834" s="1345"/>
      <c r="L834" s="1345"/>
      <c r="M834" s="1350"/>
      <c r="N834" s="1345"/>
      <c r="O834" s="1345"/>
      <c r="P834" s="1345"/>
      <c r="Q834" s="1345"/>
      <c r="R834" s="1345"/>
      <c r="S834" s="1345"/>
      <c r="T834" s="1345"/>
      <c r="U834" s="1345"/>
    </row>
    <row r="835" spans="1:21">
      <c r="A835" s="1345"/>
      <c r="B835" s="1345"/>
      <c r="C835" s="1345"/>
      <c r="D835" s="1345"/>
      <c r="E835" s="1345"/>
      <c r="F835" s="1345"/>
      <c r="G835" s="1345"/>
      <c r="H835" s="1345"/>
      <c r="I835" s="1345"/>
      <c r="J835" s="1345"/>
      <c r="K835" s="1345"/>
      <c r="L835" s="1345"/>
      <c r="M835" s="1345"/>
      <c r="N835" s="1345"/>
      <c r="O835" s="1345"/>
      <c r="P835" s="1345"/>
      <c r="Q835" s="1345"/>
      <c r="R835" s="1345"/>
      <c r="S835" s="1345"/>
      <c r="T835" s="1345"/>
      <c r="U835" s="1345"/>
    </row>
    <row r="836" spans="1:21">
      <c r="A836" s="1345"/>
      <c r="B836" s="1345"/>
      <c r="C836" s="1345"/>
      <c r="D836" s="1345"/>
      <c r="E836" s="1345"/>
      <c r="F836" s="1345"/>
      <c r="G836" s="1345"/>
      <c r="H836" s="1345"/>
      <c r="I836" s="1345"/>
      <c r="J836" s="1345"/>
      <c r="K836" s="1345"/>
      <c r="L836" s="1345"/>
      <c r="M836" s="1350"/>
      <c r="N836" s="1345"/>
      <c r="O836" s="1345"/>
      <c r="P836" s="1345"/>
      <c r="Q836" s="1345"/>
      <c r="R836" s="1345"/>
      <c r="S836" s="1345"/>
      <c r="T836" s="1345"/>
      <c r="U836" s="1345"/>
    </row>
    <row r="837" spans="1:21">
      <c r="A837" s="1345"/>
      <c r="B837" s="1345"/>
      <c r="C837" s="1345"/>
      <c r="D837" s="1345"/>
      <c r="E837" s="1345"/>
      <c r="F837" s="1345"/>
      <c r="G837" s="1345"/>
      <c r="H837" s="1345"/>
      <c r="I837" s="1345"/>
      <c r="J837" s="1345"/>
      <c r="K837" s="1345"/>
      <c r="L837" s="1345"/>
      <c r="M837" s="1350"/>
      <c r="N837" s="1345"/>
      <c r="O837" s="1345"/>
      <c r="P837" s="1345"/>
      <c r="Q837" s="1345"/>
      <c r="R837" s="1345"/>
      <c r="S837" s="1345"/>
      <c r="T837" s="1345"/>
      <c r="U837" s="1345"/>
    </row>
    <row r="838" spans="1:21">
      <c r="A838" s="1345"/>
      <c r="B838" s="1345"/>
      <c r="C838" s="1345"/>
      <c r="D838" s="1345"/>
      <c r="E838" s="1345"/>
      <c r="F838" s="1345"/>
      <c r="G838" s="1345"/>
      <c r="H838" s="1345"/>
      <c r="I838" s="1345"/>
      <c r="J838" s="1345"/>
      <c r="K838" s="1345"/>
      <c r="L838" s="1345"/>
      <c r="M838" s="1350"/>
      <c r="N838" s="1345"/>
      <c r="O838" s="1345"/>
      <c r="P838" s="1345"/>
      <c r="Q838" s="1345"/>
      <c r="R838" s="1345"/>
      <c r="S838" s="1345"/>
      <c r="T838" s="1345"/>
      <c r="U838" s="1345"/>
    </row>
    <row r="839" spans="1:21">
      <c r="A839" s="1345"/>
      <c r="B839" s="1345"/>
      <c r="C839" s="1345"/>
      <c r="D839" s="1345"/>
      <c r="E839" s="1345"/>
      <c r="F839" s="1345"/>
      <c r="G839" s="1345"/>
      <c r="H839" s="1345"/>
      <c r="I839" s="1345"/>
      <c r="J839" s="1345"/>
      <c r="K839" s="1345"/>
      <c r="L839" s="1345"/>
      <c r="M839" s="1350"/>
      <c r="N839" s="1345"/>
      <c r="O839" s="1345"/>
      <c r="P839" s="1345"/>
      <c r="Q839" s="1345"/>
      <c r="R839" s="1345"/>
      <c r="S839" s="1345"/>
      <c r="T839" s="1345"/>
      <c r="U839" s="1345"/>
    </row>
    <row r="840" spans="1:21">
      <c r="A840" s="1345"/>
      <c r="B840" s="1345"/>
      <c r="C840" s="1345"/>
      <c r="D840" s="1345"/>
      <c r="E840" s="1345"/>
      <c r="F840" s="1345"/>
      <c r="G840" s="1345"/>
      <c r="H840" s="1345"/>
      <c r="I840" s="1345"/>
      <c r="J840" s="1345"/>
      <c r="K840" s="1345"/>
      <c r="L840" s="1345"/>
      <c r="M840" s="1350"/>
      <c r="N840" s="1345"/>
      <c r="O840" s="1345"/>
      <c r="P840" s="1345"/>
      <c r="Q840" s="1345"/>
      <c r="R840" s="1345"/>
      <c r="S840" s="1345"/>
      <c r="T840" s="1345"/>
      <c r="U840" s="1345"/>
    </row>
    <row r="841" spans="1:21">
      <c r="A841" s="1345"/>
      <c r="B841" s="1345"/>
      <c r="C841" s="1345"/>
      <c r="D841" s="1345"/>
      <c r="E841" s="1345"/>
      <c r="F841" s="1345"/>
      <c r="G841" s="1345"/>
      <c r="H841" s="1345"/>
      <c r="I841" s="1345"/>
      <c r="J841" s="1345"/>
      <c r="K841" s="1345"/>
      <c r="L841" s="1345"/>
      <c r="M841" s="1350"/>
      <c r="N841" s="1345"/>
      <c r="O841" s="1345"/>
      <c r="P841" s="1345"/>
      <c r="Q841" s="1345"/>
      <c r="R841" s="1345"/>
      <c r="S841" s="1345"/>
      <c r="T841" s="1345"/>
      <c r="U841" s="1345"/>
    </row>
    <row r="842" spans="1:21">
      <c r="A842" s="1345"/>
      <c r="B842" s="1345"/>
      <c r="C842" s="1345"/>
      <c r="D842" s="1345"/>
      <c r="E842" s="1345"/>
      <c r="F842" s="1345"/>
      <c r="G842" s="1345"/>
      <c r="H842" s="1345"/>
      <c r="I842" s="1345"/>
      <c r="J842" s="1345"/>
      <c r="K842" s="1345"/>
      <c r="L842" s="1345"/>
      <c r="M842" s="1350"/>
      <c r="N842" s="1345"/>
      <c r="O842" s="1345"/>
      <c r="P842" s="1345"/>
      <c r="Q842" s="1345"/>
      <c r="R842" s="1345"/>
      <c r="S842" s="1345"/>
      <c r="T842" s="1345"/>
      <c r="U842" s="1345"/>
    </row>
    <row r="843" spans="1:21">
      <c r="A843" s="1345"/>
      <c r="B843" s="1345"/>
      <c r="C843" s="1345"/>
      <c r="D843" s="1345"/>
      <c r="E843" s="1345"/>
      <c r="F843" s="1345"/>
      <c r="G843" s="1345"/>
      <c r="H843" s="1345"/>
      <c r="I843" s="1345"/>
      <c r="J843" s="1345"/>
      <c r="K843" s="1345"/>
      <c r="L843" s="1345"/>
      <c r="M843" s="1350"/>
      <c r="N843" s="1345"/>
      <c r="O843" s="1345"/>
      <c r="P843" s="1345"/>
      <c r="Q843" s="1345"/>
      <c r="R843" s="1345"/>
      <c r="S843" s="1345"/>
      <c r="T843" s="1345"/>
      <c r="U843" s="1345"/>
    </row>
    <row r="844" spans="1:21">
      <c r="A844" s="1345"/>
      <c r="B844" s="1345"/>
      <c r="C844" s="1345"/>
      <c r="D844" s="1345"/>
      <c r="E844" s="1345"/>
      <c r="F844" s="1345"/>
      <c r="G844" s="1345"/>
      <c r="H844" s="1345"/>
      <c r="I844" s="1345"/>
      <c r="J844" s="1345"/>
      <c r="K844" s="1345"/>
      <c r="L844" s="1345"/>
      <c r="M844" s="1350"/>
      <c r="N844" s="1345"/>
      <c r="O844" s="1345"/>
      <c r="P844" s="1345"/>
      <c r="Q844" s="1345"/>
      <c r="R844" s="1345"/>
      <c r="S844" s="1345"/>
      <c r="T844" s="1345"/>
      <c r="U844" s="1345"/>
    </row>
    <row r="845" spans="1:21">
      <c r="A845" s="1345"/>
      <c r="B845" s="1345"/>
      <c r="C845" s="1345"/>
      <c r="D845" s="1345"/>
      <c r="E845" s="1345"/>
      <c r="F845" s="1345"/>
      <c r="G845" s="1345"/>
      <c r="H845" s="1345"/>
      <c r="I845" s="1345"/>
      <c r="J845" s="1345"/>
      <c r="K845" s="1345"/>
      <c r="L845" s="1345"/>
      <c r="M845" s="1345"/>
      <c r="N845" s="1345"/>
      <c r="O845" s="1345"/>
      <c r="P845" s="1345"/>
      <c r="Q845" s="1345"/>
      <c r="R845" s="1345"/>
      <c r="S845" s="1345"/>
      <c r="T845" s="1345"/>
      <c r="U845" s="1345"/>
    </row>
    <row r="846" spans="1:21">
      <c r="A846" s="1345"/>
      <c r="B846" s="1345"/>
      <c r="C846" s="1345"/>
      <c r="D846" s="1345"/>
      <c r="E846" s="1345"/>
      <c r="F846" s="1345"/>
      <c r="G846" s="1345"/>
      <c r="H846" s="1345"/>
      <c r="I846" s="1345"/>
      <c r="J846" s="1345"/>
      <c r="K846" s="1345"/>
      <c r="L846" s="1345"/>
      <c r="M846" s="1345"/>
      <c r="N846" s="1345"/>
      <c r="O846" s="1345"/>
      <c r="P846" s="1345"/>
      <c r="Q846" s="1345"/>
      <c r="R846" s="1345"/>
      <c r="S846" s="1345"/>
      <c r="T846" s="1345"/>
      <c r="U846" s="1345"/>
    </row>
    <row r="847" spans="1:21">
      <c r="A847" s="1345"/>
      <c r="B847" s="1345"/>
      <c r="C847" s="1345"/>
      <c r="D847" s="1345"/>
      <c r="E847" s="1345"/>
      <c r="F847" s="1345"/>
      <c r="G847" s="1345"/>
      <c r="H847" s="1345"/>
      <c r="I847" s="1345"/>
      <c r="J847" s="1345"/>
      <c r="K847" s="1345"/>
      <c r="L847" s="1345"/>
      <c r="M847" s="1345"/>
      <c r="N847" s="1345"/>
      <c r="O847" s="1345"/>
      <c r="P847" s="1345"/>
      <c r="Q847" s="1345"/>
      <c r="R847" s="1345"/>
      <c r="S847" s="1345"/>
      <c r="T847" s="1345"/>
      <c r="U847" s="1345"/>
    </row>
    <row r="848" spans="1:21">
      <c r="A848" s="1345"/>
      <c r="B848" s="1345"/>
      <c r="C848" s="1345"/>
      <c r="D848" s="1345"/>
      <c r="E848" s="1345"/>
      <c r="F848" s="1345"/>
      <c r="G848" s="1345"/>
      <c r="H848" s="1345"/>
      <c r="I848" s="1345"/>
      <c r="J848" s="1345"/>
      <c r="K848" s="1345"/>
      <c r="L848" s="1345"/>
      <c r="M848" s="1345"/>
      <c r="N848" s="1345"/>
      <c r="O848" s="1345"/>
      <c r="P848" s="1345"/>
      <c r="Q848" s="1345"/>
      <c r="R848" s="1345"/>
      <c r="S848" s="1345"/>
      <c r="T848" s="1345"/>
      <c r="U848" s="1345"/>
    </row>
    <row r="849" spans="1:21">
      <c r="A849" s="1345"/>
      <c r="B849" s="1345"/>
      <c r="C849" s="1345"/>
      <c r="D849" s="1345"/>
      <c r="E849" s="1345"/>
      <c r="F849" s="1345"/>
      <c r="G849" s="1345"/>
      <c r="H849" s="1345"/>
      <c r="I849" s="1345"/>
      <c r="J849" s="1345"/>
      <c r="K849" s="1345"/>
      <c r="L849" s="1345"/>
      <c r="M849" s="1350"/>
      <c r="N849" s="1345"/>
      <c r="O849" s="1345"/>
      <c r="P849" s="1345"/>
      <c r="Q849" s="1345"/>
      <c r="R849" s="1345"/>
      <c r="S849" s="1345"/>
      <c r="T849" s="1345"/>
      <c r="U849" s="1345"/>
    </row>
    <row r="850" spans="1:21">
      <c r="A850" s="1345"/>
      <c r="B850" s="1345"/>
      <c r="C850" s="1345"/>
      <c r="D850" s="1345"/>
      <c r="E850" s="1345"/>
      <c r="F850" s="1345"/>
      <c r="G850" s="1345"/>
      <c r="H850" s="1345"/>
      <c r="I850" s="1345"/>
      <c r="J850" s="1345"/>
      <c r="K850" s="1345"/>
      <c r="L850" s="1345"/>
      <c r="M850" s="1350"/>
      <c r="N850" s="1345"/>
      <c r="O850" s="1345"/>
      <c r="P850" s="1345"/>
      <c r="Q850" s="1345"/>
      <c r="R850" s="1345"/>
      <c r="S850" s="1345"/>
      <c r="T850" s="1345"/>
      <c r="U850" s="1345"/>
    </row>
    <row r="851" spans="1:21">
      <c r="A851" s="1345"/>
      <c r="B851" s="1345"/>
      <c r="C851" s="1345"/>
      <c r="D851" s="1345"/>
      <c r="E851" s="1345"/>
      <c r="F851" s="1345"/>
      <c r="G851" s="1345"/>
      <c r="H851" s="1345"/>
      <c r="I851" s="1345"/>
      <c r="J851" s="1345"/>
      <c r="K851" s="1345"/>
      <c r="L851" s="1345"/>
      <c r="M851" s="1350"/>
      <c r="N851" s="1345"/>
      <c r="O851" s="1345"/>
      <c r="P851" s="1345"/>
      <c r="Q851" s="1345"/>
      <c r="R851" s="1345"/>
      <c r="S851" s="1345"/>
      <c r="T851" s="1345"/>
      <c r="U851" s="1345"/>
    </row>
    <row r="852" spans="1:21">
      <c r="A852" s="1345"/>
      <c r="B852" s="1345"/>
      <c r="C852" s="1345"/>
      <c r="D852" s="1345"/>
      <c r="E852" s="1345"/>
      <c r="F852" s="1345"/>
      <c r="G852" s="1345"/>
      <c r="H852" s="1345"/>
      <c r="I852" s="1345"/>
      <c r="J852" s="1345"/>
      <c r="K852" s="1345"/>
      <c r="L852" s="1345"/>
      <c r="M852" s="1350"/>
      <c r="N852" s="1345"/>
      <c r="O852" s="1345"/>
      <c r="P852" s="1345"/>
      <c r="Q852" s="1345"/>
      <c r="R852" s="1345"/>
      <c r="S852" s="1345"/>
      <c r="T852" s="1345"/>
      <c r="U852" s="1345"/>
    </row>
    <row r="853" spans="1:21">
      <c r="A853" s="1345"/>
      <c r="B853" s="1345"/>
      <c r="C853" s="1345"/>
      <c r="D853" s="1345"/>
      <c r="E853" s="1345"/>
      <c r="F853" s="1345"/>
      <c r="G853" s="1345"/>
      <c r="H853" s="1345"/>
      <c r="I853" s="1345"/>
      <c r="J853" s="1345"/>
      <c r="K853" s="1345"/>
      <c r="L853" s="1345"/>
      <c r="M853" s="1345"/>
      <c r="N853" s="1345"/>
      <c r="O853" s="1345"/>
      <c r="P853" s="1345"/>
      <c r="Q853" s="1345"/>
      <c r="R853" s="1345"/>
      <c r="S853" s="1345"/>
      <c r="T853" s="1345"/>
      <c r="U853" s="1345"/>
    </row>
    <row r="854" spans="1:21">
      <c r="A854" s="1345"/>
      <c r="B854" s="1345"/>
      <c r="C854" s="1345"/>
      <c r="D854" s="1345"/>
      <c r="E854" s="1345"/>
      <c r="F854" s="1345"/>
      <c r="G854" s="1345"/>
      <c r="H854" s="1345"/>
      <c r="I854" s="1345"/>
      <c r="J854" s="1345"/>
      <c r="K854" s="1345"/>
      <c r="L854" s="1345"/>
      <c r="M854" s="1350"/>
      <c r="N854" s="1345"/>
      <c r="O854" s="1345"/>
      <c r="P854" s="1345"/>
      <c r="Q854" s="1345"/>
      <c r="R854" s="1345"/>
      <c r="S854" s="1345"/>
      <c r="T854" s="1345"/>
      <c r="U854" s="1345"/>
    </row>
    <row r="855" spans="1:21">
      <c r="A855" s="1345"/>
      <c r="B855" s="1345"/>
      <c r="C855" s="1345"/>
      <c r="D855" s="1345"/>
      <c r="E855" s="1345"/>
      <c r="F855" s="1345"/>
      <c r="G855" s="1345"/>
      <c r="H855" s="1345"/>
      <c r="I855" s="1345"/>
      <c r="J855" s="1345"/>
      <c r="K855" s="1345"/>
      <c r="L855" s="1345"/>
      <c r="M855" s="1350"/>
      <c r="N855" s="1345"/>
      <c r="O855" s="1345"/>
      <c r="P855" s="1345"/>
      <c r="Q855" s="1345"/>
      <c r="R855" s="1345"/>
      <c r="S855" s="1345"/>
      <c r="T855" s="1345"/>
      <c r="U855" s="1345"/>
    </row>
    <row r="856" spans="1:21">
      <c r="A856" s="1345"/>
      <c r="B856" s="1345"/>
      <c r="C856" s="1345"/>
      <c r="D856" s="1345"/>
      <c r="E856" s="1345"/>
      <c r="F856" s="1345"/>
      <c r="G856" s="1345"/>
      <c r="H856" s="1345"/>
      <c r="I856" s="1345"/>
      <c r="J856" s="1345"/>
      <c r="K856" s="1345"/>
      <c r="L856" s="1345"/>
      <c r="M856" s="1350"/>
      <c r="N856" s="1345"/>
      <c r="O856" s="1345"/>
      <c r="P856" s="1345"/>
      <c r="Q856" s="1345"/>
      <c r="R856" s="1345"/>
      <c r="S856" s="1345"/>
      <c r="T856" s="1345"/>
      <c r="U856" s="1345"/>
    </row>
    <row r="857" spans="1:21">
      <c r="A857" s="1345"/>
      <c r="B857" s="1345"/>
      <c r="C857" s="1345"/>
      <c r="D857" s="1345"/>
      <c r="E857" s="1345"/>
      <c r="F857" s="1345"/>
      <c r="G857" s="1345"/>
      <c r="H857" s="1345"/>
      <c r="I857" s="1345"/>
      <c r="J857" s="1345"/>
      <c r="K857" s="1345"/>
      <c r="L857" s="1345"/>
      <c r="M857" s="1350"/>
      <c r="N857" s="1345"/>
      <c r="O857" s="1345"/>
      <c r="P857" s="1345"/>
      <c r="Q857" s="1345"/>
      <c r="R857" s="1345"/>
      <c r="S857" s="1345"/>
      <c r="T857" s="1345"/>
      <c r="U857" s="1345"/>
    </row>
    <row r="858" spans="1:21">
      <c r="A858" s="1345"/>
      <c r="B858" s="1345"/>
      <c r="C858" s="1345"/>
      <c r="D858" s="1345"/>
      <c r="E858" s="1345"/>
      <c r="F858" s="1345"/>
      <c r="G858" s="1345"/>
      <c r="H858" s="1345"/>
      <c r="I858" s="1345"/>
      <c r="J858" s="1345"/>
      <c r="K858" s="1345"/>
      <c r="L858" s="1345"/>
      <c r="M858" s="1350"/>
      <c r="N858" s="1345"/>
      <c r="O858" s="1345"/>
      <c r="P858" s="1345"/>
      <c r="Q858" s="1345"/>
      <c r="R858" s="1345"/>
      <c r="S858" s="1345"/>
      <c r="T858" s="1345"/>
      <c r="U858" s="1345"/>
    </row>
    <row r="859" spans="1:21">
      <c r="A859" s="1345"/>
      <c r="B859" s="1345"/>
      <c r="C859" s="1345"/>
      <c r="D859" s="1345"/>
      <c r="E859" s="1345"/>
      <c r="F859" s="1345"/>
      <c r="G859" s="1345"/>
      <c r="H859" s="1345"/>
      <c r="I859" s="1345"/>
      <c r="J859" s="1345"/>
      <c r="K859" s="1345"/>
      <c r="L859" s="1345"/>
      <c r="M859" s="1350"/>
      <c r="N859" s="1345"/>
      <c r="O859" s="1345"/>
      <c r="P859" s="1345"/>
      <c r="Q859" s="1345"/>
      <c r="R859" s="1345"/>
      <c r="S859" s="1345"/>
      <c r="T859" s="1345"/>
      <c r="U859" s="1345"/>
    </row>
    <row r="860" spans="1:21">
      <c r="A860" s="1345"/>
      <c r="B860" s="1345"/>
      <c r="C860" s="1345"/>
      <c r="D860" s="1345"/>
      <c r="E860" s="1345"/>
      <c r="F860" s="1345"/>
      <c r="G860" s="1345"/>
      <c r="H860" s="1345"/>
      <c r="I860" s="1345"/>
      <c r="J860" s="1345"/>
      <c r="K860" s="1345"/>
      <c r="L860" s="1345"/>
      <c r="M860" s="1350"/>
      <c r="N860" s="1345"/>
      <c r="O860" s="1345"/>
      <c r="P860" s="1345"/>
      <c r="Q860" s="1345"/>
      <c r="R860" s="1345"/>
      <c r="S860" s="1345"/>
      <c r="T860" s="1345"/>
      <c r="U860" s="1345"/>
    </row>
    <row r="861" spans="1:21">
      <c r="A861" s="1345"/>
      <c r="B861" s="1345"/>
      <c r="C861" s="1345"/>
      <c r="D861" s="1345"/>
      <c r="E861" s="1345"/>
      <c r="F861" s="1345"/>
      <c r="G861" s="1345"/>
      <c r="H861" s="1345"/>
      <c r="I861" s="1345"/>
      <c r="J861" s="1345"/>
      <c r="K861" s="1345"/>
      <c r="L861" s="1345"/>
      <c r="M861" s="1350"/>
      <c r="N861" s="1345"/>
      <c r="O861" s="1345"/>
      <c r="P861" s="1345"/>
      <c r="Q861" s="1345"/>
      <c r="R861" s="1345"/>
      <c r="S861" s="1345"/>
      <c r="T861" s="1345"/>
      <c r="U861" s="1345"/>
    </row>
    <row r="862" spans="1:21">
      <c r="A862" s="1345"/>
      <c r="B862" s="1345"/>
      <c r="C862" s="1345"/>
      <c r="D862" s="1345"/>
      <c r="E862" s="1345"/>
      <c r="F862" s="1345"/>
      <c r="G862" s="1345"/>
      <c r="H862" s="1345"/>
      <c r="I862" s="1345"/>
      <c r="J862" s="1345"/>
      <c r="K862" s="1345"/>
      <c r="L862" s="1345"/>
      <c r="M862" s="1350"/>
      <c r="N862" s="1345"/>
      <c r="O862" s="1345"/>
      <c r="P862" s="1345"/>
      <c r="Q862" s="1345"/>
      <c r="R862" s="1345"/>
      <c r="S862" s="1345"/>
      <c r="T862" s="1345"/>
      <c r="U862" s="1345"/>
    </row>
    <row r="863" spans="1:21">
      <c r="A863" s="1345"/>
      <c r="B863" s="1345"/>
      <c r="C863" s="1345"/>
      <c r="D863" s="1345"/>
      <c r="E863" s="1345"/>
      <c r="F863" s="1345"/>
      <c r="G863" s="1345"/>
      <c r="H863" s="1345"/>
      <c r="I863" s="1345"/>
      <c r="J863" s="1345"/>
      <c r="K863" s="1345"/>
      <c r="L863" s="1345"/>
      <c r="M863" s="1350"/>
      <c r="N863" s="1345"/>
      <c r="O863" s="1345"/>
      <c r="P863" s="1345"/>
      <c r="Q863" s="1345"/>
      <c r="R863" s="1345"/>
      <c r="S863" s="1345"/>
      <c r="T863" s="1345"/>
      <c r="U863" s="1345"/>
    </row>
    <row r="864" spans="1:21">
      <c r="A864" s="1345"/>
      <c r="B864" s="1345"/>
      <c r="C864" s="1345"/>
      <c r="D864" s="1345"/>
      <c r="E864" s="1345"/>
      <c r="F864" s="1345"/>
      <c r="G864" s="1345"/>
      <c r="H864" s="1345"/>
      <c r="I864" s="1345"/>
      <c r="J864" s="1345"/>
      <c r="K864" s="1345"/>
      <c r="L864" s="1345"/>
      <c r="M864" s="1350"/>
      <c r="N864" s="1345"/>
      <c r="O864" s="1345"/>
      <c r="P864" s="1345"/>
      <c r="Q864" s="1345"/>
      <c r="R864" s="1345"/>
      <c r="S864" s="1345"/>
      <c r="T864" s="1345"/>
      <c r="U864" s="1345"/>
    </row>
    <row r="865" spans="1:21">
      <c r="A865" s="1345"/>
      <c r="B865" s="1345"/>
      <c r="C865" s="1345"/>
      <c r="D865" s="1345"/>
      <c r="E865" s="1345"/>
      <c r="F865" s="1345"/>
      <c r="G865" s="1345"/>
      <c r="H865" s="1345"/>
      <c r="I865" s="1345"/>
      <c r="J865" s="1345"/>
      <c r="K865" s="1345"/>
      <c r="L865" s="1345"/>
      <c r="M865" s="1350"/>
      <c r="N865" s="1345"/>
      <c r="O865" s="1345"/>
      <c r="P865" s="1345"/>
      <c r="Q865" s="1345"/>
      <c r="R865" s="1345"/>
      <c r="S865" s="1345"/>
      <c r="T865" s="1345"/>
      <c r="U865" s="1345"/>
    </row>
    <row r="866" spans="1:21">
      <c r="A866" s="1345"/>
      <c r="B866" s="1345"/>
      <c r="C866" s="1345"/>
      <c r="D866" s="1345"/>
      <c r="E866" s="1345"/>
      <c r="F866" s="1345"/>
      <c r="G866" s="1345"/>
      <c r="H866" s="1345"/>
      <c r="I866" s="1345"/>
      <c r="J866" s="1345"/>
      <c r="K866" s="1345"/>
      <c r="L866" s="1345"/>
      <c r="M866" s="1350"/>
      <c r="N866" s="1345"/>
      <c r="O866" s="1345"/>
      <c r="P866" s="1345"/>
      <c r="Q866" s="1345"/>
      <c r="R866" s="1345"/>
      <c r="S866" s="1345"/>
      <c r="T866" s="1345"/>
      <c r="U866" s="1345"/>
    </row>
    <row r="867" spans="1:21">
      <c r="A867" s="1345"/>
      <c r="B867" s="1345"/>
      <c r="C867" s="1345"/>
      <c r="D867" s="1345"/>
      <c r="E867" s="1345"/>
      <c r="F867" s="1345"/>
      <c r="G867" s="1345"/>
      <c r="H867" s="1345"/>
      <c r="I867" s="1345"/>
      <c r="J867" s="1345"/>
      <c r="K867" s="1345"/>
      <c r="L867" s="1345"/>
      <c r="M867" s="1350"/>
      <c r="N867" s="1345"/>
      <c r="O867" s="1345"/>
      <c r="P867" s="1345"/>
      <c r="Q867" s="1345"/>
      <c r="R867" s="1345"/>
      <c r="S867" s="1345"/>
      <c r="T867" s="1345"/>
      <c r="U867" s="1345"/>
    </row>
    <row r="868" spans="1:21">
      <c r="A868" s="1345"/>
      <c r="B868" s="1345"/>
      <c r="C868" s="1345"/>
      <c r="D868" s="1345"/>
      <c r="E868" s="1345"/>
      <c r="F868" s="1345"/>
      <c r="G868" s="1345"/>
      <c r="H868" s="1345"/>
      <c r="I868" s="1345"/>
      <c r="J868" s="1345"/>
      <c r="K868" s="1345"/>
      <c r="L868" s="1345"/>
      <c r="M868" s="1350"/>
      <c r="N868" s="1345"/>
      <c r="O868" s="1345"/>
      <c r="P868" s="1345"/>
      <c r="Q868" s="1345"/>
      <c r="R868" s="1345"/>
      <c r="S868" s="1345"/>
      <c r="T868" s="1345"/>
      <c r="U868" s="1345"/>
    </row>
    <row r="869" spans="1:21">
      <c r="A869" s="1345"/>
      <c r="B869" s="1345"/>
      <c r="C869" s="1345"/>
      <c r="D869" s="1345"/>
      <c r="E869" s="1345"/>
      <c r="F869" s="1345"/>
      <c r="G869" s="1345"/>
      <c r="H869" s="1345"/>
      <c r="I869" s="1345"/>
      <c r="J869" s="1345"/>
      <c r="K869" s="1345"/>
      <c r="L869" s="1345"/>
      <c r="M869" s="1350"/>
      <c r="N869" s="1345"/>
      <c r="O869" s="1345"/>
      <c r="P869" s="1345"/>
      <c r="Q869" s="1345"/>
      <c r="R869" s="1345"/>
      <c r="S869" s="1345"/>
      <c r="T869" s="1345"/>
      <c r="U869" s="1345"/>
    </row>
    <row r="870" spans="1:21">
      <c r="A870" s="1345"/>
      <c r="B870" s="1345"/>
      <c r="C870" s="1345"/>
      <c r="D870" s="1345"/>
      <c r="E870" s="1345"/>
      <c r="F870" s="1345"/>
      <c r="G870" s="1345"/>
      <c r="H870" s="1345"/>
      <c r="I870" s="1345"/>
      <c r="J870" s="1345"/>
      <c r="K870" s="1345"/>
      <c r="L870" s="1345"/>
      <c r="M870" s="1350"/>
      <c r="N870" s="1345"/>
      <c r="O870" s="1345"/>
      <c r="P870" s="1345"/>
      <c r="Q870" s="1345"/>
      <c r="R870" s="1345"/>
      <c r="S870" s="1345"/>
      <c r="T870" s="1345"/>
      <c r="U870" s="1345"/>
    </row>
    <row r="871" spans="1:21">
      <c r="A871" s="1345"/>
      <c r="B871" s="1345"/>
      <c r="C871" s="1345"/>
      <c r="D871" s="1345"/>
      <c r="E871" s="1345"/>
      <c r="F871" s="1345"/>
      <c r="G871" s="1345"/>
      <c r="H871" s="1345"/>
      <c r="I871" s="1345"/>
      <c r="J871" s="1345"/>
      <c r="K871" s="1345"/>
      <c r="L871" s="1345"/>
      <c r="M871" s="1350"/>
      <c r="N871" s="1345"/>
      <c r="O871" s="1345"/>
      <c r="P871" s="1345"/>
      <c r="Q871" s="1345"/>
      <c r="R871" s="1345"/>
      <c r="S871" s="1345"/>
      <c r="T871" s="1345"/>
      <c r="U871" s="1345"/>
    </row>
    <row r="872" spans="1:21">
      <c r="A872" s="1345"/>
      <c r="B872" s="1345"/>
      <c r="C872" s="1345"/>
      <c r="D872" s="1345"/>
      <c r="E872" s="1345"/>
      <c r="F872" s="1345"/>
      <c r="G872" s="1345"/>
      <c r="H872" s="1345"/>
      <c r="I872" s="1345"/>
      <c r="J872" s="1345"/>
      <c r="K872" s="1345"/>
      <c r="L872" s="1345"/>
      <c r="M872" s="1350"/>
      <c r="N872" s="1345"/>
      <c r="O872" s="1345"/>
      <c r="P872" s="1345"/>
      <c r="Q872" s="1345"/>
      <c r="R872" s="1345"/>
      <c r="S872" s="1345"/>
      <c r="T872" s="1345"/>
      <c r="U872" s="1345"/>
    </row>
    <row r="873" spans="1:21">
      <c r="A873" s="1345"/>
      <c r="B873" s="1345"/>
      <c r="C873" s="1345"/>
      <c r="D873" s="1345"/>
      <c r="E873" s="1345"/>
      <c r="F873" s="1345"/>
      <c r="G873" s="1345"/>
      <c r="H873" s="1345"/>
      <c r="I873" s="1345"/>
      <c r="J873" s="1345"/>
      <c r="K873" s="1345"/>
      <c r="L873" s="1345"/>
      <c r="M873" s="1350"/>
      <c r="N873" s="1345"/>
      <c r="O873" s="1345"/>
      <c r="P873" s="1345"/>
      <c r="Q873" s="1345"/>
      <c r="R873" s="1345"/>
      <c r="S873" s="1345"/>
      <c r="T873" s="1345"/>
      <c r="U873" s="1345"/>
    </row>
    <row r="874" spans="1:21">
      <c r="A874" s="1345"/>
      <c r="B874" s="1345"/>
      <c r="C874" s="1345"/>
      <c r="D874" s="1345"/>
      <c r="E874" s="1345"/>
      <c r="F874" s="1345"/>
      <c r="G874" s="1345"/>
      <c r="H874" s="1345"/>
      <c r="I874" s="1345"/>
      <c r="J874" s="1345"/>
      <c r="K874" s="1345"/>
      <c r="L874" s="1345"/>
      <c r="M874" s="1350"/>
      <c r="N874" s="1345"/>
      <c r="O874" s="1345"/>
      <c r="P874" s="1345"/>
      <c r="Q874" s="1345"/>
      <c r="R874" s="1345"/>
      <c r="S874" s="1345"/>
      <c r="T874" s="1345"/>
      <c r="U874" s="1345"/>
    </row>
    <row r="875" spans="1:21">
      <c r="A875" s="1345"/>
      <c r="B875" s="1345"/>
      <c r="C875" s="1345"/>
      <c r="D875" s="1345"/>
      <c r="E875" s="1345"/>
      <c r="F875" s="1345"/>
      <c r="G875" s="1345"/>
      <c r="H875" s="1345"/>
      <c r="I875" s="1345"/>
      <c r="J875" s="1345"/>
      <c r="K875" s="1345"/>
      <c r="L875" s="1345"/>
      <c r="M875" s="1350"/>
      <c r="N875" s="1345"/>
      <c r="O875" s="1345"/>
      <c r="P875" s="1345"/>
      <c r="Q875" s="1345"/>
      <c r="R875" s="1345"/>
      <c r="S875" s="1345"/>
      <c r="T875" s="1345"/>
      <c r="U875" s="1345"/>
    </row>
    <row r="876" spans="1:21">
      <c r="A876" s="1345"/>
      <c r="B876" s="1345"/>
      <c r="C876" s="1345"/>
      <c r="D876" s="1345"/>
      <c r="E876" s="1345"/>
      <c r="F876" s="1345"/>
      <c r="G876" s="1345"/>
      <c r="H876" s="1345"/>
      <c r="I876" s="1345"/>
      <c r="J876" s="1345"/>
      <c r="K876" s="1345"/>
      <c r="L876" s="1345"/>
      <c r="M876" s="1350"/>
      <c r="N876" s="1345"/>
      <c r="O876" s="1345"/>
      <c r="P876" s="1345"/>
      <c r="Q876" s="1345"/>
      <c r="R876" s="1345"/>
      <c r="S876" s="1345"/>
      <c r="T876" s="1345"/>
      <c r="U876" s="1345"/>
    </row>
    <row r="877" spans="1:21">
      <c r="A877" s="1345"/>
      <c r="B877" s="1345"/>
      <c r="C877" s="1345"/>
      <c r="D877" s="1345"/>
      <c r="E877" s="1345"/>
      <c r="F877" s="1345"/>
      <c r="G877" s="1345"/>
      <c r="H877" s="1345"/>
      <c r="I877" s="1345"/>
      <c r="J877" s="1345"/>
      <c r="K877" s="1345"/>
      <c r="L877" s="1345"/>
      <c r="M877" s="1350"/>
      <c r="N877" s="1345"/>
      <c r="O877" s="1345"/>
      <c r="P877" s="1345"/>
      <c r="Q877" s="1345"/>
      <c r="R877" s="1345"/>
      <c r="S877" s="1345"/>
      <c r="T877" s="1345"/>
      <c r="U877" s="1345"/>
    </row>
    <row r="878" spans="1:21">
      <c r="A878" s="1345"/>
      <c r="B878" s="1345"/>
      <c r="C878" s="1345"/>
      <c r="D878" s="1345"/>
      <c r="E878" s="1345"/>
      <c r="F878" s="1345"/>
      <c r="G878" s="1345"/>
      <c r="H878" s="1345"/>
      <c r="I878" s="1345"/>
      <c r="J878" s="1345"/>
      <c r="K878" s="1345"/>
      <c r="L878" s="1345"/>
      <c r="M878" s="1350"/>
      <c r="N878" s="1345"/>
      <c r="O878" s="1345"/>
      <c r="P878" s="1345"/>
      <c r="Q878" s="1345"/>
      <c r="R878" s="1345"/>
      <c r="S878" s="1345"/>
      <c r="T878" s="1345"/>
      <c r="U878" s="1345"/>
    </row>
    <row r="879" spans="1:21">
      <c r="A879" s="1345"/>
      <c r="B879" s="1345"/>
      <c r="C879" s="1345"/>
      <c r="D879" s="1345"/>
      <c r="E879" s="1345"/>
      <c r="F879" s="1345"/>
      <c r="G879" s="1345"/>
      <c r="H879" s="1345"/>
      <c r="I879" s="1345"/>
      <c r="J879" s="1345"/>
      <c r="K879" s="1345"/>
      <c r="L879" s="1345"/>
      <c r="M879" s="1350"/>
      <c r="N879" s="1345"/>
      <c r="O879" s="1345"/>
      <c r="P879" s="1345"/>
      <c r="Q879" s="1345"/>
      <c r="R879" s="1345"/>
      <c r="S879" s="1345"/>
      <c r="T879" s="1345"/>
      <c r="U879" s="1345"/>
    </row>
    <row r="880" spans="1:21">
      <c r="A880" s="1345"/>
      <c r="B880" s="1345"/>
      <c r="C880" s="1345"/>
      <c r="D880" s="1345"/>
      <c r="E880" s="1345"/>
      <c r="F880" s="1345"/>
      <c r="G880" s="1345"/>
      <c r="H880" s="1345"/>
      <c r="I880" s="1345"/>
      <c r="J880" s="1345"/>
      <c r="K880" s="1345"/>
      <c r="L880" s="1345"/>
      <c r="M880" s="1350"/>
      <c r="N880" s="1345"/>
      <c r="O880" s="1345"/>
      <c r="P880" s="1345"/>
      <c r="Q880" s="1345"/>
      <c r="R880" s="1345"/>
      <c r="S880" s="1345"/>
      <c r="T880" s="1345"/>
      <c r="U880" s="1345"/>
    </row>
    <row r="881" spans="1:21">
      <c r="A881" s="1345"/>
      <c r="B881" s="1345"/>
      <c r="C881" s="1345"/>
      <c r="D881" s="1345"/>
      <c r="E881" s="1345"/>
      <c r="F881" s="1345"/>
      <c r="G881" s="1345"/>
      <c r="H881" s="1345"/>
      <c r="I881" s="1345"/>
      <c r="J881" s="1345"/>
      <c r="K881" s="1345"/>
      <c r="L881" s="1345"/>
      <c r="M881" s="1350"/>
      <c r="N881" s="1345"/>
      <c r="O881" s="1345"/>
      <c r="P881" s="1345"/>
      <c r="Q881" s="1345"/>
      <c r="R881" s="1345"/>
      <c r="S881" s="1345"/>
      <c r="T881" s="1345"/>
      <c r="U881" s="1345"/>
    </row>
    <row r="882" spans="1:21">
      <c r="A882" s="1345"/>
      <c r="B882" s="1345"/>
      <c r="C882" s="1345"/>
      <c r="D882" s="1345"/>
      <c r="E882" s="1345"/>
      <c r="F882" s="1345"/>
      <c r="G882" s="1345"/>
      <c r="H882" s="1345"/>
      <c r="I882" s="1345"/>
      <c r="J882" s="1345"/>
      <c r="K882" s="1345"/>
      <c r="L882" s="1345"/>
      <c r="M882" s="1345"/>
      <c r="N882" s="1345"/>
      <c r="O882" s="1345"/>
      <c r="P882" s="1345"/>
      <c r="Q882" s="1345"/>
      <c r="R882" s="1345"/>
      <c r="S882" s="1345"/>
      <c r="T882" s="1345"/>
      <c r="U882" s="1345"/>
    </row>
    <row r="883" spans="1:21">
      <c r="A883" s="1345"/>
      <c r="B883" s="1345"/>
      <c r="C883" s="1345"/>
      <c r="D883" s="1345"/>
      <c r="E883" s="1345"/>
      <c r="F883" s="1345"/>
      <c r="G883" s="1345"/>
      <c r="H883" s="1345"/>
      <c r="I883" s="1345"/>
      <c r="J883" s="1345"/>
      <c r="K883" s="1345"/>
      <c r="L883" s="1345"/>
      <c r="M883" s="1345"/>
      <c r="N883" s="1345"/>
      <c r="O883" s="1345"/>
      <c r="P883" s="1345"/>
      <c r="Q883" s="1345"/>
      <c r="R883" s="1345"/>
      <c r="S883" s="1345"/>
      <c r="T883" s="1345"/>
      <c r="U883" s="1345"/>
    </row>
    <row r="884" spans="1:21">
      <c r="A884" s="1345"/>
      <c r="B884" s="1345"/>
      <c r="C884" s="1345"/>
      <c r="D884" s="1345"/>
      <c r="E884" s="1345"/>
      <c r="F884" s="1345"/>
      <c r="G884" s="1345"/>
      <c r="H884" s="1345"/>
      <c r="I884" s="1345"/>
      <c r="J884" s="1345"/>
      <c r="K884" s="1345"/>
      <c r="L884" s="1345"/>
      <c r="M884" s="1345"/>
      <c r="N884" s="1345"/>
      <c r="O884" s="1345"/>
      <c r="P884" s="1345"/>
      <c r="Q884" s="1345"/>
      <c r="R884" s="1345"/>
      <c r="S884" s="1345"/>
      <c r="T884" s="1345"/>
      <c r="U884" s="1345"/>
    </row>
    <row r="885" spans="1:21">
      <c r="A885" s="1345"/>
      <c r="B885" s="1345"/>
      <c r="C885" s="1345"/>
      <c r="D885" s="1345"/>
      <c r="E885" s="1345"/>
      <c r="F885" s="1345"/>
      <c r="G885" s="1345"/>
      <c r="H885" s="1345"/>
      <c r="I885" s="1345"/>
      <c r="J885" s="1345"/>
      <c r="K885" s="1345"/>
      <c r="L885" s="1345"/>
      <c r="M885" s="1345"/>
      <c r="N885" s="1345"/>
      <c r="O885" s="1345"/>
      <c r="P885" s="1345"/>
      <c r="Q885" s="1345"/>
      <c r="R885" s="1345"/>
      <c r="S885" s="1345"/>
      <c r="T885" s="1345"/>
      <c r="U885" s="1345"/>
    </row>
    <row r="886" spans="1:21">
      <c r="A886" s="1345"/>
      <c r="B886" s="1345"/>
      <c r="C886" s="1345"/>
      <c r="D886" s="1345"/>
      <c r="E886" s="1345"/>
      <c r="F886" s="1345"/>
      <c r="G886" s="1345"/>
      <c r="H886" s="1345"/>
      <c r="I886" s="1345"/>
      <c r="J886" s="1345"/>
      <c r="K886" s="1345"/>
      <c r="L886" s="1345"/>
      <c r="M886" s="1345"/>
      <c r="N886" s="1345"/>
      <c r="O886" s="1345"/>
      <c r="P886" s="1345"/>
      <c r="Q886" s="1345"/>
      <c r="R886" s="1345"/>
      <c r="S886" s="1345"/>
      <c r="T886" s="1345"/>
      <c r="U886" s="1345"/>
    </row>
    <row r="887" spans="1:21">
      <c r="A887" s="1345"/>
      <c r="B887" s="1345"/>
      <c r="C887" s="1345"/>
      <c r="D887" s="1345"/>
      <c r="E887" s="1345"/>
      <c r="F887" s="1345"/>
      <c r="G887" s="1345"/>
      <c r="H887" s="1345"/>
      <c r="I887" s="1345"/>
      <c r="J887" s="1345"/>
      <c r="K887" s="1345"/>
      <c r="L887" s="1345"/>
      <c r="M887" s="1350"/>
      <c r="N887" s="1345"/>
      <c r="O887" s="1345"/>
      <c r="P887" s="1345"/>
      <c r="Q887" s="1345"/>
      <c r="R887" s="1345"/>
      <c r="S887" s="1345"/>
      <c r="T887" s="1345"/>
      <c r="U887" s="1345"/>
    </row>
    <row r="888" spans="1:21">
      <c r="A888" s="1345"/>
      <c r="B888" s="1345"/>
      <c r="C888" s="1345"/>
      <c r="D888" s="1345"/>
      <c r="E888" s="1345"/>
      <c r="F888" s="1345"/>
      <c r="G888" s="1345"/>
      <c r="H888" s="1345"/>
      <c r="I888" s="1345"/>
      <c r="J888" s="1345"/>
      <c r="K888" s="1345"/>
      <c r="L888" s="1345"/>
      <c r="M888" s="1350"/>
      <c r="N888" s="1345"/>
      <c r="O888" s="1345"/>
      <c r="P888" s="1345"/>
      <c r="Q888" s="1345"/>
      <c r="R888" s="1345"/>
      <c r="S888" s="1345"/>
      <c r="T888" s="1345"/>
      <c r="U888" s="1345"/>
    </row>
    <row r="889" spans="1:21">
      <c r="A889" s="1345"/>
      <c r="B889" s="1345"/>
      <c r="C889" s="1345"/>
      <c r="D889" s="1345"/>
      <c r="E889" s="1345"/>
      <c r="F889" s="1345"/>
      <c r="G889" s="1345"/>
      <c r="H889" s="1345"/>
      <c r="I889" s="1345"/>
      <c r="J889" s="1345"/>
      <c r="K889" s="1345"/>
      <c r="L889" s="1345"/>
      <c r="M889" s="1350"/>
      <c r="N889" s="1345"/>
      <c r="O889" s="1345"/>
      <c r="P889" s="1345"/>
      <c r="Q889" s="1345"/>
      <c r="R889" s="1345"/>
      <c r="S889" s="1345"/>
      <c r="T889" s="1345"/>
      <c r="U889" s="1345"/>
    </row>
    <row r="890" spans="1:21">
      <c r="A890" s="1345"/>
      <c r="B890" s="1345"/>
      <c r="C890" s="1345"/>
      <c r="D890" s="1345"/>
      <c r="E890" s="1345"/>
      <c r="F890" s="1345"/>
      <c r="G890" s="1345"/>
      <c r="H890" s="1345"/>
      <c r="I890" s="1345"/>
      <c r="J890" s="1345"/>
      <c r="K890" s="1345"/>
      <c r="L890" s="1345"/>
      <c r="M890" s="1350"/>
      <c r="N890" s="1345"/>
      <c r="O890" s="1345"/>
      <c r="P890" s="1345"/>
      <c r="Q890" s="1345"/>
      <c r="R890" s="1345"/>
      <c r="S890" s="1345"/>
      <c r="T890" s="1345"/>
      <c r="U890" s="1345"/>
    </row>
    <row r="891" spans="1:21">
      <c r="A891" s="1345"/>
      <c r="B891" s="1345"/>
      <c r="C891" s="1345"/>
      <c r="D891" s="1345"/>
      <c r="E891" s="1345"/>
      <c r="F891" s="1345"/>
      <c r="G891" s="1345"/>
      <c r="H891" s="1345"/>
      <c r="I891" s="1345"/>
      <c r="J891" s="1345"/>
      <c r="K891" s="1345"/>
      <c r="L891" s="1345"/>
      <c r="M891" s="1345"/>
      <c r="N891" s="1345"/>
      <c r="O891" s="1345"/>
      <c r="P891" s="1345"/>
      <c r="Q891" s="1345"/>
      <c r="R891" s="1345"/>
      <c r="S891" s="1345"/>
      <c r="T891" s="1345"/>
      <c r="U891" s="1345"/>
    </row>
    <row r="892" spans="1:21">
      <c r="A892" s="1345"/>
      <c r="B892" s="1345"/>
      <c r="C892" s="1345"/>
      <c r="D892" s="1345"/>
      <c r="E892" s="1345"/>
      <c r="F892" s="1345"/>
      <c r="G892" s="1345"/>
      <c r="H892" s="1345"/>
      <c r="I892" s="1345"/>
      <c r="J892" s="1345"/>
      <c r="K892" s="1345"/>
      <c r="L892" s="1345"/>
      <c r="M892" s="1345"/>
      <c r="N892" s="1345"/>
      <c r="O892" s="1345"/>
      <c r="P892" s="1345"/>
      <c r="Q892" s="1345"/>
      <c r="R892" s="1345"/>
      <c r="S892" s="1345"/>
      <c r="T892" s="1345"/>
      <c r="U892" s="1345"/>
    </row>
    <row r="893" spans="1:21">
      <c r="A893" s="1345"/>
      <c r="B893" s="1345"/>
      <c r="C893" s="1345"/>
      <c r="D893" s="1345"/>
      <c r="E893" s="1345"/>
      <c r="F893" s="1345"/>
      <c r="G893" s="1345"/>
      <c r="H893" s="1345"/>
      <c r="I893" s="1345"/>
      <c r="J893" s="1345"/>
      <c r="K893" s="1345"/>
      <c r="L893" s="1345"/>
      <c r="M893" s="1345"/>
      <c r="N893" s="1345"/>
      <c r="O893" s="1345"/>
      <c r="P893" s="1345"/>
      <c r="Q893" s="1345"/>
      <c r="R893" s="1345"/>
      <c r="S893" s="1345"/>
      <c r="T893" s="1345"/>
      <c r="U893" s="1345"/>
    </row>
    <row r="894" spans="1:21">
      <c r="A894" s="1345"/>
      <c r="B894" s="1345"/>
      <c r="C894" s="1345"/>
      <c r="D894" s="1345"/>
      <c r="E894" s="1345"/>
      <c r="F894" s="1345"/>
      <c r="G894" s="1345"/>
      <c r="H894" s="1345"/>
      <c r="I894" s="1345"/>
      <c r="J894" s="1345"/>
      <c r="K894" s="1345"/>
      <c r="L894" s="1345"/>
      <c r="M894" s="1345"/>
      <c r="N894" s="1345"/>
      <c r="O894" s="1345"/>
      <c r="P894" s="1345"/>
      <c r="Q894" s="1345"/>
      <c r="R894" s="1345"/>
      <c r="S894" s="1345"/>
      <c r="T894" s="1345"/>
      <c r="U894" s="1345"/>
    </row>
    <row r="895" spans="1:21">
      <c r="A895" s="1345"/>
      <c r="B895" s="1345"/>
      <c r="C895" s="1345"/>
      <c r="D895" s="1345"/>
      <c r="E895" s="1345"/>
      <c r="F895" s="1345"/>
      <c r="G895" s="1345"/>
      <c r="H895" s="1345"/>
      <c r="I895" s="1345"/>
      <c r="J895" s="1345"/>
      <c r="K895" s="1345"/>
      <c r="L895" s="1345"/>
      <c r="M895" s="1345"/>
      <c r="N895" s="1345"/>
      <c r="O895" s="1345"/>
      <c r="P895" s="1345"/>
      <c r="Q895" s="1345"/>
      <c r="R895" s="1345"/>
      <c r="S895" s="1345"/>
      <c r="T895" s="1345"/>
      <c r="U895" s="1345"/>
    </row>
    <row r="896" spans="1:21">
      <c r="A896" s="1345"/>
      <c r="B896" s="1345"/>
      <c r="C896" s="1345"/>
      <c r="D896" s="1345"/>
      <c r="E896" s="1345"/>
      <c r="F896" s="1345"/>
      <c r="G896" s="1345"/>
      <c r="H896" s="1345"/>
      <c r="I896" s="1345"/>
      <c r="J896" s="1345"/>
      <c r="K896" s="1345"/>
      <c r="L896" s="1345"/>
      <c r="M896" s="1345"/>
      <c r="N896" s="1345"/>
      <c r="O896" s="1345"/>
      <c r="P896" s="1345"/>
      <c r="Q896" s="1345"/>
      <c r="R896" s="1345"/>
      <c r="S896" s="1345"/>
      <c r="T896" s="1345"/>
      <c r="U896" s="1345"/>
    </row>
    <row r="897" spans="1:21">
      <c r="A897" s="1345"/>
      <c r="B897" s="1345"/>
      <c r="C897" s="1345"/>
      <c r="D897" s="1345"/>
      <c r="E897" s="1345"/>
      <c r="F897" s="1345"/>
      <c r="G897" s="1345"/>
      <c r="H897" s="1345"/>
      <c r="I897" s="1345"/>
      <c r="J897" s="1345"/>
      <c r="K897" s="1345"/>
      <c r="L897" s="1345"/>
      <c r="M897" s="1345"/>
      <c r="N897" s="1345"/>
      <c r="O897" s="1345"/>
      <c r="P897" s="1345"/>
      <c r="Q897" s="1345"/>
      <c r="R897" s="1345"/>
      <c r="S897" s="1345"/>
      <c r="T897" s="1345"/>
      <c r="U897" s="1345"/>
    </row>
    <row r="898" spans="1:21">
      <c r="A898" s="1345"/>
      <c r="B898" s="1345"/>
      <c r="C898" s="1345"/>
      <c r="D898" s="1345"/>
      <c r="E898" s="1345"/>
      <c r="F898" s="1345"/>
      <c r="G898" s="1345"/>
      <c r="H898" s="1345"/>
      <c r="I898" s="1345"/>
      <c r="J898" s="1345"/>
      <c r="K898" s="1345"/>
      <c r="L898" s="1345"/>
      <c r="M898" s="1350"/>
      <c r="N898" s="1345"/>
      <c r="O898" s="1345"/>
      <c r="P898" s="1345"/>
      <c r="Q898" s="1345"/>
      <c r="R898" s="1345"/>
      <c r="S898" s="1345"/>
      <c r="T898" s="1345"/>
      <c r="U898" s="1345"/>
    </row>
    <row r="899" spans="1:21">
      <c r="A899" s="1345"/>
      <c r="B899" s="1345"/>
      <c r="C899" s="1345"/>
      <c r="D899" s="1345"/>
      <c r="E899" s="1345"/>
      <c r="F899" s="1345"/>
      <c r="G899" s="1345"/>
      <c r="H899" s="1345"/>
      <c r="I899" s="1345"/>
      <c r="J899" s="1345"/>
      <c r="K899" s="1345"/>
      <c r="L899" s="1345"/>
      <c r="M899" s="1350"/>
      <c r="N899" s="1345"/>
      <c r="O899" s="1345"/>
      <c r="P899" s="1345"/>
      <c r="Q899" s="1345"/>
      <c r="R899" s="1345"/>
      <c r="S899" s="1345"/>
      <c r="T899" s="1345"/>
      <c r="U899" s="1345"/>
    </row>
    <row r="900" spans="1:21">
      <c r="A900" s="1345"/>
      <c r="B900" s="1345"/>
      <c r="C900" s="1345"/>
      <c r="D900" s="1345"/>
      <c r="E900" s="1345"/>
      <c r="F900" s="1345"/>
      <c r="G900" s="1345"/>
      <c r="H900" s="1345"/>
      <c r="I900" s="1345"/>
      <c r="J900" s="1345"/>
      <c r="K900" s="1345"/>
      <c r="L900" s="1345"/>
      <c r="M900" s="1350"/>
      <c r="N900" s="1345"/>
      <c r="O900" s="1345"/>
      <c r="P900" s="1345"/>
      <c r="Q900" s="1345"/>
      <c r="R900" s="1345"/>
      <c r="S900" s="1345"/>
      <c r="T900" s="1345"/>
      <c r="U900" s="1345"/>
    </row>
    <row r="901" spans="1:21">
      <c r="A901" s="1345"/>
      <c r="B901" s="1345"/>
      <c r="C901" s="1345"/>
      <c r="D901" s="1345"/>
      <c r="E901" s="1345"/>
      <c r="F901" s="1345"/>
      <c r="G901" s="1345"/>
      <c r="H901" s="1345"/>
      <c r="I901" s="1345"/>
      <c r="J901" s="1345"/>
      <c r="K901" s="1345"/>
      <c r="L901" s="1345"/>
      <c r="M901" s="1350"/>
      <c r="N901" s="1345"/>
      <c r="O901" s="1345"/>
      <c r="P901" s="1345"/>
      <c r="Q901" s="1345"/>
      <c r="R901" s="1345"/>
      <c r="S901" s="1345"/>
      <c r="T901" s="1345"/>
      <c r="U901" s="1345"/>
    </row>
    <row r="902" spans="1:21">
      <c r="A902" s="1345"/>
      <c r="B902" s="1345"/>
      <c r="C902" s="1345"/>
      <c r="D902" s="1345"/>
      <c r="E902" s="1345"/>
      <c r="F902" s="1345"/>
      <c r="G902" s="1345"/>
      <c r="H902" s="1345"/>
      <c r="I902" s="1345"/>
      <c r="J902" s="1345"/>
      <c r="K902" s="1345"/>
      <c r="L902" s="1345"/>
      <c r="M902" s="1345"/>
      <c r="N902" s="1345"/>
      <c r="O902" s="1345"/>
      <c r="P902" s="1345"/>
      <c r="Q902" s="1345"/>
      <c r="R902" s="1345"/>
      <c r="S902" s="1345"/>
      <c r="T902" s="1345"/>
      <c r="U902" s="1345"/>
    </row>
    <row r="903" spans="1:21">
      <c r="A903" s="1345"/>
      <c r="B903" s="1345"/>
      <c r="C903" s="1345"/>
      <c r="D903" s="1345"/>
      <c r="E903" s="1345"/>
      <c r="F903" s="1345"/>
      <c r="G903" s="1345"/>
      <c r="H903" s="1345"/>
      <c r="I903" s="1345"/>
      <c r="J903" s="1345"/>
      <c r="K903" s="1345"/>
      <c r="L903" s="1345"/>
      <c r="M903" s="1345"/>
      <c r="N903" s="1345"/>
      <c r="O903" s="1345"/>
      <c r="P903" s="1345"/>
      <c r="Q903" s="1345"/>
      <c r="R903" s="1345"/>
      <c r="S903" s="1345"/>
      <c r="T903" s="1345"/>
      <c r="U903" s="1345"/>
    </row>
    <row r="904" spans="1:21">
      <c r="A904" s="1345"/>
      <c r="B904" s="1345"/>
      <c r="C904" s="1345"/>
      <c r="D904" s="1345"/>
      <c r="E904" s="1345"/>
      <c r="F904" s="1345"/>
      <c r="G904" s="1345"/>
      <c r="H904" s="1345"/>
      <c r="I904" s="1345"/>
      <c r="J904" s="1345"/>
      <c r="K904" s="1345"/>
      <c r="L904" s="1345"/>
      <c r="M904" s="1345"/>
      <c r="N904" s="1345"/>
      <c r="O904" s="1345"/>
      <c r="P904" s="1345"/>
      <c r="Q904" s="1345"/>
      <c r="R904" s="1345"/>
      <c r="S904" s="1345"/>
      <c r="T904" s="1345"/>
      <c r="U904" s="1345"/>
    </row>
    <row r="905" spans="1:21">
      <c r="A905" s="1345"/>
      <c r="B905" s="1345"/>
      <c r="C905" s="1345"/>
      <c r="D905" s="1345"/>
      <c r="E905" s="1345"/>
      <c r="F905" s="1345"/>
      <c r="G905" s="1345"/>
      <c r="H905" s="1345"/>
      <c r="I905" s="1345"/>
      <c r="J905" s="1345"/>
      <c r="K905" s="1345"/>
      <c r="L905" s="1345"/>
      <c r="M905" s="1345"/>
      <c r="N905" s="1345"/>
      <c r="O905" s="1345"/>
      <c r="P905" s="1345"/>
      <c r="Q905" s="1345"/>
      <c r="R905" s="1345"/>
      <c r="S905" s="1345"/>
      <c r="T905" s="1345"/>
      <c r="U905" s="1345"/>
    </row>
    <row r="906" spans="1:21">
      <c r="A906" s="1345"/>
      <c r="B906" s="1345"/>
      <c r="C906" s="1345"/>
      <c r="D906" s="1345"/>
      <c r="E906" s="1345"/>
      <c r="F906" s="1345"/>
      <c r="G906" s="1345"/>
      <c r="H906" s="1345"/>
      <c r="I906" s="1345"/>
      <c r="J906" s="1345"/>
      <c r="K906" s="1345"/>
      <c r="L906" s="1345"/>
      <c r="M906" s="1345"/>
      <c r="N906" s="1345"/>
      <c r="O906" s="1345"/>
      <c r="P906" s="1345"/>
      <c r="Q906" s="1345"/>
      <c r="R906" s="1345"/>
      <c r="S906" s="1345"/>
      <c r="T906" s="1345"/>
      <c r="U906" s="1345"/>
    </row>
    <row r="907" spans="1:21">
      <c r="A907" s="1345"/>
      <c r="B907" s="1345"/>
      <c r="C907" s="1345"/>
      <c r="D907" s="1345"/>
      <c r="E907" s="1345"/>
      <c r="F907" s="1345"/>
      <c r="G907" s="1345"/>
      <c r="H907" s="1345"/>
      <c r="I907" s="1345"/>
      <c r="J907" s="1345"/>
      <c r="K907" s="1345"/>
      <c r="L907" s="1345"/>
      <c r="M907" s="1345"/>
      <c r="N907" s="1345"/>
      <c r="O907" s="1345"/>
      <c r="P907" s="1345"/>
      <c r="Q907" s="1345"/>
      <c r="R907" s="1345"/>
      <c r="S907" s="1345"/>
      <c r="T907" s="1345"/>
      <c r="U907" s="1345"/>
    </row>
    <row r="908" spans="1:21">
      <c r="A908" s="1345"/>
      <c r="B908" s="1345"/>
      <c r="C908" s="1345"/>
      <c r="D908" s="1345"/>
      <c r="E908" s="1345"/>
      <c r="F908" s="1345"/>
      <c r="G908" s="1345"/>
      <c r="H908" s="1345"/>
      <c r="I908" s="1345"/>
      <c r="J908" s="1345"/>
      <c r="K908" s="1345"/>
      <c r="L908" s="1345"/>
      <c r="M908" s="1345"/>
      <c r="N908" s="1345"/>
      <c r="O908" s="1345"/>
      <c r="P908" s="1345"/>
      <c r="Q908" s="1345"/>
      <c r="R908" s="1345"/>
      <c r="S908" s="1345"/>
      <c r="T908" s="1345"/>
      <c r="U908" s="1345"/>
    </row>
    <row r="909" spans="1:21">
      <c r="A909" s="1345"/>
      <c r="B909" s="1345"/>
      <c r="C909" s="1345"/>
      <c r="D909" s="1345"/>
      <c r="E909" s="1345"/>
      <c r="F909" s="1345"/>
      <c r="G909" s="1345"/>
      <c r="H909" s="1345"/>
      <c r="I909" s="1345"/>
      <c r="J909" s="1345"/>
      <c r="K909" s="1345"/>
      <c r="L909" s="1345"/>
      <c r="M909" s="1350"/>
      <c r="N909" s="1345"/>
      <c r="O909" s="1345"/>
      <c r="P909" s="1345"/>
      <c r="Q909" s="1345"/>
      <c r="R909" s="1345"/>
      <c r="S909" s="1345"/>
      <c r="T909" s="1345"/>
      <c r="U909" s="1345"/>
    </row>
    <row r="910" spans="1:21">
      <c r="A910" s="1345"/>
      <c r="B910" s="1345"/>
      <c r="C910" s="1345"/>
      <c r="D910" s="1345"/>
      <c r="E910" s="1345"/>
      <c r="F910" s="1345"/>
      <c r="G910" s="1345"/>
      <c r="H910" s="1345"/>
      <c r="I910" s="1345"/>
      <c r="J910" s="1345"/>
      <c r="K910" s="1345"/>
      <c r="L910" s="1345"/>
      <c r="M910" s="1350"/>
      <c r="N910" s="1345"/>
      <c r="O910" s="1345"/>
      <c r="P910" s="1345"/>
      <c r="Q910" s="1345"/>
      <c r="R910" s="1345"/>
      <c r="S910" s="1345"/>
      <c r="T910" s="1345"/>
      <c r="U910" s="1345"/>
    </row>
    <row r="911" spans="1:21">
      <c r="A911" s="1345"/>
      <c r="B911" s="1345"/>
      <c r="C911" s="1345"/>
      <c r="D911" s="1345"/>
      <c r="E911" s="1345"/>
      <c r="F911" s="1345"/>
      <c r="G911" s="1345"/>
      <c r="H911" s="1345"/>
      <c r="I911" s="1345"/>
      <c r="J911" s="1345"/>
      <c r="K911" s="1345"/>
      <c r="L911" s="1345"/>
      <c r="M911" s="1350"/>
      <c r="N911" s="1345"/>
      <c r="O911" s="1345"/>
      <c r="P911" s="1345"/>
      <c r="Q911" s="1345"/>
      <c r="R911" s="1345"/>
      <c r="S911" s="1345"/>
      <c r="T911" s="1345"/>
      <c r="U911" s="1345"/>
    </row>
    <row r="912" spans="1:21">
      <c r="A912" s="1345"/>
      <c r="B912" s="1345"/>
      <c r="C912" s="1345"/>
      <c r="D912" s="1345"/>
      <c r="E912" s="1345"/>
      <c r="F912" s="1345"/>
      <c r="G912" s="1345"/>
      <c r="H912" s="1345"/>
      <c r="I912" s="1345"/>
      <c r="J912" s="1345"/>
      <c r="K912" s="1345"/>
      <c r="L912" s="1345"/>
      <c r="M912" s="1350"/>
      <c r="N912" s="1345"/>
      <c r="O912" s="1345"/>
      <c r="P912" s="1345"/>
      <c r="Q912" s="1345"/>
      <c r="R912" s="1345"/>
      <c r="S912" s="1345"/>
      <c r="T912" s="1345"/>
      <c r="U912" s="1345"/>
    </row>
    <row r="913" spans="1:21">
      <c r="A913" s="1345"/>
      <c r="B913" s="1345"/>
      <c r="C913" s="1345"/>
      <c r="D913" s="1345"/>
      <c r="E913" s="1345"/>
      <c r="F913" s="1345"/>
      <c r="G913" s="1345"/>
      <c r="H913" s="1345"/>
      <c r="I913" s="1345"/>
      <c r="J913" s="1345"/>
      <c r="K913" s="1345"/>
      <c r="L913" s="1345"/>
      <c r="M913" s="1345"/>
      <c r="N913" s="1345"/>
      <c r="O913" s="1345"/>
      <c r="P913" s="1345"/>
      <c r="Q913" s="1345"/>
      <c r="R913" s="1345"/>
      <c r="S913" s="1345"/>
      <c r="T913" s="1345"/>
      <c r="U913" s="1345"/>
    </row>
    <row r="914" spans="1:21">
      <c r="A914" s="1345"/>
      <c r="B914" s="1345"/>
      <c r="C914" s="1345"/>
      <c r="D914" s="1345"/>
      <c r="E914" s="1345"/>
      <c r="F914" s="1345"/>
      <c r="G914" s="1345"/>
      <c r="H914" s="1345"/>
      <c r="I914" s="1345"/>
      <c r="J914" s="1345"/>
      <c r="K914" s="1345"/>
      <c r="L914" s="1345"/>
      <c r="M914" s="1350"/>
      <c r="N914" s="1345"/>
      <c r="O914" s="1345"/>
      <c r="P914" s="1345"/>
      <c r="Q914" s="1345"/>
      <c r="R914" s="1345"/>
      <c r="S914" s="1345"/>
      <c r="T914" s="1345"/>
      <c r="U914" s="1345"/>
    </row>
    <row r="915" spans="1:21">
      <c r="A915" s="1345"/>
      <c r="B915" s="1345"/>
      <c r="C915" s="1345"/>
      <c r="D915" s="1345"/>
      <c r="E915" s="1345"/>
      <c r="F915" s="1345"/>
      <c r="G915" s="1345"/>
      <c r="H915" s="1345"/>
      <c r="I915" s="1345"/>
      <c r="J915" s="1345"/>
      <c r="K915" s="1345"/>
      <c r="L915" s="1345"/>
      <c r="M915" s="1350"/>
      <c r="N915" s="1345"/>
      <c r="O915" s="1345"/>
      <c r="P915" s="1345"/>
      <c r="Q915" s="1345"/>
      <c r="R915" s="1345"/>
      <c r="S915" s="1345"/>
      <c r="T915" s="1345"/>
      <c r="U915" s="1345"/>
    </row>
    <row r="916" spans="1:21">
      <c r="A916" s="1345"/>
      <c r="B916" s="1345"/>
      <c r="C916" s="1345"/>
      <c r="D916" s="1345"/>
      <c r="E916" s="1345"/>
      <c r="F916" s="1345"/>
      <c r="G916" s="1345"/>
      <c r="H916" s="1345"/>
      <c r="I916" s="1345"/>
      <c r="J916" s="1345"/>
      <c r="K916" s="1345"/>
      <c r="L916" s="1345"/>
      <c r="M916" s="1350"/>
      <c r="N916" s="1345"/>
      <c r="O916" s="1345"/>
      <c r="P916" s="1345"/>
      <c r="Q916" s="1345"/>
      <c r="R916" s="1345"/>
      <c r="S916" s="1345"/>
      <c r="T916" s="1345"/>
      <c r="U916" s="1345"/>
    </row>
    <row r="917" spans="1:21">
      <c r="A917" s="1345"/>
      <c r="B917" s="1345"/>
      <c r="C917" s="1345"/>
      <c r="D917" s="1345"/>
      <c r="E917" s="1345"/>
      <c r="F917" s="1345"/>
      <c r="G917" s="1345"/>
      <c r="H917" s="1345"/>
      <c r="I917" s="1345"/>
      <c r="J917" s="1345"/>
      <c r="K917" s="1345"/>
      <c r="L917" s="1345"/>
      <c r="M917" s="1350"/>
      <c r="N917" s="1345"/>
      <c r="O917" s="1345"/>
      <c r="P917" s="1345"/>
      <c r="Q917" s="1345"/>
      <c r="R917" s="1345"/>
      <c r="S917" s="1345"/>
      <c r="T917" s="1345"/>
      <c r="U917" s="1345"/>
    </row>
    <row r="918" spans="1:21">
      <c r="A918" s="1345"/>
      <c r="B918" s="1345"/>
      <c r="C918" s="1345"/>
      <c r="D918" s="1345"/>
      <c r="E918" s="1345"/>
      <c r="F918" s="1345"/>
      <c r="G918" s="1345"/>
      <c r="H918" s="1345"/>
      <c r="I918" s="1345"/>
      <c r="J918" s="1345"/>
      <c r="K918" s="1345"/>
      <c r="L918" s="1345"/>
      <c r="M918" s="1350"/>
      <c r="N918" s="1345"/>
      <c r="O918" s="1345"/>
      <c r="P918" s="1345"/>
      <c r="Q918" s="1345"/>
      <c r="R918" s="1345"/>
      <c r="S918" s="1345"/>
      <c r="T918" s="1345"/>
      <c r="U918" s="1345"/>
    </row>
    <row r="919" spans="1:21">
      <c r="A919" s="1345"/>
      <c r="B919" s="1345"/>
      <c r="C919" s="1345"/>
      <c r="D919" s="1345"/>
      <c r="E919" s="1345"/>
      <c r="F919" s="1345"/>
      <c r="G919" s="1345"/>
      <c r="H919" s="1345"/>
      <c r="I919" s="1345"/>
      <c r="J919" s="1345"/>
      <c r="K919" s="1345"/>
      <c r="L919" s="1345"/>
      <c r="M919" s="1350"/>
      <c r="N919" s="1345"/>
      <c r="O919" s="1345"/>
      <c r="P919" s="1345"/>
      <c r="Q919" s="1345"/>
      <c r="R919" s="1345"/>
      <c r="S919" s="1345"/>
      <c r="T919" s="1345"/>
      <c r="U919" s="1345"/>
    </row>
    <row r="920" spans="1:21">
      <c r="A920" s="1345"/>
      <c r="B920" s="1345"/>
      <c r="C920" s="1345"/>
      <c r="D920" s="1345"/>
      <c r="E920" s="1345"/>
      <c r="F920" s="1345"/>
      <c r="G920" s="1345"/>
      <c r="H920" s="1345"/>
      <c r="I920" s="1345"/>
      <c r="J920" s="1345"/>
      <c r="K920" s="1345"/>
      <c r="L920" s="1345"/>
      <c r="M920" s="1350"/>
      <c r="N920" s="1345"/>
      <c r="O920" s="1345"/>
      <c r="P920" s="1345"/>
      <c r="Q920" s="1345"/>
      <c r="R920" s="1345"/>
      <c r="S920" s="1345"/>
      <c r="T920" s="1345"/>
      <c r="U920" s="1345"/>
    </row>
    <row r="921" spans="1:21">
      <c r="A921" s="1345"/>
      <c r="B921" s="1345"/>
      <c r="C921" s="1345"/>
      <c r="D921" s="1345"/>
      <c r="E921" s="1345"/>
      <c r="F921" s="1345"/>
      <c r="G921" s="1345"/>
      <c r="H921" s="1345"/>
      <c r="I921" s="1345"/>
      <c r="J921" s="1345"/>
      <c r="K921" s="1345"/>
      <c r="L921" s="1345"/>
      <c r="M921" s="1350"/>
      <c r="N921" s="1345"/>
      <c r="O921" s="1345"/>
      <c r="P921" s="1345"/>
      <c r="Q921" s="1345"/>
      <c r="R921" s="1345"/>
      <c r="S921" s="1345"/>
      <c r="T921" s="1345"/>
      <c r="U921" s="1345"/>
    </row>
    <row r="922" spans="1:21">
      <c r="A922" s="1345"/>
      <c r="B922" s="1345"/>
      <c r="C922" s="1345"/>
      <c r="D922" s="1345"/>
      <c r="E922" s="1345"/>
      <c r="F922" s="1345"/>
      <c r="G922" s="1345"/>
      <c r="H922" s="1345"/>
      <c r="I922" s="1345"/>
      <c r="J922" s="1345"/>
      <c r="K922" s="1345"/>
      <c r="L922" s="1345"/>
      <c r="M922" s="1350"/>
      <c r="N922" s="1345"/>
      <c r="O922" s="1345"/>
      <c r="P922" s="1345"/>
      <c r="Q922" s="1345"/>
      <c r="R922" s="1345"/>
      <c r="S922" s="1345"/>
      <c r="T922" s="1345"/>
      <c r="U922" s="1345"/>
    </row>
    <row r="923" spans="1:21">
      <c r="A923" s="1345"/>
      <c r="B923" s="1345"/>
      <c r="C923" s="1345"/>
      <c r="D923" s="1345"/>
      <c r="E923" s="1345"/>
      <c r="F923" s="1345"/>
      <c r="G923" s="1345"/>
      <c r="H923" s="1345"/>
      <c r="I923" s="1345"/>
      <c r="J923" s="1345"/>
      <c r="K923" s="1345"/>
      <c r="L923" s="1345"/>
      <c r="M923" s="1350"/>
      <c r="N923" s="1345"/>
      <c r="O923" s="1345"/>
      <c r="P923" s="1345"/>
      <c r="Q923" s="1345"/>
      <c r="R923" s="1345"/>
      <c r="S923" s="1345"/>
      <c r="T923" s="1345"/>
      <c r="U923" s="1345"/>
    </row>
    <row r="924" spans="1:21">
      <c r="A924" s="1345"/>
      <c r="B924" s="1345"/>
      <c r="C924" s="1345"/>
      <c r="D924" s="1345"/>
      <c r="E924" s="1345"/>
      <c r="F924" s="1345"/>
      <c r="G924" s="1345"/>
      <c r="H924" s="1345"/>
      <c r="I924" s="1345"/>
      <c r="J924" s="1345"/>
      <c r="K924" s="1345"/>
      <c r="L924" s="1345"/>
      <c r="M924" s="1350"/>
      <c r="N924" s="1345"/>
      <c r="O924" s="1345"/>
      <c r="P924" s="1345"/>
      <c r="Q924" s="1345"/>
      <c r="R924" s="1345"/>
      <c r="S924" s="1345"/>
      <c r="T924" s="1345"/>
      <c r="U924" s="1345"/>
    </row>
    <row r="925" spans="1:21">
      <c r="A925" s="1345"/>
      <c r="B925" s="1345"/>
      <c r="C925" s="1345"/>
      <c r="D925" s="1345"/>
      <c r="E925" s="1345"/>
      <c r="F925" s="1345"/>
      <c r="G925" s="1345"/>
      <c r="H925" s="1345"/>
      <c r="I925" s="1345"/>
      <c r="J925" s="1345"/>
      <c r="K925" s="1345"/>
      <c r="L925" s="1345"/>
      <c r="M925" s="1350"/>
      <c r="N925" s="1345"/>
      <c r="O925" s="1345"/>
      <c r="P925" s="1345"/>
      <c r="Q925" s="1345"/>
      <c r="R925" s="1345"/>
      <c r="S925" s="1345"/>
      <c r="T925" s="1345"/>
      <c r="U925" s="1345"/>
    </row>
    <row r="926" spans="1:21">
      <c r="A926" s="1345"/>
      <c r="B926" s="1345"/>
      <c r="C926" s="1345"/>
      <c r="D926" s="1345"/>
      <c r="E926" s="1345"/>
      <c r="F926" s="1345"/>
      <c r="G926" s="1345"/>
      <c r="H926" s="1345"/>
      <c r="I926" s="1345"/>
      <c r="J926" s="1345"/>
      <c r="K926" s="1345"/>
      <c r="L926" s="1345"/>
      <c r="M926" s="1350"/>
      <c r="N926" s="1345"/>
      <c r="O926" s="1345"/>
      <c r="P926" s="1345"/>
      <c r="Q926" s="1345"/>
      <c r="R926" s="1345"/>
      <c r="S926" s="1345"/>
      <c r="T926" s="1345"/>
      <c r="U926" s="1345"/>
    </row>
    <row r="927" spans="1:21">
      <c r="A927" s="1345"/>
      <c r="B927" s="1345"/>
      <c r="C927" s="1345"/>
      <c r="D927" s="1345"/>
      <c r="E927" s="1345"/>
      <c r="F927" s="1345"/>
      <c r="G927" s="1345"/>
      <c r="H927" s="1345"/>
      <c r="I927" s="1345"/>
      <c r="J927" s="1345"/>
      <c r="K927" s="1345"/>
      <c r="L927" s="1345"/>
      <c r="M927" s="1350"/>
      <c r="N927" s="1345"/>
      <c r="O927" s="1345"/>
      <c r="P927" s="1345"/>
      <c r="Q927" s="1345"/>
      <c r="R927" s="1345"/>
      <c r="S927" s="1345"/>
      <c r="T927" s="1345"/>
      <c r="U927" s="1345"/>
    </row>
    <row r="928" spans="1:21">
      <c r="A928" s="1345"/>
      <c r="B928" s="1345"/>
      <c r="C928" s="1345"/>
      <c r="D928" s="1345"/>
      <c r="E928" s="1345"/>
      <c r="F928" s="1345"/>
      <c r="G928" s="1345"/>
      <c r="H928" s="1345"/>
      <c r="I928" s="1345"/>
      <c r="J928" s="1345"/>
      <c r="K928" s="1345"/>
      <c r="L928" s="1345"/>
      <c r="M928" s="1350"/>
      <c r="N928" s="1345"/>
      <c r="O928" s="1345"/>
      <c r="P928" s="1345"/>
      <c r="Q928" s="1345"/>
      <c r="R928" s="1345"/>
      <c r="S928" s="1345"/>
      <c r="T928" s="1345"/>
      <c r="U928" s="1345"/>
    </row>
    <row r="929" spans="1:21">
      <c r="A929" s="1345"/>
      <c r="B929" s="1345"/>
      <c r="C929" s="1345"/>
      <c r="D929" s="1345"/>
      <c r="E929" s="1345"/>
      <c r="F929" s="1345"/>
      <c r="G929" s="1345"/>
      <c r="H929" s="1345"/>
      <c r="I929" s="1345"/>
      <c r="J929" s="1345"/>
      <c r="K929" s="1345"/>
      <c r="L929" s="1345"/>
      <c r="M929" s="1350"/>
      <c r="N929" s="1345"/>
      <c r="O929" s="1345"/>
      <c r="P929" s="1345"/>
      <c r="Q929" s="1345"/>
      <c r="R929" s="1345"/>
      <c r="S929" s="1345"/>
      <c r="T929" s="1345"/>
      <c r="U929" s="1345"/>
    </row>
    <row r="930" spans="1:21">
      <c r="A930" s="1345"/>
      <c r="B930" s="1345"/>
      <c r="C930" s="1345"/>
      <c r="D930" s="1345"/>
      <c r="E930" s="1345"/>
      <c r="F930" s="1345"/>
      <c r="G930" s="1345"/>
      <c r="H930" s="1345"/>
      <c r="I930" s="1345"/>
      <c r="J930" s="1345"/>
      <c r="K930" s="1345"/>
      <c r="L930" s="1345"/>
      <c r="M930" s="1350"/>
      <c r="N930" s="1345"/>
      <c r="O930" s="1345"/>
      <c r="P930" s="1345"/>
      <c r="Q930" s="1345"/>
      <c r="R930" s="1345"/>
      <c r="S930" s="1345"/>
      <c r="T930" s="1345"/>
      <c r="U930" s="1345"/>
    </row>
    <row r="931" spans="1:21">
      <c r="A931" s="1345"/>
      <c r="B931" s="1345"/>
      <c r="C931" s="1345"/>
      <c r="D931" s="1345"/>
      <c r="E931" s="1345"/>
      <c r="F931" s="1345"/>
      <c r="G931" s="1345"/>
      <c r="H931" s="1345"/>
      <c r="I931" s="1345"/>
      <c r="J931" s="1345"/>
      <c r="K931" s="1345"/>
      <c r="L931" s="1345"/>
      <c r="M931" s="1350"/>
      <c r="N931" s="1345"/>
      <c r="O931" s="1345"/>
      <c r="P931" s="1345"/>
      <c r="Q931" s="1345"/>
      <c r="R931" s="1345"/>
      <c r="S931" s="1345"/>
      <c r="T931" s="1345"/>
      <c r="U931" s="1345"/>
    </row>
    <row r="932" spans="1:21">
      <c r="A932" s="1345"/>
      <c r="B932" s="1345"/>
      <c r="C932" s="1345"/>
      <c r="D932" s="1345"/>
      <c r="E932" s="1345"/>
      <c r="F932" s="1345"/>
      <c r="G932" s="1345"/>
      <c r="H932" s="1345"/>
      <c r="I932" s="1345"/>
      <c r="J932" s="1345"/>
      <c r="K932" s="1345"/>
      <c r="L932" s="1345"/>
      <c r="M932" s="1350"/>
      <c r="N932" s="1345"/>
      <c r="O932" s="1345"/>
      <c r="P932" s="1345"/>
      <c r="Q932" s="1345"/>
      <c r="R932" s="1345"/>
      <c r="S932" s="1345"/>
      <c r="T932" s="1345"/>
      <c r="U932" s="1345"/>
    </row>
    <row r="933" spans="1:21">
      <c r="A933" s="1345"/>
      <c r="B933" s="1345"/>
      <c r="C933" s="1345"/>
      <c r="D933" s="1345"/>
      <c r="E933" s="1345"/>
      <c r="F933" s="1345"/>
      <c r="G933" s="1345"/>
      <c r="H933" s="1345"/>
      <c r="I933" s="1345"/>
      <c r="J933" s="1345"/>
      <c r="K933" s="1345"/>
      <c r="L933" s="1345"/>
      <c r="M933" s="1350"/>
      <c r="N933" s="1345"/>
      <c r="O933" s="1345"/>
      <c r="P933" s="1345"/>
      <c r="Q933" s="1345"/>
      <c r="R933" s="1345"/>
      <c r="S933" s="1345"/>
      <c r="T933" s="1345"/>
      <c r="U933" s="1345"/>
    </row>
    <row r="934" spans="1:21">
      <c r="A934" s="1345"/>
      <c r="B934" s="1345"/>
      <c r="C934" s="1345"/>
      <c r="D934" s="1345"/>
      <c r="E934" s="1345"/>
      <c r="F934" s="1345"/>
      <c r="G934" s="1345"/>
      <c r="H934" s="1345"/>
      <c r="I934" s="1345"/>
      <c r="J934" s="1345"/>
      <c r="K934" s="1345"/>
      <c r="L934" s="1345"/>
      <c r="M934" s="1350"/>
      <c r="N934" s="1345"/>
      <c r="O934" s="1345"/>
      <c r="P934" s="1345"/>
      <c r="Q934" s="1345"/>
      <c r="R934" s="1345"/>
      <c r="S934" s="1345"/>
      <c r="T934" s="1345"/>
      <c r="U934" s="1345"/>
    </row>
    <row r="935" spans="1:21">
      <c r="A935" s="1345"/>
      <c r="B935" s="1345"/>
      <c r="C935" s="1345"/>
      <c r="D935" s="1345"/>
      <c r="E935" s="1345"/>
      <c r="F935" s="1345"/>
      <c r="G935" s="1345"/>
      <c r="H935" s="1345"/>
      <c r="I935" s="1345"/>
      <c r="J935" s="1345"/>
      <c r="K935" s="1345"/>
      <c r="L935" s="1345"/>
      <c r="M935" s="1350"/>
      <c r="N935" s="1345"/>
      <c r="O935" s="1345"/>
      <c r="P935" s="1345"/>
      <c r="Q935" s="1345"/>
      <c r="R935" s="1345"/>
      <c r="S935" s="1345"/>
      <c r="T935" s="1345"/>
      <c r="U935" s="1345"/>
    </row>
    <row r="936" spans="1:21">
      <c r="A936" s="1345"/>
      <c r="B936" s="1345"/>
      <c r="C936" s="1345"/>
      <c r="D936" s="1345"/>
      <c r="E936" s="1345"/>
      <c r="F936" s="1345"/>
      <c r="G936" s="1345"/>
      <c r="H936" s="1345"/>
      <c r="I936" s="1345"/>
      <c r="J936" s="1345"/>
      <c r="K936" s="1345"/>
      <c r="L936" s="1345"/>
      <c r="M936" s="1350"/>
      <c r="N936" s="1345"/>
      <c r="O936" s="1345"/>
      <c r="P936" s="1345"/>
      <c r="Q936" s="1345"/>
      <c r="R936" s="1345"/>
      <c r="S936" s="1345"/>
      <c r="T936" s="1345"/>
      <c r="U936" s="1345"/>
    </row>
    <row r="937" spans="1:21">
      <c r="A937" s="1345"/>
      <c r="B937" s="1345"/>
      <c r="C937" s="1345"/>
      <c r="D937" s="1345"/>
      <c r="E937" s="1345"/>
      <c r="F937" s="1345"/>
      <c r="G937" s="1345"/>
      <c r="H937" s="1345"/>
      <c r="I937" s="1345"/>
      <c r="J937" s="1345"/>
      <c r="K937" s="1345"/>
      <c r="L937" s="1345"/>
      <c r="M937" s="1350"/>
      <c r="N937" s="1345"/>
      <c r="O937" s="1345"/>
      <c r="P937" s="1345"/>
      <c r="Q937" s="1345"/>
      <c r="R937" s="1345"/>
      <c r="S937" s="1345"/>
      <c r="T937" s="1345"/>
      <c r="U937" s="1345"/>
    </row>
    <row r="938" spans="1:21">
      <c r="A938" s="1345"/>
      <c r="B938" s="1345"/>
      <c r="C938" s="1345"/>
      <c r="D938" s="1345"/>
      <c r="E938" s="1345"/>
      <c r="F938" s="1345"/>
      <c r="G938" s="1345"/>
      <c r="H938" s="1345"/>
      <c r="I938" s="1345"/>
      <c r="J938" s="1345"/>
      <c r="K938" s="1345"/>
      <c r="L938" s="1345"/>
      <c r="M938" s="1350"/>
      <c r="N938" s="1345"/>
      <c r="O938" s="1345"/>
      <c r="P938" s="1345"/>
      <c r="Q938" s="1345"/>
      <c r="R938" s="1345"/>
      <c r="S938" s="1345"/>
      <c r="T938" s="1345"/>
      <c r="U938" s="1345"/>
    </row>
    <row r="939" spans="1:21">
      <c r="A939" s="1345"/>
      <c r="B939" s="1345"/>
      <c r="C939" s="1345"/>
      <c r="D939" s="1345"/>
      <c r="E939" s="1345"/>
      <c r="F939" s="1345"/>
      <c r="G939" s="1345"/>
      <c r="H939" s="1345"/>
      <c r="I939" s="1345"/>
      <c r="J939" s="1345"/>
      <c r="K939" s="1345"/>
      <c r="L939" s="1345"/>
      <c r="M939" s="1350"/>
      <c r="N939" s="1345"/>
      <c r="O939" s="1345"/>
      <c r="P939" s="1345"/>
      <c r="Q939" s="1345"/>
      <c r="R939" s="1345"/>
      <c r="S939" s="1345"/>
      <c r="T939" s="1345"/>
      <c r="U939" s="1345"/>
    </row>
    <row r="940" spans="1:21">
      <c r="A940" s="1345"/>
      <c r="B940" s="1345"/>
      <c r="C940" s="1345"/>
      <c r="D940" s="1345"/>
      <c r="E940" s="1345"/>
      <c r="F940" s="1345"/>
      <c r="G940" s="1345"/>
      <c r="H940" s="1345"/>
      <c r="I940" s="1345"/>
      <c r="J940" s="1345"/>
      <c r="K940" s="1345"/>
      <c r="L940" s="1345"/>
      <c r="M940" s="1350"/>
      <c r="N940" s="1345"/>
      <c r="O940" s="1345"/>
      <c r="P940" s="1345"/>
      <c r="Q940" s="1345"/>
      <c r="R940" s="1345"/>
      <c r="S940" s="1345"/>
      <c r="T940" s="1345"/>
      <c r="U940" s="1345"/>
    </row>
    <row r="941" spans="1:21">
      <c r="A941" s="1345"/>
      <c r="B941" s="1345"/>
      <c r="C941" s="1345"/>
      <c r="D941" s="1345"/>
      <c r="E941" s="1345"/>
      <c r="F941" s="1345"/>
      <c r="G941" s="1345"/>
      <c r="H941" s="1345"/>
      <c r="I941" s="1345"/>
      <c r="J941" s="1345"/>
      <c r="K941" s="1345"/>
      <c r="L941" s="1345"/>
      <c r="M941" s="1350"/>
      <c r="N941" s="1345"/>
      <c r="O941" s="1345"/>
      <c r="P941" s="1345"/>
      <c r="Q941" s="1345"/>
      <c r="R941" s="1345"/>
      <c r="S941" s="1345"/>
      <c r="T941" s="1345"/>
      <c r="U941" s="1345"/>
    </row>
    <row r="942" spans="1:21">
      <c r="A942" s="1345"/>
      <c r="B942" s="1345"/>
      <c r="C942" s="1345"/>
      <c r="D942" s="1345"/>
      <c r="E942" s="1345"/>
      <c r="F942" s="1345"/>
      <c r="G942" s="1345"/>
      <c r="H942" s="1345"/>
      <c r="I942" s="1345"/>
      <c r="J942" s="1345"/>
      <c r="K942" s="1345"/>
      <c r="L942" s="1345"/>
      <c r="M942" s="1345"/>
      <c r="N942" s="1345"/>
      <c r="O942" s="1345"/>
      <c r="P942" s="1345"/>
      <c r="Q942" s="1345"/>
      <c r="R942" s="1345"/>
      <c r="S942" s="1345"/>
      <c r="T942" s="1345"/>
      <c r="U942" s="1345"/>
    </row>
    <row r="943" spans="1:21">
      <c r="A943" s="1345"/>
      <c r="B943" s="1345"/>
      <c r="C943" s="1345"/>
      <c r="D943" s="1345"/>
      <c r="E943" s="1345"/>
      <c r="F943" s="1345"/>
      <c r="G943" s="1345"/>
      <c r="H943" s="1345"/>
      <c r="I943" s="1345"/>
      <c r="J943" s="1345"/>
      <c r="K943" s="1345"/>
      <c r="L943" s="1345"/>
      <c r="M943" s="1345"/>
      <c r="N943" s="1345"/>
      <c r="O943" s="1345"/>
      <c r="P943" s="1345"/>
      <c r="Q943" s="1345"/>
      <c r="R943" s="1345"/>
      <c r="S943" s="1345"/>
      <c r="T943" s="1345"/>
      <c r="U943" s="1345"/>
    </row>
    <row r="944" spans="1:21">
      <c r="A944" s="1345"/>
      <c r="B944" s="1345"/>
      <c r="C944" s="1345"/>
      <c r="D944" s="1345"/>
      <c r="E944" s="1345"/>
      <c r="F944" s="1345"/>
      <c r="G944" s="1345"/>
      <c r="H944" s="1345"/>
      <c r="I944" s="1345"/>
      <c r="J944" s="1345"/>
      <c r="K944" s="1345"/>
      <c r="L944" s="1345"/>
      <c r="M944" s="1345"/>
      <c r="N944" s="1345"/>
      <c r="O944" s="1345"/>
      <c r="P944" s="1345"/>
      <c r="Q944" s="1345"/>
      <c r="R944" s="1345"/>
      <c r="S944" s="1345"/>
      <c r="T944" s="1345"/>
      <c r="U944" s="1345"/>
    </row>
    <row r="945" spans="1:21">
      <c r="A945" s="1345"/>
      <c r="B945" s="1345"/>
      <c r="C945" s="1345"/>
      <c r="D945" s="1345"/>
      <c r="E945" s="1345"/>
      <c r="F945" s="1345"/>
      <c r="G945" s="1345"/>
      <c r="H945" s="1345"/>
      <c r="I945" s="1345"/>
      <c r="J945" s="1345"/>
      <c r="K945" s="1345"/>
      <c r="L945" s="1345"/>
      <c r="M945" s="1345"/>
      <c r="N945" s="1345"/>
      <c r="O945" s="1345"/>
      <c r="P945" s="1345"/>
      <c r="Q945" s="1345"/>
      <c r="R945" s="1345"/>
      <c r="S945" s="1345"/>
      <c r="T945" s="1345"/>
      <c r="U945" s="1345"/>
    </row>
    <row r="946" spans="1:21">
      <c r="A946" s="1345"/>
      <c r="B946" s="1345"/>
      <c r="C946" s="1345"/>
      <c r="D946" s="1345"/>
      <c r="E946" s="1345"/>
      <c r="F946" s="1345"/>
      <c r="G946" s="1345"/>
      <c r="H946" s="1345"/>
      <c r="I946" s="1345"/>
      <c r="J946" s="1345"/>
      <c r="K946" s="1345"/>
      <c r="L946" s="1345"/>
      <c r="M946" s="1345"/>
      <c r="N946" s="1345"/>
      <c r="O946" s="1345"/>
      <c r="P946" s="1345"/>
      <c r="Q946" s="1345"/>
      <c r="R946" s="1345"/>
      <c r="S946" s="1345"/>
      <c r="T946" s="1345"/>
      <c r="U946" s="1345"/>
    </row>
    <row r="947" spans="1:21">
      <c r="A947" s="1345"/>
      <c r="B947" s="1345"/>
      <c r="C947" s="1345"/>
      <c r="D947" s="1345"/>
      <c r="E947" s="1345"/>
      <c r="F947" s="1345"/>
      <c r="G947" s="1345"/>
      <c r="H947" s="1345"/>
      <c r="I947" s="1345"/>
      <c r="J947" s="1345"/>
      <c r="K947" s="1345"/>
      <c r="L947" s="1345"/>
      <c r="M947" s="1350"/>
      <c r="N947" s="1345"/>
      <c r="O947" s="1345"/>
      <c r="P947" s="1345"/>
      <c r="Q947" s="1345"/>
      <c r="R947" s="1345"/>
      <c r="S947" s="1345"/>
      <c r="T947" s="1345"/>
      <c r="U947" s="1345"/>
    </row>
    <row r="948" spans="1:21">
      <c r="A948" s="1345"/>
      <c r="B948" s="1345"/>
      <c r="C948" s="1345"/>
      <c r="D948" s="1345"/>
      <c r="E948" s="1345"/>
      <c r="F948" s="1345"/>
      <c r="G948" s="1345"/>
      <c r="H948" s="1345"/>
      <c r="I948" s="1345"/>
      <c r="J948" s="1345"/>
      <c r="K948" s="1345"/>
      <c r="L948" s="1345"/>
      <c r="M948" s="1350"/>
      <c r="N948" s="1345"/>
      <c r="O948" s="1345"/>
      <c r="P948" s="1345"/>
      <c r="Q948" s="1345"/>
      <c r="R948" s="1345"/>
      <c r="S948" s="1345"/>
      <c r="T948" s="1345"/>
      <c r="U948" s="1345"/>
    </row>
    <row r="949" spans="1:21">
      <c r="A949" s="1345"/>
      <c r="B949" s="1345"/>
      <c r="C949" s="1345"/>
      <c r="D949" s="1345"/>
      <c r="E949" s="1345"/>
      <c r="F949" s="1345"/>
      <c r="G949" s="1345"/>
      <c r="H949" s="1345"/>
      <c r="I949" s="1345"/>
      <c r="J949" s="1345"/>
      <c r="K949" s="1345"/>
      <c r="L949" s="1345"/>
      <c r="M949" s="1350"/>
      <c r="N949" s="1345"/>
      <c r="O949" s="1345"/>
      <c r="P949" s="1345"/>
      <c r="Q949" s="1345"/>
      <c r="R949" s="1345"/>
      <c r="S949" s="1345"/>
      <c r="T949" s="1345"/>
      <c r="U949" s="1345"/>
    </row>
    <row r="950" spans="1:21">
      <c r="A950" s="1345"/>
      <c r="B950" s="1345"/>
      <c r="C950" s="1345"/>
      <c r="D950" s="1345"/>
      <c r="E950" s="1345"/>
      <c r="F950" s="1345"/>
      <c r="G950" s="1345"/>
      <c r="H950" s="1345"/>
      <c r="I950" s="1345"/>
      <c r="J950" s="1345"/>
      <c r="K950" s="1345"/>
      <c r="L950" s="1345"/>
      <c r="M950" s="1350"/>
      <c r="N950" s="1345"/>
      <c r="O950" s="1345"/>
      <c r="P950" s="1345"/>
      <c r="Q950" s="1345"/>
      <c r="R950" s="1345"/>
      <c r="S950" s="1345"/>
      <c r="T950" s="1345"/>
      <c r="U950" s="1345"/>
    </row>
    <row r="951" spans="1:21">
      <c r="A951" s="1345"/>
      <c r="B951" s="1345"/>
      <c r="C951" s="1345"/>
      <c r="D951" s="1345"/>
      <c r="E951" s="1345"/>
      <c r="F951" s="1345"/>
      <c r="G951" s="1345"/>
      <c r="H951" s="1345"/>
      <c r="I951" s="1345"/>
      <c r="J951" s="1345"/>
      <c r="K951" s="1345"/>
      <c r="L951" s="1345"/>
      <c r="M951" s="1345"/>
      <c r="N951" s="1345"/>
      <c r="O951" s="1345"/>
      <c r="P951" s="1345"/>
      <c r="Q951" s="1345"/>
      <c r="R951" s="1345"/>
      <c r="S951" s="1345"/>
      <c r="T951" s="1345"/>
      <c r="U951" s="1345"/>
    </row>
    <row r="952" spans="1:21">
      <c r="A952" s="1345"/>
      <c r="B952" s="1345"/>
      <c r="C952" s="1345"/>
      <c r="D952" s="1345"/>
      <c r="E952" s="1345"/>
      <c r="F952" s="1345"/>
      <c r="G952" s="1345"/>
      <c r="H952" s="1345"/>
      <c r="I952" s="1345"/>
      <c r="J952" s="1345"/>
      <c r="K952" s="1345"/>
      <c r="L952" s="1345"/>
      <c r="M952" s="1345"/>
      <c r="N952" s="1345"/>
      <c r="O952" s="1345"/>
      <c r="P952" s="1345"/>
      <c r="Q952" s="1345"/>
      <c r="R952" s="1345"/>
      <c r="S952" s="1345"/>
      <c r="T952" s="1345"/>
      <c r="U952" s="1345"/>
    </row>
    <row r="953" spans="1:21">
      <c r="A953" s="1345"/>
      <c r="B953" s="1345"/>
      <c r="C953" s="1345"/>
      <c r="D953" s="1345"/>
      <c r="E953" s="1345"/>
      <c r="F953" s="1345"/>
      <c r="G953" s="1345"/>
      <c r="H953" s="1345"/>
      <c r="I953" s="1345"/>
      <c r="J953" s="1345"/>
      <c r="K953" s="1345"/>
      <c r="L953" s="1345"/>
      <c r="M953" s="1345"/>
      <c r="N953" s="1345"/>
      <c r="O953" s="1345"/>
      <c r="P953" s="1345"/>
      <c r="Q953" s="1345"/>
      <c r="R953" s="1345"/>
      <c r="S953" s="1345"/>
      <c r="T953" s="1345"/>
      <c r="U953" s="1345"/>
    </row>
    <row r="954" spans="1:21">
      <c r="A954" s="1345"/>
      <c r="B954" s="1345"/>
      <c r="C954" s="1345"/>
      <c r="D954" s="1345"/>
      <c r="E954" s="1345"/>
      <c r="F954" s="1345"/>
      <c r="G954" s="1345"/>
      <c r="H954" s="1345"/>
      <c r="I954" s="1345"/>
      <c r="J954" s="1345"/>
      <c r="K954" s="1345"/>
      <c r="L954" s="1345"/>
      <c r="M954" s="1345"/>
      <c r="N954" s="1345"/>
      <c r="O954" s="1345"/>
      <c r="P954" s="1345"/>
      <c r="Q954" s="1345"/>
      <c r="R954" s="1345"/>
      <c r="S954" s="1345"/>
      <c r="T954" s="1345"/>
      <c r="U954" s="1345"/>
    </row>
    <row r="955" spans="1:21">
      <c r="A955" s="1345"/>
      <c r="B955" s="1345"/>
      <c r="C955" s="1345"/>
      <c r="D955" s="1345"/>
      <c r="E955" s="1345"/>
      <c r="F955" s="1345"/>
      <c r="G955" s="1345"/>
      <c r="H955" s="1345"/>
      <c r="I955" s="1345"/>
      <c r="J955" s="1345"/>
      <c r="K955" s="1345"/>
      <c r="L955" s="1345"/>
      <c r="M955" s="1345"/>
      <c r="N955" s="1345"/>
      <c r="O955" s="1345"/>
      <c r="P955" s="1345"/>
      <c r="Q955" s="1345"/>
      <c r="R955" s="1345"/>
      <c r="S955" s="1345"/>
      <c r="T955" s="1345"/>
      <c r="U955" s="1345"/>
    </row>
    <row r="956" spans="1:21">
      <c r="A956" s="1345"/>
      <c r="B956" s="1345"/>
      <c r="C956" s="1345"/>
      <c r="D956" s="1345"/>
      <c r="E956" s="1345"/>
      <c r="F956" s="1345"/>
      <c r="G956" s="1345"/>
      <c r="H956" s="1345"/>
      <c r="I956" s="1345"/>
      <c r="J956" s="1345"/>
      <c r="K956" s="1345"/>
      <c r="L956" s="1345"/>
      <c r="M956" s="1345"/>
      <c r="N956" s="1345"/>
      <c r="O956" s="1345"/>
      <c r="P956" s="1345"/>
      <c r="Q956" s="1345"/>
      <c r="R956" s="1345"/>
      <c r="S956" s="1345"/>
      <c r="T956" s="1345"/>
      <c r="U956" s="1345"/>
    </row>
    <row r="957" spans="1:21">
      <c r="A957" s="1345"/>
      <c r="B957" s="1345"/>
      <c r="C957" s="1345"/>
      <c r="D957" s="1345"/>
      <c r="E957" s="1345"/>
      <c r="F957" s="1345"/>
      <c r="G957" s="1345"/>
      <c r="H957" s="1345"/>
      <c r="I957" s="1345"/>
      <c r="J957" s="1345"/>
      <c r="K957" s="1345"/>
      <c r="L957" s="1345"/>
      <c r="M957" s="1345"/>
      <c r="N957" s="1345"/>
      <c r="O957" s="1345"/>
      <c r="P957" s="1345"/>
      <c r="Q957" s="1345"/>
      <c r="R957" s="1345"/>
      <c r="S957" s="1345"/>
      <c r="T957" s="1345"/>
      <c r="U957" s="1345"/>
    </row>
    <row r="958" spans="1:21">
      <c r="A958" s="1345"/>
      <c r="B958" s="1345"/>
      <c r="C958" s="1345"/>
      <c r="D958" s="1345"/>
      <c r="E958" s="1345"/>
      <c r="F958" s="1345"/>
      <c r="G958" s="1345"/>
      <c r="H958" s="1345"/>
      <c r="I958" s="1345"/>
      <c r="J958" s="1345"/>
      <c r="K958" s="1345"/>
      <c r="L958" s="1345"/>
      <c r="M958" s="1350"/>
      <c r="N958" s="1345"/>
      <c r="O958" s="1345"/>
      <c r="P958" s="1345"/>
      <c r="Q958" s="1345"/>
      <c r="R958" s="1345"/>
      <c r="S958" s="1345"/>
      <c r="T958" s="1345"/>
      <c r="U958" s="1345"/>
    </row>
    <row r="959" spans="1:21">
      <c r="A959" s="1345"/>
      <c r="B959" s="1345"/>
      <c r="C959" s="1345"/>
      <c r="D959" s="1345"/>
      <c r="E959" s="1345"/>
      <c r="F959" s="1345"/>
      <c r="G959" s="1345"/>
      <c r="H959" s="1345"/>
      <c r="I959" s="1345"/>
      <c r="J959" s="1345"/>
      <c r="K959" s="1345"/>
      <c r="L959" s="1345"/>
      <c r="M959" s="1350"/>
      <c r="N959" s="1345"/>
      <c r="O959" s="1345"/>
      <c r="P959" s="1345"/>
      <c r="Q959" s="1345"/>
      <c r="R959" s="1345"/>
      <c r="S959" s="1345"/>
      <c r="T959" s="1345"/>
      <c r="U959" s="1345"/>
    </row>
    <row r="960" spans="1:21">
      <c r="A960" s="1345"/>
      <c r="B960" s="1345"/>
      <c r="C960" s="1345"/>
      <c r="D960" s="1345"/>
      <c r="E960" s="1345"/>
      <c r="F960" s="1345"/>
      <c r="G960" s="1345"/>
      <c r="H960" s="1345"/>
      <c r="I960" s="1345"/>
      <c r="J960" s="1345"/>
      <c r="K960" s="1345"/>
      <c r="L960" s="1345"/>
      <c r="M960" s="1350"/>
      <c r="N960" s="1345"/>
      <c r="O960" s="1345"/>
      <c r="P960" s="1345"/>
      <c r="Q960" s="1345"/>
      <c r="R960" s="1345"/>
      <c r="S960" s="1345"/>
      <c r="T960" s="1345"/>
      <c r="U960" s="1345"/>
    </row>
    <row r="961" spans="1:21">
      <c r="A961" s="1345"/>
      <c r="B961" s="1345"/>
      <c r="C961" s="1345"/>
      <c r="D961" s="1345"/>
      <c r="E961" s="1345"/>
      <c r="F961" s="1345"/>
      <c r="G961" s="1345"/>
      <c r="H961" s="1345"/>
      <c r="I961" s="1345"/>
      <c r="J961" s="1345"/>
      <c r="K961" s="1345"/>
      <c r="L961" s="1345"/>
      <c r="M961" s="1350"/>
      <c r="N961" s="1345"/>
      <c r="O961" s="1345"/>
      <c r="P961" s="1345"/>
      <c r="Q961" s="1345"/>
      <c r="R961" s="1345"/>
      <c r="S961" s="1345"/>
      <c r="T961" s="1345"/>
      <c r="U961" s="1345"/>
    </row>
    <row r="962" spans="1:21">
      <c r="A962" s="1345"/>
      <c r="B962" s="1345"/>
      <c r="C962" s="1345"/>
      <c r="D962" s="1345"/>
      <c r="E962" s="1345"/>
      <c r="F962" s="1345"/>
      <c r="G962" s="1345"/>
      <c r="H962" s="1345"/>
      <c r="I962" s="1345"/>
      <c r="J962" s="1345"/>
      <c r="K962" s="1345"/>
      <c r="L962" s="1345"/>
      <c r="M962" s="1345"/>
      <c r="N962" s="1345"/>
      <c r="O962" s="1345"/>
      <c r="P962" s="1345"/>
      <c r="Q962" s="1345"/>
      <c r="R962" s="1345"/>
      <c r="S962" s="1345"/>
      <c r="T962" s="1345"/>
      <c r="U962" s="1345"/>
    </row>
    <row r="963" spans="1:21">
      <c r="A963" s="1345"/>
      <c r="B963" s="1345"/>
      <c r="C963" s="1345"/>
      <c r="D963" s="1345"/>
      <c r="E963" s="1345"/>
      <c r="F963" s="1345"/>
      <c r="G963" s="1345"/>
      <c r="H963" s="1345"/>
      <c r="I963" s="1345"/>
      <c r="J963" s="1345"/>
      <c r="K963" s="1345"/>
      <c r="L963" s="1345"/>
      <c r="M963" s="1345"/>
      <c r="N963" s="1345"/>
      <c r="O963" s="1345"/>
      <c r="P963" s="1345"/>
      <c r="Q963" s="1345"/>
      <c r="R963" s="1345"/>
      <c r="S963" s="1345"/>
      <c r="T963" s="1345"/>
      <c r="U963" s="1345"/>
    </row>
    <row r="964" spans="1:21">
      <c r="A964" s="1345"/>
      <c r="B964" s="1345"/>
      <c r="C964" s="1345"/>
      <c r="D964" s="1345"/>
      <c r="E964" s="1345"/>
      <c r="F964" s="1345"/>
      <c r="G964" s="1345"/>
      <c r="H964" s="1345"/>
      <c r="I964" s="1345"/>
      <c r="J964" s="1345"/>
      <c r="K964" s="1345"/>
      <c r="L964" s="1345"/>
      <c r="M964" s="1345"/>
      <c r="N964" s="1345"/>
      <c r="O964" s="1345"/>
      <c r="P964" s="1345"/>
      <c r="Q964" s="1345"/>
      <c r="R964" s="1345"/>
      <c r="S964" s="1345"/>
      <c r="T964" s="1345"/>
      <c r="U964" s="1345"/>
    </row>
    <row r="965" spans="1:21">
      <c r="A965" s="1345"/>
      <c r="B965" s="1345"/>
      <c r="C965" s="1345"/>
      <c r="D965" s="1345"/>
      <c r="E965" s="1345"/>
      <c r="F965" s="1345"/>
      <c r="G965" s="1345"/>
      <c r="H965" s="1345"/>
      <c r="I965" s="1345"/>
      <c r="J965" s="1345"/>
      <c r="K965" s="1345"/>
      <c r="L965" s="1345"/>
      <c r="M965" s="1345"/>
      <c r="N965" s="1345"/>
      <c r="O965" s="1345"/>
      <c r="P965" s="1345"/>
      <c r="Q965" s="1345"/>
      <c r="R965" s="1345"/>
      <c r="S965" s="1345"/>
      <c r="T965" s="1345"/>
      <c r="U965" s="1345"/>
    </row>
    <row r="966" spans="1:21">
      <c r="A966" s="1345"/>
      <c r="B966" s="1345"/>
      <c r="C966" s="1345"/>
      <c r="D966" s="1345"/>
      <c r="E966" s="1345"/>
      <c r="F966" s="1345"/>
      <c r="G966" s="1345"/>
      <c r="H966" s="1345"/>
      <c r="I966" s="1345"/>
      <c r="J966" s="1345"/>
      <c r="K966" s="1345"/>
      <c r="L966" s="1345"/>
      <c r="M966" s="1345"/>
      <c r="N966" s="1345"/>
      <c r="O966" s="1345"/>
      <c r="P966" s="1345"/>
      <c r="Q966" s="1345"/>
      <c r="R966" s="1345"/>
      <c r="S966" s="1345"/>
      <c r="T966" s="1345"/>
      <c r="U966" s="1345"/>
    </row>
    <row r="967" spans="1:21">
      <c r="A967" s="1345"/>
      <c r="B967" s="1345"/>
      <c r="C967" s="1345"/>
      <c r="D967" s="1345"/>
      <c r="E967" s="1345"/>
      <c r="F967" s="1345"/>
      <c r="G967" s="1345"/>
      <c r="H967" s="1345"/>
      <c r="I967" s="1345"/>
      <c r="J967" s="1345"/>
      <c r="K967" s="1345"/>
      <c r="L967" s="1345"/>
      <c r="M967" s="1345"/>
      <c r="N967" s="1345"/>
      <c r="O967" s="1345"/>
      <c r="P967" s="1345"/>
      <c r="Q967" s="1345"/>
      <c r="R967" s="1345"/>
      <c r="S967" s="1345"/>
      <c r="T967" s="1345"/>
      <c r="U967" s="1345"/>
    </row>
    <row r="968" spans="1:21">
      <c r="A968" s="1345"/>
      <c r="B968" s="1345"/>
      <c r="C968" s="1345"/>
      <c r="D968" s="1345"/>
      <c r="E968" s="1345"/>
      <c r="F968" s="1345"/>
      <c r="G968" s="1345"/>
      <c r="H968" s="1345"/>
      <c r="I968" s="1345"/>
      <c r="J968" s="1345"/>
      <c r="K968" s="1345"/>
      <c r="L968" s="1345"/>
      <c r="M968" s="1345"/>
      <c r="N968" s="1345"/>
      <c r="O968" s="1345"/>
      <c r="P968" s="1345"/>
      <c r="Q968" s="1345"/>
      <c r="R968" s="1345"/>
      <c r="S968" s="1345"/>
      <c r="T968" s="1345"/>
      <c r="U968" s="1345"/>
    </row>
    <row r="969" spans="1:21">
      <c r="A969" s="1345"/>
      <c r="B969" s="1345"/>
      <c r="C969" s="1345"/>
      <c r="D969" s="1345"/>
      <c r="E969" s="1345"/>
      <c r="F969" s="1345"/>
      <c r="G969" s="1345"/>
      <c r="H969" s="1345"/>
      <c r="I969" s="1345"/>
      <c r="J969" s="1345"/>
      <c r="K969" s="1345"/>
      <c r="L969" s="1345"/>
      <c r="M969" s="1350"/>
      <c r="N969" s="1345"/>
      <c r="O969" s="1345"/>
      <c r="P969" s="1345"/>
      <c r="Q969" s="1345"/>
      <c r="R969" s="1345"/>
      <c r="S969" s="1345"/>
      <c r="T969" s="1345"/>
      <c r="U969" s="1345"/>
    </row>
    <row r="970" spans="1:21">
      <c r="A970" s="1345"/>
      <c r="B970" s="1345"/>
      <c r="C970" s="1345"/>
      <c r="D970" s="1345"/>
      <c r="E970" s="1345"/>
      <c r="F970" s="1345"/>
      <c r="G970" s="1345"/>
      <c r="H970" s="1345"/>
      <c r="I970" s="1345"/>
      <c r="J970" s="1345"/>
      <c r="K970" s="1345"/>
      <c r="L970" s="1345"/>
      <c r="M970" s="1350"/>
      <c r="N970" s="1345"/>
      <c r="O970" s="1345"/>
      <c r="P970" s="1345"/>
      <c r="Q970" s="1345"/>
      <c r="R970" s="1345"/>
      <c r="S970" s="1345"/>
      <c r="T970" s="1345"/>
      <c r="U970" s="1345"/>
    </row>
    <row r="971" spans="1:21">
      <c r="A971" s="1345"/>
      <c r="B971" s="1345"/>
      <c r="C971" s="1345"/>
      <c r="D971" s="1345"/>
      <c r="E971" s="1345"/>
      <c r="F971" s="1345"/>
      <c r="G971" s="1345"/>
      <c r="H971" s="1345"/>
      <c r="I971" s="1345"/>
      <c r="J971" s="1345"/>
      <c r="K971" s="1345"/>
      <c r="L971" s="1345"/>
      <c r="M971" s="1350"/>
      <c r="N971" s="1345"/>
      <c r="O971" s="1345"/>
      <c r="P971" s="1345"/>
      <c r="Q971" s="1345"/>
      <c r="R971" s="1345"/>
      <c r="S971" s="1345"/>
      <c r="T971" s="1345"/>
      <c r="U971" s="1345"/>
    </row>
    <row r="972" spans="1:21">
      <c r="A972" s="1345"/>
      <c r="B972" s="1345"/>
      <c r="C972" s="1345"/>
      <c r="D972" s="1345"/>
      <c r="E972" s="1345"/>
      <c r="F972" s="1345"/>
      <c r="G972" s="1345"/>
      <c r="H972" s="1345"/>
      <c r="I972" s="1345"/>
      <c r="J972" s="1345"/>
      <c r="K972" s="1345"/>
      <c r="L972" s="1345"/>
      <c r="M972" s="1350"/>
      <c r="N972" s="1345"/>
      <c r="O972" s="1345"/>
      <c r="P972" s="1345"/>
      <c r="Q972" s="1345"/>
      <c r="R972" s="1345"/>
      <c r="S972" s="1345"/>
      <c r="T972" s="1345"/>
      <c r="U972" s="1345"/>
    </row>
    <row r="973" spans="1:21">
      <c r="A973" s="1345"/>
      <c r="B973" s="1345"/>
      <c r="C973" s="1345"/>
      <c r="D973" s="1345"/>
      <c r="E973" s="1345"/>
      <c r="F973" s="1345"/>
      <c r="G973" s="1345"/>
      <c r="H973" s="1345"/>
      <c r="I973" s="1345"/>
      <c r="J973" s="1345"/>
      <c r="K973" s="1345"/>
      <c r="L973" s="1345"/>
      <c r="M973" s="1345"/>
      <c r="N973" s="1345"/>
      <c r="O973" s="1345"/>
      <c r="P973" s="1345"/>
      <c r="Q973" s="1345"/>
      <c r="R973" s="1345"/>
      <c r="S973" s="1345"/>
      <c r="T973" s="1345"/>
      <c r="U973" s="1345"/>
    </row>
    <row r="974" spans="1:21">
      <c r="A974" s="1345"/>
      <c r="B974" s="1345"/>
      <c r="C974" s="1345"/>
      <c r="D974" s="1345"/>
      <c r="E974" s="1345"/>
      <c r="F974" s="1345"/>
      <c r="G974" s="1345"/>
      <c r="H974" s="1345"/>
      <c r="I974" s="1345"/>
      <c r="J974" s="1345"/>
      <c r="K974" s="1345"/>
      <c r="L974" s="1345"/>
      <c r="M974" s="1350"/>
      <c r="N974" s="1345"/>
      <c r="O974" s="1345"/>
      <c r="P974" s="1345"/>
      <c r="Q974" s="1345"/>
      <c r="R974" s="1345"/>
      <c r="S974" s="1345"/>
      <c r="T974" s="1345"/>
      <c r="U974" s="1345"/>
    </row>
    <row r="975" spans="1:21">
      <c r="A975" s="1345"/>
      <c r="B975" s="1345"/>
      <c r="C975" s="1345"/>
      <c r="D975" s="1345"/>
      <c r="E975" s="1345"/>
      <c r="F975" s="1345"/>
      <c r="G975" s="1345"/>
      <c r="H975" s="1345"/>
      <c r="I975" s="1345"/>
      <c r="J975" s="1345"/>
      <c r="K975" s="1345"/>
      <c r="L975" s="1345"/>
      <c r="M975" s="1350"/>
      <c r="N975" s="1345"/>
      <c r="O975" s="1345"/>
      <c r="P975" s="1345"/>
      <c r="Q975" s="1345"/>
      <c r="R975" s="1345"/>
      <c r="S975" s="1345"/>
      <c r="T975" s="1345"/>
      <c r="U975" s="1345"/>
    </row>
    <row r="976" spans="1:21">
      <c r="A976" s="1345"/>
      <c r="B976" s="1345"/>
      <c r="C976" s="1345"/>
      <c r="D976" s="1345"/>
      <c r="E976" s="1345"/>
      <c r="F976" s="1345"/>
      <c r="G976" s="1345"/>
      <c r="H976" s="1345"/>
      <c r="I976" s="1345"/>
      <c r="J976" s="1345"/>
      <c r="K976" s="1345"/>
      <c r="L976" s="1345"/>
      <c r="M976" s="1350"/>
      <c r="N976" s="1345"/>
      <c r="O976" s="1345"/>
      <c r="P976" s="1345"/>
      <c r="Q976" s="1345"/>
      <c r="R976" s="1345"/>
      <c r="S976" s="1345"/>
      <c r="T976" s="1345"/>
      <c r="U976" s="1345"/>
    </row>
    <row r="977" spans="1:21">
      <c r="A977" s="1345"/>
      <c r="B977" s="1345"/>
      <c r="C977" s="1345"/>
      <c r="D977" s="1345"/>
      <c r="E977" s="1345"/>
      <c r="F977" s="1345"/>
      <c r="G977" s="1345"/>
      <c r="H977" s="1345"/>
      <c r="I977" s="1345"/>
      <c r="J977" s="1345"/>
      <c r="K977" s="1345"/>
      <c r="L977" s="1345"/>
      <c r="M977" s="1350"/>
      <c r="N977" s="1345"/>
      <c r="O977" s="1345"/>
      <c r="P977" s="1345"/>
      <c r="Q977" s="1345"/>
      <c r="R977" s="1345"/>
      <c r="S977" s="1345"/>
      <c r="T977" s="1345"/>
      <c r="U977" s="1345"/>
    </row>
    <row r="978" spans="1:21">
      <c r="A978" s="1345"/>
      <c r="B978" s="1345"/>
      <c r="C978" s="1345"/>
      <c r="D978" s="1345"/>
      <c r="E978" s="1345"/>
      <c r="F978" s="1345"/>
      <c r="G978" s="1345"/>
      <c r="H978" s="1345"/>
      <c r="I978" s="1345"/>
      <c r="J978" s="1345"/>
      <c r="K978" s="1345"/>
      <c r="L978" s="1345"/>
      <c r="M978" s="1350"/>
      <c r="N978" s="1345"/>
      <c r="O978" s="1345"/>
      <c r="P978" s="1345"/>
      <c r="Q978" s="1345"/>
      <c r="R978" s="1345"/>
      <c r="S978" s="1345"/>
      <c r="T978" s="1345"/>
      <c r="U978" s="1345"/>
    </row>
    <row r="979" spans="1:21">
      <c r="A979" s="1345"/>
      <c r="B979" s="1345"/>
      <c r="C979" s="1345"/>
      <c r="D979" s="1345"/>
      <c r="E979" s="1345"/>
      <c r="F979" s="1345"/>
      <c r="G979" s="1345"/>
      <c r="H979" s="1345"/>
      <c r="I979" s="1345"/>
      <c r="J979" s="1345"/>
      <c r="K979" s="1345"/>
      <c r="L979" s="1345"/>
      <c r="M979" s="1350"/>
      <c r="N979" s="1345"/>
      <c r="O979" s="1345"/>
      <c r="P979" s="1345"/>
      <c r="Q979" s="1345"/>
      <c r="R979" s="1345"/>
      <c r="S979" s="1345"/>
      <c r="T979" s="1345"/>
      <c r="U979" s="1345"/>
    </row>
    <row r="980" spans="1:21">
      <c r="A980" s="1345"/>
      <c r="B980" s="1345"/>
      <c r="C980" s="1345"/>
      <c r="D980" s="1345"/>
      <c r="E980" s="1345"/>
      <c r="F980" s="1345"/>
      <c r="G980" s="1345"/>
      <c r="H980" s="1345"/>
      <c r="I980" s="1345"/>
      <c r="J980" s="1345"/>
      <c r="K980" s="1345"/>
      <c r="L980" s="1345"/>
      <c r="M980" s="1350"/>
      <c r="N980" s="1345"/>
      <c r="O980" s="1345"/>
      <c r="P980" s="1345"/>
      <c r="Q980" s="1345"/>
      <c r="R980" s="1345"/>
      <c r="S980" s="1345"/>
      <c r="T980" s="1345"/>
      <c r="U980" s="1345"/>
    </row>
    <row r="981" spans="1:21">
      <c r="A981" s="1345"/>
      <c r="B981" s="1345"/>
      <c r="C981" s="1345"/>
      <c r="D981" s="1345"/>
      <c r="E981" s="1345"/>
      <c r="F981" s="1345"/>
      <c r="G981" s="1345"/>
      <c r="H981" s="1345"/>
      <c r="I981" s="1345"/>
      <c r="J981" s="1345"/>
      <c r="K981" s="1345"/>
      <c r="L981" s="1345"/>
      <c r="M981" s="1350"/>
      <c r="N981" s="1345"/>
      <c r="O981" s="1345"/>
      <c r="P981" s="1345"/>
      <c r="Q981" s="1345"/>
      <c r="R981" s="1345"/>
      <c r="S981" s="1345"/>
      <c r="T981" s="1345"/>
      <c r="U981" s="1345"/>
    </row>
    <row r="982" spans="1:21">
      <c r="A982" s="1345"/>
      <c r="B982" s="1345"/>
      <c r="C982" s="1345"/>
      <c r="D982" s="1345"/>
      <c r="E982" s="1345"/>
      <c r="F982" s="1345"/>
      <c r="G982" s="1345"/>
      <c r="H982" s="1345"/>
      <c r="I982" s="1345"/>
      <c r="J982" s="1345"/>
      <c r="K982" s="1345"/>
      <c r="L982" s="1345"/>
      <c r="M982" s="1350"/>
      <c r="N982" s="1345"/>
      <c r="O982" s="1345"/>
      <c r="P982" s="1345"/>
      <c r="Q982" s="1345"/>
      <c r="R982" s="1345"/>
      <c r="S982" s="1345"/>
      <c r="T982" s="1345"/>
      <c r="U982" s="1345"/>
    </row>
    <row r="983" spans="1:21">
      <c r="A983" s="1345"/>
      <c r="B983" s="1345"/>
      <c r="C983" s="1345"/>
      <c r="D983" s="1345"/>
      <c r="E983" s="1345"/>
      <c r="F983" s="1345"/>
      <c r="G983" s="1345"/>
      <c r="H983" s="1345"/>
      <c r="I983" s="1345"/>
      <c r="J983" s="1345"/>
      <c r="K983" s="1345"/>
      <c r="L983" s="1345"/>
      <c r="M983" s="1350"/>
      <c r="N983" s="1345"/>
      <c r="O983" s="1345"/>
      <c r="P983" s="1345"/>
      <c r="Q983" s="1345"/>
      <c r="R983" s="1345"/>
      <c r="S983" s="1345"/>
      <c r="T983" s="1345"/>
      <c r="U983" s="1345"/>
    </row>
    <row r="984" spans="1:21">
      <c r="A984" s="1345"/>
      <c r="B984" s="1345"/>
      <c r="C984" s="1345"/>
      <c r="D984" s="1345"/>
      <c r="E984" s="1345"/>
      <c r="F984" s="1345"/>
      <c r="G984" s="1345"/>
      <c r="H984" s="1345"/>
      <c r="I984" s="1345"/>
      <c r="J984" s="1345"/>
      <c r="K984" s="1345"/>
      <c r="L984" s="1345"/>
      <c r="M984" s="1350"/>
      <c r="N984" s="1345"/>
      <c r="O984" s="1345"/>
      <c r="P984" s="1345"/>
      <c r="Q984" s="1345"/>
      <c r="R984" s="1345"/>
      <c r="S984" s="1345"/>
      <c r="T984" s="1345"/>
      <c r="U984" s="1345"/>
    </row>
    <row r="985" spans="1:21">
      <c r="A985" s="1345"/>
      <c r="B985" s="1345"/>
      <c r="C985" s="1345"/>
      <c r="D985" s="1345"/>
      <c r="E985" s="1345"/>
      <c r="F985" s="1345"/>
      <c r="G985" s="1345"/>
      <c r="H985" s="1345"/>
      <c r="I985" s="1345"/>
      <c r="J985" s="1345"/>
      <c r="K985" s="1345"/>
      <c r="L985" s="1345"/>
      <c r="M985" s="1350"/>
      <c r="N985" s="1345"/>
      <c r="O985" s="1345"/>
      <c r="P985" s="1345"/>
      <c r="Q985" s="1345"/>
      <c r="R985" s="1345"/>
      <c r="S985" s="1345"/>
      <c r="T985" s="1345"/>
      <c r="U985" s="1345"/>
    </row>
    <row r="986" spans="1:21">
      <c r="A986" s="1345"/>
      <c r="B986" s="1345"/>
      <c r="C986" s="1345"/>
      <c r="D986" s="1345"/>
      <c r="E986" s="1345"/>
      <c r="F986" s="1345"/>
      <c r="G986" s="1345"/>
      <c r="H986" s="1345"/>
      <c r="I986" s="1345"/>
      <c r="J986" s="1345"/>
      <c r="K986" s="1345"/>
      <c r="L986" s="1345"/>
      <c r="M986" s="1350"/>
      <c r="N986" s="1345"/>
      <c r="O986" s="1345"/>
      <c r="P986" s="1345"/>
      <c r="Q986" s="1345"/>
      <c r="R986" s="1345"/>
      <c r="S986" s="1345"/>
      <c r="T986" s="1345"/>
      <c r="U986" s="1345"/>
    </row>
    <row r="987" spans="1:21">
      <c r="A987" s="1345"/>
      <c r="B987" s="1345"/>
      <c r="C987" s="1345"/>
      <c r="D987" s="1345"/>
      <c r="E987" s="1345"/>
      <c r="F987" s="1345"/>
      <c r="G987" s="1345"/>
      <c r="H987" s="1345"/>
      <c r="I987" s="1345"/>
      <c r="J987" s="1345"/>
      <c r="K987" s="1345"/>
      <c r="L987" s="1345"/>
      <c r="M987" s="1350"/>
      <c r="N987" s="1345"/>
      <c r="O987" s="1345"/>
      <c r="P987" s="1345"/>
      <c r="Q987" s="1345"/>
      <c r="R987" s="1345"/>
      <c r="S987" s="1345"/>
      <c r="T987" s="1345"/>
      <c r="U987" s="1345"/>
    </row>
    <row r="988" spans="1:21">
      <c r="A988" s="1345"/>
      <c r="B988" s="1345"/>
      <c r="C988" s="1345"/>
      <c r="D988" s="1345"/>
      <c r="E988" s="1345"/>
      <c r="F988" s="1345"/>
      <c r="G988" s="1345"/>
      <c r="H988" s="1345"/>
      <c r="I988" s="1345"/>
      <c r="J988" s="1345"/>
      <c r="K988" s="1345"/>
      <c r="L988" s="1345"/>
      <c r="M988" s="1350"/>
      <c r="N988" s="1345"/>
      <c r="O988" s="1345"/>
      <c r="P988" s="1345"/>
      <c r="Q988" s="1345"/>
      <c r="R988" s="1345"/>
      <c r="S988" s="1345"/>
      <c r="T988" s="1345"/>
      <c r="U988" s="1345"/>
    </row>
    <row r="989" spans="1:21">
      <c r="A989" s="1345"/>
      <c r="B989" s="1345"/>
      <c r="C989" s="1345"/>
      <c r="D989" s="1345"/>
      <c r="E989" s="1345"/>
      <c r="F989" s="1345"/>
      <c r="G989" s="1345"/>
      <c r="H989" s="1345"/>
      <c r="I989" s="1345"/>
      <c r="J989" s="1345"/>
      <c r="K989" s="1345"/>
      <c r="L989" s="1345"/>
      <c r="M989" s="1350"/>
      <c r="N989" s="1345"/>
      <c r="O989" s="1345"/>
      <c r="P989" s="1345"/>
      <c r="Q989" s="1345"/>
      <c r="R989" s="1345"/>
      <c r="S989" s="1345"/>
      <c r="T989" s="1345"/>
      <c r="U989" s="1345"/>
    </row>
    <row r="990" spans="1:21">
      <c r="A990" s="1345"/>
      <c r="B990" s="1345"/>
      <c r="C990" s="1345"/>
      <c r="D990" s="1345"/>
      <c r="E990" s="1345"/>
      <c r="F990" s="1345"/>
      <c r="G990" s="1345"/>
      <c r="H990" s="1345"/>
      <c r="I990" s="1345"/>
      <c r="J990" s="1345"/>
      <c r="K990" s="1345"/>
      <c r="L990" s="1345"/>
      <c r="M990" s="1350"/>
      <c r="N990" s="1345"/>
      <c r="O990" s="1345"/>
      <c r="P990" s="1345"/>
      <c r="Q990" s="1345"/>
      <c r="R990" s="1345"/>
      <c r="S990" s="1345"/>
      <c r="T990" s="1345"/>
      <c r="U990" s="1345"/>
    </row>
    <row r="991" spans="1:21">
      <c r="A991" s="1345"/>
      <c r="B991" s="1345"/>
      <c r="C991" s="1345"/>
      <c r="D991" s="1345"/>
      <c r="E991" s="1345"/>
      <c r="F991" s="1345"/>
      <c r="G991" s="1345"/>
      <c r="H991" s="1345"/>
      <c r="I991" s="1345"/>
      <c r="J991" s="1345"/>
      <c r="K991" s="1345"/>
      <c r="L991" s="1345"/>
      <c r="M991" s="1350"/>
      <c r="N991" s="1345"/>
      <c r="O991" s="1345"/>
      <c r="P991" s="1345"/>
      <c r="Q991" s="1345"/>
      <c r="R991" s="1345"/>
      <c r="S991" s="1345"/>
      <c r="T991" s="1345"/>
      <c r="U991" s="1345"/>
    </row>
    <row r="992" spans="1:21">
      <c r="A992" s="1345"/>
      <c r="B992" s="1345"/>
      <c r="C992" s="1345"/>
      <c r="D992" s="1345"/>
      <c r="E992" s="1345"/>
      <c r="F992" s="1345"/>
      <c r="G992" s="1345"/>
      <c r="H992" s="1345"/>
      <c r="I992" s="1345"/>
      <c r="J992" s="1345"/>
      <c r="K992" s="1345"/>
      <c r="L992" s="1345"/>
      <c r="M992" s="1350"/>
      <c r="N992" s="1345"/>
      <c r="O992" s="1345"/>
      <c r="P992" s="1345"/>
      <c r="Q992" s="1345"/>
      <c r="R992" s="1345"/>
      <c r="S992" s="1345"/>
      <c r="T992" s="1345"/>
      <c r="U992" s="1345"/>
    </row>
    <row r="993" spans="1:21">
      <c r="A993" s="1345"/>
      <c r="B993" s="1345"/>
      <c r="C993" s="1345"/>
      <c r="D993" s="1345"/>
      <c r="E993" s="1345"/>
      <c r="F993" s="1345"/>
      <c r="G993" s="1345"/>
      <c r="H993" s="1345"/>
      <c r="I993" s="1345"/>
      <c r="J993" s="1345"/>
      <c r="K993" s="1345"/>
      <c r="L993" s="1345"/>
      <c r="M993" s="1350"/>
      <c r="N993" s="1345"/>
      <c r="O993" s="1345"/>
      <c r="P993" s="1345"/>
      <c r="Q993" s="1345"/>
      <c r="R993" s="1345"/>
      <c r="S993" s="1345"/>
      <c r="T993" s="1345"/>
      <c r="U993" s="1345"/>
    </row>
    <row r="994" spans="1:21">
      <c r="A994" s="1345"/>
      <c r="B994" s="1345"/>
      <c r="C994" s="1345"/>
      <c r="D994" s="1345"/>
      <c r="E994" s="1345"/>
      <c r="F994" s="1345"/>
      <c r="G994" s="1345"/>
      <c r="H994" s="1345"/>
      <c r="I994" s="1345"/>
      <c r="J994" s="1345"/>
      <c r="K994" s="1345"/>
      <c r="L994" s="1345"/>
      <c r="M994" s="1350"/>
      <c r="N994" s="1345"/>
      <c r="O994" s="1345"/>
      <c r="P994" s="1345"/>
      <c r="Q994" s="1345"/>
      <c r="R994" s="1345"/>
      <c r="S994" s="1345"/>
      <c r="T994" s="1345"/>
      <c r="U994" s="1345"/>
    </row>
    <row r="995" spans="1:21">
      <c r="A995" s="1345"/>
      <c r="B995" s="1345"/>
      <c r="C995" s="1345"/>
      <c r="D995" s="1345"/>
      <c r="E995" s="1345"/>
      <c r="F995" s="1345"/>
      <c r="G995" s="1345"/>
      <c r="H995" s="1345"/>
      <c r="I995" s="1345"/>
      <c r="J995" s="1345"/>
      <c r="K995" s="1345"/>
      <c r="L995" s="1345"/>
      <c r="M995" s="1350"/>
      <c r="N995" s="1345"/>
      <c r="O995" s="1345"/>
      <c r="P995" s="1345"/>
      <c r="Q995" s="1345"/>
      <c r="R995" s="1345"/>
      <c r="S995" s="1345"/>
      <c r="T995" s="1345"/>
      <c r="U995" s="1345"/>
    </row>
    <row r="996" spans="1:21">
      <c r="A996" s="1345"/>
      <c r="B996" s="1345"/>
      <c r="C996" s="1345"/>
      <c r="D996" s="1345"/>
      <c r="E996" s="1345"/>
      <c r="F996" s="1345"/>
      <c r="G996" s="1345"/>
      <c r="H996" s="1345"/>
      <c r="I996" s="1345"/>
      <c r="J996" s="1345"/>
      <c r="K996" s="1345"/>
      <c r="L996" s="1345"/>
      <c r="M996" s="1350"/>
      <c r="N996" s="1345"/>
      <c r="O996" s="1345"/>
      <c r="P996" s="1345"/>
      <c r="Q996" s="1345"/>
      <c r="R996" s="1345"/>
      <c r="S996" s="1345"/>
      <c r="T996" s="1345"/>
      <c r="U996" s="1345"/>
    </row>
    <row r="997" spans="1:21">
      <c r="A997" s="1345"/>
      <c r="B997" s="1345"/>
      <c r="C997" s="1345"/>
      <c r="D997" s="1345"/>
      <c r="E997" s="1345"/>
      <c r="F997" s="1345"/>
      <c r="G997" s="1345"/>
      <c r="H997" s="1345"/>
      <c r="I997" s="1345"/>
      <c r="J997" s="1345"/>
      <c r="K997" s="1345"/>
      <c r="L997" s="1345"/>
      <c r="M997" s="1350"/>
      <c r="N997" s="1345"/>
      <c r="O997" s="1345"/>
      <c r="P997" s="1345"/>
      <c r="Q997" s="1345"/>
      <c r="R997" s="1345"/>
      <c r="S997" s="1345"/>
      <c r="T997" s="1345"/>
      <c r="U997" s="1345"/>
    </row>
    <row r="998" spans="1:21">
      <c r="A998" s="1345"/>
      <c r="B998" s="1345"/>
      <c r="C998" s="1345"/>
      <c r="D998" s="1345"/>
      <c r="E998" s="1345"/>
      <c r="F998" s="1345"/>
      <c r="G998" s="1345"/>
      <c r="H998" s="1345"/>
      <c r="I998" s="1345"/>
      <c r="J998" s="1345"/>
      <c r="K998" s="1345"/>
      <c r="L998" s="1345"/>
      <c r="M998" s="1350"/>
      <c r="N998" s="1345"/>
      <c r="O998" s="1345"/>
      <c r="P998" s="1345"/>
      <c r="Q998" s="1345"/>
      <c r="R998" s="1345"/>
      <c r="S998" s="1345"/>
      <c r="T998" s="1345"/>
      <c r="U998" s="1345"/>
    </row>
    <row r="999" spans="1:21">
      <c r="A999" s="1345"/>
      <c r="B999" s="1345"/>
      <c r="C999" s="1345"/>
      <c r="D999" s="1345"/>
      <c r="E999" s="1345"/>
      <c r="F999" s="1345"/>
      <c r="G999" s="1345"/>
      <c r="H999" s="1345"/>
      <c r="I999" s="1345"/>
      <c r="J999" s="1345"/>
      <c r="K999" s="1345"/>
      <c r="L999" s="1345"/>
      <c r="M999" s="1350"/>
      <c r="N999" s="1345"/>
      <c r="O999" s="1345"/>
      <c r="P999" s="1345"/>
      <c r="Q999" s="1345"/>
      <c r="R999" s="1345"/>
      <c r="S999" s="1345"/>
      <c r="T999" s="1345"/>
      <c r="U999" s="1345"/>
    </row>
    <row r="1000" spans="1:21">
      <c r="A1000" s="1345"/>
      <c r="B1000" s="1345"/>
      <c r="C1000" s="1345"/>
      <c r="D1000" s="1345"/>
      <c r="E1000" s="1345"/>
      <c r="F1000" s="1345"/>
      <c r="G1000" s="1345"/>
      <c r="H1000" s="1345"/>
      <c r="I1000" s="1345"/>
      <c r="J1000" s="1345"/>
      <c r="K1000" s="1345"/>
      <c r="L1000" s="1345"/>
      <c r="M1000" s="1350"/>
      <c r="N1000" s="1345"/>
      <c r="O1000" s="1345"/>
      <c r="P1000" s="1345"/>
      <c r="Q1000" s="1345"/>
      <c r="R1000" s="1345"/>
      <c r="S1000" s="1345"/>
      <c r="T1000" s="1345"/>
      <c r="U1000" s="1345"/>
    </row>
    <row r="1001" spans="1:21">
      <c r="A1001" s="1345"/>
      <c r="B1001" s="1345"/>
      <c r="C1001" s="1345"/>
      <c r="D1001" s="1345"/>
      <c r="E1001" s="1345"/>
      <c r="F1001" s="1345"/>
      <c r="G1001" s="1345"/>
      <c r="H1001" s="1345"/>
      <c r="I1001" s="1345"/>
      <c r="J1001" s="1345"/>
      <c r="K1001" s="1345"/>
      <c r="L1001" s="1345"/>
      <c r="M1001" s="1350"/>
      <c r="N1001" s="1345"/>
      <c r="O1001" s="1345"/>
      <c r="P1001" s="1345"/>
      <c r="Q1001" s="1345"/>
      <c r="R1001" s="1345"/>
      <c r="S1001" s="1345"/>
      <c r="T1001" s="1345"/>
      <c r="U1001" s="1345"/>
    </row>
    <row r="1002" spans="1:21">
      <c r="A1002" s="1345"/>
      <c r="B1002" s="1345"/>
      <c r="C1002" s="1345"/>
      <c r="D1002" s="1345"/>
      <c r="E1002" s="1345"/>
      <c r="F1002" s="1345"/>
      <c r="G1002" s="1345"/>
      <c r="H1002" s="1345"/>
      <c r="I1002" s="1345"/>
      <c r="J1002" s="1345"/>
      <c r="K1002" s="1345"/>
      <c r="L1002" s="1345"/>
      <c r="M1002" s="1345"/>
      <c r="N1002" s="1345"/>
      <c r="O1002" s="1345"/>
      <c r="P1002" s="1345"/>
      <c r="Q1002" s="1345"/>
      <c r="R1002" s="1345"/>
      <c r="S1002" s="1345"/>
      <c r="T1002" s="1345"/>
      <c r="U1002" s="1345"/>
    </row>
    <row r="1003" spans="1:21">
      <c r="A1003" s="1345"/>
      <c r="B1003" s="1345"/>
      <c r="C1003" s="1345"/>
      <c r="D1003" s="1345"/>
      <c r="E1003" s="1345"/>
      <c r="F1003" s="1345"/>
      <c r="G1003" s="1345"/>
      <c r="H1003" s="1345"/>
      <c r="I1003" s="1345"/>
      <c r="J1003" s="1345"/>
      <c r="K1003" s="1345"/>
      <c r="L1003" s="1345"/>
      <c r="M1003" s="1345"/>
      <c r="N1003" s="1345"/>
      <c r="O1003" s="1345"/>
      <c r="P1003" s="1345"/>
      <c r="Q1003" s="1345"/>
      <c r="R1003" s="1345"/>
      <c r="S1003" s="1345"/>
      <c r="T1003" s="1345"/>
      <c r="U1003" s="1345"/>
    </row>
    <row r="1004" spans="1:21">
      <c r="A1004" s="1345"/>
      <c r="B1004" s="1345"/>
      <c r="C1004" s="1345"/>
      <c r="D1004" s="1345"/>
      <c r="E1004" s="1345"/>
      <c r="F1004" s="1345"/>
      <c r="G1004" s="1345"/>
      <c r="H1004" s="1345"/>
      <c r="I1004" s="1345"/>
      <c r="J1004" s="1345"/>
      <c r="K1004" s="1345"/>
      <c r="L1004" s="1345"/>
      <c r="M1004" s="1345"/>
      <c r="N1004" s="1345"/>
      <c r="O1004" s="1345"/>
      <c r="P1004" s="1345"/>
      <c r="Q1004" s="1345"/>
      <c r="R1004" s="1345"/>
      <c r="S1004" s="1345"/>
      <c r="T1004" s="1345"/>
      <c r="U1004" s="1345"/>
    </row>
    <row r="1005" spans="1:21">
      <c r="A1005" s="1345"/>
      <c r="B1005" s="1345"/>
      <c r="C1005" s="1345"/>
      <c r="D1005" s="1345"/>
      <c r="E1005" s="1345"/>
      <c r="F1005" s="1345"/>
      <c r="G1005" s="1345"/>
      <c r="H1005" s="1345"/>
      <c r="I1005" s="1345"/>
      <c r="J1005" s="1345"/>
      <c r="K1005" s="1345"/>
      <c r="L1005" s="1345"/>
      <c r="M1005" s="1345"/>
      <c r="N1005" s="1345"/>
      <c r="O1005" s="1345"/>
      <c r="P1005" s="1345"/>
      <c r="Q1005" s="1345"/>
      <c r="R1005" s="1345"/>
      <c r="S1005" s="1345"/>
      <c r="T1005" s="1345"/>
      <c r="U1005" s="1345"/>
    </row>
    <row r="1006" spans="1:21">
      <c r="A1006" s="1345"/>
      <c r="B1006" s="1345"/>
      <c r="C1006" s="1345"/>
      <c r="D1006" s="1345"/>
      <c r="E1006" s="1345"/>
      <c r="F1006" s="1345"/>
      <c r="G1006" s="1345"/>
      <c r="H1006" s="1345"/>
      <c r="I1006" s="1345"/>
      <c r="J1006" s="1345"/>
      <c r="K1006" s="1345"/>
      <c r="L1006" s="1345"/>
      <c r="M1006" s="1345"/>
      <c r="N1006" s="1345"/>
      <c r="O1006" s="1345"/>
      <c r="P1006" s="1345"/>
      <c r="Q1006" s="1345"/>
      <c r="R1006" s="1345"/>
      <c r="S1006" s="1345"/>
      <c r="T1006" s="1345"/>
      <c r="U1006" s="1345"/>
    </row>
    <row r="1007" spans="1:21">
      <c r="A1007" s="1345"/>
      <c r="B1007" s="1345"/>
      <c r="C1007" s="1345"/>
      <c r="D1007" s="1345"/>
      <c r="E1007" s="1345"/>
      <c r="F1007" s="1345"/>
      <c r="G1007" s="1345"/>
      <c r="H1007" s="1345"/>
      <c r="I1007" s="1345"/>
      <c r="J1007" s="1345"/>
      <c r="K1007" s="1345"/>
      <c r="L1007" s="1345"/>
      <c r="M1007" s="1350"/>
      <c r="N1007" s="1345"/>
      <c r="O1007" s="1345"/>
      <c r="P1007" s="1345"/>
      <c r="Q1007" s="1345"/>
      <c r="R1007" s="1345"/>
      <c r="S1007" s="1345"/>
      <c r="T1007" s="1345"/>
      <c r="U1007" s="1345"/>
    </row>
    <row r="1008" spans="1:21">
      <c r="A1008" s="1345"/>
      <c r="B1008" s="1345"/>
      <c r="C1008" s="1345"/>
      <c r="D1008" s="1345"/>
      <c r="E1008" s="1345"/>
      <c r="F1008" s="1345"/>
      <c r="G1008" s="1345"/>
      <c r="H1008" s="1345"/>
      <c r="I1008" s="1345"/>
      <c r="J1008" s="1345"/>
      <c r="K1008" s="1345"/>
      <c r="L1008" s="1345"/>
      <c r="M1008" s="1350"/>
      <c r="N1008" s="1345"/>
      <c r="O1008" s="1345"/>
      <c r="P1008" s="1345"/>
      <c r="Q1008" s="1345"/>
      <c r="R1008" s="1345"/>
      <c r="S1008" s="1345"/>
      <c r="T1008" s="1345"/>
      <c r="U1008" s="1345"/>
    </row>
    <row r="1009" spans="1:21">
      <c r="A1009" s="1345"/>
      <c r="B1009" s="1345"/>
      <c r="C1009" s="1345"/>
      <c r="D1009" s="1345"/>
      <c r="E1009" s="1345"/>
      <c r="F1009" s="1345"/>
      <c r="G1009" s="1345"/>
      <c r="H1009" s="1345"/>
      <c r="I1009" s="1345"/>
      <c r="J1009" s="1345"/>
      <c r="K1009" s="1345"/>
      <c r="L1009" s="1345"/>
      <c r="M1009" s="1350"/>
      <c r="N1009" s="1345"/>
      <c r="O1009" s="1345"/>
      <c r="P1009" s="1345"/>
      <c r="Q1009" s="1345"/>
      <c r="R1009" s="1345"/>
      <c r="S1009" s="1345"/>
      <c r="T1009" s="1345"/>
      <c r="U1009" s="1345"/>
    </row>
    <row r="1010" spans="1:21">
      <c r="A1010" s="1345"/>
      <c r="B1010" s="1345"/>
      <c r="C1010" s="1345"/>
      <c r="D1010" s="1345"/>
      <c r="E1010" s="1345"/>
      <c r="F1010" s="1345"/>
      <c r="G1010" s="1345"/>
      <c r="H1010" s="1345"/>
      <c r="I1010" s="1345"/>
      <c r="J1010" s="1345"/>
      <c r="K1010" s="1345"/>
      <c r="L1010" s="1345"/>
      <c r="M1010" s="1350"/>
      <c r="N1010" s="1345"/>
      <c r="O1010" s="1345"/>
      <c r="P1010" s="1345"/>
      <c r="Q1010" s="1345"/>
      <c r="R1010" s="1345"/>
      <c r="S1010" s="1345"/>
      <c r="T1010" s="1345"/>
      <c r="U1010" s="1345"/>
    </row>
    <row r="1011" spans="1:21">
      <c r="A1011" s="1345"/>
      <c r="B1011" s="1345"/>
      <c r="C1011" s="1345"/>
      <c r="D1011" s="1345"/>
      <c r="E1011" s="1345"/>
      <c r="F1011" s="1345"/>
      <c r="G1011" s="1345"/>
      <c r="H1011" s="1345"/>
      <c r="I1011" s="1345"/>
      <c r="J1011" s="1345"/>
      <c r="K1011" s="1345"/>
      <c r="L1011" s="1345"/>
      <c r="M1011" s="1345"/>
      <c r="N1011" s="1345"/>
      <c r="O1011" s="1345"/>
      <c r="P1011" s="1345"/>
      <c r="Q1011" s="1345"/>
      <c r="R1011" s="1345"/>
      <c r="S1011" s="1345"/>
      <c r="T1011" s="1345"/>
      <c r="U1011" s="1345"/>
    </row>
    <row r="1012" spans="1:21">
      <c r="A1012" s="1345"/>
      <c r="B1012" s="1345"/>
      <c r="C1012" s="1345"/>
      <c r="D1012" s="1345"/>
      <c r="E1012" s="1345"/>
      <c r="F1012" s="1345"/>
      <c r="G1012" s="1345"/>
      <c r="H1012" s="1345"/>
      <c r="I1012" s="1345"/>
      <c r="J1012" s="1345"/>
      <c r="K1012" s="1345"/>
      <c r="L1012" s="1345"/>
      <c r="M1012" s="1350"/>
      <c r="N1012" s="1345"/>
      <c r="O1012" s="1345"/>
      <c r="P1012" s="1345"/>
      <c r="Q1012" s="1345"/>
      <c r="R1012" s="1345"/>
      <c r="S1012" s="1345"/>
      <c r="T1012" s="1345"/>
      <c r="U1012" s="1345"/>
    </row>
    <row r="1013" spans="1:21">
      <c r="A1013" s="1345"/>
      <c r="B1013" s="1345"/>
      <c r="C1013" s="1345"/>
      <c r="D1013" s="1345"/>
      <c r="E1013" s="1345"/>
      <c r="F1013" s="1345"/>
      <c r="G1013" s="1345"/>
      <c r="H1013" s="1345"/>
      <c r="I1013" s="1345"/>
      <c r="J1013" s="1345"/>
      <c r="K1013" s="1345"/>
      <c r="L1013" s="1345"/>
      <c r="M1013" s="1345"/>
      <c r="N1013" s="1345"/>
      <c r="O1013" s="1345"/>
      <c r="P1013" s="1345"/>
      <c r="Q1013" s="1345"/>
      <c r="R1013" s="1345"/>
      <c r="S1013" s="1345"/>
      <c r="T1013" s="1345"/>
      <c r="U1013" s="1345"/>
    </row>
    <row r="1014" spans="1:21">
      <c r="A1014" s="1345"/>
      <c r="B1014" s="1345"/>
      <c r="C1014" s="1345"/>
      <c r="D1014" s="1345"/>
      <c r="E1014" s="1345"/>
      <c r="F1014" s="1345"/>
      <c r="G1014" s="1345"/>
      <c r="H1014" s="1345"/>
      <c r="I1014" s="1345"/>
      <c r="J1014" s="1345"/>
      <c r="K1014" s="1345"/>
      <c r="L1014" s="1345"/>
      <c r="M1014" s="1345"/>
      <c r="N1014" s="1345"/>
      <c r="O1014" s="1345"/>
      <c r="P1014" s="1345"/>
      <c r="Q1014" s="1345"/>
      <c r="R1014" s="1345"/>
      <c r="S1014" s="1345"/>
      <c r="T1014" s="1345"/>
      <c r="U1014" s="1345"/>
    </row>
    <row r="1015" spans="1:21">
      <c r="A1015" s="1345"/>
      <c r="B1015" s="1345"/>
      <c r="C1015" s="1345"/>
      <c r="D1015" s="1345"/>
      <c r="E1015" s="1345"/>
      <c r="F1015" s="1345"/>
      <c r="G1015" s="1345"/>
      <c r="H1015" s="1345"/>
      <c r="I1015" s="1345"/>
      <c r="J1015" s="1345"/>
      <c r="K1015" s="1345"/>
      <c r="L1015" s="1345"/>
      <c r="M1015" s="1345"/>
      <c r="N1015" s="1345"/>
      <c r="O1015" s="1345"/>
      <c r="P1015" s="1345"/>
      <c r="Q1015" s="1345"/>
      <c r="R1015" s="1345"/>
      <c r="S1015" s="1345"/>
      <c r="T1015" s="1345"/>
      <c r="U1015" s="1345"/>
    </row>
    <row r="1016" spans="1:21">
      <c r="A1016" s="1345"/>
      <c r="B1016" s="1345"/>
      <c r="C1016" s="1345"/>
      <c r="D1016" s="1345"/>
      <c r="E1016" s="1345"/>
      <c r="F1016" s="1345"/>
      <c r="G1016" s="1345"/>
      <c r="H1016" s="1345"/>
      <c r="I1016" s="1345"/>
      <c r="J1016" s="1345"/>
      <c r="K1016" s="1345"/>
      <c r="L1016" s="1345"/>
      <c r="M1016" s="1345"/>
      <c r="N1016" s="1345"/>
      <c r="O1016" s="1345"/>
      <c r="P1016" s="1345"/>
      <c r="Q1016" s="1345"/>
      <c r="R1016" s="1345"/>
      <c r="S1016" s="1345"/>
      <c r="T1016" s="1345"/>
      <c r="U1016" s="1345"/>
    </row>
    <row r="1017" spans="1:21">
      <c r="A1017" s="1345"/>
      <c r="B1017" s="1345"/>
      <c r="C1017" s="1345"/>
      <c r="D1017" s="1345"/>
      <c r="E1017" s="1345"/>
      <c r="F1017" s="1345"/>
      <c r="G1017" s="1345"/>
      <c r="H1017" s="1345"/>
      <c r="I1017" s="1345"/>
      <c r="J1017" s="1345"/>
      <c r="K1017" s="1345"/>
      <c r="L1017" s="1345"/>
      <c r="M1017" s="1345"/>
      <c r="N1017" s="1345"/>
      <c r="O1017" s="1345"/>
      <c r="P1017" s="1345"/>
      <c r="Q1017" s="1345"/>
      <c r="R1017" s="1345"/>
      <c r="S1017" s="1345"/>
      <c r="T1017" s="1345"/>
      <c r="U1017" s="1345"/>
    </row>
    <row r="1018" spans="1:21">
      <c r="A1018" s="1345"/>
      <c r="B1018" s="1345"/>
      <c r="C1018" s="1345"/>
      <c r="D1018" s="1345"/>
      <c r="E1018" s="1345"/>
      <c r="F1018" s="1345"/>
      <c r="G1018" s="1345"/>
      <c r="H1018" s="1345"/>
      <c r="I1018" s="1345"/>
      <c r="J1018" s="1345"/>
      <c r="K1018" s="1345"/>
      <c r="L1018" s="1345"/>
      <c r="M1018" s="1350"/>
      <c r="N1018" s="1345"/>
      <c r="O1018" s="1345"/>
      <c r="P1018" s="1345"/>
      <c r="Q1018" s="1345"/>
      <c r="R1018" s="1345"/>
      <c r="S1018" s="1345"/>
      <c r="T1018" s="1345"/>
      <c r="U1018" s="1345"/>
    </row>
    <row r="1019" spans="1:21">
      <c r="A1019" s="1345"/>
      <c r="B1019" s="1345"/>
      <c r="C1019" s="1345"/>
      <c r="D1019" s="1345"/>
      <c r="E1019" s="1345"/>
      <c r="F1019" s="1345"/>
      <c r="G1019" s="1345"/>
      <c r="H1019" s="1345"/>
      <c r="I1019" s="1345"/>
      <c r="J1019" s="1345"/>
      <c r="K1019" s="1345"/>
      <c r="L1019" s="1345"/>
      <c r="M1019" s="1350"/>
      <c r="N1019" s="1345"/>
      <c r="O1019" s="1345"/>
      <c r="P1019" s="1345"/>
      <c r="Q1019" s="1345"/>
      <c r="R1019" s="1345"/>
      <c r="S1019" s="1345"/>
      <c r="T1019" s="1345"/>
      <c r="U1019" s="1345"/>
    </row>
    <row r="1020" spans="1:21">
      <c r="A1020" s="1345"/>
      <c r="B1020" s="1345"/>
      <c r="C1020" s="1345"/>
      <c r="D1020" s="1345"/>
      <c r="E1020" s="1345"/>
      <c r="F1020" s="1345"/>
      <c r="G1020" s="1345"/>
      <c r="H1020" s="1345"/>
      <c r="I1020" s="1345"/>
      <c r="J1020" s="1345"/>
      <c r="K1020" s="1345"/>
      <c r="L1020" s="1345"/>
      <c r="M1020" s="1350"/>
      <c r="N1020" s="1345"/>
      <c r="O1020" s="1345"/>
      <c r="P1020" s="1345"/>
      <c r="Q1020" s="1345"/>
      <c r="R1020" s="1345"/>
      <c r="S1020" s="1345"/>
      <c r="T1020" s="1345"/>
      <c r="U1020" s="1345"/>
    </row>
    <row r="1021" spans="1:21">
      <c r="A1021" s="1345"/>
      <c r="B1021" s="1345"/>
      <c r="C1021" s="1345"/>
      <c r="D1021" s="1345"/>
      <c r="E1021" s="1345"/>
      <c r="F1021" s="1345"/>
      <c r="G1021" s="1345"/>
      <c r="H1021" s="1345"/>
      <c r="I1021" s="1345"/>
      <c r="J1021" s="1345"/>
      <c r="K1021" s="1345"/>
      <c r="L1021" s="1345"/>
      <c r="M1021" s="1350"/>
      <c r="N1021" s="1345"/>
      <c r="O1021" s="1345"/>
      <c r="P1021" s="1345"/>
      <c r="Q1021" s="1345"/>
      <c r="R1021" s="1345"/>
      <c r="S1021" s="1345"/>
      <c r="T1021" s="1345"/>
      <c r="U1021" s="1345"/>
    </row>
    <row r="1022" spans="1:21">
      <c r="A1022" s="1345"/>
      <c r="B1022" s="1345"/>
      <c r="C1022" s="1345"/>
      <c r="D1022" s="1345"/>
      <c r="E1022" s="1345"/>
      <c r="F1022" s="1345"/>
      <c r="G1022" s="1345"/>
      <c r="H1022" s="1345"/>
      <c r="I1022" s="1345"/>
      <c r="J1022" s="1345"/>
      <c r="K1022" s="1345"/>
      <c r="L1022" s="1345"/>
      <c r="M1022" s="1345"/>
      <c r="N1022" s="1345"/>
      <c r="O1022" s="1345"/>
      <c r="P1022" s="1345"/>
      <c r="Q1022" s="1345"/>
      <c r="R1022" s="1345"/>
      <c r="S1022" s="1345"/>
      <c r="T1022" s="1345"/>
      <c r="U1022" s="1345"/>
    </row>
    <row r="1023" spans="1:21">
      <c r="A1023" s="1345"/>
      <c r="B1023" s="1345"/>
      <c r="C1023" s="1345"/>
      <c r="D1023" s="1345"/>
      <c r="E1023" s="1345"/>
      <c r="F1023" s="1345"/>
      <c r="G1023" s="1345"/>
      <c r="H1023" s="1345"/>
      <c r="I1023" s="1345"/>
      <c r="J1023" s="1345"/>
      <c r="K1023" s="1345"/>
      <c r="L1023" s="1345"/>
      <c r="M1023" s="1345"/>
      <c r="N1023" s="1345"/>
      <c r="O1023" s="1345"/>
      <c r="P1023" s="1345"/>
      <c r="Q1023" s="1345"/>
      <c r="R1023" s="1345"/>
      <c r="S1023" s="1345"/>
      <c r="T1023" s="1345"/>
      <c r="U1023" s="1345"/>
    </row>
    <row r="1024" spans="1:21">
      <c r="A1024" s="1345"/>
      <c r="B1024" s="1345"/>
      <c r="C1024" s="1345"/>
      <c r="D1024" s="1345"/>
      <c r="E1024" s="1345"/>
      <c r="F1024" s="1345"/>
      <c r="G1024" s="1345"/>
      <c r="H1024" s="1345"/>
      <c r="I1024" s="1345"/>
      <c r="J1024" s="1345"/>
      <c r="K1024" s="1345"/>
      <c r="L1024" s="1345"/>
      <c r="M1024" s="1345"/>
      <c r="N1024" s="1345"/>
      <c r="O1024" s="1345"/>
      <c r="P1024" s="1345"/>
      <c r="Q1024" s="1345"/>
      <c r="R1024" s="1345"/>
      <c r="S1024" s="1345"/>
      <c r="T1024" s="1345"/>
      <c r="U1024" s="1345"/>
    </row>
    <row r="1025" spans="1:21">
      <c r="A1025" s="1345"/>
      <c r="B1025" s="1345"/>
      <c r="C1025" s="1345"/>
      <c r="D1025" s="1345"/>
      <c r="E1025" s="1345"/>
      <c r="F1025" s="1345"/>
      <c r="G1025" s="1345"/>
      <c r="H1025" s="1345"/>
      <c r="I1025" s="1345"/>
      <c r="J1025" s="1345"/>
      <c r="K1025" s="1345"/>
      <c r="L1025" s="1345"/>
      <c r="M1025" s="1345"/>
      <c r="N1025" s="1345"/>
      <c r="O1025" s="1345"/>
      <c r="P1025" s="1345"/>
      <c r="Q1025" s="1345"/>
      <c r="R1025" s="1345"/>
      <c r="S1025" s="1345"/>
      <c r="T1025" s="1345"/>
      <c r="U1025" s="1345"/>
    </row>
    <row r="1026" spans="1:21">
      <c r="A1026" s="1345"/>
      <c r="B1026" s="1345"/>
      <c r="C1026" s="1345"/>
      <c r="D1026" s="1345"/>
      <c r="E1026" s="1345"/>
      <c r="F1026" s="1345"/>
      <c r="G1026" s="1345"/>
      <c r="H1026" s="1345"/>
      <c r="I1026" s="1345"/>
      <c r="J1026" s="1345"/>
      <c r="K1026" s="1345"/>
      <c r="L1026" s="1345"/>
      <c r="M1026" s="1345"/>
      <c r="N1026" s="1345"/>
      <c r="O1026" s="1345"/>
      <c r="P1026" s="1345"/>
      <c r="Q1026" s="1345"/>
      <c r="R1026" s="1345"/>
      <c r="S1026" s="1345"/>
      <c r="T1026" s="1345"/>
      <c r="U1026" s="1345"/>
    </row>
    <row r="1027" spans="1:21">
      <c r="A1027" s="1345"/>
      <c r="B1027" s="1345"/>
      <c r="C1027" s="1345"/>
      <c r="D1027" s="1345"/>
      <c r="E1027" s="1345"/>
      <c r="F1027" s="1345"/>
      <c r="G1027" s="1345"/>
      <c r="H1027" s="1345"/>
      <c r="I1027" s="1345"/>
      <c r="J1027" s="1345"/>
      <c r="K1027" s="1345"/>
      <c r="L1027" s="1345"/>
      <c r="M1027" s="1345"/>
      <c r="N1027" s="1345"/>
      <c r="O1027" s="1345"/>
      <c r="P1027" s="1345"/>
      <c r="Q1027" s="1345"/>
      <c r="R1027" s="1345"/>
      <c r="S1027" s="1345"/>
      <c r="T1027" s="1345"/>
      <c r="U1027" s="1345"/>
    </row>
    <row r="1028" spans="1:21">
      <c r="A1028" s="1345"/>
      <c r="B1028" s="1345"/>
      <c r="C1028" s="1345"/>
      <c r="D1028" s="1345"/>
      <c r="E1028" s="1345"/>
      <c r="F1028" s="1345"/>
      <c r="G1028" s="1345"/>
      <c r="H1028" s="1345"/>
      <c r="I1028" s="1345"/>
      <c r="J1028" s="1345"/>
      <c r="K1028" s="1345"/>
      <c r="L1028" s="1345"/>
      <c r="M1028" s="1345"/>
      <c r="N1028" s="1345"/>
      <c r="O1028" s="1345"/>
      <c r="P1028" s="1345"/>
      <c r="Q1028" s="1345"/>
      <c r="R1028" s="1345"/>
      <c r="S1028" s="1345"/>
      <c r="T1028" s="1345"/>
      <c r="U1028" s="1345"/>
    </row>
    <row r="1029" spans="1:21">
      <c r="A1029" s="1345"/>
      <c r="B1029" s="1345"/>
      <c r="C1029" s="1345"/>
      <c r="D1029" s="1345"/>
      <c r="E1029" s="1345"/>
      <c r="F1029" s="1345"/>
      <c r="G1029" s="1345"/>
      <c r="H1029" s="1345"/>
      <c r="I1029" s="1345"/>
      <c r="J1029" s="1345"/>
      <c r="K1029" s="1345"/>
      <c r="L1029" s="1345"/>
      <c r="M1029" s="1350"/>
      <c r="N1029" s="1345"/>
      <c r="O1029" s="1345"/>
      <c r="P1029" s="1345"/>
      <c r="Q1029" s="1345"/>
      <c r="R1029" s="1345"/>
      <c r="S1029" s="1345"/>
      <c r="T1029" s="1345"/>
      <c r="U1029" s="1345"/>
    </row>
    <row r="1030" spans="1:21">
      <c r="A1030" s="1345"/>
      <c r="B1030" s="1345"/>
      <c r="C1030" s="1345"/>
      <c r="D1030" s="1345"/>
      <c r="E1030" s="1345"/>
      <c r="F1030" s="1345"/>
      <c r="G1030" s="1345"/>
      <c r="H1030" s="1345"/>
      <c r="I1030" s="1345"/>
      <c r="J1030" s="1345"/>
      <c r="K1030" s="1345"/>
      <c r="L1030" s="1345"/>
      <c r="M1030" s="1350"/>
      <c r="N1030" s="1345"/>
      <c r="O1030" s="1345"/>
      <c r="P1030" s="1345"/>
      <c r="Q1030" s="1345"/>
      <c r="R1030" s="1345"/>
      <c r="S1030" s="1345"/>
      <c r="T1030" s="1345"/>
      <c r="U1030" s="1345"/>
    </row>
    <row r="1031" spans="1:21">
      <c r="A1031" s="1345"/>
      <c r="B1031" s="1345"/>
      <c r="C1031" s="1345"/>
      <c r="D1031" s="1345"/>
      <c r="E1031" s="1345"/>
      <c r="F1031" s="1345"/>
      <c r="G1031" s="1345"/>
      <c r="H1031" s="1345"/>
      <c r="I1031" s="1345"/>
      <c r="J1031" s="1345"/>
      <c r="K1031" s="1345"/>
      <c r="L1031" s="1345"/>
      <c r="M1031" s="1350"/>
      <c r="N1031" s="1345"/>
      <c r="O1031" s="1345"/>
      <c r="P1031" s="1345"/>
      <c r="Q1031" s="1345"/>
      <c r="R1031" s="1345"/>
      <c r="S1031" s="1345"/>
      <c r="T1031" s="1345"/>
      <c r="U1031" s="1345"/>
    </row>
    <row r="1032" spans="1:21">
      <c r="A1032" s="1345"/>
      <c r="B1032" s="1345"/>
      <c r="C1032" s="1345"/>
      <c r="D1032" s="1345"/>
      <c r="E1032" s="1345"/>
      <c r="F1032" s="1345"/>
      <c r="G1032" s="1345"/>
      <c r="H1032" s="1345"/>
      <c r="I1032" s="1345"/>
      <c r="J1032" s="1345"/>
      <c r="K1032" s="1345"/>
      <c r="L1032" s="1345"/>
      <c r="M1032" s="1350"/>
      <c r="N1032" s="1345"/>
      <c r="O1032" s="1345"/>
      <c r="P1032" s="1345"/>
      <c r="Q1032" s="1345"/>
      <c r="R1032" s="1345"/>
      <c r="S1032" s="1345"/>
      <c r="T1032" s="1345"/>
      <c r="U1032" s="1345"/>
    </row>
    <row r="1033" spans="1:21">
      <c r="A1033" s="1345"/>
      <c r="B1033" s="1345"/>
      <c r="C1033" s="1345"/>
      <c r="D1033" s="1345"/>
      <c r="E1033" s="1345"/>
      <c r="F1033" s="1345"/>
      <c r="G1033" s="1345"/>
      <c r="H1033" s="1345"/>
      <c r="I1033" s="1345"/>
      <c r="J1033" s="1345"/>
      <c r="K1033" s="1345"/>
      <c r="L1033" s="1345"/>
      <c r="M1033" s="1345"/>
      <c r="N1033" s="1345"/>
      <c r="O1033" s="1345"/>
      <c r="P1033" s="1345"/>
      <c r="Q1033" s="1345"/>
      <c r="R1033" s="1345"/>
      <c r="S1033" s="1345"/>
      <c r="T1033" s="1345"/>
      <c r="U1033" s="1345"/>
    </row>
    <row r="1034" spans="1:21">
      <c r="A1034" s="1345"/>
      <c r="B1034" s="1345"/>
      <c r="C1034" s="1345"/>
      <c r="D1034" s="1345"/>
      <c r="E1034" s="1345"/>
      <c r="F1034" s="1345"/>
      <c r="G1034" s="1345"/>
      <c r="H1034" s="1345"/>
      <c r="I1034" s="1345"/>
      <c r="J1034" s="1345"/>
      <c r="K1034" s="1345"/>
      <c r="L1034" s="1345"/>
      <c r="M1034" s="1350"/>
      <c r="N1034" s="1345"/>
      <c r="O1034" s="1345"/>
      <c r="P1034" s="1345"/>
      <c r="Q1034" s="1345"/>
      <c r="R1034" s="1345"/>
      <c r="S1034" s="1345"/>
      <c r="T1034" s="1345"/>
      <c r="U1034" s="1345"/>
    </row>
    <row r="1035" spans="1:21">
      <c r="A1035" s="1345"/>
      <c r="B1035" s="1345"/>
      <c r="C1035" s="1345"/>
      <c r="D1035" s="1345"/>
      <c r="E1035" s="1345"/>
      <c r="F1035" s="1345"/>
      <c r="G1035" s="1345"/>
      <c r="H1035" s="1345"/>
      <c r="I1035" s="1345"/>
      <c r="J1035" s="1345"/>
      <c r="K1035" s="1345"/>
      <c r="L1035" s="1345"/>
      <c r="M1035" s="1350"/>
      <c r="N1035" s="1345"/>
      <c r="O1035" s="1345"/>
      <c r="P1035" s="1345"/>
      <c r="Q1035" s="1345"/>
      <c r="R1035" s="1345"/>
      <c r="S1035" s="1345"/>
      <c r="T1035" s="1345"/>
      <c r="U1035" s="1345"/>
    </row>
    <row r="1036" spans="1:21">
      <c r="A1036" s="1345"/>
      <c r="B1036" s="1345"/>
      <c r="C1036" s="1345"/>
      <c r="D1036" s="1345"/>
      <c r="E1036" s="1345"/>
      <c r="F1036" s="1345"/>
      <c r="G1036" s="1345"/>
      <c r="H1036" s="1345"/>
      <c r="I1036" s="1345"/>
      <c r="J1036" s="1345"/>
      <c r="K1036" s="1345"/>
      <c r="L1036" s="1345"/>
      <c r="M1036" s="1350"/>
      <c r="N1036" s="1345"/>
      <c r="O1036" s="1345"/>
      <c r="P1036" s="1345"/>
      <c r="Q1036" s="1345"/>
      <c r="R1036" s="1345"/>
      <c r="S1036" s="1345"/>
      <c r="T1036" s="1345"/>
      <c r="U1036" s="1345"/>
    </row>
    <row r="1037" spans="1:21">
      <c r="A1037" s="1345"/>
      <c r="B1037" s="1345"/>
      <c r="C1037" s="1345"/>
      <c r="D1037" s="1345"/>
      <c r="E1037" s="1345"/>
      <c r="F1037" s="1345"/>
      <c r="G1037" s="1345"/>
      <c r="H1037" s="1345"/>
      <c r="I1037" s="1345"/>
      <c r="J1037" s="1345"/>
      <c r="K1037" s="1345"/>
      <c r="L1037" s="1345"/>
      <c r="M1037" s="1350"/>
      <c r="N1037" s="1345"/>
      <c r="O1037" s="1345"/>
      <c r="P1037" s="1345"/>
      <c r="Q1037" s="1345"/>
      <c r="R1037" s="1345"/>
      <c r="S1037" s="1345"/>
      <c r="T1037" s="1345"/>
      <c r="U1037" s="1345"/>
    </row>
    <row r="1038" spans="1:21">
      <c r="A1038" s="1345"/>
      <c r="B1038" s="1345"/>
      <c r="C1038" s="1345"/>
      <c r="D1038" s="1345"/>
      <c r="E1038" s="1345"/>
      <c r="F1038" s="1345"/>
      <c r="G1038" s="1345"/>
      <c r="H1038" s="1345"/>
      <c r="I1038" s="1345"/>
      <c r="J1038" s="1345"/>
      <c r="K1038" s="1345"/>
      <c r="L1038" s="1345"/>
      <c r="M1038" s="1350"/>
      <c r="N1038" s="1345"/>
      <c r="O1038" s="1345"/>
      <c r="P1038" s="1345"/>
      <c r="Q1038" s="1345"/>
      <c r="R1038" s="1345"/>
      <c r="S1038" s="1345"/>
      <c r="T1038" s="1345"/>
      <c r="U1038" s="1345"/>
    </row>
    <row r="1039" spans="1:21">
      <c r="A1039" s="1345"/>
      <c r="B1039" s="1345"/>
      <c r="C1039" s="1345"/>
      <c r="D1039" s="1345"/>
      <c r="E1039" s="1345"/>
      <c r="F1039" s="1345"/>
      <c r="G1039" s="1345"/>
      <c r="H1039" s="1345"/>
      <c r="I1039" s="1345"/>
      <c r="J1039" s="1345"/>
      <c r="K1039" s="1345"/>
      <c r="L1039" s="1345"/>
      <c r="M1039" s="1350"/>
      <c r="N1039" s="1345"/>
      <c r="O1039" s="1345"/>
      <c r="P1039" s="1345"/>
      <c r="Q1039" s="1345"/>
      <c r="R1039" s="1345"/>
      <c r="S1039" s="1345"/>
      <c r="T1039" s="1345"/>
      <c r="U1039" s="1345"/>
    </row>
    <row r="1040" spans="1:21">
      <c r="A1040" s="1345"/>
      <c r="B1040" s="1345"/>
      <c r="C1040" s="1345"/>
      <c r="D1040" s="1345"/>
      <c r="E1040" s="1345"/>
      <c r="F1040" s="1345"/>
      <c r="G1040" s="1345"/>
      <c r="H1040" s="1345"/>
      <c r="I1040" s="1345"/>
      <c r="J1040" s="1345"/>
      <c r="K1040" s="1345"/>
      <c r="L1040" s="1345"/>
      <c r="M1040" s="1350"/>
      <c r="N1040" s="1345"/>
      <c r="O1040" s="1345"/>
      <c r="P1040" s="1345"/>
      <c r="Q1040" s="1345"/>
      <c r="R1040" s="1345"/>
      <c r="S1040" s="1345"/>
      <c r="T1040" s="1345"/>
      <c r="U1040" s="1345"/>
    </row>
    <row r="1041" spans="1:21">
      <c r="A1041" s="1345"/>
      <c r="B1041" s="1345"/>
      <c r="C1041" s="1345"/>
      <c r="D1041" s="1345"/>
      <c r="E1041" s="1345"/>
      <c r="F1041" s="1345"/>
      <c r="G1041" s="1345"/>
      <c r="H1041" s="1345"/>
      <c r="I1041" s="1345"/>
      <c r="J1041" s="1345"/>
      <c r="K1041" s="1345"/>
      <c r="L1041" s="1345"/>
      <c r="M1041" s="1350"/>
      <c r="N1041" s="1345"/>
      <c r="O1041" s="1345"/>
      <c r="P1041" s="1345"/>
      <c r="Q1041" s="1345"/>
      <c r="R1041" s="1345"/>
      <c r="S1041" s="1345"/>
      <c r="T1041" s="1345"/>
      <c r="U1041" s="1345"/>
    </row>
    <row r="1042" spans="1:21">
      <c r="A1042" s="1345"/>
      <c r="B1042" s="1345"/>
      <c r="C1042" s="1345"/>
      <c r="D1042" s="1345"/>
      <c r="E1042" s="1345"/>
      <c r="F1042" s="1345"/>
      <c r="G1042" s="1345"/>
      <c r="H1042" s="1345"/>
      <c r="I1042" s="1345"/>
      <c r="J1042" s="1345"/>
      <c r="K1042" s="1345"/>
      <c r="L1042" s="1345"/>
      <c r="M1042" s="1350"/>
      <c r="N1042" s="1345"/>
      <c r="O1042" s="1345"/>
      <c r="P1042" s="1345"/>
      <c r="Q1042" s="1345"/>
      <c r="R1042" s="1345"/>
      <c r="S1042" s="1345"/>
      <c r="T1042" s="1345"/>
      <c r="U1042" s="1345"/>
    </row>
    <row r="1043" spans="1:21">
      <c r="A1043" s="1345"/>
      <c r="B1043" s="1345"/>
      <c r="C1043" s="1345"/>
      <c r="D1043" s="1345"/>
      <c r="E1043" s="1345"/>
      <c r="F1043" s="1345"/>
      <c r="G1043" s="1345"/>
      <c r="H1043" s="1345"/>
      <c r="I1043" s="1345"/>
      <c r="J1043" s="1345"/>
      <c r="K1043" s="1345"/>
      <c r="L1043" s="1345"/>
      <c r="M1043" s="1350"/>
      <c r="N1043" s="1345"/>
      <c r="O1043" s="1345"/>
      <c r="P1043" s="1345"/>
      <c r="Q1043" s="1345"/>
      <c r="R1043" s="1345"/>
      <c r="S1043" s="1345"/>
      <c r="T1043" s="1345"/>
      <c r="U1043" s="1345"/>
    </row>
    <row r="1044" spans="1:21">
      <c r="A1044" s="1345"/>
      <c r="B1044" s="1345"/>
      <c r="C1044" s="1345"/>
      <c r="D1044" s="1345"/>
      <c r="E1044" s="1345"/>
      <c r="F1044" s="1345"/>
      <c r="G1044" s="1345"/>
      <c r="H1044" s="1345"/>
      <c r="I1044" s="1345"/>
      <c r="J1044" s="1345"/>
      <c r="K1044" s="1345"/>
      <c r="L1044" s="1345"/>
      <c r="M1044" s="1350"/>
      <c r="N1044" s="1345"/>
      <c r="O1044" s="1345"/>
      <c r="P1044" s="1345"/>
      <c r="Q1044" s="1345"/>
      <c r="R1044" s="1345"/>
      <c r="S1044" s="1345"/>
      <c r="T1044" s="1345"/>
      <c r="U1044" s="1345"/>
    </row>
    <row r="1045" spans="1:21">
      <c r="A1045" s="1345"/>
      <c r="B1045" s="1345"/>
      <c r="C1045" s="1345"/>
      <c r="D1045" s="1345"/>
      <c r="E1045" s="1345"/>
      <c r="F1045" s="1345"/>
      <c r="G1045" s="1345"/>
      <c r="H1045" s="1345"/>
      <c r="I1045" s="1345"/>
      <c r="J1045" s="1345"/>
      <c r="K1045" s="1345"/>
      <c r="L1045" s="1345"/>
      <c r="M1045" s="1350"/>
      <c r="N1045" s="1345"/>
      <c r="O1045" s="1345"/>
      <c r="P1045" s="1345"/>
      <c r="Q1045" s="1345"/>
      <c r="R1045" s="1345"/>
      <c r="S1045" s="1345"/>
      <c r="T1045" s="1345"/>
      <c r="U1045" s="1345"/>
    </row>
    <row r="1046" spans="1:21">
      <c r="A1046" s="1345"/>
      <c r="B1046" s="1345"/>
      <c r="C1046" s="1345"/>
      <c r="D1046" s="1345"/>
      <c r="E1046" s="1345"/>
      <c r="F1046" s="1345"/>
      <c r="G1046" s="1345"/>
      <c r="H1046" s="1345"/>
      <c r="I1046" s="1345"/>
      <c r="J1046" s="1345"/>
      <c r="K1046" s="1345"/>
      <c r="L1046" s="1345"/>
      <c r="M1046" s="1350"/>
      <c r="N1046" s="1345"/>
      <c r="O1046" s="1345"/>
      <c r="P1046" s="1345"/>
      <c r="Q1046" s="1345"/>
      <c r="R1046" s="1345"/>
      <c r="S1046" s="1345"/>
      <c r="T1046" s="1345"/>
      <c r="U1046" s="1345"/>
    </row>
    <row r="1047" spans="1:21">
      <c r="A1047" s="1345"/>
      <c r="B1047" s="1345"/>
      <c r="C1047" s="1345"/>
      <c r="D1047" s="1345"/>
      <c r="E1047" s="1345"/>
      <c r="F1047" s="1345"/>
      <c r="G1047" s="1345"/>
      <c r="H1047" s="1345"/>
      <c r="I1047" s="1345"/>
      <c r="J1047" s="1345"/>
      <c r="K1047" s="1345"/>
      <c r="L1047" s="1345"/>
      <c r="M1047" s="1350"/>
      <c r="N1047" s="1345"/>
      <c r="O1047" s="1345"/>
      <c r="P1047" s="1345"/>
      <c r="Q1047" s="1345"/>
      <c r="R1047" s="1345"/>
      <c r="S1047" s="1345"/>
      <c r="T1047" s="1345"/>
      <c r="U1047" s="1345"/>
    </row>
    <row r="1048" spans="1:21">
      <c r="A1048" s="1345"/>
      <c r="B1048" s="1345"/>
      <c r="C1048" s="1345"/>
      <c r="D1048" s="1345"/>
      <c r="E1048" s="1345"/>
      <c r="F1048" s="1345"/>
      <c r="G1048" s="1345"/>
      <c r="H1048" s="1345"/>
      <c r="I1048" s="1345"/>
      <c r="J1048" s="1345"/>
      <c r="K1048" s="1345"/>
      <c r="L1048" s="1345"/>
      <c r="M1048" s="1350"/>
      <c r="N1048" s="1345"/>
      <c r="O1048" s="1345"/>
      <c r="P1048" s="1345"/>
      <c r="Q1048" s="1345"/>
      <c r="R1048" s="1345"/>
      <c r="S1048" s="1345"/>
      <c r="T1048" s="1345"/>
      <c r="U1048" s="1345"/>
    </row>
    <row r="1049" spans="1:21">
      <c r="A1049" s="1345"/>
      <c r="B1049" s="1345"/>
      <c r="C1049" s="1345"/>
      <c r="D1049" s="1345"/>
      <c r="E1049" s="1345"/>
      <c r="F1049" s="1345"/>
      <c r="G1049" s="1345"/>
      <c r="H1049" s="1345"/>
      <c r="I1049" s="1345"/>
      <c r="J1049" s="1345"/>
      <c r="K1049" s="1345"/>
      <c r="L1049" s="1345"/>
      <c r="M1049" s="1350"/>
      <c r="N1049" s="1345"/>
      <c r="O1049" s="1345"/>
      <c r="P1049" s="1345"/>
      <c r="Q1049" s="1345"/>
      <c r="R1049" s="1345"/>
      <c r="S1049" s="1345"/>
      <c r="T1049" s="1345"/>
      <c r="U1049" s="1345"/>
    </row>
    <row r="1050" spans="1:21">
      <c r="A1050" s="1345"/>
      <c r="B1050" s="1345"/>
      <c r="C1050" s="1345"/>
      <c r="D1050" s="1345"/>
      <c r="E1050" s="1345"/>
      <c r="F1050" s="1345"/>
      <c r="G1050" s="1345"/>
      <c r="H1050" s="1345"/>
      <c r="I1050" s="1345"/>
      <c r="J1050" s="1345"/>
      <c r="K1050" s="1345"/>
      <c r="L1050" s="1345"/>
      <c r="M1050" s="1350"/>
      <c r="N1050" s="1345"/>
      <c r="O1050" s="1345"/>
      <c r="P1050" s="1345"/>
      <c r="Q1050" s="1345"/>
      <c r="R1050" s="1345"/>
      <c r="S1050" s="1345"/>
      <c r="T1050" s="1345"/>
      <c r="U1050" s="1345"/>
    </row>
    <row r="1051" spans="1:21">
      <c r="A1051" s="1345"/>
      <c r="B1051" s="1345"/>
      <c r="C1051" s="1345"/>
      <c r="D1051" s="1345"/>
      <c r="E1051" s="1345"/>
      <c r="F1051" s="1345"/>
      <c r="G1051" s="1345"/>
      <c r="H1051" s="1345"/>
      <c r="I1051" s="1345"/>
      <c r="J1051" s="1345"/>
      <c r="K1051" s="1345"/>
      <c r="L1051" s="1345"/>
      <c r="M1051" s="1350"/>
      <c r="N1051" s="1345"/>
      <c r="O1051" s="1345"/>
      <c r="P1051" s="1345"/>
      <c r="Q1051" s="1345"/>
      <c r="R1051" s="1345"/>
      <c r="S1051" s="1345"/>
      <c r="T1051" s="1345"/>
      <c r="U1051" s="1345"/>
    </row>
    <row r="1052" spans="1:21">
      <c r="A1052" s="1345"/>
      <c r="B1052" s="1345"/>
      <c r="C1052" s="1345"/>
      <c r="D1052" s="1345"/>
      <c r="E1052" s="1345"/>
      <c r="F1052" s="1345"/>
      <c r="G1052" s="1345"/>
      <c r="H1052" s="1345"/>
      <c r="I1052" s="1345"/>
      <c r="J1052" s="1345"/>
      <c r="K1052" s="1345"/>
      <c r="L1052" s="1345"/>
      <c r="M1052" s="1350"/>
      <c r="N1052" s="1345"/>
      <c r="O1052" s="1345"/>
      <c r="P1052" s="1345"/>
      <c r="Q1052" s="1345"/>
      <c r="R1052" s="1345"/>
      <c r="S1052" s="1345"/>
      <c r="T1052" s="1345"/>
      <c r="U1052" s="1345"/>
    </row>
    <row r="1053" spans="1:21">
      <c r="A1053" s="1345"/>
      <c r="B1053" s="1345"/>
      <c r="C1053" s="1345"/>
      <c r="D1053" s="1345"/>
      <c r="E1053" s="1345"/>
      <c r="F1053" s="1345"/>
      <c r="G1053" s="1345"/>
      <c r="H1053" s="1345"/>
      <c r="I1053" s="1345"/>
      <c r="J1053" s="1345"/>
      <c r="K1053" s="1345"/>
      <c r="L1053" s="1345"/>
      <c r="M1053" s="1350"/>
      <c r="N1053" s="1345"/>
      <c r="O1053" s="1345"/>
      <c r="P1053" s="1345"/>
      <c r="Q1053" s="1345"/>
      <c r="R1053" s="1345"/>
      <c r="S1053" s="1345"/>
      <c r="T1053" s="1345"/>
      <c r="U1053" s="1345"/>
    </row>
    <row r="1054" spans="1:21">
      <c r="A1054" s="1345"/>
      <c r="B1054" s="1345"/>
      <c r="C1054" s="1345"/>
      <c r="D1054" s="1345"/>
      <c r="E1054" s="1345"/>
      <c r="F1054" s="1345"/>
      <c r="G1054" s="1345"/>
      <c r="H1054" s="1345"/>
      <c r="I1054" s="1345"/>
      <c r="J1054" s="1345"/>
      <c r="K1054" s="1345"/>
      <c r="L1054" s="1345"/>
      <c r="M1054" s="1350"/>
      <c r="N1054" s="1345"/>
      <c r="O1054" s="1345"/>
      <c r="P1054" s="1345"/>
      <c r="Q1054" s="1345"/>
      <c r="R1054" s="1345"/>
      <c r="S1054" s="1345"/>
      <c r="T1054" s="1345"/>
      <c r="U1054" s="1345"/>
    </row>
    <row r="1055" spans="1:21">
      <c r="A1055" s="1345"/>
      <c r="B1055" s="1345"/>
      <c r="C1055" s="1345"/>
      <c r="D1055" s="1345"/>
      <c r="E1055" s="1345"/>
      <c r="F1055" s="1345"/>
      <c r="G1055" s="1345"/>
      <c r="H1055" s="1345"/>
      <c r="I1055" s="1345"/>
      <c r="J1055" s="1345"/>
      <c r="K1055" s="1345"/>
      <c r="L1055" s="1345"/>
      <c r="M1055" s="1350"/>
      <c r="N1055" s="1345"/>
      <c r="O1055" s="1345"/>
      <c r="P1055" s="1345"/>
      <c r="Q1055" s="1345"/>
      <c r="R1055" s="1345"/>
      <c r="S1055" s="1345"/>
      <c r="T1055" s="1345"/>
      <c r="U1055" s="1345"/>
    </row>
    <row r="1056" spans="1:21">
      <c r="A1056" s="1345"/>
      <c r="B1056" s="1345"/>
      <c r="C1056" s="1345"/>
      <c r="D1056" s="1345"/>
      <c r="E1056" s="1345"/>
      <c r="F1056" s="1345"/>
      <c r="G1056" s="1345"/>
      <c r="H1056" s="1345"/>
      <c r="I1056" s="1345"/>
      <c r="J1056" s="1345"/>
      <c r="K1056" s="1345"/>
      <c r="L1056" s="1345"/>
      <c r="M1056" s="1350"/>
      <c r="N1056" s="1345"/>
      <c r="O1056" s="1345"/>
      <c r="P1056" s="1345"/>
      <c r="Q1056" s="1345"/>
      <c r="R1056" s="1345"/>
      <c r="S1056" s="1345"/>
      <c r="T1056" s="1345"/>
      <c r="U1056" s="1345"/>
    </row>
    <row r="1057" spans="1:21">
      <c r="A1057" s="1345"/>
      <c r="B1057" s="1345"/>
      <c r="C1057" s="1345"/>
      <c r="D1057" s="1345"/>
      <c r="E1057" s="1345"/>
      <c r="F1057" s="1345"/>
      <c r="G1057" s="1345"/>
      <c r="H1057" s="1345"/>
      <c r="I1057" s="1345"/>
      <c r="J1057" s="1345"/>
      <c r="K1057" s="1345"/>
      <c r="L1057" s="1345"/>
      <c r="M1057" s="1350"/>
      <c r="N1057" s="1345"/>
      <c r="O1057" s="1345"/>
      <c r="P1057" s="1345"/>
      <c r="Q1057" s="1345"/>
      <c r="R1057" s="1345"/>
      <c r="S1057" s="1345"/>
      <c r="T1057" s="1345"/>
      <c r="U1057" s="1345"/>
    </row>
    <row r="1058" spans="1:21">
      <c r="A1058" s="1345"/>
      <c r="B1058" s="1345"/>
      <c r="C1058" s="1345"/>
      <c r="D1058" s="1345"/>
      <c r="E1058" s="1345"/>
      <c r="F1058" s="1345"/>
      <c r="G1058" s="1345"/>
      <c r="H1058" s="1345"/>
      <c r="I1058" s="1345"/>
      <c r="J1058" s="1345"/>
      <c r="K1058" s="1345"/>
      <c r="L1058" s="1345"/>
      <c r="M1058" s="1350"/>
      <c r="N1058" s="1345"/>
      <c r="O1058" s="1345"/>
      <c r="P1058" s="1345"/>
      <c r="Q1058" s="1345"/>
      <c r="R1058" s="1345"/>
      <c r="S1058" s="1345"/>
      <c r="T1058" s="1345"/>
      <c r="U1058" s="1345"/>
    </row>
    <row r="1059" spans="1:21">
      <c r="A1059" s="1345"/>
      <c r="B1059" s="1345"/>
      <c r="C1059" s="1345"/>
      <c r="D1059" s="1345"/>
      <c r="E1059" s="1345"/>
      <c r="F1059" s="1345"/>
      <c r="G1059" s="1345"/>
      <c r="H1059" s="1345"/>
      <c r="I1059" s="1345"/>
      <c r="J1059" s="1345"/>
      <c r="K1059" s="1345"/>
      <c r="L1059" s="1345"/>
      <c r="M1059" s="1350"/>
      <c r="N1059" s="1345"/>
      <c r="O1059" s="1345"/>
      <c r="P1059" s="1345"/>
      <c r="Q1059" s="1345"/>
      <c r="R1059" s="1345"/>
      <c r="S1059" s="1345"/>
      <c r="T1059" s="1345"/>
      <c r="U1059" s="1345"/>
    </row>
    <row r="1060" spans="1:21">
      <c r="A1060" s="1345"/>
      <c r="B1060" s="1345"/>
      <c r="C1060" s="1345"/>
      <c r="D1060" s="1345"/>
      <c r="E1060" s="1345"/>
      <c r="F1060" s="1345"/>
      <c r="G1060" s="1345"/>
      <c r="H1060" s="1345"/>
      <c r="I1060" s="1345"/>
      <c r="J1060" s="1345"/>
      <c r="K1060" s="1345"/>
      <c r="L1060" s="1345"/>
      <c r="M1060" s="1350"/>
      <c r="N1060" s="1345"/>
      <c r="O1060" s="1345"/>
      <c r="P1060" s="1345"/>
      <c r="Q1060" s="1345"/>
      <c r="R1060" s="1345"/>
      <c r="S1060" s="1345"/>
      <c r="T1060" s="1345"/>
      <c r="U1060" s="1345"/>
    </row>
    <row r="1061" spans="1:21">
      <c r="A1061" s="1345"/>
      <c r="B1061" s="1345"/>
      <c r="C1061" s="1345"/>
      <c r="D1061" s="1345"/>
      <c r="E1061" s="1345"/>
      <c r="F1061" s="1345"/>
      <c r="G1061" s="1345"/>
      <c r="H1061" s="1345"/>
      <c r="I1061" s="1345"/>
      <c r="J1061" s="1345"/>
      <c r="K1061" s="1345"/>
      <c r="L1061" s="1345"/>
      <c r="M1061" s="1350"/>
      <c r="N1061" s="1345"/>
      <c r="O1061" s="1345"/>
      <c r="P1061" s="1345"/>
      <c r="Q1061" s="1345"/>
      <c r="R1061" s="1345"/>
      <c r="S1061" s="1345"/>
      <c r="T1061" s="1345"/>
      <c r="U1061" s="1345"/>
    </row>
    <row r="1062" spans="1:21">
      <c r="A1062" s="1345"/>
      <c r="B1062" s="1345"/>
      <c r="C1062" s="1345"/>
      <c r="D1062" s="1345"/>
      <c r="E1062" s="1345"/>
      <c r="F1062" s="1345"/>
      <c r="G1062" s="1345"/>
      <c r="H1062" s="1345"/>
      <c r="I1062" s="1345"/>
      <c r="J1062" s="1345"/>
      <c r="K1062" s="1345"/>
      <c r="L1062" s="1345"/>
      <c r="M1062" s="1345"/>
      <c r="N1062" s="1345"/>
      <c r="O1062" s="1345"/>
      <c r="P1062" s="1345"/>
      <c r="Q1062" s="1345"/>
      <c r="R1062" s="1345"/>
      <c r="S1062" s="1345"/>
      <c r="T1062" s="1345"/>
      <c r="U1062" s="1345"/>
    </row>
    <row r="1063" spans="1:21">
      <c r="A1063" s="1345"/>
      <c r="B1063" s="1345"/>
      <c r="C1063" s="1345"/>
      <c r="D1063" s="1345"/>
      <c r="E1063" s="1345"/>
      <c r="F1063" s="1345"/>
      <c r="G1063" s="1345"/>
      <c r="H1063" s="1345"/>
      <c r="I1063" s="1345"/>
      <c r="J1063" s="1345"/>
      <c r="K1063" s="1345"/>
      <c r="L1063" s="1345"/>
      <c r="M1063" s="1345"/>
      <c r="N1063" s="1345"/>
      <c r="O1063" s="1345"/>
      <c r="P1063" s="1345"/>
      <c r="Q1063" s="1345"/>
      <c r="R1063" s="1345"/>
      <c r="S1063" s="1345"/>
      <c r="T1063" s="1345"/>
      <c r="U1063" s="1345"/>
    </row>
    <row r="1064" spans="1:21">
      <c r="A1064" s="1345"/>
      <c r="B1064" s="1345"/>
      <c r="C1064" s="1345"/>
      <c r="D1064" s="1345"/>
      <c r="E1064" s="1345"/>
      <c r="F1064" s="1345"/>
      <c r="G1064" s="1345"/>
      <c r="H1064" s="1345"/>
      <c r="I1064" s="1345"/>
      <c r="J1064" s="1345"/>
      <c r="K1064" s="1345"/>
      <c r="L1064" s="1345"/>
      <c r="M1064" s="1345"/>
      <c r="N1064" s="1345"/>
      <c r="O1064" s="1345"/>
      <c r="P1064" s="1345"/>
      <c r="Q1064" s="1345"/>
      <c r="R1064" s="1345"/>
      <c r="S1064" s="1345"/>
      <c r="T1064" s="1345"/>
      <c r="U1064" s="1345"/>
    </row>
    <row r="1065" spans="1:21">
      <c r="A1065" s="1345"/>
      <c r="B1065" s="1345"/>
      <c r="C1065" s="1345"/>
      <c r="D1065" s="1345"/>
      <c r="E1065" s="1345"/>
      <c r="F1065" s="1345"/>
      <c r="G1065" s="1345"/>
      <c r="H1065" s="1345"/>
      <c r="I1065" s="1345"/>
      <c r="J1065" s="1345"/>
      <c r="K1065" s="1345"/>
      <c r="L1065" s="1345"/>
      <c r="M1065" s="1345"/>
      <c r="N1065" s="1345"/>
      <c r="O1065" s="1345"/>
      <c r="P1065" s="1345"/>
      <c r="Q1065" s="1345"/>
      <c r="R1065" s="1345"/>
      <c r="S1065" s="1345"/>
      <c r="T1065" s="1345"/>
      <c r="U1065" s="1345"/>
    </row>
    <row r="1066" spans="1:21">
      <c r="A1066" s="1345"/>
      <c r="B1066" s="1345"/>
      <c r="C1066" s="1345"/>
      <c r="D1066" s="1345"/>
      <c r="E1066" s="1345"/>
      <c r="F1066" s="1345"/>
      <c r="G1066" s="1345"/>
      <c r="H1066" s="1345"/>
      <c r="I1066" s="1345"/>
      <c r="J1066" s="1345"/>
      <c r="K1066" s="1345"/>
      <c r="L1066" s="1345"/>
      <c r="M1066" s="1345"/>
      <c r="N1066" s="1345"/>
      <c r="O1066" s="1345"/>
      <c r="P1066" s="1345"/>
      <c r="Q1066" s="1345"/>
      <c r="R1066" s="1345"/>
      <c r="S1066" s="1345"/>
      <c r="T1066" s="1345"/>
      <c r="U1066" s="1345"/>
    </row>
    <row r="1067" spans="1:21">
      <c r="A1067" s="1345"/>
      <c r="B1067" s="1345"/>
      <c r="C1067" s="1345"/>
      <c r="D1067" s="1345"/>
      <c r="E1067" s="1345"/>
      <c r="F1067" s="1345"/>
      <c r="G1067" s="1345"/>
      <c r="H1067" s="1345"/>
      <c r="I1067" s="1345"/>
      <c r="J1067" s="1345"/>
      <c r="K1067" s="1345"/>
      <c r="L1067" s="1345"/>
      <c r="M1067" s="1350"/>
      <c r="N1067" s="1345"/>
      <c r="O1067" s="1345"/>
      <c r="P1067" s="1345"/>
      <c r="Q1067" s="1345"/>
      <c r="R1067" s="1345"/>
      <c r="S1067" s="1345"/>
      <c r="T1067" s="1345"/>
      <c r="U1067" s="1345"/>
    </row>
    <row r="1068" spans="1:21">
      <c r="A1068" s="1345"/>
      <c r="B1068" s="1345"/>
      <c r="C1068" s="1345"/>
      <c r="D1068" s="1345"/>
      <c r="E1068" s="1345"/>
      <c r="F1068" s="1345"/>
      <c r="G1068" s="1345"/>
      <c r="H1068" s="1345"/>
      <c r="I1068" s="1345"/>
      <c r="J1068" s="1345"/>
      <c r="K1068" s="1345"/>
      <c r="L1068" s="1345"/>
      <c r="M1068" s="1350"/>
      <c r="N1068" s="1345"/>
      <c r="O1068" s="1345"/>
      <c r="P1068" s="1345"/>
      <c r="Q1068" s="1345"/>
      <c r="R1068" s="1345"/>
      <c r="S1068" s="1345"/>
      <c r="T1068" s="1345"/>
      <c r="U1068" s="1345"/>
    </row>
    <row r="1069" spans="1:21">
      <c r="A1069" s="1345"/>
      <c r="B1069" s="1345"/>
      <c r="C1069" s="1345"/>
      <c r="D1069" s="1345"/>
      <c r="E1069" s="1345"/>
      <c r="F1069" s="1345"/>
      <c r="G1069" s="1345"/>
      <c r="H1069" s="1345"/>
      <c r="I1069" s="1345"/>
      <c r="J1069" s="1345"/>
      <c r="K1069" s="1345"/>
      <c r="L1069" s="1345"/>
      <c r="M1069" s="1350"/>
      <c r="N1069" s="1345"/>
      <c r="O1069" s="1345"/>
      <c r="P1069" s="1345"/>
      <c r="Q1069" s="1345"/>
      <c r="R1069" s="1345"/>
      <c r="S1069" s="1345"/>
      <c r="T1069" s="1345"/>
      <c r="U1069" s="1345"/>
    </row>
    <row r="1070" spans="1:21">
      <c r="A1070" s="1345"/>
      <c r="B1070" s="1345"/>
      <c r="C1070" s="1345"/>
      <c r="D1070" s="1345"/>
      <c r="E1070" s="1345"/>
      <c r="F1070" s="1345"/>
      <c r="G1070" s="1345"/>
      <c r="H1070" s="1345"/>
      <c r="I1070" s="1345"/>
      <c r="J1070" s="1345"/>
      <c r="K1070" s="1345"/>
      <c r="L1070" s="1345"/>
      <c r="M1070" s="1350"/>
      <c r="N1070" s="1345"/>
      <c r="O1070" s="1345"/>
      <c r="P1070" s="1345"/>
      <c r="Q1070" s="1345"/>
      <c r="R1070" s="1345"/>
      <c r="S1070" s="1345"/>
      <c r="T1070" s="1345"/>
      <c r="U1070" s="1345"/>
    </row>
    <row r="1071" spans="1:21">
      <c r="A1071" s="1345"/>
      <c r="B1071" s="1345"/>
      <c r="C1071" s="1345"/>
      <c r="D1071" s="1345"/>
      <c r="E1071" s="1345"/>
      <c r="F1071" s="1345"/>
      <c r="G1071" s="1345"/>
      <c r="H1071" s="1345"/>
      <c r="I1071" s="1345"/>
      <c r="J1071" s="1345"/>
      <c r="K1071" s="1345"/>
      <c r="L1071" s="1345"/>
      <c r="M1071" s="1345"/>
      <c r="N1071" s="1345"/>
      <c r="O1071" s="1345"/>
      <c r="P1071" s="1345"/>
      <c r="Q1071" s="1345"/>
      <c r="R1071" s="1345"/>
      <c r="S1071" s="1345"/>
      <c r="T1071" s="1345"/>
      <c r="U1071" s="1345"/>
    </row>
    <row r="1072" spans="1:21">
      <c r="A1072" s="1345"/>
      <c r="B1072" s="1345"/>
      <c r="C1072" s="1345"/>
      <c r="D1072" s="1345"/>
      <c r="E1072" s="1345"/>
      <c r="F1072" s="1345"/>
      <c r="G1072" s="1345"/>
      <c r="H1072" s="1345"/>
      <c r="I1072" s="1345"/>
      <c r="J1072" s="1345"/>
      <c r="K1072" s="1345"/>
      <c r="L1072" s="1345"/>
      <c r="M1072" s="1345"/>
      <c r="N1072" s="1345"/>
      <c r="O1072" s="1345"/>
      <c r="P1072" s="1345"/>
      <c r="Q1072" s="1345"/>
      <c r="R1072" s="1345"/>
      <c r="S1072" s="1345"/>
      <c r="T1072" s="1345"/>
      <c r="U1072" s="1345"/>
    </row>
    <row r="1073" spans="1:21">
      <c r="A1073" s="1345"/>
      <c r="B1073" s="1345"/>
      <c r="C1073" s="1345"/>
      <c r="D1073" s="1345"/>
      <c r="E1073" s="1345"/>
      <c r="F1073" s="1345"/>
      <c r="G1073" s="1345"/>
      <c r="H1073" s="1345"/>
      <c r="I1073" s="1345"/>
      <c r="J1073" s="1345"/>
      <c r="K1073" s="1345"/>
      <c r="L1073" s="1345"/>
      <c r="M1073" s="1345"/>
      <c r="N1073" s="1345"/>
      <c r="O1073" s="1345"/>
      <c r="P1073" s="1345"/>
      <c r="Q1073" s="1345"/>
      <c r="R1073" s="1345"/>
      <c r="S1073" s="1345"/>
      <c r="T1073" s="1345"/>
      <c r="U1073" s="1345"/>
    </row>
    <row r="1074" spans="1:21">
      <c r="A1074" s="1345"/>
      <c r="B1074" s="1345"/>
      <c r="C1074" s="1345"/>
      <c r="D1074" s="1345"/>
      <c r="E1074" s="1345"/>
      <c r="F1074" s="1345"/>
      <c r="G1074" s="1345"/>
      <c r="H1074" s="1345"/>
      <c r="I1074" s="1345"/>
      <c r="J1074" s="1345"/>
      <c r="K1074" s="1345"/>
      <c r="L1074" s="1345"/>
      <c r="M1074" s="1345"/>
      <c r="N1074" s="1345"/>
      <c r="O1074" s="1345"/>
      <c r="P1074" s="1345"/>
      <c r="Q1074" s="1345"/>
      <c r="R1074" s="1345"/>
      <c r="S1074" s="1345"/>
      <c r="T1074" s="1345"/>
      <c r="U1074" s="1345"/>
    </row>
    <row r="1075" spans="1:21">
      <c r="A1075" s="1345"/>
      <c r="B1075" s="1345"/>
      <c r="C1075" s="1345"/>
      <c r="D1075" s="1345"/>
      <c r="E1075" s="1345"/>
      <c r="F1075" s="1345"/>
      <c r="G1075" s="1345"/>
      <c r="H1075" s="1345"/>
      <c r="I1075" s="1345"/>
      <c r="J1075" s="1345"/>
      <c r="K1075" s="1345"/>
      <c r="L1075" s="1345"/>
      <c r="M1075" s="1345"/>
      <c r="N1075" s="1345"/>
      <c r="O1075" s="1345"/>
      <c r="P1075" s="1345"/>
      <c r="Q1075" s="1345"/>
      <c r="R1075" s="1345"/>
      <c r="S1075" s="1345"/>
      <c r="T1075" s="1345"/>
      <c r="U1075" s="1345"/>
    </row>
    <row r="1076" spans="1:21">
      <c r="A1076" s="1345"/>
      <c r="B1076" s="1345"/>
      <c r="C1076" s="1345"/>
      <c r="D1076" s="1345"/>
      <c r="E1076" s="1345"/>
      <c r="F1076" s="1345"/>
      <c r="G1076" s="1345"/>
      <c r="H1076" s="1345"/>
      <c r="I1076" s="1345"/>
      <c r="J1076" s="1345"/>
      <c r="K1076" s="1345"/>
      <c r="L1076" s="1345"/>
      <c r="M1076" s="1345"/>
      <c r="N1076" s="1345"/>
      <c r="O1076" s="1345"/>
      <c r="P1076" s="1345"/>
      <c r="Q1076" s="1345"/>
      <c r="R1076" s="1345"/>
      <c r="S1076" s="1345"/>
      <c r="T1076" s="1345"/>
      <c r="U1076" s="1345"/>
    </row>
    <row r="1077" spans="1:21">
      <c r="A1077" s="1345"/>
      <c r="B1077" s="1345"/>
      <c r="C1077" s="1345"/>
      <c r="D1077" s="1345"/>
      <c r="E1077" s="1345"/>
      <c r="F1077" s="1345"/>
      <c r="G1077" s="1345"/>
      <c r="H1077" s="1345"/>
      <c r="I1077" s="1345"/>
      <c r="J1077" s="1345"/>
      <c r="K1077" s="1345"/>
      <c r="L1077" s="1345"/>
      <c r="M1077" s="1345"/>
      <c r="N1077" s="1345"/>
      <c r="O1077" s="1345"/>
      <c r="P1077" s="1345"/>
      <c r="Q1077" s="1345"/>
      <c r="R1077" s="1345"/>
      <c r="S1077" s="1345"/>
      <c r="T1077" s="1345"/>
      <c r="U1077" s="1345"/>
    </row>
    <row r="1078" spans="1:21">
      <c r="A1078" s="1345"/>
      <c r="B1078" s="1345"/>
      <c r="C1078" s="1345"/>
      <c r="D1078" s="1345"/>
      <c r="E1078" s="1345"/>
      <c r="F1078" s="1345"/>
      <c r="G1078" s="1345"/>
      <c r="H1078" s="1345"/>
      <c r="I1078" s="1345"/>
      <c r="J1078" s="1345"/>
      <c r="K1078" s="1345"/>
      <c r="L1078" s="1345"/>
      <c r="M1078" s="1350"/>
      <c r="N1078" s="1345"/>
      <c r="O1078" s="1345"/>
      <c r="P1078" s="1345"/>
      <c r="Q1078" s="1345"/>
      <c r="R1078" s="1345"/>
      <c r="S1078" s="1345"/>
      <c r="T1078" s="1345"/>
      <c r="U1078" s="1345"/>
    </row>
    <row r="1079" spans="1:21">
      <c r="A1079" s="1345"/>
      <c r="B1079" s="1345"/>
      <c r="C1079" s="1345"/>
      <c r="D1079" s="1345"/>
      <c r="E1079" s="1345"/>
      <c r="F1079" s="1345"/>
      <c r="G1079" s="1345"/>
      <c r="H1079" s="1345"/>
      <c r="I1079" s="1345"/>
      <c r="J1079" s="1345"/>
      <c r="K1079" s="1345"/>
      <c r="L1079" s="1345"/>
      <c r="M1079" s="1350"/>
      <c r="N1079" s="1345"/>
      <c r="O1079" s="1345"/>
      <c r="P1079" s="1345"/>
      <c r="Q1079" s="1345"/>
      <c r="R1079" s="1345"/>
      <c r="S1079" s="1345"/>
      <c r="T1079" s="1345"/>
      <c r="U1079" s="1345"/>
    </row>
    <row r="1080" spans="1:21">
      <c r="A1080" s="1345"/>
      <c r="B1080" s="1345"/>
      <c r="C1080" s="1345"/>
      <c r="D1080" s="1345"/>
      <c r="E1080" s="1345"/>
      <c r="F1080" s="1345"/>
      <c r="G1080" s="1345"/>
      <c r="H1080" s="1345"/>
      <c r="I1080" s="1345"/>
      <c r="J1080" s="1345"/>
      <c r="K1080" s="1345"/>
      <c r="L1080" s="1345"/>
      <c r="M1080" s="1350"/>
      <c r="N1080" s="1345"/>
      <c r="O1080" s="1345"/>
      <c r="P1080" s="1345"/>
      <c r="Q1080" s="1345"/>
      <c r="R1080" s="1345"/>
      <c r="S1080" s="1345"/>
      <c r="T1080" s="1345"/>
      <c r="U1080" s="1345"/>
    </row>
    <row r="1081" spans="1:21">
      <c r="A1081" s="1345"/>
      <c r="B1081" s="1345"/>
      <c r="C1081" s="1345"/>
      <c r="D1081" s="1345"/>
      <c r="E1081" s="1345"/>
      <c r="F1081" s="1345"/>
      <c r="G1081" s="1345"/>
      <c r="H1081" s="1345"/>
      <c r="I1081" s="1345"/>
      <c r="J1081" s="1345"/>
      <c r="K1081" s="1345"/>
      <c r="L1081" s="1345"/>
      <c r="M1081" s="1350"/>
      <c r="N1081" s="1345"/>
      <c r="O1081" s="1345"/>
      <c r="P1081" s="1345"/>
      <c r="Q1081" s="1345"/>
      <c r="R1081" s="1345"/>
      <c r="S1081" s="1345"/>
      <c r="T1081" s="1345"/>
      <c r="U1081" s="1345"/>
    </row>
    <row r="1082" spans="1:21">
      <c r="A1082" s="1345"/>
      <c r="B1082" s="1345"/>
      <c r="C1082" s="1345"/>
      <c r="D1082" s="1345"/>
      <c r="E1082" s="1345"/>
      <c r="F1082" s="1345"/>
      <c r="G1082" s="1345"/>
      <c r="H1082" s="1345"/>
      <c r="I1082" s="1345"/>
      <c r="J1082" s="1345"/>
      <c r="K1082" s="1345"/>
      <c r="L1082" s="1345"/>
      <c r="M1082" s="1345"/>
      <c r="N1082" s="1345"/>
      <c r="O1082" s="1345"/>
      <c r="P1082" s="1345"/>
      <c r="Q1082" s="1345"/>
      <c r="R1082" s="1345"/>
      <c r="S1082" s="1345"/>
      <c r="T1082" s="1345"/>
      <c r="U1082" s="1345"/>
    </row>
    <row r="1083" spans="1:21">
      <c r="A1083" s="1345"/>
      <c r="B1083" s="1345"/>
      <c r="C1083" s="1345"/>
      <c r="D1083" s="1345"/>
      <c r="E1083" s="1345"/>
      <c r="F1083" s="1345"/>
      <c r="G1083" s="1345"/>
      <c r="H1083" s="1345"/>
      <c r="I1083" s="1345"/>
      <c r="J1083" s="1345"/>
      <c r="K1083" s="1345"/>
      <c r="L1083" s="1345"/>
      <c r="M1083" s="1350"/>
      <c r="N1083" s="1345"/>
      <c r="O1083" s="1345"/>
      <c r="P1083" s="1345"/>
      <c r="Q1083" s="1345"/>
      <c r="R1083" s="1345"/>
      <c r="S1083" s="1345"/>
      <c r="T1083" s="1345"/>
      <c r="U1083" s="1345"/>
    </row>
    <row r="1084" spans="1:21">
      <c r="A1084" s="1345"/>
      <c r="B1084" s="1345"/>
      <c r="C1084" s="1345"/>
      <c r="D1084" s="1345"/>
      <c r="E1084" s="1345"/>
      <c r="F1084" s="1345"/>
      <c r="G1084" s="1345"/>
      <c r="H1084" s="1345"/>
      <c r="I1084" s="1345"/>
      <c r="J1084" s="1345"/>
      <c r="K1084" s="1345"/>
      <c r="L1084" s="1345"/>
      <c r="M1084" s="1345"/>
      <c r="N1084" s="1345"/>
      <c r="O1084" s="1345"/>
      <c r="P1084" s="1345"/>
      <c r="Q1084" s="1345"/>
      <c r="R1084" s="1345"/>
      <c r="S1084" s="1345"/>
      <c r="T1084" s="1345"/>
      <c r="U1084" s="1345"/>
    </row>
    <row r="1085" spans="1:21">
      <c r="A1085" s="1345"/>
      <c r="B1085" s="1345"/>
      <c r="C1085" s="1345"/>
      <c r="D1085" s="1345"/>
      <c r="E1085" s="1345"/>
      <c r="F1085" s="1345"/>
      <c r="G1085" s="1345"/>
      <c r="H1085" s="1345"/>
      <c r="I1085" s="1345"/>
      <c r="J1085" s="1345"/>
      <c r="K1085" s="1345"/>
      <c r="L1085" s="1345"/>
      <c r="M1085" s="1345"/>
      <c r="N1085" s="1345"/>
      <c r="O1085" s="1345"/>
      <c r="P1085" s="1345"/>
      <c r="Q1085" s="1345"/>
      <c r="R1085" s="1345"/>
      <c r="S1085" s="1345"/>
      <c r="T1085" s="1345"/>
      <c r="U1085" s="1345"/>
    </row>
    <row r="1086" spans="1:21">
      <c r="A1086" s="1345"/>
      <c r="B1086" s="1345"/>
      <c r="C1086" s="1345"/>
      <c r="D1086" s="1345"/>
      <c r="E1086" s="1345"/>
      <c r="F1086" s="1345"/>
      <c r="G1086" s="1345"/>
      <c r="H1086" s="1345"/>
      <c r="I1086" s="1345"/>
      <c r="J1086" s="1345"/>
      <c r="K1086" s="1345"/>
      <c r="L1086" s="1345"/>
      <c r="M1086" s="1345"/>
      <c r="N1086" s="1345"/>
      <c r="O1086" s="1345"/>
      <c r="P1086" s="1345"/>
      <c r="Q1086" s="1345"/>
      <c r="R1086" s="1345"/>
      <c r="S1086" s="1345"/>
      <c r="T1086" s="1345"/>
      <c r="U1086" s="1345"/>
    </row>
    <row r="1087" spans="1:21">
      <c r="A1087" s="1345"/>
      <c r="B1087" s="1345"/>
      <c r="C1087" s="1345"/>
      <c r="D1087" s="1345"/>
      <c r="E1087" s="1345"/>
      <c r="F1087" s="1345"/>
      <c r="G1087" s="1345"/>
      <c r="H1087" s="1345"/>
      <c r="I1087" s="1345"/>
      <c r="J1087" s="1345"/>
      <c r="K1087" s="1345"/>
      <c r="L1087" s="1345"/>
      <c r="M1087" s="1345"/>
      <c r="N1087" s="1345"/>
      <c r="O1087" s="1345"/>
      <c r="P1087" s="1345"/>
      <c r="Q1087" s="1345"/>
      <c r="R1087" s="1345"/>
      <c r="S1087" s="1345"/>
      <c r="T1087" s="1345"/>
      <c r="U1087" s="1345"/>
    </row>
    <row r="1088" spans="1:21">
      <c r="A1088" s="1345"/>
      <c r="B1088" s="1345"/>
      <c r="C1088" s="1345"/>
      <c r="D1088" s="1345"/>
      <c r="E1088" s="1345"/>
      <c r="F1088" s="1345"/>
      <c r="G1088" s="1345"/>
      <c r="H1088" s="1345"/>
      <c r="I1088" s="1345"/>
      <c r="J1088" s="1345"/>
      <c r="K1088" s="1345"/>
      <c r="L1088" s="1345"/>
      <c r="M1088" s="1345"/>
      <c r="N1088" s="1345"/>
      <c r="O1088" s="1345"/>
      <c r="P1088" s="1345"/>
      <c r="Q1088" s="1345"/>
      <c r="R1088" s="1345"/>
      <c r="S1088" s="1345"/>
      <c r="T1088" s="1345"/>
      <c r="U1088" s="1345"/>
    </row>
    <row r="1089" spans="1:21">
      <c r="A1089" s="1345"/>
      <c r="B1089" s="1345"/>
      <c r="C1089" s="1345"/>
      <c r="D1089" s="1345"/>
      <c r="E1089" s="1345"/>
      <c r="F1089" s="1345"/>
      <c r="G1089" s="1345"/>
      <c r="H1089" s="1345"/>
      <c r="I1089" s="1345"/>
      <c r="J1089" s="1345"/>
      <c r="K1089" s="1345"/>
      <c r="L1089" s="1345"/>
      <c r="M1089" s="1350"/>
      <c r="N1089" s="1345"/>
      <c r="O1089" s="1345"/>
      <c r="P1089" s="1345"/>
      <c r="Q1089" s="1345"/>
      <c r="R1089" s="1345"/>
      <c r="S1089" s="1345"/>
      <c r="T1089" s="1345"/>
      <c r="U1089" s="1345"/>
    </row>
    <row r="1090" spans="1:21">
      <c r="A1090" s="1345"/>
      <c r="B1090" s="1345"/>
      <c r="C1090" s="1345"/>
      <c r="D1090" s="1345"/>
      <c r="E1090" s="1345"/>
      <c r="F1090" s="1345"/>
      <c r="G1090" s="1345"/>
      <c r="H1090" s="1345"/>
      <c r="I1090" s="1345"/>
      <c r="J1090" s="1345"/>
      <c r="K1090" s="1345"/>
      <c r="L1090" s="1345"/>
      <c r="M1090" s="1350"/>
      <c r="N1090" s="1345"/>
      <c r="O1090" s="1345"/>
      <c r="P1090" s="1345"/>
      <c r="Q1090" s="1345"/>
      <c r="R1090" s="1345"/>
      <c r="S1090" s="1345"/>
      <c r="T1090" s="1345"/>
      <c r="U1090" s="1345"/>
    </row>
    <row r="1091" spans="1:21">
      <c r="A1091" s="1345"/>
      <c r="B1091" s="1345"/>
      <c r="C1091" s="1345"/>
      <c r="D1091" s="1345"/>
      <c r="E1091" s="1345"/>
      <c r="F1091" s="1345"/>
      <c r="G1091" s="1345"/>
      <c r="H1091" s="1345"/>
      <c r="I1091" s="1345"/>
      <c r="J1091" s="1345"/>
      <c r="K1091" s="1345"/>
      <c r="L1091" s="1345"/>
      <c r="M1091" s="1350"/>
      <c r="N1091" s="1345"/>
      <c r="O1091" s="1345"/>
      <c r="P1091" s="1345"/>
      <c r="Q1091" s="1345"/>
      <c r="R1091" s="1345"/>
      <c r="S1091" s="1345"/>
      <c r="T1091" s="1345"/>
      <c r="U1091" s="1345"/>
    </row>
    <row r="1092" spans="1:21">
      <c r="A1092" s="1345"/>
      <c r="B1092" s="1345"/>
      <c r="C1092" s="1345"/>
      <c r="D1092" s="1345"/>
      <c r="E1092" s="1345"/>
      <c r="F1092" s="1345"/>
      <c r="G1092" s="1345"/>
      <c r="H1092" s="1345"/>
      <c r="I1092" s="1345"/>
      <c r="J1092" s="1345"/>
      <c r="K1092" s="1345"/>
      <c r="L1092" s="1345"/>
      <c r="M1092" s="1350"/>
      <c r="N1092" s="1345"/>
      <c r="O1092" s="1345"/>
      <c r="P1092" s="1345"/>
      <c r="Q1092" s="1345"/>
      <c r="R1092" s="1345"/>
      <c r="S1092" s="1345"/>
      <c r="T1092" s="1345"/>
      <c r="U1092" s="1345"/>
    </row>
    <row r="1093" spans="1:21">
      <c r="A1093" s="1345"/>
      <c r="B1093" s="1345"/>
      <c r="C1093" s="1345"/>
      <c r="D1093" s="1345"/>
      <c r="E1093" s="1345"/>
      <c r="F1093" s="1345"/>
      <c r="G1093" s="1345"/>
      <c r="H1093" s="1345"/>
      <c r="I1093" s="1345"/>
      <c r="J1093" s="1345"/>
      <c r="K1093" s="1345"/>
      <c r="L1093" s="1345"/>
      <c r="M1093" s="1345"/>
      <c r="N1093" s="1345"/>
      <c r="O1093" s="1345"/>
      <c r="P1093" s="1345"/>
      <c r="Q1093" s="1345"/>
      <c r="R1093" s="1345"/>
      <c r="S1093" s="1345"/>
      <c r="T1093" s="1345"/>
      <c r="U1093" s="1345"/>
    </row>
    <row r="1094" spans="1:21">
      <c r="A1094" s="1345"/>
      <c r="B1094" s="1345"/>
      <c r="C1094" s="1345"/>
      <c r="D1094" s="1345"/>
      <c r="E1094" s="1345"/>
      <c r="F1094" s="1345"/>
      <c r="G1094" s="1345"/>
      <c r="H1094" s="1345"/>
      <c r="I1094" s="1345"/>
      <c r="J1094" s="1345"/>
      <c r="K1094" s="1345"/>
      <c r="L1094" s="1345"/>
      <c r="M1094" s="1350"/>
      <c r="N1094" s="1345"/>
      <c r="O1094" s="1345"/>
      <c r="P1094" s="1345"/>
      <c r="Q1094" s="1345"/>
      <c r="R1094" s="1345"/>
      <c r="S1094" s="1345"/>
      <c r="T1094" s="1345"/>
      <c r="U1094" s="1345"/>
    </row>
    <row r="1095" spans="1:21">
      <c r="A1095" s="1345"/>
      <c r="B1095" s="1345"/>
      <c r="C1095" s="1345"/>
      <c r="D1095" s="1345"/>
      <c r="E1095" s="1345"/>
      <c r="F1095" s="1345"/>
      <c r="G1095" s="1345"/>
      <c r="H1095" s="1345"/>
      <c r="I1095" s="1345"/>
      <c r="J1095" s="1345"/>
      <c r="K1095" s="1345"/>
      <c r="L1095" s="1345"/>
      <c r="M1095" s="1350"/>
      <c r="N1095" s="1345"/>
      <c r="O1095" s="1345"/>
      <c r="P1095" s="1345"/>
      <c r="Q1095" s="1345"/>
      <c r="R1095" s="1345"/>
      <c r="S1095" s="1345"/>
      <c r="T1095" s="1345"/>
      <c r="U1095" s="1345"/>
    </row>
    <row r="1096" spans="1:21">
      <c r="A1096" s="1345"/>
      <c r="B1096" s="1345"/>
      <c r="C1096" s="1345"/>
      <c r="D1096" s="1345"/>
      <c r="E1096" s="1345"/>
      <c r="F1096" s="1345"/>
      <c r="G1096" s="1345"/>
      <c r="H1096" s="1345"/>
      <c r="I1096" s="1345"/>
      <c r="J1096" s="1345"/>
      <c r="K1096" s="1345"/>
      <c r="L1096" s="1345"/>
      <c r="M1096" s="1350"/>
      <c r="N1096" s="1345"/>
      <c r="O1096" s="1345"/>
      <c r="P1096" s="1345"/>
      <c r="Q1096" s="1345"/>
      <c r="R1096" s="1345"/>
      <c r="S1096" s="1345"/>
      <c r="T1096" s="1345"/>
      <c r="U1096" s="1345"/>
    </row>
    <row r="1097" spans="1:21">
      <c r="A1097" s="1345"/>
      <c r="B1097" s="1345"/>
      <c r="C1097" s="1345"/>
      <c r="D1097" s="1345"/>
      <c r="E1097" s="1345"/>
      <c r="F1097" s="1345"/>
      <c r="G1097" s="1345"/>
      <c r="H1097" s="1345"/>
      <c r="I1097" s="1345"/>
      <c r="J1097" s="1345"/>
      <c r="K1097" s="1345"/>
      <c r="L1097" s="1345"/>
      <c r="M1097" s="1350"/>
      <c r="N1097" s="1345"/>
      <c r="O1097" s="1345"/>
      <c r="P1097" s="1345"/>
      <c r="Q1097" s="1345"/>
      <c r="R1097" s="1345"/>
      <c r="S1097" s="1345"/>
      <c r="T1097" s="1345"/>
      <c r="U1097" s="1345"/>
    </row>
    <row r="1098" spans="1:21">
      <c r="A1098" s="1345"/>
      <c r="B1098" s="1345"/>
      <c r="C1098" s="1345"/>
      <c r="D1098" s="1345"/>
      <c r="E1098" s="1345"/>
      <c r="F1098" s="1345"/>
      <c r="G1098" s="1345"/>
      <c r="H1098" s="1345"/>
      <c r="I1098" s="1345"/>
      <c r="J1098" s="1345"/>
      <c r="K1098" s="1345"/>
      <c r="L1098" s="1345"/>
      <c r="M1098" s="1350"/>
      <c r="N1098" s="1345"/>
      <c r="O1098" s="1345"/>
      <c r="P1098" s="1345"/>
      <c r="Q1098" s="1345"/>
      <c r="R1098" s="1345"/>
      <c r="S1098" s="1345"/>
      <c r="T1098" s="1345"/>
      <c r="U1098" s="1345"/>
    </row>
    <row r="1099" spans="1:21">
      <c r="A1099" s="1345"/>
      <c r="B1099" s="1345"/>
      <c r="C1099" s="1345"/>
      <c r="D1099" s="1345"/>
      <c r="E1099" s="1345"/>
      <c r="F1099" s="1345"/>
      <c r="G1099" s="1345"/>
      <c r="H1099" s="1345"/>
      <c r="I1099" s="1345"/>
      <c r="J1099" s="1345"/>
      <c r="K1099" s="1345"/>
      <c r="L1099" s="1345"/>
      <c r="M1099" s="1350"/>
      <c r="N1099" s="1345"/>
      <c r="O1099" s="1345"/>
      <c r="P1099" s="1345"/>
      <c r="Q1099" s="1345"/>
      <c r="R1099" s="1345"/>
      <c r="S1099" s="1345"/>
      <c r="T1099" s="1345"/>
      <c r="U1099" s="1345"/>
    </row>
    <row r="1100" spans="1:21">
      <c r="A1100" s="1345"/>
      <c r="B1100" s="1345"/>
      <c r="C1100" s="1345"/>
      <c r="D1100" s="1345"/>
      <c r="E1100" s="1345"/>
      <c r="F1100" s="1345"/>
      <c r="G1100" s="1345"/>
      <c r="H1100" s="1345"/>
      <c r="I1100" s="1345"/>
      <c r="J1100" s="1345"/>
      <c r="K1100" s="1345"/>
      <c r="L1100" s="1345"/>
      <c r="M1100" s="1350"/>
      <c r="N1100" s="1345"/>
      <c r="O1100" s="1345"/>
      <c r="P1100" s="1345"/>
      <c r="Q1100" s="1345"/>
      <c r="R1100" s="1345"/>
      <c r="S1100" s="1345"/>
      <c r="T1100" s="1345"/>
      <c r="U1100" s="1345"/>
    </row>
    <row r="1101" spans="1:21">
      <c r="A1101" s="1345"/>
      <c r="B1101" s="1345"/>
      <c r="C1101" s="1345"/>
      <c r="D1101" s="1345"/>
      <c r="E1101" s="1345"/>
      <c r="F1101" s="1345"/>
      <c r="G1101" s="1345"/>
      <c r="H1101" s="1345"/>
      <c r="I1101" s="1345"/>
      <c r="J1101" s="1345"/>
      <c r="K1101" s="1345"/>
      <c r="L1101" s="1345"/>
      <c r="M1101" s="1345"/>
      <c r="N1101" s="1345"/>
      <c r="O1101" s="1345"/>
      <c r="P1101" s="1345"/>
      <c r="Q1101" s="1345"/>
      <c r="R1101" s="1345"/>
      <c r="S1101" s="1345"/>
      <c r="T1101" s="1345"/>
      <c r="U1101" s="1345"/>
    </row>
    <row r="1102" spans="1:21">
      <c r="A1102" s="1345"/>
      <c r="B1102" s="1345"/>
      <c r="C1102" s="1345"/>
      <c r="D1102" s="1345"/>
      <c r="E1102" s="1345"/>
      <c r="F1102" s="1345"/>
      <c r="G1102" s="1345"/>
      <c r="H1102" s="1345"/>
      <c r="I1102" s="1345"/>
      <c r="J1102" s="1345"/>
      <c r="K1102" s="1345"/>
      <c r="L1102" s="1345"/>
      <c r="M1102" s="1345"/>
      <c r="N1102" s="1345"/>
      <c r="O1102" s="1345"/>
      <c r="P1102" s="1345"/>
      <c r="Q1102" s="1345"/>
      <c r="R1102" s="1345"/>
      <c r="S1102" s="1345"/>
      <c r="T1102" s="1345"/>
      <c r="U1102" s="1345"/>
    </row>
    <row r="1103" spans="1:21">
      <c r="A1103" s="1345"/>
      <c r="B1103" s="1345"/>
      <c r="C1103" s="1345"/>
      <c r="D1103" s="1345"/>
      <c r="E1103" s="1345"/>
      <c r="F1103" s="1345"/>
      <c r="G1103" s="1345"/>
      <c r="H1103" s="1345"/>
      <c r="I1103" s="1345"/>
      <c r="J1103" s="1345"/>
      <c r="K1103" s="1345"/>
      <c r="L1103" s="1345"/>
      <c r="M1103" s="1345"/>
      <c r="N1103" s="1345"/>
      <c r="O1103" s="1345"/>
      <c r="P1103" s="1345"/>
      <c r="Q1103" s="1345"/>
      <c r="R1103" s="1345"/>
      <c r="S1103" s="1345"/>
      <c r="T1103" s="1345"/>
      <c r="U1103" s="1345"/>
    </row>
    <row r="1104" spans="1:21">
      <c r="A1104" s="1345"/>
      <c r="B1104" s="1345"/>
      <c r="C1104" s="1345"/>
      <c r="D1104" s="1345"/>
      <c r="E1104" s="1345"/>
      <c r="F1104" s="1345"/>
      <c r="G1104" s="1345"/>
      <c r="H1104" s="1345"/>
      <c r="I1104" s="1345"/>
      <c r="J1104" s="1345"/>
      <c r="K1104" s="1345"/>
      <c r="L1104" s="1345"/>
      <c r="M1104" s="1345"/>
      <c r="N1104" s="1345"/>
      <c r="O1104" s="1345"/>
      <c r="P1104" s="1345"/>
      <c r="Q1104" s="1345"/>
      <c r="R1104" s="1345"/>
      <c r="S1104" s="1345"/>
      <c r="T1104" s="1345"/>
      <c r="U1104" s="1345"/>
    </row>
    <row r="1105" spans="1:21">
      <c r="A1105" s="1345"/>
      <c r="B1105" s="1345"/>
      <c r="C1105" s="1345"/>
      <c r="D1105" s="1345"/>
      <c r="E1105" s="1345"/>
      <c r="F1105" s="1345"/>
      <c r="G1105" s="1345"/>
      <c r="H1105" s="1345"/>
      <c r="I1105" s="1345"/>
      <c r="J1105" s="1345"/>
      <c r="K1105" s="1345"/>
      <c r="L1105" s="1345"/>
      <c r="M1105" s="1345"/>
      <c r="N1105" s="1345"/>
      <c r="O1105" s="1345"/>
      <c r="P1105" s="1345"/>
      <c r="Q1105" s="1345"/>
      <c r="R1105" s="1345"/>
      <c r="S1105" s="1345"/>
      <c r="T1105" s="1345"/>
      <c r="U1105" s="1345"/>
    </row>
    <row r="1106" spans="1:21">
      <c r="A1106" s="1345"/>
      <c r="B1106" s="1345"/>
      <c r="C1106" s="1345"/>
      <c r="D1106" s="1345"/>
      <c r="E1106" s="1345"/>
      <c r="F1106" s="1345"/>
      <c r="G1106" s="1345"/>
      <c r="H1106" s="1345"/>
      <c r="I1106" s="1345"/>
      <c r="J1106" s="1345"/>
      <c r="K1106" s="1345"/>
      <c r="L1106" s="1345"/>
      <c r="M1106" s="1345"/>
      <c r="N1106" s="1345"/>
      <c r="O1106" s="1345"/>
      <c r="P1106" s="1345"/>
      <c r="Q1106" s="1345"/>
      <c r="R1106" s="1345"/>
      <c r="S1106" s="1345"/>
      <c r="T1106" s="1345"/>
      <c r="U1106" s="1345"/>
    </row>
    <row r="1107" spans="1:21">
      <c r="A1107" s="1345"/>
      <c r="B1107" s="1345"/>
      <c r="C1107" s="1345"/>
      <c r="D1107" s="1345"/>
      <c r="E1107" s="1345"/>
      <c r="F1107" s="1345"/>
      <c r="G1107" s="1345"/>
      <c r="H1107" s="1345"/>
      <c r="I1107" s="1345"/>
      <c r="J1107" s="1345"/>
      <c r="K1107" s="1345"/>
      <c r="L1107" s="1345"/>
      <c r="M1107" s="1345"/>
      <c r="N1107" s="1345"/>
      <c r="O1107" s="1345"/>
      <c r="P1107" s="1345"/>
      <c r="Q1107" s="1345"/>
      <c r="R1107" s="1345"/>
      <c r="S1107" s="1345"/>
      <c r="T1107" s="1345"/>
      <c r="U1107" s="1345"/>
    </row>
    <row r="1108" spans="1:21">
      <c r="A1108" s="1345"/>
      <c r="B1108" s="1345"/>
      <c r="C1108" s="1345"/>
      <c r="D1108" s="1345"/>
      <c r="E1108" s="1345"/>
      <c r="F1108" s="1345"/>
      <c r="G1108" s="1345"/>
      <c r="H1108" s="1345"/>
      <c r="I1108" s="1345"/>
      <c r="J1108" s="1345"/>
      <c r="K1108" s="1345"/>
      <c r="L1108" s="1345"/>
      <c r="M1108" s="1345"/>
      <c r="N1108" s="1345"/>
      <c r="O1108" s="1345"/>
      <c r="P1108" s="1345"/>
      <c r="Q1108" s="1345"/>
      <c r="R1108" s="1345"/>
      <c r="S1108" s="1345"/>
      <c r="T1108" s="1345"/>
      <c r="U1108" s="1345"/>
    </row>
    <row r="1109" spans="1:21">
      <c r="A1109" s="1345"/>
      <c r="B1109" s="1345"/>
      <c r="C1109" s="1345"/>
      <c r="D1109" s="1345"/>
      <c r="E1109" s="1345"/>
      <c r="F1109" s="1345"/>
      <c r="G1109" s="1345"/>
      <c r="H1109" s="1345"/>
      <c r="I1109" s="1345"/>
      <c r="J1109" s="1345"/>
      <c r="K1109" s="1345"/>
      <c r="L1109" s="1345"/>
      <c r="M1109" s="1345"/>
      <c r="N1109" s="1345"/>
      <c r="O1109" s="1345"/>
      <c r="P1109" s="1345"/>
      <c r="Q1109" s="1345"/>
      <c r="R1109" s="1345"/>
      <c r="S1109" s="1345"/>
      <c r="T1109" s="1345"/>
      <c r="U1109" s="1345"/>
    </row>
    <row r="1110" spans="1:21">
      <c r="A1110" s="1345"/>
      <c r="B1110" s="1345"/>
      <c r="C1110" s="1345"/>
      <c r="D1110" s="1345"/>
      <c r="E1110" s="1345"/>
      <c r="F1110" s="1345"/>
      <c r="G1110" s="1345"/>
      <c r="H1110" s="1345"/>
      <c r="I1110" s="1345"/>
      <c r="J1110" s="1345"/>
      <c r="K1110" s="1345"/>
      <c r="L1110" s="1345"/>
      <c r="M1110" s="1345"/>
      <c r="N1110" s="1345"/>
      <c r="O1110" s="1345"/>
      <c r="P1110" s="1345"/>
      <c r="Q1110" s="1345"/>
      <c r="R1110" s="1345"/>
      <c r="S1110" s="1345"/>
      <c r="T1110" s="1345"/>
      <c r="U1110" s="1345"/>
    </row>
    <row r="1111" spans="1:21">
      <c r="A1111" s="1345"/>
      <c r="B1111" s="1345"/>
      <c r="C1111" s="1345"/>
      <c r="D1111" s="1345"/>
      <c r="E1111" s="1345"/>
      <c r="F1111" s="1345"/>
      <c r="G1111" s="1345"/>
      <c r="H1111" s="1345"/>
      <c r="I1111" s="1345"/>
      <c r="J1111" s="1345"/>
      <c r="K1111" s="1345"/>
      <c r="L1111" s="1345"/>
      <c r="M1111" s="1345"/>
      <c r="N1111" s="1345"/>
      <c r="O1111" s="1345"/>
      <c r="P1111" s="1345"/>
      <c r="Q1111" s="1345"/>
      <c r="R1111" s="1345"/>
      <c r="S1111" s="1345"/>
      <c r="T1111" s="1345"/>
      <c r="U1111" s="1345"/>
    </row>
    <row r="1112" spans="1:21">
      <c r="A1112" s="1345"/>
      <c r="B1112" s="1345"/>
      <c r="C1112" s="1345"/>
      <c r="D1112" s="1345"/>
      <c r="E1112" s="1345"/>
      <c r="F1112" s="1345"/>
      <c r="G1112" s="1345"/>
      <c r="H1112" s="1345"/>
      <c r="I1112" s="1345"/>
      <c r="J1112" s="1345"/>
      <c r="K1112" s="1345"/>
      <c r="L1112" s="1345"/>
      <c r="M1112" s="1345"/>
      <c r="N1112" s="1345"/>
      <c r="O1112" s="1345"/>
      <c r="P1112" s="1345"/>
      <c r="Q1112" s="1345"/>
      <c r="R1112" s="1345"/>
      <c r="S1112" s="1345"/>
      <c r="T1112" s="1345"/>
      <c r="U1112" s="1345"/>
    </row>
    <row r="1113" spans="1:21">
      <c r="A1113" s="1345"/>
      <c r="B1113" s="1345"/>
      <c r="C1113" s="1345"/>
      <c r="D1113" s="1345"/>
      <c r="E1113" s="1345"/>
      <c r="F1113" s="1345"/>
      <c r="G1113" s="1345"/>
      <c r="H1113" s="1345"/>
      <c r="I1113" s="1345"/>
      <c r="J1113" s="1345"/>
      <c r="K1113" s="1345"/>
      <c r="L1113" s="1345"/>
      <c r="M1113" s="1345"/>
      <c r="N1113" s="1345"/>
      <c r="O1113" s="1345"/>
      <c r="P1113" s="1345"/>
      <c r="Q1113" s="1345"/>
      <c r="R1113" s="1345"/>
      <c r="S1113" s="1345"/>
      <c r="T1113" s="1345"/>
      <c r="U1113" s="1345"/>
    </row>
    <row r="1114" spans="1:21">
      <c r="A1114" s="1345"/>
      <c r="B1114" s="1345"/>
      <c r="C1114" s="1345"/>
      <c r="D1114" s="1345"/>
      <c r="E1114" s="1345"/>
      <c r="F1114" s="1345"/>
      <c r="G1114" s="1345"/>
      <c r="H1114" s="1345"/>
      <c r="I1114" s="1345"/>
      <c r="J1114" s="1345"/>
      <c r="K1114" s="1345"/>
      <c r="L1114" s="1345"/>
      <c r="M1114" s="1345"/>
      <c r="N1114" s="1345"/>
      <c r="O1114" s="1345"/>
      <c r="P1114" s="1345"/>
      <c r="Q1114" s="1345"/>
      <c r="R1114" s="1345"/>
      <c r="S1114" s="1345"/>
      <c r="T1114" s="1345"/>
      <c r="U1114" s="1345"/>
    </row>
    <row r="1115" spans="1:21">
      <c r="A1115" s="1345"/>
      <c r="B1115" s="1345"/>
      <c r="C1115" s="1345"/>
      <c r="D1115" s="1345"/>
      <c r="E1115" s="1345"/>
      <c r="F1115" s="1345"/>
      <c r="G1115" s="1345"/>
      <c r="H1115" s="1345"/>
      <c r="I1115" s="1345"/>
      <c r="J1115" s="1345"/>
      <c r="K1115" s="1345"/>
      <c r="L1115" s="1345"/>
      <c r="M1115" s="1345"/>
      <c r="N1115" s="1345"/>
      <c r="O1115" s="1345"/>
      <c r="P1115" s="1345"/>
      <c r="Q1115" s="1345"/>
      <c r="R1115" s="1345"/>
      <c r="S1115" s="1345"/>
      <c r="T1115" s="1345"/>
      <c r="U1115" s="1345"/>
    </row>
    <row r="1116" spans="1:21">
      <c r="A1116" s="1345"/>
      <c r="B1116" s="1345"/>
      <c r="C1116" s="1345"/>
      <c r="D1116" s="1345"/>
      <c r="E1116" s="1345"/>
      <c r="F1116" s="1345"/>
      <c r="G1116" s="1345"/>
      <c r="H1116" s="1345"/>
      <c r="I1116" s="1345"/>
      <c r="J1116" s="1345"/>
      <c r="K1116" s="1345"/>
      <c r="L1116" s="1345"/>
      <c r="M1116" s="1345"/>
      <c r="N1116" s="1345"/>
      <c r="O1116" s="1345"/>
      <c r="P1116" s="1345"/>
      <c r="Q1116" s="1345"/>
      <c r="R1116" s="1345"/>
      <c r="S1116" s="1345"/>
      <c r="T1116" s="1345"/>
      <c r="U1116" s="1345"/>
    </row>
    <row r="1117" spans="1:21">
      <c r="A1117" s="1345"/>
      <c r="B1117" s="1345"/>
      <c r="C1117" s="1345"/>
      <c r="D1117" s="1345"/>
      <c r="E1117" s="1345"/>
      <c r="F1117" s="1345"/>
      <c r="G1117" s="1345"/>
      <c r="H1117" s="1345"/>
      <c r="I1117" s="1345"/>
      <c r="J1117" s="1345"/>
      <c r="K1117" s="1345"/>
      <c r="L1117" s="1345"/>
      <c r="M1117" s="1345"/>
      <c r="N1117" s="1345"/>
      <c r="O1117" s="1345"/>
      <c r="P1117" s="1345"/>
      <c r="Q1117" s="1345"/>
      <c r="R1117" s="1345"/>
      <c r="S1117" s="1345"/>
      <c r="T1117" s="1345"/>
      <c r="U1117" s="1345"/>
    </row>
    <row r="1118" spans="1:21">
      <c r="A1118" s="1345"/>
      <c r="B1118" s="1345"/>
      <c r="C1118" s="1345"/>
      <c r="D1118" s="1345"/>
      <c r="E1118" s="1345"/>
      <c r="F1118" s="1345"/>
      <c r="G1118" s="1345"/>
      <c r="H1118" s="1345"/>
      <c r="I1118" s="1345"/>
      <c r="J1118" s="1345"/>
      <c r="K1118" s="1345"/>
      <c r="L1118" s="1345"/>
      <c r="M1118" s="1345"/>
      <c r="N1118" s="1345"/>
      <c r="O1118" s="1345"/>
      <c r="P1118" s="1345"/>
      <c r="Q1118" s="1345"/>
      <c r="R1118" s="1345"/>
      <c r="S1118" s="1345"/>
      <c r="T1118" s="1345"/>
      <c r="U1118" s="1345"/>
    </row>
    <row r="1119" spans="1:21">
      <c r="A1119" s="1345"/>
      <c r="B1119" s="1345"/>
      <c r="C1119" s="1345"/>
      <c r="D1119" s="1345"/>
      <c r="E1119" s="1345"/>
      <c r="F1119" s="1345"/>
      <c r="G1119" s="1345"/>
      <c r="H1119" s="1345"/>
      <c r="I1119" s="1345"/>
      <c r="J1119" s="1345"/>
      <c r="K1119" s="1345"/>
      <c r="L1119" s="1345"/>
      <c r="M1119" s="1345"/>
      <c r="N1119" s="1345"/>
      <c r="O1119" s="1345"/>
      <c r="P1119" s="1345"/>
      <c r="Q1119" s="1345"/>
      <c r="R1119" s="1345"/>
      <c r="S1119" s="1345"/>
      <c r="T1119" s="1345"/>
      <c r="U1119" s="1345"/>
    </row>
    <row r="1120" spans="1:21">
      <c r="A1120" s="1345"/>
      <c r="B1120" s="1345"/>
      <c r="C1120" s="1345"/>
      <c r="D1120" s="1345"/>
      <c r="E1120" s="1345"/>
      <c r="F1120" s="1345"/>
      <c r="G1120" s="1345"/>
      <c r="H1120" s="1345"/>
      <c r="I1120" s="1345"/>
      <c r="J1120" s="1345"/>
      <c r="K1120" s="1345"/>
      <c r="L1120" s="1345"/>
      <c r="M1120" s="1345"/>
      <c r="N1120" s="1345"/>
      <c r="O1120" s="1345"/>
      <c r="P1120" s="1345"/>
      <c r="Q1120" s="1345"/>
      <c r="R1120" s="1345"/>
      <c r="S1120" s="1345"/>
      <c r="T1120" s="1345"/>
      <c r="U1120" s="1345"/>
    </row>
    <row r="1121" spans="1:21">
      <c r="A1121" s="1345"/>
      <c r="B1121" s="1345"/>
      <c r="C1121" s="1345"/>
      <c r="D1121" s="1345"/>
      <c r="E1121" s="1345"/>
      <c r="F1121" s="1345"/>
      <c r="G1121" s="1345"/>
      <c r="H1121" s="1345"/>
      <c r="I1121" s="1345"/>
      <c r="J1121" s="1345"/>
      <c r="K1121" s="1345"/>
      <c r="L1121" s="1345"/>
      <c r="M1121" s="1345"/>
      <c r="N1121" s="1345"/>
      <c r="O1121" s="1345"/>
      <c r="P1121" s="1345"/>
      <c r="Q1121" s="1345"/>
      <c r="R1121" s="1345"/>
      <c r="S1121" s="1345"/>
      <c r="T1121" s="1345"/>
      <c r="U1121" s="1345"/>
    </row>
    <row r="1122" spans="1:21">
      <c r="A1122" s="1345"/>
      <c r="B1122" s="1345"/>
      <c r="C1122" s="1345"/>
      <c r="D1122" s="1345"/>
      <c r="E1122" s="1345"/>
      <c r="F1122" s="1345"/>
      <c r="G1122" s="1345"/>
      <c r="H1122" s="1345"/>
      <c r="I1122" s="1345"/>
      <c r="J1122" s="1345"/>
      <c r="K1122" s="1345"/>
      <c r="L1122" s="1345"/>
      <c r="M1122" s="1345"/>
      <c r="N1122" s="1345"/>
      <c r="O1122" s="1345"/>
      <c r="P1122" s="1345"/>
      <c r="Q1122" s="1345"/>
      <c r="R1122" s="1345"/>
      <c r="S1122" s="1345"/>
      <c r="T1122" s="1345"/>
      <c r="U1122" s="1345"/>
    </row>
    <row r="1123" spans="1:21">
      <c r="A1123" s="1345"/>
      <c r="B1123" s="1345"/>
      <c r="C1123" s="1345"/>
      <c r="D1123" s="1345"/>
      <c r="E1123" s="1345"/>
      <c r="F1123" s="1345"/>
      <c r="G1123" s="1345"/>
      <c r="H1123" s="1345"/>
      <c r="I1123" s="1345"/>
      <c r="J1123" s="1345"/>
      <c r="K1123" s="1345"/>
      <c r="L1123" s="1345"/>
      <c r="M1123" s="1345"/>
      <c r="N1123" s="1345"/>
      <c r="O1123" s="1345"/>
      <c r="P1123" s="1345"/>
      <c r="Q1123" s="1345"/>
      <c r="R1123" s="1345"/>
      <c r="S1123" s="1345"/>
      <c r="T1123" s="1345"/>
      <c r="U1123" s="1345"/>
    </row>
    <row r="1124" spans="1:21">
      <c r="A1124" s="1345"/>
      <c r="B1124" s="1345"/>
      <c r="C1124" s="1345"/>
      <c r="D1124" s="1345"/>
      <c r="E1124" s="1345"/>
      <c r="F1124" s="1345"/>
      <c r="G1124" s="1345"/>
      <c r="H1124" s="1345"/>
      <c r="I1124" s="1345"/>
      <c r="J1124" s="1345"/>
      <c r="K1124" s="1345"/>
      <c r="L1124" s="1345"/>
      <c r="M1124" s="1345"/>
      <c r="N1124" s="1345"/>
      <c r="O1124" s="1345"/>
      <c r="P1124" s="1345"/>
      <c r="Q1124" s="1345"/>
      <c r="R1124" s="1345"/>
      <c r="S1124" s="1345"/>
      <c r="T1124" s="1345"/>
      <c r="U1124" s="1345"/>
    </row>
    <row r="1125" spans="1:21">
      <c r="A1125" s="1345"/>
      <c r="B1125" s="1345"/>
      <c r="C1125" s="1345"/>
      <c r="D1125" s="1345"/>
      <c r="E1125" s="1345"/>
      <c r="F1125" s="1345"/>
      <c r="G1125" s="1345"/>
      <c r="H1125" s="1345"/>
      <c r="I1125" s="1345"/>
      <c r="J1125" s="1345"/>
      <c r="K1125" s="1345"/>
      <c r="L1125" s="1345"/>
      <c r="M1125" s="1345"/>
      <c r="N1125" s="1345"/>
      <c r="O1125" s="1345"/>
      <c r="P1125" s="1345"/>
      <c r="Q1125" s="1345"/>
      <c r="R1125" s="1345"/>
      <c r="S1125" s="1345"/>
      <c r="T1125" s="1345"/>
      <c r="U1125" s="1345"/>
    </row>
    <row r="1126" spans="1:21">
      <c r="A1126" s="1345"/>
      <c r="B1126" s="1345"/>
      <c r="C1126" s="1345"/>
      <c r="D1126" s="1345"/>
      <c r="E1126" s="1345"/>
      <c r="F1126" s="1345"/>
      <c r="G1126" s="1345"/>
      <c r="H1126" s="1345"/>
      <c r="I1126" s="1345"/>
      <c r="J1126" s="1345"/>
      <c r="K1126" s="1345"/>
      <c r="L1126" s="1345"/>
      <c r="M1126" s="1345"/>
      <c r="N1126" s="1345"/>
      <c r="O1126" s="1345"/>
      <c r="P1126" s="1345"/>
      <c r="Q1126" s="1345"/>
      <c r="R1126" s="1345"/>
      <c r="S1126" s="1345"/>
      <c r="T1126" s="1345"/>
      <c r="U1126" s="1345"/>
    </row>
    <row r="1127" spans="1:21">
      <c r="A1127" s="1345"/>
      <c r="B1127" s="1345"/>
      <c r="C1127" s="1345"/>
      <c r="D1127" s="1345"/>
      <c r="E1127" s="1345"/>
      <c r="F1127" s="1345"/>
      <c r="G1127" s="1345"/>
      <c r="H1127" s="1345"/>
      <c r="I1127" s="1345"/>
      <c r="J1127" s="1345"/>
      <c r="K1127" s="1345"/>
      <c r="L1127" s="1345"/>
      <c r="M1127" s="1350"/>
      <c r="N1127" s="1345"/>
      <c r="O1127" s="1345"/>
      <c r="P1127" s="1345"/>
      <c r="Q1127" s="1345"/>
      <c r="R1127" s="1345"/>
      <c r="S1127" s="1345"/>
      <c r="T1127" s="1345"/>
      <c r="U1127" s="1345"/>
    </row>
    <row r="1128" spans="1:21">
      <c r="A1128" s="1345"/>
      <c r="B1128" s="1345"/>
      <c r="C1128" s="1345"/>
      <c r="D1128" s="1345"/>
      <c r="E1128" s="1345"/>
      <c r="F1128" s="1345"/>
      <c r="G1128" s="1345"/>
      <c r="H1128" s="1345"/>
      <c r="I1128" s="1345"/>
      <c r="J1128" s="1345"/>
      <c r="K1128" s="1345"/>
      <c r="L1128" s="1345"/>
      <c r="M1128" s="1350"/>
      <c r="N1128" s="1345"/>
      <c r="O1128" s="1345"/>
      <c r="P1128" s="1345"/>
      <c r="Q1128" s="1345"/>
      <c r="R1128" s="1345"/>
      <c r="S1128" s="1345"/>
      <c r="T1128" s="1345"/>
      <c r="U1128" s="1345"/>
    </row>
    <row r="1129" spans="1:21">
      <c r="A1129" s="1345"/>
      <c r="B1129" s="1345"/>
      <c r="C1129" s="1345"/>
      <c r="D1129" s="1345"/>
      <c r="E1129" s="1345"/>
      <c r="F1129" s="1345"/>
      <c r="G1129" s="1345"/>
      <c r="H1129" s="1345"/>
      <c r="I1129" s="1345"/>
      <c r="J1129" s="1345"/>
      <c r="K1129" s="1345"/>
      <c r="L1129" s="1345"/>
      <c r="M1129" s="1350"/>
      <c r="N1129" s="1345"/>
      <c r="O1129" s="1345"/>
      <c r="P1129" s="1345"/>
      <c r="Q1129" s="1345"/>
      <c r="R1129" s="1345"/>
      <c r="S1129" s="1345"/>
      <c r="T1129" s="1345"/>
      <c r="U1129" s="1345"/>
    </row>
    <row r="1130" spans="1:21">
      <c r="A1130" s="1345"/>
      <c r="B1130" s="1345"/>
      <c r="C1130" s="1345"/>
      <c r="D1130" s="1345"/>
      <c r="E1130" s="1345"/>
      <c r="F1130" s="1345"/>
      <c r="G1130" s="1345"/>
      <c r="H1130" s="1345"/>
      <c r="I1130" s="1345"/>
      <c r="J1130" s="1345"/>
      <c r="K1130" s="1345"/>
      <c r="L1130" s="1345"/>
      <c r="M1130" s="1350"/>
      <c r="N1130" s="1345"/>
      <c r="O1130" s="1345"/>
      <c r="P1130" s="1345"/>
      <c r="Q1130" s="1345"/>
      <c r="R1130" s="1345"/>
      <c r="S1130" s="1345"/>
      <c r="T1130" s="1345"/>
      <c r="U1130" s="1345"/>
    </row>
    <row r="1131" spans="1:21">
      <c r="A1131" s="1345"/>
      <c r="B1131" s="1345"/>
      <c r="C1131" s="1345"/>
      <c r="D1131" s="1345"/>
      <c r="E1131" s="1345"/>
      <c r="F1131" s="1345"/>
      <c r="G1131" s="1345"/>
      <c r="H1131" s="1345"/>
      <c r="I1131" s="1345"/>
      <c r="J1131" s="1345"/>
      <c r="K1131" s="1345"/>
      <c r="L1131" s="1345"/>
      <c r="M1131" s="1345"/>
      <c r="N1131" s="1345"/>
      <c r="O1131" s="1345"/>
      <c r="P1131" s="1345"/>
      <c r="Q1131" s="1345"/>
      <c r="R1131" s="1345"/>
      <c r="S1131" s="1345"/>
      <c r="T1131" s="1345"/>
      <c r="U1131" s="1345"/>
    </row>
    <row r="1132" spans="1:21">
      <c r="A1132" s="1345"/>
      <c r="B1132" s="1345"/>
      <c r="C1132" s="1345"/>
      <c r="D1132" s="1345"/>
      <c r="E1132" s="1345"/>
      <c r="F1132" s="1345"/>
      <c r="G1132" s="1345"/>
      <c r="H1132" s="1345"/>
      <c r="I1132" s="1345"/>
      <c r="J1132" s="1345"/>
      <c r="K1132" s="1345"/>
      <c r="L1132" s="1345"/>
      <c r="M1132" s="1345"/>
      <c r="N1132" s="1345"/>
      <c r="O1132" s="1345"/>
      <c r="P1132" s="1345"/>
      <c r="Q1132" s="1345"/>
      <c r="R1132" s="1345"/>
      <c r="S1132" s="1345"/>
      <c r="T1132" s="1345"/>
      <c r="U1132" s="1345"/>
    </row>
    <row r="1133" spans="1:21">
      <c r="A1133" s="1345"/>
      <c r="B1133" s="1345"/>
      <c r="C1133" s="1345"/>
      <c r="D1133" s="1345"/>
      <c r="E1133" s="1345"/>
      <c r="F1133" s="1345"/>
      <c r="G1133" s="1345"/>
      <c r="H1133" s="1345"/>
      <c r="I1133" s="1345"/>
      <c r="J1133" s="1345"/>
      <c r="K1133" s="1345"/>
      <c r="L1133" s="1345"/>
      <c r="M1133" s="1345"/>
      <c r="N1133" s="1345"/>
      <c r="O1133" s="1345"/>
      <c r="P1133" s="1345"/>
      <c r="Q1133" s="1345"/>
      <c r="R1133" s="1345"/>
      <c r="S1133" s="1345"/>
      <c r="T1133" s="1345"/>
      <c r="U1133" s="1345"/>
    </row>
    <row r="1134" spans="1:21">
      <c r="A1134" s="1345"/>
      <c r="B1134" s="1345"/>
      <c r="C1134" s="1345"/>
      <c r="D1134" s="1345"/>
      <c r="E1134" s="1345"/>
      <c r="F1134" s="1345"/>
      <c r="G1134" s="1345"/>
      <c r="H1134" s="1345"/>
      <c r="I1134" s="1345"/>
      <c r="J1134" s="1345"/>
      <c r="K1134" s="1345"/>
      <c r="L1134" s="1345"/>
      <c r="M1134" s="1345"/>
      <c r="N1134" s="1345"/>
      <c r="O1134" s="1345"/>
      <c r="P1134" s="1345"/>
      <c r="Q1134" s="1345"/>
      <c r="R1134" s="1345"/>
      <c r="S1134" s="1345"/>
      <c r="T1134" s="1345"/>
      <c r="U1134" s="1345"/>
    </row>
    <row r="1135" spans="1:21">
      <c r="A1135" s="1345"/>
      <c r="B1135" s="1345"/>
      <c r="C1135" s="1345"/>
      <c r="D1135" s="1345"/>
      <c r="E1135" s="1345"/>
      <c r="F1135" s="1345"/>
      <c r="G1135" s="1345"/>
      <c r="H1135" s="1345"/>
      <c r="I1135" s="1345"/>
      <c r="J1135" s="1345"/>
      <c r="K1135" s="1345"/>
      <c r="L1135" s="1345"/>
      <c r="M1135" s="1345"/>
      <c r="N1135" s="1345"/>
      <c r="O1135" s="1345"/>
      <c r="P1135" s="1345"/>
      <c r="Q1135" s="1345"/>
      <c r="R1135" s="1345"/>
      <c r="S1135" s="1345"/>
      <c r="T1135" s="1345"/>
      <c r="U1135" s="1345"/>
    </row>
    <row r="1136" spans="1:21">
      <c r="A1136" s="1345"/>
      <c r="B1136" s="1345"/>
      <c r="C1136" s="1345"/>
      <c r="D1136" s="1345"/>
      <c r="E1136" s="1345"/>
      <c r="F1136" s="1345"/>
      <c r="G1136" s="1345"/>
      <c r="H1136" s="1345"/>
      <c r="I1136" s="1345"/>
      <c r="J1136" s="1345"/>
      <c r="K1136" s="1345"/>
      <c r="L1136" s="1345"/>
      <c r="M1136" s="1345"/>
      <c r="N1136" s="1345"/>
      <c r="O1136" s="1345"/>
      <c r="P1136" s="1345"/>
      <c r="Q1136" s="1345"/>
      <c r="R1136" s="1345"/>
      <c r="S1136" s="1345"/>
      <c r="T1136" s="1345"/>
      <c r="U1136" s="1345"/>
    </row>
    <row r="1137" spans="1:21">
      <c r="A1137" s="1345"/>
      <c r="B1137" s="1345"/>
      <c r="C1137" s="1345"/>
      <c r="D1137" s="1345"/>
      <c r="E1137" s="1345"/>
      <c r="F1137" s="1345"/>
      <c r="G1137" s="1345"/>
      <c r="H1137" s="1345"/>
      <c r="I1137" s="1345"/>
      <c r="J1137" s="1345"/>
      <c r="K1137" s="1345"/>
      <c r="L1137" s="1345"/>
      <c r="M1137" s="1345"/>
      <c r="N1137" s="1345"/>
      <c r="O1137" s="1345"/>
      <c r="P1137" s="1345"/>
      <c r="Q1137" s="1345"/>
      <c r="R1137" s="1345"/>
      <c r="S1137" s="1345"/>
      <c r="T1137" s="1345"/>
      <c r="U1137" s="1345"/>
    </row>
    <row r="1138" spans="1:21">
      <c r="A1138" s="1345"/>
      <c r="B1138" s="1345"/>
      <c r="C1138" s="1345"/>
      <c r="D1138" s="1345"/>
      <c r="E1138" s="1345"/>
      <c r="F1138" s="1345"/>
      <c r="G1138" s="1345"/>
      <c r="H1138" s="1345"/>
      <c r="I1138" s="1345"/>
      <c r="J1138" s="1345"/>
      <c r="K1138" s="1345"/>
      <c r="L1138" s="1345"/>
      <c r="M1138" s="1350"/>
      <c r="N1138" s="1345"/>
      <c r="O1138" s="1345"/>
      <c r="P1138" s="1345"/>
      <c r="Q1138" s="1345"/>
      <c r="R1138" s="1345"/>
      <c r="S1138" s="1345"/>
      <c r="T1138" s="1345"/>
      <c r="U1138" s="1345"/>
    </row>
    <row r="1139" spans="1:21">
      <c r="A1139" s="1345"/>
      <c r="B1139" s="1345"/>
      <c r="C1139" s="1345"/>
      <c r="D1139" s="1345"/>
      <c r="E1139" s="1345"/>
      <c r="F1139" s="1345"/>
      <c r="G1139" s="1345"/>
      <c r="H1139" s="1345"/>
      <c r="I1139" s="1345"/>
      <c r="J1139" s="1345"/>
      <c r="K1139" s="1345"/>
      <c r="L1139" s="1345"/>
      <c r="M1139" s="1350"/>
      <c r="N1139" s="1345"/>
      <c r="O1139" s="1345"/>
      <c r="P1139" s="1345"/>
      <c r="Q1139" s="1345"/>
      <c r="R1139" s="1345"/>
      <c r="S1139" s="1345"/>
      <c r="T1139" s="1345"/>
      <c r="U1139" s="1345"/>
    </row>
    <row r="1140" spans="1:21">
      <c r="A1140" s="1345"/>
      <c r="B1140" s="1345"/>
      <c r="C1140" s="1345"/>
      <c r="D1140" s="1345"/>
      <c r="E1140" s="1345"/>
      <c r="F1140" s="1345"/>
      <c r="G1140" s="1345"/>
      <c r="H1140" s="1345"/>
      <c r="I1140" s="1345"/>
      <c r="J1140" s="1345"/>
      <c r="K1140" s="1345"/>
      <c r="L1140" s="1345"/>
      <c r="M1140" s="1350"/>
      <c r="N1140" s="1345"/>
      <c r="O1140" s="1345"/>
      <c r="P1140" s="1345"/>
      <c r="Q1140" s="1345"/>
      <c r="R1140" s="1345"/>
      <c r="S1140" s="1345"/>
      <c r="T1140" s="1345"/>
      <c r="U1140" s="1345"/>
    </row>
    <row r="1141" spans="1:21">
      <c r="A1141" s="1345"/>
      <c r="B1141" s="1345"/>
      <c r="C1141" s="1345"/>
      <c r="D1141" s="1345"/>
      <c r="E1141" s="1345"/>
      <c r="F1141" s="1345"/>
      <c r="G1141" s="1345"/>
      <c r="H1141" s="1345"/>
      <c r="I1141" s="1345"/>
      <c r="J1141" s="1345"/>
      <c r="K1141" s="1345"/>
      <c r="L1141" s="1345"/>
      <c r="M1141" s="1350"/>
      <c r="N1141" s="1345"/>
      <c r="O1141" s="1345"/>
      <c r="P1141" s="1345"/>
      <c r="Q1141" s="1345"/>
      <c r="R1141" s="1345"/>
      <c r="S1141" s="1345"/>
      <c r="T1141" s="1345"/>
      <c r="U1141" s="1345"/>
    </row>
    <row r="1142" spans="1:21">
      <c r="A1142" s="1345"/>
      <c r="B1142" s="1345"/>
      <c r="C1142" s="1345"/>
      <c r="D1142" s="1345"/>
      <c r="E1142" s="1345"/>
      <c r="F1142" s="1345"/>
      <c r="G1142" s="1345"/>
      <c r="H1142" s="1345"/>
      <c r="I1142" s="1345"/>
      <c r="J1142" s="1345"/>
      <c r="K1142" s="1345"/>
      <c r="L1142" s="1345"/>
      <c r="M1142" s="1345"/>
      <c r="N1142" s="1345"/>
      <c r="O1142" s="1345"/>
      <c r="P1142" s="1345"/>
      <c r="Q1142" s="1345"/>
      <c r="R1142" s="1345"/>
      <c r="S1142" s="1345"/>
      <c r="T1142" s="1345"/>
      <c r="U1142" s="1345"/>
    </row>
    <row r="1143" spans="1:21">
      <c r="A1143" s="1345"/>
      <c r="B1143" s="1345"/>
      <c r="C1143" s="1345"/>
      <c r="D1143" s="1345"/>
      <c r="E1143" s="1345"/>
      <c r="F1143" s="1345"/>
      <c r="G1143" s="1345"/>
      <c r="H1143" s="1345"/>
      <c r="I1143" s="1345"/>
      <c r="J1143" s="1345"/>
      <c r="K1143" s="1345"/>
      <c r="L1143" s="1345"/>
      <c r="M1143" s="1345"/>
      <c r="N1143" s="1345"/>
      <c r="O1143" s="1345"/>
      <c r="P1143" s="1345"/>
      <c r="Q1143" s="1345"/>
      <c r="R1143" s="1345"/>
      <c r="S1143" s="1345"/>
      <c r="T1143" s="1345"/>
      <c r="U1143" s="1345"/>
    </row>
    <row r="1144" spans="1:21">
      <c r="A1144" s="1345"/>
      <c r="B1144" s="1345"/>
      <c r="C1144" s="1345"/>
      <c r="D1144" s="1345"/>
      <c r="E1144" s="1345"/>
      <c r="F1144" s="1345"/>
      <c r="G1144" s="1345"/>
      <c r="H1144" s="1345"/>
      <c r="I1144" s="1345"/>
      <c r="J1144" s="1345"/>
      <c r="K1144" s="1345"/>
      <c r="L1144" s="1345"/>
      <c r="M1144" s="1345"/>
      <c r="N1144" s="1345"/>
      <c r="O1144" s="1345"/>
      <c r="P1144" s="1345"/>
      <c r="Q1144" s="1345"/>
      <c r="R1144" s="1345"/>
      <c r="S1144" s="1345"/>
      <c r="T1144" s="1345"/>
      <c r="U1144" s="1345"/>
    </row>
    <row r="1145" spans="1:21">
      <c r="A1145" s="1345"/>
      <c r="B1145" s="1345"/>
      <c r="C1145" s="1345"/>
      <c r="D1145" s="1345"/>
      <c r="E1145" s="1345"/>
      <c r="F1145" s="1345"/>
      <c r="G1145" s="1345"/>
      <c r="H1145" s="1345"/>
      <c r="I1145" s="1345"/>
      <c r="J1145" s="1345"/>
      <c r="K1145" s="1345"/>
      <c r="L1145" s="1345"/>
      <c r="M1145" s="1345"/>
      <c r="N1145" s="1345"/>
      <c r="O1145" s="1345"/>
      <c r="P1145" s="1345"/>
      <c r="Q1145" s="1345"/>
      <c r="R1145" s="1345"/>
      <c r="S1145" s="1345"/>
      <c r="T1145" s="1345"/>
      <c r="U1145" s="1345"/>
    </row>
    <row r="1146" spans="1:21">
      <c r="A1146" s="1345"/>
      <c r="B1146" s="1345"/>
      <c r="C1146" s="1345"/>
      <c r="D1146" s="1345"/>
      <c r="E1146" s="1345"/>
      <c r="F1146" s="1345"/>
      <c r="G1146" s="1345"/>
      <c r="H1146" s="1345"/>
      <c r="I1146" s="1345"/>
      <c r="J1146" s="1345"/>
      <c r="K1146" s="1345"/>
      <c r="L1146" s="1345"/>
      <c r="M1146" s="1345"/>
      <c r="N1146" s="1345"/>
      <c r="O1146" s="1345"/>
      <c r="P1146" s="1345"/>
      <c r="Q1146" s="1345"/>
      <c r="R1146" s="1345"/>
      <c r="S1146" s="1345"/>
      <c r="T1146" s="1345"/>
      <c r="U1146" s="1345"/>
    </row>
    <row r="1147" spans="1:21">
      <c r="A1147" s="1345"/>
      <c r="B1147" s="1345"/>
      <c r="C1147" s="1345"/>
      <c r="D1147" s="1345"/>
      <c r="E1147" s="1345"/>
      <c r="F1147" s="1345"/>
      <c r="G1147" s="1345"/>
      <c r="H1147" s="1345"/>
      <c r="I1147" s="1345"/>
      <c r="J1147" s="1345"/>
      <c r="K1147" s="1345"/>
      <c r="L1147" s="1345"/>
      <c r="M1147" s="1345"/>
      <c r="N1147" s="1345"/>
      <c r="O1147" s="1345"/>
      <c r="P1147" s="1345"/>
      <c r="Q1147" s="1345"/>
      <c r="R1147" s="1345"/>
      <c r="S1147" s="1345"/>
      <c r="T1147" s="1345"/>
      <c r="U1147" s="1345"/>
    </row>
    <row r="1148" spans="1:21">
      <c r="A1148" s="1345"/>
      <c r="B1148" s="1345"/>
      <c r="C1148" s="1345"/>
      <c r="D1148" s="1345"/>
      <c r="E1148" s="1345"/>
      <c r="F1148" s="1345"/>
      <c r="G1148" s="1345"/>
      <c r="H1148" s="1345"/>
      <c r="I1148" s="1345"/>
      <c r="J1148" s="1345"/>
      <c r="K1148" s="1345"/>
      <c r="L1148" s="1345"/>
      <c r="M1148" s="1345"/>
      <c r="N1148" s="1345"/>
      <c r="O1148" s="1345"/>
      <c r="P1148" s="1345"/>
      <c r="Q1148" s="1345"/>
      <c r="R1148" s="1345"/>
      <c r="S1148" s="1345"/>
      <c r="T1148" s="1345"/>
      <c r="U1148" s="1345"/>
    </row>
    <row r="1149" spans="1:21">
      <c r="A1149" s="1345"/>
      <c r="B1149" s="1345"/>
      <c r="C1149" s="1345"/>
      <c r="D1149" s="1345"/>
      <c r="E1149" s="1345"/>
      <c r="F1149" s="1345"/>
      <c r="G1149" s="1345"/>
      <c r="H1149" s="1345"/>
      <c r="I1149" s="1345"/>
      <c r="J1149" s="1345"/>
      <c r="K1149" s="1345"/>
      <c r="L1149" s="1345"/>
      <c r="M1149" s="1345"/>
      <c r="N1149" s="1345"/>
      <c r="O1149" s="1345"/>
      <c r="P1149" s="1345"/>
      <c r="Q1149" s="1345"/>
      <c r="R1149" s="1345"/>
      <c r="S1149" s="1345"/>
      <c r="T1149" s="1345"/>
      <c r="U1149" s="1345"/>
    </row>
    <row r="1150" spans="1:21">
      <c r="A1150" s="1345"/>
      <c r="B1150" s="1345"/>
      <c r="C1150" s="1345"/>
      <c r="D1150" s="1345"/>
      <c r="E1150" s="1345"/>
      <c r="F1150" s="1345"/>
      <c r="G1150" s="1345"/>
      <c r="H1150" s="1345"/>
      <c r="I1150" s="1345"/>
      <c r="J1150" s="1345"/>
      <c r="K1150" s="1345"/>
      <c r="L1150" s="1345"/>
      <c r="M1150" s="1345"/>
      <c r="N1150" s="1345"/>
      <c r="O1150" s="1345"/>
      <c r="P1150" s="1345"/>
      <c r="Q1150" s="1345"/>
      <c r="R1150" s="1345"/>
      <c r="S1150" s="1345"/>
      <c r="T1150" s="1345"/>
      <c r="U1150" s="1345"/>
    </row>
    <row r="1151" spans="1:21">
      <c r="A1151" s="1345"/>
      <c r="B1151" s="1345"/>
      <c r="C1151" s="1345"/>
      <c r="D1151" s="1345"/>
      <c r="E1151" s="1345"/>
      <c r="F1151" s="1345"/>
      <c r="G1151" s="1345"/>
      <c r="H1151" s="1345"/>
      <c r="I1151" s="1345"/>
      <c r="J1151" s="1345"/>
      <c r="K1151" s="1345"/>
      <c r="L1151" s="1345"/>
      <c r="M1151" s="1345"/>
      <c r="N1151" s="1345"/>
      <c r="O1151" s="1345"/>
      <c r="P1151" s="1345"/>
      <c r="Q1151" s="1345"/>
      <c r="R1151" s="1345"/>
      <c r="S1151" s="1345"/>
      <c r="T1151" s="1345"/>
      <c r="U1151" s="1345"/>
    </row>
    <row r="1152" spans="1:21">
      <c r="A1152" s="1345"/>
      <c r="B1152" s="1345"/>
      <c r="C1152" s="1345"/>
      <c r="D1152" s="1345"/>
      <c r="E1152" s="1345"/>
      <c r="F1152" s="1345"/>
      <c r="G1152" s="1345"/>
      <c r="H1152" s="1345"/>
      <c r="I1152" s="1345"/>
      <c r="J1152" s="1345"/>
      <c r="K1152" s="1345"/>
      <c r="L1152" s="1345"/>
      <c r="M1152" s="1345"/>
      <c r="N1152" s="1345"/>
      <c r="O1152" s="1345"/>
      <c r="P1152" s="1345"/>
      <c r="Q1152" s="1345"/>
      <c r="R1152" s="1345"/>
      <c r="S1152" s="1345"/>
      <c r="T1152" s="1345"/>
      <c r="U1152" s="1345"/>
    </row>
    <row r="1153" spans="1:21">
      <c r="A1153" s="1345"/>
      <c r="B1153" s="1345"/>
      <c r="C1153" s="1345"/>
      <c r="D1153" s="1345"/>
      <c r="E1153" s="1345"/>
      <c r="F1153" s="1345"/>
      <c r="G1153" s="1345"/>
      <c r="H1153" s="1345"/>
      <c r="I1153" s="1345"/>
      <c r="J1153" s="1345"/>
      <c r="K1153" s="1345"/>
      <c r="L1153" s="1345"/>
      <c r="M1153" s="1345"/>
      <c r="N1153" s="1345"/>
      <c r="O1153" s="1345"/>
      <c r="P1153" s="1345"/>
      <c r="Q1153" s="1345"/>
      <c r="R1153" s="1345"/>
      <c r="S1153" s="1345"/>
      <c r="T1153" s="1345"/>
      <c r="U1153" s="1345"/>
    </row>
    <row r="1154" spans="1:21">
      <c r="A1154" s="1345"/>
      <c r="B1154" s="1345"/>
      <c r="C1154" s="1345"/>
      <c r="D1154" s="1345"/>
      <c r="E1154" s="1345"/>
      <c r="F1154" s="1345"/>
      <c r="G1154" s="1345"/>
      <c r="H1154" s="1345"/>
      <c r="I1154" s="1345"/>
      <c r="J1154" s="1345"/>
      <c r="K1154" s="1345"/>
      <c r="L1154" s="1345"/>
      <c r="M1154" s="1345"/>
      <c r="N1154" s="1345"/>
      <c r="O1154" s="1345"/>
      <c r="P1154" s="1345"/>
      <c r="Q1154" s="1345"/>
      <c r="R1154" s="1345"/>
      <c r="S1154" s="1345"/>
      <c r="T1154" s="1345"/>
      <c r="U1154" s="1345"/>
    </row>
    <row r="1155" spans="1:21">
      <c r="A1155" s="1345"/>
      <c r="B1155" s="1345"/>
      <c r="C1155" s="1345"/>
      <c r="D1155" s="1345"/>
      <c r="E1155" s="1345"/>
      <c r="F1155" s="1345"/>
      <c r="G1155" s="1345"/>
      <c r="H1155" s="1345"/>
      <c r="I1155" s="1345"/>
      <c r="J1155" s="1345"/>
      <c r="K1155" s="1345"/>
      <c r="L1155" s="1345"/>
      <c r="M1155" s="1345"/>
      <c r="N1155" s="1345"/>
      <c r="O1155" s="1345"/>
      <c r="P1155" s="1345"/>
      <c r="Q1155" s="1345"/>
      <c r="R1155" s="1345"/>
      <c r="S1155" s="1345"/>
      <c r="T1155" s="1345"/>
      <c r="U1155" s="1345"/>
    </row>
    <row r="1156" spans="1:21">
      <c r="A1156" s="1345"/>
      <c r="B1156" s="1345"/>
      <c r="C1156" s="1345"/>
      <c r="D1156" s="1345"/>
      <c r="E1156" s="1345"/>
      <c r="F1156" s="1345"/>
      <c r="G1156" s="1345"/>
      <c r="H1156" s="1345"/>
      <c r="I1156" s="1345"/>
      <c r="J1156" s="1345"/>
      <c r="K1156" s="1345"/>
      <c r="L1156" s="1345"/>
      <c r="M1156" s="1345"/>
      <c r="N1156" s="1345"/>
      <c r="O1156" s="1345"/>
      <c r="P1156" s="1345"/>
      <c r="Q1156" s="1345"/>
      <c r="R1156" s="1345"/>
      <c r="S1156" s="1345"/>
      <c r="T1156" s="1345"/>
      <c r="U1156" s="1345"/>
    </row>
    <row r="1157" spans="1:21">
      <c r="A1157" s="1345"/>
      <c r="B1157" s="1345"/>
      <c r="C1157" s="1345"/>
      <c r="D1157" s="1345"/>
      <c r="E1157" s="1345"/>
      <c r="F1157" s="1345"/>
      <c r="G1157" s="1345"/>
      <c r="H1157" s="1345"/>
      <c r="I1157" s="1345"/>
      <c r="J1157" s="1345"/>
      <c r="K1157" s="1345"/>
      <c r="L1157" s="1345"/>
      <c r="M1157" s="1345"/>
      <c r="N1157" s="1345"/>
      <c r="O1157" s="1345"/>
      <c r="P1157" s="1345"/>
      <c r="Q1157" s="1345"/>
      <c r="R1157" s="1345"/>
      <c r="S1157" s="1345"/>
      <c r="T1157" s="1345"/>
      <c r="U1157" s="1345"/>
    </row>
    <row r="1158" spans="1:21">
      <c r="A1158" s="1345"/>
      <c r="B1158" s="1345"/>
      <c r="C1158" s="1345"/>
      <c r="D1158" s="1345"/>
      <c r="E1158" s="1345"/>
      <c r="F1158" s="1345"/>
      <c r="G1158" s="1345"/>
      <c r="H1158" s="1345"/>
      <c r="I1158" s="1345"/>
      <c r="J1158" s="1345"/>
      <c r="K1158" s="1345"/>
      <c r="L1158" s="1345"/>
      <c r="M1158" s="1345"/>
      <c r="N1158" s="1345"/>
      <c r="O1158" s="1345"/>
      <c r="P1158" s="1345"/>
      <c r="Q1158" s="1345"/>
      <c r="R1158" s="1345"/>
      <c r="S1158" s="1345"/>
      <c r="T1158" s="1345"/>
      <c r="U1158" s="1345"/>
    </row>
    <row r="1159" spans="1:21">
      <c r="A1159" s="1345"/>
      <c r="B1159" s="1345"/>
      <c r="C1159" s="1345"/>
      <c r="D1159" s="1345"/>
      <c r="E1159" s="1345"/>
      <c r="F1159" s="1345"/>
      <c r="G1159" s="1345"/>
      <c r="H1159" s="1345"/>
      <c r="I1159" s="1345"/>
      <c r="J1159" s="1345"/>
      <c r="K1159" s="1345"/>
      <c r="L1159" s="1345"/>
      <c r="M1159" s="1345"/>
      <c r="N1159" s="1345"/>
      <c r="O1159" s="1345"/>
      <c r="P1159" s="1345"/>
      <c r="Q1159" s="1345"/>
      <c r="R1159" s="1345"/>
      <c r="S1159" s="1345"/>
      <c r="T1159" s="1345"/>
      <c r="U1159" s="1345"/>
    </row>
    <row r="1160" spans="1:21">
      <c r="A1160" s="1345"/>
      <c r="B1160" s="1345"/>
      <c r="C1160" s="1345"/>
      <c r="D1160" s="1345"/>
      <c r="E1160" s="1345"/>
      <c r="F1160" s="1345"/>
      <c r="G1160" s="1345"/>
      <c r="H1160" s="1345"/>
      <c r="I1160" s="1345"/>
      <c r="J1160" s="1345"/>
      <c r="K1160" s="1345"/>
      <c r="L1160" s="1345"/>
      <c r="N1160" s="1345"/>
      <c r="O1160" s="1345"/>
      <c r="P1160" s="1345"/>
      <c r="Q1160" s="1345"/>
      <c r="R1160" s="1345"/>
      <c r="S1160" s="1345"/>
      <c r="T1160" s="1345"/>
      <c r="U1160" s="1345"/>
    </row>
    <row r="1161" spans="1:21">
      <c r="A1161" s="1345"/>
      <c r="B1161" s="1345"/>
      <c r="C1161" s="1345"/>
      <c r="D1161" s="1345"/>
      <c r="E1161" s="1345"/>
      <c r="F1161" s="1345"/>
      <c r="G1161" s="1345"/>
      <c r="H1161" s="1345"/>
      <c r="I1161" s="1345"/>
      <c r="J1161" s="1345"/>
      <c r="K1161" s="1345"/>
      <c r="L1161" s="1345"/>
      <c r="N1161" s="1345"/>
      <c r="O1161" s="1345"/>
      <c r="P1161" s="1345"/>
      <c r="Q1161" s="1345"/>
      <c r="R1161" s="1345"/>
      <c r="S1161" s="1345"/>
      <c r="T1161" s="1345"/>
      <c r="U1161" s="1345"/>
    </row>
    <row r="1162" spans="1:21">
      <c r="A1162" s="1345"/>
      <c r="B1162" s="1345"/>
      <c r="C1162" s="1345"/>
      <c r="D1162" s="1345"/>
      <c r="E1162" s="1345"/>
      <c r="F1162" s="1345"/>
      <c r="G1162" s="1345"/>
      <c r="H1162" s="1345"/>
      <c r="I1162" s="1345"/>
      <c r="J1162" s="1345"/>
      <c r="K1162" s="1345"/>
      <c r="L1162" s="1345"/>
      <c r="N1162" s="1345"/>
      <c r="O1162" s="1345"/>
      <c r="P1162" s="1345"/>
      <c r="Q1162" s="1345"/>
      <c r="R1162" s="1345"/>
      <c r="S1162" s="1345"/>
      <c r="T1162" s="1345"/>
      <c r="U1162" s="1345"/>
    </row>
    <row r="1163" spans="1:21">
      <c r="A1163" s="1345"/>
      <c r="B1163" s="1345"/>
      <c r="C1163" s="1345"/>
      <c r="D1163" s="1345"/>
      <c r="E1163" s="1345"/>
      <c r="F1163" s="1345"/>
      <c r="G1163" s="1345"/>
      <c r="H1163" s="1345"/>
      <c r="I1163" s="1345"/>
      <c r="J1163" s="1345"/>
      <c r="K1163" s="1345"/>
      <c r="L1163" s="1345"/>
      <c r="N1163" s="1345"/>
      <c r="O1163" s="1345"/>
      <c r="P1163" s="1345"/>
      <c r="Q1163" s="1345"/>
      <c r="R1163" s="1345"/>
      <c r="S1163" s="1345"/>
      <c r="T1163" s="1345"/>
      <c r="U1163" s="1345"/>
    </row>
    <row r="1164" spans="1:21">
      <c r="A1164" s="1345"/>
      <c r="B1164" s="1345"/>
      <c r="C1164" s="1345"/>
      <c r="D1164" s="1345"/>
      <c r="E1164" s="1345"/>
      <c r="F1164" s="1345"/>
      <c r="G1164" s="1345"/>
      <c r="H1164" s="1345"/>
      <c r="I1164" s="1345"/>
      <c r="J1164" s="1345"/>
      <c r="K1164" s="1345"/>
      <c r="L1164" s="1345"/>
      <c r="N1164" s="1345"/>
      <c r="O1164" s="1345"/>
      <c r="P1164" s="1345"/>
      <c r="Q1164" s="1345"/>
      <c r="R1164" s="1345"/>
      <c r="S1164" s="1345"/>
      <c r="T1164" s="1345"/>
      <c r="U1164" s="1345"/>
    </row>
    <row r="1165" spans="1:21">
      <c r="A1165" s="1345"/>
      <c r="B1165" s="1345"/>
      <c r="C1165" s="1345"/>
      <c r="D1165" s="1345"/>
      <c r="E1165" s="1345"/>
      <c r="F1165" s="1345"/>
      <c r="G1165" s="1345"/>
      <c r="H1165" s="1345"/>
      <c r="I1165" s="1345"/>
      <c r="J1165" s="1345"/>
      <c r="K1165" s="1345"/>
      <c r="L1165" s="1345"/>
      <c r="N1165" s="1345"/>
      <c r="O1165" s="1345"/>
      <c r="P1165" s="1345"/>
      <c r="Q1165" s="1345"/>
      <c r="R1165" s="1345"/>
      <c r="S1165" s="1345"/>
      <c r="T1165" s="1345"/>
      <c r="U1165" s="1345"/>
    </row>
    <row r="1166" spans="1:21">
      <c r="A1166" s="1345"/>
      <c r="B1166" s="1345"/>
      <c r="C1166" s="1345"/>
      <c r="D1166" s="1345"/>
      <c r="E1166" s="1345"/>
      <c r="F1166" s="1345"/>
      <c r="G1166" s="1345"/>
      <c r="H1166" s="1345"/>
      <c r="I1166" s="1345"/>
      <c r="J1166" s="1345"/>
      <c r="K1166" s="1345"/>
      <c r="L1166" s="1345"/>
      <c r="N1166" s="1345"/>
      <c r="O1166" s="1345"/>
      <c r="P1166" s="1345"/>
      <c r="Q1166" s="1345"/>
      <c r="R1166" s="1345"/>
      <c r="S1166" s="1345"/>
      <c r="T1166" s="1345"/>
      <c r="U1166" s="1345"/>
    </row>
  </sheetData>
  <phoneticPr fontId="55" type="noConversion"/>
  <pageMargins left="1" right="0.75" top="1" bottom="1" header="0.5" footer="0.5"/>
  <pageSetup scale="53" orientation="landscape" horizontalDpi="300" r:id="rId1"/>
  <headerFooter alignWithMargins="0"/>
  <rowBreaks count="3" manualBreakCount="3">
    <brk id="41" max="65535" man="1"/>
    <brk id="85" max="11" man="1"/>
    <brk id="129" max="11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>
    <tabColor theme="8" tint="0.59999389629810485"/>
    <pageSetUpPr fitToPage="1"/>
  </sheetPr>
  <dimension ref="A1:J24"/>
  <sheetViews>
    <sheetView zoomScale="75" workbookViewId="0"/>
  </sheetViews>
  <sheetFormatPr defaultColWidth="11.44140625" defaultRowHeight="15"/>
  <cols>
    <col min="1" max="3" width="11.44140625" style="1301" customWidth="1"/>
    <col min="4" max="5" width="14.6640625" style="1301" customWidth="1"/>
    <col min="6" max="6" width="11.44140625" style="1301" customWidth="1"/>
    <col min="7" max="7" width="13" style="1301" customWidth="1"/>
    <col min="8" max="8" width="16.88671875" style="1301" customWidth="1"/>
    <col min="9" max="9" width="12.44140625" style="1301" customWidth="1"/>
    <col min="10" max="10" width="17.33203125" style="1301" customWidth="1"/>
    <col min="11" max="16384" width="11.44140625" style="1301"/>
  </cols>
  <sheetData>
    <row r="1" spans="1:10">
      <c r="A1" s="684" t="str">
        <f>COMPANY</f>
        <v>DUKE ENERGY KENTUCKY, INC.</v>
      </c>
      <c r="B1" s="684"/>
      <c r="C1" s="684"/>
      <c r="D1" s="684"/>
      <c r="E1" s="684"/>
      <c r="F1" s="684"/>
      <c r="G1" s="684"/>
      <c r="H1" s="684"/>
      <c r="I1" s="684"/>
      <c r="J1" s="684"/>
    </row>
    <row r="2" spans="1:10">
      <c r="A2" s="684" t="str">
        <f>CASE</f>
        <v>CASE NO. 2018-00261</v>
      </c>
      <c r="B2" s="684"/>
      <c r="C2" s="684"/>
      <c r="D2" s="684"/>
      <c r="E2" s="684"/>
      <c r="F2" s="684"/>
      <c r="G2" s="684"/>
      <c r="H2" s="684"/>
      <c r="I2" s="684"/>
      <c r="J2" s="684"/>
    </row>
    <row r="3" spans="1:10">
      <c r="A3" s="684" t="s">
        <v>130</v>
      </c>
      <c r="B3" s="684"/>
      <c r="C3" s="684"/>
      <c r="D3" s="684"/>
      <c r="E3" s="684"/>
      <c r="F3" s="684"/>
      <c r="G3" s="684"/>
      <c r="H3" s="684"/>
      <c r="I3" s="684"/>
      <c r="J3" s="684"/>
    </row>
    <row r="4" spans="1:10">
      <c r="A4" s="2951" t="str">
        <f>'SCH B-2.3'!A4</f>
        <v>FROM DECEMBER 1, 2017 TO NOVEMBER 30, 2018</v>
      </c>
      <c r="B4" s="684"/>
      <c r="C4" s="684"/>
      <c r="D4" s="684"/>
      <c r="E4" s="684"/>
      <c r="F4" s="684"/>
      <c r="G4" s="684"/>
      <c r="H4" s="684"/>
      <c r="I4" s="684"/>
      <c r="J4" s="684"/>
    </row>
    <row r="5" spans="1:10">
      <c r="A5" s="1345"/>
      <c r="B5" s="1345"/>
      <c r="C5" s="1345"/>
      <c r="D5" s="1345"/>
      <c r="E5" s="1345"/>
      <c r="F5" s="1345"/>
      <c r="G5" s="1345"/>
      <c r="H5" s="1345"/>
      <c r="I5" s="1345"/>
    </row>
    <row r="6" spans="1:10">
      <c r="A6" s="1345"/>
      <c r="B6" s="1345"/>
      <c r="C6" s="1345"/>
      <c r="D6" s="1345"/>
      <c r="E6" s="1345"/>
      <c r="F6" s="1345"/>
      <c r="G6" s="1345"/>
      <c r="H6" s="1345"/>
      <c r="I6" s="1345"/>
    </row>
    <row r="7" spans="1:10">
      <c r="A7" s="1345"/>
      <c r="B7" s="1345"/>
      <c r="C7" s="1345"/>
      <c r="D7" s="1345"/>
      <c r="E7" s="1345"/>
      <c r="F7" s="1345"/>
      <c r="G7" s="1345"/>
      <c r="H7" s="1345"/>
      <c r="I7" s="1345"/>
    </row>
    <row r="8" spans="1:10">
      <c r="A8" s="1298" t="str">
        <f>DataB</f>
        <v>DATA: "X" BASE PERIOD  "X" FORECASTED PERIOD</v>
      </c>
      <c r="B8" s="1345"/>
      <c r="C8" s="1345"/>
      <c r="D8" s="1345"/>
      <c r="E8" s="1345"/>
      <c r="F8" s="1345"/>
      <c r="G8" s="1345"/>
      <c r="I8" s="1298" t="s">
        <v>131</v>
      </c>
    </row>
    <row r="9" spans="1:10">
      <c r="A9" s="1298" t="str">
        <f>Type</f>
        <v xml:space="preserve">TYPE OF FILING:  "X" ORIGINAL   UPDATED    REVISED  </v>
      </c>
      <c r="B9" s="1345"/>
      <c r="C9" s="1345"/>
      <c r="D9" s="1345"/>
      <c r="E9" s="1345"/>
      <c r="F9" s="1345"/>
      <c r="G9" s="1345"/>
      <c r="I9" s="1298" t="s">
        <v>564</v>
      </c>
    </row>
    <row r="10" spans="1:10">
      <c r="A10" s="1298" t="s">
        <v>655</v>
      </c>
      <c r="B10" s="1345"/>
      <c r="C10" s="1345"/>
      <c r="D10" s="1345"/>
      <c r="E10" s="1345"/>
      <c r="F10" s="1345"/>
      <c r="G10" s="1345"/>
      <c r="I10" s="1346" t="str">
        <f>'SCH B-2'!F11</f>
        <v>WITNESS RESPONSIBLE:</v>
      </c>
    </row>
    <row r="11" spans="1:10">
      <c r="A11" s="1345"/>
      <c r="B11" s="1345"/>
      <c r="C11" s="1345"/>
      <c r="D11" s="1345"/>
      <c r="E11" s="1345"/>
      <c r="F11" s="1345"/>
      <c r="G11" s="1345"/>
      <c r="I11" s="1346" t="str">
        <f>_WIT7</f>
        <v>R. H. PRATT / C. S. LEE</v>
      </c>
    </row>
    <row r="12" spans="1:10">
      <c r="A12" s="1345"/>
      <c r="B12" s="1345"/>
      <c r="C12" s="1345"/>
      <c r="D12" s="1345"/>
      <c r="E12" s="1345"/>
      <c r="F12" s="1345"/>
      <c r="G12" s="1345"/>
      <c r="H12" s="1345"/>
      <c r="I12" s="1345"/>
    </row>
    <row r="13" spans="1:10">
      <c r="A13" s="1345"/>
      <c r="B13" s="1345"/>
      <c r="C13" s="1345"/>
      <c r="D13" s="1345"/>
      <c r="E13" s="1345"/>
      <c r="F13" s="1345"/>
      <c r="G13" s="1345"/>
      <c r="H13" s="1345"/>
      <c r="I13" s="1345"/>
      <c r="J13" s="3357"/>
    </row>
    <row r="14" spans="1:10">
      <c r="A14" s="599"/>
      <c r="B14" s="599"/>
      <c r="C14" s="599"/>
      <c r="D14" s="599"/>
      <c r="E14" s="599"/>
      <c r="F14" s="599"/>
      <c r="G14" s="609"/>
      <c r="H14" s="599"/>
      <c r="I14" s="609"/>
      <c r="J14" s="1345"/>
    </row>
    <row r="15" spans="1:10">
      <c r="A15" s="1345"/>
      <c r="B15" s="1348" t="s">
        <v>1041</v>
      </c>
      <c r="C15" s="1345" t="s">
        <v>2137</v>
      </c>
      <c r="D15" s="1298"/>
      <c r="E15" s="1298"/>
      <c r="F15" s="1298"/>
      <c r="G15" s="1298"/>
      <c r="H15" s="1447" t="s">
        <v>132</v>
      </c>
      <c r="I15" s="1298"/>
      <c r="J15" s="1447" t="s">
        <v>1403</v>
      </c>
    </row>
    <row r="16" spans="1:10">
      <c r="A16" s="1348" t="s">
        <v>1938</v>
      </c>
      <c r="B16" s="1348" t="s">
        <v>1150</v>
      </c>
      <c r="C16" s="1348" t="s">
        <v>1150</v>
      </c>
      <c r="D16" s="1348" t="s">
        <v>1988</v>
      </c>
      <c r="E16" s="1348" t="s">
        <v>133</v>
      </c>
      <c r="F16" s="1348" t="s">
        <v>28</v>
      </c>
      <c r="G16" s="1348" t="s">
        <v>133</v>
      </c>
      <c r="H16" s="1348" t="s">
        <v>134</v>
      </c>
      <c r="I16" s="1348" t="s">
        <v>135</v>
      </c>
      <c r="J16" s="1447" t="s">
        <v>136</v>
      </c>
    </row>
    <row r="17" spans="1:10">
      <c r="A17" s="1348" t="s">
        <v>1939</v>
      </c>
      <c r="B17" s="1348" t="s">
        <v>1939</v>
      </c>
      <c r="C17" s="1348" t="s">
        <v>1939</v>
      </c>
      <c r="D17" s="1348" t="s">
        <v>137</v>
      </c>
      <c r="E17" s="1348" t="s">
        <v>28</v>
      </c>
      <c r="F17" s="1348" t="s">
        <v>138</v>
      </c>
      <c r="G17" s="1348" t="s">
        <v>1940</v>
      </c>
      <c r="H17" s="3358" t="s">
        <v>139</v>
      </c>
      <c r="I17" s="1348" t="s">
        <v>133</v>
      </c>
      <c r="J17" s="1447" t="s">
        <v>140</v>
      </c>
    </row>
    <row r="18" spans="1:10">
      <c r="A18" s="1345"/>
      <c r="B18" s="1345"/>
      <c r="C18" s="1345"/>
      <c r="D18" s="1345"/>
      <c r="E18" s="1345"/>
      <c r="F18" s="1345"/>
      <c r="G18" s="1345"/>
      <c r="H18" s="1345"/>
      <c r="I18" s="1345"/>
      <c r="J18" s="1347"/>
    </row>
    <row r="19" spans="1:10">
      <c r="A19" s="599"/>
      <c r="B19" s="599"/>
      <c r="C19" s="599"/>
      <c r="D19" s="599"/>
      <c r="E19" s="599"/>
      <c r="F19" s="599"/>
      <c r="G19" s="599"/>
      <c r="H19" s="599"/>
      <c r="I19" s="599"/>
      <c r="J19" s="1345"/>
    </row>
    <row r="20" spans="1:10">
      <c r="A20" s="1345" t="s">
        <v>1575</v>
      </c>
      <c r="B20" s="1298"/>
      <c r="C20" s="1345"/>
      <c r="D20" s="1345"/>
      <c r="E20" s="1345"/>
      <c r="F20" s="1345"/>
      <c r="G20" s="1345"/>
      <c r="H20" s="1345"/>
      <c r="I20" s="1345"/>
    </row>
    <row r="21" spans="1:10">
      <c r="A21" s="1345"/>
      <c r="B21" s="1298"/>
      <c r="C21" s="1345"/>
      <c r="D21" s="1345"/>
      <c r="E21" s="1345"/>
      <c r="F21" s="1345"/>
      <c r="G21" s="1345"/>
      <c r="H21" s="1345"/>
      <c r="I21" s="1345"/>
    </row>
    <row r="22" spans="1:10">
      <c r="A22" s="1345"/>
      <c r="B22" s="1298"/>
      <c r="C22" s="1345"/>
      <c r="D22" s="1345"/>
      <c r="E22" s="1345"/>
      <c r="F22" s="1345"/>
      <c r="G22" s="1345"/>
      <c r="H22" s="1345"/>
      <c r="I22" s="1345"/>
    </row>
    <row r="23" spans="1:10">
      <c r="A23" s="1345"/>
      <c r="B23" s="1298"/>
      <c r="C23" s="1345"/>
      <c r="D23" s="1345"/>
      <c r="E23" s="1345"/>
      <c r="F23" s="1345"/>
      <c r="G23" s="1345"/>
      <c r="H23" s="1345"/>
      <c r="I23" s="1345"/>
    </row>
    <row r="24" spans="1:10">
      <c r="A24" s="1345"/>
      <c r="B24" s="1298"/>
      <c r="C24" s="1345"/>
      <c r="D24" s="1345"/>
      <c r="E24" s="1345"/>
      <c r="F24" s="1345"/>
      <c r="G24" s="1345"/>
      <c r="H24" s="1345"/>
      <c r="I24" s="1345"/>
    </row>
  </sheetData>
  <phoneticPr fontId="55" type="noConversion"/>
  <printOptions horizontalCentered="1"/>
  <pageMargins left="1" right="0.75" top="1" bottom="1" header="0.5" footer="0.5"/>
  <pageSetup scale="89" orientation="landscape" horizont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>
    <tabColor theme="8" tint="0.59999389629810485"/>
    <pageSetUpPr fitToPage="1"/>
  </sheetPr>
  <dimension ref="A1:G58"/>
  <sheetViews>
    <sheetView zoomScale="90" zoomScaleNormal="90" workbookViewId="0"/>
  </sheetViews>
  <sheetFormatPr defaultColWidth="11.44140625" defaultRowHeight="13.2"/>
  <cols>
    <col min="1" max="1" width="16.6640625" style="2822" customWidth="1"/>
    <col min="2" max="2" width="29.33203125" style="2822" customWidth="1"/>
    <col min="3" max="3" width="23.33203125" style="2822" customWidth="1"/>
    <col min="4" max="4" width="13.5546875" style="2822" customWidth="1"/>
    <col min="5" max="5" width="18.33203125" style="2822" customWidth="1"/>
    <col min="6" max="6" width="14.33203125" style="2822" customWidth="1"/>
    <col min="7" max="7" width="22.33203125" style="2822" customWidth="1"/>
    <col min="8" max="16384" width="11.44140625" style="2822"/>
  </cols>
  <sheetData>
    <row r="1" spans="1:7">
      <c r="A1" s="3344" t="str">
        <f>COMPANY</f>
        <v>DUKE ENERGY KENTUCKY, INC.</v>
      </c>
      <c r="B1" s="3345"/>
      <c r="C1" s="3345"/>
      <c r="D1" s="3345"/>
      <c r="E1" s="3345"/>
      <c r="F1" s="3345"/>
      <c r="G1" s="3345"/>
    </row>
    <row r="2" spans="1:7">
      <c r="A2" s="3344" t="str">
        <f>CASE</f>
        <v>CASE NO. 2018-00261</v>
      </c>
      <c r="B2" s="3345"/>
      <c r="C2" s="3345"/>
      <c r="D2" s="3345"/>
      <c r="E2" s="3345"/>
      <c r="F2" s="3345"/>
      <c r="G2" s="3345"/>
    </row>
    <row r="3" spans="1:7">
      <c r="A3" s="3344" t="s">
        <v>1576</v>
      </c>
      <c r="B3" s="3345"/>
      <c r="C3" s="3345"/>
      <c r="D3" s="3345"/>
      <c r="E3" s="3345"/>
      <c r="F3" s="3345"/>
      <c r="G3" s="3345"/>
    </row>
    <row r="4" spans="1:7">
      <c r="A4" s="3344" t="s">
        <v>2530</v>
      </c>
      <c r="B4" s="3345"/>
      <c r="C4" s="3345"/>
      <c r="D4" s="3345"/>
      <c r="E4" s="3345"/>
      <c r="F4" s="3345"/>
      <c r="G4" s="3345"/>
    </row>
    <row r="5" spans="1:7">
      <c r="A5" s="1625" t="str">
        <f>"AS OF " &amp;RIGHT(TESTYR,(LEN(TESTYR)-16))</f>
        <v>AS OF NOVEMBER 30, 2018</v>
      </c>
      <c r="B5" s="3345"/>
      <c r="C5" s="3345"/>
      <c r="D5" s="3345"/>
      <c r="E5" s="3345"/>
      <c r="F5" s="3345"/>
      <c r="G5" s="3345"/>
    </row>
    <row r="9" spans="1:7">
      <c r="A9" s="3346" t="str">
        <f>Data</f>
        <v>DATA: "X" BASE PERIOD   FORECASTED PERIOD</v>
      </c>
      <c r="F9" s="3346" t="s">
        <v>1577</v>
      </c>
    </row>
    <row r="10" spans="1:7">
      <c r="A10" s="3346" t="str">
        <f>Type</f>
        <v xml:space="preserve">TYPE OF FILING:  "X" ORIGINAL   UPDATED    REVISED  </v>
      </c>
      <c r="F10" s="3346" t="s">
        <v>2092</v>
      </c>
    </row>
    <row r="11" spans="1:7">
      <c r="A11" s="3346" t="s">
        <v>655</v>
      </c>
      <c r="F11" s="3347" t="s">
        <v>566</v>
      </c>
    </row>
    <row r="12" spans="1:7">
      <c r="F12" s="3347" t="str">
        <f>_WIT7</f>
        <v>R. H. PRATT / C. S. LEE</v>
      </c>
    </row>
    <row r="15" spans="1:7">
      <c r="A15" s="2103"/>
      <c r="B15" s="2103"/>
      <c r="C15" s="2103"/>
      <c r="D15" s="2103"/>
      <c r="E15" s="2103"/>
      <c r="F15" s="2114" t="s">
        <v>1578</v>
      </c>
      <c r="G15" s="2103"/>
    </row>
    <row r="16" spans="1:7">
      <c r="A16" s="3349" t="s">
        <v>1579</v>
      </c>
      <c r="F16" s="3349" t="s">
        <v>1580</v>
      </c>
    </row>
    <row r="17" spans="1:7">
      <c r="A17" s="3349" t="s">
        <v>141</v>
      </c>
      <c r="B17" s="3349" t="s">
        <v>142</v>
      </c>
      <c r="C17" s="3349" t="s">
        <v>143</v>
      </c>
      <c r="D17" s="3349" t="s">
        <v>144</v>
      </c>
      <c r="E17" s="3349" t="s">
        <v>145</v>
      </c>
      <c r="F17" s="3349" t="s">
        <v>146</v>
      </c>
      <c r="G17" s="3349" t="s">
        <v>147</v>
      </c>
    </row>
    <row r="18" spans="1:7">
      <c r="A18" s="3349" t="s">
        <v>148</v>
      </c>
      <c r="B18" s="3349" t="s">
        <v>149</v>
      </c>
      <c r="C18" s="3349" t="s">
        <v>150</v>
      </c>
      <c r="D18" s="3349" t="s">
        <v>151</v>
      </c>
      <c r="E18" s="3349" t="s">
        <v>152</v>
      </c>
      <c r="F18" s="3349" t="s">
        <v>1411</v>
      </c>
      <c r="G18" s="3349" t="s">
        <v>1593</v>
      </c>
    </row>
    <row r="20" spans="1:7">
      <c r="A20" s="2103"/>
      <c r="B20" s="2103"/>
      <c r="C20" s="2103"/>
      <c r="D20" s="2103"/>
      <c r="E20" s="2103"/>
      <c r="F20" s="2103"/>
      <c r="G20" s="2103"/>
    </row>
    <row r="21" spans="1:7">
      <c r="B21" s="2301" t="s">
        <v>2319</v>
      </c>
      <c r="C21" s="1594" t="s">
        <v>2321</v>
      </c>
      <c r="D21" s="1594" t="s">
        <v>1436</v>
      </c>
      <c r="E21" s="3066">
        <v>1515</v>
      </c>
      <c r="F21" s="2824">
        <v>155032</v>
      </c>
      <c r="G21" s="1594" t="s">
        <v>1462</v>
      </c>
    </row>
    <row r="22" spans="1:7">
      <c r="B22" s="2301"/>
      <c r="C22" s="1594"/>
      <c r="D22" s="1594"/>
      <c r="E22" s="3353"/>
      <c r="F22" s="3353"/>
      <c r="G22" s="1594" t="s">
        <v>1463</v>
      </c>
    </row>
    <row r="23" spans="1:7">
      <c r="B23" s="1594"/>
      <c r="C23" s="1594"/>
      <c r="D23" s="1594"/>
      <c r="E23" s="3353"/>
      <c r="F23" s="3353"/>
      <c r="G23" s="1594"/>
    </row>
    <row r="24" spans="1:7">
      <c r="B24" s="2301" t="s">
        <v>2320</v>
      </c>
      <c r="C24" s="1594" t="s">
        <v>2321</v>
      </c>
      <c r="D24" s="2301" t="s">
        <v>1436</v>
      </c>
      <c r="E24" s="3066">
        <v>7817</v>
      </c>
      <c r="F24" s="2824">
        <v>800028</v>
      </c>
      <c r="G24" s="1594" t="s">
        <v>1462</v>
      </c>
    </row>
    <row r="25" spans="1:7">
      <c r="B25" s="2301"/>
      <c r="C25" s="2301"/>
      <c r="D25" s="2301"/>
      <c r="E25" s="3354"/>
      <c r="F25" s="3354"/>
      <c r="G25" s="1594" t="s">
        <v>1463</v>
      </c>
    </row>
    <row r="26" spans="1:7">
      <c r="B26" s="2301"/>
      <c r="C26" s="2301"/>
      <c r="D26" s="2301"/>
      <c r="E26" s="3354"/>
      <c r="F26" s="3354"/>
      <c r="G26" s="1594"/>
    </row>
    <row r="27" spans="1:7">
      <c r="B27" s="2301" t="s">
        <v>2322</v>
      </c>
      <c r="C27" s="2301" t="s">
        <v>2323</v>
      </c>
      <c r="D27" s="1594" t="s">
        <v>1436</v>
      </c>
      <c r="E27" s="3355">
        <v>21188</v>
      </c>
      <c r="F27" s="3356">
        <v>2100000</v>
      </c>
      <c r="G27" s="1594" t="s">
        <v>1462</v>
      </c>
    </row>
    <row r="28" spans="1:7">
      <c r="B28" s="2301"/>
      <c r="C28" s="2301"/>
      <c r="D28" s="2301"/>
      <c r="E28" s="2301"/>
      <c r="F28" s="2301"/>
      <c r="G28" s="1594" t="s">
        <v>1463</v>
      </c>
    </row>
    <row r="30" spans="1:7">
      <c r="B30" s="2301" t="s">
        <v>2324</v>
      </c>
      <c r="C30" s="2301"/>
      <c r="D30" s="1594"/>
      <c r="E30" s="2823">
        <f>SUM(E21:E27)</f>
        <v>30520</v>
      </c>
      <c r="F30" s="2823">
        <f>SUM(F21:F27)</f>
        <v>3055060</v>
      </c>
      <c r="G30" s="1594"/>
    </row>
    <row r="32" spans="1:7">
      <c r="B32" s="2822" t="s">
        <v>2970</v>
      </c>
    </row>
    <row r="34" spans="1:7">
      <c r="A34" s="3428"/>
      <c r="B34" s="3428"/>
      <c r="C34" s="3428"/>
      <c r="D34" s="3428"/>
      <c r="E34" s="3428"/>
      <c r="F34" s="3428"/>
      <c r="G34" s="3428"/>
    </row>
    <row r="35" spans="1:7">
      <c r="A35" s="3344" t="str">
        <f>COMPANY</f>
        <v>DUKE ENERGY KENTUCKY, INC.</v>
      </c>
      <c r="B35" s="3345"/>
      <c r="C35" s="3345"/>
      <c r="D35" s="3345"/>
      <c r="E35" s="3345"/>
      <c r="F35" s="3345"/>
      <c r="G35" s="3345"/>
    </row>
    <row r="36" spans="1:7">
      <c r="A36" s="3344" t="str">
        <f>CASE</f>
        <v>CASE NO. 2018-00261</v>
      </c>
      <c r="B36" s="3345"/>
      <c r="C36" s="3345"/>
      <c r="D36" s="3345"/>
      <c r="E36" s="3345"/>
      <c r="F36" s="3345"/>
      <c r="G36" s="3345"/>
    </row>
    <row r="37" spans="1:7">
      <c r="A37" s="3344" t="s">
        <v>1576</v>
      </c>
      <c r="B37" s="3345"/>
      <c r="C37" s="3345"/>
      <c r="D37" s="3345"/>
      <c r="E37" s="3345"/>
      <c r="F37" s="3345"/>
      <c r="G37" s="3345"/>
    </row>
    <row r="38" spans="1:7">
      <c r="A38" s="3344" t="s">
        <v>2530</v>
      </c>
      <c r="B38" s="3345"/>
      <c r="C38" s="3345"/>
      <c r="D38" s="3345"/>
      <c r="E38" s="3345"/>
      <c r="F38" s="3345"/>
      <c r="G38" s="3345"/>
    </row>
    <row r="39" spans="1:7">
      <c r="A39" s="1625" t="str">
        <f>"AS OF " &amp;RIGHT(Forecast,(LEN(Forecast)-16))</f>
        <v>AS OF MARCH 31, 2020</v>
      </c>
      <c r="B39" s="3345"/>
      <c r="C39" s="3345"/>
      <c r="D39" s="3345"/>
      <c r="E39" s="3345"/>
      <c r="F39" s="3345"/>
      <c r="G39" s="3345"/>
    </row>
    <row r="43" spans="1:7">
      <c r="A43" s="3346" t="str">
        <f>DataF</f>
        <v>DATA:  BASE PERIOD  "X" FORECASTED PERIOD</v>
      </c>
      <c r="F43" s="3346" t="s">
        <v>1577</v>
      </c>
    </row>
    <row r="44" spans="1:7">
      <c r="A44" s="3346" t="str">
        <f>Type</f>
        <v xml:space="preserve">TYPE OF FILING:  "X" ORIGINAL   UPDATED    REVISED  </v>
      </c>
      <c r="F44" s="3346" t="s">
        <v>762</v>
      </c>
    </row>
    <row r="45" spans="1:7">
      <c r="A45" s="3346" t="s">
        <v>655</v>
      </c>
      <c r="F45" s="3347" t="s">
        <v>566</v>
      </c>
    </row>
    <row r="46" spans="1:7">
      <c r="F46" s="3347" t="str">
        <f>_WIT7</f>
        <v>R. H. PRATT / C. S. LEE</v>
      </c>
    </row>
    <row r="49" spans="1:7">
      <c r="A49" s="2103"/>
      <c r="B49" s="2103"/>
      <c r="C49" s="2103"/>
      <c r="D49" s="2103"/>
      <c r="E49" s="2103"/>
      <c r="F49" s="2114" t="s">
        <v>1578</v>
      </c>
      <c r="G49" s="2103"/>
    </row>
    <row r="50" spans="1:7">
      <c r="A50" s="3349" t="s">
        <v>1579</v>
      </c>
      <c r="F50" s="3349" t="s">
        <v>1580</v>
      </c>
    </row>
    <row r="51" spans="1:7">
      <c r="A51" s="3349" t="s">
        <v>141</v>
      </c>
      <c r="B51" s="3349" t="s">
        <v>142</v>
      </c>
      <c r="C51" s="3349" t="s">
        <v>143</v>
      </c>
      <c r="D51" s="3349" t="s">
        <v>144</v>
      </c>
      <c r="E51" s="3349" t="s">
        <v>145</v>
      </c>
      <c r="F51" s="3349" t="s">
        <v>146</v>
      </c>
      <c r="G51" s="3349" t="s">
        <v>147</v>
      </c>
    </row>
    <row r="52" spans="1:7">
      <c r="A52" s="3349" t="s">
        <v>148</v>
      </c>
      <c r="B52" s="3349" t="s">
        <v>149</v>
      </c>
      <c r="C52" s="3349" t="s">
        <v>150</v>
      </c>
      <c r="D52" s="3349" t="s">
        <v>151</v>
      </c>
      <c r="E52" s="3349" t="s">
        <v>152</v>
      </c>
      <c r="F52" s="3349" t="s">
        <v>1411</v>
      </c>
      <c r="G52" s="3349" t="s">
        <v>1593</v>
      </c>
    </row>
    <row r="54" spans="1:7">
      <c r="A54" s="2103"/>
      <c r="B54" s="2103"/>
      <c r="C54" s="2103"/>
      <c r="D54" s="2103"/>
      <c r="E54" s="2103"/>
      <c r="F54" s="2103"/>
      <c r="G54" s="2103"/>
    </row>
    <row r="55" spans="1:7">
      <c r="B55" s="2301" t="s">
        <v>2322</v>
      </c>
      <c r="C55" s="2301" t="s">
        <v>2323</v>
      </c>
      <c r="D55" s="1594" t="s">
        <v>1436</v>
      </c>
      <c r="E55" s="3355">
        <v>21188</v>
      </c>
      <c r="F55" s="3356">
        <v>2100000</v>
      </c>
      <c r="G55" s="1594" t="s">
        <v>1462</v>
      </c>
    </row>
    <row r="56" spans="1:7">
      <c r="B56" s="2301"/>
      <c r="C56" s="2301"/>
      <c r="D56" s="2301"/>
      <c r="E56" s="2301"/>
      <c r="F56" s="2301"/>
      <c r="G56" s="1594" t="s">
        <v>1463</v>
      </c>
    </row>
    <row r="58" spans="1:7">
      <c r="B58" s="2301" t="s">
        <v>2324</v>
      </c>
      <c r="C58" s="2301"/>
      <c r="D58" s="1594"/>
      <c r="E58" s="2823">
        <f>SUM(E55:E55)</f>
        <v>21188</v>
      </c>
      <c r="F58" s="2823">
        <f>SUM(F55:F55)</f>
        <v>2100000</v>
      </c>
      <c r="G58" s="1594"/>
    </row>
  </sheetData>
  <phoneticPr fontId="55" type="noConversion"/>
  <printOptions horizontalCentered="1"/>
  <pageMargins left="1" right="0.75" top="1" bottom="1" header="0.5" footer="0.5"/>
  <pageSetup scale="85" orientation="landscape" horizont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>
    <tabColor theme="8" tint="0.59999389629810485"/>
    <pageSetUpPr fitToPage="1"/>
  </sheetPr>
  <dimension ref="A1:M47"/>
  <sheetViews>
    <sheetView zoomScale="90" zoomScaleNormal="90" workbookViewId="0"/>
  </sheetViews>
  <sheetFormatPr defaultColWidth="11.44140625" defaultRowHeight="13.2"/>
  <cols>
    <col min="1" max="1" width="11.44140625" style="2822" customWidth="1"/>
    <col min="2" max="2" width="14.109375" style="2822" customWidth="1"/>
    <col min="3" max="3" width="12.33203125" style="2822" customWidth="1"/>
    <col min="4" max="4" width="11.44140625" style="2822" customWidth="1"/>
    <col min="5" max="5" width="14.109375" style="2822" customWidth="1"/>
    <col min="6" max="8" width="11.44140625" style="2822" customWidth="1"/>
    <col min="9" max="9" width="12.6640625" style="2822" customWidth="1"/>
    <col min="10" max="10" width="2.44140625" style="2822" customWidth="1"/>
    <col min="11" max="12" width="11.44140625" style="2822" customWidth="1"/>
    <col min="13" max="13" width="14.109375" style="2822" customWidth="1"/>
    <col min="14" max="16384" width="11.44140625" style="2822"/>
  </cols>
  <sheetData>
    <row r="1" spans="1:13">
      <c r="A1" s="3344" t="str">
        <f>COMPANY</f>
        <v>DUKE ENERGY KENTUCKY, INC.</v>
      </c>
      <c r="B1" s="3344"/>
      <c r="C1" s="3344"/>
      <c r="D1" s="3344"/>
      <c r="E1" s="3344"/>
      <c r="F1" s="3344"/>
      <c r="G1" s="3344"/>
      <c r="H1" s="3344"/>
      <c r="I1" s="3344"/>
      <c r="J1" s="3344"/>
      <c r="K1" s="3344"/>
      <c r="L1" s="3344"/>
      <c r="M1" s="3344"/>
    </row>
    <row r="2" spans="1:13">
      <c r="A2" s="3344" t="str">
        <f>CASE</f>
        <v>CASE NO. 2018-00261</v>
      </c>
      <c r="B2" s="3344"/>
      <c r="C2" s="3344"/>
      <c r="D2" s="3344"/>
      <c r="E2" s="3344"/>
      <c r="F2" s="3344"/>
      <c r="G2" s="3344"/>
      <c r="H2" s="3344"/>
      <c r="I2" s="3344"/>
      <c r="J2" s="3344"/>
      <c r="K2" s="3344"/>
      <c r="L2" s="3344"/>
      <c r="M2" s="3344"/>
    </row>
    <row r="3" spans="1:13">
      <c r="A3" s="3344" t="s">
        <v>1122</v>
      </c>
      <c r="B3" s="3344"/>
      <c r="C3" s="3344"/>
      <c r="D3" s="3344"/>
      <c r="E3" s="3344"/>
      <c r="F3" s="3344"/>
      <c r="G3" s="3344"/>
      <c r="H3" s="3344"/>
      <c r="I3" s="3344"/>
      <c r="J3" s="3344"/>
      <c r="K3" s="3344"/>
      <c r="L3" s="3344"/>
      <c r="M3" s="3344"/>
    </row>
    <row r="4" spans="1:13">
      <c r="A4" s="1625" t="str">
        <f>"AS OF " &amp;RIGHT(TESTYR,(LEN(TESTYR)-16))</f>
        <v>AS OF NOVEMBER 30, 2018</v>
      </c>
      <c r="B4" s="3344"/>
      <c r="C4" s="3344"/>
      <c r="D4" s="3344"/>
      <c r="E4" s="3344"/>
      <c r="F4" s="3344"/>
      <c r="G4" s="3344"/>
      <c r="H4" s="3344"/>
      <c r="I4" s="3344"/>
      <c r="J4" s="3344"/>
      <c r="K4" s="3344"/>
      <c r="L4" s="3344"/>
      <c r="M4" s="3344"/>
    </row>
    <row r="5" spans="1:13">
      <c r="A5" s="3345"/>
      <c r="B5" s="3345"/>
      <c r="C5" s="3345"/>
      <c r="D5" s="3345"/>
      <c r="E5" s="3345"/>
      <c r="F5" s="3345"/>
      <c r="G5" s="3345"/>
      <c r="H5" s="3345"/>
      <c r="I5" s="3345"/>
      <c r="J5" s="3345"/>
      <c r="K5" s="3345"/>
    </row>
    <row r="8" spans="1:13">
      <c r="A8" s="3346" t="str">
        <f>Data</f>
        <v>DATA: "X" BASE PERIOD   FORECASTED PERIOD</v>
      </c>
      <c r="K8" s="3346" t="s">
        <v>1123</v>
      </c>
    </row>
    <row r="9" spans="1:13">
      <c r="A9" s="3346" t="str">
        <f>Type</f>
        <v xml:space="preserve">TYPE OF FILING:  "X" ORIGINAL   UPDATED    REVISED  </v>
      </c>
      <c r="K9" s="3346" t="s">
        <v>2092</v>
      </c>
    </row>
    <row r="10" spans="1:13">
      <c r="A10" s="3346" t="s">
        <v>655</v>
      </c>
      <c r="K10" s="3347" t="s">
        <v>566</v>
      </c>
    </row>
    <row r="11" spans="1:13">
      <c r="K11" s="3347" t="str">
        <f>_WIT7</f>
        <v>R. H. PRATT / C. S. LEE</v>
      </c>
    </row>
    <row r="14" spans="1:13">
      <c r="J14" s="3348"/>
      <c r="L14" s="3348"/>
      <c r="M14" s="3348"/>
    </row>
    <row r="15" spans="1:13">
      <c r="A15" s="2103"/>
      <c r="B15" s="2103"/>
      <c r="C15" s="2103"/>
      <c r="D15" s="2103"/>
      <c r="E15" s="2103"/>
      <c r="F15" s="2103"/>
      <c r="G15" s="2821"/>
      <c r="H15" s="2103"/>
      <c r="I15" s="2103"/>
      <c r="J15" s="2108"/>
      <c r="K15" s="2103"/>
    </row>
    <row r="16" spans="1:13">
      <c r="B16" s="3349" t="s">
        <v>1988</v>
      </c>
      <c r="F16" s="3349" t="s">
        <v>21</v>
      </c>
      <c r="G16" s="3350" t="s">
        <v>1124</v>
      </c>
      <c r="H16" s="3350"/>
      <c r="I16" s="3350"/>
      <c r="J16" s="2109"/>
      <c r="K16" s="3351" t="s">
        <v>1125</v>
      </c>
      <c r="L16" s="3351"/>
      <c r="M16" s="3351"/>
    </row>
    <row r="17" spans="1:13">
      <c r="A17" s="3349" t="s">
        <v>1938</v>
      </c>
      <c r="B17" s="3349" t="s">
        <v>1437</v>
      </c>
      <c r="C17" s="3349" t="s">
        <v>133</v>
      </c>
      <c r="D17" s="3349" t="s">
        <v>24</v>
      </c>
      <c r="E17" s="3349" t="s">
        <v>1438</v>
      </c>
      <c r="F17" s="3349" t="s">
        <v>24</v>
      </c>
      <c r="H17" s="3349" t="s">
        <v>1150</v>
      </c>
      <c r="L17" s="3349" t="s">
        <v>1150</v>
      </c>
    </row>
    <row r="18" spans="1:13">
      <c r="A18" s="3349" t="s">
        <v>1939</v>
      </c>
      <c r="B18" s="3349" t="s">
        <v>137</v>
      </c>
      <c r="C18" s="3349" t="s">
        <v>27</v>
      </c>
      <c r="D18" s="3349" t="s">
        <v>28</v>
      </c>
      <c r="E18" s="3349" t="s">
        <v>1439</v>
      </c>
      <c r="F18" s="3349" t="s">
        <v>28</v>
      </c>
      <c r="G18" s="3349" t="s">
        <v>2125</v>
      </c>
      <c r="H18" s="3349" t="s">
        <v>1939</v>
      </c>
      <c r="I18" s="3349" t="s">
        <v>1988</v>
      </c>
      <c r="J18" s="3346"/>
      <c r="K18" s="3349" t="s">
        <v>2125</v>
      </c>
      <c r="L18" s="3349" t="s">
        <v>1939</v>
      </c>
      <c r="M18" s="3349" t="s">
        <v>1988</v>
      </c>
    </row>
    <row r="19" spans="1:13">
      <c r="J19" s="3348"/>
      <c r="L19" s="3348"/>
      <c r="M19" s="3348"/>
    </row>
    <row r="20" spans="1:13">
      <c r="A20" s="2103"/>
      <c r="B20" s="2103"/>
      <c r="C20" s="2103"/>
      <c r="D20" s="2103"/>
      <c r="E20" s="2103"/>
      <c r="F20" s="2103"/>
      <c r="G20" s="2103"/>
      <c r="H20" s="2103"/>
      <c r="I20" s="2103"/>
      <c r="J20" s="2108"/>
      <c r="K20" s="2103"/>
    </row>
    <row r="21" spans="1:13">
      <c r="C21" s="2822" t="s">
        <v>1440</v>
      </c>
    </row>
    <row r="25" spans="1:13">
      <c r="A25" s="3433"/>
      <c r="B25" s="3433"/>
      <c r="C25" s="3433"/>
      <c r="D25" s="3433"/>
      <c r="E25" s="3433"/>
      <c r="F25" s="3433"/>
      <c r="G25" s="3433"/>
      <c r="H25" s="3433"/>
      <c r="I25" s="3433"/>
      <c r="J25" s="3433"/>
      <c r="K25" s="3433"/>
      <c r="L25" s="3433"/>
      <c r="M25" s="3433"/>
    </row>
    <row r="27" spans="1:13">
      <c r="A27" s="3344" t="str">
        <f>COMPANY</f>
        <v>DUKE ENERGY KENTUCKY, INC.</v>
      </c>
      <c r="B27" s="3344"/>
      <c r="C27" s="3344"/>
      <c r="D27" s="3344"/>
      <c r="E27" s="3344"/>
      <c r="F27" s="3344"/>
      <c r="G27" s="3344"/>
      <c r="H27" s="3344"/>
      <c r="I27" s="3344"/>
      <c r="J27" s="3344"/>
      <c r="K27" s="3344"/>
      <c r="L27" s="3344"/>
      <c r="M27" s="3344"/>
    </row>
    <row r="28" spans="1:13">
      <c r="A28" s="3344" t="str">
        <f>CASE</f>
        <v>CASE NO. 2018-00261</v>
      </c>
      <c r="B28" s="3344"/>
      <c r="C28" s="3344"/>
      <c r="D28" s="3344"/>
      <c r="E28" s="3344"/>
      <c r="F28" s="3344"/>
      <c r="G28" s="3344"/>
      <c r="H28" s="3344"/>
      <c r="I28" s="3344"/>
      <c r="J28" s="3344"/>
      <c r="K28" s="3344"/>
      <c r="L28" s="3344"/>
      <c r="M28" s="3344"/>
    </row>
    <row r="29" spans="1:13">
      <c r="A29" s="3344" t="s">
        <v>1122</v>
      </c>
      <c r="B29" s="3344"/>
      <c r="C29" s="3344"/>
      <c r="D29" s="3344"/>
      <c r="E29" s="3344"/>
      <c r="F29" s="3344"/>
      <c r="G29" s="3344"/>
      <c r="H29" s="3344"/>
      <c r="I29" s="3344"/>
      <c r="J29" s="3344"/>
      <c r="K29" s="3344"/>
      <c r="L29" s="3344"/>
      <c r="M29" s="3344"/>
    </row>
    <row r="30" spans="1:13">
      <c r="A30" s="1625" t="str">
        <f>"AS OF " &amp;RIGHT(Forecast,(LEN(Forecast)-16))</f>
        <v>AS OF MARCH 31, 2020</v>
      </c>
      <c r="B30" s="3344"/>
      <c r="C30" s="3344"/>
      <c r="D30" s="3344"/>
      <c r="E30" s="3344"/>
      <c r="F30" s="3344"/>
      <c r="G30" s="3344"/>
      <c r="H30" s="3344"/>
      <c r="I30" s="3344"/>
      <c r="J30" s="3344"/>
      <c r="K30" s="3344"/>
      <c r="L30" s="3344"/>
      <c r="M30" s="3344"/>
    </row>
    <row r="31" spans="1:13">
      <c r="A31" s="3345"/>
      <c r="B31" s="3345"/>
      <c r="C31" s="3345"/>
      <c r="D31" s="3345"/>
      <c r="E31" s="3345"/>
      <c r="F31" s="3345"/>
      <c r="G31" s="3345"/>
      <c r="H31" s="3345"/>
      <c r="I31" s="3345"/>
      <c r="J31" s="3345"/>
      <c r="K31" s="3345"/>
    </row>
    <row r="34" spans="1:13">
      <c r="A34" s="3346" t="str">
        <f>DataF</f>
        <v>DATA:  BASE PERIOD  "X" FORECASTED PERIOD</v>
      </c>
      <c r="K34" s="3346" t="s">
        <v>1123</v>
      </c>
    </row>
    <row r="35" spans="1:13">
      <c r="A35" s="3346" t="str">
        <f>Type</f>
        <v xml:space="preserve">TYPE OF FILING:  "X" ORIGINAL   UPDATED    REVISED  </v>
      </c>
      <c r="K35" s="3346" t="s">
        <v>762</v>
      </c>
    </row>
    <row r="36" spans="1:13">
      <c r="A36" s="3346" t="s">
        <v>655</v>
      </c>
      <c r="K36" s="3347" t="s">
        <v>566</v>
      </c>
    </row>
    <row r="37" spans="1:13">
      <c r="K37" s="3347" t="str">
        <f>_WIT7</f>
        <v>R. H. PRATT / C. S. LEE</v>
      </c>
    </row>
    <row r="40" spans="1:13">
      <c r="J40" s="3348"/>
      <c r="L40" s="3348"/>
      <c r="M40" s="3348"/>
    </row>
    <row r="41" spans="1:13">
      <c r="A41" s="2103"/>
      <c r="B41" s="2103"/>
      <c r="C41" s="2103"/>
      <c r="D41" s="2103"/>
      <c r="E41" s="2103"/>
      <c r="F41" s="2103"/>
      <c r="G41" s="2821"/>
      <c r="H41" s="2103"/>
      <c r="I41" s="2103"/>
      <c r="J41" s="2108"/>
      <c r="K41" s="2103"/>
    </row>
    <row r="42" spans="1:13">
      <c r="B42" s="3349" t="s">
        <v>1988</v>
      </c>
      <c r="F42" s="3349" t="s">
        <v>21</v>
      </c>
      <c r="G42" s="3350" t="s">
        <v>1124</v>
      </c>
      <c r="H42" s="3350"/>
      <c r="I42" s="3350"/>
      <c r="J42" s="2109"/>
      <c r="K42" s="3351" t="s">
        <v>1125</v>
      </c>
      <c r="L42" s="3351"/>
      <c r="M42" s="3351"/>
    </row>
    <row r="43" spans="1:13">
      <c r="A43" s="3349" t="s">
        <v>1938</v>
      </c>
      <c r="B43" s="3349" t="s">
        <v>1437</v>
      </c>
      <c r="C43" s="3349" t="s">
        <v>133</v>
      </c>
      <c r="D43" s="3349" t="s">
        <v>24</v>
      </c>
      <c r="E43" s="3349" t="s">
        <v>1438</v>
      </c>
      <c r="F43" s="3349" t="s">
        <v>24</v>
      </c>
      <c r="H43" s="3349" t="s">
        <v>1150</v>
      </c>
      <c r="L43" s="3349" t="s">
        <v>1150</v>
      </c>
    </row>
    <row r="44" spans="1:13">
      <c r="A44" s="3349" t="s">
        <v>1939</v>
      </c>
      <c r="B44" s="3349" t="s">
        <v>137</v>
      </c>
      <c r="C44" s="3349" t="s">
        <v>27</v>
      </c>
      <c r="D44" s="3349" t="s">
        <v>28</v>
      </c>
      <c r="E44" s="3349" t="s">
        <v>1439</v>
      </c>
      <c r="F44" s="3349" t="s">
        <v>28</v>
      </c>
      <c r="G44" s="3349" t="s">
        <v>2125</v>
      </c>
      <c r="H44" s="3349" t="s">
        <v>1939</v>
      </c>
      <c r="I44" s="3349" t="s">
        <v>1988</v>
      </c>
      <c r="J44" s="3346"/>
      <c r="K44" s="3349" t="s">
        <v>2125</v>
      </c>
      <c r="L44" s="3349" t="s">
        <v>1939</v>
      </c>
      <c r="M44" s="3349" t="s">
        <v>1988</v>
      </c>
    </row>
    <row r="45" spans="1:13">
      <c r="J45" s="3348"/>
      <c r="L45" s="3348"/>
      <c r="M45" s="3348"/>
    </row>
    <row r="46" spans="1:13">
      <c r="A46" s="2103"/>
      <c r="B46" s="2103"/>
      <c r="C46" s="2103"/>
      <c r="D46" s="2103"/>
      <c r="E46" s="2103"/>
      <c r="F46" s="2103"/>
      <c r="G46" s="2103"/>
      <c r="H46" s="2103"/>
      <c r="I46" s="2103"/>
      <c r="J46" s="2108"/>
      <c r="K46" s="2103"/>
    </row>
    <row r="47" spans="1:13">
      <c r="C47" s="2822" t="s">
        <v>1440</v>
      </c>
    </row>
  </sheetData>
  <phoneticPr fontId="55" type="noConversion"/>
  <printOptions horizontalCentered="1"/>
  <pageMargins left="1" right="0.75" top="1" bottom="1" header="0.5" footer="0.5"/>
  <pageSetup scale="78" orientation="landscape" horizont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C33"/>
  <sheetViews>
    <sheetView zoomScale="75" workbookViewId="0"/>
  </sheetViews>
  <sheetFormatPr defaultColWidth="8" defaultRowHeight="15"/>
  <cols>
    <col min="1" max="1" width="9.5546875" style="33" customWidth="1"/>
    <col min="2" max="2" width="12.88671875" style="33" customWidth="1"/>
    <col min="3" max="3" width="75.88671875" style="33" customWidth="1"/>
    <col min="4" max="16384" width="8" style="33"/>
  </cols>
  <sheetData>
    <row r="1" spans="1:3">
      <c r="A1" s="30" t="s">
        <v>585</v>
      </c>
      <c r="B1" s="31">
        <v>100</v>
      </c>
      <c r="C1" s="32" t="s">
        <v>586</v>
      </c>
    </row>
    <row r="2" spans="1:3">
      <c r="A2" s="34" t="s">
        <v>587</v>
      </c>
      <c r="B2" s="31">
        <v>100</v>
      </c>
      <c r="C2" s="32" t="s">
        <v>588</v>
      </c>
    </row>
    <row r="3" spans="1:3">
      <c r="A3" s="34" t="s">
        <v>589</v>
      </c>
      <c r="B3" s="31">
        <v>100</v>
      </c>
      <c r="C3" s="32" t="s">
        <v>590</v>
      </c>
    </row>
    <row r="4" spans="1:3">
      <c r="A4" s="30" t="s">
        <v>591</v>
      </c>
      <c r="B4" s="35">
        <v>100</v>
      </c>
      <c r="C4" s="32" t="s">
        <v>592</v>
      </c>
    </row>
    <row r="5" spans="1:3">
      <c r="A5" s="30" t="s">
        <v>593</v>
      </c>
      <c r="B5" s="31">
        <v>100</v>
      </c>
      <c r="C5" s="32" t="s">
        <v>594</v>
      </c>
    </row>
    <row r="6" spans="1:3">
      <c r="A6" s="36" t="s">
        <v>595</v>
      </c>
      <c r="B6" s="35">
        <v>0</v>
      </c>
      <c r="C6" s="32" t="s">
        <v>592</v>
      </c>
    </row>
    <row r="7" spans="1:3">
      <c r="A7" s="34" t="s">
        <v>596</v>
      </c>
      <c r="B7" s="37">
        <v>100</v>
      </c>
      <c r="C7" s="32" t="s">
        <v>597</v>
      </c>
    </row>
    <row r="8" spans="1:3">
      <c r="A8" s="34" t="s">
        <v>598</v>
      </c>
      <c r="B8" s="37">
        <v>100</v>
      </c>
      <c r="C8" s="32" t="s">
        <v>552</v>
      </c>
    </row>
    <row r="9" spans="1:3">
      <c r="A9" s="30" t="s">
        <v>553</v>
      </c>
      <c r="B9" s="37">
        <v>100</v>
      </c>
      <c r="C9" s="32" t="s">
        <v>554</v>
      </c>
    </row>
    <row r="10" spans="1:3">
      <c r="A10" s="30" t="s">
        <v>555</v>
      </c>
      <c r="B10" s="37">
        <v>100</v>
      </c>
      <c r="C10" s="32" t="s">
        <v>556</v>
      </c>
    </row>
    <row r="11" spans="1:3">
      <c r="A11" s="30" t="s">
        <v>557</v>
      </c>
      <c r="B11" s="37">
        <v>100</v>
      </c>
      <c r="C11" s="32" t="s">
        <v>558</v>
      </c>
    </row>
    <row r="12" spans="1:3">
      <c r="A12" s="34" t="s">
        <v>559</v>
      </c>
      <c r="B12" s="31">
        <v>100</v>
      </c>
      <c r="C12" s="32" t="s">
        <v>560</v>
      </c>
    </row>
    <row r="13" spans="1:3">
      <c r="A13" s="30" t="s">
        <v>561</v>
      </c>
      <c r="B13" s="35">
        <v>100</v>
      </c>
      <c r="C13" s="32" t="s">
        <v>562</v>
      </c>
    </row>
    <row r="14" spans="1:3">
      <c r="A14" s="38"/>
      <c r="B14" s="39"/>
      <c r="C14" s="32"/>
    </row>
    <row r="15" spans="1:3">
      <c r="A15" s="38"/>
      <c r="B15" s="39"/>
      <c r="C15" s="32"/>
    </row>
    <row r="16" spans="1:3">
      <c r="A16" s="38"/>
      <c r="B16" s="40"/>
      <c r="C16" s="32"/>
    </row>
    <row r="17" spans="1:3">
      <c r="A17" s="38"/>
      <c r="B17" s="40"/>
      <c r="C17" s="32"/>
    </row>
    <row r="18" spans="1:3">
      <c r="A18" s="38"/>
      <c r="B18" s="39"/>
      <c r="C18" s="32"/>
    </row>
    <row r="19" spans="1:3">
      <c r="A19" s="38"/>
      <c r="B19" s="39"/>
      <c r="C19" s="32"/>
    </row>
    <row r="20" spans="1:3">
      <c r="A20" s="38"/>
      <c r="B20" s="39"/>
      <c r="C20" s="32"/>
    </row>
    <row r="21" spans="1:3">
      <c r="A21" s="38"/>
      <c r="B21" s="39"/>
      <c r="C21" s="32"/>
    </row>
    <row r="22" spans="1:3">
      <c r="A22" s="38"/>
      <c r="B22" s="40"/>
      <c r="C22" s="32"/>
    </row>
    <row r="23" spans="1:3">
      <c r="A23" s="38"/>
      <c r="B23" s="39"/>
      <c r="C23" s="32"/>
    </row>
    <row r="24" spans="1:3">
      <c r="A24" s="38"/>
      <c r="B24" s="40"/>
      <c r="C24" s="32"/>
    </row>
    <row r="25" spans="1:3">
      <c r="A25" s="38"/>
      <c r="B25" s="39"/>
      <c r="C25" s="32"/>
    </row>
    <row r="26" spans="1:3">
      <c r="A26" s="38"/>
      <c r="B26" s="40"/>
      <c r="C26" s="32"/>
    </row>
    <row r="27" spans="1:3">
      <c r="A27" s="38"/>
      <c r="B27" s="39"/>
      <c r="C27" s="32"/>
    </row>
    <row r="28" spans="1:3">
      <c r="A28" s="38"/>
      <c r="B28" s="40"/>
      <c r="C28" s="32"/>
    </row>
    <row r="29" spans="1:3">
      <c r="A29" s="38"/>
      <c r="B29" s="40"/>
      <c r="C29" s="32"/>
    </row>
    <row r="30" spans="1:3">
      <c r="A30" s="38"/>
      <c r="B30" s="39"/>
      <c r="C30" s="32"/>
    </row>
    <row r="31" spans="1:3">
      <c r="A31" s="38"/>
      <c r="B31" s="39"/>
      <c r="C31" s="32"/>
    </row>
    <row r="32" spans="1:3">
      <c r="A32" s="38"/>
      <c r="B32" s="39"/>
      <c r="C32" s="32"/>
    </row>
    <row r="33" spans="1:3">
      <c r="A33" s="38"/>
      <c r="B33" s="39"/>
      <c r="C33" s="32"/>
    </row>
  </sheetData>
  <phoneticPr fontId="4" type="noConversion"/>
  <pageMargins left="0.75" right="0.75" top="1" bottom="1" header="0.5" footer="0.5"/>
  <headerFooter alignWithMargins="0">
    <oddHeader>&amp;A</oddHeader>
    <oddFooter>Page &amp;P</oddFooter>
  </headerFooter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>
    <tabColor theme="8" tint="0.59999389629810485"/>
    <pageSetUpPr fitToPage="1"/>
  </sheetPr>
  <dimension ref="A1:K84"/>
  <sheetViews>
    <sheetView zoomScale="90" zoomScaleNormal="90" workbookViewId="0"/>
  </sheetViews>
  <sheetFormatPr defaultColWidth="11.44140625" defaultRowHeight="13.2"/>
  <cols>
    <col min="1" max="1" width="7.33203125" style="3324" customWidth="1"/>
    <col min="2" max="2" width="11.44140625" style="3324" customWidth="1"/>
    <col min="3" max="3" width="20.109375" style="3324" customWidth="1"/>
    <col min="4" max="7" width="11.44140625" style="3324" customWidth="1"/>
    <col min="8" max="8" width="11.44140625" style="3327" customWidth="1"/>
    <col min="9" max="9" width="11.44140625" style="3328" customWidth="1"/>
    <col min="10" max="10" width="13.88671875" style="3324" customWidth="1"/>
    <col min="11" max="11" width="24.6640625" style="3324" customWidth="1"/>
    <col min="12" max="16384" width="11.44140625" style="3324"/>
  </cols>
  <sheetData>
    <row r="1" spans="1:11">
      <c r="A1" s="3320" t="str">
        <f>COMPANY</f>
        <v>DUKE ENERGY KENTUCKY, INC.</v>
      </c>
      <c r="B1" s="3321"/>
      <c r="C1" s="3321"/>
      <c r="D1" s="3321"/>
      <c r="E1" s="3321"/>
      <c r="F1" s="3321"/>
      <c r="G1" s="3321"/>
      <c r="H1" s="3322"/>
      <c r="I1" s="3323"/>
      <c r="J1" s="3321"/>
      <c r="K1" s="3321"/>
    </row>
    <row r="2" spans="1:11">
      <c r="A2" s="3320" t="str">
        <f>CASE</f>
        <v>CASE NO. 2018-00261</v>
      </c>
      <c r="B2" s="3321"/>
      <c r="C2" s="3321"/>
      <c r="D2" s="3321"/>
      <c r="E2" s="3321"/>
      <c r="F2" s="3321"/>
      <c r="G2" s="3321"/>
      <c r="H2" s="3322"/>
      <c r="I2" s="3323"/>
      <c r="J2" s="3321"/>
      <c r="K2" s="3321"/>
    </row>
    <row r="3" spans="1:11">
      <c r="A3" s="3320" t="s">
        <v>1441</v>
      </c>
      <c r="B3" s="3321"/>
      <c r="C3" s="3321"/>
      <c r="D3" s="3321"/>
      <c r="E3" s="3321"/>
      <c r="F3" s="3321"/>
      <c r="G3" s="3321"/>
      <c r="H3" s="3322"/>
      <c r="I3" s="3323"/>
      <c r="J3" s="3321"/>
      <c r="K3" s="3321"/>
    </row>
    <row r="4" spans="1:11">
      <c r="A4" s="3320" t="s">
        <v>1601</v>
      </c>
      <c r="B4" s="3321"/>
      <c r="C4" s="3321"/>
      <c r="D4" s="3321"/>
      <c r="E4" s="3321"/>
      <c r="F4" s="3321"/>
      <c r="G4" s="3321"/>
      <c r="H4" s="3322"/>
      <c r="I4" s="3323"/>
      <c r="J4" s="3321"/>
      <c r="K4" s="3321"/>
    </row>
    <row r="5" spans="1:11">
      <c r="A5" s="1625" t="str">
        <f>"AS OF " &amp;RIGHT(TESTYR,(LEN(TESTYR)-16))</f>
        <v>AS OF NOVEMBER 30, 2018</v>
      </c>
      <c r="B5" s="3321"/>
      <c r="C5" s="3321"/>
      <c r="D5" s="3321"/>
      <c r="E5" s="3321"/>
      <c r="F5" s="3321"/>
      <c r="G5" s="3321"/>
      <c r="H5" s="3322"/>
      <c r="I5" s="3323"/>
      <c r="J5" s="3321"/>
      <c r="K5" s="3321"/>
    </row>
    <row r="6" spans="1:11">
      <c r="A6" s="3320"/>
      <c r="B6" s="3321"/>
      <c r="C6" s="3321"/>
      <c r="D6" s="3321"/>
      <c r="E6" s="3321"/>
      <c r="F6" s="3321"/>
      <c r="G6" s="3321"/>
      <c r="H6" s="3322"/>
      <c r="I6" s="3323"/>
      <c r="J6" s="3321"/>
      <c r="K6" s="3321"/>
    </row>
    <row r="7" spans="1:11">
      <c r="A7" s="3325"/>
      <c r="B7" s="3321"/>
      <c r="C7" s="3321"/>
      <c r="D7" s="3321"/>
      <c r="E7" s="3321"/>
      <c r="F7" s="3321"/>
      <c r="G7" s="3321"/>
      <c r="H7" s="3322"/>
      <c r="I7" s="3323"/>
      <c r="J7" s="3321"/>
      <c r="K7" s="3321"/>
    </row>
    <row r="10" spans="1:11">
      <c r="A10" s="3326" t="str">
        <f>Data</f>
        <v>DATA: "X" BASE PERIOD   FORECASTED PERIOD</v>
      </c>
      <c r="J10" s="3326" t="s">
        <v>1602</v>
      </c>
    </row>
    <row r="11" spans="1:11">
      <c r="A11" s="3326" t="str">
        <f>Type</f>
        <v xml:space="preserve">TYPE OF FILING:  "X" ORIGINAL   UPDATED    REVISED  </v>
      </c>
      <c r="J11" s="3326" t="s">
        <v>2092</v>
      </c>
    </row>
    <row r="12" spans="1:11">
      <c r="A12" s="3326" t="s">
        <v>852</v>
      </c>
      <c r="J12" s="3329" t="s">
        <v>566</v>
      </c>
    </row>
    <row r="13" spans="1:11">
      <c r="J13" s="3329" t="str">
        <f>_WIT7</f>
        <v>R. H. PRATT / C. S. LEE</v>
      </c>
    </row>
    <row r="16" spans="1:11">
      <c r="F16" s="3330"/>
    </row>
    <row r="17" spans="1:11">
      <c r="A17" s="2128"/>
      <c r="B17" s="2128"/>
      <c r="C17" s="2128"/>
      <c r="D17" s="2128"/>
      <c r="E17" s="2128"/>
      <c r="F17" s="3331" t="s">
        <v>25</v>
      </c>
      <c r="G17" s="2128"/>
      <c r="H17" s="2129" t="s">
        <v>1013</v>
      </c>
      <c r="I17" s="2130"/>
      <c r="J17" s="2131"/>
      <c r="K17" s="2128"/>
    </row>
    <row r="18" spans="1:11">
      <c r="B18" s="3331" t="s">
        <v>2137</v>
      </c>
      <c r="F18" s="3331" t="s">
        <v>29</v>
      </c>
      <c r="G18" s="3331" t="s">
        <v>21</v>
      </c>
      <c r="H18" s="3332" t="s">
        <v>1603</v>
      </c>
      <c r="I18" s="3333"/>
      <c r="J18" s="3334"/>
    </row>
    <row r="19" spans="1:11">
      <c r="A19" s="3331" t="s">
        <v>1938</v>
      </c>
      <c r="B19" s="3331" t="s">
        <v>1150</v>
      </c>
      <c r="C19" s="3331" t="s">
        <v>22</v>
      </c>
      <c r="D19" s="3331" t="s">
        <v>23</v>
      </c>
      <c r="E19" s="3331" t="s">
        <v>24</v>
      </c>
      <c r="F19" s="3335" t="s">
        <v>1604</v>
      </c>
      <c r="G19" s="3331" t="s">
        <v>24</v>
      </c>
      <c r="I19" s="3336" t="s">
        <v>1150</v>
      </c>
      <c r="K19" s="3331" t="s">
        <v>1605</v>
      </c>
    </row>
    <row r="20" spans="1:11">
      <c r="A20" s="3331" t="s">
        <v>1939</v>
      </c>
      <c r="B20" s="3331" t="s">
        <v>1939</v>
      </c>
      <c r="C20" s="3331" t="s">
        <v>26</v>
      </c>
      <c r="D20" s="3331" t="s">
        <v>27</v>
      </c>
      <c r="E20" s="3331" t="s">
        <v>28</v>
      </c>
      <c r="F20" s="3335" t="s">
        <v>1606</v>
      </c>
      <c r="G20" s="3331" t="s">
        <v>28</v>
      </c>
      <c r="H20" s="3337" t="s">
        <v>2125</v>
      </c>
      <c r="I20" s="3336" t="s">
        <v>1939</v>
      </c>
      <c r="J20" s="3331" t="s">
        <v>1988</v>
      </c>
      <c r="K20" s="3331" t="s">
        <v>30</v>
      </c>
    </row>
    <row r="22" spans="1:11">
      <c r="A22" s="2128"/>
      <c r="B22" s="2128"/>
      <c r="C22" s="2128"/>
      <c r="D22" s="2128"/>
      <c r="E22" s="2128"/>
      <c r="F22" s="2128"/>
      <c r="G22" s="2128"/>
      <c r="H22" s="2132"/>
      <c r="I22" s="2133"/>
      <c r="J22" s="2128"/>
      <c r="K22" s="2128"/>
    </row>
    <row r="23" spans="1:11">
      <c r="A23" s="3338"/>
      <c r="B23" s="3338"/>
      <c r="D23" s="3339"/>
      <c r="E23" s="3340"/>
      <c r="F23" s="3340"/>
      <c r="G23" s="3340"/>
      <c r="I23" s="3338"/>
    </row>
    <row r="24" spans="1:11">
      <c r="A24" s="3328"/>
      <c r="C24" s="3324" t="s">
        <v>1680</v>
      </c>
      <c r="D24" s="3328"/>
      <c r="E24" s="3340"/>
      <c r="F24" s="3340"/>
      <c r="G24" s="3340"/>
      <c r="I24" s="3338"/>
    </row>
    <row r="25" spans="1:11">
      <c r="A25" s="3328"/>
      <c r="D25" s="3328"/>
      <c r="E25" s="3340"/>
      <c r="F25" s="3340"/>
      <c r="G25" s="3340"/>
      <c r="I25" s="3338"/>
    </row>
    <row r="26" spans="1:11">
      <c r="A26" s="3338"/>
      <c r="B26" s="3338"/>
      <c r="D26" s="3339"/>
      <c r="E26" s="3340"/>
      <c r="F26" s="3340"/>
      <c r="G26" s="3340"/>
      <c r="I26" s="3338"/>
    </row>
    <row r="27" spans="1:11">
      <c r="D27" s="3328"/>
      <c r="E27" s="3340"/>
      <c r="F27" s="3340"/>
      <c r="G27" s="3340"/>
      <c r="I27" s="3338"/>
    </row>
    <row r="28" spans="1:11">
      <c r="E28" s="3341"/>
      <c r="F28" s="3341"/>
      <c r="G28" s="3341"/>
      <c r="H28" s="3342"/>
      <c r="I28" s="3338"/>
    </row>
    <row r="29" spans="1:11">
      <c r="A29" s="3338"/>
      <c r="E29" s="3343"/>
      <c r="F29" s="3343"/>
      <c r="G29" s="3343"/>
      <c r="H29" s="3342"/>
      <c r="I29" s="3338"/>
    </row>
    <row r="30" spans="1:11">
      <c r="E30" s="3341"/>
      <c r="F30" s="3341"/>
      <c r="G30" s="3341"/>
      <c r="H30" s="3342"/>
      <c r="I30" s="3338"/>
    </row>
    <row r="31" spans="1:11">
      <c r="A31" s="3338"/>
      <c r="E31" s="3341"/>
      <c r="F31" s="3341"/>
      <c r="G31" s="3341"/>
      <c r="H31" s="3342"/>
      <c r="I31" s="3338"/>
    </row>
    <row r="32" spans="1:11">
      <c r="A32" s="3338"/>
      <c r="E32" s="3341"/>
      <c r="F32" s="3341"/>
      <c r="G32" s="3341"/>
      <c r="H32" s="3342"/>
      <c r="I32" s="3338"/>
    </row>
    <row r="33" spans="1:11">
      <c r="A33" s="3338"/>
      <c r="E33" s="3341"/>
      <c r="F33" s="3341"/>
      <c r="G33" s="3341"/>
      <c r="H33" s="3342"/>
      <c r="I33" s="3338"/>
    </row>
    <row r="34" spans="1:11">
      <c r="A34" s="3338"/>
      <c r="E34" s="3341"/>
      <c r="F34" s="3341"/>
      <c r="G34" s="3341"/>
      <c r="H34" s="3342"/>
      <c r="I34" s="3338"/>
    </row>
    <row r="35" spans="1:11">
      <c r="A35" s="3338"/>
      <c r="E35" s="3341"/>
      <c r="F35" s="3341"/>
      <c r="G35" s="3341"/>
      <c r="H35" s="3342"/>
      <c r="I35" s="3338"/>
    </row>
    <row r="36" spans="1:11">
      <c r="A36" s="3338"/>
      <c r="E36" s="3341"/>
      <c r="F36" s="3341"/>
      <c r="G36" s="3341"/>
      <c r="H36" s="3342"/>
      <c r="I36" s="3338"/>
    </row>
    <row r="37" spans="1:11">
      <c r="A37" s="3338"/>
      <c r="E37" s="3341"/>
      <c r="F37" s="3341"/>
      <c r="G37" s="3341"/>
      <c r="H37" s="3342"/>
      <c r="I37" s="3338"/>
    </row>
    <row r="38" spans="1:11">
      <c r="A38" s="3338"/>
      <c r="E38" s="3341"/>
      <c r="F38" s="3341"/>
      <c r="G38" s="3341"/>
      <c r="H38" s="3342"/>
      <c r="I38" s="3338"/>
    </row>
    <row r="39" spans="1:11">
      <c r="A39" s="3338"/>
      <c r="E39" s="3341"/>
      <c r="F39" s="3341"/>
      <c r="G39" s="3341"/>
      <c r="H39" s="3342"/>
      <c r="I39" s="3338"/>
    </row>
    <row r="40" spans="1:11">
      <c r="I40" s="3338"/>
    </row>
    <row r="41" spans="1:11">
      <c r="I41" s="3338"/>
    </row>
    <row r="42" spans="1:11">
      <c r="I42" s="3338"/>
    </row>
    <row r="45" spans="1:11">
      <c r="A45" s="3320" t="str">
        <f>COMPANY</f>
        <v>DUKE ENERGY KENTUCKY, INC.</v>
      </c>
      <c r="B45" s="3321"/>
      <c r="C45" s="3321"/>
      <c r="D45" s="3321"/>
      <c r="E45" s="3321"/>
      <c r="F45" s="3321"/>
      <c r="G45" s="3321"/>
      <c r="H45" s="3322"/>
      <c r="I45" s="3323"/>
      <c r="J45" s="3321"/>
      <c r="K45" s="3321"/>
    </row>
    <row r="46" spans="1:11">
      <c r="A46" s="3320" t="str">
        <f>CASE</f>
        <v>CASE NO. 2018-00261</v>
      </c>
      <c r="B46" s="3321"/>
      <c r="C46" s="3321"/>
      <c r="D46" s="3321"/>
      <c r="E46" s="3321"/>
      <c r="F46" s="3321"/>
      <c r="G46" s="3321"/>
      <c r="H46" s="3322"/>
      <c r="I46" s="3323"/>
      <c r="J46" s="3321"/>
      <c r="K46" s="3321"/>
    </row>
    <row r="47" spans="1:11">
      <c r="A47" s="3320" t="s">
        <v>1441</v>
      </c>
      <c r="B47" s="3321"/>
      <c r="C47" s="3321"/>
      <c r="D47" s="3321"/>
      <c r="E47" s="3321"/>
      <c r="F47" s="3321"/>
      <c r="G47" s="3321"/>
      <c r="H47" s="3322"/>
      <c r="I47" s="3323"/>
      <c r="J47" s="3321"/>
      <c r="K47" s="3321"/>
    </row>
    <row r="48" spans="1:11">
      <c r="A48" s="3320" t="s">
        <v>1601</v>
      </c>
      <c r="B48" s="3321"/>
      <c r="C48" s="3321"/>
      <c r="D48" s="3321"/>
      <c r="E48" s="3321"/>
      <c r="F48" s="3321"/>
      <c r="G48" s="3321"/>
      <c r="H48" s="3322"/>
      <c r="I48" s="3323"/>
      <c r="J48" s="3321"/>
      <c r="K48" s="3321"/>
    </row>
    <row r="49" spans="1:11">
      <c r="A49" s="1625" t="str">
        <f>"AS OF " &amp;RIGHT(Forecast,(LEN(Forecast)-16))</f>
        <v>AS OF MARCH 31, 2020</v>
      </c>
      <c r="B49" s="3321"/>
      <c r="C49" s="3321"/>
      <c r="D49" s="3321"/>
      <c r="E49" s="3321"/>
      <c r="F49" s="3321"/>
      <c r="G49" s="3321"/>
      <c r="H49" s="3322"/>
      <c r="I49" s="3323"/>
      <c r="J49" s="3321"/>
      <c r="K49" s="3321"/>
    </row>
    <row r="50" spans="1:11">
      <c r="A50" s="3320"/>
      <c r="B50" s="3321"/>
      <c r="C50" s="3321"/>
      <c r="D50" s="3321"/>
      <c r="E50" s="3321"/>
      <c r="F50" s="3321"/>
      <c r="G50" s="3321"/>
      <c r="H50" s="3322"/>
      <c r="I50" s="3323"/>
      <c r="J50" s="3321"/>
      <c r="K50" s="3321"/>
    </row>
    <row r="51" spans="1:11">
      <c r="A51" s="3325"/>
      <c r="B51" s="3321"/>
      <c r="C51" s="3321"/>
      <c r="D51" s="3321"/>
      <c r="E51" s="3321"/>
      <c r="F51" s="3321"/>
      <c r="G51" s="3321"/>
      <c r="H51" s="3322"/>
      <c r="I51" s="3323"/>
      <c r="J51" s="3321"/>
      <c r="K51" s="3321"/>
    </row>
    <row r="54" spans="1:11">
      <c r="A54" s="3326" t="str">
        <f>DataF</f>
        <v>DATA:  BASE PERIOD  "X" FORECASTED PERIOD</v>
      </c>
      <c r="J54" s="3326" t="s">
        <v>1602</v>
      </c>
    </row>
    <row r="55" spans="1:11">
      <c r="A55" s="3326" t="str">
        <f>Type</f>
        <v xml:space="preserve">TYPE OF FILING:  "X" ORIGINAL   UPDATED    REVISED  </v>
      </c>
      <c r="J55" s="3326" t="s">
        <v>762</v>
      </c>
    </row>
    <row r="56" spans="1:11">
      <c r="A56" s="3326" t="s">
        <v>852</v>
      </c>
      <c r="J56" s="3329" t="s">
        <v>566</v>
      </c>
    </row>
    <row r="57" spans="1:11">
      <c r="J57" s="3329" t="str">
        <f>_WIT7</f>
        <v>R. H. PRATT / C. S. LEE</v>
      </c>
    </row>
    <row r="60" spans="1:11">
      <c r="F60" s="3330"/>
    </row>
    <row r="61" spans="1:11">
      <c r="A61" s="2128"/>
      <c r="B61" s="2128"/>
      <c r="C61" s="2128"/>
      <c r="D61" s="2128"/>
      <c r="E61" s="2128"/>
      <c r="F61" s="3331" t="s">
        <v>25</v>
      </c>
      <c r="G61" s="2128"/>
      <c r="H61" s="2129" t="s">
        <v>1234</v>
      </c>
      <c r="I61" s="2130"/>
      <c r="J61" s="2131"/>
      <c r="K61" s="2128"/>
    </row>
    <row r="62" spans="1:11">
      <c r="B62" s="3331" t="s">
        <v>2137</v>
      </c>
      <c r="F62" s="3331" t="s">
        <v>29</v>
      </c>
      <c r="G62" s="3331" t="s">
        <v>21</v>
      </c>
      <c r="H62" s="3332" t="s">
        <v>1603</v>
      </c>
      <c r="I62" s="3333"/>
      <c r="J62" s="3334"/>
    </row>
    <row r="63" spans="1:11">
      <c r="A63" s="3331" t="s">
        <v>1938</v>
      </c>
      <c r="B63" s="3331" t="s">
        <v>1150</v>
      </c>
      <c r="C63" s="3331" t="s">
        <v>22</v>
      </c>
      <c r="D63" s="3331" t="s">
        <v>23</v>
      </c>
      <c r="E63" s="3331" t="s">
        <v>24</v>
      </c>
      <c r="F63" s="3335" t="s">
        <v>1604</v>
      </c>
      <c r="G63" s="3331" t="s">
        <v>24</v>
      </c>
      <c r="I63" s="3336" t="s">
        <v>1150</v>
      </c>
      <c r="K63" s="3331" t="s">
        <v>1605</v>
      </c>
    </row>
    <row r="64" spans="1:11">
      <c r="A64" s="3331" t="s">
        <v>1939</v>
      </c>
      <c r="B64" s="3331" t="s">
        <v>1939</v>
      </c>
      <c r="C64" s="3331" t="s">
        <v>26</v>
      </c>
      <c r="D64" s="3331" t="s">
        <v>27</v>
      </c>
      <c r="E64" s="3331" t="s">
        <v>28</v>
      </c>
      <c r="F64" s="3335" t="s">
        <v>1606</v>
      </c>
      <c r="G64" s="3331" t="s">
        <v>28</v>
      </c>
      <c r="H64" s="3337" t="s">
        <v>2125</v>
      </c>
      <c r="I64" s="3336" t="s">
        <v>1939</v>
      </c>
      <c r="J64" s="3331" t="s">
        <v>1988</v>
      </c>
      <c r="K64" s="3331" t="s">
        <v>30</v>
      </c>
    </row>
    <row r="66" spans="1:11">
      <c r="A66" s="2128"/>
      <c r="B66" s="2128"/>
      <c r="C66" s="2128"/>
      <c r="D66" s="2128"/>
      <c r="E66" s="2128"/>
      <c r="F66" s="2128"/>
      <c r="G66" s="2128"/>
      <c r="H66" s="2132"/>
      <c r="I66" s="2133"/>
      <c r="J66" s="2128"/>
      <c r="K66" s="2128"/>
    </row>
    <row r="67" spans="1:11">
      <c r="A67" s="3338"/>
      <c r="B67" s="3338"/>
      <c r="D67" s="3339"/>
      <c r="E67" s="3340"/>
      <c r="F67" s="3340"/>
      <c r="G67" s="3340"/>
      <c r="I67" s="3338"/>
    </row>
    <row r="68" spans="1:11">
      <c r="A68" s="3328"/>
      <c r="C68" s="3324" t="s">
        <v>1680</v>
      </c>
      <c r="D68" s="3328"/>
      <c r="E68" s="3340"/>
      <c r="F68" s="3340"/>
      <c r="G68" s="3340"/>
      <c r="I68" s="3338"/>
    </row>
    <row r="69" spans="1:11">
      <c r="A69" s="3328"/>
      <c r="D69" s="3328"/>
      <c r="E69" s="3340"/>
      <c r="F69" s="3340"/>
      <c r="G69" s="3340"/>
      <c r="I69" s="3338"/>
    </row>
    <row r="70" spans="1:11">
      <c r="A70" s="3338"/>
      <c r="B70" s="3338"/>
      <c r="D70" s="3339"/>
      <c r="E70" s="3340"/>
      <c r="F70" s="3340"/>
      <c r="G70" s="3340"/>
      <c r="I70" s="3338"/>
    </row>
    <row r="71" spans="1:11">
      <c r="D71" s="3328"/>
      <c r="E71" s="3340"/>
      <c r="F71" s="3340"/>
      <c r="G71" s="3340"/>
      <c r="I71" s="3338"/>
    </row>
    <row r="72" spans="1:11">
      <c r="E72" s="3341"/>
      <c r="F72" s="3341"/>
      <c r="G72" s="3341"/>
      <c r="H72" s="3342"/>
      <c r="I72" s="3338"/>
    </row>
    <row r="73" spans="1:11">
      <c r="A73" s="3338"/>
      <c r="E73" s="3343"/>
      <c r="F73" s="3343"/>
      <c r="G73" s="3343"/>
      <c r="H73" s="3342"/>
      <c r="I73" s="3338"/>
    </row>
    <row r="74" spans="1:11">
      <c r="E74" s="3341"/>
      <c r="F74" s="3341"/>
      <c r="G74" s="3341"/>
      <c r="H74" s="3342"/>
      <c r="I74" s="3338"/>
    </row>
    <row r="75" spans="1:11">
      <c r="A75" s="3338"/>
      <c r="E75" s="3341"/>
      <c r="F75" s="3341"/>
      <c r="G75" s="3341"/>
      <c r="H75" s="3342"/>
      <c r="I75" s="3338"/>
    </row>
    <row r="76" spans="1:11">
      <c r="A76" s="3338"/>
      <c r="E76" s="3341"/>
      <c r="F76" s="3341"/>
      <c r="G76" s="3341"/>
      <c r="H76" s="3342"/>
      <c r="I76" s="3338"/>
    </row>
    <row r="77" spans="1:11">
      <c r="A77" s="3338"/>
      <c r="E77" s="3341"/>
      <c r="F77" s="3341"/>
      <c r="G77" s="3341"/>
      <c r="H77" s="3342"/>
      <c r="I77" s="3338"/>
    </row>
    <row r="78" spans="1:11">
      <c r="A78" s="3338"/>
      <c r="E78" s="3341"/>
      <c r="F78" s="3341"/>
      <c r="G78" s="3341"/>
      <c r="H78" s="3342"/>
      <c r="I78" s="3338"/>
    </row>
    <row r="79" spans="1:11">
      <c r="A79" s="3338"/>
      <c r="E79" s="3341"/>
      <c r="F79" s="3341"/>
      <c r="G79" s="3341"/>
      <c r="H79" s="3342"/>
      <c r="I79" s="3338"/>
    </row>
    <row r="80" spans="1:11">
      <c r="A80" s="3338"/>
      <c r="E80" s="3341"/>
      <c r="F80" s="3341"/>
      <c r="G80" s="3341"/>
      <c r="H80" s="3342"/>
      <c r="I80" s="3338"/>
    </row>
    <row r="81" spans="1:9">
      <c r="A81" s="3338"/>
      <c r="E81" s="3341"/>
      <c r="F81" s="3341"/>
      <c r="G81" s="3341"/>
      <c r="H81" s="3342"/>
      <c r="I81" s="3338"/>
    </row>
    <row r="82" spans="1:9">
      <c r="A82" s="3338"/>
      <c r="E82" s="3341"/>
      <c r="F82" s="3341"/>
      <c r="G82" s="3341"/>
      <c r="H82" s="3342"/>
      <c r="I82" s="3338"/>
    </row>
    <row r="83" spans="1:9">
      <c r="A83" s="3338"/>
      <c r="E83" s="3341"/>
      <c r="F83" s="3341"/>
      <c r="G83" s="3341"/>
      <c r="H83" s="3342"/>
      <c r="I83" s="3338"/>
    </row>
    <row r="84" spans="1:9">
      <c r="E84" s="3341"/>
      <c r="F84" s="3341"/>
      <c r="G84" s="3341"/>
      <c r="H84" s="3342"/>
      <c r="I84" s="3338"/>
    </row>
  </sheetData>
  <phoneticPr fontId="55" type="noConversion"/>
  <printOptions horizontalCentered="1"/>
  <pageMargins left="1" right="0.75" top="1" bottom="1" header="0.5" footer="0.5"/>
  <pageSetup scale="80" orientation="landscape" horizont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>
    <tabColor theme="8" tint="0.59999389629810485"/>
    <pageSetUpPr fitToPage="1"/>
  </sheetPr>
  <dimension ref="A1:L401"/>
  <sheetViews>
    <sheetView topLeftCell="A341" zoomScale="75" zoomScaleNormal="75" workbookViewId="0"/>
  </sheetViews>
  <sheetFormatPr defaultColWidth="11.44140625" defaultRowHeight="15"/>
  <cols>
    <col min="1" max="1" width="7.44140625" style="1368" customWidth="1"/>
    <col min="2" max="2" width="11.44140625" style="1368" customWidth="1"/>
    <col min="3" max="3" width="21" style="1368" customWidth="1"/>
    <col min="4" max="4" width="53.88671875" style="1368" customWidth="1"/>
    <col min="5" max="5" width="17.109375" style="1368" customWidth="1"/>
    <col min="6" max="6" width="4" style="1476" customWidth="1"/>
    <col min="7" max="7" width="15.44140625" style="1368" bestFit="1" customWidth="1"/>
    <col min="8" max="8" width="15.109375" style="1369" customWidth="1"/>
    <col min="9" max="9" width="18.109375" style="1368" customWidth="1"/>
    <col min="10" max="10" width="17.109375" style="1368" customWidth="1"/>
    <col min="11" max="11" width="16.33203125" style="1368" customWidth="1"/>
    <col min="12" max="12" width="15.6640625" style="1368" bestFit="1" customWidth="1"/>
    <col min="13" max="16384" width="11.44140625" style="1368"/>
  </cols>
  <sheetData>
    <row r="1" spans="1:11">
      <c r="A1" s="1272" t="str">
        <f>COMPANY</f>
        <v>DUKE ENERGY KENTUCKY, INC.</v>
      </c>
      <c r="B1" s="1273"/>
      <c r="C1" s="1273"/>
      <c r="D1" s="1466"/>
      <c r="E1" s="1466"/>
      <c r="F1" s="1467"/>
      <c r="G1" s="1273"/>
      <c r="H1" s="1468"/>
      <c r="I1" s="1469"/>
      <c r="J1" s="1469"/>
      <c r="K1" s="1469"/>
    </row>
    <row r="2" spans="1:11">
      <c r="A2" s="1272" t="str">
        <f>CASE</f>
        <v>CASE NO. 2018-00261</v>
      </c>
      <c r="B2" s="1273"/>
      <c r="C2" s="1273"/>
      <c r="D2" s="1466"/>
      <c r="E2" s="1466"/>
      <c r="F2" s="1467"/>
      <c r="G2" s="1273"/>
      <c r="H2" s="1353"/>
      <c r="I2" s="1469"/>
      <c r="J2" s="1469"/>
      <c r="K2" s="1469"/>
    </row>
    <row r="3" spans="1:11">
      <c r="A3" s="1272" t="s">
        <v>119</v>
      </c>
      <c r="B3" s="1273"/>
      <c r="C3" s="1273"/>
      <c r="D3" s="1466"/>
      <c r="E3" s="1466"/>
      <c r="F3" s="1467"/>
      <c r="G3" s="1273"/>
      <c r="H3" s="1468"/>
      <c r="I3" s="1469"/>
      <c r="J3" s="1469"/>
      <c r="K3" s="1469"/>
    </row>
    <row r="4" spans="1:11">
      <c r="A4" s="44" t="str">
        <f>"AS OF " &amp;RIGHT(TESTYR,(LEN(TESTYR)-16))</f>
        <v>AS OF NOVEMBER 30, 2018</v>
      </c>
      <c r="B4" s="1273"/>
      <c r="C4" s="1273"/>
      <c r="D4" s="1466"/>
      <c r="E4" s="1466"/>
      <c r="F4" s="1467"/>
      <c r="G4" s="1273"/>
      <c r="H4" s="1468"/>
      <c r="I4" s="1469"/>
      <c r="J4" s="1469"/>
      <c r="K4" s="1469"/>
    </row>
    <row r="5" spans="1:11">
      <c r="A5" s="1273"/>
      <c r="B5" s="1273"/>
      <c r="C5" s="1273"/>
      <c r="D5" s="1466"/>
      <c r="E5" s="1466"/>
      <c r="F5" s="1467"/>
      <c r="G5" s="1273"/>
      <c r="H5" s="1468"/>
      <c r="I5" s="1469"/>
      <c r="J5" s="1469"/>
      <c r="K5" s="1469"/>
    </row>
    <row r="6" spans="1:11">
      <c r="A6" s="1272" t="s">
        <v>1147</v>
      </c>
      <c r="B6" s="1273"/>
      <c r="C6" s="1273"/>
      <c r="D6" s="1466"/>
      <c r="E6" s="1466"/>
      <c r="F6" s="1467"/>
      <c r="G6" s="1273"/>
      <c r="H6" s="1468"/>
      <c r="I6" s="1469"/>
      <c r="J6" s="1469"/>
      <c r="K6" s="1469"/>
    </row>
    <row r="7" spans="1:11">
      <c r="A7" s="1355"/>
      <c r="B7" s="1273"/>
      <c r="C7" s="1273"/>
      <c r="D7" s="1466"/>
      <c r="E7" s="1466"/>
      <c r="F7" s="1467"/>
      <c r="G7" s="1273"/>
      <c r="H7" s="1468"/>
      <c r="I7" s="1469"/>
      <c r="J7" s="1469"/>
      <c r="K7" s="1469"/>
    </row>
    <row r="8" spans="1:11">
      <c r="A8" s="661"/>
      <c r="B8" s="661"/>
      <c r="C8" s="661"/>
      <c r="D8" s="661"/>
      <c r="E8" s="661"/>
      <c r="F8" s="679"/>
      <c r="G8" s="661"/>
      <c r="H8" s="1246"/>
      <c r="I8" s="1360"/>
      <c r="J8" s="1360"/>
      <c r="K8" s="1360"/>
    </row>
    <row r="9" spans="1:11">
      <c r="A9" s="661"/>
      <c r="B9" s="661"/>
      <c r="C9" s="661"/>
      <c r="D9" s="661"/>
      <c r="E9" s="661"/>
      <c r="F9" s="679"/>
      <c r="G9" s="661"/>
      <c r="H9" s="1357"/>
      <c r="I9" s="661"/>
      <c r="J9" s="661"/>
      <c r="K9" s="661"/>
    </row>
    <row r="10" spans="1:11">
      <c r="A10" s="1358" t="str">
        <f>Data</f>
        <v>DATA: "X" BASE PERIOD   FORECASTED PERIOD</v>
      </c>
      <c r="B10" s="661"/>
      <c r="C10" s="661"/>
      <c r="D10" s="661"/>
      <c r="E10" s="661"/>
      <c r="F10" s="679"/>
      <c r="G10" s="1360"/>
      <c r="H10" s="1246"/>
      <c r="I10" s="1360"/>
      <c r="J10" s="1359" t="s">
        <v>120</v>
      </c>
      <c r="K10" s="1360"/>
    </row>
    <row r="11" spans="1:11">
      <c r="A11" s="1358" t="str">
        <f>Type</f>
        <v xml:space="preserve">TYPE OF FILING:  "X" ORIGINAL   UPDATED    REVISED  </v>
      </c>
      <c r="B11" s="661"/>
      <c r="C11" s="661"/>
      <c r="D11" s="661"/>
      <c r="E11" s="661"/>
      <c r="F11" s="679"/>
      <c r="G11" s="1360"/>
      <c r="H11" s="1246"/>
      <c r="I11" s="1360"/>
      <c r="J11" s="1359" t="s">
        <v>461</v>
      </c>
      <c r="K11" s="1360"/>
    </row>
    <row r="12" spans="1:11">
      <c r="A12" s="3192" t="s">
        <v>311</v>
      </c>
      <c r="B12" s="661"/>
      <c r="C12" s="661"/>
      <c r="D12" s="661"/>
      <c r="E12" s="661"/>
      <c r="F12" s="679"/>
      <c r="G12" s="1360"/>
      <c r="H12" s="1246"/>
      <c r="I12" s="1360"/>
      <c r="J12" s="1359" t="s">
        <v>566</v>
      </c>
      <c r="K12" s="1360"/>
    </row>
    <row r="13" spans="1:11">
      <c r="A13" s="661"/>
      <c r="B13" s="661"/>
      <c r="C13" s="661"/>
      <c r="D13" s="661"/>
      <c r="E13" s="661"/>
      <c r="F13" s="679"/>
      <c r="G13" s="1360"/>
      <c r="H13" s="1246"/>
      <c r="I13" s="1360"/>
      <c r="J13" s="1383" t="str">
        <f>_WIT7</f>
        <v>R. H. PRATT / C. S. LEE</v>
      </c>
      <c r="K13" s="1360"/>
    </row>
    <row r="14" spans="1:11">
      <c r="A14" s="661"/>
      <c r="B14" s="661"/>
      <c r="C14" s="661"/>
      <c r="D14" s="661"/>
      <c r="E14" s="661"/>
      <c r="F14" s="679"/>
      <c r="G14" s="1360"/>
      <c r="H14" s="1246"/>
      <c r="I14" s="1360"/>
      <c r="J14" s="1360"/>
      <c r="K14" s="1360"/>
    </row>
    <row r="15" spans="1:11">
      <c r="A15" s="661"/>
      <c r="B15" s="661"/>
      <c r="C15" s="661"/>
      <c r="D15" s="661"/>
      <c r="E15" s="661"/>
      <c r="F15" s="1361"/>
      <c r="G15" s="1360"/>
      <c r="H15" s="1246"/>
      <c r="I15" s="1360"/>
      <c r="J15" s="1360"/>
      <c r="K15" s="1360"/>
    </row>
    <row r="16" spans="1:11">
      <c r="A16" s="629"/>
      <c r="B16" s="630"/>
      <c r="C16" s="631"/>
      <c r="D16" s="629"/>
      <c r="E16" s="674"/>
      <c r="F16" s="633"/>
      <c r="G16" s="634"/>
      <c r="H16" s="635"/>
      <c r="I16" s="634"/>
      <c r="J16" s="634"/>
      <c r="K16" s="634"/>
    </row>
    <row r="17" spans="1:12">
      <c r="A17" s="636"/>
      <c r="B17" s="637" t="s">
        <v>1041</v>
      </c>
      <c r="C17" s="637" t="s">
        <v>2137</v>
      </c>
      <c r="D17" s="636"/>
      <c r="E17" s="675" t="s">
        <v>1986</v>
      </c>
      <c r="F17" s="633"/>
      <c r="G17" s="676" t="s">
        <v>2151</v>
      </c>
      <c r="H17" s="638"/>
      <c r="I17" s="638"/>
      <c r="J17" s="638"/>
      <c r="K17" s="638"/>
    </row>
    <row r="18" spans="1:12">
      <c r="A18" s="1274" t="s">
        <v>1938</v>
      </c>
      <c r="B18" s="1274" t="s">
        <v>1150</v>
      </c>
      <c r="C18" s="1274" t="s">
        <v>1150</v>
      </c>
      <c r="D18" s="661"/>
      <c r="E18" s="1363" t="s">
        <v>1989</v>
      </c>
      <c r="F18" s="675"/>
      <c r="G18" s="1363"/>
      <c r="H18" s="1364" t="s">
        <v>1898</v>
      </c>
      <c r="I18" s="1363" t="s">
        <v>1898</v>
      </c>
      <c r="J18" s="1360"/>
      <c r="K18" s="1363" t="s">
        <v>572</v>
      </c>
    </row>
    <row r="19" spans="1:12">
      <c r="A19" s="1365" t="s">
        <v>1939</v>
      </c>
      <c r="B19" s="1365" t="s">
        <v>1939</v>
      </c>
      <c r="C19" s="1365" t="s">
        <v>1939</v>
      </c>
      <c r="D19" s="1365" t="s">
        <v>1151</v>
      </c>
      <c r="E19" s="1366" t="s">
        <v>985</v>
      </c>
      <c r="F19" s="1365"/>
      <c r="G19" s="1366" t="s">
        <v>2153</v>
      </c>
      <c r="H19" s="1367" t="s">
        <v>2097</v>
      </c>
      <c r="I19" s="1366" t="s">
        <v>2153</v>
      </c>
      <c r="J19" s="1366" t="s">
        <v>571</v>
      </c>
      <c r="K19" s="1366" t="s">
        <v>1357</v>
      </c>
    </row>
    <row r="20" spans="1:12">
      <c r="A20" s="1274" t="s">
        <v>749</v>
      </c>
      <c r="B20" s="661"/>
      <c r="C20" s="661"/>
      <c r="D20" s="661"/>
      <c r="E20" s="1363" t="s">
        <v>695</v>
      </c>
      <c r="F20" s="1470"/>
      <c r="G20" s="1363" t="s">
        <v>695</v>
      </c>
      <c r="H20" s="1357"/>
      <c r="I20" s="1363" t="s">
        <v>695</v>
      </c>
      <c r="J20" s="1363" t="s">
        <v>695</v>
      </c>
      <c r="K20" s="1363" t="s">
        <v>695</v>
      </c>
    </row>
    <row r="21" spans="1:12">
      <c r="A21" s="661"/>
      <c r="B21" s="661"/>
      <c r="C21" s="661"/>
      <c r="D21" s="661"/>
      <c r="E21" s="661"/>
      <c r="F21" s="679"/>
      <c r="G21" s="1360"/>
      <c r="H21" s="1246"/>
      <c r="I21" s="1360"/>
      <c r="J21" s="1360"/>
      <c r="K21" s="1360"/>
    </row>
    <row r="22" spans="1:12">
      <c r="A22" s="1274" t="s">
        <v>1152</v>
      </c>
      <c r="B22" s="1274" t="str">
        <f>'SCH B-2.1'!B23</f>
        <v>304</v>
      </c>
      <c r="C22" s="1274">
        <f>'SCH B-2.1'!C23</f>
        <v>20400</v>
      </c>
      <c r="D22" s="1358" t="str">
        <f>'SCH B-2.1'!D23</f>
        <v>Land and Land Rights</v>
      </c>
      <c r="E22" s="652">
        <f>'SCH B-2.1'!E23</f>
        <v>117711</v>
      </c>
      <c r="F22" s="1371"/>
      <c r="G22" s="2755">
        <v>0</v>
      </c>
      <c r="H22" s="1246">
        <v>1</v>
      </c>
      <c r="I22" s="1360">
        <f t="shared" ref="I22:I26" si="0">ROUND((G22*H22),0)</f>
        <v>0</v>
      </c>
      <c r="J22" s="1471">
        <v>0</v>
      </c>
      <c r="K22" s="1360">
        <f t="shared" ref="K22:K26" si="1">I22+J22</f>
        <v>0</v>
      </c>
      <c r="L22" s="1376"/>
    </row>
    <row r="23" spans="1:12">
      <c r="A23" s="1274">
        <f>1+A22</f>
        <v>2</v>
      </c>
      <c r="B23" s="1274" t="str">
        <f>'SCH B-2.1'!B24</f>
        <v>304</v>
      </c>
      <c r="C23" s="1274">
        <f>'SCH B-2.1'!C24</f>
        <v>20401</v>
      </c>
      <c r="D23" s="1358" t="str">
        <f>'SCH B-2.1'!D24</f>
        <v>Rights of Way</v>
      </c>
      <c r="E23" s="652">
        <f>'SCH B-2.1'!E24</f>
        <v>24459</v>
      </c>
      <c r="F23" s="1371"/>
      <c r="G23" s="2755">
        <v>24439</v>
      </c>
      <c r="H23" s="1246">
        <v>1</v>
      </c>
      <c r="I23" s="1360">
        <f t="shared" si="0"/>
        <v>24439</v>
      </c>
      <c r="J23" s="1360">
        <f>-'SCH B-3.1'!G23</f>
        <v>-15885</v>
      </c>
      <c r="K23" s="1360">
        <f t="shared" si="1"/>
        <v>8554</v>
      </c>
      <c r="L23" s="1376"/>
    </row>
    <row r="24" spans="1:12">
      <c r="A24" s="1274">
        <f>1+A23</f>
        <v>3</v>
      </c>
      <c r="B24" s="1274" t="str">
        <f>'SCH B-2.1'!B25</f>
        <v>305</v>
      </c>
      <c r="C24" s="1274">
        <f>'SCH B-2.1'!C25</f>
        <v>20500</v>
      </c>
      <c r="D24" s="1358" t="str">
        <f>'SCH B-2.1'!D25</f>
        <v>Structures &amp; Improvements</v>
      </c>
      <c r="E24" s="652">
        <f>'SCH B-2.1'!E25</f>
        <v>1722764</v>
      </c>
      <c r="F24" s="1374"/>
      <c r="G24" s="2755">
        <v>1424710</v>
      </c>
      <c r="H24" s="1246">
        <v>1</v>
      </c>
      <c r="I24" s="1360">
        <f t="shared" si="0"/>
        <v>1424710</v>
      </c>
      <c r="J24" s="1360">
        <f>-'SCH B-3.1'!G24</f>
        <v>-926314</v>
      </c>
      <c r="K24" s="1360">
        <f t="shared" si="1"/>
        <v>498396</v>
      </c>
      <c r="L24" s="1376"/>
    </row>
    <row r="25" spans="1:12">
      <c r="A25" s="1274">
        <f>1+A24</f>
        <v>4</v>
      </c>
      <c r="B25" s="1274" t="str">
        <f>'SCH B-2.1'!B26</f>
        <v>311</v>
      </c>
      <c r="C25" s="1274">
        <f>'SCH B-2.1'!C26</f>
        <v>21100</v>
      </c>
      <c r="D25" s="1358" t="str">
        <f>'SCH B-2.1'!D26</f>
        <v>Liquefied Petroleum Gas Equipment</v>
      </c>
      <c r="E25" s="652">
        <f>'SCH B-2.1'!E26</f>
        <v>5955198</v>
      </c>
      <c r="F25" s="1374"/>
      <c r="G25" s="2755">
        <v>3103143</v>
      </c>
      <c r="H25" s="1246">
        <v>1</v>
      </c>
      <c r="I25" s="1360">
        <f t="shared" si="0"/>
        <v>3103143</v>
      </c>
      <c r="J25" s="1360">
        <f>-'SCH B-3.1'!G25</f>
        <v>-2006962</v>
      </c>
      <c r="K25" s="1360">
        <f t="shared" si="1"/>
        <v>1096181</v>
      </c>
      <c r="L25" s="1376"/>
    </row>
    <row r="26" spans="1:12">
      <c r="A26" s="1274">
        <f>1+A25</f>
        <v>5</v>
      </c>
      <c r="B26" s="661"/>
      <c r="C26" s="1274">
        <v>108</v>
      </c>
      <c r="D26" s="1358" t="s">
        <v>122</v>
      </c>
      <c r="E26" s="652"/>
      <c r="F26" s="1371"/>
      <c r="G26" s="2755">
        <v>0</v>
      </c>
      <c r="H26" s="1246">
        <v>1</v>
      </c>
      <c r="I26" s="1360">
        <f t="shared" si="0"/>
        <v>0</v>
      </c>
      <c r="J26" s="1360">
        <f>-'SCH B-3.1'!G26</f>
        <v>0</v>
      </c>
      <c r="K26" s="1360">
        <f t="shared" si="1"/>
        <v>0</v>
      </c>
      <c r="L26" s="1376"/>
    </row>
    <row r="27" spans="1:12">
      <c r="A27" s="661"/>
      <c r="B27" s="661"/>
      <c r="C27" s="661"/>
      <c r="D27" s="661"/>
      <c r="E27" s="661"/>
      <c r="F27" s="679"/>
      <c r="G27" s="1360"/>
      <c r="H27" s="1246"/>
      <c r="I27" s="1360"/>
      <c r="J27" s="1360"/>
      <c r="K27" s="1360"/>
    </row>
    <row r="28" spans="1:12">
      <c r="A28" s="661"/>
      <c r="B28" s="661"/>
      <c r="C28" s="661"/>
      <c r="D28" s="661"/>
      <c r="E28" s="661"/>
      <c r="F28" s="1361"/>
      <c r="G28" s="661"/>
      <c r="H28" s="1357"/>
      <c r="I28" s="661"/>
      <c r="J28" s="661"/>
      <c r="K28" s="661"/>
    </row>
    <row r="29" spans="1:12">
      <c r="A29" s="629"/>
      <c r="B29" s="629"/>
      <c r="C29" s="629"/>
      <c r="D29" s="629"/>
      <c r="E29" s="629"/>
      <c r="F29" s="636"/>
      <c r="G29" s="629"/>
      <c r="H29" s="643"/>
      <c r="I29" s="629"/>
      <c r="J29" s="629"/>
      <c r="K29" s="629"/>
    </row>
    <row r="30" spans="1:12">
      <c r="A30" s="1274">
        <f>A26+1</f>
        <v>6</v>
      </c>
      <c r="B30" s="661"/>
      <c r="C30" s="661"/>
      <c r="D30" s="1358" t="s">
        <v>1163</v>
      </c>
      <c r="E30" s="652">
        <f>SUM(E22:E29)</f>
        <v>7820132</v>
      </c>
      <c r="F30" s="1371"/>
      <c r="G30" s="1360">
        <f>SUM(G22:G26)</f>
        <v>4552292</v>
      </c>
      <c r="H30" s="1246"/>
      <c r="I30" s="1360">
        <f>SUM(I22:I26)</f>
        <v>4552292</v>
      </c>
      <c r="J30" s="1360">
        <f>SUM(J22:J26)</f>
        <v>-2949161</v>
      </c>
      <c r="K30" s="1360">
        <f>SUM(K22:K26)</f>
        <v>1603131</v>
      </c>
    </row>
    <row r="31" spans="1:12">
      <c r="A31" s="661"/>
      <c r="B31" s="661"/>
      <c r="C31" s="661"/>
      <c r="D31" s="661"/>
      <c r="E31" s="661"/>
      <c r="F31" s="1361"/>
      <c r="G31" s="1360"/>
      <c r="H31" s="1246"/>
      <c r="I31" s="1360"/>
      <c r="J31" s="1360"/>
      <c r="K31" s="1360"/>
    </row>
    <row r="32" spans="1:12">
      <c r="A32" s="629"/>
      <c r="B32" s="629"/>
      <c r="C32" s="629"/>
      <c r="D32" s="629"/>
      <c r="E32" s="629"/>
      <c r="F32" s="636"/>
      <c r="G32" s="629"/>
      <c r="H32" s="643"/>
      <c r="I32" s="629"/>
      <c r="J32" s="629"/>
      <c r="K32" s="629"/>
    </row>
    <row r="33" spans="1:11">
      <c r="A33" s="1377" t="s">
        <v>1426</v>
      </c>
      <c r="B33" s="661"/>
      <c r="C33" s="661"/>
      <c r="D33" s="661"/>
      <c r="E33" s="661"/>
      <c r="F33" s="679"/>
      <c r="G33" s="661"/>
      <c r="H33" s="1357"/>
      <c r="I33" s="661"/>
      <c r="J33" s="661"/>
      <c r="K33" s="661"/>
    </row>
    <row r="34" spans="1:11">
      <c r="A34" s="661"/>
      <c r="B34" s="661"/>
      <c r="C34" s="661"/>
      <c r="D34" s="661"/>
      <c r="E34" s="661"/>
      <c r="F34" s="679"/>
      <c r="G34" s="1360"/>
      <c r="H34" s="1246"/>
      <c r="I34" s="1360"/>
      <c r="J34" s="1360"/>
      <c r="K34" s="1360"/>
    </row>
    <row r="35" spans="1:11">
      <c r="A35" s="661"/>
      <c r="B35" s="661"/>
      <c r="C35" s="661"/>
      <c r="D35" s="661"/>
      <c r="E35" s="661"/>
      <c r="F35" s="679"/>
      <c r="G35" s="1360"/>
      <c r="H35" s="1246"/>
      <c r="I35" s="1360"/>
      <c r="J35" s="1360"/>
      <c r="K35" s="1360"/>
    </row>
    <row r="36" spans="1:11">
      <c r="A36" s="661"/>
      <c r="B36" s="661"/>
      <c r="C36" s="661"/>
      <c r="D36" s="661"/>
      <c r="E36" s="661"/>
      <c r="F36" s="679"/>
      <c r="G36" s="1360"/>
      <c r="H36" s="1246"/>
      <c r="I36" s="1360"/>
      <c r="J36" s="1360"/>
      <c r="K36" s="1360"/>
    </row>
    <row r="37" spans="1:11">
      <c r="A37" s="661"/>
      <c r="B37" s="661"/>
      <c r="C37" s="661"/>
      <c r="D37" s="661"/>
      <c r="E37" s="661"/>
      <c r="F37" s="679"/>
      <c r="G37" s="1360"/>
      <c r="H37" s="1246"/>
      <c r="I37" s="1360"/>
      <c r="J37" s="1360"/>
      <c r="K37" s="1360"/>
    </row>
    <row r="38" spans="1:11">
      <c r="A38" s="661"/>
      <c r="B38" s="661"/>
      <c r="C38" s="661"/>
      <c r="D38" s="661"/>
      <c r="E38" s="661"/>
      <c r="F38" s="679"/>
      <c r="G38" s="1360"/>
      <c r="H38" s="1246"/>
      <c r="I38" s="1360"/>
      <c r="J38" s="1360"/>
      <c r="K38" s="1360"/>
    </row>
    <row r="39" spans="1:11">
      <c r="A39" s="661"/>
      <c r="B39" s="661"/>
      <c r="C39" s="661"/>
      <c r="D39" s="661"/>
      <c r="E39" s="661"/>
      <c r="F39" s="679"/>
      <c r="G39" s="1360"/>
      <c r="H39" s="1246"/>
      <c r="I39" s="1360"/>
      <c r="J39" s="1360"/>
      <c r="K39" s="1360"/>
    </row>
    <row r="40" spans="1:11">
      <c r="A40" s="1272" t="str">
        <f>COMPANY</f>
        <v>DUKE ENERGY KENTUCKY, INC.</v>
      </c>
      <c r="B40" s="1273"/>
      <c r="C40" s="1273"/>
      <c r="D40" s="1272"/>
      <c r="E40" s="1272"/>
      <c r="F40" s="1352"/>
      <c r="G40" s="1273"/>
      <c r="H40" s="1353"/>
      <c r="I40" s="1273"/>
      <c r="J40" s="1273"/>
      <c r="K40" s="1273"/>
    </row>
    <row r="41" spans="1:11">
      <c r="A41" s="1272" t="str">
        <f>CASE</f>
        <v>CASE NO. 2018-00261</v>
      </c>
      <c r="B41" s="1273"/>
      <c r="C41" s="1273"/>
      <c r="D41" s="1272"/>
      <c r="E41" s="1272"/>
      <c r="F41" s="1352"/>
      <c r="G41" s="1273"/>
      <c r="H41" s="1353"/>
      <c r="I41" s="1273"/>
      <c r="J41" s="1273"/>
      <c r="K41" s="1273"/>
    </row>
    <row r="42" spans="1:11">
      <c r="A42" s="1272" t="str">
        <f>A3</f>
        <v>ACCUMULATED DEPRECIATION AND AMORTIZATION</v>
      </c>
      <c r="B42" s="1273"/>
      <c r="C42" s="1273"/>
      <c r="D42" s="1272"/>
      <c r="E42" s="1272"/>
      <c r="F42" s="1352"/>
      <c r="G42" s="1273"/>
      <c r="H42" s="1353"/>
      <c r="I42" s="1273"/>
      <c r="J42" s="1273"/>
      <c r="K42" s="1273"/>
    </row>
    <row r="43" spans="1:11">
      <c r="A43" s="44" t="str">
        <f>"AS OF " &amp;RIGHT(TESTYR,(LEN(TESTYR)-16))</f>
        <v>AS OF NOVEMBER 30, 2018</v>
      </c>
      <c r="B43" s="1273"/>
      <c r="C43" s="1273"/>
      <c r="D43" s="1272"/>
      <c r="E43" s="1272"/>
      <c r="F43" s="1352"/>
      <c r="G43" s="1273"/>
      <c r="H43" s="1353"/>
      <c r="I43" s="1273"/>
      <c r="J43" s="1273"/>
      <c r="K43" s="1273"/>
    </row>
    <row r="44" spans="1:11">
      <c r="A44" s="1273"/>
      <c r="B44" s="1273"/>
      <c r="C44" s="1273"/>
      <c r="D44" s="1273"/>
      <c r="E44" s="1273"/>
      <c r="F44" s="1354"/>
      <c r="G44" s="1273"/>
      <c r="H44" s="1353"/>
      <c r="I44" s="1273"/>
      <c r="J44" s="1273"/>
      <c r="K44" s="1273"/>
    </row>
    <row r="45" spans="1:11">
      <c r="A45" s="1272" t="s">
        <v>1164</v>
      </c>
      <c r="B45" s="1273"/>
      <c r="C45" s="1273"/>
      <c r="D45" s="1272"/>
      <c r="E45" s="1272"/>
      <c r="F45" s="1352"/>
      <c r="G45" s="1273"/>
      <c r="H45" s="1353"/>
      <c r="I45" s="1273"/>
      <c r="J45" s="1273"/>
      <c r="K45" s="1273"/>
    </row>
    <row r="46" spans="1:11">
      <c r="A46" s="1355"/>
      <c r="B46" s="1273"/>
      <c r="C46" s="1273"/>
      <c r="D46" s="1272"/>
      <c r="E46" s="1272"/>
      <c r="F46" s="1352"/>
      <c r="G46" s="1273"/>
      <c r="H46" s="1353"/>
      <c r="I46" s="1273"/>
      <c r="J46" s="1273"/>
      <c r="K46" s="1273"/>
    </row>
    <row r="47" spans="1:11">
      <c r="A47" s="1356"/>
      <c r="B47" s="661"/>
      <c r="C47" s="661"/>
      <c r="D47" s="661"/>
      <c r="E47" s="661"/>
      <c r="F47" s="679"/>
      <c r="G47" s="661"/>
      <c r="H47" s="1357"/>
      <c r="I47" s="661"/>
      <c r="J47" s="661"/>
      <c r="K47" s="661"/>
    </row>
    <row r="48" spans="1:11">
      <c r="A48" s="1356"/>
      <c r="B48" s="661"/>
      <c r="C48" s="661"/>
      <c r="D48" s="661"/>
      <c r="E48" s="661"/>
      <c r="F48" s="679"/>
      <c r="G48" s="661"/>
      <c r="H48" s="1357"/>
      <c r="I48" s="661"/>
      <c r="J48" s="1358"/>
      <c r="K48" s="661"/>
    </row>
    <row r="49" spans="1:12">
      <c r="A49" s="1358" t="str">
        <f>Data</f>
        <v>DATA: "X" BASE PERIOD   FORECASTED PERIOD</v>
      </c>
      <c r="B49" s="661"/>
      <c r="C49" s="661"/>
      <c r="D49" s="661"/>
      <c r="E49" s="661"/>
      <c r="F49" s="679"/>
      <c r="G49" s="661"/>
      <c r="H49" s="1357"/>
      <c r="I49" s="661"/>
      <c r="J49" s="1359" t="str">
        <f>J10</f>
        <v>SCHEDULE B-3</v>
      </c>
      <c r="K49" s="661"/>
    </row>
    <row r="50" spans="1:12">
      <c r="A50" s="1358" t="str">
        <f>Type</f>
        <v xml:space="preserve">TYPE OF FILING:  "X" ORIGINAL   UPDATED    REVISED  </v>
      </c>
      <c r="B50" s="661"/>
      <c r="C50" s="661"/>
      <c r="D50" s="661"/>
      <c r="E50" s="661"/>
      <c r="F50" s="679"/>
      <c r="G50" s="661"/>
      <c r="H50" s="1357"/>
      <c r="I50" s="661"/>
      <c r="J50" s="1359" t="s">
        <v>497</v>
      </c>
      <c r="K50" s="661"/>
    </row>
    <row r="51" spans="1:12">
      <c r="A51" s="1358" t="str">
        <f>A12</f>
        <v>WORK PAPER REFERENCE NO(S).: SCHEDULE B-2.1, SCHEDULE B-3.1</v>
      </c>
      <c r="B51" s="661"/>
      <c r="C51" s="661"/>
      <c r="D51" s="661"/>
      <c r="E51" s="661"/>
      <c r="F51" s="679"/>
      <c r="G51" s="661"/>
      <c r="H51" s="1357"/>
      <c r="I51" s="661"/>
      <c r="J51" s="1360" t="str">
        <f>J12</f>
        <v>WITNESS RESPONSIBLE:</v>
      </c>
      <c r="K51" s="661"/>
    </row>
    <row r="52" spans="1:12">
      <c r="A52" s="661"/>
      <c r="B52" s="661"/>
      <c r="C52" s="661"/>
      <c r="D52" s="661"/>
      <c r="E52" s="661"/>
      <c r="F52" s="679"/>
      <c r="G52" s="661"/>
      <c r="H52" s="1357"/>
      <c r="I52" s="661"/>
      <c r="J52" s="661" t="str">
        <f>J13</f>
        <v>R. H. PRATT / C. S. LEE</v>
      </c>
      <c r="K52" s="661"/>
    </row>
    <row r="53" spans="1:12">
      <c r="A53" s="661"/>
      <c r="B53" s="661"/>
      <c r="C53" s="661"/>
      <c r="D53" s="661"/>
      <c r="E53" s="661"/>
      <c r="F53" s="679"/>
      <c r="G53" s="661"/>
      <c r="H53" s="1357"/>
      <c r="I53" s="661"/>
      <c r="J53" s="661"/>
      <c r="K53" s="661"/>
    </row>
    <row r="54" spans="1:12">
      <c r="A54" s="661"/>
      <c r="B54" s="661"/>
      <c r="C54" s="661"/>
      <c r="D54" s="661"/>
      <c r="E54" s="661"/>
      <c r="F54" s="1361"/>
      <c r="G54" s="661"/>
      <c r="H54" s="1357"/>
      <c r="I54" s="661"/>
      <c r="J54" s="661"/>
      <c r="K54" s="661"/>
    </row>
    <row r="55" spans="1:12" s="1472" customFormat="1">
      <c r="A55" s="678"/>
      <c r="B55" s="630"/>
      <c r="C55" s="631" t="s">
        <v>2152</v>
      </c>
      <c r="D55" s="678"/>
      <c r="E55" s="674"/>
      <c r="F55" s="675"/>
      <c r="G55" s="678"/>
      <c r="H55" s="671"/>
      <c r="I55" s="678"/>
      <c r="J55" s="678"/>
      <c r="K55" s="678"/>
    </row>
    <row r="56" spans="1:12" s="1472" customFormat="1">
      <c r="A56" s="679"/>
      <c r="B56" s="637" t="s">
        <v>1041</v>
      </c>
      <c r="C56" s="637" t="s">
        <v>2137</v>
      </c>
      <c r="D56" s="679"/>
      <c r="E56" s="675" t="str">
        <f>E17</f>
        <v>Base</v>
      </c>
      <c r="F56" s="675"/>
      <c r="G56" s="680" t="str">
        <f>G17</f>
        <v>Base Period Accumulated Balances</v>
      </c>
      <c r="H56" s="681"/>
      <c r="I56" s="681"/>
      <c r="J56" s="681"/>
      <c r="K56" s="681"/>
    </row>
    <row r="57" spans="1:12" s="1472" customFormat="1">
      <c r="A57" s="1274" t="s">
        <v>1938</v>
      </c>
      <c r="B57" s="1274" t="s">
        <v>1150</v>
      </c>
      <c r="C57" s="1274" t="s">
        <v>1150</v>
      </c>
      <c r="D57" s="661"/>
      <c r="E57" s="1362" t="str">
        <f>E18</f>
        <v>Period</v>
      </c>
      <c r="F57" s="675"/>
      <c r="G57" s="1363"/>
      <c r="H57" s="1364" t="s">
        <v>2010</v>
      </c>
      <c r="I57" s="1274" t="s">
        <v>1427</v>
      </c>
      <c r="J57" s="661"/>
      <c r="K57" s="1274" t="s">
        <v>572</v>
      </c>
    </row>
    <row r="58" spans="1:12">
      <c r="A58" s="1274" t="s">
        <v>1939</v>
      </c>
      <c r="B58" s="1274" t="s">
        <v>1939</v>
      </c>
      <c r="C58" s="1274" t="s">
        <v>1939</v>
      </c>
      <c r="D58" s="1274" t="s">
        <v>1151</v>
      </c>
      <c r="E58" s="1363" t="str">
        <f>E19</f>
        <v>Total (1)</v>
      </c>
      <c r="F58" s="1365"/>
      <c r="G58" s="1366" t="s">
        <v>2153</v>
      </c>
      <c r="H58" s="1367" t="s">
        <v>2097</v>
      </c>
      <c r="I58" s="1365" t="s">
        <v>2153</v>
      </c>
      <c r="J58" s="1365" t="s">
        <v>571</v>
      </c>
      <c r="K58" s="1365" t="s">
        <v>1357</v>
      </c>
    </row>
    <row r="59" spans="1:12">
      <c r="A59" s="629"/>
      <c r="B59" s="629"/>
      <c r="C59" s="629"/>
      <c r="D59" s="629"/>
      <c r="E59" s="629"/>
      <c r="F59" s="636"/>
      <c r="G59" s="1274" t="s">
        <v>695</v>
      </c>
      <c r="H59" s="1357"/>
      <c r="I59" s="1274" t="s">
        <v>695</v>
      </c>
      <c r="J59" s="1274" t="s">
        <v>695</v>
      </c>
      <c r="K59" s="1274" t="s">
        <v>695</v>
      </c>
    </row>
    <row r="60" spans="1:12">
      <c r="A60" s="1274" t="s">
        <v>749</v>
      </c>
      <c r="B60" s="661"/>
      <c r="C60" s="661"/>
      <c r="D60" s="661"/>
      <c r="E60" s="661"/>
      <c r="F60" s="679"/>
    </row>
    <row r="61" spans="1:12">
      <c r="A61" s="1274">
        <v>1</v>
      </c>
      <c r="B61" s="1274" t="str">
        <f>'SCH B-2.1'!B54</f>
        <v>374</v>
      </c>
      <c r="C61" s="1274">
        <f>'SCH B-2.1'!C54</f>
        <v>27400</v>
      </c>
      <c r="D61" s="1359" t="str">
        <f>'SCH B-2.1'!D54</f>
        <v>Land and Land Rights</v>
      </c>
      <c r="E61" s="652">
        <f>'SCH B-2.1'!E54</f>
        <v>43358</v>
      </c>
      <c r="F61" s="1371"/>
      <c r="G61" s="1372">
        <v>4</v>
      </c>
      <c r="H61" s="1246">
        <v>1</v>
      </c>
      <c r="I61" s="1360">
        <f t="shared" ref="I61:I84" si="2">ROUND((G61*H61),0)</f>
        <v>4</v>
      </c>
      <c r="J61" s="652"/>
      <c r="K61" s="1360">
        <f t="shared" ref="K61:K84" si="3">I61+J61</f>
        <v>4</v>
      </c>
      <c r="L61" s="1376"/>
    </row>
    <row r="62" spans="1:12">
      <c r="A62" s="1274">
        <f t="shared" ref="A62:A84" si="4">A61+1</f>
        <v>2</v>
      </c>
      <c r="B62" s="1274" t="str">
        <f>'SCH B-2.1'!B55</f>
        <v>374</v>
      </c>
      <c r="C62" s="1274">
        <f>'SCH B-2.1'!C55</f>
        <v>27401</v>
      </c>
      <c r="D62" s="1359" t="str">
        <f>'SCH B-2.1'!D55</f>
        <v>Rights of Way</v>
      </c>
      <c r="E62" s="652">
        <f>'SCH B-2.1'!E55</f>
        <v>1095119</v>
      </c>
      <c r="F62" s="1371"/>
      <c r="G62" s="1372">
        <v>656185</v>
      </c>
      <c r="H62" s="1246">
        <v>1</v>
      </c>
      <c r="I62" s="1360">
        <f t="shared" si="2"/>
        <v>656185</v>
      </c>
      <c r="J62" s="652">
        <f>-'SCH B-3.1'!G32</f>
        <v>-126271</v>
      </c>
      <c r="K62" s="1360">
        <f t="shared" si="3"/>
        <v>529914</v>
      </c>
      <c r="L62" s="1376"/>
    </row>
    <row r="63" spans="1:12">
      <c r="A63" s="1274">
        <f t="shared" si="4"/>
        <v>3</v>
      </c>
      <c r="B63" s="1274" t="str">
        <f>'SCH B-2.1'!B56</f>
        <v>375</v>
      </c>
      <c r="C63" s="1274">
        <f>'SCH B-2.1'!C56</f>
        <v>27500</v>
      </c>
      <c r="D63" s="1359" t="str">
        <f>'SCH B-2.1'!D56</f>
        <v>Structures &amp; Improvements</v>
      </c>
      <c r="E63" s="652">
        <f>'SCH B-2.1'!E56</f>
        <v>577522</v>
      </c>
      <c r="F63" s="1374"/>
      <c r="G63" s="1372">
        <v>151052</v>
      </c>
      <c r="H63" s="1246">
        <v>1</v>
      </c>
      <c r="I63" s="1360">
        <f t="shared" si="2"/>
        <v>151052</v>
      </c>
      <c r="J63" s="652">
        <f>-'SCH B-3.1'!G33</f>
        <v>-20543</v>
      </c>
      <c r="K63" s="1360">
        <f t="shared" si="3"/>
        <v>130509</v>
      </c>
      <c r="L63" s="1376"/>
    </row>
    <row r="64" spans="1:12">
      <c r="A64" s="1274">
        <f t="shared" si="4"/>
        <v>4</v>
      </c>
      <c r="B64" s="1274" t="str">
        <f>'SCH B-2.1'!B57</f>
        <v>376</v>
      </c>
      <c r="C64" s="1274">
        <f>'SCH B-2.1'!C57</f>
        <v>27601</v>
      </c>
      <c r="D64" s="1359" t="str">
        <f>'SCH B-2.1'!D57</f>
        <v>Mains - Cast Iron &amp; Copper</v>
      </c>
      <c r="E64" s="652">
        <f>'SCH B-2.1'!E57</f>
        <v>982749</v>
      </c>
      <c r="F64" s="1374"/>
      <c r="G64" s="1372">
        <v>-121221</v>
      </c>
      <c r="H64" s="1246">
        <v>1</v>
      </c>
      <c r="I64" s="1360">
        <f t="shared" si="2"/>
        <v>-121221</v>
      </c>
      <c r="J64" s="1473"/>
      <c r="K64" s="1360">
        <f t="shared" si="3"/>
        <v>-121221</v>
      </c>
      <c r="L64" s="1376"/>
    </row>
    <row r="65" spans="1:12">
      <c r="A65" s="1274">
        <f t="shared" si="4"/>
        <v>5</v>
      </c>
      <c r="B65" s="1274" t="str">
        <f>'SCH B-2.1'!B58</f>
        <v>376</v>
      </c>
      <c r="C65" s="1274" t="str">
        <f>'SCH B-2.1'!C58</f>
        <v>27602,27607</v>
      </c>
      <c r="D65" s="1359" t="str">
        <f>'SCH B-2.1'!D58</f>
        <v>Mains - Steel</v>
      </c>
      <c r="E65" s="652">
        <f>'SCH B-2.1'!E58</f>
        <v>105732522</v>
      </c>
      <c r="F65" s="1374"/>
      <c r="G65" s="1372">
        <v>40829607</v>
      </c>
      <c r="H65" s="1246">
        <v>1</v>
      </c>
      <c r="I65" s="1360">
        <f t="shared" si="2"/>
        <v>40829607</v>
      </c>
      <c r="J65" s="652">
        <f>-'SCH B-3.1'!G34</f>
        <v>-18814</v>
      </c>
      <c r="K65" s="1360">
        <f t="shared" si="3"/>
        <v>40810793</v>
      </c>
      <c r="L65" s="1376"/>
    </row>
    <row r="66" spans="1:12">
      <c r="A66" s="1274">
        <f t="shared" si="4"/>
        <v>6</v>
      </c>
      <c r="B66" s="1274" t="str">
        <f>'SCH B-2.1'!B59</f>
        <v>376</v>
      </c>
      <c r="C66" s="1274" t="str">
        <f>'SCH B-2.1'!C59</f>
        <v>27603,27608</v>
      </c>
      <c r="D66" s="1359" t="str">
        <f>'SCH B-2.1'!D59</f>
        <v>Mains - Plastic</v>
      </c>
      <c r="E66" s="652">
        <f>'SCH B-2.1'!E59</f>
        <v>149814027</v>
      </c>
      <c r="F66" s="1374"/>
      <c r="G66" s="1372">
        <v>50827437</v>
      </c>
      <c r="H66" s="1246">
        <v>1</v>
      </c>
      <c r="I66" s="1360">
        <f t="shared" si="2"/>
        <v>50827437</v>
      </c>
      <c r="J66" s="1473"/>
      <c r="K66" s="1360">
        <f t="shared" si="3"/>
        <v>50827437</v>
      </c>
      <c r="L66" s="1376"/>
    </row>
    <row r="67" spans="1:12">
      <c r="A67" s="1274">
        <f t="shared" si="4"/>
        <v>7</v>
      </c>
      <c r="B67" s="1274" t="str">
        <f>'SCH B-2.1'!B60</f>
        <v>376</v>
      </c>
      <c r="C67" s="1274">
        <f>'SCH B-2.1'!C60</f>
        <v>27605</v>
      </c>
      <c r="D67" s="1359" t="str">
        <f>'SCH B-2.1'!D60</f>
        <v>Mains - Feeder</v>
      </c>
      <c r="E67" s="652">
        <f>'SCH B-2.1'!E60</f>
        <v>33716001</v>
      </c>
      <c r="F67" s="1374"/>
      <c r="G67" s="1372">
        <v>16353009</v>
      </c>
      <c r="H67" s="1246">
        <v>1</v>
      </c>
      <c r="I67" s="1360">
        <f t="shared" si="2"/>
        <v>16353009</v>
      </c>
      <c r="J67" s="652">
        <f>-'SCH B-3.1'!G35</f>
        <v>-4315452</v>
      </c>
      <c r="K67" s="1360">
        <f>I67+J67</f>
        <v>12037557</v>
      </c>
      <c r="L67" s="1376"/>
    </row>
    <row r="68" spans="1:12">
      <c r="A68" s="1274">
        <f t="shared" si="4"/>
        <v>8</v>
      </c>
      <c r="B68" s="1274" t="str">
        <f>'SCH B-2.1'!B61</f>
        <v>378</v>
      </c>
      <c r="C68" s="1274">
        <f>'SCH B-2.1'!C61</f>
        <v>27800</v>
      </c>
      <c r="D68" s="1359" t="str">
        <f>'SCH B-2.1'!D61</f>
        <v>System Meas. &amp; Reg. Station Equipment</v>
      </c>
      <c r="E68" s="652">
        <f>'SCH B-2.1'!E61</f>
        <v>7349417</v>
      </c>
      <c r="F68" s="1374"/>
      <c r="G68" s="1372">
        <v>2608472</v>
      </c>
      <c r="H68" s="1246">
        <v>1</v>
      </c>
      <c r="I68" s="1360">
        <f t="shared" si="2"/>
        <v>2608472</v>
      </c>
      <c r="J68" s="652">
        <f>-'SCH B-3.1'!G36</f>
        <v>-151658</v>
      </c>
      <c r="K68" s="1360">
        <f t="shared" si="3"/>
        <v>2456814</v>
      </c>
      <c r="L68" s="1376"/>
    </row>
    <row r="69" spans="1:12">
      <c r="A69" s="1274">
        <f t="shared" si="4"/>
        <v>9</v>
      </c>
      <c r="B69" s="1274" t="str">
        <f>'SCH B-2.1'!B62</f>
        <v>378</v>
      </c>
      <c r="C69" s="1274">
        <f>'SCH B-2.1'!C62</f>
        <v>27801</v>
      </c>
      <c r="D69" s="1359" t="str">
        <f>'SCH B-2.1'!D62</f>
        <v>System Meas. &amp; Reg. Station Equipment - Electric</v>
      </c>
      <c r="E69" s="652">
        <f>'SCH B-2.1'!E62</f>
        <v>1293157</v>
      </c>
      <c r="F69" s="1371"/>
      <c r="G69" s="1372">
        <v>509365</v>
      </c>
      <c r="H69" s="1246">
        <v>1</v>
      </c>
      <c r="I69" s="1360">
        <f t="shared" si="2"/>
        <v>509365</v>
      </c>
      <c r="J69" s="652">
        <f>-'SCH B-3.1'!G37</f>
        <v>-113836</v>
      </c>
      <c r="K69" s="1360">
        <f t="shared" si="3"/>
        <v>395529</v>
      </c>
      <c r="L69" s="1376"/>
    </row>
    <row r="70" spans="1:12">
      <c r="A70" s="1274">
        <f t="shared" si="4"/>
        <v>10</v>
      </c>
      <c r="B70" s="1274" t="str">
        <f>'SCH B-2.1'!B63</f>
        <v>378</v>
      </c>
      <c r="C70" s="1274">
        <f>'SCH B-2.1'!C63</f>
        <v>27802</v>
      </c>
      <c r="D70" s="1359" t="str">
        <f>'SCH B-2.1'!D63</f>
        <v>District Regulating Equipment</v>
      </c>
      <c r="E70" s="652">
        <f>'SCH B-2.1'!E63</f>
        <v>2419176</v>
      </c>
      <c r="F70" s="1371"/>
      <c r="G70" s="1372">
        <v>1072504</v>
      </c>
      <c r="H70" s="1246">
        <v>1</v>
      </c>
      <c r="I70" s="1360">
        <f t="shared" si="2"/>
        <v>1072504</v>
      </c>
      <c r="J70" s="1473"/>
      <c r="K70" s="1360">
        <f t="shared" si="3"/>
        <v>1072504</v>
      </c>
      <c r="L70" s="1376"/>
    </row>
    <row r="71" spans="1:12">
      <c r="A71" s="1274">
        <f t="shared" si="4"/>
        <v>11</v>
      </c>
      <c r="B71" s="1274" t="str">
        <f>'SCH B-2.1'!B64</f>
        <v>380</v>
      </c>
      <c r="C71" s="1274">
        <f>'SCH B-2.1'!C64</f>
        <v>28001</v>
      </c>
      <c r="D71" s="1359" t="str">
        <f>'SCH B-2.1'!D64</f>
        <v>Services- Cast Iron &amp; Copper</v>
      </c>
      <c r="E71" s="652">
        <f>'SCH B-2.1'!E64</f>
        <v>3330809</v>
      </c>
      <c r="F71" s="1374"/>
      <c r="G71" s="1372">
        <v>316886</v>
      </c>
      <c r="H71" s="1246">
        <v>1</v>
      </c>
      <c r="I71" s="1360">
        <f t="shared" si="2"/>
        <v>316886</v>
      </c>
      <c r="J71" s="1474"/>
      <c r="K71" s="1360">
        <f t="shared" si="3"/>
        <v>316886</v>
      </c>
      <c r="L71" s="1376"/>
    </row>
    <row r="72" spans="1:12">
      <c r="A72" s="1274">
        <f t="shared" si="4"/>
        <v>12</v>
      </c>
      <c r="B72" s="1274" t="str">
        <f>'SCH B-2.1'!B65</f>
        <v>380</v>
      </c>
      <c r="C72" s="1274" t="str">
        <f>'SCH B-2.1'!C65</f>
        <v>28002,28004</v>
      </c>
      <c r="D72" s="1359" t="str">
        <f>'SCH B-2.1'!D65</f>
        <v>Services-Steel</v>
      </c>
      <c r="E72" s="652">
        <f>'SCH B-2.1'!E65</f>
        <v>8853422</v>
      </c>
      <c r="F72" s="1374"/>
      <c r="G72" s="1372">
        <v>2327893</v>
      </c>
      <c r="H72" s="1246">
        <v>1</v>
      </c>
      <c r="I72" s="1360">
        <f t="shared" si="2"/>
        <v>2327893</v>
      </c>
      <c r="J72" s="1474"/>
      <c r="K72" s="1360">
        <f t="shared" si="3"/>
        <v>2327893</v>
      </c>
      <c r="L72" s="1376"/>
    </row>
    <row r="73" spans="1:12">
      <c r="A73" s="1274">
        <f t="shared" si="4"/>
        <v>13</v>
      </c>
      <c r="B73" s="1274" t="str">
        <f>'SCH B-2.1'!B66</f>
        <v>380</v>
      </c>
      <c r="C73" s="1274" t="str">
        <f>'SCH B-2.1'!C66</f>
        <v>28003,28005-28007</v>
      </c>
      <c r="D73" s="1359" t="str">
        <f>'SCH B-2.1'!D66</f>
        <v>Services-Plastic</v>
      </c>
      <c r="E73" s="652">
        <f>'SCH B-2.1'!E66</f>
        <v>151350663</v>
      </c>
      <c r="F73" s="1374"/>
      <c r="G73" s="1372">
        <v>48489920</v>
      </c>
      <c r="H73" s="1246">
        <v>1</v>
      </c>
      <c r="I73" s="1360">
        <f t="shared" si="2"/>
        <v>48489920</v>
      </c>
      <c r="J73" s="1474"/>
      <c r="K73" s="1360">
        <f t="shared" si="3"/>
        <v>48489920</v>
      </c>
      <c r="L73" s="1376"/>
    </row>
    <row r="74" spans="1:12">
      <c r="A74" s="1274">
        <f t="shared" si="4"/>
        <v>14</v>
      </c>
      <c r="B74" s="1274" t="str">
        <f>'SCH B-2.1'!B67</f>
        <v>381</v>
      </c>
      <c r="C74" s="1274" t="str">
        <f>'SCH B-2.1'!C67</f>
        <v>28100,28101</v>
      </c>
      <c r="D74" s="1359" t="str">
        <f>'SCH B-2.1'!D67</f>
        <v>Meters</v>
      </c>
      <c r="E74" s="652">
        <f>'SCH B-2.1'!E67</f>
        <v>14276092</v>
      </c>
      <c r="F74" s="1374"/>
      <c r="G74" s="1372">
        <v>-4698431</v>
      </c>
      <c r="H74" s="1246">
        <v>1</v>
      </c>
      <c r="I74" s="1360">
        <f t="shared" si="2"/>
        <v>-4698431</v>
      </c>
      <c r="J74" s="1474"/>
      <c r="K74" s="1360">
        <f t="shared" si="3"/>
        <v>-4698431</v>
      </c>
      <c r="L74" s="1376"/>
    </row>
    <row r="75" spans="1:12">
      <c r="A75" s="1274">
        <f t="shared" si="4"/>
        <v>15</v>
      </c>
      <c r="B75" s="1274">
        <f>'SCH B-2.1'!B68</f>
        <v>382</v>
      </c>
      <c r="C75" s="1274" t="str">
        <f>'SCH B-2.1'!C68</f>
        <v>28200,28201</v>
      </c>
      <c r="D75" s="1359" t="str">
        <f>'SCH B-2.1'!D68</f>
        <v>Meter Installations</v>
      </c>
      <c r="E75" s="652">
        <f>'SCH B-2.1'!E68</f>
        <v>10424840</v>
      </c>
      <c r="F75" s="1374"/>
      <c r="G75" s="1372">
        <v>2618446</v>
      </c>
      <c r="H75" s="1246">
        <v>1</v>
      </c>
      <c r="I75" s="1360">
        <f t="shared" si="2"/>
        <v>2618446</v>
      </c>
      <c r="J75" s="1474"/>
      <c r="K75" s="1360">
        <f t="shared" si="3"/>
        <v>2618446</v>
      </c>
      <c r="L75" s="1376"/>
    </row>
    <row r="76" spans="1:12">
      <c r="A76" s="1274">
        <f t="shared" si="4"/>
        <v>16</v>
      </c>
      <c r="B76" s="1274" t="str">
        <f>'SCH B-2.1'!B69</f>
        <v>383</v>
      </c>
      <c r="C76" s="1274" t="str">
        <f>'SCH B-2.1'!C69</f>
        <v>28300,283001</v>
      </c>
      <c r="D76" s="1359" t="str">
        <f>'SCH B-2.1'!D69</f>
        <v>House Regulators</v>
      </c>
      <c r="E76" s="652">
        <f>'SCH B-2.1'!E69</f>
        <v>6674788</v>
      </c>
      <c r="F76" s="1374"/>
      <c r="G76" s="1372">
        <v>2305259</v>
      </c>
      <c r="H76" s="1246">
        <v>1</v>
      </c>
      <c r="I76" s="1360">
        <f t="shared" si="2"/>
        <v>2305259</v>
      </c>
      <c r="J76" s="1474"/>
      <c r="K76" s="1360">
        <f t="shared" si="3"/>
        <v>2305259</v>
      </c>
      <c r="L76" s="1376"/>
    </row>
    <row r="77" spans="1:12">
      <c r="A77" s="1274">
        <f t="shared" si="4"/>
        <v>17</v>
      </c>
      <c r="B77" s="1274" t="str">
        <f>'SCH B-2.1'!B70</f>
        <v>384</v>
      </c>
      <c r="C77" s="1274" t="str">
        <f>'SCH B-2.1'!C70</f>
        <v>28400,28401</v>
      </c>
      <c r="D77" s="1359" t="str">
        <f>'SCH B-2.1'!D70</f>
        <v>House Regulator Installations</v>
      </c>
      <c r="E77" s="652">
        <f>'SCH B-2.1'!E70</f>
        <v>5939235</v>
      </c>
      <c r="F77" s="1374"/>
      <c r="G77" s="1372">
        <v>2638285</v>
      </c>
      <c r="H77" s="1246">
        <v>1</v>
      </c>
      <c r="I77" s="1360">
        <f t="shared" si="2"/>
        <v>2638285</v>
      </c>
      <c r="J77" s="1474"/>
      <c r="K77" s="1360">
        <f t="shared" si="3"/>
        <v>2638285</v>
      </c>
      <c r="L77" s="1376"/>
    </row>
    <row r="78" spans="1:12">
      <c r="A78" s="1274">
        <f t="shared" si="4"/>
        <v>18</v>
      </c>
      <c r="B78" s="1274" t="str">
        <f>'SCH B-2.1'!B71</f>
        <v>385</v>
      </c>
      <c r="C78" s="1274">
        <f>'SCH B-2.1'!C71</f>
        <v>28500</v>
      </c>
      <c r="D78" s="1359" t="str">
        <f>'SCH B-2.1'!D71</f>
        <v>Large Industrial Meas. &amp; Reg. Equipment</v>
      </c>
      <c r="E78" s="652">
        <f>'SCH B-2.1'!E71</f>
        <v>455084</v>
      </c>
      <c r="F78" s="1374"/>
      <c r="G78" s="1372">
        <v>438048</v>
      </c>
      <c r="H78" s="1246">
        <v>1</v>
      </c>
      <c r="I78" s="1360">
        <f t="shared" si="2"/>
        <v>438048</v>
      </c>
      <c r="J78" s="1474"/>
      <c r="K78" s="1360">
        <f t="shared" si="3"/>
        <v>438048</v>
      </c>
      <c r="L78" s="1376"/>
    </row>
    <row r="79" spans="1:12">
      <c r="A79" s="1274">
        <f t="shared" si="4"/>
        <v>19</v>
      </c>
      <c r="B79" s="1274" t="str">
        <f>'SCH B-2.1'!B72</f>
        <v>385</v>
      </c>
      <c r="C79" s="1274">
        <f>'SCH B-2.1'!C72</f>
        <v>28501</v>
      </c>
      <c r="D79" s="1359" t="str">
        <f>'SCH B-2.1'!D72</f>
        <v>Large Industrial Meas. &amp; Reg. Equipment - Comm</v>
      </c>
      <c r="E79" s="652">
        <f>'SCH B-2.1'!E72</f>
        <v>64791</v>
      </c>
      <c r="F79" s="1371"/>
      <c r="G79" s="1372">
        <v>48488</v>
      </c>
      <c r="H79" s="1246">
        <v>1</v>
      </c>
      <c r="I79" s="1360">
        <f t="shared" si="2"/>
        <v>48488</v>
      </c>
      <c r="J79" s="1474"/>
      <c r="K79" s="1360">
        <f t="shared" si="3"/>
        <v>48488</v>
      </c>
      <c r="L79" s="1376"/>
    </row>
    <row r="80" spans="1:12">
      <c r="A80" s="1274">
        <f t="shared" si="4"/>
        <v>20</v>
      </c>
      <c r="B80" s="1274">
        <f>'SCH B-2.1'!B73</f>
        <v>387</v>
      </c>
      <c r="C80" s="1274">
        <f>'SCH B-2.1'!C73</f>
        <v>28700</v>
      </c>
      <c r="D80" s="1359" t="str">
        <f>'SCH B-2.1'!D73</f>
        <v>Other Equipment - Other</v>
      </c>
      <c r="E80" s="652">
        <f>'SCH B-2.1'!E73</f>
        <v>21447</v>
      </c>
      <c r="F80" s="1371"/>
      <c r="G80" s="1372">
        <v>22692</v>
      </c>
      <c r="H80" s="1246">
        <v>1</v>
      </c>
      <c r="I80" s="1360">
        <f t="shared" si="2"/>
        <v>22692</v>
      </c>
      <c r="J80" s="1474"/>
      <c r="K80" s="1360">
        <f t="shared" si="3"/>
        <v>22692</v>
      </c>
      <c r="L80" s="1376"/>
    </row>
    <row r="81" spans="1:12">
      <c r="A81" s="1274">
        <f t="shared" si="4"/>
        <v>21</v>
      </c>
      <c r="B81" s="1274" t="str">
        <f>'SCH B-2.1'!B74</f>
        <v>387</v>
      </c>
      <c r="C81" s="1274">
        <f>'SCH B-2.1'!C74</f>
        <v>28701</v>
      </c>
      <c r="D81" s="1359" t="str">
        <f>'SCH B-2.1'!D74</f>
        <v>Street Lighting Equipment</v>
      </c>
      <c r="E81" s="652">
        <f>'SCH B-2.1'!E74</f>
        <v>28290</v>
      </c>
      <c r="F81" s="1371"/>
      <c r="G81" s="1372">
        <v>21383</v>
      </c>
      <c r="H81" s="1246">
        <v>1</v>
      </c>
      <c r="I81" s="1360">
        <f t="shared" si="2"/>
        <v>21383</v>
      </c>
      <c r="J81" s="1474"/>
      <c r="K81" s="1360">
        <f t="shared" si="3"/>
        <v>21383</v>
      </c>
      <c r="L81" s="1376"/>
    </row>
    <row r="82" spans="1:12">
      <c r="A82" s="1274">
        <f t="shared" si="4"/>
        <v>22</v>
      </c>
      <c r="B82" s="1274"/>
      <c r="C82" s="1274"/>
      <c r="D82" s="1359" t="str">
        <f>'SCH B-2.1'!D75</f>
        <v>Asset Retirement Cost Obligation</v>
      </c>
      <c r="E82" s="652">
        <f>'SCH B-2.1'!E75</f>
        <v>3583546</v>
      </c>
      <c r="F82" s="1371"/>
      <c r="G82" s="1372">
        <v>1213033</v>
      </c>
      <c r="H82" s="1246">
        <v>1</v>
      </c>
      <c r="I82" s="1360">
        <f>ROUND((G82*H82),0)</f>
        <v>1213033</v>
      </c>
      <c r="J82" s="1474"/>
      <c r="K82" s="1360">
        <f>I82+J82</f>
        <v>1213033</v>
      </c>
      <c r="L82" s="1376"/>
    </row>
    <row r="83" spans="1:12">
      <c r="A83" s="1274">
        <f t="shared" si="4"/>
        <v>23</v>
      </c>
      <c r="B83" s="1274"/>
      <c r="C83" s="3190">
        <v>108</v>
      </c>
      <c r="D83" s="2763" t="s">
        <v>122</v>
      </c>
      <c r="E83" s="652"/>
      <c r="F83" s="1371"/>
      <c r="G83" s="1372">
        <v>-4652670</v>
      </c>
      <c r="H83" s="1246">
        <v>1</v>
      </c>
      <c r="I83" s="1360">
        <f>ROUND((G83*H83),0)</f>
        <v>-4652670</v>
      </c>
      <c r="J83" s="1474"/>
      <c r="K83" s="1360">
        <f>I83+J83</f>
        <v>-4652670</v>
      </c>
      <c r="L83" s="1376"/>
    </row>
    <row r="84" spans="1:12">
      <c r="A84" s="1274">
        <f t="shared" si="4"/>
        <v>24</v>
      </c>
      <c r="B84" s="661"/>
      <c r="C84" s="1274"/>
      <c r="D84" s="3189" t="s">
        <v>2776</v>
      </c>
      <c r="E84" s="652">
        <f>'SCH B-2.1'!E76</f>
        <v>25395218</v>
      </c>
      <c r="F84" s="1371"/>
      <c r="G84" s="1372">
        <v>406380</v>
      </c>
      <c r="H84" s="1246">
        <v>1</v>
      </c>
      <c r="I84" s="1360">
        <f t="shared" si="2"/>
        <v>406380</v>
      </c>
      <c r="J84" s="1474"/>
      <c r="K84" s="1360">
        <f t="shared" si="3"/>
        <v>406380</v>
      </c>
      <c r="L84" s="1376"/>
    </row>
    <row r="85" spans="1:12">
      <c r="A85" s="661"/>
      <c r="B85" s="661"/>
      <c r="C85" s="661"/>
      <c r="D85" s="661"/>
      <c r="E85" s="661"/>
      <c r="F85" s="1361"/>
      <c r="G85" s="1360"/>
      <c r="H85" s="1246"/>
      <c r="I85" s="1360"/>
      <c r="J85" s="1360"/>
      <c r="K85" s="1360"/>
    </row>
    <row r="86" spans="1:12">
      <c r="A86" s="629"/>
      <c r="B86" s="629"/>
      <c r="C86" s="629"/>
      <c r="D86" s="629"/>
      <c r="E86" s="629"/>
      <c r="F86" s="636"/>
      <c r="G86" s="634"/>
      <c r="H86" s="635"/>
      <c r="I86" s="634"/>
      <c r="J86" s="634"/>
      <c r="K86" s="634"/>
    </row>
    <row r="87" spans="1:12">
      <c r="A87" s="1274">
        <f>1+A84</f>
        <v>25</v>
      </c>
      <c r="B87" s="661"/>
      <c r="C87" s="661"/>
      <c r="D87" s="1358" t="s">
        <v>1102</v>
      </c>
      <c r="E87" s="1360">
        <f>SUM(E61:E84)</f>
        <v>533421273</v>
      </c>
      <c r="F87" s="1371"/>
      <c r="G87" s="1360">
        <f>SUM(G61:G84)</f>
        <v>164382026</v>
      </c>
      <c r="H87" s="1246"/>
      <c r="I87" s="1360">
        <f>SUM(I61:I84)</f>
        <v>164382026</v>
      </c>
      <c r="J87" s="1360">
        <f>SUM(J61:J84)</f>
        <v>-4746574</v>
      </c>
      <c r="K87" s="1360">
        <f>SUM(K61:K84)</f>
        <v>159635452</v>
      </c>
    </row>
    <row r="88" spans="1:12">
      <c r="A88" s="661"/>
      <c r="B88" s="661"/>
      <c r="C88" s="661"/>
      <c r="D88" s="661"/>
      <c r="E88" s="661"/>
      <c r="F88" s="1361"/>
      <c r="G88" s="1360"/>
      <c r="H88" s="1246"/>
      <c r="I88" s="1360"/>
      <c r="J88" s="1360"/>
      <c r="K88" s="1360"/>
    </row>
    <row r="89" spans="1:12">
      <c r="A89" s="629"/>
      <c r="B89" s="629"/>
      <c r="C89" s="629"/>
      <c r="D89" s="629"/>
      <c r="E89" s="629"/>
      <c r="F89" s="636"/>
      <c r="G89" s="634"/>
      <c r="H89" s="635"/>
      <c r="I89" s="634"/>
      <c r="J89" s="634"/>
      <c r="K89" s="634"/>
    </row>
    <row r="90" spans="1:12">
      <c r="A90" s="1377" t="s">
        <v>1426</v>
      </c>
      <c r="B90" s="661"/>
      <c r="C90" s="661"/>
      <c r="D90" s="661"/>
      <c r="E90" s="661"/>
      <c r="F90" s="679"/>
      <c r="G90" s="1360"/>
      <c r="H90" s="1246"/>
      <c r="I90" s="1360"/>
      <c r="J90" s="1360"/>
      <c r="K90" s="1360"/>
    </row>
    <row r="91" spans="1:12">
      <c r="A91" s="661"/>
      <c r="B91" s="661"/>
      <c r="C91" s="661"/>
      <c r="D91" s="661"/>
      <c r="E91" s="661"/>
      <c r="F91" s="679"/>
      <c r="G91" s="1360"/>
      <c r="H91" s="1246"/>
      <c r="I91" s="1360"/>
      <c r="J91" s="1360"/>
      <c r="K91" s="1360"/>
    </row>
    <row r="92" spans="1:12">
      <c r="A92" s="661"/>
      <c r="B92" s="661"/>
      <c r="C92" s="661"/>
      <c r="D92" s="661"/>
      <c r="E92" s="661"/>
      <c r="F92" s="679"/>
      <c r="G92" s="1360"/>
      <c r="H92" s="1246"/>
      <c r="I92" s="1360"/>
      <c r="J92" s="1360"/>
      <c r="K92" s="1360"/>
    </row>
    <row r="93" spans="1:12">
      <c r="A93" s="661"/>
      <c r="B93" s="661"/>
      <c r="C93" s="661"/>
      <c r="D93" s="661"/>
      <c r="E93" s="661"/>
      <c r="F93" s="679"/>
      <c r="G93" s="1360"/>
      <c r="H93" s="1246"/>
      <c r="I93" s="1360"/>
      <c r="J93" s="1360"/>
      <c r="K93" s="1360"/>
    </row>
    <row r="94" spans="1:12">
      <c r="A94" s="661"/>
      <c r="B94" s="661"/>
      <c r="C94" s="661"/>
      <c r="D94" s="661"/>
      <c r="E94" s="661"/>
      <c r="F94" s="679"/>
      <c r="G94" s="1360"/>
      <c r="H94" s="1246"/>
      <c r="I94" s="1360"/>
      <c r="J94" s="1360"/>
      <c r="K94" s="1360"/>
    </row>
    <row r="95" spans="1:12">
      <c r="A95" s="661"/>
      <c r="B95" s="661"/>
      <c r="C95" s="661"/>
      <c r="D95" s="661"/>
      <c r="E95" s="661"/>
      <c r="F95" s="679"/>
      <c r="G95" s="1360"/>
      <c r="H95" s="1246"/>
      <c r="I95" s="1360"/>
      <c r="J95" s="1360"/>
      <c r="K95" s="1360"/>
    </row>
    <row r="96" spans="1:12">
      <c r="A96" s="1272" t="str">
        <f>COMPANY</f>
        <v>DUKE ENERGY KENTUCKY, INC.</v>
      </c>
      <c r="B96" s="1273"/>
      <c r="C96" s="1273"/>
      <c r="D96" s="1272"/>
      <c r="E96" s="1272"/>
      <c r="F96" s="1352"/>
      <c r="G96" s="1273"/>
      <c r="H96" s="1353"/>
      <c r="I96" s="1273"/>
      <c r="J96" s="1273"/>
      <c r="K96" s="1273"/>
    </row>
    <row r="97" spans="1:11">
      <c r="A97" s="1272" t="str">
        <f>CASE</f>
        <v>CASE NO. 2018-00261</v>
      </c>
      <c r="B97" s="1273"/>
      <c r="C97" s="1273"/>
      <c r="D97" s="1272"/>
      <c r="E97" s="1272"/>
      <c r="F97" s="1352"/>
      <c r="G97" s="1273"/>
      <c r="H97" s="1353"/>
      <c r="I97" s="1273"/>
      <c r="J97" s="1273"/>
      <c r="K97" s="1273"/>
    </row>
    <row r="98" spans="1:11">
      <c r="A98" s="1272" t="str">
        <f>A3</f>
        <v>ACCUMULATED DEPRECIATION AND AMORTIZATION</v>
      </c>
      <c r="B98" s="1273"/>
      <c r="C98" s="1273"/>
      <c r="D98" s="1272"/>
      <c r="E98" s="1272"/>
      <c r="F98" s="1352"/>
      <c r="G98" s="1273"/>
      <c r="H98" s="1353"/>
      <c r="I98" s="1273"/>
      <c r="J98" s="1273"/>
      <c r="K98" s="1273"/>
    </row>
    <row r="99" spans="1:11">
      <c r="A99" s="44" t="str">
        <f>"AS OF " &amp;RIGHT(TESTYR,(LEN(TESTYR)-16))</f>
        <v>AS OF NOVEMBER 30, 2018</v>
      </c>
      <c r="B99" s="1273"/>
      <c r="C99" s="1273"/>
      <c r="D99" s="1272"/>
      <c r="E99" s="1272"/>
      <c r="F99" s="1352"/>
      <c r="G99" s="1273"/>
      <c r="H99" s="1353"/>
      <c r="I99" s="1273"/>
      <c r="J99" s="1273"/>
      <c r="K99" s="1273"/>
    </row>
    <row r="100" spans="1:11">
      <c r="A100" s="1273"/>
      <c r="B100" s="1273"/>
      <c r="C100" s="1273"/>
      <c r="D100" s="1273"/>
      <c r="E100" s="1273"/>
      <c r="F100" s="1354"/>
      <c r="G100" s="1273"/>
      <c r="H100" s="1353"/>
      <c r="I100" s="1273"/>
      <c r="J100" s="1273"/>
      <c r="K100" s="1273"/>
    </row>
    <row r="101" spans="1:11">
      <c r="A101" s="1272" t="s">
        <v>1103</v>
      </c>
      <c r="B101" s="1273"/>
      <c r="C101" s="1273"/>
      <c r="D101" s="1272"/>
      <c r="E101" s="1272"/>
      <c r="F101" s="1352"/>
      <c r="G101" s="1273"/>
      <c r="H101" s="1353"/>
      <c r="I101" s="1273"/>
      <c r="J101" s="1273"/>
      <c r="K101" s="1273"/>
    </row>
    <row r="102" spans="1:11">
      <c r="A102" s="1355"/>
      <c r="B102" s="1273"/>
      <c r="C102" s="1273"/>
      <c r="D102" s="1272"/>
      <c r="E102" s="1272"/>
      <c r="F102" s="1352"/>
      <c r="G102" s="1273"/>
      <c r="H102" s="1353"/>
      <c r="I102" s="1273"/>
      <c r="J102" s="1273"/>
      <c r="K102" s="1273"/>
    </row>
    <row r="103" spans="1:11">
      <c r="A103" s="1356"/>
      <c r="B103" s="661"/>
      <c r="C103" s="661"/>
      <c r="D103" s="661"/>
      <c r="E103" s="661"/>
      <c r="F103" s="679"/>
      <c r="G103" s="661"/>
      <c r="H103" s="1357"/>
      <c r="I103" s="661"/>
      <c r="J103" s="661"/>
      <c r="K103" s="661"/>
    </row>
    <row r="104" spans="1:11">
      <c r="B104" s="661"/>
      <c r="C104" s="661"/>
      <c r="D104" s="661"/>
      <c r="E104" s="661"/>
      <c r="F104" s="679"/>
      <c r="G104" s="661"/>
      <c r="H104" s="1357"/>
      <c r="I104" s="661"/>
      <c r="J104" s="1358"/>
      <c r="K104" s="661"/>
    </row>
    <row r="105" spans="1:11">
      <c r="A105" s="1358" t="str">
        <f>Data</f>
        <v>DATA: "X" BASE PERIOD   FORECASTED PERIOD</v>
      </c>
      <c r="B105" s="661"/>
      <c r="C105" s="661"/>
      <c r="D105" s="661"/>
      <c r="E105" s="661"/>
      <c r="F105" s="679"/>
      <c r="G105" s="661"/>
      <c r="H105" s="1357"/>
      <c r="I105" s="661"/>
      <c r="J105" s="1359" t="str">
        <f>J10</f>
        <v>SCHEDULE B-3</v>
      </c>
      <c r="K105" s="661"/>
    </row>
    <row r="106" spans="1:11">
      <c r="A106" s="1358" t="str">
        <f>Type</f>
        <v xml:space="preserve">TYPE OF FILING:  "X" ORIGINAL   UPDATED    REVISED  </v>
      </c>
      <c r="B106" s="661"/>
      <c r="C106" s="661"/>
      <c r="D106" s="661"/>
      <c r="E106" s="661"/>
      <c r="F106" s="679"/>
      <c r="G106" s="661"/>
      <c r="H106" s="1357"/>
      <c r="I106" s="661"/>
      <c r="J106" s="1359" t="s">
        <v>498</v>
      </c>
      <c r="K106" s="661"/>
    </row>
    <row r="107" spans="1:11">
      <c r="A107" s="1358" t="str">
        <f>A12</f>
        <v>WORK PAPER REFERENCE NO(S).: SCHEDULE B-2.1, SCHEDULE B-3.1</v>
      </c>
      <c r="B107" s="661"/>
      <c r="C107" s="661"/>
      <c r="D107" s="661"/>
      <c r="E107" s="661"/>
      <c r="F107" s="679"/>
      <c r="G107" s="661"/>
      <c r="H107" s="1357"/>
      <c r="I107" s="661"/>
      <c r="J107" s="1360" t="str">
        <f>J12</f>
        <v>WITNESS RESPONSIBLE:</v>
      </c>
      <c r="K107" s="661"/>
    </row>
    <row r="108" spans="1:11">
      <c r="A108" s="661"/>
      <c r="B108" s="661"/>
      <c r="C108" s="661"/>
      <c r="D108" s="661"/>
      <c r="E108" s="661"/>
      <c r="F108" s="679"/>
      <c r="G108" s="661"/>
      <c r="H108" s="1357"/>
      <c r="I108" s="661"/>
      <c r="J108" s="661" t="str">
        <f>J13</f>
        <v>R. H. PRATT / C. S. LEE</v>
      </c>
      <c r="K108" s="661"/>
    </row>
    <row r="109" spans="1:11">
      <c r="A109" s="661"/>
      <c r="B109" s="661"/>
      <c r="C109" s="661"/>
      <c r="D109" s="661"/>
      <c r="E109" s="661"/>
      <c r="F109" s="679"/>
      <c r="G109" s="661"/>
      <c r="H109" s="1357"/>
      <c r="I109" s="661"/>
      <c r="J109" s="661"/>
      <c r="K109" s="661"/>
    </row>
    <row r="110" spans="1:11">
      <c r="A110" s="661"/>
      <c r="B110" s="1361"/>
      <c r="C110" s="661"/>
      <c r="D110" s="661"/>
      <c r="E110" s="661"/>
      <c r="F110" s="1361"/>
      <c r="G110" s="661"/>
      <c r="H110" s="1357"/>
      <c r="I110" s="661"/>
      <c r="J110" s="661"/>
      <c r="K110" s="661"/>
    </row>
    <row r="111" spans="1:11">
      <c r="A111" s="629"/>
      <c r="B111" s="648"/>
      <c r="C111" s="647" t="s">
        <v>2152</v>
      </c>
      <c r="D111" s="629"/>
      <c r="E111" s="632"/>
      <c r="F111" s="633"/>
      <c r="G111" s="629"/>
      <c r="H111" s="643"/>
      <c r="I111" s="629"/>
      <c r="J111" s="629"/>
      <c r="K111" s="629"/>
    </row>
    <row r="112" spans="1:11">
      <c r="A112" s="636"/>
      <c r="B112" s="648" t="s">
        <v>1041</v>
      </c>
      <c r="C112" s="648" t="s">
        <v>2137</v>
      </c>
      <c r="D112" s="636"/>
      <c r="E112" s="633" t="str">
        <f>E17</f>
        <v>Base</v>
      </c>
      <c r="F112" s="633"/>
      <c r="G112" s="677" t="str">
        <f>G17</f>
        <v>Base Period Accumulated Balances</v>
      </c>
      <c r="H112" s="649"/>
      <c r="I112" s="649"/>
      <c r="J112" s="649"/>
      <c r="K112" s="649"/>
    </row>
    <row r="113" spans="1:12">
      <c r="A113" s="1274" t="s">
        <v>1938</v>
      </c>
      <c r="B113" s="1274" t="s">
        <v>1150</v>
      </c>
      <c r="C113" s="1274" t="s">
        <v>1150</v>
      </c>
      <c r="D113" s="661"/>
      <c r="E113" s="1362" t="str">
        <f>E18</f>
        <v>Period</v>
      </c>
      <c r="F113" s="675"/>
      <c r="G113" s="1363"/>
      <c r="H113" s="1364" t="s">
        <v>2010</v>
      </c>
      <c r="I113" s="1274" t="s">
        <v>1427</v>
      </c>
      <c r="J113" s="661"/>
      <c r="K113" s="1274" t="s">
        <v>572</v>
      </c>
    </row>
    <row r="114" spans="1:12">
      <c r="A114" s="1274" t="s">
        <v>1939</v>
      </c>
      <c r="B114" s="1274" t="s">
        <v>1939</v>
      </c>
      <c r="C114" s="1274" t="s">
        <v>1939</v>
      </c>
      <c r="D114" s="1274" t="s">
        <v>1151</v>
      </c>
      <c r="E114" s="1363" t="str">
        <f>E19</f>
        <v>Total (1)</v>
      </c>
      <c r="F114" s="1365"/>
      <c r="G114" s="1366" t="s">
        <v>2153</v>
      </c>
      <c r="H114" s="1367" t="s">
        <v>2097</v>
      </c>
      <c r="I114" s="1365" t="s">
        <v>2153</v>
      </c>
      <c r="J114" s="1365" t="s">
        <v>571</v>
      </c>
      <c r="K114" s="1365" t="s">
        <v>1357</v>
      </c>
    </row>
    <row r="115" spans="1:12">
      <c r="A115" s="629"/>
      <c r="B115" s="629"/>
      <c r="C115" s="629"/>
      <c r="D115" s="629"/>
      <c r="E115" s="629"/>
      <c r="F115" s="636"/>
      <c r="G115" s="1274" t="s">
        <v>695</v>
      </c>
      <c r="H115" s="1357"/>
      <c r="I115" s="1274" t="s">
        <v>695</v>
      </c>
      <c r="J115" s="1274" t="s">
        <v>695</v>
      </c>
      <c r="K115" s="1274" t="s">
        <v>695</v>
      </c>
    </row>
    <row r="116" spans="1:12">
      <c r="A116" s="661"/>
      <c r="B116" s="661"/>
      <c r="C116" s="661"/>
      <c r="D116" s="661"/>
      <c r="E116" s="661"/>
      <c r="F116" s="679"/>
    </row>
    <row r="117" spans="1:12">
      <c r="A117" s="1274" t="s">
        <v>1152</v>
      </c>
      <c r="B117" s="1274">
        <f>'SCH B-2.1'!B104</f>
        <v>303</v>
      </c>
      <c r="C117" s="1274">
        <f>'SCH B-2.1'!C104</f>
        <v>20300</v>
      </c>
      <c r="D117" s="1359" t="str">
        <f>'SCH B-2.1'!D104</f>
        <v>Miscellaneous Intangible Plant</v>
      </c>
      <c r="E117" s="652">
        <f>'SCH B-2.1'!E104</f>
        <v>8757245</v>
      </c>
      <c r="F117" s="679"/>
      <c r="G117" s="1372">
        <v>5682130</v>
      </c>
      <c r="H117" s="1246">
        <v>1</v>
      </c>
      <c r="I117" s="1360">
        <f t="shared" ref="I117:I128" si="5">ROUND(G117*H117,0)</f>
        <v>5682130</v>
      </c>
      <c r="J117" s="1274"/>
      <c r="K117" s="1360">
        <f t="shared" ref="K117:K128" si="6">I117+J117</f>
        <v>5682130</v>
      </c>
      <c r="L117" s="1376"/>
    </row>
    <row r="118" spans="1:12">
      <c r="A118" s="1274">
        <f t="shared" ref="A118:A128" si="7">A117+1</f>
        <v>2</v>
      </c>
      <c r="B118" s="1274">
        <f>'SCH B-2.1'!B105</f>
        <v>303</v>
      </c>
      <c r="C118" s="1274" t="str">
        <f>'SCH B-2.1'!C105</f>
        <v>20310</v>
      </c>
      <c r="D118" s="1359" t="str">
        <f>'SCH B-2.1'!D105</f>
        <v>Misc Intangible Plt - 10 Yr</v>
      </c>
      <c r="E118" s="652">
        <f>'SCH B-2.1'!E105</f>
        <v>2670960</v>
      </c>
      <c r="F118" s="1371"/>
      <c r="G118" s="1372">
        <v>330869</v>
      </c>
      <c r="H118" s="1246">
        <v>1</v>
      </c>
      <c r="I118" s="1360">
        <f t="shared" si="5"/>
        <v>330869</v>
      </c>
      <c r="J118" s="1360"/>
      <c r="K118" s="1360">
        <f t="shared" si="6"/>
        <v>330869</v>
      </c>
      <c r="L118" s="1376"/>
    </row>
    <row r="119" spans="1:12">
      <c r="A119" s="1274">
        <f t="shared" si="7"/>
        <v>3</v>
      </c>
      <c r="B119" s="1274" t="str">
        <f>'SCH B-2.1'!B106</f>
        <v>391</v>
      </c>
      <c r="C119" s="1274">
        <f>'SCH B-2.1'!C106</f>
        <v>29100</v>
      </c>
      <c r="D119" s="1359" t="str">
        <f>'SCH B-2.1'!D106</f>
        <v>Office Furniture &amp; Equipment</v>
      </c>
      <c r="E119" s="652">
        <f>'SCH B-2.1'!E106</f>
        <v>13496</v>
      </c>
      <c r="F119" s="1371"/>
      <c r="G119" s="1372">
        <v>13556</v>
      </c>
      <c r="H119" s="1246">
        <v>1</v>
      </c>
      <c r="I119" s="1360">
        <f t="shared" si="5"/>
        <v>13556</v>
      </c>
      <c r="J119" s="1360">
        <f>-'SCH B-3.1'!G43</f>
        <v>-9292</v>
      </c>
      <c r="K119" s="1360">
        <f t="shared" si="6"/>
        <v>4264</v>
      </c>
      <c r="L119" s="1376"/>
    </row>
    <row r="120" spans="1:12">
      <c r="A120" s="1274">
        <f t="shared" si="7"/>
        <v>4</v>
      </c>
      <c r="B120" s="1274">
        <f>'SCH B-2.1'!B107</f>
        <v>391</v>
      </c>
      <c r="C120" s="1274">
        <f>'SCH B-2.1'!C107</f>
        <v>29101</v>
      </c>
      <c r="D120" s="1359" t="str">
        <f>'SCH B-2.1'!D107</f>
        <v>Electronic Data Processing</v>
      </c>
      <c r="E120" s="652">
        <f>'SCH B-2.1'!E107</f>
        <v>318574</v>
      </c>
      <c r="F120" s="1374"/>
      <c r="G120" s="1372">
        <v>63750</v>
      </c>
      <c r="H120" s="1246">
        <v>1</v>
      </c>
      <c r="I120" s="1360">
        <f t="shared" si="5"/>
        <v>63750</v>
      </c>
      <c r="J120" s="1359"/>
      <c r="K120" s="1360">
        <f t="shared" si="6"/>
        <v>63750</v>
      </c>
      <c r="L120" s="1376"/>
    </row>
    <row r="121" spans="1:12">
      <c r="A121" s="1274">
        <f t="shared" si="7"/>
        <v>5</v>
      </c>
      <c r="B121" s="1274" t="str">
        <f>'SCH B-2.1'!B108</f>
        <v>392</v>
      </c>
      <c r="C121" s="1274">
        <f>'SCH B-2.1'!C108</f>
        <v>29200</v>
      </c>
      <c r="D121" s="1359" t="str">
        <f>'SCH B-2.1'!D108</f>
        <v>Transportation Equipment</v>
      </c>
      <c r="E121" s="652">
        <f>'SCH B-2.1'!E108</f>
        <v>0</v>
      </c>
      <c r="F121" s="1374"/>
      <c r="G121" s="1372">
        <v>0</v>
      </c>
      <c r="H121" s="1246">
        <v>1</v>
      </c>
      <c r="I121" s="1360">
        <f t="shared" si="5"/>
        <v>0</v>
      </c>
      <c r="J121" s="1360"/>
      <c r="K121" s="1360">
        <f t="shared" si="6"/>
        <v>0</v>
      </c>
      <c r="L121" s="1376"/>
    </row>
    <row r="122" spans="1:12">
      <c r="A122" s="1274">
        <f t="shared" si="7"/>
        <v>6</v>
      </c>
      <c r="B122" s="1274" t="str">
        <f>'SCH B-2.1'!B109</f>
        <v>392</v>
      </c>
      <c r="C122" s="1274">
        <f>'SCH B-2.1'!C109</f>
        <v>29201</v>
      </c>
      <c r="D122" s="1359" t="str">
        <f>'SCH B-2.1'!D109</f>
        <v>Trailers</v>
      </c>
      <c r="E122" s="652">
        <f>'SCH B-2.1'!E109</f>
        <v>63448</v>
      </c>
      <c r="F122" s="1371"/>
      <c r="G122" s="1372">
        <v>42743</v>
      </c>
      <c r="H122" s="1246">
        <v>1</v>
      </c>
      <c r="I122" s="1360">
        <f t="shared" si="5"/>
        <v>42743</v>
      </c>
      <c r="J122" s="1359"/>
      <c r="K122" s="1360">
        <f t="shared" si="6"/>
        <v>42743</v>
      </c>
      <c r="L122" s="1376"/>
    </row>
    <row r="123" spans="1:12">
      <c r="A123" s="1274">
        <f t="shared" si="7"/>
        <v>7</v>
      </c>
      <c r="B123" s="1274" t="str">
        <f>'SCH B-2.1'!B110</f>
        <v>394</v>
      </c>
      <c r="C123" s="1274">
        <f>'SCH B-2.1'!C110</f>
        <v>29400</v>
      </c>
      <c r="D123" s="1359" t="str">
        <f>'SCH B-2.1'!D110</f>
        <v>Tools, Shop &amp; Garage Equipment</v>
      </c>
      <c r="E123" s="652">
        <f>'SCH B-2.1'!E110</f>
        <v>1238849</v>
      </c>
      <c r="F123" s="1371"/>
      <c r="G123" s="1372">
        <v>978513</v>
      </c>
      <c r="H123" s="1246">
        <v>1</v>
      </c>
      <c r="I123" s="1360">
        <f t="shared" ref="I123:I125" si="8">ROUND(G123*H123,0)</f>
        <v>978513</v>
      </c>
      <c r="J123" s="1360">
        <f>-'SCH B-3.1'!G44</f>
        <v>-19020</v>
      </c>
      <c r="K123" s="1360">
        <f t="shared" ref="K123:K125" si="9">I123+J123</f>
        <v>959493</v>
      </c>
      <c r="L123" s="1376"/>
    </row>
    <row r="124" spans="1:12">
      <c r="A124" s="1274">
        <f t="shared" si="7"/>
        <v>8</v>
      </c>
      <c r="B124" s="1274" t="str">
        <f>'SCH B-2.1'!B111</f>
        <v>396</v>
      </c>
      <c r="C124" s="1274">
        <f>'SCH B-2.1'!C111</f>
        <v>29600</v>
      </c>
      <c r="D124" s="1359" t="str">
        <f>'SCH B-2.1'!D111</f>
        <v>Power Operated Equipment</v>
      </c>
      <c r="E124" s="652">
        <f>'SCH B-2.1'!E111</f>
        <v>168272</v>
      </c>
      <c r="F124" s="1371"/>
      <c r="G124" s="1372">
        <v>1275</v>
      </c>
      <c r="H124" s="1246">
        <v>1</v>
      </c>
      <c r="I124" s="1360">
        <f t="shared" si="8"/>
        <v>1275</v>
      </c>
      <c r="J124" s="1359"/>
      <c r="K124" s="1360">
        <f t="shared" si="9"/>
        <v>1275</v>
      </c>
      <c r="L124" s="1376"/>
    </row>
    <row r="125" spans="1:12">
      <c r="A125" s="1274">
        <f t="shared" si="7"/>
        <v>9</v>
      </c>
      <c r="B125" s="1274">
        <f>'SCH B-2.1'!B112</f>
        <v>397</v>
      </c>
      <c r="C125" s="1274" t="str">
        <f>'SCH B-2.1'!C112</f>
        <v>29700</v>
      </c>
      <c r="D125" s="1359" t="str">
        <f>'SCH B-2.1'!D112</f>
        <v>Communication Equipment</v>
      </c>
      <c r="E125" s="652">
        <f>'SCH B-2.1'!E112</f>
        <v>10522272</v>
      </c>
      <c r="F125" s="1371"/>
      <c r="G125" s="1372">
        <v>353477</v>
      </c>
      <c r="H125" s="1246">
        <v>1</v>
      </c>
      <c r="I125" s="1360">
        <f t="shared" si="8"/>
        <v>353477</v>
      </c>
      <c r="J125" s="1360">
        <f>-'SCH B-3.1'!G45</f>
        <v>-20</v>
      </c>
      <c r="K125" s="1360">
        <f t="shared" si="9"/>
        <v>353457</v>
      </c>
      <c r="L125" s="1376"/>
    </row>
    <row r="126" spans="1:12">
      <c r="A126" s="1274">
        <f t="shared" si="7"/>
        <v>10</v>
      </c>
      <c r="B126" s="1274" t="str">
        <f>'SCH B-2.1'!B113</f>
        <v>398</v>
      </c>
      <c r="C126" s="1274">
        <f>'SCH B-2.1'!C113</f>
        <v>29800</v>
      </c>
      <c r="D126" s="1359" t="str">
        <f>'SCH B-2.1'!D113</f>
        <v>Miscellaneous Equipment</v>
      </c>
      <c r="E126" s="652">
        <f>'SCH B-2.1'!E113</f>
        <v>83591</v>
      </c>
      <c r="F126" s="1371"/>
      <c r="G126" s="1372">
        <v>22886</v>
      </c>
      <c r="H126" s="1246">
        <v>1</v>
      </c>
      <c r="I126" s="1360">
        <f t="shared" si="5"/>
        <v>22886</v>
      </c>
      <c r="J126" s="1360">
        <f>-'SCH B-3.1'!G46</f>
        <v>-23207</v>
      </c>
      <c r="K126" s="1360">
        <f t="shared" si="6"/>
        <v>-321</v>
      </c>
      <c r="L126" s="1376"/>
    </row>
    <row r="127" spans="1:12">
      <c r="A127" s="1274">
        <f t="shared" si="7"/>
        <v>11</v>
      </c>
      <c r="B127" s="1274"/>
      <c r="C127" s="1274">
        <v>108</v>
      </c>
      <c r="D127" s="1475" t="s">
        <v>122</v>
      </c>
      <c r="E127" s="652"/>
      <c r="F127" s="1371"/>
      <c r="G127" s="1372">
        <v>12218</v>
      </c>
      <c r="H127" s="1246">
        <v>1</v>
      </c>
      <c r="I127" s="1360">
        <f t="shared" si="5"/>
        <v>12218</v>
      </c>
      <c r="J127" s="1359"/>
      <c r="K127" s="1360">
        <f t="shared" si="6"/>
        <v>12218</v>
      </c>
      <c r="L127" s="1376"/>
    </row>
    <row r="128" spans="1:12">
      <c r="A128" s="1274">
        <f t="shared" si="7"/>
        <v>12</v>
      </c>
      <c r="B128" s="661"/>
      <c r="C128" s="1274"/>
      <c r="D128" s="1359" t="str">
        <f>'SCH B-2.1'!D114</f>
        <v>Completed Construction Not Classified</v>
      </c>
      <c r="E128" s="652">
        <f>'SCH B-2.1'!E114</f>
        <v>270697</v>
      </c>
      <c r="F128" s="1371"/>
      <c r="G128" s="3317">
        <v>211988</v>
      </c>
      <c r="H128" s="1246">
        <v>1</v>
      </c>
      <c r="I128" s="1360">
        <f t="shared" si="5"/>
        <v>211988</v>
      </c>
      <c r="J128" s="1360"/>
      <c r="K128" s="1360">
        <f t="shared" si="6"/>
        <v>211988</v>
      </c>
      <c r="L128" s="1376"/>
    </row>
    <row r="129" spans="1:11">
      <c r="A129" s="661"/>
      <c r="B129" s="661"/>
      <c r="C129" s="1358"/>
      <c r="D129" s="661"/>
      <c r="E129" s="661"/>
      <c r="F129" s="679"/>
      <c r="G129" s="1359"/>
      <c r="H129" s="1246"/>
      <c r="I129" s="1359" t="s">
        <v>749</v>
      </c>
      <c r="J129" s="1360"/>
      <c r="K129" s="1360"/>
    </row>
    <row r="130" spans="1:11">
      <c r="A130" s="661"/>
      <c r="B130" s="661"/>
      <c r="C130" s="661"/>
      <c r="D130" s="661"/>
      <c r="E130" s="661"/>
      <c r="F130" s="1361"/>
      <c r="G130" s="1360"/>
      <c r="H130" s="1246"/>
      <c r="I130" s="1360"/>
      <c r="J130" s="1360"/>
      <c r="K130" s="1360"/>
    </row>
    <row r="131" spans="1:11">
      <c r="A131" s="629"/>
      <c r="B131" s="629"/>
      <c r="C131" s="629"/>
      <c r="D131" s="629"/>
      <c r="E131" s="629"/>
      <c r="F131" s="636"/>
      <c r="G131" s="634"/>
      <c r="H131" s="635"/>
      <c r="I131" s="634"/>
      <c r="J131" s="634"/>
      <c r="K131" s="634"/>
    </row>
    <row r="132" spans="1:11">
      <c r="A132" s="1274">
        <f>A128+1</f>
        <v>13</v>
      </c>
      <c r="B132" s="661"/>
      <c r="C132" s="661"/>
      <c r="D132" s="1358" t="s">
        <v>1117</v>
      </c>
      <c r="E132" s="652">
        <f>SUM(E117:E131)</f>
        <v>24107404</v>
      </c>
      <c r="F132" s="1371"/>
      <c r="G132" s="1360">
        <f>SUM(G117:G128)</f>
        <v>7713405</v>
      </c>
      <c r="H132" s="1246"/>
      <c r="I132" s="1360">
        <f>SUM(I117:I128)</f>
        <v>7713405</v>
      </c>
      <c r="J132" s="1360">
        <f>SUM(J118:J128)</f>
        <v>-51539</v>
      </c>
      <c r="K132" s="1360">
        <f>SUM(K117:K128)</f>
        <v>7661866</v>
      </c>
    </row>
    <row r="133" spans="1:11">
      <c r="A133" s="661"/>
      <c r="B133" s="661"/>
      <c r="C133" s="661"/>
      <c r="D133" s="661"/>
      <c r="E133" s="661"/>
      <c r="F133" s="1361"/>
      <c r="G133" s="1360"/>
      <c r="H133" s="1246"/>
      <c r="I133" s="1360"/>
      <c r="J133" s="1360"/>
      <c r="K133" s="1360"/>
    </row>
    <row r="134" spans="1:11">
      <c r="A134" s="629"/>
      <c r="B134" s="629"/>
      <c r="C134" s="629"/>
      <c r="D134" s="629"/>
      <c r="E134" s="629"/>
      <c r="F134" s="636"/>
      <c r="G134" s="634"/>
      <c r="H134" s="635"/>
      <c r="I134" s="634"/>
      <c r="J134" s="634"/>
      <c r="K134" s="634"/>
    </row>
    <row r="135" spans="1:11">
      <c r="A135" s="1274">
        <f>A132+1</f>
        <v>14</v>
      </c>
      <c r="B135" s="661"/>
      <c r="C135" s="661"/>
      <c r="D135" s="1358" t="s">
        <v>1118</v>
      </c>
      <c r="E135" s="1360">
        <f>E30+E87+E132</f>
        <v>565348809</v>
      </c>
      <c r="F135" s="1371"/>
      <c r="G135" s="1360">
        <f>G30+G87+G132</f>
        <v>176647723</v>
      </c>
      <c r="H135" s="1357"/>
      <c r="I135" s="1360">
        <f>I30+I87+I132</f>
        <v>176647723</v>
      </c>
      <c r="J135" s="1360">
        <f>J30+J87+J132</f>
        <v>-7747274</v>
      </c>
      <c r="K135" s="1360">
        <f>K30+K87+K132</f>
        <v>168900449</v>
      </c>
    </row>
    <row r="136" spans="1:11">
      <c r="A136" s="661"/>
      <c r="B136" s="661"/>
      <c r="C136" s="661"/>
      <c r="D136" s="661"/>
      <c r="E136" s="661"/>
      <c r="F136" s="1361"/>
      <c r="G136" s="661"/>
      <c r="H136" s="1357"/>
      <c r="I136" s="661"/>
      <c r="J136" s="661"/>
      <c r="K136" s="661"/>
    </row>
    <row r="137" spans="1:11">
      <c r="A137" s="629"/>
      <c r="B137" s="629"/>
      <c r="C137" s="629"/>
      <c r="D137" s="629"/>
      <c r="E137" s="629"/>
      <c r="F137" s="636"/>
      <c r="G137" s="629"/>
      <c r="H137" s="643"/>
      <c r="I137" s="629"/>
      <c r="J137" s="629"/>
      <c r="K137" s="629"/>
    </row>
    <row r="138" spans="1:11">
      <c r="A138" s="1377" t="s">
        <v>1426</v>
      </c>
      <c r="B138" s="661"/>
      <c r="C138" s="661"/>
      <c r="D138" s="661"/>
      <c r="E138" s="661"/>
      <c r="F138" s="679"/>
      <c r="G138" s="661"/>
      <c r="H138" s="1357"/>
      <c r="I138" s="661"/>
      <c r="J138" s="661"/>
      <c r="K138" s="661"/>
    </row>
    <row r="139" spans="1:11">
      <c r="A139" s="661"/>
      <c r="B139" s="661"/>
      <c r="C139" s="661"/>
      <c r="D139" s="661"/>
      <c r="E139" s="661"/>
      <c r="F139" s="679"/>
      <c r="G139" s="1360"/>
      <c r="H139" s="1246"/>
      <c r="I139" s="1360"/>
      <c r="J139" s="1360"/>
      <c r="K139" s="1360"/>
    </row>
    <row r="140" spans="1:11">
      <c r="A140" s="661"/>
      <c r="B140" s="661"/>
      <c r="C140" s="661"/>
      <c r="D140" s="661"/>
      <c r="E140" s="661"/>
      <c r="F140" s="679"/>
      <c r="G140" s="1360"/>
      <c r="H140" s="1246"/>
      <c r="I140" s="1360"/>
      <c r="J140" s="1360"/>
      <c r="K140" s="1360"/>
    </row>
    <row r="141" spans="1:11">
      <c r="A141" s="661"/>
      <c r="B141" s="661"/>
      <c r="C141" s="661"/>
      <c r="D141" s="661"/>
      <c r="E141" s="661"/>
      <c r="F141" s="679"/>
      <c r="G141" s="1360"/>
      <c r="H141" s="1246"/>
      <c r="I141" s="1360"/>
      <c r="J141" s="1360"/>
      <c r="K141" s="1360"/>
    </row>
    <row r="142" spans="1:11">
      <c r="A142" s="661"/>
      <c r="B142" s="661"/>
      <c r="C142" s="661"/>
      <c r="D142" s="661"/>
      <c r="E142" s="661"/>
      <c r="F142" s="679"/>
      <c r="G142" s="1360"/>
      <c r="H142" s="1246"/>
      <c r="I142" s="1360"/>
      <c r="J142" s="1360"/>
      <c r="K142" s="1360"/>
    </row>
    <row r="143" spans="1:11">
      <c r="A143" s="661"/>
      <c r="B143" s="661"/>
      <c r="C143" s="661"/>
      <c r="D143" s="661"/>
      <c r="E143" s="661"/>
      <c r="F143" s="679"/>
      <c r="G143" s="1360"/>
      <c r="H143" s="1246"/>
      <c r="I143" s="1360"/>
      <c r="J143" s="1360"/>
      <c r="K143" s="1360"/>
    </row>
    <row r="144" spans="1:11">
      <c r="A144" s="1272" t="str">
        <f>COMPANY</f>
        <v>DUKE ENERGY KENTUCKY, INC.</v>
      </c>
      <c r="B144" s="1273"/>
      <c r="C144" s="1273"/>
      <c r="D144" s="1272"/>
      <c r="E144" s="1272"/>
      <c r="F144" s="1352"/>
      <c r="G144" s="1273"/>
      <c r="H144" s="1353"/>
      <c r="I144" s="1273"/>
      <c r="J144" s="1273"/>
      <c r="K144" s="1273"/>
    </row>
    <row r="145" spans="1:11">
      <c r="A145" s="1272" t="str">
        <f>CASE</f>
        <v>CASE NO. 2018-00261</v>
      </c>
      <c r="B145" s="1273"/>
      <c r="C145" s="1273"/>
      <c r="D145" s="1272"/>
      <c r="E145" s="1272"/>
      <c r="F145" s="1352"/>
      <c r="G145" s="1273"/>
      <c r="H145" s="1353"/>
      <c r="I145" s="1273"/>
      <c r="J145" s="1273"/>
      <c r="K145" s="1273"/>
    </row>
    <row r="146" spans="1:11">
      <c r="A146" s="1272" t="str">
        <f>A3</f>
        <v>ACCUMULATED DEPRECIATION AND AMORTIZATION</v>
      </c>
      <c r="B146" s="1273"/>
      <c r="C146" s="1273"/>
      <c r="D146" s="1272"/>
      <c r="E146" s="1272"/>
      <c r="F146" s="1352"/>
      <c r="G146" s="1273"/>
      <c r="H146" s="1353"/>
      <c r="I146" s="1273"/>
      <c r="J146" s="1273"/>
      <c r="K146" s="1273"/>
    </row>
    <row r="147" spans="1:11">
      <c r="A147" s="44" t="str">
        <f>"AS OF " &amp;RIGHT(TESTYR,(LEN(TESTYR)-16))</f>
        <v>AS OF NOVEMBER 30, 2018</v>
      </c>
      <c r="B147" s="1273"/>
      <c r="C147" s="1273"/>
      <c r="D147" s="1272"/>
      <c r="E147" s="1272"/>
      <c r="F147" s="1352"/>
      <c r="G147" s="1273"/>
      <c r="H147" s="1353"/>
      <c r="I147" s="1273"/>
      <c r="J147" s="1273"/>
      <c r="K147" s="1273"/>
    </row>
    <row r="148" spans="1:11">
      <c r="A148" s="1273"/>
      <c r="B148" s="1273"/>
      <c r="C148" s="1273"/>
      <c r="D148" s="1273"/>
      <c r="E148" s="1273"/>
      <c r="F148" s="1354"/>
      <c r="G148" s="1273"/>
      <c r="H148" s="1353"/>
      <c r="I148" s="1273"/>
      <c r="J148" s="1273"/>
      <c r="K148" s="1273"/>
    </row>
    <row r="149" spans="1:11">
      <c r="A149" s="1272" t="s">
        <v>1119</v>
      </c>
      <c r="B149" s="1273"/>
      <c r="C149" s="1273"/>
      <c r="D149" s="1272"/>
      <c r="E149" s="1272"/>
      <c r="F149" s="1352"/>
      <c r="G149" s="1273"/>
      <c r="H149" s="1353"/>
      <c r="I149" s="1273"/>
      <c r="J149" s="1273"/>
      <c r="K149" s="1273"/>
    </row>
    <row r="150" spans="1:11">
      <c r="A150" s="1355"/>
      <c r="B150" s="1273"/>
      <c r="C150" s="1273"/>
      <c r="D150" s="1272"/>
      <c r="E150" s="1272"/>
      <c r="F150" s="1352"/>
      <c r="G150" s="1273"/>
      <c r="H150" s="1353"/>
      <c r="I150" s="1273"/>
      <c r="J150" s="1273"/>
      <c r="K150" s="1273"/>
    </row>
    <row r="151" spans="1:11">
      <c r="A151" s="1356"/>
      <c r="B151" s="661"/>
      <c r="C151" s="661"/>
      <c r="D151" s="661"/>
      <c r="E151" s="661"/>
      <c r="F151" s="679"/>
      <c r="G151" s="661"/>
      <c r="H151" s="1357"/>
      <c r="I151" s="661"/>
      <c r="J151" s="661"/>
      <c r="K151" s="661"/>
    </row>
    <row r="152" spans="1:11">
      <c r="A152" s="1358"/>
      <c r="B152" s="661"/>
      <c r="C152" s="661"/>
      <c r="D152" s="661"/>
      <c r="E152" s="661"/>
      <c r="F152" s="679"/>
      <c r="G152" s="661"/>
      <c r="H152" s="1357"/>
      <c r="I152" s="661"/>
      <c r="J152" s="1358"/>
      <c r="K152" s="661"/>
    </row>
    <row r="153" spans="1:11">
      <c r="A153" s="1358" t="str">
        <f>Data</f>
        <v>DATA: "X" BASE PERIOD   FORECASTED PERIOD</v>
      </c>
      <c r="B153" s="661"/>
      <c r="C153" s="661"/>
      <c r="D153" s="661"/>
      <c r="E153" s="661"/>
      <c r="F153" s="679"/>
      <c r="G153" s="661"/>
      <c r="H153" s="1357"/>
      <c r="I153" s="661"/>
      <c r="J153" s="1359" t="str">
        <f>J10</f>
        <v>SCHEDULE B-3</v>
      </c>
      <c r="K153" s="661"/>
    </row>
    <row r="154" spans="1:11">
      <c r="A154" s="1358" t="str">
        <f>Type</f>
        <v xml:space="preserve">TYPE OF FILING:  "X" ORIGINAL   UPDATED    REVISED  </v>
      </c>
      <c r="B154" s="661"/>
      <c r="C154" s="661"/>
      <c r="D154" s="661"/>
      <c r="E154" s="661"/>
      <c r="F154" s="679"/>
      <c r="G154" s="661"/>
      <c r="H154" s="1357"/>
      <c r="I154" s="661"/>
      <c r="J154" s="1359" t="s">
        <v>499</v>
      </c>
      <c r="K154" s="661"/>
    </row>
    <row r="155" spans="1:11">
      <c r="A155" s="661" t="s">
        <v>311</v>
      </c>
      <c r="B155" s="661"/>
      <c r="C155" s="661"/>
      <c r="D155" s="661"/>
      <c r="E155" s="661"/>
      <c r="F155" s="679"/>
      <c r="G155" s="661"/>
      <c r="H155" s="1357"/>
      <c r="I155" s="661"/>
      <c r="J155" s="1360" t="str">
        <f>J12</f>
        <v>WITNESS RESPONSIBLE:</v>
      </c>
      <c r="K155" s="661"/>
    </row>
    <row r="156" spans="1:11">
      <c r="A156" s="661"/>
      <c r="B156" s="661"/>
      <c r="C156" s="661"/>
      <c r="D156" s="661"/>
      <c r="E156" s="661"/>
      <c r="F156" s="679"/>
      <c r="G156" s="661"/>
      <c r="H156" s="1357"/>
      <c r="I156" s="661"/>
      <c r="J156" s="661" t="str">
        <f>J13</f>
        <v>R. H. PRATT / C. S. LEE</v>
      </c>
      <c r="K156" s="661"/>
    </row>
    <row r="157" spans="1:11">
      <c r="A157" s="661"/>
      <c r="B157" s="661"/>
      <c r="C157" s="661"/>
      <c r="D157" s="661"/>
      <c r="E157" s="661"/>
      <c r="F157" s="679"/>
      <c r="G157" s="661"/>
      <c r="H157" s="1357"/>
      <c r="I157" s="661"/>
      <c r="J157" s="661"/>
      <c r="K157" s="661"/>
    </row>
    <row r="158" spans="1:11">
      <c r="A158" s="661"/>
      <c r="B158" s="661"/>
      <c r="C158" s="661"/>
      <c r="D158" s="661"/>
      <c r="E158" s="661"/>
      <c r="F158" s="1361"/>
      <c r="G158" s="661"/>
      <c r="H158" s="1357"/>
      <c r="I158" s="661"/>
      <c r="J158" s="661"/>
      <c r="K158" s="661"/>
    </row>
    <row r="159" spans="1:11">
      <c r="A159" s="629"/>
      <c r="B159" s="646"/>
      <c r="C159" s="647" t="s">
        <v>2152</v>
      </c>
      <c r="D159" s="629"/>
      <c r="E159" s="632"/>
      <c r="F159" s="633"/>
      <c r="G159" s="629"/>
      <c r="H159" s="643"/>
      <c r="I159" s="629"/>
      <c r="J159" s="629"/>
      <c r="K159" s="629"/>
    </row>
    <row r="160" spans="1:11">
      <c r="A160" s="636"/>
      <c r="B160" s="648" t="s">
        <v>1041</v>
      </c>
      <c r="C160" s="648" t="s">
        <v>2137</v>
      </c>
      <c r="D160" s="636"/>
      <c r="E160" s="633" t="str">
        <f>E17</f>
        <v>Base</v>
      </c>
      <c r="F160" s="633"/>
      <c r="G160" s="677" t="str">
        <f>G17</f>
        <v>Base Period Accumulated Balances</v>
      </c>
      <c r="H160" s="649"/>
      <c r="I160" s="649"/>
      <c r="J160" s="649"/>
      <c r="K160" s="649"/>
    </row>
    <row r="161" spans="1:12">
      <c r="A161" s="1274" t="s">
        <v>1938</v>
      </c>
      <c r="B161" s="1274" t="s">
        <v>1150</v>
      </c>
      <c r="C161" s="1274" t="s">
        <v>1150</v>
      </c>
      <c r="D161" s="661"/>
      <c r="E161" s="1362" t="str">
        <f>E18</f>
        <v>Period</v>
      </c>
      <c r="F161" s="675"/>
      <c r="G161" s="1363"/>
      <c r="H161" s="1364" t="s">
        <v>2010</v>
      </c>
      <c r="I161" s="1274" t="s">
        <v>1427</v>
      </c>
      <c r="J161" s="661"/>
      <c r="K161" s="1274" t="s">
        <v>572</v>
      </c>
    </row>
    <row r="162" spans="1:12">
      <c r="A162" s="1274" t="s">
        <v>1939</v>
      </c>
      <c r="B162" s="1274" t="s">
        <v>1939</v>
      </c>
      <c r="C162" s="1274" t="s">
        <v>1939</v>
      </c>
      <c r="D162" s="1274" t="s">
        <v>1151</v>
      </c>
      <c r="E162" s="1363" t="str">
        <f>E19</f>
        <v>Total (1)</v>
      </c>
      <c r="F162" s="1365"/>
      <c r="G162" s="1366" t="s">
        <v>2153</v>
      </c>
      <c r="H162" s="1367" t="s">
        <v>2097</v>
      </c>
      <c r="I162" s="1365" t="s">
        <v>2153</v>
      </c>
      <c r="J162" s="1365" t="s">
        <v>571</v>
      </c>
      <c r="K162" s="1365" t="s">
        <v>1357</v>
      </c>
    </row>
    <row r="163" spans="1:12">
      <c r="A163" s="629"/>
      <c r="B163" s="629"/>
      <c r="C163" s="629"/>
      <c r="D163" s="629"/>
      <c r="E163" s="629"/>
      <c r="F163" s="636"/>
      <c r="G163" s="1274" t="s">
        <v>695</v>
      </c>
      <c r="H163" s="1357"/>
      <c r="I163" s="1274" t="s">
        <v>695</v>
      </c>
      <c r="J163" s="1274" t="s">
        <v>695</v>
      </c>
      <c r="K163" s="1274" t="s">
        <v>695</v>
      </c>
    </row>
    <row r="164" spans="1:12">
      <c r="A164" s="661"/>
      <c r="B164" s="661"/>
      <c r="C164" s="661"/>
      <c r="D164" s="661"/>
      <c r="E164" s="661"/>
      <c r="F164" s="679"/>
    </row>
    <row r="165" spans="1:12">
      <c r="A165" s="1274" t="s">
        <v>1152</v>
      </c>
      <c r="B165" s="661"/>
      <c r="C165" s="1370">
        <f>'SCH B-2.1'!C145</f>
        <v>10300</v>
      </c>
      <c r="D165" s="2955" t="str">
        <f>'SCH B-2.1'!D145</f>
        <v xml:space="preserve">Miscellaneous Intangible Plant </v>
      </c>
      <c r="E165" s="652">
        <f>'SCH B-2.1'!E145</f>
        <v>22332072</v>
      </c>
      <c r="F165" s="1371"/>
      <c r="G165" s="1372">
        <v>22328399</v>
      </c>
      <c r="H165" s="1246">
        <v>1</v>
      </c>
      <c r="I165" s="1360">
        <f t="shared" ref="I165:I167" si="10">ROUND(G165*H165,0)</f>
        <v>22328399</v>
      </c>
      <c r="J165" s="661"/>
      <c r="K165" s="1360">
        <f t="shared" ref="K165:K167" si="11">I165+J165</f>
        <v>22328399</v>
      </c>
      <c r="L165" s="1376"/>
    </row>
    <row r="166" spans="1:12">
      <c r="A166" s="1274">
        <f>A165+1</f>
        <v>2</v>
      </c>
      <c r="B166" s="661"/>
      <c r="C166" s="1370">
        <f>'SCH B-2.1'!C146</f>
        <v>18900</v>
      </c>
      <c r="D166" s="2955" t="str">
        <f>'SCH B-2.1'!D146</f>
        <v>Land and Land Rights</v>
      </c>
      <c r="E166" s="652">
        <f>'SCH B-2.1'!E146</f>
        <v>154248</v>
      </c>
      <c r="F166" s="1371"/>
      <c r="G166" s="1372">
        <v>0</v>
      </c>
      <c r="H166" s="1246">
        <v>1</v>
      </c>
      <c r="I166" s="1360">
        <f t="shared" si="10"/>
        <v>0</v>
      </c>
      <c r="J166" s="1360"/>
      <c r="K166" s="1360">
        <f t="shared" si="11"/>
        <v>0</v>
      </c>
      <c r="L166" s="1376"/>
    </row>
    <row r="167" spans="1:12">
      <c r="A167" s="1274">
        <f t="shared" ref="A167:A181" si="12">A166+1</f>
        <v>3</v>
      </c>
      <c r="B167" s="661"/>
      <c r="C167" s="1370">
        <f>'SCH B-2.1'!C147</f>
        <v>19000</v>
      </c>
      <c r="D167" s="2955" t="str">
        <f>'SCH B-2.1'!D147</f>
        <v>Structures &amp; Improvements</v>
      </c>
      <c r="E167" s="652">
        <f>'SCH B-2.1'!E147</f>
        <v>14804597</v>
      </c>
      <c r="F167" s="1374"/>
      <c r="G167" s="1372">
        <v>7348108</v>
      </c>
      <c r="H167" s="1246">
        <v>1</v>
      </c>
      <c r="I167" s="1360">
        <f t="shared" si="10"/>
        <v>7348108</v>
      </c>
      <c r="J167" s="1360"/>
      <c r="K167" s="1360">
        <f t="shared" si="11"/>
        <v>7348108</v>
      </c>
      <c r="L167" s="1376"/>
    </row>
    <row r="168" spans="1:12">
      <c r="A168" s="1274">
        <f t="shared" si="12"/>
        <v>4</v>
      </c>
      <c r="B168" s="661"/>
      <c r="C168" s="1370">
        <f>'SCH B-2.1'!C148</f>
        <v>19100</v>
      </c>
      <c r="D168" s="2955" t="str">
        <f>'SCH B-2.1'!D148</f>
        <v>Office Furniture &amp; Equipment</v>
      </c>
      <c r="E168" s="652">
        <f>'SCH B-2.1'!E148</f>
        <v>755564</v>
      </c>
      <c r="F168" s="1374"/>
      <c r="G168" s="1372">
        <v>153302</v>
      </c>
      <c r="H168" s="1246">
        <v>1</v>
      </c>
      <c r="I168" s="1360">
        <f t="shared" ref="I168:I176" si="13">ROUND(G168*H168,0)</f>
        <v>153302</v>
      </c>
      <c r="J168" s="1360"/>
      <c r="K168" s="1360">
        <f t="shared" ref="K168:K176" si="14">I168+J168</f>
        <v>153302</v>
      </c>
      <c r="L168" s="1376"/>
    </row>
    <row r="169" spans="1:12">
      <c r="A169" s="1274">
        <f t="shared" si="12"/>
        <v>5</v>
      </c>
      <c r="B169" s="661"/>
      <c r="C169" s="3187" t="s">
        <v>2702</v>
      </c>
      <c r="D169" s="3188" t="s">
        <v>1107</v>
      </c>
      <c r="E169" s="3023">
        <v>0</v>
      </c>
      <c r="F169" s="1374" t="s">
        <v>678</v>
      </c>
      <c r="G169" s="1372">
        <v>486</v>
      </c>
      <c r="H169" s="1246">
        <v>1</v>
      </c>
      <c r="I169" s="1360">
        <f t="shared" si="13"/>
        <v>486</v>
      </c>
      <c r="J169" s="1360"/>
      <c r="K169" s="1360">
        <f t="shared" si="14"/>
        <v>486</v>
      </c>
      <c r="L169" s="1376"/>
    </row>
    <row r="170" spans="1:12">
      <c r="A170" s="1274">
        <f t="shared" si="12"/>
        <v>6</v>
      </c>
      <c r="B170" s="661"/>
      <c r="C170" s="1370">
        <f>'SCH B-2.1'!C149</f>
        <v>19101</v>
      </c>
      <c r="D170" s="2955" t="str">
        <f>'SCH B-2.1'!D149</f>
        <v>Electronic Data Processing</v>
      </c>
      <c r="E170" s="652">
        <f>'SCH B-2.1'!E149</f>
        <v>807217</v>
      </c>
      <c r="F170" s="1371"/>
      <c r="G170" s="1372">
        <v>848959</v>
      </c>
      <c r="H170" s="1246">
        <v>1</v>
      </c>
      <c r="I170" s="1360">
        <f t="shared" si="13"/>
        <v>848959</v>
      </c>
      <c r="J170" s="1360"/>
      <c r="K170" s="1360">
        <f t="shared" si="14"/>
        <v>848959</v>
      </c>
      <c r="L170" s="1376"/>
    </row>
    <row r="171" spans="1:12">
      <c r="A171" s="1274">
        <f t="shared" si="12"/>
        <v>7</v>
      </c>
      <c r="B171" s="661"/>
      <c r="C171" s="3187" t="s">
        <v>2703</v>
      </c>
      <c r="D171" s="3189" t="s">
        <v>2677</v>
      </c>
      <c r="E171" s="3023">
        <v>0</v>
      </c>
      <c r="F171" s="1371" t="s">
        <v>678</v>
      </c>
      <c r="G171" s="1372">
        <v>-50880</v>
      </c>
      <c r="H171" s="1246">
        <v>1</v>
      </c>
      <c r="I171" s="1360">
        <f t="shared" si="13"/>
        <v>-50880</v>
      </c>
      <c r="J171" s="1360"/>
      <c r="K171" s="1360">
        <f t="shared" si="14"/>
        <v>-50880</v>
      </c>
      <c r="L171" s="1376"/>
    </row>
    <row r="172" spans="1:12">
      <c r="A172" s="1274">
        <f t="shared" si="12"/>
        <v>8</v>
      </c>
      <c r="B172" s="661"/>
      <c r="C172" s="1370">
        <f>'SCH B-2.1'!C150</f>
        <v>19300</v>
      </c>
      <c r="D172" s="2955" t="str">
        <f>'SCH B-2.1'!D150</f>
        <v>Stores Equipment</v>
      </c>
      <c r="E172" s="652">
        <f>'SCH B-2.1'!E150</f>
        <v>0</v>
      </c>
      <c r="F172" s="1371"/>
      <c r="G172" s="1372">
        <v>0</v>
      </c>
      <c r="H172" s="1246">
        <v>1</v>
      </c>
      <c r="I172" s="1360">
        <f t="shared" si="13"/>
        <v>0</v>
      </c>
      <c r="J172" s="1360"/>
      <c r="K172" s="1360">
        <f t="shared" si="14"/>
        <v>0</v>
      </c>
      <c r="L172" s="1376"/>
    </row>
    <row r="173" spans="1:12">
      <c r="A173" s="1274">
        <f t="shared" si="12"/>
        <v>9</v>
      </c>
      <c r="B173" s="661"/>
      <c r="C173" s="1370">
        <f>'SCH B-2.1'!C151</f>
        <v>19400</v>
      </c>
      <c r="D173" s="2955" t="str">
        <f>'SCH B-2.1'!D151</f>
        <v>Tools, Shop &amp; Garage Equipment</v>
      </c>
      <c r="E173" s="652">
        <f>'SCH B-2.1'!E151</f>
        <v>121888</v>
      </c>
      <c r="F173" s="1371"/>
      <c r="G173" s="1372">
        <v>54234</v>
      </c>
      <c r="H173" s="1246">
        <v>1</v>
      </c>
      <c r="I173" s="1360">
        <f t="shared" si="13"/>
        <v>54234</v>
      </c>
      <c r="J173" s="1360"/>
      <c r="K173" s="1360">
        <f t="shared" si="14"/>
        <v>54234</v>
      </c>
      <c r="L173" s="1376"/>
    </row>
    <row r="174" spans="1:12">
      <c r="A174" s="1274">
        <f t="shared" si="12"/>
        <v>10</v>
      </c>
      <c r="B174" s="661"/>
      <c r="C174" s="3187" t="s">
        <v>2704</v>
      </c>
      <c r="D174" s="3188" t="s">
        <v>1112</v>
      </c>
      <c r="E174" s="3023">
        <v>0</v>
      </c>
      <c r="F174" s="1371" t="s">
        <v>678</v>
      </c>
      <c r="G174" s="1372">
        <v>15900</v>
      </c>
      <c r="H174" s="1246">
        <v>1</v>
      </c>
      <c r="I174" s="1360">
        <f t="shared" si="13"/>
        <v>15900</v>
      </c>
      <c r="J174" s="1360"/>
      <c r="K174" s="1360">
        <f t="shared" si="14"/>
        <v>15900</v>
      </c>
      <c r="L174" s="1376"/>
    </row>
    <row r="175" spans="1:12">
      <c r="A175" s="1274">
        <f t="shared" si="12"/>
        <v>11</v>
      </c>
      <c r="B175" s="661"/>
      <c r="C175" s="1370">
        <f>'SCH B-2.1'!C152</f>
        <v>19700</v>
      </c>
      <c r="D175" s="2955" t="str">
        <f>'SCH B-2.1'!D152</f>
        <v>Communication Equipment</v>
      </c>
      <c r="E175" s="652">
        <f>'SCH B-2.1'!E152</f>
        <v>8114194</v>
      </c>
      <c r="F175" s="1371"/>
      <c r="G175" s="1372">
        <v>4803012</v>
      </c>
      <c r="H175" s="1246">
        <v>1</v>
      </c>
      <c r="I175" s="1360">
        <f t="shared" si="13"/>
        <v>4803012</v>
      </c>
      <c r="J175" s="1360"/>
      <c r="K175" s="1360">
        <f t="shared" si="14"/>
        <v>4803012</v>
      </c>
      <c r="L175" s="1376"/>
    </row>
    <row r="176" spans="1:12">
      <c r="A176" s="1274">
        <f t="shared" si="12"/>
        <v>12</v>
      </c>
      <c r="B176" s="661"/>
      <c r="C176" s="3187" t="s">
        <v>2705</v>
      </c>
      <c r="D176" s="3188" t="s">
        <v>1080</v>
      </c>
      <c r="E176" s="3023">
        <v>0</v>
      </c>
      <c r="F176" s="1371" t="s">
        <v>678</v>
      </c>
      <c r="G176" s="1372">
        <v>3326633</v>
      </c>
      <c r="H176" s="1246">
        <v>1</v>
      </c>
      <c r="I176" s="1360">
        <f t="shared" si="13"/>
        <v>3326633</v>
      </c>
      <c r="J176" s="1360"/>
      <c r="K176" s="1360">
        <f t="shared" si="14"/>
        <v>3326633</v>
      </c>
      <c r="L176" s="1376"/>
    </row>
    <row r="177" spans="1:12">
      <c r="A177" s="1274">
        <f t="shared" si="12"/>
        <v>13</v>
      </c>
      <c r="B177" s="661"/>
      <c r="C177" s="1370">
        <f>'SCH B-2.1'!C153</f>
        <v>19800</v>
      </c>
      <c r="D177" s="2955" t="str">
        <f>'SCH B-2.1'!D153</f>
        <v>Miscellaneous Equipment</v>
      </c>
      <c r="E177" s="652">
        <f>'SCH B-2.1'!E153</f>
        <v>41504</v>
      </c>
      <c r="F177" s="1371"/>
      <c r="G177" s="1372">
        <v>21247</v>
      </c>
      <c r="H177" s="1246">
        <v>1</v>
      </c>
      <c r="I177" s="1360">
        <f t="shared" ref="I177:I181" si="15">ROUND(G177*H177,0)</f>
        <v>21247</v>
      </c>
      <c r="J177" s="1360"/>
      <c r="K177" s="1360">
        <f t="shared" ref="K177:K181" si="16">I177+J177</f>
        <v>21247</v>
      </c>
      <c r="L177" s="1376"/>
    </row>
    <row r="178" spans="1:12">
      <c r="A178" s="1274">
        <f t="shared" si="12"/>
        <v>14</v>
      </c>
      <c r="B178" s="661"/>
      <c r="C178" s="3187" t="s">
        <v>2706</v>
      </c>
      <c r="D178" s="3189" t="s">
        <v>1116</v>
      </c>
      <c r="E178" s="3023">
        <v>0</v>
      </c>
      <c r="F178" s="1371" t="s">
        <v>678</v>
      </c>
      <c r="G178" s="1372">
        <v>-3798</v>
      </c>
      <c r="H178" s="1246">
        <v>1</v>
      </c>
      <c r="I178" s="1360">
        <f t="shared" si="15"/>
        <v>-3798</v>
      </c>
      <c r="J178" s="1360"/>
      <c r="K178" s="1360">
        <f t="shared" si="16"/>
        <v>-3798</v>
      </c>
      <c r="L178" s="1376"/>
    </row>
    <row r="179" spans="1:12">
      <c r="A179" s="1274">
        <f t="shared" si="12"/>
        <v>15</v>
      </c>
      <c r="B179" s="661"/>
      <c r="C179" s="1370"/>
      <c r="D179" s="2955" t="str">
        <f>'SCH B-2.1'!D154</f>
        <v>Asset Retirement Cost Obligation</v>
      </c>
      <c r="E179" s="652">
        <f>'SCH B-2.1'!E154</f>
        <v>314111</v>
      </c>
      <c r="F179" s="1371"/>
      <c r="G179" s="1372">
        <v>120812</v>
      </c>
      <c r="H179" s="1246">
        <v>1</v>
      </c>
      <c r="I179" s="1360">
        <f t="shared" si="15"/>
        <v>120812</v>
      </c>
      <c r="J179" s="1360"/>
      <c r="K179" s="1360">
        <f t="shared" si="16"/>
        <v>120812</v>
      </c>
      <c r="L179" s="1376"/>
    </row>
    <row r="180" spans="1:12">
      <c r="A180" s="1274">
        <f t="shared" si="12"/>
        <v>16</v>
      </c>
      <c r="B180" s="661"/>
      <c r="C180" s="1385">
        <v>108</v>
      </c>
      <c r="D180" s="1358" t="s">
        <v>122</v>
      </c>
      <c r="E180" s="3023">
        <v>0</v>
      </c>
      <c r="F180" s="1371"/>
      <c r="G180" s="1372">
        <v>-5510</v>
      </c>
      <c r="H180" s="1246">
        <v>1</v>
      </c>
      <c r="I180" s="1360">
        <f t="shared" ref="I180" si="17">ROUND(G180*H180,0)</f>
        <v>-5510</v>
      </c>
      <c r="J180" s="1360"/>
      <c r="K180" s="1360">
        <f t="shared" ref="K180" si="18">I180+J180</f>
        <v>-5510</v>
      </c>
      <c r="L180" s="1376"/>
    </row>
    <row r="181" spans="1:12">
      <c r="A181" s="1274">
        <f t="shared" si="12"/>
        <v>17</v>
      </c>
      <c r="B181" s="661"/>
      <c r="C181" s="1370"/>
      <c r="D181" s="1358" t="s">
        <v>2776</v>
      </c>
      <c r="E181" s="652">
        <f>'SCH B-2.1'!E155</f>
        <v>0</v>
      </c>
      <c r="F181" s="1371"/>
      <c r="G181" s="1372">
        <v>-75969</v>
      </c>
      <c r="H181" s="1246">
        <v>1</v>
      </c>
      <c r="I181" s="1360">
        <f t="shared" si="15"/>
        <v>-75969</v>
      </c>
      <c r="J181" s="1360"/>
      <c r="K181" s="1360">
        <f t="shared" si="16"/>
        <v>-75969</v>
      </c>
      <c r="L181" s="1376"/>
    </row>
    <row r="182" spans="1:12">
      <c r="A182" s="661"/>
      <c r="B182" s="661"/>
      <c r="C182" s="661"/>
      <c r="D182" s="661"/>
      <c r="E182" s="661"/>
      <c r="F182" s="1361"/>
      <c r="G182" s="661"/>
      <c r="H182" s="1357"/>
      <c r="I182" s="661"/>
      <c r="J182" s="661"/>
      <c r="K182" s="661"/>
    </row>
    <row r="183" spans="1:12">
      <c r="A183" s="629"/>
      <c r="B183" s="629"/>
      <c r="C183" s="629"/>
      <c r="D183" s="629"/>
      <c r="E183" s="629"/>
      <c r="F183" s="636"/>
      <c r="G183" s="634"/>
      <c r="H183" s="635"/>
      <c r="I183" s="634"/>
      <c r="J183" s="634"/>
      <c r="K183" s="634"/>
    </row>
    <row r="184" spans="1:12">
      <c r="A184" s="1274">
        <f>A181+1</f>
        <v>18</v>
      </c>
      <c r="B184" s="661"/>
      <c r="C184" s="661"/>
      <c r="D184" s="1358" t="s">
        <v>1321</v>
      </c>
      <c r="E184" s="1360">
        <f>SUM(E165:E182)</f>
        <v>47445395</v>
      </c>
      <c r="F184" s="1371"/>
      <c r="G184" s="1360">
        <f>SUM(G165:G182)</f>
        <v>38884935</v>
      </c>
      <c r="H184" s="1246"/>
      <c r="I184" s="1360">
        <f>SUM(I165:I182)</f>
        <v>38884935</v>
      </c>
      <c r="J184" s="1360">
        <f>SUM(J165:J182)</f>
        <v>0</v>
      </c>
      <c r="K184" s="1360">
        <f>SUM(K165:K182)</f>
        <v>38884935</v>
      </c>
    </row>
    <row r="185" spans="1:12">
      <c r="A185" s="661"/>
      <c r="B185" s="661"/>
      <c r="C185" s="661"/>
      <c r="D185" s="661"/>
      <c r="E185" s="661"/>
      <c r="F185" s="1361"/>
      <c r="G185" s="661"/>
      <c r="H185" s="1357"/>
      <c r="I185" s="661"/>
      <c r="J185" s="661"/>
      <c r="K185" s="661"/>
    </row>
    <row r="186" spans="1:12">
      <c r="A186" s="629"/>
      <c r="B186" s="629"/>
      <c r="C186" s="629"/>
      <c r="D186" s="629"/>
      <c r="E186" s="629"/>
      <c r="F186" s="636"/>
      <c r="G186" s="634"/>
      <c r="H186" s="635"/>
      <c r="I186" s="634"/>
      <c r="J186" s="634"/>
      <c r="K186" s="634"/>
    </row>
    <row r="187" spans="1:12">
      <c r="B187" s="661"/>
      <c r="C187" s="1246"/>
      <c r="D187" s="1358" t="s">
        <v>1322</v>
      </c>
      <c r="F187" s="1371"/>
      <c r="H187" s="1246"/>
    </row>
    <row r="188" spans="1:12">
      <c r="A188" s="1274">
        <f>A184+1</f>
        <v>19</v>
      </c>
      <c r="B188" s="661"/>
      <c r="C188" s="1246">
        <f>CommonG</f>
        <v>0.27379999999999999</v>
      </c>
      <c r="D188" s="1358" t="s">
        <v>365</v>
      </c>
      <c r="E188" s="1360">
        <f>ROUND(E184*C188,0)</f>
        <v>12990549</v>
      </c>
      <c r="F188" s="1371"/>
      <c r="G188" s="1360"/>
      <c r="H188" s="1246"/>
      <c r="I188" s="1360"/>
      <c r="J188" s="1360"/>
      <c r="K188" s="1360"/>
    </row>
    <row r="189" spans="1:12">
      <c r="A189" s="1274">
        <f>A188+1</f>
        <v>20</v>
      </c>
      <c r="B189" s="661"/>
      <c r="C189" s="1246">
        <f>CommonG</f>
        <v>0.27379999999999999</v>
      </c>
      <c r="D189" s="1358" t="s">
        <v>1428</v>
      </c>
      <c r="E189" s="1360"/>
      <c r="F189" s="1371"/>
      <c r="G189" s="1360">
        <f>ROUND(G184*C189,0)</f>
        <v>10646695</v>
      </c>
      <c r="H189" s="1246"/>
      <c r="I189" s="1360">
        <f>G189</f>
        <v>10646695</v>
      </c>
      <c r="J189" s="1360">
        <f>ROUND(J184*$C$189,0)</f>
        <v>0</v>
      </c>
      <c r="K189" s="1360">
        <f>I189+J189</f>
        <v>10646695</v>
      </c>
    </row>
    <row r="190" spans="1:12">
      <c r="A190" s="661"/>
      <c r="B190" s="661"/>
      <c r="C190" s="661"/>
      <c r="D190" s="661"/>
      <c r="E190" s="661"/>
      <c r="F190" s="1361"/>
      <c r="G190" s="661"/>
      <c r="H190" s="1357"/>
      <c r="I190" s="661"/>
      <c r="J190" s="661"/>
      <c r="K190" s="661"/>
    </row>
    <row r="191" spans="1:12">
      <c r="A191" s="629"/>
      <c r="B191" s="629"/>
      <c r="C191" s="629"/>
      <c r="D191" s="629"/>
      <c r="E191" s="629"/>
      <c r="F191" s="636"/>
      <c r="G191" s="634"/>
      <c r="H191" s="635"/>
      <c r="I191" s="634"/>
      <c r="J191" s="634"/>
      <c r="K191" s="634"/>
    </row>
    <row r="192" spans="1:12">
      <c r="A192" s="1274">
        <f>A189+1</f>
        <v>21</v>
      </c>
      <c r="B192" s="661"/>
      <c r="C192" s="661"/>
      <c r="D192" s="1358" t="s">
        <v>1323</v>
      </c>
      <c r="E192" s="1360">
        <f>E135+E188</f>
        <v>578339358</v>
      </c>
      <c r="F192" s="1371"/>
      <c r="G192" s="1360">
        <f>G135+G189</f>
        <v>187294418</v>
      </c>
      <c r="H192" s="1246"/>
      <c r="I192" s="1360">
        <f>I135+I189</f>
        <v>187294418</v>
      </c>
      <c r="J192" s="1360">
        <f>J135+J189</f>
        <v>-7747274</v>
      </c>
      <c r="K192" s="1360">
        <f>K135+K189</f>
        <v>179547144</v>
      </c>
    </row>
    <row r="193" spans="1:11">
      <c r="A193" s="661"/>
      <c r="B193" s="661"/>
      <c r="C193" s="661"/>
      <c r="D193" s="661"/>
      <c r="E193" s="661"/>
      <c r="F193" s="1361"/>
      <c r="G193" s="661"/>
      <c r="H193" s="1357"/>
      <c r="I193" s="661"/>
      <c r="J193" s="661"/>
      <c r="K193" s="661"/>
    </row>
    <row r="194" spans="1:11">
      <c r="A194" s="629"/>
      <c r="B194" s="629"/>
      <c r="C194" s="629"/>
      <c r="D194" s="629"/>
      <c r="E194" s="629"/>
      <c r="F194" s="636"/>
      <c r="G194" s="634"/>
      <c r="H194" s="635"/>
      <c r="I194" s="634"/>
      <c r="J194" s="634"/>
      <c r="K194" s="634"/>
    </row>
    <row r="195" spans="1:11">
      <c r="A195" s="1377" t="s">
        <v>1426</v>
      </c>
      <c r="B195" s="661"/>
      <c r="C195" s="661"/>
      <c r="D195" s="661"/>
      <c r="E195" s="661"/>
      <c r="F195" s="679"/>
      <c r="G195" s="1360"/>
      <c r="H195" s="1246"/>
      <c r="I195" s="1360"/>
      <c r="J195" s="1360"/>
      <c r="K195" s="1360"/>
    </row>
    <row r="196" spans="1:11">
      <c r="A196" s="3130" t="s">
        <v>2918</v>
      </c>
      <c r="B196" s="661"/>
      <c r="C196" s="661"/>
      <c r="D196" s="661"/>
      <c r="E196" s="661"/>
      <c r="F196" s="679"/>
      <c r="G196" s="1360"/>
      <c r="H196" s="1246"/>
      <c r="I196" s="1360"/>
      <c r="J196" s="1360"/>
      <c r="K196" s="1360"/>
    </row>
    <row r="197" spans="1:11">
      <c r="A197" s="3434"/>
      <c r="B197" s="3434"/>
      <c r="C197" s="3434"/>
      <c r="D197" s="3434"/>
      <c r="E197" s="3434"/>
      <c r="F197" s="3434"/>
      <c r="G197" s="3434"/>
      <c r="H197" s="3434"/>
      <c r="I197" s="3434"/>
      <c r="J197" s="3434"/>
      <c r="K197" s="3434"/>
    </row>
    <row r="199" spans="1:11">
      <c r="A199" s="1272" t="str">
        <f>COMPANY</f>
        <v>DUKE ENERGY KENTUCKY, INC.</v>
      </c>
      <c r="B199" s="1273"/>
      <c r="C199" s="1273"/>
      <c r="D199" s="1466"/>
      <c r="E199" s="1466"/>
      <c r="F199" s="1467"/>
      <c r="G199" s="1273"/>
      <c r="H199" s="1468"/>
      <c r="I199" s="1469"/>
      <c r="J199" s="1469"/>
      <c r="K199" s="1469"/>
    </row>
    <row r="200" spans="1:11">
      <c r="A200" s="1272" t="str">
        <f>CASE</f>
        <v>CASE NO. 2018-00261</v>
      </c>
      <c r="B200" s="1273"/>
      <c r="C200" s="1273"/>
      <c r="D200" s="1466"/>
      <c r="E200" s="1466"/>
      <c r="F200" s="1467"/>
      <c r="G200" s="1273"/>
      <c r="H200" s="1353"/>
      <c r="I200" s="1469"/>
      <c r="J200" s="1469"/>
      <c r="K200" s="1469"/>
    </row>
    <row r="201" spans="1:11">
      <c r="A201" s="1272" t="s">
        <v>119</v>
      </c>
      <c r="B201" s="1273"/>
      <c r="C201" s="1273"/>
      <c r="D201" s="1466"/>
      <c r="E201" s="1466"/>
      <c r="F201" s="1467"/>
      <c r="G201" s="1273"/>
      <c r="H201" s="1468"/>
      <c r="I201" s="1469"/>
      <c r="J201" s="1469"/>
      <c r="K201" s="1469"/>
    </row>
    <row r="202" spans="1:11">
      <c r="A202" s="44" t="str">
        <f>"AS OF " &amp;RIGHT(Forecast,(LEN(Forecast)-16))</f>
        <v>AS OF MARCH 31, 2020</v>
      </c>
      <c r="B202" s="1273"/>
      <c r="C202" s="1273"/>
      <c r="D202" s="1466"/>
      <c r="E202" s="1466"/>
      <c r="F202" s="1467"/>
      <c r="G202" s="1273"/>
      <c r="H202" s="1468"/>
      <c r="I202" s="1469"/>
      <c r="J202" s="1469"/>
      <c r="K202" s="1469"/>
    </row>
    <row r="203" spans="1:11">
      <c r="A203" s="1273"/>
      <c r="B203" s="1273"/>
      <c r="C203" s="1273"/>
      <c r="D203" s="1466"/>
      <c r="E203" s="1466"/>
      <c r="F203" s="1467"/>
      <c r="G203" s="1273"/>
      <c r="H203" s="1468"/>
      <c r="I203" s="1469"/>
      <c r="J203" s="1469"/>
      <c r="K203" s="1469"/>
    </row>
    <row r="204" spans="1:11">
      <c r="A204" s="1272" t="s">
        <v>1147</v>
      </c>
      <c r="B204" s="1273"/>
      <c r="C204" s="1273"/>
      <c r="D204" s="1466"/>
      <c r="E204" s="1466"/>
      <c r="F204" s="1467"/>
      <c r="G204" s="1273"/>
      <c r="H204" s="1468"/>
      <c r="I204" s="1469"/>
      <c r="J204" s="1469"/>
      <c r="K204" s="1469"/>
    </row>
    <row r="205" spans="1:11">
      <c r="A205" s="1355"/>
      <c r="B205" s="1273"/>
      <c r="C205" s="1273"/>
      <c r="D205" s="1466"/>
      <c r="E205" s="1466"/>
      <c r="F205" s="1467"/>
      <c r="G205" s="1273"/>
      <c r="H205" s="1468"/>
      <c r="I205" s="1469"/>
      <c r="J205" s="1469"/>
      <c r="K205" s="1469"/>
    </row>
    <row r="206" spans="1:11">
      <c r="A206" s="661"/>
      <c r="B206" s="661"/>
      <c r="C206" s="661"/>
      <c r="D206" s="661"/>
      <c r="E206" s="661"/>
      <c r="F206" s="679"/>
      <c r="G206" s="661"/>
      <c r="H206" s="1246"/>
      <c r="I206" s="1360"/>
      <c r="J206" s="1360"/>
      <c r="K206" s="1360"/>
    </row>
    <row r="207" spans="1:11">
      <c r="A207" s="661"/>
      <c r="B207" s="661"/>
      <c r="C207" s="661"/>
      <c r="D207" s="661"/>
      <c r="E207" s="661"/>
      <c r="F207" s="679"/>
      <c r="G207" s="661"/>
      <c r="H207" s="1357"/>
      <c r="I207" s="661"/>
      <c r="J207" s="661"/>
      <c r="K207" s="661"/>
    </row>
    <row r="208" spans="1:11">
      <c r="A208" s="1358" t="str">
        <f>DataF</f>
        <v>DATA:  BASE PERIOD  "X" FORECASTED PERIOD</v>
      </c>
      <c r="B208" s="661"/>
      <c r="C208" s="661"/>
      <c r="D208" s="661"/>
      <c r="E208" s="661"/>
      <c r="F208" s="679"/>
      <c r="G208" s="1360"/>
      <c r="H208" s="1246"/>
      <c r="I208" s="1360"/>
      <c r="J208" s="1359" t="s">
        <v>120</v>
      </c>
      <c r="K208" s="1360"/>
    </row>
    <row r="209" spans="1:12">
      <c r="A209" s="1358" t="str">
        <f>Type</f>
        <v xml:space="preserve">TYPE OF FILING:  "X" ORIGINAL   UPDATED    REVISED  </v>
      </c>
      <c r="B209" s="661"/>
      <c r="C209" s="661"/>
      <c r="D209" s="661"/>
      <c r="E209" s="661"/>
      <c r="F209" s="679"/>
      <c r="G209" s="1360"/>
      <c r="H209" s="1246"/>
      <c r="I209" s="1360"/>
      <c r="J209" s="1359" t="s">
        <v>500</v>
      </c>
      <c r="K209" s="1360"/>
    </row>
    <row r="210" spans="1:12">
      <c r="A210" s="1358" t="s">
        <v>311</v>
      </c>
      <c r="B210" s="661"/>
      <c r="C210" s="661"/>
      <c r="D210" s="661"/>
      <c r="E210" s="661"/>
      <c r="F210" s="679"/>
      <c r="G210" s="1360"/>
      <c r="H210" s="1246"/>
      <c r="I210" s="1360"/>
      <c r="J210" s="1359" t="s">
        <v>566</v>
      </c>
      <c r="K210" s="1360"/>
    </row>
    <row r="211" spans="1:12">
      <c r="A211" s="661"/>
      <c r="B211" s="661"/>
      <c r="C211" s="661"/>
      <c r="D211" s="661"/>
      <c r="E211" s="661"/>
      <c r="F211" s="679"/>
      <c r="G211" s="1360"/>
      <c r="H211" s="1246"/>
      <c r="I211" s="1360"/>
      <c r="J211" s="1383" t="str">
        <f>_WIT7</f>
        <v>R. H. PRATT / C. S. LEE</v>
      </c>
      <c r="K211" s="1360"/>
    </row>
    <row r="212" spans="1:12">
      <c r="A212" s="661"/>
      <c r="B212" s="661"/>
      <c r="C212" s="661"/>
      <c r="D212" s="661"/>
      <c r="E212" s="661"/>
      <c r="F212" s="679"/>
      <c r="G212" s="1360"/>
      <c r="H212" s="1246"/>
      <c r="I212" s="1360"/>
      <c r="J212" s="1360"/>
      <c r="K212" s="1360"/>
    </row>
    <row r="213" spans="1:12">
      <c r="A213" s="661"/>
      <c r="B213" s="661"/>
      <c r="C213" s="661"/>
      <c r="D213" s="661"/>
      <c r="E213" s="661"/>
      <c r="F213" s="1361"/>
      <c r="G213" s="1360"/>
      <c r="H213" s="1246"/>
      <c r="I213" s="1360"/>
      <c r="J213" s="1360"/>
      <c r="K213" s="1360"/>
    </row>
    <row r="214" spans="1:12">
      <c r="A214" s="629"/>
      <c r="B214" s="630"/>
      <c r="C214" s="631"/>
      <c r="D214" s="629"/>
      <c r="E214" s="674" t="s">
        <v>621</v>
      </c>
      <c r="F214" s="633"/>
      <c r="G214" s="634"/>
      <c r="H214" s="635"/>
      <c r="I214" s="634"/>
      <c r="J214" s="634"/>
      <c r="K214" s="634"/>
    </row>
    <row r="215" spans="1:12">
      <c r="A215" s="636"/>
      <c r="B215" s="637" t="s">
        <v>1041</v>
      </c>
      <c r="C215" s="637" t="s">
        <v>2137</v>
      </c>
      <c r="D215" s="636"/>
      <c r="E215" s="675" t="s">
        <v>799</v>
      </c>
      <c r="F215" s="633"/>
      <c r="G215" s="2030" t="s">
        <v>2514</v>
      </c>
      <c r="H215" s="638"/>
      <c r="I215" s="638"/>
      <c r="J215" s="638"/>
      <c r="K215" s="638"/>
    </row>
    <row r="216" spans="1:12">
      <c r="A216" s="1274" t="s">
        <v>1938</v>
      </c>
      <c r="B216" s="1274" t="s">
        <v>1150</v>
      </c>
      <c r="C216" s="1274" t="s">
        <v>1150</v>
      </c>
      <c r="D216" s="661"/>
      <c r="E216" s="1363" t="s">
        <v>1232</v>
      </c>
      <c r="F216" s="675"/>
      <c r="G216" s="1363"/>
      <c r="H216" s="1364" t="s">
        <v>1898</v>
      </c>
      <c r="I216" s="1363" t="s">
        <v>1898</v>
      </c>
      <c r="J216" s="1360"/>
      <c r="K216" s="1363" t="s">
        <v>572</v>
      </c>
    </row>
    <row r="217" spans="1:12">
      <c r="A217" s="1365" t="s">
        <v>1939</v>
      </c>
      <c r="B217" s="1365" t="s">
        <v>1939</v>
      </c>
      <c r="C217" s="1365" t="s">
        <v>1939</v>
      </c>
      <c r="D217" s="1365" t="s">
        <v>1151</v>
      </c>
      <c r="E217" s="1366" t="s">
        <v>2045</v>
      </c>
      <c r="F217" s="1365"/>
      <c r="G217" s="1366" t="s">
        <v>2153</v>
      </c>
      <c r="H217" s="1367" t="s">
        <v>2097</v>
      </c>
      <c r="I217" s="1366" t="s">
        <v>2153</v>
      </c>
      <c r="J217" s="1366" t="s">
        <v>571</v>
      </c>
      <c r="K217" s="1366" t="s">
        <v>1357</v>
      </c>
    </row>
    <row r="218" spans="1:12">
      <c r="A218" s="1274" t="s">
        <v>749</v>
      </c>
      <c r="B218" s="661"/>
      <c r="C218" s="661"/>
      <c r="D218" s="661"/>
      <c r="E218" s="1363" t="s">
        <v>695</v>
      </c>
      <c r="F218" s="1470"/>
      <c r="G218" s="1363" t="s">
        <v>695</v>
      </c>
      <c r="H218" s="1357"/>
      <c r="I218" s="1363" t="s">
        <v>695</v>
      </c>
      <c r="J218" s="1363" t="s">
        <v>695</v>
      </c>
      <c r="K218" s="1363" t="s">
        <v>695</v>
      </c>
    </row>
    <row r="219" spans="1:12">
      <c r="A219" s="661"/>
      <c r="B219" s="661"/>
      <c r="C219" s="661"/>
      <c r="D219" s="661"/>
      <c r="E219" s="661"/>
      <c r="F219" s="679"/>
      <c r="G219" s="1360"/>
      <c r="H219" s="1246"/>
      <c r="I219" s="1360"/>
      <c r="J219" s="1360"/>
      <c r="K219" s="1360"/>
    </row>
    <row r="220" spans="1:12">
      <c r="A220" s="1274" t="s">
        <v>1152</v>
      </c>
      <c r="B220" s="1274" t="str">
        <f>B22</f>
        <v>304</v>
      </c>
      <c r="C220" s="1274">
        <f>C22</f>
        <v>20400</v>
      </c>
      <c r="D220" s="1358" t="str">
        <f>D22</f>
        <v>Land and Land Rights</v>
      </c>
      <c r="E220" s="652">
        <f>'SCH B-2.1'!E188</f>
        <v>117711</v>
      </c>
      <c r="F220" s="1371"/>
      <c r="G220" s="2755">
        <v>0</v>
      </c>
      <c r="H220" s="1246">
        <v>1</v>
      </c>
      <c r="I220" s="1360">
        <f t="shared" ref="I220:I224" si="19">ROUND((G220*H220),0)</f>
        <v>0</v>
      </c>
      <c r="J220" s="1471">
        <v>0</v>
      </c>
      <c r="K220" s="1360">
        <f t="shared" ref="K220:K224" si="20">I220+J220</f>
        <v>0</v>
      </c>
      <c r="L220" s="1376"/>
    </row>
    <row r="221" spans="1:12">
      <c r="A221" s="1274">
        <f>1+A220</f>
        <v>2</v>
      </c>
      <c r="B221" s="1274" t="str">
        <f t="shared" ref="B221:C223" si="21">B23</f>
        <v>304</v>
      </c>
      <c r="C221" s="1274">
        <f t="shared" si="21"/>
        <v>20401</v>
      </c>
      <c r="D221" s="1358" t="str">
        <f t="shared" ref="D221:D224" si="22">D23</f>
        <v>Rights of Way</v>
      </c>
      <c r="E221" s="652">
        <f>'SCH B-2.1'!E189</f>
        <v>24459</v>
      </c>
      <c r="F221" s="1371"/>
      <c r="G221" s="2755">
        <v>24439</v>
      </c>
      <c r="H221" s="1246">
        <v>1</v>
      </c>
      <c r="I221" s="1360">
        <f t="shared" si="19"/>
        <v>24439</v>
      </c>
      <c r="J221" s="1360">
        <f>-'SCH B-3.1'!G76</f>
        <v>-15885</v>
      </c>
      <c r="K221" s="1360">
        <f t="shared" si="20"/>
        <v>8554</v>
      </c>
      <c r="L221" s="1376"/>
    </row>
    <row r="222" spans="1:12">
      <c r="A222" s="1274">
        <f>1+A221</f>
        <v>3</v>
      </c>
      <c r="B222" s="1274" t="str">
        <f t="shared" si="21"/>
        <v>305</v>
      </c>
      <c r="C222" s="1274">
        <f t="shared" si="21"/>
        <v>20500</v>
      </c>
      <c r="D222" s="1358" t="str">
        <f t="shared" si="22"/>
        <v>Structures &amp; Improvements</v>
      </c>
      <c r="E222" s="652">
        <f>'SCH B-2.1'!E190</f>
        <v>1722764</v>
      </c>
      <c r="F222" s="1374"/>
      <c r="G222" s="2755">
        <v>1429735</v>
      </c>
      <c r="H222" s="1246">
        <v>1</v>
      </c>
      <c r="I222" s="1360">
        <f t="shared" si="19"/>
        <v>1429735</v>
      </c>
      <c r="J222" s="1360">
        <f>-'SCH B-3.1'!G77</f>
        <v>-930001</v>
      </c>
      <c r="K222" s="1360">
        <f t="shared" si="20"/>
        <v>499734</v>
      </c>
      <c r="L222" s="1376"/>
    </row>
    <row r="223" spans="1:12">
      <c r="A223" s="1274">
        <f>1+A222</f>
        <v>4</v>
      </c>
      <c r="B223" s="1274" t="str">
        <f t="shared" si="21"/>
        <v>311</v>
      </c>
      <c r="C223" s="1274">
        <f t="shared" si="21"/>
        <v>21100</v>
      </c>
      <c r="D223" s="1358" t="str">
        <f t="shared" si="22"/>
        <v>Liquefied Petroleum Gas Equipment</v>
      </c>
      <c r="E223" s="652">
        <f>'SCH B-2.1'!E191</f>
        <v>5955198</v>
      </c>
      <c r="F223" s="1374"/>
      <c r="G223" s="2755">
        <v>3211329</v>
      </c>
      <c r="H223" s="1246">
        <v>1</v>
      </c>
      <c r="I223" s="1360">
        <f t="shared" si="19"/>
        <v>3211329</v>
      </c>
      <c r="J223" s="1360">
        <f>-'SCH B-3.1'!G78</f>
        <v>-2085019</v>
      </c>
      <c r="K223" s="1360">
        <f t="shared" si="20"/>
        <v>1126310</v>
      </c>
      <c r="L223" s="1376"/>
    </row>
    <row r="224" spans="1:12">
      <c r="A224" s="1274">
        <f>1+A223</f>
        <v>5</v>
      </c>
      <c r="B224" s="661"/>
      <c r="C224" s="1274">
        <f t="shared" ref="C224" si="23">C26</f>
        <v>108</v>
      </c>
      <c r="D224" s="1358" t="str">
        <f t="shared" si="22"/>
        <v>Retirement Work in Progress</v>
      </c>
      <c r="E224" s="652"/>
      <c r="F224" s="1371"/>
      <c r="G224" s="2755">
        <v>0</v>
      </c>
      <c r="H224" s="1246">
        <v>1</v>
      </c>
      <c r="I224" s="1360">
        <f t="shared" si="19"/>
        <v>0</v>
      </c>
      <c r="J224" s="1360"/>
      <c r="K224" s="1360">
        <f t="shared" si="20"/>
        <v>0</v>
      </c>
      <c r="L224" s="1376"/>
    </row>
    <row r="225" spans="1:11">
      <c r="A225" s="661"/>
      <c r="B225" s="661"/>
      <c r="C225" s="661"/>
      <c r="D225" s="661"/>
      <c r="E225" s="661"/>
      <c r="F225" s="1361"/>
      <c r="G225" s="661"/>
      <c r="H225" s="1357"/>
      <c r="I225" s="661"/>
      <c r="J225" s="661"/>
      <c r="K225" s="661"/>
    </row>
    <row r="226" spans="1:11">
      <c r="A226" s="629"/>
      <c r="B226" s="629"/>
      <c r="C226" s="629"/>
      <c r="D226" s="629"/>
      <c r="E226" s="629"/>
      <c r="F226" s="636"/>
      <c r="G226" s="629"/>
      <c r="H226" s="643"/>
      <c r="I226" s="629"/>
      <c r="J226" s="629"/>
      <c r="K226" s="629"/>
    </row>
    <row r="227" spans="1:11">
      <c r="A227" s="1274">
        <f>A224+1</f>
        <v>6</v>
      </c>
      <c r="B227" s="661"/>
      <c r="C227" s="661"/>
      <c r="D227" s="1358" t="s">
        <v>1163</v>
      </c>
      <c r="E227" s="652">
        <f>SUM(E220:E226)</f>
        <v>7820132</v>
      </c>
      <c r="F227" s="1371"/>
      <c r="G227" s="1360">
        <f>SUM(G220:G224)</f>
        <v>4665503</v>
      </c>
      <c r="H227" s="1246"/>
      <c r="I227" s="1360">
        <f>SUM(I220:I224)</f>
        <v>4665503</v>
      </c>
      <c r="J227" s="1360">
        <f>SUM(J220:J224)</f>
        <v>-3030905</v>
      </c>
      <c r="K227" s="1360">
        <f>SUM(K220:K224)</f>
        <v>1634598</v>
      </c>
    </row>
    <row r="228" spans="1:11">
      <c r="A228" s="661"/>
      <c r="B228" s="661"/>
      <c r="C228" s="661"/>
      <c r="D228" s="661"/>
      <c r="E228" s="661"/>
      <c r="F228" s="1361"/>
      <c r="G228" s="1360"/>
      <c r="H228" s="1246"/>
      <c r="I228" s="1360"/>
      <c r="J228" s="1360"/>
      <c r="K228" s="1360"/>
    </row>
    <row r="229" spans="1:11">
      <c r="A229" s="629"/>
      <c r="B229" s="629"/>
      <c r="C229" s="629"/>
      <c r="D229" s="629"/>
      <c r="E229" s="629"/>
      <c r="F229" s="636"/>
      <c r="G229" s="629"/>
      <c r="H229" s="643"/>
      <c r="I229" s="629"/>
      <c r="J229" s="629"/>
      <c r="K229" s="629"/>
    </row>
    <row r="230" spans="1:11">
      <c r="A230" s="1377" t="s">
        <v>1426</v>
      </c>
      <c r="B230" s="661"/>
      <c r="C230" s="661"/>
      <c r="D230" s="661"/>
      <c r="E230" s="661"/>
      <c r="F230" s="679"/>
      <c r="G230" s="661"/>
      <c r="H230" s="1357"/>
      <c r="I230" s="661"/>
      <c r="J230" s="661"/>
      <c r="K230" s="661"/>
    </row>
    <row r="231" spans="1:11">
      <c r="A231" s="661"/>
      <c r="B231" s="661"/>
      <c r="C231" s="661"/>
      <c r="D231" s="661"/>
      <c r="E231" s="661"/>
      <c r="F231" s="679"/>
      <c r="G231" s="1360"/>
      <c r="H231" s="1246"/>
      <c r="I231" s="1360"/>
      <c r="J231" s="1360"/>
      <c r="K231" s="1360"/>
    </row>
    <row r="232" spans="1:11">
      <c r="A232" s="661"/>
      <c r="B232" s="661"/>
      <c r="C232" s="661"/>
      <c r="D232" s="661"/>
      <c r="E232" s="661"/>
      <c r="F232" s="679"/>
      <c r="G232" s="1360"/>
      <c r="H232" s="1246"/>
      <c r="I232" s="1360"/>
      <c r="J232" s="1360"/>
      <c r="K232" s="1360"/>
    </row>
    <row r="233" spans="1:11">
      <c r="A233" s="661"/>
      <c r="B233" s="661"/>
      <c r="C233" s="661"/>
      <c r="D233" s="661"/>
      <c r="E233" s="661"/>
      <c r="F233" s="679"/>
      <c r="G233" s="1360"/>
      <c r="H233" s="1246"/>
      <c r="I233" s="1360"/>
      <c r="J233" s="1360"/>
      <c r="K233" s="1360"/>
    </row>
    <row r="234" spans="1:11">
      <c r="A234" s="661"/>
      <c r="B234" s="661"/>
      <c r="C234" s="661"/>
      <c r="D234" s="661"/>
      <c r="E234" s="661"/>
      <c r="F234" s="679"/>
      <c r="G234" s="1360"/>
      <c r="H234" s="1246"/>
      <c r="I234" s="1360"/>
      <c r="J234" s="1360"/>
      <c r="K234" s="1360"/>
    </row>
    <row r="235" spans="1:11">
      <c r="A235" s="661"/>
      <c r="B235" s="661"/>
      <c r="C235" s="661"/>
      <c r="D235" s="661"/>
      <c r="E235" s="661"/>
      <c r="F235" s="679"/>
      <c r="G235" s="1360"/>
      <c r="H235" s="1246"/>
      <c r="I235" s="1360"/>
      <c r="J235" s="1360"/>
      <c r="K235" s="1360"/>
    </row>
    <row r="236" spans="1:11">
      <c r="A236" s="661"/>
      <c r="B236" s="661"/>
      <c r="C236" s="661"/>
      <c r="D236" s="661"/>
      <c r="E236" s="661"/>
      <c r="F236" s="679"/>
      <c r="G236" s="1360"/>
      <c r="H236" s="1246"/>
      <c r="I236" s="1360"/>
      <c r="J236" s="1360"/>
      <c r="K236" s="1360"/>
    </row>
    <row r="237" spans="1:11">
      <c r="A237" s="1272" t="str">
        <f>COMPANY</f>
        <v>DUKE ENERGY KENTUCKY, INC.</v>
      </c>
      <c r="B237" s="1273"/>
      <c r="C237" s="1273"/>
      <c r="D237" s="1272"/>
      <c r="E237" s="1272"/>
      <c r="F237" s="1352"/>
      <c r="G237" s="1273"/>
      <c r="H237" s="1353"/>
      <c r="I237" s="1273"/>
      <c r="J237" s="1273"/>
      <c r="K237" s="1273"/>
    </row>
    <row r="238" spans="1:11">
      <c r="A238" s="1272" t="str">
        <f>CASE</f>
        <v>CASE NO. 2018-00261</v>
      </c>
      <c r="B238" s="1273"/>
      <c r="C238" s="1273"/>
      <c r="D238" s="1272"/>
      <c r="E238" s="1272"/>
      <c r="F238" s="1352"/>
      <c r="G238" s="1273"/>
      <c r="H238" s="1353"/>
      <c r="I238" s="1273"/>
      <c r="J238" s="1273"/>
      <c r="K238" s="1273"/>
    </row>
    <row r="239" spans="1:11">
      <c r="A239" s="1272" t="str">
        <f>A201</f>
        <v>ACCUMULATED DEPRECIATION AND AMORTIZATION</v>
      </c>
      <c r="B239" s="1273"/>
      <c r="C239" s="1273"/>
      <c r="D239" s="1272"/>
      <c r="E239" s="1272"/>
      <c r="F239" s="1352"/>
      <c r="G239" s="1273"/>
      <c r="H239" s="1353"/>
      <c r="I239" s="1273"/>
      <c r="J239" s="1273"/>
      <c r="K239" s="1273"/>
    </row>
    <row r="240" spans="1:11">
      <c r="A240" s="44" t="str">
        <f>"AS OF " &amp;RIGHT(Forecast,(LEN(Forecast)-16))</f>
        <v>AS OF MARCH 31, 2020</v>
      </c>
      <c r="B240" s="1273"/>
      <c r="C240" s="1273"/>
      <c r="D240" s="1272"/>
      <c r="E240" s="1272"/>
      <c r="F240" s="1352"/>
      <c r="G240" s="1273"/>
      <c r="H240" s="1353"/>
      <c r="I240" s="1273"/>
      <c r="J240" s="1273"/>
      <c r="K240" s="1273"/>
    </row>
    <row r="241" spans="1:11">
      <c r="A241" s="1273"/>
      <c r="B241" s="1273"/>
      <c r="C241" s="1273"/>
      <c r="D241" s="1273"/>
      <c r="E241" s="1273"/>
      <c r="F241" s="1354"/>
      <c r="G241" s="1273"/>
      <c r="H241" s="1353"/>
      <c r="I241" s="1273"/>
      <c r="J241" s="1273"/>
      <c r="K241" s="1273"/>
    </row>
    <row r="242" spans="1:11">
      <c r="A242" s="1272" t="s">
        <v>1164</v>
      </c>
      <c r="B242" s="1273"/>
      <c r="C242" s="1273"/>
      <c r="D242" s="1272"/>
      <c r="E242" s="1272"/>
      <c r="F242" s="1352"/>
      <c r="G242" s="1273"/>
      <c r="H242" s="1353"/>
      <c r="I242" s="1273"/>
      <c r="J242" s="1273"/>
      <c r="K242" s="1273"/>
    </row>
    <row r="243" spans="1:11">
      <c r="A243" s="1355"/>
      <c r="B243" s="1273"/>
      <c r="C243" s="1273"/>
      <c r="D243" s="1272"/>
      <c r="E243" s="1272"/>
      <c r="F243" s="1352"/>
      <c r="G243" s="1273"/>
      <c r="H243" s="1353"/>
      <c r="I243" s="1273"/>
      <c r="J243" s="1273"/>
      <c r="K243" s="1273"/>
    </row>
    <row r="244" spans="1:11">
      <c r="A244" s="1356"/>
      <c r="B244" s="661"/>
      <c r="C244" s="661"/>
      <c r="D244" s="661"/>
      <c r="E244" s="661"/>
      <c r="F244" s="679"/>
      <c r="G244" s="661"/>
      <c r="H244" s="1357"/>
      <c r="I244" s="661"/>
      <c r="J244" s="661"/>
      <c r="K244" s="661"/>
    </row>
    <row r="245" spans="1:11">
      <c r="A245" s="1356"/>
      <c r="B245" s="661"/>
      <c r="C245" s="661"/>
      <c r="D245" s="661"/>
      <c r="E245" s="661"/>
      <c r="F245" s="679"/>
      <c r="G245" s="661"/>
      <c r="H245" s="1357"/>
      <c r="I245" s="661"/>
      <c r="J245" s="1358"/>
      <c r="K245" s="661"/>
    </row>
    <row r="246" spans="1:11">
      <c r="A246" s="1358" t="str">
        <f>DataF</f>
        <v>DATA:  BASE PERIOD  "X" FORECASTED PERIOD</v>
      </c>
      <c r="B246" s="661"/>
      <c r="C246" s="661"/>
      <c r="D246" s="661"/>
      <c r="E246" s="661"/>
      <c r="F246" s="679"/>
      <c r="G246" s="661"/>
      <c r="H246" s="1357"/>
      <c r="I246" s="661"/>
      <c r="J246" s="1359" t="str">
        <f>J208</f>
        <v>SCHEDULE B-3</v>
      </c>
      <c r="K246" s="661"/>
    </row>
    <row r="247" spans="1:11">
      <c r="A247" s="1358" t="str">
        <f>Type</f>
        <v xml:space="preserve">TYPE OF FILING:  "X" ORIGINAL   UPDATED    REVISED  </v>
      </c>
      <c r="B247" s="661"/>
      <c r="C247" s="661"/>
      <c r="D247" s="661"/>
      <c r="E247" s="661"/>
      <c r="F247" s="679"/>
      <c r="G247" s="661"/>
      <c r="H247" s="1357"/>
      <c r="I247" s="661"/>
      <c r="J247" s="1359" t="s">
        <v>501</v>
      </c>
      <c r="K247" s="661"/>
    </row>
    <row r="248" spans="1:11">
      <c r="A248" s="1358" t="str">
        <f>A210</f>
        <v>WORK PAPER REFERENCE NO(S).: SCHEDULE B-2.1, SCHEDULE B-3.1</v>
      </c>
      <c r="B248" s="661"/>
      <c r="C248" s="661"/>
      <c r="D248" s="661"/>
      <c r="E248" s="661"/>
      <c r="F248" s="679"/>
      <c r="G248" s="661"/>
      <c r="H248" s="1357"/>
      <c r="I248" s="661"/>
      <c r="J248" s="1360" t="str">
        <f>J210</f>
        <v>WITNESS RESPONSIBLE:</v>
      </c>
      <c r="K248" s="661"/>
    </row>
    <row r="249" spans="1:11">
      <c r="A249" s="661"/>
      <c r="B249" s="661"/>
      <c r="C249" s="661"/>
      <c r="D249" s="661"/>
      <c r="E249" s="661"/>
      <c r="F249" s="679"/>
      <c r="G249" s="661"/>
      <c r="H249" s="1357"/>
      <c r="I249" s="661"/>
      <c r="J249" s="661" t="str">
        <f>J211</f>
        <v>R. H. PRATT / C. S. LEE</v>
      </c>
      <c r="K249" s="661"/>
    </row>
    <row r="250" spans="1:11">
      <c r="A250" s="661"/>
      <c r="B250" s="661"/>
      <c r="C250" s="661"/>
      <c r="D250" s="661"/>
      <c r="E250" s="661"/>
      <c r="F250" s="679"/>
      <c r="G250" s="661"/>
      <c r="H250" s="1357"/>
      <c r="I250" s="661"/>
      <c r="J250" s="661"/>
      <c r="K250" s="661"/>
    </row>
    <row r="251" spans="1:11">
      <c r="A251" s="661"/>
      <c r="B251" s="661"/>
      <c r="C251" s="661"/>
      <c r="D251" s="661"/>
      <c r="E251" s="661"/>
      <c r="F251" s="1361"/>
      <c r="G251" s="661"/>
      <c r="H251" s="1357"/>
      <c r="I251" s="661"/>
      <c r="J251" s="661"/>
      <c r="K251" s="661"/>
    </row>
    <row r="252" spans="1:11">
      <c r="A252" s="629"/>
      <c r="B252" s="646"/>
      <c r="C252" s="647" t="s">
        <v>2152</v>
      </c>
      <c r="D252" s="629"/>
      <c r="E252" s="674" t="str">
        <f>E214</f>
        <v>13 Month</v>
      </c>
      <c r="F252" s="633"/>
      <c r="G252" s="629"/>
      <c r="H252" s="643"/>
      <c r="I252" s="629"/>
      <c r="J252" s="629"/>
      <c r="K252" s="629"/>
    </row>
    <row r="253" spans="1:11">
      <c r="A253" s="636"/>
      <c r="B253" s="648" t="s">
        <v>1041</v>
      </c>
      <c r="C253" s="648" t="s">
        <v>2137</v>
      </c>
      <c r="D253" s="636"/>
      <c r="E253" s="675" t="str">
        <f>E215</f>
        <v>Average</v>
      </c>
      <c r="F253" s="633"/>
      <c r="G253" s="677" t="str">
        <f>G215</f>
        <v>13 Month Average Forecasted Period Accumulated Balances</v>
      </c>
      <c r="H253" s="649"/>
      <c r="I253" s="649"/>
      <c r="J253" s="649"/>
      <c r="K253" s="649"/>
    </row>
    <row r="254" spans="1:11">
      <c r="A254" s="1274" t="s">
        <v>1938</v>
      </c>
      <c r="B254" s="1274" t="s">
        <v>1150</v>
      </c>
      <c r="C254" s="1274" t="s">
        <v>1150</v>
      </c>
      <c r="D254" s="661"/>
      <c r="E254" s="1362" t="str">
        <f>E216</f>
        <v>Forecasted</v>
      </c>
      <c r="F254" s="675"/>
      <c r="G254" s="1363"/>
      <c r="H254" s="1364" t="s">
        <v>2010</v>
      </c>
      <c r="I254" s="1274" t="s">
        <v>1427</v>
      </c>
      <c r="J254" s="661"/>
      <c r="K254" s="1274" t="s">
        <v>572</v>
      </c>
    </row>
    <row r="255" spans="1:11">
      <c r="A255" s="1274" t="s">
        <v>1939</v>
      </c>
      <c r="B255" s="1274" t="s">
        <v>1939</v>
      </c>
      <c r="C255" s="1274" t="s">
        <v>1939</v>
      </c>
      <c r="D255" s="1274" t="s">
        <v>1151</v>
      </c>
      <c r="E255" s="1363" t="str">
        <f>E217</f>
        <v>Period (1)</v>
      </c>
      <c r="F255" s="1365"/>
      <c r="G255" s="1366" t="s">
        <v>2153</v>
      </c>
      <c r="H255" s="1367" t="s">
        <v>2097</v>
      </c>
      <c r="I255" s="1365" t="s">
        <v>2153</v>
      </c>
      <c r="J255" s="1365" t="s">
        <v>571</v>
      </c>
      <c r="K255" s="1365" t="s">
        <v>1357</v>
      </c>
    </row>
    <row r="256" spans="1:11">
      <c r="A256" s="629"/>
      <c r="B256" s="629"/>
      <c r="C256" s="629"/>
      <c r="D256" s="629"/>
      <c r="E256" s="629"/>
      <c r="F256" s="636"/>
      <c r="G256" s="1274" t="s">
        <v>695</v>
      </c>
      <c r="H256" s="1357"/>
      <c r="I256" s="1274" t="s">
        <v>695</v>
      </c>
      <c r="J256" s="1274" t="s">
        <v>695</v>
      </c>
      <c r="K256" s="1274" t="s">
        <v>695</v>
      </c>
    </row>
    <row r="257" spans="1:12">
      <c r="A257" s="1274" t="s">
        <v>749</v>
      </c>
      <c r="B257" s="661"/>
      <c r="C257" s="661"/>
      <c r="D257" s="661"/>
      <c r="E257" s="661"/>
      <c r="F257" s="679"/>
    </row>
    <row r="258" spans="1:12">
      <c r="A258" s="1274">
        <v>1</v>
      </c>
      <c r="B258" s="1274" t="str">
        <f t="shared" ref="B258:D258" si="24">B61</f>
        <v>374</v>
      </c>
      <c r="C258" s="1274">
        <f t="shared" si="24"/>
        <v>27400</v>
      </c>
      <c r="D258" s="1358" t="str">
        <f t="shared" si="24"/>
        <v>Land and Land Rights</v>
      </c>
      <c r="E258" s="652">
        <f>'SCH B-2.1'!E220</f>
        <v>43358</v>
      </c>
      <c r="F258" s="1371"/>
      <c r="G258" s="2755">
        <v>4</v>
      </c>
      <c r="H258" s="1246">
        <v>1</v>
      </c>
      <c r="I258" s="1360">
        <f t="shared" ref="I258:I278" si="25">ROUND((G258*H258),0)</f>
        <v>4</v>
      </c>
      <c r="J258" s="652"/>
      <c r="K258" s="1360">
        <f t="shared" ref="K258:K281" si="26">I258+J258</f>
        <v>4</v>
      </c>
      <c r="L258" s="1376"/>
    </row>
    <row r="259" spans="1:12">
      <c r="A259" s="1274">
        <f t="shared" ref="A259:A281" si="27">A258+1</f>
        <v>2</v>
      </c>
      <c r="B259" s="1274" t="str">
        <f t="shared" ref="B259:D259" si="28">B62</f>
        <v>374</v>
      </c>
      <c r="C259" s="1274">
        <f t="shared" si="28"/>
        <v>27401</v>
      </c>
      <c r="D259" s="1358" t="str">
        <f t="shared" si="28"/>
        <v>Rights of Way</v>
      </c>
      <c r="E259" s="652">
        <f>'SCH B-2.1'!E221</f>
        <v>1095119</v>
      </c>
      <c r="F259" s="1371"/>
      <c r="G259" s="2755">
        <v>668870</v>
      </c>
      <c r="H259" s="1246">
        <v>1</v>
      </c>
      <c r="I259" s="1360">
        <f t="shared" si="25"/>
        <v>668870</v>
      </c>
      <c r="J259" s="652">
        <f>-'SCH B-3.1'!G85</f>
        <v>-128922</v>
      </c>
      <c r="K259" s="1360">
        <f t="shared" si="26"/>
        <v>539948</v>
      </c>
      <c r="L259" s="1376"/>
    </row>
    <row r="260" spans="1:12">
      <c r="A260" s="1274">
        <f t="shared" si="27"/>
        <v>3</v>
      </c>
      <c r="B260" s="1274" t="str">
        <f t="shared" ref="B260:D260" si="29">B63</f>
        <v>375</v>
      </c>
      <c r="C260" s="1274">
        <f t="shared" si="29"/>
        <v>27500</v>
      </c>
      <c r="D260" s="1358" t="str">
        <f t="shared" si="29"/>
        <v>Structures &amp; Improvements</v>
      </c>
      <c r="E260" s="652">
        <f>'SCH B-2.1'!E222</f>
        <v>577522</v>
      </c>
      <c r="F260" s="1374"/>
      <c r="G260" s="2755">
        <v>155176</v>
      </c>
      <c r="H260" s="1246">
        <v>1</v>
      </c>
      <c r="I260" s="1360">
        <f t="shared" si="25"/>
        <v>155176</v>
      </c>
      <c r="J260" s="652">
        <f>-'SCH B-3.1'!G86</f>
        <v>-20771</v>
      </c>
      <c r="K260" s="1360">
        <f t="shared" si="26"/>
        <v>134405</v>
      </c>
      <c r="L260" s="1376"/>
    </row>
    <row r="261" spans="1:12">
      <c r="A261" s="1274">
        <f t="shared" si="27"/>
        <v>4</v>
      </c>
      <c r="B261" s="1274" t="str">
        <f t="shared" ref="B261:D261" si="30">B64</f>
        <v>376</v>
      </c>
      <c r="C261" s="1274">
        <f t="shared" si="30"/>
        <v>27601</v>
      </c>
      <c r="D261" s="1358" t="str">
        <f t="shared" si="30"/>
        <v>Mains - Cast Iron &amp; Copper</v>
      </c>
      <c r="E261" s="652">
        <f>'SCH B-2.1'!E223</f>
        <v>982749</v>
      </c>
      <c r="F261" s="1374"/>
      <c r="G261" s="2755">
        <v>-118273</v>
      </c>
      <c r="H261" s="1246">
        <v>1</v>
      </c>
      <c r="I261" s="1360">
        <f t="shared" si="25"/>
        <v>-118273</v>
      </c>
      <c r="J261" s="652"/>
      <c r="K261" s="1360">
        <f t="shared" si="26"/>
        <v>-118273</v>
      </c>
      <c r="L261" s="1376"/>
    </row>
    <row r="262" spans="1:12">
      <c r="A262" s="1274">
        <f t="shared" si="27"/>
        <v>5</v>
      </c>
      <c r="B262" s="1274" t="str">
        <f t="shared" ref="B262:D262" si="31">B65</f>
        <v>376</v>
      </c>
      <c r="C262" s="1274" t="str">
        <f t="shared" si="31"/>
        <v>27602,27607</v>
      </c>
      <c r="D262" s="1358" t="str">
        <f t="shared" si="31"/>
        <v>Mains - Steel</v>
      </c>
      <c r="E262" s="652">
        <f>'SCH B-2.1'!E224</f>
        <v>105664083</v>
      </c>
      <c r="F262" s="1374"/>
      <c r="G262" s="2755">
        <v>42019042</v>
      </c>
      <c r="H262" s="1246">
        <v>1</v>
      </c>
      <c r="I262" s="1360">
        <f t="shared" si="25"/>
        <v>42019042</v>
      </c>
      <c r="J262" s="652">
        <f>-'SCH B-3.1'!G87</f>
        <v>-23930</v>
      </c>
      <c r="K262" s="1360">
        <f t="shared" si="26"/>
        <v>41995112</v>
      </c>
      <c r="L262" s="1376"/>
    </row>
    <row r="263" spans="1:12">
      <c r="A263" s="1274">
        <f t="shared" si="27"/>
        <v>6</v>
      </c>
      <c r="B263" s="1274" t="str">
        <f t="shared" ref="B263:D263" si="32">B66</f>
        <v>376</v>
      </c>
      <c r="C263" s="1274" t="str">
        <f t="shared" si="32"/>
        <v>27603,27608</v>
      </c>
      <c r="D263" s="1358" t="str">
        <f t="shared" si="32"/>
        <v>Mains - Plastic</v>
      </c>
      <c r="E263" s="652">
        <f>'SCH B-2.1'!E225</f>
        <v>149762955</v>
      </c>
      <c r="F263" s="1374"/>
      <c r="G263" s="2755">
        <v>53723261</v>
      </c>
      <c r="H263" s="1246">
        <v>1</v>
      </c>
      <c r="I263" s="1360">
        <f t="shared" si="25"/>
        <v>53723261</v>
      </c>
      <c r="J263" s="652"/>
      <c r="K263" s="1360">
        <f t="shared" si="26"/>
        <v>53723261</v>
      </c>
      <c r="L263" s="1376"/>
    </row>
    <row r="264" spans="1:12">
      <c r="A264" s="1274">
        <f t="shared" si="27"/>
        <v>7</v>
      </c>
      <c r="B264" s="1274" t="str">
        <f t="shared" ref="B264:D264" si="33">B67</f>
        <v>376</v>
      </c>
      <c r="C264" s="1274">
        <f t="shared" si="33"/>
        <v>27605</v>
      </c>
      <c r="D264" s="1358" t="str">
        <f t="shared" si="33"/>
        <v>Mains - Feeder</v>
      </c>
      <c r="E264" s="652">
        <f>'SCH B-2.1'!E226</f>
        <v>33530313</v>
      </c>
      <c r="F264" s="1374"/>
      <c r="G264" s="2755">
        <v>16671822</v>
      </c>
      <c r="H264" s="1246">
        <v>1</v>
      </c>
      <c r="I264" s="1360">
        <f t="shared" si="25"/>
        <v>16671822</v>
      </c>
      <c r="J264" s="652">
        <f>-'SCH B-3.1'!G88</f>
        <v>-4420725</v>
      </c>
      <c r="K264" s="1360">
        <f t="shared" si="26"/>
        <v>12251097</v>
      </c>
      <c r="L264" s="1376"/>
    </row>
    <row r="265" spans="1:12">
      <c r="A265" s="1274">
        <f t="shared" si="27"/>
        <v>8</v>
      </c>
      <c r="B265" s="1274" t="str">
        <f t="shared" ref="B265:D265" si="34">B68</f>
        <v>378</v>
      </c>
      <c r="C265" s="1274">
        <f t="shared" si="34"/>
        <v>27800</v>
      </c>
      <c r="D265" s="1358" t="str">
        <f t="shared" si="34"/>
        <v>System Meas. &amp; Reg. Station Equipment</v>
      </c>
      <c r="E265" s="652">
        <f>'SCH B-2.1'!E227</f>
        <v>7349417</v>
      </c>
      <c r="F265" s="1374"/>
      <c r="G265" s="2755">
        <v>2708430</v>
      </c>
      <c r="H265" s="1246">
        <v>1</v>
      </c>
      <c r="I265" s="1360">
        <f t="shared" si="25"/>
        <v>2708430</v>
      </c>
      <c r="J265" s="652">
        <f>-'SCH B-3.1'!G89</f>
        <v>-154897</v>
      </c>
      <c r="K265" s="1360">
        <f t="shared" si="26"/>
        <v>2553533</v>
      </c>
      <c r="L265" s="1376"/>
    </row>
    <row r="266" spans="1:12">
      <c r="A266" s="1274">
        <f t="shared" si="27"/>
        <v>9</v>
      </c>
      <c r="B266" s="1274" t="str">
        <f t="shared" ref="B266:D266" si="35">B69</f>
        <v>378</v>
      </c>
      <c r="C266" s="1274">
        <f t="shared" si="35"/>
        <v>27801</v>
      </c>
      <c r="D266" s="1358" t="str">
        <f t="shared" si="35"/>
        <v>System Meas. &amp; Reg. Station Equipment - Electric</v>
      </c>
      <c r="E266" s="652">
        <f>'SCH B-2.1'!E228</f>
        <v>1293157</v>
      </c>
      <c r="F266" s="1371"/>
      <c r="G266" s="2755">
        <v>521114</v>
      </c>
      <c r="H266" s="1246">
        <v>1</v>
      </c>
      <c r="I266" s="1360">
        <f t="shared" si="25"/>
        <v>521114</v>
      </c>
      <c r="J266" s="652">
        <f>-'SCH B-3.1'!G90</f>
        <v>-116855</v>
      </c>
      <c r="K266" s="1360">
        <f t="shared" si="26"/>
        <v>404259</v>
      </c>
      <c r="L266" s="1376"/>
    </row>
    <row r="267" spans="1:12">
      <c r="A267" s="1274">
        <f t="shared" si="27"/>
        <v>10</v>
      </c>
      <c r="B267" s="1274" t="str">
        <f t="shared" ref="B267:D267" si="36">B70</f>
        <v>378</v>
      </c>
      <c r="C267" s="1274">
        <f t="shared" si="36"/>
        <v>27802</v>
      </c>
      <c r="D267" s="1358" t="str">
        <f t="shared" si="36"/>
        <v>District Regulating Equipment</v>
      </c>
      <c r="E267" s="652">
        <f>'SCH B-2.1'!E229</f>
        <v>2419176</v>
      </c>
      <c r="F267" s="1371"/>
      <c r="G267" s="2755">
        <v>1110309</v>
      </c>
      <c r="H267" s="1246">
        <v>1</v>
      </c>
      <c r="I267" s="1360">
        <f t="shared" si="25"/>
        <v>1110309</v>
      </c>
      <c r="J267" s="652"/>
      <c r="K267" s="1360">
        <f t="shared" si="26"/>
        <v>1110309</v>
      </c>
      <c r="L267" s="1376"/>
    </row>
    <row r="268" spans="1:12">
      <c r="A268" s="1274">
        <f t="shared" si="27"/>
        <v>11</v>
      </c>
      <c r="B268" s="1274" t="str">
        <f t="shared" ref="B268:D268" si="37">B71</f>
        <v>380</v>
      </c>
      <c r="C268" s="1274">
        <f t="shared" si="37"/>
        <v>28001</v>
      </c>
      <c r="D268" s="1358" t="str">
        <f t="shared" si="37"/>
        <v>Services- Cast Iron &amp; Copper</v>
      </c>
      <c r="E268" s="652">
        <f>'SCH B-2.1'!E230</f>
        <v>3116451</v>
      </c>
      <c r="F268" s="1374"/>
      <c r="G268" s="2755">
        <v>102528</v>
      </c>
      <c r="H268" s="1246">
        <v>1</v>
      </c>
      <c r="I268" s="1360">
        <f t="shared" si="25"/>
        <v>102528</v>
      </c>
      <c r="J268" s="1359"/>
      <c r="K268" s="1360">
        <f t="shared" si="26"/>
        <v>102528</v>
      </c>
      <c r="L268" s="1376"/>
    </row>
    <row r="269" spans="1:12">
      <c r="A269" s="1274">
        <f t="shared" si="27"/>
        <v>12</v>
      </c>
      <c r="B269" s="1274" t="str">
        <f t="shared" ref="B269:D269" si="38">B72</f>
        <v>380</v>
      </c>
      <c r="C269" s="1274" t="str">
        <f t="shared" si="38"/>
        <v>28002,28004</v>
      </c>
      <c r="D269" s="1358" t="str">
        <f t="shared" si="38"/>
        <v>Services-Steel</v>
      </c>
      <c r="E269" s="652">
        <f>'SCH B-2.1'!E231</f>
        <v>8817969</v>
      </c>
      <c r="F269" s="1374"/>
      <c r="G269" s="2755">
        <v>2370014</v>
      </c>
      <c r="H269" s="1246">
        <v>1</v>
      </c>
      <c r="I269" s="1360">
        <f t="shared" si="25"/>
        <v>2370014</v>
      </c>
      <c r="J269" s="1359"/>
      <c r="K269" s="1360">
        <f t="shared" si="26"/>
        <v>2370014</v>
      </c>
      <c r="L269" s="1376"/>
    </row>
    <row r="270" spans="1:12">
      <c r="A270" s="1274">
        <f t="shared" si="27"/>
        <v>13</v>
      </c>
      <c r="B270" s="1274" t="str">
        <f t="shared" ref="B270:D270" si="39">B73</f>
        <v>380</v>
      </c>
      <c r="C270" s="1274" t="str">
        <f t="shared" si="39"/>
        <v>28003,28005-28007</v>
      </c>
      <c r="D270" s="1358" t="str">
        <f t="shared" si="39"/>
        <v>Services-Plastic</v>
      </c>
      <c r="E270" s="652">
        <f>'SCH B-2.1'!E232</f>
        <v>151094070</v>
      </c>
      <c r="F270" s="1374"/>
      <c r="G270" s="2755">
        <v>51299275</v>
      </c>
      <c r="H270" s="1246">
        <v>1</v>
      </c>
      <c r="I270" s="1360">
        <f t="shared" si="25"/>
        <v>51299275</v>
      </c>
      <c r="J270" s="1359"/>
      <c r="K270" s="1360">
        <f t="shared" si="26"/>
        <v>51299275</v>
      </c>
      <c r="L270" s="1376"/>
    </row>
    <row r="271" spans="1:12">
      <c r="A271" s="1274">
        <f t="shared" si="27"/>
        <v>14</v>
      </c>
      <c r="B271" s="1274" t="str">
        <f t="shared" ref="B271:D271" si="40">B74</f>
        <v>381</v>
      </c>
      <c r="C271" s="1274" t="str">
        <f t="shared" si="40"/>
        <v>28100,28101</v>
      </c>
      <c r="D271" s="1358" t="str">
        <f t="shared" si="40"/>
        <v>Meters</v>
      </c>
      <c r="E271" s="652">
        <f>'SCH B-2.1'!E233</f>
        <v>12832410</v>
      </c>
      <c r="F271" s="1374"/>
      <c r="G271" s="2755">
        <v>-5811552</v>
      </c>
      <c r="H271" s="1246">
        <v>1</v>
      </c>
      <c r="I271" s="1360">
        <f t="shared" si="25"/>
        <v>-5811552</v>
      </c>
      <c r="J271" s="1359"/>
      <c r="K271" s="1360">
        <f t="shared" si="26"/>
        <v>-5811552</v>
      </c>
      <c r="L271" s="1376"/>
    </row>
    <row r="272" spans="1:12">
      <c r="A272" s="1274">
        <f t="shared" si="27"/>
        <v>15</v>
      </c>
      <c r="B272" s="1274">
        <f t="shared" ref="B272:D272" si="41">B75</f>
        <v>382</v>
      </c>
      <c r="C272" s="1274" t="str">
        <f t="shared" si="41"/>
        <v>28200,28201</v>
      </c>
      <c r="D272" s="1358" t="str">
        <f t="shared" si="41"/>
        <v>Meter Installations</v>
      </c>
      <c r="E272" s="652">
        <f>'SCH B-2.1'!E234</f>
        <v>10424840</v>
      </c>
      <c r="F272" s="1374"/>
      <c r="G272" s="2755">
        <v>2892967</v>
      </c>
      <c r="H272" s="1246">
        <v>1</v>
      </c>
      <c r="I272" s="1360">
        <f t="shared" si="25"/>
        <v>2892967</v>
      </c>
      <c r="J272" s="1359"/>
      <c r="K272" s="1360">
        <f t="shared" si="26"/>
        <v>2892967</v>
      </c>
      <c r="L272" s="1376"/>
    </row>
    <row r="273" spans="1:12">
      <c r="A273" s="1274">
        <f t="shared" si="27"/>
        <v>16</v>
      </c>
      <c r="B273" s="1274" t="str">
        <f t="shared" ref="B273:D273" si="42">B76</f>
        <v>383</v>
      </c>
      <c r="C273" s="1274" t="str">
        <f t="shared" si="42"/>
        <v>28300,283001</v>
      </c>
      <c r="D273" s="1358" t="str">
        <f t="shared" si="42"/>
        <v>House Regulators</v>
      </c>
      <c r="E273" s="652">
        <f>'SCH B-2.1'!E235</f>
        <v>6557950</v>
      </c>
      <c r="F273" s="1374"/>
      <c r="G273" s="2755">
        <v>2345399</v>
      </c>
      <c r="H273" s="1246">
        <v>1</v>
      </c>
      <c r="I273" s="1360">
        <f t="shared" si="25"/>
        <v>2345399</v>
      </c>
      <c r="J273" s="1359"/>
      <c r="K273" s="1360">
        <f t="shared" si="26"/>
        <v>2345399</v>
      </c>
      <c r="L273" s="1376"/>
    </row>
    <row r="274" spans="1:12">
      <c r="A274" s="1274">
        <f t="shared" si="27"/>
        <v>17</v>
      </c>
      <c r="B274" s="1274" t="str">
        <f t="shared" ref="B274:D274" si="43">B77</f>
        <v>384</v>
      </c>
      <c r="C274" s="1274" t="str">
        <f t="shared" si="43"/>
        <v>28400,28401</v>
      </c>
      <c r="D274" s="1358" t="str">
        <f t="shared" si="43"/>
        <v>House Regulator Installations</v>
      </c>
      <c r="E274" s="652">
        <f>'SCH B-2.1'!E236</f>
        <v>5939132</v>
      </c>
      <c r="F274" s="1374"/>
      <c r="G274" s="2755">
        <v>2787651</v>
      </c>
      <c r="H274" s="1246">
        <v>1</v>
      </c>
      <c r="I274" s="1360">
        <f t="shared" si="25"/>
        <v>2787651</v>
      </c>
      <c r="J274" s="1359"/>
      <c r="K274" s="1360">
        <f t="shared" si="26"/>
        <v>2787651</v>
      </c>
      <c r="L274" s="1376"/>
    </row>
    <row r="275" spans="1:12">
      <c r="A275" s="1274">
        <f t="shared" si="27"/>
        <v>18</v>
      </c>
      <c r="B275" s="1274" t="str">
        <f t="shared" ref="B275:D275" si="44">B78</f>
        <v>385</v>
      </c>
      <c r="C275" s="1274">
        <f t="shared" si="44"/>
        <v>28500</v>
      </c>
      <c r="D275" s="1358" t="str">
        <f t="shared" si="44"/>
        <v>Large Industrial Meas. &amp; Reg. Equipment</v>
      </c>
      <c r="E275" s="652">
        <f>'SCH B-2.1'!E237</f>
        <v>455084</v>
      </c>
      <c r="F275" s="1374"/>
      <c r="G275" s="2755">
        <v>448439</v>
      </c>
      <c r="H275" s="1246">
        <v>1</v>
      </c>
      <c r="I275" s="1360">
        <f t="shared" si="25"/>
        <v>448439</v>
      </c>
      <c r="J275" s="1359"/>
      <c r="K275" s="1360">
        <f t="shared" si="26"/>
        <v>448439</v>
      </c>
      <c r="L275" s="1376"/>
    </row>
    <row r="276" spans="1:12">
      <c r="A276" s="1274">
        <f t="shared" si="27"/>
        <v>19</v>
      </c>
      <c r="B276" s="1274" t="str">
        <f t="shared" ref="B276:D276" si="45">B79</f>
        <v>385</v>
      </c>
      <c r="C276" s="1274">
        <f t="shared" si="45"/>
        <v>28501</v>
      </c>
      <c r="D276" s="1358" t="str">
        <f t="shared" si="45"/>
        <v>Large Industrial Meas. &amp; Reg. Equipment - Comm</v>
      </c>
      <c r="E276" s="652">
        <f>'SCH B-2.1'!E238</f>
        <v>64791</v>
      </c>
      <c r="F276" s="1371"/>
      <c r="G276" s="2755">
        <v>49660</v>
      </c>
      <c r="H276" s="1246">
        <v>1</v>
      </c>
      <c r="I276" s="1360">
        <f t="shared" si="25"/>
        <v>49660</v>
      </c>
      <c r="J276" s="1359"/>
      <c r="K276" s="1360">
        <f t="shared" si="26"/>
        <v>49660</v>
      </c>
      <c r="L276" s="1376"/>
    </row>
    <row r="277" spans="1:12">
      <c r="A277" s="1274">
        <f t="shared" si="27"/>
        <v>20</v>
      </c>
      <c r="B277" s="1274">
        <f t="shared" ref="B277:D277" si="46">B80</f>
        <v>387</v>
      </c>
      <c r="C277" s="1274">
        <f t="shared" si="46"/>
        <v>28700</v>
      </c>
      <c r="D277" s="1358" t="str">
        <f t="shared" si="46"/>
        <v>Other Equipment - Other</v>
      </c>
      <c r="E277" s="652">
        <f>'SCH B-2.1'!E239</f>
        <v>21447</v>
      </c>
      <c r="F277" s="1371"/>
      <c r="G277" s="2755">
        <v>22692</v>
      </c>
      <c r="H277" s="1246">
        <v>1</v>
      </c>
      <c r="I277" s="1360">
        <f t="shared" si="25"/>
        <v>22692</v>
      </c>
      <c r="J277" s="1359"/>
      <c r="K277" s="1360">
        <f t="shared" si="26"/>
        <v>22692</v>
      </c>
      <c r="L277" s="1376"/>
    </row>
    <row r="278" spans="1:12">
      <c r="A278" s="1274">
        <f t="shared" si="27"/>
        <v>21</v>
      </c>
      <c r="B278" s="1274" t="str">
        <f t="shared" ref="B278:D278" si="47">B81</f>
        <v>387</v>
      </c>
      <c r="C278" s="1274">
        <f t="shared" si="47"/>
        <v>28701</v>
      </c>
      <c r="D278" s="1358" t="str">
        <f t="shared" si="47"/>
        <v>Street Lighting Equipment</v>
      </c>
      <c r="E278" s="652">
        <f>'SCH B-2.1'!E240</f>
        <v>28290</v>
      </c>
      <c r="F278" s="1371"/>
      <c r="G278" s="2755">
        <v>22262</v>
      </c>
      <c r="H278" s="1246">
        <v>1</v>
      </c>
      <c r="I278" s="1360">
        <f t="shared" si="25"/>
        <v>22262</v>
      </c>
      <c r="J278" s="1359"/>
      <c r="K278" s="1360">
        <f t="shared" si="26"/>
        <v>22262</v>
      </c>
      <c r="L278" s="1376"/>
    </row>
    <row r="279" spans="1:12">
      <c r="A279" s="1274">
        <f t="shared" si="27"/>
        <v>22</v>
      </c>
      <c r="B279" s="1274"/>
      <c r="C279" s="3190"/>
      <c r="D279" s="2758" t="s">
        <v>2220</v>
      </c>
      <c r="E279" s="652">
        <f>'SCH B-2.1'!E241</f>
        <v>3583546</v>
      </c>
      <c r="F279" s="1371"/>
      <c r="G279" s="2755">
        <v>1213033</v>
      </c>
      <c r="H279" s="1246">
        <v>1</v>
      </c>
      <c r="I279" s="1360">
        <f>ROUND((G279*H279),0)</f>
        <v>1213033</v>
      </c>
      <c r="J279" s="1359"/>
      <c r="K279" s="1360">
        <f>I279+J279</f>
        <v>1213033</v>
      </c>
      <c r="L279" s="1376"/>
    </row>
    <row r="280" spans="1:12">
      <c r="A280" s="1274">
        <f t="shared" si="27"/>
        <v>23</v>
      </c>
      <c r="B280" s="1274"/>
      <c r="C280" s="3190">
        <v>108</v>
      </c>
      <c r="D280" s="2758" t="s">
        <v>122</v>
      </c>
      <c r="E280" s="652"/>
      <c r="F280" s="1371"/>
      <c r="G280" s="2755">
        <v>-4652670</v>
      </c>
      <c r="H280" s="1246">
        <v>1</v>
      </c>
      <c r="I280" s="1360">
        <f>ROUND((G280*H280),0)</f>
        <v>-4652670</v>
      </c>
      <c r="J280" s="1359"/>
      <c r="K280" s="1360">
        <f>I280+J280</f>
        <v>-4652670</v>
      </c>
      <c r="L280" s="1376"/>
    </row>
    <row r="281" spans="1:12">
      <c r="A281" s="1274">
        <f t="shared" si="27"/>
        <v>24</v>
      </c>
      <c r="B281" s="661"/>
      <c r="C281" s="3191"/>
      <c r="D281" s="3191" t="s">
        <v>2776</v>
      </c>
      <c r="E281" s="652">
        <f>'SCH B-2.1'!E242</f>
        <v>50026690</v>
      </c>
      <c r="F281" s="679"/>
      <c r="G281" s="3318">
        <v>1258152</v>
      </c>
      <c r="H281" s="1246">
        <v>1</v>
      </c>
      <c r="I281" s="1360">
        <f t="shared" ref="I281" si="48">ROUND((G281*H281),0)</f>
        <v>1258152</v>
      </c>
      <c r="J281" s="1360"/>
      <c r="K281" s="1360">
        <f t="shared" si="26"/>
        <v>1258152</v>
      </c>
      <c r="L281" s="1376"/>
    </row>
    <row r="282" spans="1:12">
      <c r="A282" s="661"/>
      <c r="B282" s="661"/>
      <c r="C282" s="661"/>
      <c r="D282" s="661"/>
      <c r="E282" s="661"/>
      <c r="F282" s="679"/>
      <c r="G282" s="1360"/>
      <c r="H282" s="1246"/>
      <c r="I282" s="1360"/>
      <c r="J282" s="1360"/>
      <c r="K282" s="1360"/>
    </row>
    <row r="283" spans="1:12">
      <c r="A283" s="629"/>
      <c r="B283" s="629"/>
      <c r="C283" s="629"/>
      <c r="D283" s="629"/>
      <c r="E283" s="629"/>
      <c r="F283" s="3022"/>
      <c r="G283" s="634"/>
      <c r="H283" s="635"/>
      <c r="I283" s="634"/>
      <c r="J283" s="634"/>
      <c r="K283" s="634"/>
    </row>
    <row r="284" spans="1:12">
      <c r="A284" s="1274">
        <f>A281+1</f>
        <v>25</v>
      </c>
      <c r="B284" s="661"/>
      <c r="C284" s="661"/>
      <c r="D284" s="1358" t="s">
        <v>1102</v>
      </c>
      <c r="E284" s="1360">
        <f>SUM(E258:E281)</f>
        <v>555680519</v>
      </c>
      <c r="F284" s="1371"/>
      <c r="G284" s="1360">
        <f>SUM(G258:G281)</f>
        <v>171807605</v>
      </c>
      <c r="H284" s="1246"/>
      <c r="I284" s="1360">
        <f>SUM(I258:I281)</f>
        <v>171807605</v>
      </c>
      <c r="J284" s="1360">
        <f>SUM(J258:J281)</f>
        <v>-4866100</v>
      </c>
      <c r="K284" s="1360">
        <f>SUM(K258:K281)</f>
        <v>166941505</v>
      </c>
    </row>
    <row r="285" spans="1:12">
      <c r="A285" s="661"/>
      <c r="B285" s="661"/>
      <c r="C285" s="661"/>
      <c r="D285" s="661"/>
      <c r="E285" s="661"/>
      <c r="F285" s="1361"/>
      <c r="G285" s="1360"/>
      <c r="H285" s="1246"/>
      <c r="I285" s="1360"/>
      <c r="J285" s="1360"/>
      <c r="K285" s="1360"/>
    </row>
    <row r="286" spans="1:12">
      <c r="A286" s="629"/>
      <c r="B286" s="629"/>
      <c r="C286" s="629"/>
      <c r="D286" s="629"/>
      <c r="E286" s="629"/>
      <c r="F286" s="636"/>
      <c r="G286" s="634"/>
      <c r="H286" s="635"/>
      <c r="I286" s="634"/>
      <c r="J286" s="634"/>
      <c r="K286" s="634"/>
    </row>
    <row r="287" spans="1:12">
      <c r="A287" s="1377" t="s">
        <v>1426</v>
      </c>
      <c r="B287" s="661"/>
      <c r="C287" s="661"/>
      <c r="D287" s="661"/>
      <c r="E287" s="661"/>
      <c r="F287" s="679"/>
      <c r="G287" s="1360"/>
      <c r="H287" s="1246"/>
      <c r="I287" s="1360"/>
      <c r="J287" s="1360"/>
      <c r="K287" s="1360"/>
    </row>
    <row r="288" spans="1:12">
      <c r="A288" s="661"/>
      <c r="B288" s="661"/>
      <c r="C288" s="661"/>
      <c r="D288" s="661"/>
      <c r="E288" s="661"/>
      <c r="F288" s="679"/>
      <c r="G288" s="1360"/>
      <c r="H288" s="1246"/>
      <c r="I288" s="1360"/>
      <c r="J288" s="1360"/>
      <c r="K288" s="1360"/>
    </row>
    <row r="289" spans="1:11">
      <c r="A289" s="661"/>
      <c r="B289" s="661"/>
      <c r="C289" s="661"/>
      <c r="D289" s="661"/>
      <c r="E289" s="661"/>
      <c r="F289" s="679"/>
      <c r="G289" s="1360"/>
      <c r="H289" s="1246"/>
      <c r="I289" s="1360"/>
      <c r="J289" s="1360"/>
      <c r="K289" s="1360"/>
    </row>
    <row r="290" spans="1:11">
      <c r="A290" s="661"/>
      <c r="B290" s="661"/>
      <c r="C290" s="661"/>
      <c r="D290" s="661"/>
      <c r="E290" s="661"/>
      <c r="F290" s="679"/>
      <c r="G290" s="1360"/>
      <c r="H290" s="1246"/>
      <c r="I290" s="1360"/>
      <c r="J290" s="1360"/>
      <c r="K290" s="1360"/>
    </row>
    <row r="291" spans="1:11">
      <c r="A291" s="661"/>
      <c r="B291" s="661"/>
      <c r="C291" s="661"/>
      <c r="D291" s="661"/>
      <c r="E291" s="661"/>
      <c r="F291" s="679"/>
      <c r="G291" s="1360"/>
      <c r="H291" s="1246"/>
      <c r="I291" s="1360"/>
      <c r="J291" s="1360"/>
      <c r="K291" s="1360"/>
    </row>
    <row r="292" spans="1:11">
      <c r="A292" s="661"/>
      <c r="B292" s="661"/>
      <c r="C292" s="661"/>
      <c r="D292" s="661"/>
      <c r="E292" s="661"/>
      <c r="F292" s="679"/>
      <c r="G292" s="1360"/>
      <c r="H292" s="1246"/>
      <c r="I292" s="1360"/>
      <c r="J292" s="1360"/>
      <c r="K292" s="1360"/>
    </row>
    <row r="293" spans="1:11">
      <c r="A293" s="1272" t="str">
        <f>COMPANY</f>
        <v>DUKE ENERGY KENTUCKY, INC.</v>
      </c>
      <c r="B293" s="1273"/>
      <c r="C293" s="1273"/>
      <c r="D293" s="1272"/>
      <c r="E293" s="1272"/>
      <c r="F293" s="1352"/>
      <c r="G293" s="1273"/>
      <c r="H293" s="1353"/>
      <c r="I293" s="1273"/>
      <c r="J293" s="1273"/>
      <c r="K293" s="1273"/>
    </row>
    <row r="294" spans="1:11">
      <c r="A294" s="1272" t="str">
        <f>CASE</f>
        <v>CASE NO. 2018-00261</v>
      </c>
      <c r="B294" s="1273"/>
      <c r="C294" s="1273"/>
      <c r="D294" s="1272"/>
      <c r="E294" s="1272"/>
      <c r="F294" s="1352"/>
      <c r="G294" s="1273"/>
      <c r="H294" s="1353"/>
      <c r="I294" s="1273"/>
      <c r="J294" s="1273"/>
      <c r="K294" s="1273"/>
    </row>
    <row r="295" spans="1:11">
      <c r="A295" s="1272" t="str">
        <f>A201</f>
        <v>ACCUMULATED DEPRECIATION AND AMORTIZATION</v>
      </c>
      <c r="B295" s="1273"/>
      <c r="C295" s="1273"/>
      <c r="D295" s="1272"/>
      <c r="E295" s="1272"/>
      <c r="F295" s="1352"/>
      <c r="G295" s="1273"/>
      <c r="H295" s="1353"/>
      <c r="I295" s="1273"/>
      <c r="J295" s="1273"/>
      <c r="K295" s="1273"/>
    </row>
    <row r="296" spans="1:11">
      <c r="A296" s="44" t="str">
        <f>"AS OF " &amp;RIGHT(Forecast,(LEN(Forecast)-16))</f>
        <v>AS OF MARCH 31, 2020</v>
      </c>
      <c r="B296" s="1273"/>
      <c r="C296" s="1273"/>
      <c r="D296" s="1272"/>
      <c r="E296" s="1272"/>
      <c r="F296" s="1352"/>
      <c r="G296" s="1273"/>
      <c r="H296" s="1353"/>
      <c r="I296" s="1273"/>
      <c r="J296" s="1273"/>
      <c r="K296" s="1273"/>
    </row>
    <row r="297" spans="1:11">
      <c r="A297" s="1273"/>
      <c r="B297" s="1273"/>
      <c r="C297" s="1273"/>
      <c r="D297" s="1273"/>
      <c r="E297" s="1273"/>
      <c r="F297" s="1354"/>
      <c r="G297" s="1273"/>
      <c r="H297" s="1353"/>
      <c r="I297" s="1273"/>
      <c r="J297" s="1273"/>
      <c r="K297" s="1273"/>
    </row>
    <row r="298" spans="1:11">
      <c r="A298" s="1272" t="s">
        <v>1103</v>
      </c>
      <c r="B298" s="1273"/>
      <c r="C298" s="1273"/>
      <c r="D298" s="1272"/>
      <c r="E298" s="1272"/>
      <c r="F298" s="1352"/>
      <c r="G298" s="1273"/>
      <c r="H298" s="1353"/>
      <c r="I298" s="1273"/>
      <c r="J298" s="1273"/>
      <c r="K298" s="1273"/>
    </row>
    <row r="299" spans="1:11">
      <c r="A299" s="1355"/>
      <c r="B299" s="1273"/>
      <c r="C299" s="1273"/>
      <c r="D299" s="1272"/>
      <c r="E299" s="1272"/>
      <c r="F299" s="1352"/>
      <c r="G299" s="1273"/>
      <c r="H299" s="1353"/>
      <c r="I299" s="1273"/>
      <c r="J299" s="1273"/>
      <c r="K299" s="1273"/>
    </row>
    <row r="300" spans="1:11">
      <c r="A300" s="1356"/>
      <c r="B300" s="661"/>
      <c r="C300" s="661"/>
      <c r="D300" s="661"/>
      <c r="E300" s="661"/>
      <c r="F300" s="679"/>
      <c r="G300" s="661"/>
      <c r="H300" s="1357"/>
      <c r="I300" s="661"/>
      <c r="J300" s="661"/>
      <c r="K300" s="661"/>
    </row>
    <row r="301" spans="1:11">
      <c r="B301" s="661"/>
      <c r="C301" s="661"/>
      <c r="D301" s="661"/>
      <c r="E301" s="661"/>
      <c r="F301" s="679"/>
      <c r="G301" s="661"/>
      <c r="H301" s="1357"/>
      <c r="I301" s="661"/>
      <c r="J301" s="1358"/>
      <c r="K301" s="661"/>
    </row>
    <row r="302" spans="1:11">
      <c r="A302" s="1358" t="str">
        <f>DataF</f>
        <v>DATA:  BASE PERIOD  "X" FORECASTED PERIOD</v>
      </c>
      <c r="B302" s="661"/>
      <c r="C302" s="661"/>
      <c r="D302" s="661"/>
      <c r="E302" s="661"/>
      <c r="F302" s="679"/>
      <c r="G302" s="661"/>
      <c r="H302" s="1357"/>
      <c r="I302" s="661"/>
      <c r="J302" s="1359" t="str">
        <f>J208</f>
        <v>SCHEDULE B-3</v>
      </c>
      <c r="K302" s="661"/>
    </row>
    <row r="303" spans="1:11">
      <c r="A303" s="1358" t="str">
        <f>Type</f>
        <v xml:space="preserve">TYPE OF FILING:  "X" ORIGINAL   UPDATED    REVISED  </v>
      </c>
      <c r="B303" s="661"/>
      <c r="C303" s="661"/>
      <c r="D303" s="661"/>
      <c r="E303" s="661"/>
      <c r="F303" s="679"/>
      <c r="G303" s="661"/>
      <c r="H303" s="1357"/>
      <c r="I303" s="661"/>
      <c r="J303" s="1359" t="s">
        <v>502</v>
      </c>
      <c r="K303" s="661"/>
    </row>
    <row r="304" spans="1:11">
      <c r="A304" s="1358" t="str">
        <f>A210</f>
        <v>WORK PAPER REFERENCE NO(S).: SCHEDULE B-2.1, SCHEDULE B-3.1</v>
      </c>
      <c r="B304" s="661"/>
      <c r="C304" s="661"/>
      <c r="D304" s="661"/>
      <c r="E304" s="661"/>
      <c r="F304" s="679"/>
      <c r="G304" s="661"/>
      <c r="H304" s="1357"/>
      <c r="I304" s="661"/>
      <c r="J304" s="1360" t="str">
        <f>J210</f>
        <v>WITNESS RESPONSIBLE:</v>
      </c>
      <c r="K304" s="661"/>
    </row>
    <row r="305" spans="1:12">
      <c r="A305" s="661"/>
      <c r="B305" s="661"/>
      <c r="C305" s="661"/>
      <c r="D305" s="661"/>
      <c r="E305" s="661"/>
      <c r="F305" s="679"/>
      <c r="G305" s="661"/>
      <c r="H305" s="1357"/>
      <c r="I305" s="661"/>
      <c r="J305" s="661" t="str">
        <f>J211</f>
        <v>R. H. PRATT / C. S. LEE</v>
      </c>
      <c r="K305" s="661"/>
    </row>
    <row r="306" spans="1:12">
      <c r="A306" s="661"/>
      <c r="B306" s="661"/>
      <c r="C306" s="661"/>
      <c r="D306" s="661"/>
      <c r="E306" s="661"/>
      <c r="F306" s="679"/>
      <c r="G306" s="661"/>
      <c r="H306" s="1357"/>
      <c r="I306" s="661"/>
      <c r="J306" s="661"/>
      <c r="K306" s="661"/>
    </row>
    <row r="307" spans="1:12">
      <c r="A307" s="661"/>
      <c r="B307" s="1361"/>
      <c r="C307" s="661"/>
      <c r="D307" s="661"/>
      <c r="E307" s="661"/>
      <c r="F307" s="1361"/>
      <c r="G307" s="661"/>
      <c r="H307" s="1357"/>
      <c r="I307" s="661"/>
      <c r="J307" s="661"/>
      <c r="K307" s="661"/>
    </row>
    <row r="308" spans="1:12">
      <c r="A308" s="629"/>
      <c r="B308" s="648"/>
      <c r="C308" s="647" t="s">
        <v>2152</v>
      </c>
      <c r="D308" s="629"/>
      <c r="E308" s="674" t="str">
        <f>E214</f>
        <v>13 Month</v>
      </c>
      <c r="F308" s="633"/>
      <c r="G308" s="629"/>
      <c r="H308" s="643"/>
      <c r="I308" s="629"/>
      <c r="J308" s="629"/>
      <c r="K308" s="629"/>
    </row>
    <row r="309" spans="1:12">
      <c r="A309" s="636"/>
      <c r="B309" s="648" t="s">
        <v>1041</v>
      </c>
      <c r="C309" s="648" t="s">
        <v>2137</v>
      </c>
      <c r="D309" s="636"/>
      <c r="E309" s="675" t="str">
        <f>E215</f>
        <v>Average</v>
      </c>
      <c r="F309" s="633"/>
      <c r="G309" s="677" t="str">
        <f>G215</f>
        <v>13 Month Average Forecasted Period Accumulated Balances</v>
      </c>
      <c r="H309" s="649"/>
      <c r="I309" s="649"/>
      <c r="J309" s="649"/>
      <c r="K309" s="649"/>
    </row>
    <row r="310" spans="1:12">
      <c r="A310" s="1274" t="s">
        <v>1938</v>
      </c>
      <c r="B310" s="1274" t="s">
        <v>1150</v>
      </c>
      <c r="C310" s="1274" t="s">
        <v>1150</v>
      </c>
      <c r="D310" s="661"/>
      <c r="E310" s="1362" t="str">
        <f>E216</f>
        <v>Forecasted</v>
      </c>
      <c r="F310" s="675"/>
      <c r="G310" s="1363"/>
      <c r="H310" s="1364" t="s">
        <v>2010</v>
      </c>
      <c r="I310" s="1274" t="s">
        <v>1427</v>
      </c>
      <c r="J310" s="661"/>
      <c r="K310" s="1274" t="s">
        <v>572</v>
      </c>
    </row>
    <row r="311" spans="1:12">
      <c r="A311" s="1274" t="s">
        <v>1939</v>
      </c>
      <c r="B311" s="1274" t="s">
        <v>1939</v>
      </c>
      <c r="C311" s="1274" t="s">
        <v>1939</v>
      </c>
      <c r="D311" s="1274" t="s">
        <v>1151</v>
      </c>
      <c r="E311" s="1363" t="str">
        <f>E217</f>
        <v>Period (1)</v>
      </c>
      <c r="F311" s="1365"/>
      <c r="G311" s="1366" t="s">
        <v>2153</v>
      </c>
      <c r="H311" s="1367" t="s">
        <v>2097</v>
      </c>
      <c r="I311" s="1365" t="s">
        <v>2153</v>
      </c>
      <c r="J311" s="1365" t="s">
        <v>571</v>
      </c>
      <c r="K311" s="1365" t="s">
        <v>1357</v>
      </c>
    </row>
    <row r="312" spans="1:12">
      <c r="A312" s="629"/>
      <c r="B312" s="629"/>
      <c r="C312" s="629"/>
      <c r="D312" s="629"/>
      <c r="E312" s="629"/>
      <c r="F312" s="636"/>
      <c r="G312" s="1274" t="s">
        <v>695</v>
      </c>
      <c r="H312" s="1357"/>
      <c r="I312" s="1274" t="s">
        <v>695</v>
      </c>
      <c r="J312" s="1274" t="s">
        <v>695</v>
      </c>
      <c r="K312" s="1274" t="s">
        <v>695</v>
      </c>
    </row>
    <row r="313" spans="1:12">
      <c r="A313" s="661"/>
      <c r="B313" s="661"/>
      <c r="C313" s="661"/>
      <c r="D313" s="661"/>
      <c r="E313" s="661"/>
      <c r="F313" s="679"/>
    </row>
    <row r="314" spans="1:12">
      <c r="A314" s="1274" t="s">
        <v>1152</v>
      </c>
      <c r="B314" s="1274">
        <f t="shared" ref="B314:D314" si="49">B117</f>
        <v>303</v>
      </c>
      <c r="C314" s="1274">
        <f t="shared" si="49"/>
        <v>20300</v>
      </c>
      <c r="D314" s="1358" t="str">
        <f t="shared" si="49"/>
        <v>Miscellaneous Intangible Plant</v>
      </c>
      <c r="E314" s="652">
        <f>'SCH B-2.1'!E270</f>
        <v>8757245</v>
      </c>
      <c r="F314" s="679"/>
      <c r="G314" s="2755">
        <v>6554122</v>
      </c>
      <c r="H314" s="1246">
        <v>1</v>
      </c>
      <c r="I314" s="1360">
        <f t="shared" ref="I314:I325" si="50">ROUND(G314*H314,0)</f>
        <v>6554122</v>
      </c>
      <c r="J314" s="1274"/>
      <c r="K314" s="1360">
        <f t="shared" ref="K314:K325" si="51">I314+J314</f>
        <v>6554122</v>
      </c>
      <c r="L314" s="1376"/>
    </row>
    <row r="315" spans="1:12">
      <c r="A315" s="1274">
        <f t="shared" ref="A315:A325" si="52">A314+1</f>
        <v>2</v>
      </c>
      <c r="B315" s="1274">
        <f t="shared" ref="B315:D315" si="53">B118</f>
        <v>303</v>
      </c>
      <c r="C315" s="1274" t="str">
        <f t="shared" si="53"/>
        <v>20310</v>
      </c>
      <c r="D315" s="1358" t="str">
        <f t="shared" si="53"/>
        <v>Misc Intangible Plt - 10 Yr</v>
      </c>
      <c r="E315" s="652">
        <f>'SCH B-2.1'!E271</f>
        <v>2670960</v>
      </c>
      <c r="F315" s="1371"/>
      <c r="G315" s="2755">
        <v>553734</v>
      </c>
      <c r="H315" s="1246">
        <v>1</v>
      </c>
      <c r="I315" s="1360">
        <f t="shared" si="50"/>
        <v>553734</v>
      </c>
      <c r="J315" s="1360"/>
      <c r="K315" s="1360">
        <f t="shared" si="51"/>
        <v>553734</v>
      </c>
      <c r="L315" s="1376"/>
    </row>
    <row r="316" spans="1:12">
      <c r="A316" s="1274">
        <f t="shared" si="52"/>
        <v>3</v>
      </c>
      <c r="B316" s="1274" t="str">
        <f t="shared" ref="B316:D316" si="54">B119</f>
        <v>391</v>
      </c>
      <c r="C316" s="1274">
        <f t="shared" si="54"/>
        <v>29100</v>
      </c>
      <c r="D316" s="1358" t="str">
        <f t="shared" si="54"/>
        <v>Office Furniture &amp; Equipment</v>
      </c>
      <c r="E316" s="652">
        <f>'SCH B-2.1'!E272</f>
        <v>12880</v>
      </c>
      <c r="F316" s="1371"/>
      <c r="G316" s="2755">
        <v>12940</v>
      </c>
      <c r="H316" s="1246">
        <v>1</v>
      </c>
      <c r="I316" s="1360">
        <f t="shared" si="50"/>
        <v>12940</v>
      </c>
      <c r="J316" s="1360">
        <f>-'SCH B-3.1'!G96</f>
        <v>-9695</v>
      </c>
      <c r="K316" s="1360">
        <f t="shared" si="51"/>
        <v>3245</v>
      </c>
      <c r="L316" s="1376"/>
    </row>
    <row r="317" spans="1:12">
      <c r="A317" s="1274">
        <f t="shared" si="52"/>
        <v>4</v>
      </c>
      <c r="B317" s="1274">
        <f t="shared" ref="B317:D317" si="55">B120</f>
        <v>391</v>
      </c>
      <c r="C317" s="1274">
        <f t="shared" si="55"/>
        <v>29101</v>
      </c>
      <c r="D317" s="1358" t="str">
        <f t="shared" si="55"/>
        <v>Electronic Data Processing</v>
      </c>
      <c r="E317" s="652">
        <f>'SCH B-2.1'!E273</f>
        <v>212320</v>
      </c>
      <c r="F317" s="1374"/>
      <c r="G317" s="2755">
        <v>-10605</v>
      </c>
      <c r="H317" s="1246">
        <v>1</v>
      </c>
      <c r="I317" s="1360">
        <f t="shared" si="50"/>
        <v>-10605</v>
      </c>
      <c r="J317" s="1359"/>
      <c r="K317" s="1360">
        <f t="shared" si="51"/>
        <v>-10605</v>
      </c>
      <c r="L317" s="1376"/>
    </row>
    <row r="318" spans="1:12">
      <c r="A318" s="1274">
        <f t="shared" si="52"/>
        <v>5</v>
      </c>
      <c r="B318" s="1274" t="str">
        <f t="shared" ref="B318:D318" si="56">B121</f>
        <v>392</v>
      </c>
      <c r="C318" s="1274">
        <f t="shared" si="56"/>
        <v>29200</v>
      </c>
      <c r="D318" s="1358" t="str">
        <f t="shared" si="56"/>
        <v>Transportation Equipment</v>
      </c>
      <c r="E318" s="652">
        <f>'SCH B-2.1'!E274</f>
        <v>0</v>
      </c>
      <c r="F318" s="1374"/>
      <c r="G318" s="2755">
        <v>0</v>
      </c>
      <c r="H318" s="1246">
        <v>1</v>
      </c>
      <c r="I318" s="1360">
        <f t="shared" si="50"/>
        <v>0</v>
      </c>
      <c r="J318" s="1360"/>
      <c r="K318" s="1360">
        <f t="shared" si="51"/>
        <v>0</v>
      </c>
      <c r="L318" s="1376"/>
    </row>
    <row r="319" spans="1:12">
      <c r="A319" s="1274">
        <f t="shared" si="52"/>
        <v>6</v>
      </c>
      <c r="B319" s="1274" t="str">
        <f t="shared" ref="B319:D319" si="57">B122</f>
        <v>392</v>
      </c>
      <c r="C319" s="1274">
        <f t="shared" si="57"/>
        <v>29201</v>
      </c>
      <c r="D319" s="1358" t="str">
        <f t="shared" si="57"/>
        <v>Trailers</v>
      </c>
      <c r="E319" s="652">
        <f>'SCH B-2.1'!E275</f>
        <v>63448</v>
      </c>
      <c r="F319" s="1371"/>
      <c r="G319" s="2755">
        <v>42743</v>
      </c>
      <c r="H319" s="1246">
        <v>1</v>
      </c>
      <c r="I319" s="1360">
        <f t="shared" si="50"/>
        <v>42743</v>
      </c>
      <c r="J319" s="1359"/>
      <c r="K319" s="1360">
        <f t="shared" si="51"/>
        <v>42743</v>
      </c>
      <c r="L319" s="1376"/>
    </row>
    <row r="320" spans="1:12">
      <c r="A320" s="1274">
        <f t="shared" si="52"/>
        <v>7</v>
      </c>
      <c r="B320" s="1274" t="str">
        <f t="shared" ref="B320:D320" si="58">B123</f>
        <v>394</v>
      </c>
      <c r="C320" s="1274">
        <f t="shared" si="58"/>
        <v>29400</v>
      </c>
      <c r="D320" s="1358" t="str">
        <f t="shared" si="58"/>
        <v>Tools, Shop &amp; Garage Equipment</v>
      </c>
      <c r="E320" s="652">
        <f>'SCH B-2.1'!E276</f>
        <v>1120469</v>
      </c>
      <c r="F320" s="1371"/>
      <c r="G320" s="2755">
        <v>892858</v>
      </c>
      <c r="H320" s="1246">
        <v>1</v>
      </c>
      <c r="I320" s="1360">
        <f t="shared" ref="I320:I322" si="59">ROUND(G320*H320,0)</f>
        <v>892858</v>
      </c>
      <c r="J320" s="1360">
        <f>-'SCH B-3.1'!G97</f>
        <v>-19729</v>
      </c>
      <c r="K320" s="1360">
        <f t="shared" ref="K320:K322" si="60">I320+J320</f>
        <v>873129</v>
      </c>
      <c r="L320" s="1376"/>
    </row>
    <row r="321" spans="1:12">
      <c r="A321" s="1274">
        <f t="shared" si="52"/>
        <v>8</v>
      </c>
      <c r="B321" s="1274" t="str">
        <f t="shared" ref="B321:D321" si="61">B124</f>
        <v>396</v>
      </c>
      <c r="C321" s="1274">
        <f t="shared" si="61"/>
        <v>29600</v>
      </c>
      <c r="D321" s="1358" t="str">
        <f t="shared" si="61"/>
        <v>Power Operated Equipment</v>
      </c>
      <c r="E321" s="652">
        <f>'SCH B-2.1'!E277</f>
        <v>168272</v>
      </c>
      <c r="F321" s="1371"/>
      <c r="G321" s="2755">
        <v>1275</v>
      </c>
      <c r="H321" s="1246">
        <v>1</v>
      </c>
      <c r="I321" s="1360">
        <f t="shared" si="59"/>
        <v>1275</v>
      </c>
      <c r="J321" s="1359"/>
      <c r="K321" s="1360">
        <f t="shared" si="60"/>
        <v>1275</v>
      </c>
      <c r="L321" s="1376"/>
    </row>
    <row r="322" spans="1:12">
      <c r="A322" s="1274">
        <f t="shared" si="52"/>
        <v>9</v>
      </c>
      <c r="B322" s="1274">
        <f t="shared" ref="B322:D322" si="62">B125</f>
        <v>397</v>
      </c>
      <c r="C322" s="1274" t="str">
        <f t="shared" si="62"/>
        <v>29700</v>
      </c>
      <c r="D322" s="1358" t="str">
        <f t="shared" si="62"/>
        <v>Communication Equipment</v>
      </c>
      <c r="E322" s="652">
        <f>'SCH B-2.1'!E278</f>
        <v>10766945</v>
      </c>
      <c r="F322" s="1371"/>
      <c r="G322" s="2755">
        <v>732486</v>
      </c>
      <c r="H322" s="1246">
        <v>1</v>
      </c>
      <c r="I322" s="1360">
        <f t="shared" si="59"/>
        <v>732486</v>
      </c>
      <c r="J322" s="1360">
        <f>-'SCH B-3.1'!G98</f>
        <v>-33</v>
      </c>
      <c r="K322" s="1360">
        <f t="shared" si="60"/>
        <v>732453</v>
      </c>
      <c r="L322" s="1376"/>
    </row>
    <row r="323" spans="1:12">
      <c r="A323" s="1274">
        <f t="shared" si="52"/>
        <v>10</v>
      </c>
      <c r="B323" s="1274" t="str">
        <f t="shared" ref="B323:D323" si="63">B126</f>
        <v>398</v>
      </c>
      <c r="C323" s="1274">
        <f t="shared" si="63"/>
        <v>29800</v>
      </c>
      <c r="D323" s="1358" t="str">
        <f t="shared" si="63"/>
        <v>Miscellaneous Equipment</v>
      </c>
      <c r="E323" s="652">
        <f>'SCH B-2.1'!E279</f>
        <v>83591</v>
      </c>
      <c r="F323" s="1371"/>
      <c r="G323" s="2755">
        <v>22886</v>
      </c>
      <c r="H323" s="1246">
        <v>1</v>
      </c>
      <c r="I323" s="1360">
        <f t="shared" si="50"/>
        <v>22886</v>
      </c>
      <c r="J323" s="1360">
        <f>-'SCH B-3.1'!G99</f>
        <v>-23207</v>
      </c>
      <c r="K323" s="1360">
        <f t="shared" si="51"/>
        <v>-321</v>
      </c>
      <c r="L323" s="1376"/>
    </row>
    <row r="324" spans="1:12">
      <c r="A324" s="1274">
        <f t="shared" si="52"/>
        <v>11</v>
      </c>
      <c r="B324" s="1274"/>
      <c r="C324" s="1274">
        <f t="shared" ref="C324:D324" si="64">C127</f>
        <v>108</v>
      </c>
      <c r="D324" s="1358" t="str">
        <f t="shared" si="64"/>
        <v>Retirement Work in Progress</v>
      </c>
      <c r="E324" s="3023">
        <v>0</v>
      </c>
      <c r="F324" s="1371"/>
      <c r="G324" s="2755">
        <v>12218</v>
      </c>
      <c r="H324" s="1246">
        <v>1</v>
      </c>
      <c r="I324" s="1360">
        <f t="shared" si="50"/>
        <v>12218</v>
      </c>
      <c r="J324" s="1359"/>
      <c r="K324" s="1360">
        <f t="shared" si="51"/>
        <v>12218</v>
      </c>
      <c r="L324" s="1376"/>
    </row>
    <row r="325" spans="1:12">
      <c r="A325" s="1274">
        <f t="shared" si="52"/>
        <v>12</v>
      </c>
      <c r="B325" s="661"/>
      <c r="C325" s="1274"/>
      <c r="D325" s="1358" t="s">
        <v>2776</v>
      </c>
      <c r="E325" s="652">
        <f>'SCH B-2.1'!E280</f>
        <v>723715</v>
      </c>
      <c r="F325" s="1371"/>
      <c r="G325" s="3319">
        <v>667715</v>
      </c>
      <c r="H325" s="1246">
        <v>1</v>
      </c>
      <c r="I325" s="1360">
        <f t="shared" si="50"/>
        <v>667715</v>
      </c>
      <c r="J325" s="1360"/>
      <c r="K325" s="1360">
        <f t="shared" si="51"/>
        <v>667715</v>
      </c>
      <c r="L325" s="1376"/>
    </row>
    <row r="326" spans="1:12">
      <c r="A326" s="661"/>
      <c r="B326" s="661"/>
      <c r="C326" s="1358"/>
      <c r="D326" s="661"/>
      <c r="E326" s="661"/>
      <c r="F326" s="679"/>
      <c r="G326" s="1359" t="s">
        <v>749</v>
      </c>
      <c r="H326" s="1246"/>
      <c r="I326" s="1359" t="s">
        <v>749</v>
      </c>
      <c r="J326" s="1360"/>
      <c r="K326" s="1360"/>
    </row>
    <row r="327" spans="1:12">
      <c r="A327" s="661"/>
      <c r="B327" s="661"/>
      <c r="C327" s="661"/>
      <c r="D327" s="661"/>
      <c r="E327" s="661"/>
      <c r="F327" s="1361"/>
      <c r="G327" s="1360"/>
      <c r="H327" s="1246"/>
      <c r="I327" s="1360"/>
      <c r="J327" s="1360"/>
      <c r="K327" s="1360"/>
    </row>
    <row r="328" spans="1:12">
      <c r="A328" s="629"/>
      <c r="B328" s="629"/>
      <c r="C328" s="629"/>
      <c r="D328" s="629"/>
      <c r="E328" s="629"/>
      <c r="F328" s="636"/>
      <c r="G328" s="634"/>
      <c r="H328" s="635"/>
      <c r="I328" s="634"/>
      <c r="J328" s="634"/>
      <c r="K328" s="634"/>
    </row>
    <row r="329" spans="1:12">
      <c r="A329" s="1274">
        <f>A325+1</f>
        <v>13</v>
      </c>
      <c r="B329" s="661"/>
      <c r="C329" s="661"/>
      <c r="D329" s="1358" t="s">
        <v>1117</v>
      </c>
      <c r="E329" s="652">
        <f>SUM(E314:E328)</f>
        <v>24579845</v>
      </c>
      <c r="F329" s="1371"/>
      <c r="G329" s="1360">
        <f>SUM(G314:G325)</f>
        <v>9482372</v>
      </c>
      <c r="H329" s="1246"/>
      <c r="I329" s="1360">
        <f>SUM(I314:I325)</f>
        <v>9482372</v>
      </c>
      <c r="J329" s="1360">
        <f>SUM(J315:J325)</f>
        <v>-52664</v>
      </c>
      <c r="K329" s="1360">
        <f>SUM(K314:K325)</f>
        <v>9429708</v>
      </c>
    </row>
    <row r="330" spans="1:12">
      <c r="A330" s="661"/>
      <c r="B330" s="661"/>
      <c r="C330" s="661"/>
      <c r="D330" s="661"/>
      <c r="E330" s="661"/>
      <c r="F330" s="1361"/>
      <c r="G330" s="1360"/>
      <c r="H330" s="1246"/>
      <c r="I330" s="1360"/>
      <c r="J330" s="1360"/>
      <c r="K330" s="1360"/>
    </row>
    <row r="331" spans="1:12">
      <c r="A331" s="629"/>
      <c r="B331" s="629"/>
      <c r="C331" s="629"/>
      <c r="D331" s="629"/>
      <c r="E331" s="629"/>
      <c r="F331" s="636"/>
      <c r="G331" s="634"/>
      <c r="H331" s="635"/>
      <c r="I331" s="634"/>
      <c r="J331" s="634"/>
      <c r="K331" s="634"/>
    </row>
    <row r="332" spans="1:12">
      <c r="A332" s="1274">
        <f>A329+1</f>
        <v>14</v>
      </c>
      <c r="B332" s="661"/>
      <c r="C332" s="661"/>
      <c r="D332" s="1358" t="s">
        <v>1118</v>
      </c>
      <c r="E332" s="1360">
        <f>E227+E284+E329</f>
        <v>588080496</v>
      </c>
      <c r="F332" s="1371"/>
      <c r="G332" s="1360">
        <f>G227+G284+G329</f>
        <v>185955480</v>
      </c>
      <c r="H332" s="1357"/>
      <c r="I332" s="1360">
        <f>I227+I284+I329</f>
        <v>185955480</v>
      </c>
      <c r="J332" s="1360">
        <f>J227+J284+J329</f>
        <v>-7949669</v>
      </c>
      <c r="K332" s="1360">
        <f>K227+K284+K329</f>
        <v>178005811</v>
      </c>
    </row>
    <row r="333" spans="1:12">
      <c r="A333" s="661"/>
      <c r="B333" s="661"/>
      <c r="C333" s="661"/>
      <c r="D333" s="661"/>
      <c r="E333" s="661"/>
      <c r="F333" s="1361"/>
      <c r="G333" s="661"/>
      <c r="H333" s="1357"/>
      <c r="I333" s="661"/>
      <c r="J333" s="661"/>
      <c r="K333" s="661"/>
    </row>
    <row r="334" spans="1:12">
      <c r="A334" s="629"/>
      <c r="B334" s="629"/>
      <c r="C334" s="629"/>
      <c r="D334" s="629"/>
      <c r="E334" s="629"/>
      <c r="F334" s="636"/>
      <c r="G334" s="629"/>
      <c r="H334" s="643"/>
      <c r="I334" s="629"/>
      <c r="J334" s="629"/>
      <c r="K334" s="629"/>
    </row>
    <row r="335" spans="1:12">
      <c r="A335" s="1377" t="s">
        <v>1426</v>
      </c>
      <c r="B335" s="661"/>
      <c r="C335" s="661"/>
      <c r="D335" s="661"/>
      <c r="E335" s="661"/>
      <c r="F335" s="679"/>
      <c r="G335" s="661"/>
      <c r="H335" s="1357"/>
      <c r="I335" s="661"/>
      <c r="J335" s="661"/>
      <c r="K335" s="661"/>
    </row>
    <row r="336" spans="1:12">
      <c r="A336" s="661"/>
      <c r="B336" s="661"/>
      <c r="C336" s="661"/>
      <c r="D336" s="661"/>
      <c r="E336" s="661"/>
      <c r="F336" s="679"/>
      <c r="G336" s="1360"/>
      <c r="H336" s="1246"/>
      <c r="I336" s="1360"/>
      <c r="J336" s="1360"/>
      <c r="K336" s="1360"/>
    </row>
    <row r="337" spans="1:11">
      <c r="A337" s="661"/>
      <c r="B337" s="661"/>
      <c r="C337" s="661"/>
      <c r="D337" s="661"/>
      <c r="E337" s="661"/>
      <c r="F337" s="679"/>
      <c r="G337" s="1360"/>
      <c r="H337" s="1246"/>
      <c r="I337" s="1360"/>
      <c r="J337" s="1360"/>
      <c r="K337" s="1360"/>
    </row>
    <row r="338" spans="1:11">
      <c r="A338" s="661"/>
      <c r="B338" s="661"/>
      <c r="C338" s="661"/>
      <c r="D338" s="661"/>
      <c r="E338" s="661"/>
      <c r="F338" s="679"/>
      <c r="G338" s="1360"/>
      <c r="H338" s="1246"/>
      <c r="I338" s="1360"/>
      <c r="J338" s="1360"/>
      <c r="K338" s="1360"/>
    </row>
    <row r="339" spans="1:11">
      <c r="A339" s="661"/>
      <c r="B339" s="661"/>
      <c r="C339" s="661"/>
      <c r="D339" s="661"/>
      <c r="E339" s="661"/>
      <c r="F339" s="679"/>
      <c r="G339" s="1360"/>
      <c r="H339" s="1246"/>
      <c r="I339" s="1360"/>
      <c r="J339" s="1360"/>
      <c r="K339" s="1360"/>
    </row>
    <row r="340" spans="1:11">
      <c r="A340" s="661"/>
      <c r="B340" s="661"/>
      <c r="C340" s="661"/>
      <c r="D340" s="661"/>
      <c r="E340" s="661"/>
      <c r="F340" s="679"/>
      <c r="G340" s="1360"/>
      <c r="H340" s="1246"/>
      <c r="I340" s="1360"/>
      <c r="J340" s="1360"/>
      <c r="K340" s="1360"/>
    </row>
    <row r="341" spans="1:11">
      <c r="A341" s="1272" t="str">
        <f>COMPANY</f>
        <v>DUKE ENERGY KENTUCKY, INC.</v>
      </c>
      <c r="B341" s="1273"/>
      <c r="C341" s="1273"/>
      <c r="D341" s="1272"/>
      <c r="E341" s="1272"/>
      <c r="F341" s="1352"/>
      <c r="G341" s="1273"/>
      <c r="H341" s="1353"/>
      <c r="I341" s="1273"/>
      <c r="J341" s="1273"/>
      <c r="K341" s="1273"/>
    </row>
    <row r="342" spans="1:11">
      <c r="A342" s="1272" t="str">
        <f>CASE</f>
        <v>CASE NO. 2018-00261</v>
      </c>
      <c r="B342" s="1273"/>
      <c r="C342" s="1273"/>
      <c r="D342" s="1272"/>
      <c r="E342" s="1272"/>
      <c r="F342" s="1352"/>
      <c r="G342" s="1273"/>
      <c r="H342" s="1353"/>
      <c r="I342" s="1273"/>
      <c r="J342" s="1273"/>
      <c r="K342" s="1273"/>
    </row>
    <row r="343" spans="1:11">
      <c r="A343" s="1272" t="str">
        <f>A201</f>
        <v>ACCUMULATED DEPRECIATION AND AMORTIZATION</v>
      </c>
      <c r="B343" s="1273"/>
      <c r="C343" s="1273"/>
      <c r="D343" s="1272"/>
      <c r="E343" s="1272"/>
      <c r="F343" s="1352"/>
      <c r="G343" s="1273"/>
      <c r="H343" s="1353"/>
      <c r="I343" s="1273"/>
      <c r="J343" s="1273"/>
      <c r="K343" s="1273"/>
    </row>
    <row r="344" spans="1:11">
      <c r="A344" s="44" t="str">
        <f>"AS OF " &amp;RIGHT(Forecast,(LEN(Forecast)-16))</f>
        <v>AS OF MARCH 31, 2020</v>
      </c>
      <c r="B344" s="1273"/>
      <c r="C344" s="1273"/>
      <c r="D344" s="1272"/>
      <c r="E344" s="1272"/>
      <c r="F344" s="1352"/>
      <c r="G344" s="1273"/>
      <c r="H344" s="1353"/>
      <c r="I344" s="1273"/>
      <c r="J344" s="1273"/>
      <c r="K344" s="1273"/>
    </row>
    <row r="345" spans="1:11">
      <c r="A345" s="1273"/>
      <c r="B345" s="1273"/>
      <c r="C345" s="1273"/>
      <c r="D345" s="1273"/>
      <c r="E345" s="1273"/>
      <c r="F345" s="1354"/>
      <c r="G345" s="1273"/>
      <c r="H345" s="1353"/>
      <c r="I345" s="1273"/>
      <c r="J345" s="1273"/>
      <c r="K345" s="1273"/>
    </row>
    <row r="346" spans="1:11">
      <c r="A346" s="1272" t="s">
        <v>1119</v>
      </c>
      <c r="B346" s="1273"/>
      <c r="C346" s="1273"/>
      <c r="D346" s="1272"/>
      <c r="E346" s="1272"/>
      <c r="F346" s="1352"/>
      <c r="G346" s="1273"/>
      <c r="H346" s="1353"/>
      <c r="I346" s="1273"/>
      <c r="J346" s="1273"/>
      <c r="K346" s="1273"/>
    </row>
    <row r="347" spans="1:11">
      <c r="A347" s="1355"/>
      <c r="B347" s="1273"/>
      <c r="C347" s="1273"/>
      <c r="D347" s="1272"/>
      <c r="E347" s="1272"/>
      <c r="F347" s="1352"/>
      <c r="G347" s="1273"/>
      <c r="H347" s="1353"/>
      <c r="I347" s="1273"/>
      <c r="J347" s="1273"/>
      <c r="K347" s="1273"/>
    </row>
    <row r="348" spans="1:11">
      <c r="A348" s="1356"/>
      <c r="B348" s="661"/>
      <c r="C348" s="661"/>
      <c r="D348" s="661"/>
      <c r="E348" s="661"/>
      <c r="F348" s="679"/>
      <c r="G348" s="661"/>
      <c r="H348" s="1357"/>
      <c r="I348" s="661"/>
      <c r="J348" s="661"/>
      <c r="K348" s="661"/>
    </row>
    <row r="349" spans="1:11">
      <c r="A349" s="1358"/>
      <c r="B349" s="661"/>
      <c r="C349" s="661"/>
      <c r="D349" s="661"/>
      <c r="E349" s="661"/>
      <c r="F349" s="679"/>
      <c r="G349" s="661"/>
      <c r="H349" s="1357"/>
      <c r="I349" s="661"/>
      <c r="J349" s="1358"/>
      <c r="K349" s="661"/>
    </row>
    <row r="350" spans="1:11">
      <c r="A350" s="1358" t="str">
        <f>DataF</f>
        <v>DATA:  BASE PERIOD  "X" FORECASTED PERIOD</v>
      </c>
      <c r="B350" s="661"/>
      <c r="C350" s="661"/>
      <c r="D350" s="661"/>
      <c r="E350" s="661"/>
      <c r="F350" s="679"/>
      <c r="G350" s="661"/>
      <c r="H350" s="1357"/>
      <c r="I350" s="661"/>
      <c r="J350" s="1359" t="str">
        <f>J208</f>
        <v>SCHEDULE B-3</v>
      </c>
      <c r="K350" s="661"/>
    </row>
    <row r="351" spans="1:11">
      <c r="A351" s="1358" t="str">
        <f>Type</f>
        <v xml:space="preserve">TYPE OF FILING:  "X" ORIGINAL   UPDATED    REVISED  </v>
      </c>
      <c r="B351" s="661"/>
      <c r="C351" s="661"/>
      <c r="D351" s="661"/>
      <c r="E351" s="661"/>
      <c r="F351" s="679"/>
      <c r="G351" s="661"/>
      <c r="H351" s="1357"/>
      <c r="I351" s="661"/>
      <c r="J351" s="1359" t="s">
        <v>503</v>
      </c>
      <c r="K351" s="661"/>
    </row>
    <row r="352" spans="1:11">
      <c r="A352" s="661" t="s">
        <v>311</v>
      </c>
      <c r="B352" s="661"/>
      <c r="C352" s="661"/>
      <c r="D352" s="661"/>
      <c r="E352" s="661"/>
      <c r="F352" s="679"/>
      <c r="G352" s="661"/>
      <c r="H352" s="1357"/>
      <c r="I352" s="661"/>
      <c r="J352" s="1360" t="str">
        <f>J210</f>
        <v>WITNESS RESPONSIBLE:</v>
      </c>
      <c r="K352" s="661"/>
    </row>
    <row r="353" spans="1:12">
      <c r="A353" s="661"/>
      <c r="B353" s="661"/>
      <c r="C353" s="661"/>
      <c r="D353" s="661"/>
      <c r="E353" s="661"/>
      <c r="F353" s="679"/>
      <c r="G353" s="661"/>
      <c r="H353" s="1357"/>
      <c r="I353" s="661"/>
      <c r="J353" s="661" t="str">
        <f>J211</f>
        <v>R. H. PRATT / C. S. LEE</v>
      </c>
      <c r="K353" s="661"/>
    </row>
    <row r="354" spans="1:12">
      <c r="A354" s="661"/>
      <c r="B354" s="661"/>
      <c r="C354" s="661"/>
      <c r="D354" s="661"/>
      <c r="E354" s="661"/>
      <c r="F354" s="679"/>
      <c r="G354" s="661"/>
      <c r="H354" s="1357"/>
      <c r="I354" s="661"/>
      <c r="J354" s="661"/>
      <c r="K354" s="661"/>
    </row>
    <row r="355" spans="1:12">
      <c r="A355" s="661"/>
      <c r="B355" s="661"/>
      <c r="C355" s="661"/>
      <c r="D355" s="661"/>
      <c r="E355" s="661"/>
      <c r="F355" s="1361"/>
      <c r="G355" s="661"/>
      <c r="H355" s="1357"/>
      <c r="I355" s="661"/>
      <c r="J355" s="661"/>
      <c r="K355" s="661"/>
    </row>
    <row r="356" spans="1:12">
      <c r="A356" s="629"/>
      <c r="B356" s="646"/>
      <c r="C356" s="647" t="s">
        <v>2152</v>
      </c>
      <c r="D356" s="629"/>
      <c r="E356" s="674" t="str">
        <f>E214</f>
        <v>13 Month</v>
      </c>
      <c r="F356" s="633"/>
      <c r="G356" s="629"/>
      <c r="H356" s="643"/>
      <c r="I356" s="629"/>
      <c r="J356" s="629"/>
      <c r="K356" s="629"/>
    </row>
    <row r="357" spans="1:12">
      <c r="A357" s="636"/>
      <c r="B357" s="648" t="s">
        <v>1041</v>
      </c>
      <c r="C357" s="648" t="s">
        <v>2137</v>
      </c>
      <c r="D357" s="636"/>
      <c r="E357" s="675" t="str">
        <f>E215</f>
        <v>Average</v>
      </c>
      <c r="F357" s="633"/>
      <c r="G357" s="677" t="str">
        <f>G215</f>
        <v>13 Month Average Forecasted Period Accumulated Balances</v>
      </c>
      <c r="H357" s="649"/>
      <c r="I357" s="649"/>
      <c r="J357" s="649"/>
      <c r="K357" s="649"/>
    </row>
    <row r="358" spans="1:12">
      <c r="A358" s="1274" t="s">
        <v>1938</v>
      </c>
      <c r="B358" s="1274" t="s">
        <v>1150</v>
      </c>
      <c r="C358" s="1274" t="s">
        <v>1150</v>
      </c>
      <c r="D358" s="661"/>
      <c r="E358" s="1362" t="str">
        <f>E216</f>
        <v>Forecasted</v>
      </c>
      <c r="F358" s="675"/>
      <c r="G358" s="1363"/>
      <c r="H358" s="1364" t="s">
        <v>2010</v>
      </c>
      <c r="I358" s="1274" t="s">
        <v>1427</v>
      </c>
      <c r="J358" s="661"/>
      <c r="K358" s="1274" t="s">
        <v>572</v>
      </c>
    </row>
    <row r="359" spans="1:12">
      <c r="A359" s="1274" t="s">
        <v>1939</v>
      </c>
      <c r="B359" s="1274" t="s">
        <v>1939</v>
      </c>
      <c r="C359" s="1274" t="s">
        <v>1939</v>
      </c>
      <c r="D359" s="1274" t="s">
        <v>1151</v>
      </c>
      <c r="E359" s="1363" t="str">
        <f>E217</f>
        <v>Period (1)</v>
      </c>
      <c r="F359" s="1365"/>
      <c r="G359" s="1366" t="s">
        <v>2153</v>
      </c>
      <c r="H359" s="1367" t="s">
        <v>2097</v>
      </c>
      <c r="I359" s="1365" t="s">
        <v>2153</v>
      </c>
      <c r="J359" s="1365" t="s">
        <v>571</v>
      </c>
      <c r="K359" s="1365" t="s">
        <v>1357</v>
      </c>
    </row>
    <row r="360" spans="1:12">
      <c r="A360" s="629"/>
      <c r="B360" s="629"/>
      <c r="C360" s="629"/>
      <c r="D360" s="629"/>
      <c r="E360" s="629"/>
      <c r="F360" s="636"/>
      <c r="G360" s="1274" t="s">
        <v>695</v>
      </c>
      <c r="H360" s="1357"/>
      <c r="I360" s="1274" t="s">
        <v>695</v>
      </c>
      <c r="J360" s="1274" t="s">
        <v>695</v>
      </c>
      <c r="K360" s="1274" t="s">
        <v>695</v>
      </c>
    </row>
    <row r="361" spans="1:12">
      <c r="A361" s="661"/>
      <c r="B361" s="661"/>
      <c r="C361" s="661"/>
      <c r="D361" s="661"/>
      <c r="E361" s="661"/>
      <c r="F361" s="679"/>
    </row>
    <row r="362" spans="1:12">
      <c r="A362" s="1274" t="s">
        <v>1152</v>
      </c>
      <c r="B362" s="661"/>
      <c r="C362" s="1370">
        <f>C165</f>
        <v>10300</v>
      </c>
      <c r="D362" s="2955" t="str">
        <f>D165</f>
        <v xml:space="preserve">Miscellaneous Intangible Plant </v>
      </c>
      <c r="E362" s="652">
        <f>'SCH B-2.1'!E312</f>
        <v>22332072</v>
      </c>
      <c r="F362" s="1371"/>
      <c r="G362" s="2755">
        <v>22332072</v>
      </c>
      <c r="H362" s="1373">
        <v>1</v>
      </c>
      <c r="I362" s="1360">
        <f t="shared" ref="I362:I376" si="65">ROUND(G362*H362,0)</f>
        <v>22332072</v>
      </c>
      <c r="J362" s="661"/>
      <c r="K362" s="1360">
        <f t="shared" ref="K362:K376" si="66">I362+J362</f>
        <v>22332072</v>
      </c>
      <c r="L362" s="1376"/>
    </row>
    <row r="363" spans="1:12">
      <c r="A363" s="1274">
        <f>A362+1</f>
        <v>2</v>
      </c>
      <c r="B363" s="661"/>
      <c r="C363" s="1370">
        <f t="shared" ref="C363:D363" si="67">C166</f>
        <v>18900</v>
      </c>
      <c r="D363" s="2955" t="str">
        <f t="shared" si="67"/>
        <v>Land and Land Rights</v>
      </c>
      <c r="E363" s="652">
        <f>'SCH B-2.1'!E313</f>
        <v>154248</v>
      </c>
      <c r="F363" s="1371"/>
      <c r="G363" s="2755">
        <v>0</v>
      </c>
      <c r="H363" s="1373">
        <v>1</v>
      </c>
      <c r="I363" s="1360">
        <f t="shared" ref="I363:I368" si="68">ROUND(G363*H363,0)</f>
        <v>0</v>
      </c>
      <c r="J363" s="661"/>
      <c r="K363" s="1360">
        <f t="shared" ref="K363:K368" si="69">I363+J363</f>
        <v>0</v>
      </c>
      <c r="L363" s="1376"/>
    </row>
    <row r="364" spans="1:12">
      <c r="A364" s="1274">
        <f t="shared" ref="A364:A377" si="70">A363+1</f>
        <v>3</v>
      </c>
      <c r="B364" s="661"/>
      <c r="C364" s="1370">
        <f t="shared" ref="C364:D364" si="71">C167</f>
        <v>19000</v>
      </c>
      <c r="D364" s="2955" t="str">
        <f t="shared" si="71"/>
        <v>Structures &amp; Improvements</v>
      </c>
      <c r="E364" s="652">
        <f>'SCH B-2.1'!E314</f>
        <v>14645832</v>
      </c>
      <c r="F364" s="1371"/>
      <c r="G364" s="2755">
        <v>7720162</v>
      </c>
      <c r="H364" s="1373">
        <v>1</v>
      </c>
      <c r="I364" s="1360">
        <f t="shared" si="68"/>
        <v>7720162</v>
      </c>
      <c r="J364" s="661"/>
      <c r="K364" s="1360">
        <f t="shared" si="69"/>
        <v>7720162</v>
      </c>
      <c r="L364" s="1376"/>
    </row>
    <row r="365" spans="1:12">
      <c r="A365" s="1274">
        <f t="shared" si="70"/>
        <v>4</v>
      </c>
      <c r="B365" s="661"/>
      <c r="C365" s="1370">
        <f t="shared" ref="C365:D365" si="72">C168</f>
        <v>19100</v>
      </c>
      <c r="D365" s="2955" t="str">
        <f t="shared" si="72"/>
        <v>Office Furniture &amp; Equipment</v>
      </c>
      <c r="E365" s="652">
        <f>'SCH B-2.1'!E315</f>
        <v>502844</v>
      </c>
      <c r="F365" s="1371"/>
      <c r="G365" s="2755">
        <v>223342</v>
      </c>
      <c r="H365" s="1373">
        <v>1</v>
      </c>
      <c r="I365" s="1360">
        <f t="shared" si="68"/>
        <v>223342</v>
      </c>
      <c r="J365" s="661"/>
      <c r="K365" s="1360">
        <f t="shared" si="69"/>
        <v>223342</v>
      </c>
      <c r="L365" s="1376"/>
    </row>
    <row r="366" spans="1:12">
      <c r="A366" s="1274">
        <f t="shared" si="70"/>
        <v>5</v>
      </c>
      <c r="B366" s="661"/>
      <c r="C366" s="1370" t="str">
        <f t="shared" ref="C366:D366" si="73">C169</f>
        <v>19100-URR</v>
      </c>
      <c r="D366" s="2955" t="str">
        <f t="shared" si="73"/>
        <v>Office Furniture &amp; Equipment</v>
      </c>
      <c r="E366" s="3023">
        <v>0</v>
      </c>
      <c r="F366" s="3134" t="s">
        <v>678</v>
      </c>
      <c r="G366" s="2755">
        <v>394</v>
      </c>
      <c r="H366" s="1373">
        <v>1</v>
      </c>
      <c r="I366" s="1360">
        <f t="shared" si="68"/>
        <v>394</v>
      </c>
      <c r="J366" s="661"/>
      <c r="K366" s="1360">
        <f t="shared" si="69"/>
        <v>394</v>
      </c>
      <c r="L366" s="1376"/>
    </row>
    <row r="367" spans="1:12">
      <c r="A367" s="1274">
        <f t="shared" si="70"/>
        <v>6</v>
      </c>
      <c r="B367" s="661"/>
      <c r="C367" s="1370">
        <f t="shared" ref="C367:D367" si="74">C170</f>
        <v>19101</v>
      </c>
      <c r="D367" s="2955" t="str">
        <f t="shared" si="74"/>
        <v>Electronic Data Processing</v>
      </c>
      <c r="E367" s="652">
        <f>'SCH B-2.1'!E316</f>
        <v>807217</v>
      </c>
      <c r="F367" s="1371"/>
      <c r="G367" s="2755">
        <v>851335</v>
      </c>
      <c r="H367" s="1373">
        <v>1</v>
      </c>
      <c r="I367" s="1360">
        <f t="shared" si="68"/>
        <v>851335</v>
      </c>
      <c r="J367" s="661"/>
      <c r="K367" s="1360">
        <f t="shared" si="69"/>
        <v>851335</v>
      </c>
      <c r="L367" s="1376"/>
    </row>
    <row r="368" spans="1:12">
      <c r="A368" s="1274">
        <f t="shared" si="70"/>
        <v>7</v>
      </c>
      <c r="B368" s="661"/>
      <c r="C368" s="1370" t="str">
        <f t="shared" ref="C368:D368" si="75">C171</f>
        <v>19101-URR</v>
      </c>
      <c r="D368" s="2955" t="str">
        <f t="shared" si="75"/>
        <v>Electronic Data Processing</v>
      </c>
      <c r="E368" s="3023">
        <v>0</v>
      </c>
      <c r="F368" s="3134" t="s">
        <v>678</v>
      </c>
      <c r="G368" s="2755">
        <v>-41280</v>
      </c>
      <c r="H368" s="1373">
        <v>1</v>
      </c>
      <c r="I368" s="1360">
        <f t="shared" si="68"/>
        <v>-41280</v>
      </c>
      <c r="J368" s="661"/>
      <c r="K368" s="1360">
        <f t="shared" si="69"/>
        <v>-41280</v>
      </c>
      <c r="L368" s="1376"/>
    </row>
    <row r="369" spans="1:12">
      <c r="A369" s="1274">
        <f t="shared" si="70"/>
        <v>8</v>
      </c>
      <c r="B369" s="661"/>
      <c r="C369" s="1370">
        <f t="shared" ref="C369:D369" si="76">C172</f>
        <v>19300</v>
      </c>
      <c r="D369" s="2955" t="str">
        <f t="shared" si="76"/>
        <v>Stores Equipment</v>
      </c>
      <c r="E369" s="652">
        <f>'SCH B-2.1'!E317</f>
        <v>0</v>
      </c>
      <c r="F369" s="1371"/>
      <c r="G369" s="2755">
        <v>0</v>
      </c>
      <c r="H369" s="1373">
        <v>1</v>
      </c>
      <c r="I369" s="1360">
        <f>ROUND(G369*H369,0)</f>
        <v>0</v>
      </c>
      <c r="J369" s="661"/>
      <c r="K369" s="1360">
        <f t="shared" si="66"/>
        <v>0</v>
      </c>
      <c r="L369" s="1376"/>
    </row>
    <row r="370" spans="1:12">
      <c r="A370" s="1274">
        <f t="shared" si="70"/>
        <v>9</v>
      </c>
      <c r="B370" s="661"/>
      <c r="C370" s="1370">
        <f t="shared" ref="C370:D370" si="77">C173</f>
        <v>19400</v>
      </c>
      <c r="D370" s="2955" t="str">
        <f t="shared" si="77"/>
        <v>Tools, Shop &amp; Garage Equipment</v>
      </c>
      <c r="E370" s="652">
        <f>'SCH B-2.1'!E318</f>
        <v>121888</v>
      </c>
      <c r="F370" s="1371"/>
      <c r="G370" s="2755">
        <v>52170</v>
      </c>
      <c r="H370" s="1373">
        <v>1</v>
      </c>
      <c r="I370" s="1360">
        <f t="shared" si="65"/>
        <v>52170</v>
      </c>
      <c r="J370" s="1360"/>
      <c r="K370" s="1360">
        <f t="shared" si="66"/>
        <v>52170</v>
      </c>
      <c r="L370" s="1376"/>
    </row>
    <row r="371" spans="1:12">
      <c r="A371" s="1274">
        <f t="shared" si="70"/>
        <v>10</v>
      </c>
      <c r="B371" s="661"/>
      <c r="C371" s="1370" t="str">
        <f t="shared" ref="C371:D371" si="78">C174</f>
        <v>19400-URR</v>
      </c>
      <c r="D371" s="2955" t="str">
        <f t="shared" si="78"/>
        <v>Tools, Shop &amp; Garage Equipment</v>
      </c>
      <c r="E371" s="3023">
        <v>0</v>
      </c>
      <c r="F371" s="3134" t="s">
        <v>678</v>
      </c>
      <c r="G371" s="2755">
        <v>12900</v>
      </c>
      <c r="H371" s="1373">
        <v>1</v>
      </c>
      <c r="I371" s="1360">
        <f t="shared" si="65"/>
        <v>12900</v>
      </c>
      <c r="J371" s="1360"/>
      <c r="K371" s="1360">
        <f t="shared" si="66"/>
        <v>12900</v>
      </c>
      <c r="L371" s="1376"/>
    </row>
    <row r="372" spans="1:12">
      <c r="A372" s="1274">
        <f t="shared" si="70"/>
        <v>11</v>
      </c>
      <c r="B372" s="661"/>
      <c r="C372" s="1370">
        <f t="shared" ref="C372:D372" si="79">C175</f>
        <v>19700</v>
      </c>
      <c r="D372" s="2955" t="str">
        <f t="shared" si="79"/>
        <v>Communication Equipment</v>
      </c>
      <c r="E372" s="652">
        <f>'SCH B-2.1'!E319</f>
        <v>8114194</v>
      </c>
      <c r="F372" s="1371"/>
      <c r="G372" s="2755">
        <v>4803012</v>
      </c>
      <c r="H372" s="1373">
        <v>1</v>
      </c>
      <c r="I372" s="1360">
        <f t="shared" si="65"/>
        <v>4803012</v>
      </c>
      <c r="J372" s="1360"/>
      <c r="K372" s="1360">
        <f t="shared" si="66"/>
        <v>4803012</v>
      </c>
      <c r="L372" s="1376"/>
    </row>
    <row r="373" spans="1:12">
      <c r="A373" s="1274">
        <f t="shared" si="70"/>
        <v>12</v>
      </c>
      <c r="B373" s="661"/>
      <c r="C373" s="1370" t="str">
        <f t="shared" ref="C373:D373" si="80">C176</f>
        <v>19700-URR</v>
      </c>
      <c r="D373" s="2955" t="str">
        <f t="shared" si="80"/>
        <v>Communication Equipment</v>
      </c>
      <c r="E373" s="3023">
        <v>0</v>
      </c>
      <c r="F373" s="3134" t="s">
        <v>678</v>
      </c>
      <c r="G373" s="2755">
        <v>2698966</v>
      </c>
      <c r="H373" s="1373">
        <v>1</v>
      </c>
      <c r="I373" s="1360">
        <f t="shared" si="65"/>
        <v>2698966</v>
      </c>
      <c r="J373" s="1360"/>
      <c r="K373" s="1360">
        <f t="shared" si="66"/>
        <v>2698966</v>
      </c>
      <c r="L373" s="1376"/>
    </row>
    <row r="374" spans="1:12">
      <c r="A374" s="1274">
        <f t="shared" si="70"/>
        <v>13</v>
      </c>
      <c r="B374" s="661"/>
      <c r="C374" s="1370">
        <f t="shared" ref="C374:D374" si="81">C177</f>
        <v>19800</v>
      </c>
      <c r="D374" s="2955" t="str">
        <f t="shared" si="81"/>
        <v>Miscellaneous Equipment</v>
      </c>
      <c r="E374" s="652">
        <f>'SCH B-2.1'!E320</f>
        <v>41504</v>
      </c>
      <c r="F374" s="1371"/>
      <c r="G374" s="2755">
        <v>23317</v>
      </c>
      <c r="H374" s="1373">
        <v>1</v>
      </c>
      <c r="I374" s="1360">
        <f t="shared" si="65"/>
        <v>23317</v>
      </c>
      <c r="J374" s="1360"/>
      <c r="K374" s="1360">
        <f t="shared" si="66"/>
        <v>23317</v>
      </c>
      <c r="L374" s="1376"/>
    </row>
    <row r="375" spans="1:12">
      <c r="A375" s="1274">
        <f t="shared" si="70"/>
        <v>14</v>
      </c>
      <c r="B375" s="661"/>
      <c r="C375" s="1370" t="str">
        <f t="shared" ref="C375:D375" si="82">C178</f>
        <v>19800-URR</v>
      </c>
      <c r="D375" s="2955" t="str">
        <f t="shared" si="82"/>
        <v>Miscellaneous Equipment</v>
      </c>
      <c r="E375" s="3023">
        <v>0</v>
      </c>
      <c r="F375" s="3134" t="s">
        <v>678</v>
      </c>
      <c r="G375" s="2755">
        <v>-3081</v>
      </c>
      <c r="H375" s="1373">
        <v>1</v>
      </c>
      <c r="I375" s="1360">
        <f t="shared" si="65"/>
        <v>-3081</v>
      </c>
      <c r="J375" s="1360"/>
      <c r="K375" s="1360">
        <f t="shared" si="66"/>
        <v>-3081</v>
      </c>
      <c r="L375" s="1376"/>
    </row>
    <row r="376" spans="1:12">
      <c r="A376" s="1274">
        <f t="shared" si="70"/>
        <v>15</v>
      </c>
      <c r="B376" s="661"/>
      <c r="C376" s="1370"/>
      <c r="D376" s="2955" t="str">
        <f t="shared" ref="D376" si="83">D179</f>
        <v>Asset Retirement Cost Obligation</v>
      </c>
      <c r="E376" s="652">
        <f>'SCH B-2.1'!E321</f>
        <v>314111</v>
      </c>
      <c r="F376" s="1371"/>
      <c r="G376" s="2755">
        <v>120812</v>
      </c>
      <c r="H376" s="1373">
        <v>1</v>
      </c>
      <c r="I376" s="1360">
        <f t="shared" si="65"/>
        <v>120812</v>
      </c>
      <c r="J376" s="1360"/>
      <c r="K376" s="1360">
        <f t="shared" si="66"/>
        <v>120812</v>
      </c>
      <c r="L376" s="1376"/>
    </row>
    <row r="377" spans="1:12">
      <c r="A377" s="1274">
        <f t="shared" si="70"/>
        <v>16</v>
      </c>
      <c r="B377" s="661"/>
      <c r="C377" s="3187">
        <v>108</v>
      </c>
      <c r="D377" s="3188" t="s">
        <v>122</v>
      </c>
      <c r="E377" s="3023">
        <v>0</v>
      </c>
      <c r="F377" s="1371"/>
      <c r="G377" s="2755">
        <v>-5510</v>
      </c>
      <c r="H377" s="1373">
        <v>1</v>
      </c>
      <c r="I377" s="1360">
        <f t="shared" ref="I377" si="84">ROUND(G377*H377,0)</f>
        <v>-5510</v>
      </c>
      <c r="J377" s="1360"/>
      <c r="K377" s="1360">
        <f t="shared" ref="K377" si="85">I377+J377</f>
        <v>-5510</v>
      </c>
      <c r="L377" s="1376"/>
    </row>
    <row r="378" spans="1:12">
      <c r="A378" s="1274"/>
      <c r="B378" s="661"/>
      <c r="C378" s="3187"/>
      <c r="D378" s="3188"/>
      <c r="E378" s="3023"/>
      <c r="F378" s="1371"/>
      <c r="G378" s="2755"/>
      <c r="H378" s="1373"/>
      <c r="I378" s="1360"/>
      <c r="J378" s="1360"/>
      <c r="K378" s="1360"/>
    </row>
    <row r="379" spans="1:12">
      <c r="A379" s="661"/>
      <c r="B379" s="661"/>
      <c r="C379" s="661"/>
      <c r="D379" s="661"/>
      <c r="E379" s="1375"/>
      <c r="F379" s="1361"/>
      <c r="G379" s="661"/>
      <c r="H379" s="1357"/>
      <c r="I379" s="661"/>
      <c r="J379" s="661"/>
      <c r="K379" s="1375"/>
    </row>
    <row r="380" spans="1:12">
      <c r="A380" s="629"/>
      <c r="B380" s="629"/>
      <c r="C380" s="629"/>
      <c r="D380" s="629"/>
      <c r="E380" s="731"/>
      <c r="F380" s="636"/>
      <c r="G380" s="634"/>
      <c r="H380" s="635"/>
      <c r="I380" s="634"/>
      <c r="J380" s="634"/>
      <c r="K380" s="634"/>
    </row>
    <row r="381" spans="1:12">
      <c r="A381" s="1274">
        <v>17</v>
      </c>
      <c r="B381" s="661"/>
      <c r="C381" s="661"/>
      <c r="D381" s="1358" t="s">
        <v>1321</v>
      </c>
      <c r="E381" s="1360">
        <f>SUM(E362:E379)</f>
        <v>47033910</v>
      </c>
      <c r="F381" s="1371"/>
      <c r="G381" s="1360">
        <f>SUM(G362:G379)</f>
        <v>38788611</v>
      </c>
      <c r="H381" s="1246"/>
      <c r="I381" s="1360">
        <f>SUM(I362:I379)</f>
        <v>38788611</v>
      </c>
      <c r="J381" s="1360">
        <f>SUM(J362:J379)</f>
        <v>0</v>
      </c>
      <c r="K381" s="1360">
        <f>SUM(K362:K379)</f>
        <v>38788611</v>
      </c>
    </row>
    <row r="382" spans="1:12">
      <c r="A382" s="661"/>
      <c r="B382" s="661"/>
      <c r="C382" s="661"/>
      <c r="D382" s="661"/>
      <c r="E382" s="1375"/>
      <c r="F382" s="1361"/>
      <c r="G382" s="661"/>
      <c r="H382" s="1357"/>
      <c r="I382" s="661"/>
      <c r="J382" s="661"/>
      <c r="K382" s="1375"/>
    </row>
    <row r="383" spans="1:12">
      <c r="A383" s="629"/>
      <c r="B383" s="629"/>
      <c r="C383" s="629"/>
      <c r="D383" s="629"/>
      <c r="E383" s="629"/>
      <c r="F383" s="636"/>
      <c r="G383" s="634"/>
      <c r="H383" s="635"/>
      <c r="I383" s="634"/>
      <c r="J383" s="634"/>
      <c r="K383" s="634"/>
    </row>
    <row r="384" spans="1:12">
      <c r="B384" s="661"/>
      <c r="C384" s="1246"/>
      <c r="D384" s="1358" t="s">
        <v>1322</v>
      </c>
      <c r="F384" s="1371"/>
      <c r="H384" s="1246"/>
      <c r="K384" s="1376"/>
    </row>
    <row r="385" spans="1:11">
      <c r="A385" s="1274">
        <f>A381+1</f>
        <v>18</v>
      </c>
      <c r="B385" s="661"/>
      <c r="C385" s="1246">
        <f>CommonG</f>
        <v>0.27379999999999999</v>
      </c>
      <c r="D385" s="1358" t="s">
        <v>365</v>
      </c>
      <c r="E385" s="1360">
        <f>ROUND(E381*C385,0)</f>
        <v>12877885</v>
      </c>
      <c r="F385" s="1371"/>
      <c r="G385" s="1360"/>
      <c r="H385" s="1246"/>
      <c r="I385" s="1360"/>
      <c r="J385" s="1360"/>
      <c r="K385" s="1360"/>
    </row>
    <row r="386" spans="1:11">
      <c r="A386" s="1274">
        <f>A385+1</f>
        <v>19</v>
      </c>
      <c r="B386" s="661"/>
      <c r="C386" s="1246">
        <f>CommonG</f>
        <v>0.27379999999999999</v>
      </c>
      <c r="D386" s="1358" t="s">
        <v>1428</v>
      </c>
      <c r="E386" s="1360"/>
      <c r="F386" s="1371"/>
      <c r="G386" s="1360">
        <f>ROUND(G381*C386,0)</f>
        <v>10620322</v>
      </c>
      <c r="H386" s="1246"/>
      <c r="I386" s="1360">
        <f>G386</f>
        <v>10620322</v>
      </c>
      <c r="J386" s="1360">
        <f>ROUND(J381*$C$189,0)</f>
        <v>0</v>
      </c>
      <c r="K386" s="1360">
        <f>I386+J386</f>
        <v>10620322</v>
      </c>
    </row>
    <row r="387" spans="1:11">
      <c r="A387" s="661"/>
      <c r="B387" s="661"/>
      <c r="C387" s="661"/>
      <c r="D387" s="661"/>
      <c r="E387" s="661"/>
      <c r="F387" s="1361"/>
      <c r="G387" s="661"/>
      <c r="H387" s="1357"/>
      <c r="I387" s="661"/>
      <c r="J387" s="661"/>
      <c r="K387" s="1375"/>
    </row>
    <row r="388" spans="1:11">
      <c r="A388" s="629"/>
      <c r="B388" s="629"/>
      <c r="C388" s="629"/>
      <c r="D388" s="629"/>
      <c r="E388" s="629"/>
      <c r="F388" s="636"/>
      <c r="G388" s="634"/>
      <c r="H388" s="635"/>
      <c r="I388" s="634"/>
      <c r="J388" s="634"/>
      <c r="K388" s="634"/>
    </row>
    <row r="389" spans="1:11">
      <c r="A389" s="1274">
        <f>A386+1</f>
        <v>20</v>
      </c>
      <c r="B389" s="661"/>
      <c r="C389" s="661"/>
      <c r="D389" s="1358" t="s">
        <v>1323</v>
      </c>
      <c r="E389" s="1360">
        <f>E332+E385</f>
        <v>600958381</v>
      </c>
      <c r="F389" s="1371"/>
      <c r="G389" s="1360">
        <f>G332+G386</f>
        <v>196575802</v>
      </c>
      <c r="H389" s="1246"/>
      <c r="I389" s="1360">
        <f>I332+I386</f>
        <v>196575802</v>
      </c>
      <c r="J389" s="1360">
        <f>J332+J386</f>
        <v>-7949669</v>
      </c>
      <c r="K389" s="1360">
        <f>K332+K386</f>
        <v>188626133</v>
      </c>
    </row>
    <row r="390" spans="1:11">
      <c r="A390" s="661"/>
      <c r="B390" s="661"/>
      <c r="C390" s="661"/>
      <c r="D390" s="661"/>
      <c r="E390" s="661"/>
      <c r="F390" s="1361"/>
      <c r="G390" s="661"/>
      <c r="H390" s="1357"/>
      <c r="I390" s="661"/>
      <c r="J390" s="661"/>
      <c r="K390" s="661"/>
    </row>
    <row r="391" spans="1:11">
      <c r="A391" s="629"/>
      <c r="B391" s="629"/>
      <c r="C391" s="629"/>
      <c r="D391" s="629"/>
      <c r="E391" s="629"/>
      <c r="F391" s="636"/>
      <c r="G391" s="634"/>
      <c r="H391" s="635"/>
      <c r="I391" s="634"/>
      <c r="J391" s="634"/>
      <c r="K391" s="634"/>
    </row>
    <row r="392" spans="1:11">
      <c r="A392" s="1377" t="s">
        <v>1426</v>
      </c>
      <c r="B392" s="661"/>
      <c r="C392" s="661"/>
      <c r="D392" s="661"/>
      <c r="E392" s="661"/>
      <c r="F392" s="679"/>
      <c r="G392" s="1360"/>
      <c r="H392" s="1246"/>
      <c r="I392" s="1360"/>
      <c r="J392" s="1360"/>
      <c r="K392" s="1360"/>
    </row>
    <row r="393" spans="1:11">
      <c r="A393" s="3130" t="s">
        <v>2918</v>
      </c>
      <c r="B393" s="661"/>
      <c r="C393" s="661"/>
      <c r="D393" s="661"/>
      <c r="E393" s="661"/>
      <c r="F393" s="679"/>
      <c r="G393" s="1360"/>
      <c r="H393" s="1246"/>
      <c r="I393" s="1360"/>
      <c r="J393" s="1360"/>
      <c r="K393" s="1360"/>
    </row>
    <row r="394" spans="1:11">
      <c r="A394" s="1377"/>
      <c r="B394" s="661"/>
      <c r="C394" s="661"/>
      <c r="D394" s="661"/>
      <c r="E394" s="661"/>
      <c r="F394" s="679"/>
      <c r="G394" s="1360"/>
      <c r="H394" s="1246"/>
      <c r="I394" s="1360"/>
      <c r="J394" s="1360"/>
      <c r="K394" s="1360"/>
    </row>
    <row r="395" spans="1:11">
      <c r="A395" s="1377"/>
      <c r="B395" s="661"/>
      <c r="C395" s="661"/>
      <c r="D395" s="661"/>
      <c r="E395" s="661"/>
      <c r="F395" s="679"/>
      <c r="G395" s="1360"/>
      <c r="H395" s="1246"/>
      <c r="I395" s="1360"/>
      <c r="J395" s="1360"/>
      <c r="K395" s="1360"/>
    </row>
    <row r="396" spans="1:11">
      <c r="A396" s="3130"/>
      <c r="B396" s="661"/>
      <c r="C396" s="661"/>
      <c r="D396" s="661"/>
      <c r="E396" s="661"/>
      <c r="F396" s="679"/>
      <c r="G396" s="1360"/>
      <c r="H396" s="1246"/>
      <c r="I396" s="1360"/>
      <c r="J396" s="1360"/>
      <c r="K396" s="1360"/>
    </row>
    <row r="397" spans="1:11">
      <c r="A397" s="661"/>
      <c r="B397" s="661"/>
      <c r="C397" s="661"/>
      <c r="D397" s="661"/>
      <c r="E397" s="661"/>
      <c r="F397" s="679"/>
      <c r="G397" s="1360"/>
      <c r="H397" s="1246"/>
      <c r="I397" s="1360"/>
      <c r="J397" s="1360"/>
      <c r="K397" s="1360"/>
    </row>
    <row r="398" spans="1:11">
      <c r="A398" s="1358"/>
      <c r="B398" s="661"/>
      <c r="C398" s="661"/>
      <c r="D398" s="661"/>
      <c r="E398" s="661"/>
      <c r="F398" s="679"/>
      <c r="G398" s="1360"/>
      <c r="H398" s="1246"/>
      <c r="I398" s="1360"/>
      <c r="J398" s="1360"/>
      <c r="K398" s="1360"/>
    </row>
    <row r="401" spans="1:1">
      <c r="A401" s="661"/>
    </row>
  </sheetData>
  <phoneticPr fontId="5" type="noConversion"/>
  <printOptions horizontalCentered="1"/>
  <pageMargins left="1" right="0.75" top="1" bottom="1" header="0.5" footer="0.5"/>
  <pageSetup scale="56" orientation="landscape" horizontalDpi="300" r:id="rId1"/>
  <headerFooter alignWithMargins="0"/>
  <rowBreaks count="3" manualBreakCount="3">
    <brk id="39" max="16383" man="1"/>
    <brk id="95" max="11" man="1"/>
    <brk id="143" max="11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tabColor theme="8" tint="0.59999389629810485"/>
    <pageSetUpPr fitToPage="1"/>
  </sheetPr>
  <dimension ref="A1:I104"/>
  <sheetViews>
    <sheetView zoomScale="75" workbookViewId="0"/>
  </sheetViews>
  <sheetFormatPr defaultColWidth="11.44140625" defaultRowHeight="15"/>
  <cols>
    <col min="1" max="1" width="8.88671875" style="661" customWidth="1"/>
    <col min="2" max="3" width="11.44140625" style="661" customWidth="1"/>
    <col min="4" max="4" width="42.33203125" style="661" customWidth="1"/>
    <col min="5" max="5" width="13" style="661" customWidth="1"/>
    <col min="6" max="6" width="15.5546875" style="661" customWidth="1"/>
    <col min="7" max="7" width="15.33203125" style="661" customWidth="1"/>
    <col min="8" max="8" width="15.88671875" style="661" customWidth="1"/>
    <col min="9" max="9" width="18.5546875" style="661" customWidth="1"/>
    <col min="10" max="16384" width="11.44140625" style="661"/>
  </cols>
  <sheetData>
    <row r="1" spans="1:9">
      <c r="A1" s="1272" t="str">
        <f>COMPANY</f>
        <v>DUKE ENERGY KENTUCKY, INC.</v>
      </c>
      <c r="B1" s="1272"/>
      <c r="C1" s="1272"/>
      <c r="D1" s="1272"/>
      <c r="E1" s="1272"/>
      <c r="F1" s="1272"/>
      <c r="G1" s="1272"/>
      <c r="H1" s="1272"/>
      <c r="I1" s="1272"/>
    </row>
    <row r="2" spans="1:9">
      <c r="A2" s="1272" t="str">
        <f>CASE</f>
        <v>CASE NO. 2018-00261</v>
      </c>
      <c r="B2" s="1272"/>
      <c r="C2" s="1272"/>
      <c r="D2" s="1272"/>
      <c r="E2" s="1272"/>
      <c r="F2" s="1272"/>
      <c r="G2" s="1272"/>
      <c r="H2" s="1272"/>
      <c r="I2" s="1272"/>
    </row>
    <row r="3" spans="1:9">
      <c r="A3" s="1272" t="s">
        <v>1429</v>
      </c>
      <c r="B3" s="1272"/>
      <c r="C3" s="1272"/>
      <c r="D3" s="1272"/>
      <c r="E3" s="1272"/>
      <c r="F3" s="1272"/>
      <c r="G3" s="1272"/>
      <c r="H3" s="1272"/>
      <c r="I3" s="1272"/>
    </row>
    <row r="4" spans="1:9">
      <c r="A4" s="44" t="str">
        <f>"AS OF " &amp;RIGHT(TESTYR,(LEN(TESTYR)-16))</f>
        <v>AS OF NOVEMBER 30, 2018</v>
      </c>
      <c r="B4" s="1272"/>
      <c r="C4" s="1272"/>
      <c r="D4" s="1272"/>
      <c r="E4" s="1272"/>
      <c r="F4" s="1272"/>
      <c r="G4" s="1272"/>
      <c r="H4" s="1272"/>
      <c r="I4" s="1272"/>
    </row>
    <row r="5" spans="1:9">
      <c r="A5" s="1273"/>
      <c r="B5" s="1273"/>
      <c r="C5" s="1273"/>
      <c r="D5" s="1273"/>
      <c r="E5" s="1273"/>
      <c r="F5" s="1273"/>
      <c r="G5" s="1273"/>
    </row>
    <row r="6" spans="1:9">
      <c r="A6" s="1272"/>
      <c r="B6" s="1272"/>
      <c r="C6" s="1272"/>
      <c r="D6" s="1272"/>
      <c r="E6" s="1272"/>
      <c r="F6" s="1272"/>
      <c r="G6" s="1272"/>
      <c r="H6" s="1272"/>
      <c r="I6" s="1272"/>
    </row>
    <row r="7" spans="1:9">
      <c r="A7" s="1273"/>
      <c r="B7" s="1273"/>
      <c r="C7" s="1273"/>
      <c r="D7" s="1273"/>
      <c r="E7" s="1273"/>
      <c r="F7" s="1273"/>
      <c r="G7" s="1273"/>
    </row>
    <row r="8" spans="1:9">
      <c r="A8" s="1273"/>
      <c r="B8" s="1273"/>
      <c r="C8" s="1273"/>
      <c r="D8" s="1273"/>
      <c r="E8" s="1273"/>
      <c r="F8" s="1273"/>
      <c r="G8" s="1273"/>
    </row>
    <row r="9" spans="1:9">
      <c r="A9" s="1358" t="str">
        <f>Data</f>
        <v>DATA: "X" BASE PERIOD   FORECASTED PERIOD</v>
      </c>
      <c r="H9" s="1358" t="s">
        <v>1430</v>
      </c>
    </row>
    <row r="10" spans="1:9">
      <c r="A10" s="1358" t="str">
        <f>Type</f>
        <v xml:space="preserve">TYPE OF FILING:  "X" ORIGINAL   UPDATED    REVISED  </v>
      </c>
      <c r="H10" s="1358" t="s">
        <v>2092</v>
      </c>
    </row>
    <row r="11" spans="1:9">
      <c r="A11" s="3192" t="s">
        <v>2792</v>
      </c>
      <c r="H11" s="1359" t="s">
        <v>566</v>
      </c>
    </row>
    <row r="12" spans="1:9">
      <c r="H12" s="1383" t="str">
        <f>_WIT7</f>
        <v>R. H. PRATT / C. S. LEE</v>
      </c>
    </row>
    <row r="15" spans="1:9">
      <c r="H15" s="1361"/>
      <c r="I15" s="1361"/>
    </row>
    <row r="16" spans="1:9">
      <c r="A16" s="629"/>
      <c r="B16" s="629"/>
      <c r="C16" s="647"/>
      <c r="D16" s="629"/>
      <c r="E16" s="629"/>
      <c r="F16" s="629"/>
      <c r="G16" s="629"/>
    </row>
    <row r="17" spans="1:9">
      <c r="B17" s="1274" t="s">
        <v>1041</v>
      </c>
      <c r="C17" s="637" t="s">
        <v>2137</v>
      </c>
      <c r="E17" s="1274"/>
      <c r="I17" s="1385" t="s">
        <v>1326</v>
      </c>
    </row>
    <row r="18" spans="1:9">
      <c r="A18" s="1274" t="s">
        <v>1938</v>
      </c>
      <c r="B18" s="1274" t="s">
        <v>1150</v>
      </c>
      <c r="C18" s="1274" t="s">
        <v>1150</v>
      </c>
      <c r="D18" s="1358"/>
      <c r="E18" s="3024" t="s">
        <v>1986</v>
      </c>
      <c r="F18" s="1274" t="s">
        <v>1898</v>
      </c>
      <c r="G18" s="1274" t="s">
        <v>1898</v>
      </c>
      <c r="H18" s="1385" t="s">
        <v>1327</v>
      </c>
      <c r="I18" s="1385" t="s">
        <v>1379</v>
      </c>
    </row>
    <row r="19" spans="1:9">
      <c r="A19" s="1274" t="s">
        <v>1939</v>
      </c>
      <c r="B19" s="1274" t="s">
        <v>1939</v>
      </c>
      <c r="C19" s="637" t="s">
        <v>1939</v>
      </c>
      <c r="D19" s="1274" t="s">
        <v>1151</v>
      </c>
      <c r="E19" s="3024" t="s">
        <v>1989</v>
      </c>
      <c r="F19" s="1274" t="s">
        <v>2097</v>
      </c>
      <c r="G19" s="1274" t="s">
        <v>1940</v>
      </c>
      <c r="H19" s="1385" t="s">
        <v>1380</v>
      </c>
      <c r="I19" s="1385" t="s">
        <v>1940</v>
      </c>
    </row>
    <row r="20" spans="1:9">
      <c r="C20" s="654"/>
      <c r="H20" s="1361"/>
      <c r="I20" s="1361"/>
    </row>
    <row r="21" spans="1:9">
      <c r="A21" s="629"/>
      <c r="B21" s="629"/>
      <c r="C21" s="636"/>
      <c r="D21" s="629"/>
      <c r="E21" s="629"/>
      <c r="F21" s="629"/>
      <c r="G21" s="629"/>
      <c r="I21" s="679"/>
    </row>
    <row r="22" spans="1:9">
      <c r="A22" s="1274"/>
      <c r="B22" s="3309" t="s">
        <v>1381</v>
      </c>
      <c r="I22" s="679"/>
    </row>
    <row r="23" spans="1:9">
      <c r="A23" s="1274">
        <v>1</v>
      </c>
      <c r="B23" s="1274" t="s">
        <v>1153</v>
      </c>
      <c r="C23" s="1274">
        <v>20401</v>
      </c>
      <c r="D23" s="1358" t="s">
        <v>1156</v>
      </c>
      <c r="E23" s="816">
        <f>'WPB-2.2g'!I14</f>
        <v>15885</v>
      </c>
      <c r="F23" s="3310">
        <v>100</v>
      </c>
      <c r="G23" s="1360">
        <f>ROUND((E23*F23/100),0)</f>
        <v>15885</v>
      </c>
      <c r="H23" s="3311" t="s">
        <v>73</v>
      </c>
      <c r="I23" s="661" t="s">
        <v>1382</v>
      </c>
    </row>
    <row r="24" spans="1:9">
      <c r="A24" s="1274">
        <v>2</v>
      </c>
      <c r="B24" s="1274" t="s">
        <v>1158</v>
      </c>
      <c r="C24" s="1274">
        <v>20500</v>
      </c>
      <c r="D24" s="1358" t="s">
        <v>1159</v>
      </c>
      <c r="E24" s="816">
        <f>'WPB-2.2g'!I15</f>
        <v>926314</v>
      </c>
      <c r="F24" s="3310">
        <v>100</v>
      </c>
      <c r="G24" s="1360">
        <f>ROUND((E24*F24/100),0)</f>
        <v>926314</v>
      </c>
      <c r="H24" s="1385" t="str">
        <f>H23</f>
        <v>WPB-2.2g</v>
      </c>
      <c r="I24" s="661" t="s">
        <v>1383</v>
      </c>
    </row>
    <row r="25" spans="1:9">
      <c r="A25" s="1274">
        <v>3</v>
      </c>
      <c r="B25" s="1274" t="s">
        <v>1161</v>
      </c>
      <c r="C25" s="1274">
        <v>21100</v>
      </c>
      <c r="D25" s="1358" t="s">
        <v>1162</v>
      </c>
      <c r="E25" s="816">
        <f>'WPB-2.2g'!I16</f>
        <v>2006962</v>
      </c>
      <c r="F25" s="3310">
        <v>100</v>
      </c>
      <c r="G25" s="3312">
        <f>ROUND((E25*F25/100),0)</f>
        <v>2006962</v>
      </c>
      <c r="H25" s="1385" t="str">
        <f>H23</f>
        <v>WPB-2.2g</v>
      </c>
      <c r="I25" s="661" t="s">
        <v>1384</v>
      </c>
    </row>
    <row r="26" spans="1:9">
      <c r="A26" s="1274">
        <v>4</v>
      </c>
      <c r="B26" s="1274"/>
      <c r="C26" s="1274">
        <v>108</v>
      </c>
      <c r="D26" s="1358" t="s">
        <v>122</v>
      </c>
      <c r="E26" s="2755">
        <v>0</v>
      </c>
      <c r="F26" s="3310">
        <v>100</v>
      </c>
      <c r="G26" s="3313">
        <f>ROUND((E26*F26/100),0)</f>
        <v>0</v>
      </c>
      <c r="H26" s="1385"/>
      <c r="I26" s="661" t="s">
        <v>302</v>
      </c>
    </row>
    <row r="27" spans="1:9">
      <c r="E27" s="678"/>
      <c r="H27" s="1385"/>
      <c r="I27" s="661" t="s">
        <v>1386</v>
      </c>
    </row>
    <row r="28" spans="1:9">
      <c r="A28" s="1274">
        <v>5</v>
      </c>
      <c r="B28" s="661" t="s">
        <v>1387</v>
      </c>
      <c r="E28" s="1276">
        <f>SUM(E23:E27)</f>
        <v>2949161</v>
      </c>
      <c r="G28" s="1276">
        <f>SUM(G23:G27)</f>
        <v>2949161</v>
      </c>
      <c r="H28" s="1385"/>
    </row>
    <row r="29" spans="1:9">
      <c r="H29" s="1385"/>
    </row>
    <row r="30" spans="1:9">
      <c r="H30" s="1385"/>
    </row>
    <row r="31" spans="1:9">
      <c r="B31" s="3314" t="s">
        <v>1388</v>
      </c>
      <c r="D31" s="679"/>
      <c r="H31" s="1385"/>
    </row>
    <row r="32" spans="1:9">
      <c r="A32" s="1385">
        <f>A28+1</f>
        <v>6</v>
      </c>
      <c r="B32" s="1385">
        <v>374</v>
      </c>
      <c r="C32" s="1385">
        <v>27401</v>
      </c>
      <c r="D32" s="661" t="s">
        <v>1156</v>
      </c>
      <c r="E32" s="816">
        <f>'WPB-2.2g'!I23</f>
        <v>126271</v>
      </c>
      <c r="F32" s="3315">
        <f>F23</f>
        <v>100</v>
      </c>
      <c r="G32" s="1360">
        <f t="shared" ref="G32:G37" si="0">ROUND((E32*F32/100),0)</f>
        <v>126271</v>
      </c>
      <c r="H32" s="1385" t="str">
        <f>H23</f>
        <v>WPB-2.2g</v>
      </c>
    </row>
    <row r="33" spans="1:8">
      <c r="A33" s="1385">
        <f>A32+1</f>
        <v>7</v>
      </c>
      <c r="B33" s="1385">
        <v>375</v>
      </c>
      <c r="C33" s="1385">
        <v>27500</v>
      </c>
      <c r="D33" s="1358" t="s">
        <v>1159</v>
      </c>
      <c r="E33" s="816">
        <f>'WPB-2.2g'!I24</f>
        <v>20543</v>
      </c>
      <c r="F33" s="3315">
        <f>F24</f>
        <v>100</v>
      </c>
      <c r="G33" s="1360">
        <f t="shared" si="0"/>
        <v>20543</v>
      </c>
      <c r="H33" s="1385" t="str">
        <f>H23</f>
        <v>WPB-2.2g</v>
      </c>
    </row>
    <row r="34" spans="1:8">
      <c r="A34" s="1385">
        <f>A33+1</f>
        <v>8</v>
      </c>
      <c r="B34" s="1385">
        <v>376</v>
      </c>
      <c r="C34" s="1385">
        <v>27602</v>
      </c>
      <c r="D34" s="661" t="s">
        <v>2699</v>
      </c>
      <c r="E34" s="816">
        <f>'WPB-2.2g'!I25</f>
        <v>18814</v>
      </c>
      <c r="F34" s="3315">
        <f>F24</f>
        <v>100</v>
      </c>
      <c r="G34" s="1360">
        <f t="shared" si="0"/>
        <v>18814</v>
      </c>
      <c r="H34" s="1385" t="str">
        <f>H23</f>
        <v>WPB-2.2g</v>
      </c>
    </row>
    <row r="35" spans="1:8">
      <c r="A35" s="1385">
        <f t="shared" ref="A35:A37" si="1">A34+1</f>
        <v>9</v>
      </c>
      <c r="B35" s="1385">
        <v>376</v>
      </c>
      <c r="C35" s="1385">
        <v>27605</v>
      </c>
      <c r="D35" s="661" t="s">
        <v>1390</v>
      </c>
      <c r="E35" s="816">
        <f>'WPB-2.2g'!I26</f>
        <v>4315452</v>
      </c>
      <c r="F35" s="3315">
        <f>F25</f>
        <v>100</v>
      </c>
      <c r="G35" s="1360">
        <f t="shared" si="0"/>
        <v>4315452</v>
      </c>
      <c r="H35" s="1385" t="str">
        <f>H23</f>
        <v>WPB-2.2g</v>
      </c>
    </row>
    <row r="36" spans="1:8">
      <c r="A36" s="1385">
        <f t="shared" si="1"/>
        <v>10</v>
      </c>
      <c r="B36" s="1385">
        <v>378</v>
      </c>
      <c r="C36" s="1385">
        <v>27800</v>
      </c>
      <c r="D36" s="661" t="s">
        <v>1391</v>
      </c>
      <c r="E36" s="816">
        <f>'WPB-2.2g'!I27</f>
        <v>151658</v>
      </c>
      <c r="F36" s="3315">
        <f>F25</f>
        <v>100</v>
      </c>
      <c r="G36" s="1360">
        <f t="shared" si="0"/>
        <v>151658</v>
      </c>
      <c r="H36" s="1385" t="str">
        <f>H23</f>
        <v>WPB-2.2g</v>
      </c>
    </row>
    <row r="37" spans="1:8">
      <c r="A37" s="1385">
        <f t="shared" si="1"/>
        <v>11</v>
      </c>
      <c r="B37" s="1385">
        <v>378</v>
      </c>
      <c r="C37" s="1385">
        <v>27801</v>
      </c>
      <c r="D37" s="661" t="s">
        <v>1392</v>
      </c>
      <c r="E37" s="816">
        <f>'WPB-2.2g'!I28</f>
        <v>113836</v>
      </c>
      <c r="F37" s="3315">
        <f>F25</f>
        <v>100</v>
      </c>
      <c r="G37" s="3313">
        <f t="shared" si="0"/>
        <v>113836</v>
      </c>
      <c r="H37" s="1385" t="str">
        <f>H23</f>
        <v>WPB-2.2g</v>
      </c>
    </row>
    <row r="38" spans="1:8">
      <c r="E38" s="678"/>
      <c r="H38" s="1385"/>
    </row>
    <row r="39" spans="1:8">
      <c r="A39" s="1385">
        <f>A37+1</f>
        <v>12</v>
      </c>
      <c r="B39" s="661" t="s">
        <v>1393</v>
      </c>
      <c r="E39" s="1276">
        <f>SUM(E32:E38)</f>
        <v>4746574</v>
      </c>
      <c r="G39" s="1276">
        <f>SUM(G32:G38)</f>
        <v>4746574</v>
      </c>
      <c r="H39" s="1385"/>
    </row>
    <row r="40" spans="1:8">
      <c r="H40" s="1385"/>
    </row>
    <row r="41" spans="1:8">
      <c r="H41" s="1385"/>
    </row>
    <row r="42" spans="1:8">
      <c r="B42" s="3314" t="s">
        <v>1394</v>
      </c>
      <c r="H42" s="1385"/>
    </row>
    <row r="43" spans="1:8">
      <c r="A43" s="1385">
        <f>A39+1</f>
        <v>13</v>
      </c>
      <c r="B43" s="1385">
        <v>391</v>
      </c>
      <c r="C43" s="1385">
        <v>29100</v>
      </c>
      <c r="D43" s="3316" t="s">
        <v>1107</v>
      </c>
      <c r="E43" s="816">
        <f>'WPB-2.2g'!I34</f>
        <v>9292</v>
      </c>
      <c r="F43" s="3315">
        <f>F23</f>
        <v>100</v>
      </c>
      <c r="G43" s="1360">
        <f>ROUND((E43*F43/100),0)</f>
        <v>9292</v>
      </c>
      <c r="H43" s="1385" t="str">
        <f>H32</f>
        <v>WPB-2.2g</v>
      </c>
    </row>
    <row r="44" spans="1:8">
      <c r="A44" s="1385">
        <f>A43+1</f>
        <v>14</v>
      </c>
      <c r="B44" s="1385">
        <v>394</v>
      </c>
      <c r="C44" s="1385">
        <v>29400</v>
      </c>
      <c r="D44" s="3316" t="s">
        <v>1112</v>
      </c>
      <c r="E44" s="816">
        <f>'WPB-2.2g'!I35</f>
        <v>19020</v>
      </c>
      <c r="F44" s="3315">
        <f>F43</f>
        <v>100</v>
      </c>
      <c r="G44" s="1360">
        <f>ROUND((E44*F44/100),0)</f>
        <v>19020</v>
      </c>
      <c r="H44" s="1385" t="str">
        <f>H33</f>
        <v>WPB-2.2g</v>
      </c>
    </row>
    <row r="45" spans="1:8">
      <c r="A45" s="1385">
        <f>A44+1</f>
        <v>15</v>
      </c>
      <c r="B45" s="1385">
        <v>397</v>
      </c>
      <c r="C45" s="1385">
        <v>29700</v>
      </c>
      <c r="D45" s="3316" t="s">
        <v>1080</v>
      </c>
      <c r="E45" s="816">
        <f>'WPB-2.2g'!I36</f>
        <v>20</v>
      </c>
      <c r="F45" s="3315">
        <f>F44</f>
        <v>100</v>
      </c>
      <c r="G45" s="1360">
        <f>ROUND((E45*F45/100),0)</f>
        <v>20</v>
      </c>
      <c r="H45" s="1385" t="str">
        <f>H34</f>
        <v>WPB-2.2g</v>
      </c>
    </row>
    <row r="46" spans="1:8">
      <c r="A46" s="1385">
        <f>A45+1</f>
        <v>16</v>
      </c>
      <c r="B46" s="1385">
        <v>398</v>
      </c>
      <c r="C46" s="1385">
        <v>29800</v>
      </c>
      <c r="D46" s="661" t="s">
        <v>1116</v>
      </c>
      <c r="E46" s="816">
        <f>'WPB-2.2g'!I37</f>
        <v>23207</v>
      </c>
      <c r="F46" s="3315">
        <f>F43</f>
        <v>100</v>
      </c>
      <c r="G46" s="3313">
        <f>ROUND((E46*F46/100),0)</f>
        <v>23207</v>
      </c>
      <c r="H46" s="1385" t="str">
        <f>H23</f>
        <v>WPB-2.2g</v>
      </c>
    </row>
    <row r="47" spans="1:8">
      <c r="B47" s="1385"/>
      <c r="E47" s="678"/>
      <c r="H47" s="1385"/>
    </row>
    <row r="48" spans="1:8">
      <c r="A48" s="1385">
        <f>A46+1</f>
        <v>17</v>
      </c>
      <c r="B48" s="661" t="s">
        <v>1397</v>
      </c>
      <c r="E48" s="1276">
        <f>SUM(E43:E47)</f>
        <v>51539</v>
      </c>
      <c r="G48" s="1276">
        <f>SUM(G43:G47)</f>
        <v>51539</v>
      </c>
      <c r="H48" s="1385"/>
    </row>
    <row r="49" spans="1:9">
      <c r="H49" s="1385"/>
    </row>
    <row r="50" spans="1:9" ht="15.6" thickBot="1">
      <c r="A50" s="1385">
        <f>A48+1</f>
        <v>18</v>
      </c>
      <c r="B50" s="661" t="s">
        <v>1398</v>
      </c>
      <c r="E50" s="1277">
        <f>E48+E39+E28</f>
        <v>7747274</v>
      </c>
      <c r="G50" s="1277">
        <f>G48+G39+G28</f>
        <v>7747274</v>
      </c>
    </row>
    <row r="51" spans="1:9" ht="15.6" thickTop="1"/>
    <row r="53" spans="1:9">
      <c r="A53" s="3435"/>
      <c r="B53" s="3435"/>
      <c r="C53" s="3435"/>
      <c r="D53" s="3435"/>
      <c r="E53" s="3435"/>
      <c r="F53" s="3435"/>
      <c r="G53" s="3435"/>
      <c r="H53" s="3435"/>
      <c r="I53" s="3435"/>
    </row>
    <row r="54" spans="1:9">
      <c r="A54" s="1272" t="str">
        <f>COMPANY</f>
        <v>DUKE ENERGY KENTUCKY, INC.</v>
      </c>
      <c r="B54" s="1272"/>
      <c r="C54" s="1272"/>
      <c r="D54" s="1272"/>
      <c r="E54" s="1272"/>
      <c r="F54" s="1272"/>
      <c r="G54" s="1272"/>
      <c r="H54" s="1272"/>
      <c r="I54" s="1272"/>
    </row>
    <row r="55" spans="1:9">
      <c r="A55" s="1272" t="str">
        <f>CASE</f>
        <v>CASE NO. 2018-00261</v>
      </c>
      <c r="B55" s="1272"/>
      <c r="C55" s="1272"/>
      <c r="D55" s="1272"/>
      <c r="E55" s="1272"/>
      <c r="F55" s="1272"/>
      <c r="G55" s="1272"/>
      <c r="H55" s="1272"/>
      <c r="I55" s="1272"/>
    </row>
    <row r="56" spans="1:9">
      <c r="A56" s="1272" t="s">
        <v>1429</v>
      </c>
      <c r="B56" s="1272"/>
      <c r="C56" s="1272"/>
      <c r="D56" s="1272"/>
      <c r="E56" s="1272"/>
      <c r="F56" s="1272"/>
      <c r="G56" s="1272"/>
      <c r="H56" s="1272"/>
      <c r="I56" s="1272"/>
    </row>
    <row r="57" spans="1:9">
      <c r="A57" s="44" t="str">
        <f>"AS OF " &amp;RIGHT(Forecast,(LEN(Forecast)-16))</f>
        <v>AS OF MARCH 31, 2020</v>
      </c>
      <c r="B57" s="1272"/>
      <c r="C57" s="1272"/>
      <c r="D57" s="1272"/>
      <c r="E57" s="1272"/>
      <c r="F57" s="1272"/>
      <c r="G57" s="1272"/>
      <c r="H57" s="1272"/>
      <c r="I57" s="1272"/>
    </row>
    <row r="58" spans="1:9">
      <c r="A58" s="1273"/>
      <c r="B58" s="1273"/>
      <c r="C58" s="1273"/>
      <c r="D58" s="1273"/>
      <c r="E58" s="1273"/>
      <c r="F58" s="1273"/>
      <c r="G58" s="1273"/>
    </row>
    <row r="59" spans="1:9">
      <c r="A59" s="1272"/>
      <c r="B59" s="1272"/>
      <c r="C59" s="1272"/>
      <c r="D59" s="1272"/>
      <c r="E59" s="1272"/>
      <c r="F59" s="1272"/>
      <c r="G59" s="1272"/>
      <c r="H59" s="1272"/>
      <c r="I59" s="1272"/>
    </row>
    <row r="60" spans="1:9">
      <c r="A60" s="1273"/>
      <c r="B60" s="1273"/>
      <c r="C60" s="1273"/>
      <c r="D60" s="1273"/>
      <c r="E60" s="1273"/>
      <c r="F60" s="1273"/>
      <c r="G60" s="1273"/>
    </row>
    <row r="61" spans="1:9">
      <c r="A61" s="1273"/>
      <c r="B61" s="1273"/>
      <c r="C61" s="1273"/>
      <c r="D61" s="1273"/>
      <c r="E61" s="1273"/>
      <c r="F61" s="1273"/>
      <c r="G61" s="1273"/>
    </row>
    <row r="62" spans="1:9">
      <c r="A62" s="1358" t="str">
        <f>DataF</f>
        <v>DATA:  BASE PERIOD  "X" FORECASTED PERIOD</v>
      </c>
      <c r="H62" s="1358" t="s">
        <v>1430</v>
      </c>
    </row>
    <row r="63" spans="1:9">
      <c r="A63" s="1358" t="str">
        <f>Type</f>
        <v xml:space="preserve">TYPE OF FILING:  "X" ORIGINAL   UPDATED    REVISED  </v>
      </c>
      <c r="H63" s="1358" t="s">
        <v>762</v>
      </c>
    </row>
    <row r="64" spans="1:9">
      <c r="A64" s="3192" t="s">
        <v>1820</v>
      </c>
      <c r="H64" s="1359" t="s">
        <v>566</v>
      </c>
    </row>
    <row r="65" spans="1:9">
      <c r="H65" s="1383" t="str">
        <f>_WIT7</f>
        <v>R. H. PRATT / C. S. LEE</v>
      </c>
    </row>
    <row r="68" spans="1:9">
      <c r="H68" s="1361"/>
      <c r="I68" s="1361"/>
    </row>
    <row r="69" spans="1:9">
      <c r="A69" s="629"/>
      <c r="B69" s="629"/>
      <c r="C69" s="647"/>
      <c r="D69" s="629"/>
      <c r="E69" s="632" t="s">
        <v>621</v>
      </c>
      <c r="F69" s="629"/>
      <c r="G69" s="629"/>
    </row>
    <row r="70" spans="1:9">
      <c r="B70" s="1274" t="s">
        <v>1041</v>
      </c>
      <c r="C70" s="637" t="s">
        <v>2137</v>
      </c>
      <c r="E70" s="3024" t="s">
        <v>799</v>
      </c>
      <c r="I70" s="1385" t="s">
        <v>1326</v>
      </c>
    </row>
    <row r="71" spans="1:9">
      <c r="A71" s="1274" t="s">
        <v>1938</v>
      </c>
      <c r="B71" s="1274" t="s">
        <v>1150</v>
      </c>
      <c r="C71" s="1274" t="s">
        <v>1150</v>
      </c>
      <c r="D71" s="1358"/>
      <c r="E71" s="3024" t="s">
        <v>1232</v>
      </c>
      <c r="F71" s="1274" t="s">
        <v>1898</v>
      </c>
      <c r="G71" s="1274" t="s">
        <v>1898</v>
      </c>
      <c r="H71" s="1385" t="s">
        <v>1327</v>
      </c>
      <c r="I71" s="1385" t="s">
        <v>1379</v>
      </c>
    </row>
    <row r="72" spans="1:9">
      <c r="A72" s="1274" t="s">
        <v>1939</v>
      </c>
      <c r="B72" s="1274" t="s">
        <v>1939</v>
      </c>
      <c r="C72" s="637" t="s">
        <v>1939</v>
      </c>
      <c r="D72" s="1274" t="s">
        <v>1151</v>
      </c>
      <c r="E72" s="3024" t="s">
        <v>1989</v>
      </c>
      <c r="F72" s="1274" t="s">
        <v>2097</v>
      </c>
      <c r="G72" s="1274" t="s">
        <v>1940</v>
      </c>
      <c r="H72" s="1385" t="s">
        <v>1380</v>
      </c>
      <c r="I72" s="1385" t="s">
        <v>1940</v>
      </c>
    </row>
    <row r="73" spans="1:9">
      <c r="C73" s="654"/>
      <c r="H73" s="1361"/>
      <c r="I73" s="1361"/>
    </row>
    <row r="74" spans="1:9">
      <c r="A74" s="629"/>
      <c r="B74" s="629"/>
      <c r="C74" s="636"/>
      <c r="D74" s="629"/>
      <c r="E74" s="629"/>
      <c r="F74" s="629"/>
      <c r="G74" s="629"/>
      <c r="I74" s="679"/>
    </row>
    <row r="75" spans="1:9">
      <c r="A75" s="1274"/>
      <c r="B75" s="3309" t="s">
        <v>1381</v>
      </c>
      <c r="I75" s="679"/>
    </row>
    <row r="76" spans="1:9">
      <c r="A76" s="1274">
        <v>1</v>
      </c>
      <c r="B76" s="1274" t="s">
        <v>1153</v>
      </c>
      <c r="C76" s="1274">
        <v>20401</v>
      </c>
      <c r="D76" s="1358" t="s">
        <v>1156</v>
      </c>
      <c r="E76" s="816">
        <f>'WPB-2.2g'!P14</f>
        <v>15885</v>
      </c>
      <c r="F76" s="3310">
        <v>100</v>
      </c>
      <c r="G76" s="1360">
        <f>ROUND((E76*F76/100),0)</f>
        <v>15885</v>
      </c>
      <c r="H76" s="1385" t="str">
        <f>H23</f>
        <v>WPB-2.2g</v>
      </c>
      <c r="I76" s="661" t="s">
        <v>1382</v>
      </c>
    </row>
    <row r="77" spans="1:9">
      <c r="A77" s="1274">
        <v>2</v>
      </c>
      <c r="B77" s="1274" t="s">
        <v>1158</v>
      </c>
      <c r="C77" s="1274">
        <v>20500</v>
      </c>
      <c r="D77" s="1358" t="s">
        <v>1159</v>
      </c>
      <c r="E77" s="816">
        <f>'WPB-2.2g'!P15</f>
        <v>930001</v>
      </c>
      <c r="F77" s="3310">
        <v>100</v>
      </c>
      <c r="G77" s="1360">
        <f>ROUND((E77*F77/100),0)</f>
        <v>930001</v>
      </c>
      <c r="H77" s="1385" t="str">
        <f>H76</f>
        <v>WPB-2.2g</v>
      </c>
      <c r="I77" s="661" t="s">
        <v>1383</v>
      </c>
    </row>
    <row r="78" spans="1:9">
      <c r="A78" s="1274">
        <v>3</v>
      </c>
      <c r="B78" s="1274" t="s">
        <v>1161</v>
      </c>
      <c r="C78" s="1274">
        <v>21100</v>
      </c>
      <c r="D78" s="1358" t="s">
        <v>1162</v>
      </c>
      <c r="E78" s="816">
        <f>'WPB-2.2g'!P16</f>
        <v>2085019</v>
      </c>
      <c r="F78" s="3310">
        <v>100</v>
      </c>
      <c r="G78" s="3312">
        <f>ROUND((E78*F78/100),0)</f>
        <v>2085019</v>
      </c>
      <c r="H78" s="1385" t="str">
        <f>H77</f>
        <v>WPB-2.2g</v>
      </c>
      <c r="I78" s="661" t="s">
        <v>1384</v>
      </c>
    </row>
    <row r="79" spans="1:9">
      <c r="A79" s="1274">
        <v>4</v>
      </c>
      <c r="B79" s="1274"/>
      <c r="C79" s="1274">
        <v>108</v>
      </c>
      <c r="D79" s="1358" t="s">
        <v>122</v>
      </c>
      <c r="E79" s="816">
        <v>0</v>
      </c>
      <c r="F79" s="3310">
        <v>100</v>
      </c>
      <c r="G79" s="3313">
        <f>ROUND((E79*F79/100),0)</f>
        <v>0</v>
      </c>
      <c r="H79" s="1385"/>
      <c r="I79" s="661" t="s">
        <v>302</v>
      </c>
    </row>
    <row r="80" spans="1:9">
      <c r="E80" s="678"/>
      <c r="H80" s="1385"/>
      <c r="I80" s="661" t="s">
        <v>1386</v>
      </c>
    </row>
    <row r="81" spans="1:8">
      <c r="A81" s="1274">
        <v>5</v>
      </c>
      <c r="B81" s="661" t="s">
        <v>1387</v>
      </c>
      <c r="E81" s="1276">
        <f>SUM(E76:E80)</f>
        <v>3030905</v>
      </c>
      <c r="G81" s="1276">
        <f>SUM(G76:G80)</f>
        <v>3030905</v>
      </c>
      <c r="H81" s="1385"/>
    </row>
    <row r="82" spans="1:8">
      <c r="H82" s="1385"/>
    </row>
    <row r="83" spans="1:8">
      <c r="H83" s="1385"/>
    </row>
    <row r="84" spans="1:8">
      <c r="B84" s="3314" t="s">
        <v>1388</v>
      </c>
      <c r="D84" s="679"/>
      <c r="H84" s="1385"/>
    </row>
    <row r="85" spans="1:8">
      <c r="A85" s="1385">
        <f>A81+1</f>
        <v>6</v>
      </c>
      <c r="B85" s="1385">
        <v>374</v>
      </c>
      <c r="C85" s="1385">
        <v>27401</v>
      </c>
      <c r="D85" s="661" t="s">
        <v>1156</v>
      </c>
      <c r="E85" s="816">
        <f>'WPB-2.2g'!P23</f>
        <v>128922</v>
      </c>
      <c r="F85" s="3315">
        <f>F76</f>
        <v>100</v>
      </c>
      <c r="G85" s="1360">
        <f t="shared" ref="G85:G90" si="2">ROUND((E85*F85/100),0)</f>
        <v>128922</v>
      </c>
      <c r="H85" s="1385" t="str">
        <f>H76</f>
        <v>WPB-2.2g</v>
      </c>
    </row>
    <row r="86" spans="1:8">
      <c r="A86" s="1385">
        <f>A85+1</f>
        <v>7</v>
      </c>
      <c r="B86" s="1385">
        <v>375</v>
      </c>
      <c r="C86" s="1385">
        <v>27500</v>
      </c>
      <c r="D86" s="1358" t="s">
        <v>1159</v>
      </c>
      <c r="E86" s="816">
        <f>'WPB-2.2g'!P24</f>
        <v>20771</v>
      </c>
      <c r="F86" s="3315">
        <f>F77</f>
        <v>100</v>
      </c>
      <c r="G86" s="1360">
        <f t="shared" si="2"/>
        <v>20771</v>
      </c>
      <c r="H86" s="1385" t="str">
        <f>H76</f>
        <v>WPB-2.2g</v>
      </c>
    </row>
    <row r="87" spans="1:8">
      <c r="A87" s="1385">
        <f t="shared" ref="A87:A90" si="3">A86+1</f>
        <v>8</v>
      </c>
      <c r="B87" s="1385">
        <v>376</v>
      </c>
      <c r="C87" s="1385">
        <v>27602</v>
      </c>
      <c r="D87" s="1358" t="s">
        <v>2699</v>
      </c>
      <c r="E87" s="816">
        <f>'WPB-2.2g'!P25</f>
        <v>23930</v>
      </c>
      <c r="F87" s="3315">
        <f>F78</f>
        <v>100</v>
      </c>
      <c r="G87" s="1360">
        <f t="shared" si="2"/>
        <v>23930</v>
      </c>
      <c r="H87" s="1385" t="str">
        <f>H77</f>
        <v>WPB-2.2g</v>
      </c>
    </row>
    <row r="88" spans="1:8">
      <c r="A88" s="1385">
        <f t="shared" si="3"/>
        <v>9</v>
      </c>
      <c r="B88" s="1385">
        <v>376</v>
      </c>
      <c r="C88" s="1385">
        <v>27605</v>
      </c>
      <c r="D88" s="661" t="s">
        <v>1390</v>
      </c>
      <c r="E88" s="816">
        <f>'WPB-2.2g'!P26</f>
        <v>4420725</v>
      </c>
      <c r="F88" s="3315">
        <f>F78</f>
        <v>100</v>
      </c>
      <c r="G88" s="1360">
        <f t="shared" si="2"/>
        <v>4420725</v>
      </c>
      <c r="H88" s="1385" t="str">
        <f>H76</f>
        <v>WPB-2.2g</v>
      </c>
    </row>
    <row r="89" spans="1:8">
      <c r="A89" s="1385">
        <f t="shared" si="3"/>
        <v>10</v>
      </c>
      <c r="B89" s="1385">
        <v>378</v>
      </c>
      <c r="C89" s="1385">
        <v>27800</v>
      </c>
      <c r="D89" s="661" t="s">
        <v>1391</v>
      </c>
      <c r="E89" s="816">
        <f>'WPB-2.2g'!P27</f>
        <v>154897</v>
      </c>
      <c r="F89" s="3315">
        <f>F78</f>
        <v>100</v>
      </c>
      <c r="G89" s="1360">
        <f t="shared" si="2"/>
        <v>154897</v>
      </c>
      <c r="H89" s="1385" t="str">
        <f>H76</f>
        <v>WPB-2.2g</v>
      </c>
    </row>
    <row r="90" spans="1:8">
      <c r="A90" s="1385">
        <f t="shared" si="3"/>
        <v>11</v>
      </c>
      <c r="B90" s="1385">
        <v>378</v>
      </c>
      <c r="C90" s="1385">
        <v>27801</v>
      </c>
      <c r="D90" s="661" t="s">
        <v>1392</v>
      </c>
      <c r="E90" s="816">
        <f>'WPB-2.2g'!P28</f>
        <v>116855</v>
      </c>
      <c r="F90" s="3315">
        <f>F78</f>
        <v>100</v>
      </c>
      <c r="G90" s="3313">
        <f t="shared" si="2"/>
        <v>116855</v>
      </c>
      <c r="H90" s="1385" t="str">
        <f>H76</f>
        <v>WPB-2.2g</v>
      </c>
    </row>
    <row r="91" spans="1:8">
      <c r="E91" s="678"/>
      <c r="H91" s="1385"/>
    </row>
    <row r="92" spans="1:8">
      <c r="A92" s="1385">
        <f>A90+1</f>
        <v>12</v>
      </c>
      <c r="B92" s="661" t="s">
        <v>1393</v>
      </c>
      <c r="E92" s="1276">
        <f>SUM(E85:E91)</f>
        <v>4866100</v>
      </c>
      <c r="G92" s="1276">
        <f>SUM(G85:G91)</f>
        <v>4866100</v>
      </c>
      <c r="H92" s="1385"/>
    </row>
    <row r="93" spans="1:8">
      <c r="H93" s="1385"/>
    </row>
    <row r="94" spans="1:8">
      <c r="H94" s="1385"/>
    </row>
    <row r="95" spans="1:8">
      <c r="B95" s="3314" t="s">
        <v>1394</v>
      </c>
      <c r="H95" s="1385"/>
    </row>
    <row r="96" spans="1:8">
      <c r="A96" s="1385">
        <f>A92+1</f>
        <v>13</v>
      </c>
      <c r="B96" s="1385">
        <v>391</v>
      </c>
      <c r="C96" s="1385">
        <v>29100</v>
      </c>
      <c r="D96" s="3316" t="s">
        <v>1107</v>
      </c>
      <c r="E96" s="816">
        <f>'WPB-2.2g'!P34</f>
        <v>9695</v>
      </c>
      <c r="F96" s="3315">
        <f>F76</f>
        <v>100</v>
      </c>
      <c r="G96" s="1360">
        <f>ROUND((E96*F96/100),0)</f>
        <v>9695</v>
      </c>
      <c r="H96" s="1385" t="str">
        <f>H85</f>
        <v>WPB-2.2g</v>
      </c>
    </row>
    <row r="97" spans="1:8">
      <c r="A97" s="1385">
        <f>A96+1</f>
        <v>14</v>
      </c>
      <c r="B97" s="1385">
        <v>394</v>
      </c>
      <c r="C97" s="1385">
        <v>29400</v>
      </c>
      <c r="D97" s="3316" t="s">
        <v>1112</v>
      </c>
      <c r="E97" s="816">
        <f>'WPB-2.2g'!P35</f>
        <v>19729</v>
      </c>
      <c r="F97" s="3315">
        <f>F96</f>
        <v>100</v>
      </c>
      <c r="G97" s="1360">
        <f>ROUND((E97*F97/100),0)</f>
        <v>19729</v>
      </c>
      <c r="H97" s="1385" t="str">
        <f>H86</f>
        <v>WPB-2.2g</v>
      </c>
    </row>
    <row r="98" spans="1:8">
      <c r="A98" s="1385">
        <f t="shared" ref="A98:A99" si="4">A97+1</f>
        <v>15</v>
      </c>
      <c r="B98" s="1385">
        <v>397</v>
      </c>
      <c r="C98" s="1385">
        <v>29700</v>
      </c>
      <c r="D98" s="661" t="s">
        <v>1080</v>
      </c>
      <c r="E98" s="816">
        <f>'WPB-2.2g'!P36</f>
        <v>33</v>
      </c>
      <c r="F98" s="3315">
        <f>F97</f>
        <v>100</v>
      </c>
      <c r="G98" s="1360">
        <f>ROUND((E98*F98/100),0)</f>
        <v>33</v>
      </c>
      <c r="H98" s="1385" t="str">
        <f>H87</f>
        <v>WPB-2.2g</v>
      </c>
    </row>
    <row r="99" spans="1:8">
      <c r="A99" s="1385">
        <f t="shared" si="4"/>
        <v>16</v>
      </c>
      <c r="B99" s="1385">
        <v>398</v>
      </c>
      <c r="C99" s="1385">
        <v>29800</v>
      </c>
      <c r="D99" s="661" t="s">
        <v>1116</v>
      </c>
      <c r="E99" s="816">
        <f>'WPB-2.2g'!P37</f>
        <v>23207</v>
      </c>
      <c r="F99" s="3315">
        <f>F96</f>
        <v>100</v>
      </c>
      <c r="G99" s="3313">
        <f>ROUND((E99*F99/100),0)</f>
        <v>23207</v>
      </c>
      <c r="H99" s="1385" t="str">
        <f>H76</f>
        <v>WPB-2.2g</v>
      </c>
    </row>
    <row r="100" spans="1:8">
      <c r="B100" s="1385"/>
      <c r="E100" s="678"/>
      <c r="H100" s="1385"/>
    </row>
    <row r="101" spans="1:8">
      <c r="A101" s="1385">
        <f>A99+1</f>
        <v>17</v>
      </c>
      <c r="B101" s="661" t="s">
        <v>1397</v>
      </c>
      <c r="E101" s="1276">
        <f>SUM(E96:E100)</f>
        <v>52664</v>
      </c>
      <c r="G101" s="1276">
        <f>SUM(G96:G100)</f>
        <v>52664</v>
      </c>
      <c r="H101" s="1385"/>
    </row>
    <row r="103" spans="1:8" ht="15.6" thickBot="1">
      <c r="A103" s="1385">
        <f>A101+1</f>
        <v>18</v>
      </c>
      <c r="B103" s="661" t="s">
        <v>1398</v>
      </c>
      <c r="E103" s="1277">
        <f>E101+E92+E81</f>
        <v>7949669</v>
      </c>
      <c r="G103" s="1277">
        <f>G101+G92+G81</f>
        <v>7949669</v>
      </c>
    </row>
    <row r="104" spans="1:8" ht="15.6" thickTop="1"/>
  </sheetData>
  <phoneticPr fontId="5" type="noConversion"/>
  <printOptions horizontalCentered="1"/>
  <pageMargins left="1" right="0.75" top="1" bottom="1" header="0.5" footer="0.5"/>
  <pageSetup scale="61" orientation="landscape" horizont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tabColor theme="8" tint="0.59999389629810485"/>
    <pageSetUpPr fitToPage="1"/>
  </sheetPr>
  <dimension ref="A1:R31"/>
  <sheetViews>
    <sheetView zoomScale="75" workbookViewId="0"/>
  </sheetViews>
  <sheetFormatPr defaultColWidth="9.109375" defaultRowHeight="13.2"/>
  <cols>
    <col min="1" max="1" width="17" style="1381" customWidth="1"/>
    <col min="2" max="2" width="2.6640625" style="1381" customWidth="1"/>
    <col min="3" max="5" width="12.88671875" style="1381" customWidth="1"/>
    <col min="6" max="6" width="3.109375" style="1381" customWidth="1"/>
    <col min="7" max="7" width="14.44140625" style="1381" bestFit="1" customWidth="1"/>
    <col min="8" max="8" width="12.88671875" style="1381" customWidth="1"/>
    <col min="9" max="9" width="14.44140625" style="1381" bestFit="1" customWidth="1"/>
    <col min="10" max="10" width="2.6640625" style="1381" customWidth="1"/>
    <col min="11" max="13" width="13" style="1381" customWidth="1"/>
    <col min="14" max="14" width="1.44140625" style="1381" customWidth="1"/>
    <col min="15" max="16" width="13" style="1381" customWidth="1"/>
    <col min="17" max="17" width="1.109375" style="1381" customWidth="1"/>
    <col min="18" max="18" width="14.44140625" style="1381" bestFit="1" customWidth="1"/>
    <col min="19" max="19" width="11.88671875" style="1381" customWidth="1"/>
    <col min="20" max="16384" width="9.109375" style="1381"/>
  </cols>
  <sheetData>
    <row r="1" spans="1:18" s="1379" customFormat="1">
      <c r="A1" s="1378" t="str">
        <f>'WPB-2.2h'!A1</f>
        <v>DUKE ENERGY KENTUCKY, INC.</v>
      </c>
      <c r="P1" s="1057" t="s">
        <v>2009</v>
      </c>
    </row>
    <row r="2" spans="1:18" s="1379" customFormat="1">
      <c r="A2" s="1378" t="str">
        <f>CASE</f>
        <v>CASE NO. 2018-00261</v>
      </c>
      <c r="P2" s="1057" t="s">
        <v>566</v>
      </c>
    </row>
    <row r="3" spans="1:18" s="1379" customFormat="1">
      <c r="A3" s="1378" t="s">
        <v>631</v>
      </c>
      <c r="P3" s="1057" t="str">
        <f>_WIT7</f>
        <v>R. H. PRATT / C. S. LEE</v>
      </c>
    </row>
    <row r="4" spans="1:18" s="1379" customFormat="1">
      <c r="A4" s="1378" t="str">
        <f>'WPB-2.2h'!A4</f>
        <v>13 MONTH AVERAGE</v>
      </c>
    </row>
    <row r="5" spans="1:18" s="1379" customFormat="1"/>
    <row r="6" spans="1:18" s="1379" customFormat="1">
      <c r="C6" s="3586" t="s">
        <v>2187</v>
      </c>
      <c r="D6" s="3586"/>
      <c r="E6" s="3586"/>
      <c r="F6" s="1338"/>
      <c r="G6" s="3586" t="s">
        <v>2188</v>
      </c>
      <c r="H6" s="3586"/>
      <c r="I6" s="3586"/>
      <c r="J6" s="1338"/>
      <c r="K6" s="3586" t="s">
        <v>2189</v>
      </c>
      <c r="L6" s="3586"/>
      <c r="M6" s="3586"/>
      <c r="N6" s="1338"/>
      <c r="O6" s="3586" t="s">
        <v>627</v>
      </c>
      <c r="P6" s="3586"/>
      <c r="R6" s="1338" t="s">
        <v>2153</v>
      </c>
    </row>
    <row r="7" spans="1:18" s="1379" customFormat="1">
      <c r="C7" s="1338" t="s">
        <v>632</v>
      </c>
      <c r="D7" s="1338"/>
      <c r="E7" s="1338" t="s">
        <v>572</v>
      </c>
      <c r="F7" s="1338"/>
      <c r="G7" s="1338" t="s">
        <v>632</v>
      </c>
      <c r="H7" s="1338"/>
      <c r="I7" s="1338" t="s">
        <v>572</v>
      </c>
      <c r="J7" s="1338"/>
      <c r="K7" s="1338" t="s">
        <v>632</v>
      </c>
      <c r="L7" s="1338"/>
      <c r="M7" s="1338" t="s">
        <v>572</v>
      </c>
      <c r="N7" s="1338"/>
      <c r="O7" s="1338" t="s">
        <v>632</v>
      </c>
      <c r="P7" s="1337" t="s">
        <v>628</v>
      </c>
      <c r="R7" s="1338" t="s">
        <v>629</v>
      </c>
    </row>
    <row r="8" spans="1:18" s="1379" customFormat="1">
      <c r="A8" s="3274" t="s">
        <v>283</v>
      </c>
      <c r="C8" s="3274" t="s">
        <v>262</v>
      </c>
      <c r="D8" s="3274" t="s">
        <v>1940</v>
      </c>
      <c r="E8" s="3274" t="s">
        <v>1357</v>
      </c>
      <c r="F8" s="1338"/>
      <c r="G8" s="3274" t="s">
        <v>262</v>
      </c>
      <c r="H8" s="3274" t="s">
        <v>1940</v>
      </c>
      <c r="I8" s="3274" t="s">
        <v>1357</v>
      </c>
      <c r="J8" s="1338"/>
      <c r="K8" s="3274" t="s">
        <v>262</v>
      </c>
      <c r="L8" s="3274" t="s">
        <v>1940</v>
      </c>
      <c r="M8" s="3274" t="s">
        <v>1357</v>
      </c>
      <c r="N8" s="1338"/>
      <c r="O8" s="3274" t="s">
        <v>262</v>
      </c>
      <c r="P8" s="1340">
        <f>CommonG</f>
        <v>0.27379999999999999</v>
      </c>
      <c r="R8" s="3274" t="s">
        <v>2011</v>
      </c>
    </row>
    <row r="9" spans="1:18">
      <c r="A9" s="1339"/>
      <c r="B9" s="1339"/>
      <c r="C9" s="1380"/>
      <c r="D9" s="1380"/>
      <c r="E9" s="1380"/>
      <c r="F9" s="1380"/>
      <c r="G9" s="1380"/>
      <c r="H9" s="1380"/>
      <c r="I9" s="1380"/>
      <c r="J9" s="1380"/>
      <c r="K9" s="1380"/>
      <c r="L9" s="1380"/>
      <c r="M9" s="1380"/>
      <c r="N9" s="1380"/>
      <c r="O9" s="1380"/>
      <c r="P9" s="1380"/>
      <c r="R9" s="1380"/>
    </row>
    <row r="10" spans="1:18">
      <c r="A10" s="3145">
        <f>'WPB-2.2h'!A10</f>
        <v>43525</v>
      </c>
      <c r="B10" s="1339"/>
      <c r="C10" s="3066">
        <v>4597576</v>
      </c>
      <c r="D10" s="1381">
        <f>D11-ROUND('WPB-2.2g'!$M$18/16,0)</f>
        <v>2981861</v>
      </c>
      <c r="E10" s="1381">
        <f t="shared" ref="E10:E22" si="0">C10-D10</f>
        <v>1615715</v>
      </c>
      <c r="G10" s="3066">
        <v>167109162</v>
      </c>
      <c r="H10" s="1381">
        <f>H11-ROUND('WPB-2.2g'!$M$30/16,0)</f>
        <v>4794382</v>
      </c>
      <c r="I10" s="1381">
        <f t="shared" ref="I10:I22" si="1">G10-H10</f>
        <v>162314780</v>
      </c>
      <c r="K10" s="3066">
        <v>9296297</v>
      </c>
      <c r="L10" s="1381">
        <f>L11-ROUND('WPB-2.2g'!$M$39/16,0)</f>
        <v>51986</v>
      </c>
      <c r="M10" s="1381">
        <f t="shared" ref="M10:M22" si="2">K10-L10</f>
        <v>9244311</v>
      </c>
      <c r="O10" s="3066">
        <v>38694694</v>
      </c>
      <c r="P10" s="1381">
        <f t="shared" ref="P10:P22" si="3">ROUND(O10*$P$8,0)</f>
        <v>10594607</v>
      </c>
      <c r="R10" s="1381">
        <f t="shared" ref="R10:R22" si="4">E10+I10+M10+P10</f>
        <v>183769413</v>
      </c>
    </row>
    <row r="11" spans="1:18">
      <c r="A11" s="3146">
        <f>LOGO!J7</f>
        <v>43585</v>
      </c>
      <c r="B11" s="1339"/>
      <c r="C11" s="3066">
        <v>4608897</v>
      </c>
      <c r="D11" s="1381">
        <f>D12-ROUND('WPB-2.2g'!$M$18/16,0)</f>
        <v>2990035</v>
      </c>
      <c r="E11" s="1381">
        <f t="shared" si="0"/>
        <v>1618862</v>
      </c>
      <c r="G11" s="3066">
        <v>167883320</v>
      </c>
      <c r="H11" s="1381">
        <f>H12-ROUND('WPB-2.2g'!$M$30/16,0)</f>
        <v>4806335</v>
      </c>
      <c r="I11" s="1381">
        <f t="shared" si="1"/>
        <v>163076985</v>
      </c>
      <c r="K11" s="3066">
        <v>9325863</v>
      </c>
      <c r="L11" s="1381">
        <f>L12-ROUND('WPB-2.2g'!$M$39/16,0)</f>
        <v>52099</v>
      </c>
      <c r="M11" s="1381">
        <f t="shared" si="2"/>
        <v>9273764</v>
      </c>
      <c r="O11" s="3066">
        <v>38719707</v>
      </c>
      <c r="P11" s="1381">
        <f t="shared" si="3"/>
        <v>10601456</v>
      </c>
      <c r="R11" s="1381">
        <f t="shared" si="4"/>
        <v>184571067</v>
      </c>
    </row>
    <row r="12" spans="1:18">
      <c r="A12" s="3146">
        <f>LOGO!J8</f>
        <v>43616</v>
      </c>
      <c r="B12" s="1339"/>
      <c r="C12" s="3066">
        <v>4620218</v>
      </c>
      <c r="D12" s="1381">
        <f>D13-ROUND('WPB-2.2g'!$M$18/16,0)</f>
        <v>2998209</v>
      </c>
      <c r="E12" s="1381">
        <f t="shared" si="0"/>
        <v>1622009</v>
      </c>
      <c r="G12" s="3066">
        <v>168656661</v>
      </c>
      <c r="H12" s="1381">
        <f>H13-ROUND('WPB-2.2g'!$M$30/16,0)</f>
        <v>4818288</v>
      </c>
      <c r="I12" s="1381">
        <f t="shared" si="1"/>
        <v>163838373</v>
      </c>
      <c r="K12" s="3066">
        <v>9355821</v>
      </c>
      <c r="L12" s="1381">
        <f>L13-ROUND('WPB-2.2g'!$M$39/16,0)</f>
        <v>52212</v>
      </c>
      <c r="M12" s="1381">
        <f t="shared" si="2"/>
        <v>9303609</v>
      </c>
      <c r="O12" s="3066">
        <v>38738776</v>
      </c>
      <c r="P12" s="1381">
        <f t="shared" si="3"/>
        <v>10606677</v>
      </c>
      <c r="R12" s="1381">
        <f t="shared" si="4"/>
        <v>185370668</v>
      </c>
    </row>
    <row r="13" spans="1:18">
      <c r="A13" s="3146">
        <f>LOGO!J9</f>
        <v>43646</v>
      </c>
      <c r="B13" s="1339"/>
      <c r="C13" s="3066">
        <v>4631539</v>
      </c>
      <c r="D13" s="1381">
        <f>D14-ROUND('WPB-2.2g'!$M$18/16,0)</f>
        <v>3006383</v>
      </c>
      <c r="E13" s="1381">
        <f t="shared" si="0"/>
        <v>1625156</v>
      </c>
      <c r="G13" s="3066">
        <v>169429182</v>
      </c>
      <c r="H13" s="1381">
        <f>H14-ROUND('WPB-2.2g'!$M$30/16,0)</f>
        <v>4830241</v>
      </c>
      <c r="I13" s="1381">
        <f t="shared" si="1"/>
        <v>164598941</v>
      </c>
      <c r="K13" s="3066">
        <v>9386254</v>
      </c>
      <c r="L13" s="1381">
        <f>L14-ROUND('WPB-2.2g'!$M$39/16,0)</f>
        <v>52325</v>
      </c>
      <c r="M13" s="1381">
        <f t="shared" si="2"/>
        <v>9333929</v>
      </c>
      <c r="O13" s="3066">
        <v>38757744</v>
      </c>
      <c r="P13" s="1381">
        <f t="shared" si="3"/>
        <v>10611870</v>
      </c>
      <c r="R13" s="1381">
        <f t="shared" si="4"/>
        <v>186169896</v>
      </c>
    </row>
    <row r="14" spans="1:18">
      <c r="A14" s="3146">
        <f>LOGO!J10</f>
        <v>43677</v>
      </c>
      <c r="B14" s="1339"/>
      <c r="C14" s="3066">
        <v>4642860</v>
      </c>
      <c r="D14" s="1381">
        <f>D15-ROUND('WPB-2.2g'!$M$18/16,0)</f>
        <v>3014557</v>
      </c>
      <c r="E14" s="1381">
        <f t="shared" si="0"/>
        <v>1628303</v>
      </c>
      <c r="G14" s="3066">
        <v>170211714</v>
      </c>
      <c r="H14" s="1381">
        <f>H15-ROUND('WPB-2.2g'!$M$30/16,0)</f>
        <v>4842194</v>
      </c>
      <c r="I14" s="1381">
        <f t="shared" si="1"/>
        <v>165369520</v>
      </c>
      <c r="K14" s="3066">
        <v>9417060</v>
      </c>
      <c r="L14" s="1381">
        <f>L15-ROUND('WPB-2.2g'!$M$39/16,0)</f>
        <v>52438</v>
      </c>
      <c r="M14" s="1381">
        <f t="shared" si="2"/>
        <v>9364622</v>
      </c>
      <c r="O14" s="3066">
        <v>38776612</v>
      </c>
      <c r="P14" s="1381">
        <f t="shared" si="3"/>
        <v>10617036</v>
      </c>
      <c r="R14" s="1381">
        <f t="shared" si="4"/>
        <v>186979481</v>
      </c>
    </row>
    <row r="15" spans="1:18">
      <c r="A15" s="3146">
        <f>LOGO!J11</f>
        <v>43708</v>
      </c>
      <c r="B15" s="1339"/>
      <c r="C15" s="3066">
        <v>4654181</v>
      </c>
      <c r="D15" s="1381">
        <f>D16-ROUND('WPB-2.2g'!$M$18/16,0)</f>
        <v>3022731</v>
      </c>
      <c r="E15" s="1381">
        <f t="shared" si="0"/>
        <v>1631450</v>
      </c>
      <c r="G15" s="3066">
        <v>170993424</v>
      </c>
      <c r="H15" s="1381">
        <f>H16-ROUND('WPB-2.2g'!$M$30/16,0)</f>
        <v>4854147</v>
      </c>
      <c r="I15" s="1381">
        <f t="shared" si="1"/>
        <v>166139277</v>
      </c>
      <c r="K15" s="3066">
        <v>9448240</v>
      </c>
      <c r="L15" s="1381">
        <f>L16-ROUND('WPB-2.2g'!$M$39/16,0)</f>
        <v>52551</v>
      </c>
      <c r="M15" s="1381">
        <f t="shared" si="2"/>
        <v>9395689</v>
      </c>
      <c r="O15" s="3066">
        <v>38789534</v>
      </c>
      <c r="P15" s="1381">
        <f t="shared" si="3"/>
        <v>10620574</v>
      </c>
      <c r="R15" s="1381">
        <f t="shared" si="4"/>
        <v>187786990</v>
      </c>
    </row>
    <row r="16" spans="1:18">
      <c r="A16" s="3146">
        <f>LOGO!J12</f>
        <v>43738</v>
      </c>
      <c r="B16" s="1339"/>
      <c r="C16" s="3066">
        <v>4665502</v>
      </c>
      <c r="D16" s="1381">
        <f>D17-ROUND('WPB-2.2g'!$M$18/16,0)</f>
        <v>3030905</v>
      </c>
      <c r="E16" s="1381">
        <f t="shared" si="0"/>
        <v>1634597</v>
      </c>
      <c r="G16" s="3066">
        <v>171774311</v>
      </c>
      <c r="H16" s="1381">
        <f>H17-ROUND('WPB-2.2g'!$M$30/16,0)</f>
        <v>4866100</v>
      </c>
      <c r="I16" s="1381">
        <f t="shared" si="1"/>
        <v>166908211</v>
      </c>
      <c r="K16" s="3066">
        <v>9479794</v>
      </c>
      <c r="L16" s="1381">
        <f>L17-ROUND('WPB-2.2g'!$M$39/16,0)</f>
        <v>52664</v>
      </c>
      <c r="M16" s="1381">
        <f t="shared" si="2"/>
        <v>9427130</v>
      </c>
      <c r="O16" s="3066">
        <v>38802356</v>
      </c>
      <c r="P16" s="1381">
        <f t="shared" si="3"/>
        <v>10624085</v>
      </c>
      <c r="R16" s="1381">
        <f t="shared" si="4"/>
        <v>188594023</v>
      </c>
    </row>
    <row r="17" spans="1:18">
      <c r="A17" s="3146">
        <f>LOGO!J13</f>
        <v>43769</v>
      </c>
      <c r="B17" s="1339"/>
      <c r="C17" s="3066">
        <v>4676823</v>
      </c>
      <c r="D17" s="1381">
        <f>D18-ROUND('WPB-2.2g'!$M$18/16,0)</f>
        <v>3039079</v>
      </c>
      <c r="E17" s="1381">
        <f t="shared" si="0"/>
        <v>1637744</v>
      </c>
      <c r="G17" s="3066">
        <v>172569676</v>
      </c>
      <c r="H17" s="1381">
        <f>H18-ROUND('WPB-2.2g'!$M$30/16,0)</f>
        <v>4878053</v>
      </c>
      <c r="I17" s="1381">
        <f t="shared" si="1"/>
        <v>167691623</v>
      </c>
      <c r="K17" s="3066">
        <v>9511721</v>
      </c>
      <c r="L17" s="1381">
        <f>L18-ROUND('WPB-2.2g'!$M$39/16,0)</f>
        <v>52777</v>
      </c>
      <c r="M17" s="1381">
        <f t="shared" si="2"/>
        <v>9458944</v>
      </c>
      <c r="O17" s="3066">
        <v>38815077</v>
      </c>
      <c r="P17" s="1381">
        <f t="shared" si="3"/>
        <v>10627568</v>
      </c>
      <c r="R17" s="1381">
        <f t="shared" si="4"/>
        <v>189415879</v>
      </c>
    </row>
    <row r="18" spans="1:18">
      <c r="A18" s="3146">
        <f>LOGO!J14</f>
        <v>43799</v>
      </c>
      <c r="B18" s="1339"/>
      <c r="C18" s="3066">
        <v>4688145</v>
      </c>
      <c r="D18" s="1381">
        <f>D19-ROUND('WPB-2.2g'!$M$18/16,0)</f>
        <v>3047253</v>
      </c>
      <c r="E18" s="1381">
        <f t="shared" si="0"/>
        <v>1640892</v>
      </c>
      <c r="G18" s="3066">
        <v>173364215</v>
      </c>
      <c r="H18" s="1381">
        <f>H19-ROUND('WPB-2.2g'!$M$30/16,0)</f>
        <v>4890006</v>
      </c>
      <c r="I18" s="1381">
        <f t="shared" si="1"/>
        <v>168474209</v>
      </c>
      <c r="K18" s="3066">
        <v>9544120</v>
      </c>
      <c r="L18" s="1381">
        <f>L19-ROUND('WPB-2.2g'!$M$39/16,0)</f>
        <v>52890</v>
      </c>
      <c r="M18" s="1381">
        <f t="shared" si="2"/>
        <v>9491230</v>
      </c>
      <c r="O18" s="3066">
        <v>38821852</v>
      </c>
      <c r="P18" s="1381">
        <f t="shared" si="3"/>
        <v>10629423</v>
      </c>
      <c r="R18" s="1381">
        <f t="shared" si="4"/>
        <v>190235754</v>
      </c>
    </row>
    <row r="19" spans="1:18">
      <c r="A19" s="3146">
        <f>LOGO!J15</f>
        <v>43830</v>
      </c>
      <c r="B19" s="1339"/>
      <c r="C19" s="3066">
        <v>4699466</v>
      </c>
      <c r="D19" s="1381">
        <f>D20-ROUND('WPB-2.2g'!$M$18/16,0)</f>
        <v>3055427</v>
      </c>
      <c r="E19" s="1381">
        <f t="shared" si="0"/>
        <v>1644039</v>
      </c>
      <c r="G19" s="3066">
        <v>174157926</v>
      </c>
      <c r="H19" s="1381">
        <f>H20-ROUND('WPB-2.2g'!$M$30/16,0)</f>
        <v>4901959</v>
      </c>
      <c r="I19" s="1381">
        <f t="shared" si="1"/>
        <v>169255967</v>
      </c>
      <c r="K19" s="3066">
        <v>9576892</v>
      </c>
      <c r="L19" s="1381">
        <f>L20-ROUND('WPB-2.2g'!$M$39/16,0)</f>
        <v>53003</v>
      </c>
      <c r="M19" s="1381">
        <f t="shared" si="2"/>
        <v>9523889</v>
      </c>
      <c r="O19" s="3066">
        <v>38828526</v>
      </c>
      <c r="P19" s="1381">
        <f t="shared" si="3"/>
        <v>10631250</v>
      </c>
      <c r="R19" s="1381">
        <f t="shared" si="4"/>
        <v>191055145</v>
      </c>
    </row>
    <row r="20" spans="1:18">
      <c r="A20" s="3146">
        <f>LOGO!J16</f>
        <v>43861</v>
      </c>
      <c r="B20" s="1339"/>
      <c r="C20" s="3066">
        <v>4710787</v>
      </c>
      <c r="D20" s="1381">
        <f>D21-ROUND('WPB-2.2g'!$M$18/16,0)</f>
        <v>3063601</v>
      </c>
      <c r="E20" s="1381">
        <f t="shared" si="0"/>
        <v>1647186</v>
      </c>
      <c r="G20" s="3066">
        <v>174971062</v>
      </c>
      <c r="H20" s="1381">
        <f>H21-ROUND('WPB-2.2g'!$M$30/16,0)</f>
        <v>4913912</v>
      </c>
      <c r="I20" s="1381">
        <f t="shared" si="1"/>
        <v>170057150</v>
      </c>
      <c r="K20" s="3066">
        <v>9610037</v>
      </c>
      <c r="L20" s="1381">
        <f>L21-ROUND('WPB-2.2g'!$M$39/16,0)</f>
        <v>53116</v>
      </c>
      <c r="M20" s="1381">
        <f t="shared" si="2"/>
        <v>9556921</v>
      </c>
      <c r="O20" s="3066">
        <v>38835098</v>
      </c>
      <c r="P20" s="1381">
        <f t="shared" si="3"/>
        <v>10633050</v>
      </c>
      <c r="R20" s="1381">
        <f t="shared" si="4"/>
        <v>191894307</v>
      </c>
    </row>
    <row r="21" spans="1:18">
      <c r="A21" s="3146">
        <f>LOGO!J17</f>
        <v>43890</v>
      </c>
      <c r="B21" s="1339"/>
      <c r="C21" s="3066">
        <v>4722108</v>
      </c>
      <c r="D21" s="1381">
        <f>D22-ROUND('WPB-2.2g'!$M$18/16,0)</f>
        <v>3071775</v>
      </c>
      <c r="E21" s="1381">
        <f t="shared" si="0"/>
        <v>1650333</v>
      </c>
      <c r="G21" s="3066">
        <v>175783366</v>
      </c>
      <c r="H21" s="1381">
        <f>H22-ROUND('WPB-2.2g'!$M$30/16,0)</f>
        <v>4925865</v>
      </c>
      <c r="I21" s="1381">
        <f t="shared" si="1"/>
        <v>170857501</v>
      </c>
      <c r="K21" s="3066">
        <v>9642989</v>
      </c>
      <c r="L21" s="1381">
        <f>L22-ROUND('WPB-2.2g'!$M$39/16,0)</f>
        <v>53229</v>
      </c>
      <c r="M21" s="1381">
        <f t="shared" si="2"/>
        <v>9589760</v>
      </c>
      <c r="O21" s="3066">
        <v>38835725</v>
      </c>
      <c r="P21" s="1381">
        <f t="shared" si="3"/>
        <v>10633222</v>
      </c>
      <c r="R21" s="1381">
        <f t="shared" si="4"/>
        <v>192730816</v>
      </c>
    </row>
    <row r="22" spans="1:18">
      <c r="A22" s="3146">
        <f>LOGO!J18</f>
        <v>43921</v>
      </c>
      <c r="B22" s="1339"/>
      <c r="C22" s="3066">
        <f>4733429+2</f>
        <v>4733431</v>
      </c>
      <c r="D22" s="1381">
        <f>'WPB-2.2g'!N18-2</f>
        <v>3079949</v>
      </c>
      <c r="E22" s="1381">
        <f t="shared" si="0"/>
        <v>1653482</v>
      </c>
      <c r="G22" s="3066">
        <v>176594840</v>
      </c>
      <c r="H22" s="1381">
        <f>'WPB-2.2g'!N30+2</f>
        <v>4937818</v>
      </c>
      <c r="I22" s="1381">
        <f t="shared" si="1"/>
        <v>171657022</v>
      </c>
      <c r="K22" s="3066">
        <v>9675749</v>
      </c>
      <c r="L22" s="1381">
        <f>'WPB-2.2g'!N39+2</f>
        <v>53342</v>
      </c>
      <c r="M22" s="1381">
        <f t="shared" si="2"/>
        <v>9622407</v>
      </c>
      <c r="O22" s="3066">
        <v>38836250</v>
      </c>
      <c r="P22" s="1381">
        <f t="shared" si="3"/>
        <v>10633365</v>
      </c>
      <c r="R22" s="1381">
        <f t="shared" si="4"/>
        <v>193566276</v>
      </c>
    </row>
    <row r="23" spans="1:18">
      <c r="A23" s="3147" t="s">
        <v>2153</v>
      </c>
      <c r="B23" s="1339"/>
      <c r="C23" s="1382">
        <f>SUM(C10:C22)</f>
        <v>60651533</v>
      </c>
      <c r="D23" s="1382">
        <f>SUM(D10:D22)</f>
        <v>39401765</v>
      </c>
      <c r="E23" s="1382">
        <f>SUM(E10:E22)</f>
        <v>21249768</v>
      </c>
      <c r="G23" s="1382">
        <f>SUM(G10:G22)</f>
        <v>2233498859</v>
      </c>
      <c r="H23" s="1382">
        <f>SUM(H10:H22)</f>
        <v>63259300</v>
      </c>
      <c r="I23" s="1382">
        <f>SUM(I10:I22)</f>
        <v>2170239559</v>
      </c>
      <c r="K23" s="1382">
        <f>SUM(K10:K22)</f>
        <v>123270837</v>
      </c>
      <c r="L23" s="1382">
        <f>SUM(L10:L22)</f>
        <v>684632</v>
      </c>
      <c r="M23" s="1382">
        <f>SUM(M10:M22)</f>
        <v>122586205</v>
      </c>
      <c r="O23" s="1382">
        <f>SUM(O10:O22)</f>
        <v>504251951</v>
      </c>
      <c r="P23" s="1382">
        <f>SUM(P10:P22)</f>
        <v>138064183</v>
      </c>
      <c r="R23" s="1382">
        <f>SUM(R10:R22)</f>
        <v>2452139715</v>
      </c>
    </row>
    <row r="25" spans="1:18" s="1379" customFormat="1">
      <c r="A25" s="1379" t="s">
        <v>287</v>
      </c>
      <c r="C25" s="1379">
        <f>ROUND(C23/13,0)</f>
        <v>4665503</v>
      </c>
      <c r="D25" s="1379">
        <f>ROUND(D23/13,0)</f>
        <v>3030905</v>
      </c>
      <c r="E25" s="1379">
        <f>ROUND(E23/13,0)</f>
        <v>1634598</v>
      </c>
      <c r="G25" s="1379">
        <f>ROUND(G23/13,0)</f>
        <v>171807605</v>
      </c>
      <c r="H25" s="1379">
        <f>ROUND(H23/13,0)</f>
        <v>4866100</v>
      </c>
      <c r="I25" s="1379">
        <f>ROUND(I23/13,0)</f>
        <v>166941505</v>
      </c>
      <c r="K25" s="1379">
        <f>ROUND(K23/13,0)</f>
        <v>9482372</v>
      </c>
      <c r="L25" s="1379">
        <f>ROUND(L23/13,0)</f>
        <v>52664</v>
      </c>
      <c r="M25" s="1379">
        <f>ROUND(M23/13,0)</f>
        <v>9429708</v>
      </c>
      <c r="O25" s="1379">
        <f>ROUND(O23/13,0)</f>
        <v>38788612</v>
      </c>
      <c r="P25" s="1379">
        <f>ROUND(P23/13,0)</f>
        <v>10620322</v>
      </c>
      <c r="R25" s="1379">
        <f>E25+I25+M25+P25</f>
        <v>188626133</v>
      </c>
    </row>
    <row r="26" spans="1:18">
      <c r="D26" s="582"/>
      <c r="H26" s="582"/>
      <c r="L26" s="582"/>
    </row>
    <row r="27" spans="1:18">
      <c r="D27" s="582"/>
      <c r="H27" s="582"/>
      <c r="L27" s="582"/>
    </row>
    <row r="28" spans="1:18">
      <c r="D28" s="582"/>
      <c r="H28" s="582"/>
      <c r="L28" s="582"/>
    </row>
    <row r="29" spans="1:18">
      <c r="D29" s="1066" t="s">
        <v>823</v>
      </c>
      <c r="H29" s="1066" t="s">
        <v>823</v>
      </c>
      <c r="L29" s="1066" t="s">
        <v>823</v>
      </c>
    </row>
    <row r="31" spans="1:18">
      <c r="A31" s="1494"/>
    </row>
  </sheetData>
  <mergeCells count="4">
    <mergeCell ref="C6:E6"/>
    <mergeCell ref="G6:I6"/>
    <mergeCell ref="K6:M6"/>
    <mergeCell ref="O6:P6"/>
  </mergeCells>
  <phoneticPr fontId="52" type="noConversion"/>
  <pageMargins left="1" right="0.75" top="1" bottom="1" header="0.5" footer="0.5"/>
  <pageSetup scale="64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>
    <tabColor theme="8" tint="0.59999389629810485"/>
    <pageSetUpPr fitToPage="1"/>
  </sheetPr>
  <dimension ref="A1:O208"/>
  <sheetViews>
    <sheetView zoomScale="75" zoomScaleNormal="75" workbookViewId="0"/>
  </sheetViews>
  <sheetFormatPr defaultColWidth="11.44140625" defaultRowHeight="15"/>
  <cols>
    <col min="1" max="1" width="8.88671875" style="661" customWidth="1"/>
    <col min="2" max="2" width="11.44140625" style="661" customWidth="1"/>
    <col min="3" max="3" width="23.33203125" style="661" customWidth="1"/>
    <col min="4" max="4" width="53.5546875" style="661" customWidth="1"/>
    <col min="5" max="5" width="2.109375" style="661" customWidth="1"/>
    <col min="6" max="6" width="15.44140625" style="661" customWidth="1"/>
    <col min="7" max="7" width="3.44140625" style="661" customWidth="1"/>
    <col min="8" max="8" width="15.44140625" style="661" customWidth="1"/>
    <col min="9" max="9" width="2.44140625" style="661" customWidth="1"/>
    <col min="10" max="10" width="11.44140625" style="661" customWidth="1"/>
    <col min="11" max="11" width="4" style="661" customWidth="1"/>
    <col min="12" max="12" width="17.33203125" style="661" customWidth="1"/>
    <col min="13" max="13" width="12.33203125" style="661" customWidth="1"/>
    <col min="14" max="14" width="11.44140625" style="661" customWidth="1"/>
    <col min="15" max="15" width="12.88671875" style="661" customWidth="1"/>
    <col min="16" max="16384" width="11.44140625" style="661"/>
  </cols>
  <sheetData>
    <row r="1" spans="1:15">
      <c r="A1" s="1272" t="str">
        <f>COMPANY</f>
        <v>DUKE ENERGY KENTUCKY, INC.</v>
      </c>
      <c r="B1" s="1272"/>
      <c r="C1" s="1272"/>
      <c r="D1" s="1272"/>
      <c r="E1" s="1272"/>
      <c r="F1" s="1272"/>
      <c r="G1" s="1272"/>
      <c r="H1" s="1272"/>
      <c r="I1" s="1272"/>
      <c r="J1" s="1272"/>
      <c r="K1" s="1272"/>
      <c r="L1" s="1272"/>
      <c r="M1" s="1272"/>
      <c r="N1" s="1272"/>
      <c r="O1" s="1272"/>
    </row>
    <row r="2" spans="1:15">
      <c r="A2" s="1272" t="str">
        <f>CASE</f>
        <v>CASE NO. 2018-00261</v>
      </c>
      <c r="B2" s="1272"/>
      <c r="C2" s="1272"/>
      <c r="D2" s="1272"/>
      <c r="E2" s="1272"/>
      <c r="F2" s="1272"/>
      <c r="G2" s="1272"/>
      <c r="H2" s="1272"/>
      <c r="I2" s="1272"/>
      <c r="J2" s="1272"/>
      <c r="K2" s="1272"/>
      <c r="L2" s="1272"/>
      <c r="M2" s="1272"/>
      <c r="N2" s="1272"/>
      <c r="O2" s="1272"/>
    </row>
    <row r="3" spans="1:15">
      <c r="A3" s="1272" t="s">
        <v>167</v>
      </c>
      <c r="B3" s="1272"/>
      <c r="C3" s="1272"/>
      <c r="D3" s="1272"/>
      <c r="E3" s="1272"/>
      <c r="F3" s="1272"/>
      <c r="G3" s="1272"/>
      <c r="H3" s="1272"/>
      <c r="I3" s="1272"/>
      <c r="J3" s="1272"/>
      <c r="K3" s="1272"/>
      <c r="L3" s="1272"/>
      <c r="M3" s="1272"/>
      <c r="N3" s="1272"/>
      <c r="O3" s="1272"/>
    </row>
    <row r="4" spans="1:15">
      <c r="A4" s="1272" t="s">
        <v>168</v>
      </c>
      <c r="B4" s="1272"/>
      <c r="C4" s="1272"/>
      <c r="D4" s="1272"/>
      <c r="E4" s="1272"/>
      <c r="F4" s="1272"/>
      <c r="G4" s="1272"/>
      <c r="H4" s="1272"/>
      <c r="I4" s="1272"/>
      <c r="J4" s="1272"/>
      <c r="K4" s="1272"/>
      <c r="L4" s="1272"/>
      <c r="M4" s="1272"/>
      <c r="N4" s="1272"/>
      <c r="O4" s="1272"/>
    </row>
    <row r="5" spans="1:15">
      <c r="A5" s="1272" t="s">
        <v>169</v>
      </c>
      <c r="B5" s="1272"/>
      <c r="C5" s="1272"/>
      <c r="D5" s="1272"/>
      <c r="E5" s="1272"/>
      <c r="F5" s="1272"/>
      <c r="G5" s="1272"/>
      <c r="H5" s="1272"/>
      <c r="I5" s="1272"/>
      <c r="J5" s="1272"/>
      <c r="K5" s="1272"/>
      <c r="L5" s="1272"/>
      <c r="M5" s="1272"/>
      <c r="N5" s="1272"/>
      <c r="O5" s="1272"/>
    </row>
    <row r="6" spans="1:15">
      <c r="A6" s="44" t="str">
        <f>"THIRTEEN MONTH AVERAGE AS OF " &amp;RIGHT(Forecast,(LEN(Forecast)-16))</f>
        <v>THIRTEEN MONTH AVERAGE AS OF MARCH 31, 2020</v>
      </c>
      <c r="B6" s="1272"/>
      <c r="C6" s="1272"/>
      <c r="D6" s="1272"/>
      <c r="E6" s="1272"/>
      <c r="F6" s="1272"/>
      <c r="G6" s="1272"/>
      <c r="H6" s="1272"/>
      <c r="I6" s="1272"/>
      <c r="J6" s="1272"/>
      <c r="K6" s="1272"/>
      <c r="L6" s="1272"/>
      <c r="M6" s="1272"/>
      <c r="N6" s="1272"/>
      <c r="O6" s="1272"/>
    </row>
    <row r="7" spans="1:15">
      <c r="A7" s="1272"/>
      <c r="B7" s="1273"/>
      <c r="C7" s="1273"/>
      <c r="D7" s="1273"/>
      <c r="E7" s="1273"/>
      <c r="F7" s="1273"/>
      <c r="G7" s="1273"/>
      <c r="H7" s="1356"/>
      <c r="I7" s="1356"/>
      <c r="J7" s="1356"/>
      <c r="K7" s="1356"/>
      <c r="L7" s="1356"/>
      <c r="M7" s="1356"/>
      <c r="N7" s="1356"/>
      <c r="O7" s="1356"/>
    </row>
    <row r="8" spans="1:15">
      <c r="A8" s="1272" t="s">
        <v>1147</v>
      </c>
      <c r="B8" s="1272"/>
      <c r="C8" s="1272"/>
      <c r="D8" s="1272"/>
      <c r="E8" s="1272"/>
      <c r="F8" s="1272"/>
      <c r="G8" s="1272"/>
      <c r="H8" s="1272"/>
      <c r="I8" s="1272"/>
      <c r="J8" s="1272"/>
      <c r="K8" s="1272"/>
      <c r="L8" s="1272"/>
      <c r="M8" s="1272"/>
      <c r="N8" s="1272"/>
      <c r="O8" s="1272"/>
    </row>
    <row r="9" spans="1:15">
      <c r="A9" s="1355"/>
      <c r="B9" s="1355"/>
      <c r="C9" s="1355"/>
      <c r="D9" s="1355"/>
      <c r="E9" s="1355"/>
      <c r="F9" s="1355"/>
      <c r="G9" s="1355"/>
      <c r="H9" s="1355"/>
      <c r="I9" s="1355"/>
      <c r="J9" s="1355"/>
      <c r="K9" s="1355"/>
      <c r="L9" s="1355"/>
      <c r="M9" s="1355"/>
      <c r="N9" s="1355"/>
      <c r="O9" s="1355"/>
    </row>
    <row r="12" spans="1:15">
      <c r="A12" s="1358" t="str">
        <f>DataF</f>
        <v>DATA:  BASE PERIOD  "X" FORECASTED PERIOD</v>
      </c>
      <c r="M12" s="1359" t="s">
        <v>117</v>
      </c>
    </row>
    <row r="13" spans="1:15">
      <c r="A13" s="1358" t="str">
        <f>Type</f>
        <v xml:space="preserve">TYPE OF FILING:  "X" ORIGINAL   UPDATED    REVISED  </v>
      </c>
      <c r="M13" s="1359" t="s">
        <v>1149</v>
      </c>
    </row>
    <row r="14" spans="1:15">
      <c r="A14" s="1358" t="s">
        <v>118</v>
      </c>
      <c r="M14" s="1359" t="str">
        <f>'SCH B-3'!J12</f>
        <v>WITNESS RESPONSIBLE:</v>
      </c>
    </row>
    <row r="15" spans="1:15">
      <c r="M15" s="1359" t="str">
        <f>_WIT7</f>
        <v>R. H. PRATT / C. S. LEE</v>
      </c>
    </row>
    <row r="17" spans="1:15">
      <c r="F17" s="1361"/>
      <c r="G17" s="1361"/>
      <c r="H17" s="1361"/>
      <c r="I17" s="1361"/>
      <c r="J17" s="1361"/>
      <c r="K17" s="1361"/>
      <c r="L17" s="1361"/>
      <c r="M17" s="1361"/>
      <c r="N17" s="1361"/>
      <c r="O17" s="1361"/>
    </row>
    <row r="18" spans="1:15">
      <c r="A18" s="629"/>
      <c r="B18" s="646"/>
      <c r="C18" s="647"/>
      <c r="D18" s="629"/>
      <c r="E18" s="629"/>
      <c r="F18" s="823" t="s">
        <v>1468</v>
      </c>
      <c r="G18" s="823"/>
      <c r="H18" s="823"/>
    </row>
    <row r="19" spans="1:15">
      <c r="A19" s="636"/>
      <c r="B19" s="648" t="s">
        <v>1041</v>
      </c>
      <c r="C19" s="648" t="s">
        <v>2137</v>
      </c>
      <c r="D19" s="1274" t="s">
        <v>1151</v>
      </c>
      <c r="E19" s="1274"/>
      <c r="F19" s="3587" t="s">
        <v>2044</v>
      </c>
      <c r="G19" s="3587"/>
      <c r="H19" s="3587"/>
      <c r="J19" s="1384" t="s">
        <v>1523</v>
      </c>
      <c r="L19" s="1385" t="s">
        <v>1470</v>
      </c>
      <c r="N19" s="1385" t="s">
        <v>799</v>
      </c>
    </row>
    <row r="20" spans="1:15">
      <c r="A20" s="1274" t="s">
        <v>1938</v>
      </c>
      <c r="B20" s="1274" t="s">
        <v>1150</v>
      </c>
      <c r="C20" s="1274" t="s">
        <v>1150</v>
      </c>
      <c r="D20" s="1385" t="s">
        <v>1471</v>
      </c>
      <c r="E20" s="1385"/>
      <c r="F20" s="1385" t="s">
        <v>121</v>
      </c>
      <c r="G20" s="1385"/>
      <c r="H20" s="1385" t="s">
        <v>1438</v>
      </c>
      <c r="J20" s="1385" t="s">
        <v>1472</v>
      </c>
      <c r="L20" s="1385" t="s">
        <v>1473</v>
      </c>
      <c r="M20" s="1386" t="s">
        <v>1474</v>
      </c>
      <c r="N20" s="1385" t="s">
        <v>1475</v>
      </c>
      <c r="O20" s="1385" t="s">
        <v>1476</v>
      </c>
    </row>
    <row r="21" spans="1:15">
      <c r="A21" s="1274" t="s">
        <v>1939</v>
      </c>
      <c r="B21" s="1274" t="s">
        <v>1939</v>
      </c>
      <c r="C21" s="1274" t="s">
        <v>1939</v>
      </c>
      <c r="D21" s="1274" t="s">
        <v>1477</v>
      </c>
      <c r="E21" s="1274"/>
      <c r="F21" s="1274" t="s">
        <v>279</v>
      </c>
      <c r="G21" s="1274"/>
      <c r="H21" s="1385" t="s">
        <v>1407</v>
      </c>
      <c r="J21" s="1385" t="s">
        <v>524</v>
      </c>
      <c r="L21" s="1385" t="s">
        <v>398</v>
      </c>
      <c r="M21" s="1385" t="s">
        <v>1478</v>
      </c>
      <c r="N21" s="1385" t="s">
        <v>1479</v>
      </c>
      <c r="O21" s="1385" t="s">
        <v>1480</v>
      </c>
    </row>
    <row r="22" spans="1:15">
      <c r="A22" s="1370" t="s">
        <v>837</v>
      </c>
      <c r="B22" s="1370" t="s">
        <v>1481</v>
      </c>
      <c r="C22" s="1370" t="s">
        <v>1482</v>
      </c>
      <c r="D22" s="1370" t="s">
        <v>845</v>
      </c>
      <c r="E22" s="1370"/>
      <c r="F22" s="1370" t="s">
        <v>1042</v>
      </c>
      <c r="G22" s="1387"/>
      <c r="H22" s="1388" t="s">
        <v>718</v>
      </c>
      <c r="I22" s="1361"/>
      <c r="J22" s="1388" t="s">
        <v>840</v>
      </c>
      <c r="K22" s="1388"/>
      <c r="L22" s="1388" t="s">
        <v>1483</v>
      </c>
      <c r="M22" s="1388" t="s">
        <v>1484</v>
      </c>
      <c r="N22" s="1388" t="s">
        <v>1043</v>
      </c>
      <c r="O22" s="1388" t="s">
        <v>1485</v>
      </c>
    </row>
    <row r="23" spans="1:15">
      <c r="A23" s="629"/>
      <c r="B23" s="629"/>
      <c r="C23" s="629"/>
      <c r="D23" s="629"/>
      <c r="E23" s="629"/>
      <c r="F23" s="632" t="s">
        <v>695</v>
      </c>
      <c r="G23" s="636"/>
      <c r="H23" s="1385" t="s">
        <v>695</v>
      </c>
      <c r="L23" s="1385" t="s">
        <v>695</v>
      </c>
    </row>
    <row r="25" spans="1:15">
      <c r="A25" s="1274" t="s">
        <v>1152</v>
      </c>
      <c r="B25" s="1274" t="str">
        <f>'SCH B-3'!B220</f>
        <v>304</v>
      </c>
      <c r="C25" s="1274">
        <f>'SCH B-3'!C220</f>
        <v>20400</v>
      </c>
      <c r="D25" s="1358" t="str">
        <f>'SCH B-3'!D220</f>
        <v>Land and Land Rights</v>
      </c>
      <c r="E25" s="1358"/>
      <c r="F25" s="652">
        <f>'SCH B-2.1'!I188</f>
        <v>42141</v>
      </c>
      <c r="G25" s="1358"/>
      <c r="H25" s="1375">
        <f>'SCH B-3'!K220</f>
        <v>0</v>
      </c>
      <c r="J25" s="3245">
        <v>0</v>
      </c>
      <c r="L25" s="1375">
        <f>ROUND(F25*J25,0)</f>
        <v>0</v>
      </c>
      <c r="M25" s="1109" t="s">
        <v>1486</v>
      </c>
      <c r="N25" s="1109"/>
      <c r="O25" s="1109"/>
    </row>
    <row r="26" spans="1:15">
      <c r="A26" s="1274">
        <f>1+A25</f>
        <v>2</v>
      </c>
      <c r="B26" s="1274" t="str">
        <f>'SCH B-3'!B221</f>
        <v>304</v>
      </c>
      <c r="C26" s="1274">
        <f>'SCH B-3'!C221</f>
        <v>20401</v>
      </c>
      <c r="D26" s="1358" t="str">
        <f>'SCH B-3'!D221</f>
        <v>Rights of Way</v>
      </c>
      <c r="E26" s="1358"/>
      <c r="F26" s="652">
        <f>'SCH B-2.1'!I189</f>
        <v>8756</v>
      </c>
      <c r="G26" s="1358"/>
      <c r="H26" s="1375">
        <f>'SCH B-3'!K221</f>
        <v>8554</v>
      </c>
      <c r="J26" s="3245">
        <v>2.0000000000000001E-4</v>
      </c>
      <c r="K26" s="1377"/>
      <c r="L26" s="1375">
        <f>ROUND(F26*J26,0)</f>
        <v>2</v>
      </c>
      <c r="M26" s="821">
        <v>0</v>
      </c>
      <c r="N26" s="1109">
        <v>50</v>
      </c>
      <c r="O26" s="1392" t="s">
        <v>1487</v>
      </c>
    </row>
    <row r="27" spans="1:15">
      <c r="A27" s="1274">
        <f>1+A26</f>
        <v>3</v>
      </c>
      <c r="B27" s="1274" t="str">
        <f>'SCH B-3'!B222</f>
        <v>305</v>
      </c>
      <c r="C27" s="1274">
        <f>'SCH B-3'!C222</f>
        <v>20500</v>
      </c>
      <c r="D27" s="1358" t="str">
        <f>'SCH B-3'!D222</f>
        <v>Structures &amp; Improvements</v>
      </c>
      <c r="E27" s="1358"/>
      <c r="F27" s="652">
        <f>'SCH B-2.1'!I190</f>
        <v>616750</v>
      </c>
      <c r="G27" s="1377"/>
      <c r="H27" s="1375">
        <f>'SCH B-3'!K222</f>
        <v>499734</v>
      </c>
      <c r="J27" s="3245">
        <v>4.7E-2</v>
      </c>
      <c r="L27" s="1375">
        <f>ROUND(F27*J27,0)</f>
        <v>28987</v>
      </c>
      <c r="M27" s="821">
        <v>-0.1</v>
      </c>
      <c r="N27" s="1109">
        <v>55</v>
      </c>
      <c r="O27" s="1392" t="s">
        <v>253</v>
      </c>
    </row>
    <row r="28" spans="1:15">
      <c r="A28" s="1274">
        <f>1+A27</f>
        <v>4</v>
      </c>
      <c r="B28" s="1274" t="str">
        <f>'SCH B-3'!B223</f>
        <v>311</v>
      </c>
      <c r="C28" s="1274">
        <f>'SCH B-3'!C223</f>
        <v>21100</v>
      </c>
      <c r="D28" s="1358" t="str">
        <f>'SCH B-3'!D223</f>
        <v>Liquefied Petroleum Gas Equipment</v>
      </c>
      <c r="E28" s="1358"/>
      <c r="F28" s="652">
        <f>'SCH B-2.1'!I191</f>
        <v>2131961</v>
      </c>
      <c r="G28" s="1377"/>
      <c r="H28" s="1375">
        <f>'SCH B-3'!K223</f>
        <v>1126310</v>
      </c>
      <c r="J28" s="3245">
        <v>8.8599999999999998E-2</v>
      </c>
      <c r="L28" s="1375">
        <f>ROUND(F28*J28,0)</f>
        <v>188892</v>
      </c>
      <c r="M28" s="821">
        <v>-0.1</v>
      </c>
      <c r="N28" s="1109">
        <v>55</v>
      </c>
      <c r="O28" s="1248" t="s">
        <v>254</v>
      </c>
    </row>
    <row r="29" spans="1:15">
      <c r="A29" s="1274">
        <f>1+A28</f>
        <v>5</v>
      </c>
      <c r="C29" s="1274"/>
      <c r="D29" s="1358"/>
      <c r="E29" s="1358"/>
      <c r="F29" s="652"/>
      <c r="G29" s="1358"/>
      <c r="H29" s="1375"/>
      <c r="L29" s="1375"/>
      <c r="M29" s="1109"/>
      <c r="N29" s="1109"/>
      <c r="O29" s="1109"/>
    </row>
    <row r="30" spans="1:15">
      <c r="L30" s="1375"/>
    </row>
    <row r="31" spans="1:15">
      <c r="F31" s="1361"/>
      <c r="G31" s="1361"/>
      <c r="H31" s="1361"/>
      <c r="I31" s="1361"/>
      <c r="J31" s="1361"/>
      <c r="K31" s="1361"/>
      <c r="L31" s="1276"/>
      <c r="M31" s="1361"/>
      <c r="N31" s="1361"/>
      <c r="O31" s="1361"/>
    </row>
    <row r="32" spans="1:15">
      <c r="A32" s="629"/>
      <c r="B32" s="629"/>
      <c r="C32" s="629"/>
      <c r="D32" s="629"/>
      <c r="E32" s="629"/>
      <c r="F32" s="636"/>
      <c r="G32" s="636"/>
      <c r="L32" s="1375"/>
    </row>
    <row r="33" spans="1:15">
      <c r="A33" s="1274">
        <f>A29+1</f>
        <v>6</v>
      </c>
      <c r="D33" s="1358" t="s">
        <v>250</v>
      </c>
      <c r="E33" s="1358"/>
      <c r="F33" s="1375">
        <f>SUM(F25:F32)</f>
        <v>2799608</v>
      </c>
      <c r="G33" s="1358"/>
      <c r="H33" s="1375">
        <f>SUM(H25:H32)</f>
        <v>1634598</v>
      </c>
      <c r="L33" s="1375">
        <f>SUM(L25:L32)</f>
        <v>217881</v>
      </c>
    </row>
    <row r="34" spans="1:15">
      <c r="G34" s="1361"/>
      <c r="H34" s="1361"/>
      <c r="I34" s="1361"/>
      <c r="J34" s="1361"/>
      <c r="K34" s="1361"/>
      <c r="L34" s="1361"/>
      <c r="M34" s="1361"/>
      <c r="N34" s="1361"/>
      <c r="O34" s="1361"/>
    </row>
    <row r="35" spans="1:15">
      <c r="A35" s="629"/>
      <c r="B35" s="629"/>
      <c r="C35" s="629"/>
      <c r="D35" s="629"/>
      <c r="E35" s="629"/>
      <c r="F35" s="629"/>
      <c r="G35" s="636"/>
    </row>
    <row r="36" spans="1:15">
      <c r="A36" s="1377" t="s">
        <v>251</v>
      </c>
    </row>
    <row r="37" spans="1:15">
      <c r="A37" s="1377"/>
    </row>
    <row r="42" spans="1:15">
      <c r="A42" s="1273" t="str">
        <f t="shared" ref="A42:A47" si="0">A1</f>
        <v>DUKE ENERGY KENTUCKY, INC.</v>
      </c>
      <c r="B42" s="1273"/>
      <c r="C42" s="1273"/>
      <c r="D42" s="1273"/>
      <c r="E42" s="1273"/>
      <c r="F42" s="1273"/>
      <c r="G42" s="1273"/>
      <c r="H42" s="1273"/>
      <c r="I42" s="1273"/>
      <c r="J42" s="1273"/>
      <c r="K42" s="1273"/>
      <c r="L42" s="1273"/>
      <c r="M42" s="1273"/>
      <c r="N42" s="1273"/>
      <c r="O42" s="1273"/>
    </row>
    <row r="43" spans="1:15">
      <c r="A43" s="1273" t="str">
        <f t="shared" si="0"/>
        <v>CASE NO. 2018-00261</v>
      </c>
      <c r="B43" s="1273"/>
      <c r="C43" s="1273"/>
      <c r="D43" s="1273"/>
      <c r="E43" s="1273"/>
      <c r="F43" s="1273"/>
      <c r="G43" s="1273"/>
      <c r="H43" s="1273"/>
      <c r="I43" s="1273"/>
      <c r="J43" s="1273"/>
      <c r="K43" s="1273"/>
      <c r="L43" s="1273"/>
      <c r="M43" s="1273"/>
      <c r="N43" s="1273"/>
      <c r="O43" s="1273"/>
    </row>
    <row r="44" spans="1:15">
      <c r="A44" s="1273" t="str">
        <f t="shared" si="0"/>
        <v>DEPRECIATION AND AMORTIZATION ACCRUAL RATES AND</v>
      </c>
      <c r="B44" s="1273"/>
      <c r="C44" s="1273"/>
      <c r="D44" s="1273"/>
      <c r="E44" s="1273"/>
      <c r="F44" s="1273"/>
      <c r="G44" s="1273"/>
      <c r="H44" s="1273"/>
      <c r="I44" s="1273"/>
      <c r="J44" s="1273"/>
      <c r="K44" s="1273"/>
      <c r="L44" s="1273"/>
      <c r="M44" s="1273"/>
      <c r="N44" s="1273"/>
      <c r="O44" s="1273"/>
    </row>
    <row r="45" spans="1:15">
      <c r="A45" s="1273" t="str">
        <f t="shared" si="0"/>
        <v>JURISDICTIONAL ACCUMULATED BALANCES BY ACCOUNTS,</v>
      </c>
      <c r="B45" s="1273"/>
      <c r="C45" s="1273"/>
      <c r="D45" s="1273"/>
      <c r="E45" s="1273"/>
      <c r="F45" s="1273"/>
      <c r="G45" s="1273"/>
      <c r="H45" s="1273"/>
      <c r="I45" s="1273"/>
      <c r="J45" s="1273"/>
      <c r="K45" s="1273"/>
      <c r="L45" s="1273"/>
      <c r="M45" s="1273"/>
      <c r="N45" s="1273"/>
      <c r="O45" s="1273"/>
    </row>
    <row r="46" spans="1:15">
      <c r="A46" s="1273" t="str">
        <f t="shared" si="0"/>
        <v>FUNCTIONAL CLASS OR MAJOR PROPERTY GROUP</v>
      </c>
      <c r="B46" s="1273"/>
      <c r="C46" s="1273"/>
      <c r="D46" s="1273"/>
      <c r="E46" s="1273"/>
      <c r="F46" s="1273"/>
      <c r="G46" s="1273"/>
      <c r="H46" s="1273"/>
      <c r="I46" s="1273"/>
      <c r="J46" s="1273"/>
      <c r="K46" s="1273"/>
      <c r="L46" s="1273"/>
      <c r="M46" s="1273"/>
      <c r="N46" s="1273"/>
      <c r="O46" s="1273"/>
    </row>
    <row r="47" spans="1:15">
      <c r="A47" s="1273" t="str">
        <f t="shared" si="0"/>
        <v>THIRTEEN MONTH AVERAGE AS OF MARCH 31, 2020</v>
      </c>
      <c r="B47" s="1273"/>
      <c r="C47" s="1273"/>
      <c r="D47" s="1273"/>
      <c r="E47" s="1273"/>
      <c r="F47" s="1273"/>
      <c r="G47" s="1273"/>
      <c r="H47" s="1273"/>
      <c r="I47" s="1273"/>
      <c r="J47" s="1273"/>
      <c r="K47" s="1273"/>
      <c r="L47" s="1273"/>
      <c r="M47" s="1273"/>
      <c r="N47" s="1273"/>
      <c r="O47" s="1273"/>
    </row>
    <row r="48" spans="1:15">
      <c r="A48" s="1273"/>
      <c r="B48" s="1273"/>
      <c r="C48" s="1273"/>
      <c r="D48" s="1273"/>
      <c r="E48" s="1273"/>
      <c r="F48" s="1273"/>
      <c r="G48" s="1273"/>
      <c r="H48" s="1356"/>
      <c r="I48" s="1356"/>
      <c r="J48" s="1356"/>
      <c r="K48" s="1356"/>
      <c r="L48" s="1356"/>
      <c r="M48" s="1356"/>
      <c r="N48" s="1356"/>
      <c r="O48" s="1356"/>
    </row>
    <row r="49" spans="1:15">
      <c r="A49" s="1272" t="s">
        <v>1164</v>
      </c>
      <c r="B49" s="1272"/>
      <c r="C49" s="1272"/>
      <c r="D49" s="1272"/>
      <c r="E49" s="1272"/>
      <c r="F49" s="1272"/>
      <c r="G49" s="1272"/>
      <c r="H49" s="1272"/>
      <c r="I49" s="1272"/>
      <c r="J49" s="1272"/>
      <c r="K49" s="1272"/>
      <c r="L49" s="1272"/>
      <c r="M49" s="1272"/>
      <c r="N49" s="1272"/>
      <c r="O49" s="1272"/>
    </row>
    <row r="50" spans="1:15">
      <c r="A50" s="1355"/>
      <c r="B50" s="1355"/>
      <c r="C50" s="1355"/>
      <c r="D50" s="1355"/>
      <c r="E50" s="1355"/>
      <c r="F50" s="1355"/>
      <c r="G50" s="1355"/>
      <c r="H50" s="1355"/>
      <c r="I50" s="1355"/>
      <c r="J50" s="1355"/>
      <c r="K50" s="1355"/>
      <c r="L50" s="1355"/>
      <c r="M50" s="1355"/>
      <c r="N50" s="1355"/>
      <c r="O50" s="1355"/>
    </row>
    <row r="51" spans="1:15">
      <c r="A51" s="1356"/>
    </row>
    <row r="52" spans="1:15">
      <c r="A52" s="1356"/>
    </row>
    <row r="53" spans="1:15">
      <c r="A53" s="1358" t="str">
        <f>A12</f>
        <v>DATA:  BASE PERIOD  "X" FORECASTED PERIOD</v>
      </c>
      <c r="M53" s="1359" t="str">
        <f>M12</f>
        <v>SCHEDULE B-3.2</v>
      </c>
    </row>
    <row r="54" spans="1:15">
      <c r="A54" s="1358" t="str">
        <f>A13</f>
        <v xml:space="preserve">TYPE OF FILING:  "X" ORIGINAL   UPDATED    REVISED  </v>
      </c>
      <c r="M54" s="1359" t="s">
        <v>1165</v>
      </c>
    </row>
    <row r="55" spans="1:15">
      <c r="A55" s="1358" t="str">
        <f>A14</f>
        <v>WORK PAPER REFERENCE NOS.: SCHEDULE B-2.1, SCHEDULE B-3</v>
      </c>
      <c r="M55" s="1359" t="str">
        <f>M14</f>
        <v>WITNESS RESPONSIBLE:</v>
      </c>
    </row>
    <row r="56" spans="1:15">
      <c r="M56" s="1360" t="str">
        <f>M15</f>
        <v>R. H. PRATT / C. S. LEE</v>
      </c>
    </row>
    <row r="58" spans="1:15">
      <c r="F58" s="1361"/>
      <c r="G58" s="1361"/>
      <c r="H58" s="1361"/>
      <c r="I58" s="1361"/>
      <c r="J58" s="1361"/>
      <c r="K58" s="1361"/>
      <c r="L58" s="1361"/>
      <c r="M58" s="1361"/>
      <c r="N58" s="1361"/>
      <c r="O58" s="1361"/>
    </row>
    <row r="59" spans="1:15">
      <c r="A59" s="629"/>
      <c r="B59" s="646"/>
      <c r="C59" s="647"/>
      <c r="D59" s="629"/>
      <c r="E59" s="629"/>
      <c r="F59" s="823" t="s">
        <v>1468</v>
      </c>
      <c r="G59" s="823"/>
      <c r="H59" s="823"/>
    </row>
    <row r="60" spans="1:15">
      <c r="A60" s="636"/>
      <c r="B60" s="648" t="s">
        <v>1041</v>
      </c>
      <c r="C60" s="648" t="s">
        <v>2137</v>
      </c>
      <c r="D60" s="1274" t="s">
        <v>1151</v>
      </c>
      <c r="E60" s="1274"/>
      <c r="F60" s="3587" t="s">
        <v>2044</v>
      </c>
      <c r="G60" s="3587"/>
      <c r="H60" s="3587"/>
      <c r="J60" s="1384" t="s">
        <v>1523</v>
      </c>
      <c r="L60" s="1385" t="s">
        <v>1470</v>
      </c>
      <c r="N60" s="1385" t="s">
        <v>799</v>
      </c>
    </row>
    <row r="61" spans="1:15">
      <c r="A61" s="1274" t="s">
        <v>1938</v>
      </c>
      <c r="B61" s="1274" t="s">
        <v>1150</v>
      </c>
      <c r="C61" s="1274" t="s">
        <v>1150</v>
      </c>
      <c r="D61" s="1385" t="s">
        <v>1471</v>
      </c>
      <c r="E61" s="1385"/>
      <c r="F61" s="1385" t="s">
        <v>121</v>
      </c>
      <c r="G61" s="1385"/>
      <c r="H61" s="1385" t="s">
        <v>1438</v>
      </c>
      <c r="J61" s="1385" t="s">
        <v>1472</v>
      </c>
      <c r="L61" s="1385" t="s">
        <v>1473</v>
      </c>
      <c r="M61" s="1386" t="s">
        <v>1474</v>
      </c>
      <c r="N61" s="1385" t="s">
        <v>1475</v>
      </c>
      <c r="O61" s="1385" t="s">
        <v>1476</v>
      </c>
    </row>
    <row r="62" spans="1:15">
      <c r="A62" s="1274" t="s">
        <v>1939</v>
      </c>
      <c r="B62" s="1274" t="s">
        <v>1939</v>
      </c>
      <c r="C62" s="1274" t="s">
        <v>1939</v>
      </c>
      <c r="D62" s="1274" t="s">
        <v>1477</v>
      </c>
      <c r="E62" s="1274"/>
      <c r="F62" s="1274" t="s">
        <v>279</v>
      </c>
      <c r="G62" s="1274"/>
      <c r="H62" s="1385" t="s">
        <v>1407</v>
      </c>
      <c r="J62" s="1385" t="s">
        <v>524</v>
      </c>
      <c r="L62" s="1385" t="s">
        <v>398</v>
      </c>
      <c r="M62" s="1385" t="s">
        <v>1478</v>
      </c>
      <c r="N62" s="1385" t="s">
        <v>1479</v>
      </c>
      <c r="O62" s="1385" t="s">
        <v>1480</v>
      </c>
    </row>
    <row r="63" spans="1:15">
      <c r="A63" s="1387" t="s">
        <v>837</v>
      </c>
      <c r="B63" s="1387" t="s">
        <v>1481</v>
      </c>
      <c r="C63" s="1387" t="s">
        <v>1482</v>
      </c>
      <c r="D63" s="1387" t="s">
        <v>845</v>
      </c>
      <c r="E63" s="1387"/>
      <c r="F63" s="1387" t="s">
        <v>1042</v>
      </c>
      <c r="G63" s="1387"/>
      <c r="H63" s="1388" t="s">
        <v>718</v>
      </c>
      <c r="I63" s="1361"/>
      <c r="J63" s="1388" t="s">
        <v>840</v>
      </c>
      <c r="K63" s="1388"/>
      <c r="L63" s="1388" t="s">
        <v>1483</v>
      </c>
      <c r="M63" s="1388" t="s">
        <v>1484</v>
      </c>
      <c r="N63" s="1388" t="s">
        <v>1043</v>
      </c>
      <c r="O63" s="1388" t="s">
        <v>1485</v>
      </c>
    </row>
    <row r="64" spans="1:15">
      <c r="A64" s="1274" t="s">
        <v>749</v>
      </c>
      <c r="F64" s="1385" t="s">
        <v>695</v>
      </c>
      <c r="H64" s="1385" t="s">
        <v>695</v>
      </c>
      <c r="L64" s="1385" t="s">
        <v>695</v>
      </c>
    </row>
    <row r="65" spans="1:15">
      <c r="A65" s="1274"/>
    </row>
    <row r="66" spans="1:15">
      <c r="A66" s="1274">
        <v>1</v>
      </c>
      <c r="B66" s="1274" t="str">
        <f>'SCH B-3'!B258</f>
        <v>374</v>
      </c>
      <c r="C66" s="1274">
        <f>'SCH B-3'!C258</f>
        <v>27400</v>
      </c>
      <c r="D66" s="1358" t="str">
        <f>'SCH B-3'!D258</f>
        <v>Land and Land Rights</v>
      </c>
      <c r="E66" s="1358"/>
      <c r="F66" s="652">
        <f>'SCH B-2.1'!I220</f>
        <v>41032</v>
      </c>
      <c r="G66" s="1358"/>
      <c r="H66" s="1375">
        <f>'SCH B-3'!K258</f>
        <v>4</v>
      </c>
      <c r="J66" s="2761">
        <v>0</v>
      </c>
      <c r="L66" s="1375">
        <v>0</v>
      </c>
      <c r="M66" s="1109" t="s">
        <v>1486</v>
      </c>
      <c r="N66" s="1109"/>
      <c r="O66" s="1109"/>
    </row>
    <row r="67" spans="1:15">
      <c r="A67" s="1274">
        <f t="shared" ref="A67:A89" si="1">A66+1</f>
        <v>2</v>
      </c>
      <c r="B67" s="1274" t="str">
        <f>'SCH B-3'!B259</f>
        <v>374</v>
      </c>
      <c r="C67" s="1274">
        <f>'SCH B-3'!C259</f>
        <v>27401</v>
      </c>
      <c r="D67" s="1358" t="str">
        <f>'SCH B-3'!D259</f>
        <v>Rights of Way</v>
      </c>
      <c r="E67" s="1358"/>
      <c r="F67" s="652">
        <f>'SCH B-2.1'!I221</f>
        <v>866302</v>
      </c>
      <c r="G67" s="1358"/>
      <c r="H67" s="1375">
        <f>'SCH B-3'!K259</f>
        <v>539948</v>
      </c>
      <c r="J67" s="3245">
        <v>1.04E-2</v>
      </c>
      <c r="L67" s="1375">
        <f>ROUND(F67*J67,0)</f>
        <v>9010</v>
      </c>
      <c r="M67" s="821">
        <v>0</v>
      </c>
      <c r="N67" s="1109">
        <v>70</v>
      </c>
      <c r="O67" s="1392" t="s">
        <v>253</v>
      </c>
    </row>
    <row r="68" spans="1:15">
      <c r="A68" s="1274">
        <f t="shared" si="1"/>
        <v>3</v>
      </c>
      <c r="B68" s="1274" t="str">
        <f>'SCH B-3'!B260</f>
        <v>375</v>
      </c>
      <c r="C68" s="1274">
        <f>'SCH B-3'!C260</f>
        <v>27500</v>
      </c>
      <c r="D68" s="1358" t="str">
        <f>'SCH B-3'!D260</f>
        <v>Structures &amp; Improvements</v>
      </c>
      <c r="E68" s="1358"/>
      <c r="F68" s="652">
        <f>'SCH B-2.1'!I222</f>
        <v>553059</v>
      </c>
      <c r="G68" s="1377"/>
      <c r="H68" s="1375">
        <f>'SCH B-3'!K260</f>
        <v>134405</v>
      </c>
      <c r="J68" s="3245">
        <v>1.44E-2</v>
      </c>
      <c r="L68" s="1375">
        <f t="shared" ref="L68:L86" si="2">ROUND(F68*J68,0)</f>
        <v>7964</v>
      </c>
      <c r="M68" s="821">
        <v>-0.05</v>
      </c>
      <c r="N68" s="1109">
        <v>60</v>
      </c>
      <c r="O68" s="3279" t="s">
        <v>255</v>
      </c>
    </row>
    <row r="69" spans="1:15">
      <c r="A69" s="1274">
        <f t="shared" si="1"/>
        <v>4</v>
      </c>
      <c r="B69" s="1274" t="str">
        <f>'SCH B-3'!B261</f>
        <v>376</v>
      </c>
      <c r="C69" s="1274">
        <f>'SCH B-3'!C261</f>
        <v>27601</v>
      </c>
      <c r="D69" s="1358" t="str">
        <f>'SCH B-3'!D261</f>
        <v>Mains - Cast Iron &amp; Copper</v>
      </c>
      <c r="E69" s="1358"/>
      <c r="F69" s="652">
        <f>'SCH B-2.1'!I223</f>
        <v>982749</v>
      </c>
      <c r="G69" s="1377"/>
      <c r="H69" s="1375">
        <f>'SCH B-3'!K261</f>
        <v>-118273</v>
      </c>
      <c r="J69" s="3245">
        <v>8.6999999999999994E-2</v>
      </c>
      <c r="L69" s="1375">
        <f t="shared" si="2"/>
        <v>85499</v>
      </c>
      <c r="M69" s="821">
        <v>-0.2</v>
      </c>
      <c r="N69" s="819">
        <v>47</v>
      </c>
      <c r="O69" s="3279" t="s">
        <v>254</v>
      </c>
    </row>
    <row r="70" spans="1:15">
      <c r="A70" s="1274">
        <f t="shared" si="1"/>
        <v>5</v>
      </c>
      <c r="B70" s="1274" t="str">
        <f>'SCH B-3'!B262</f>
        <v>376</v>
      </c>
      <c r="C70" s="1274" t="str">
        <f>'SCH B-3'!C262</f>
        <v>27602,27607</v>
      </c>
      <c r="D70" s="1358" t="str">
        <f>'SCH B-3'!D262</f>
        <v>Mains - Steel</v>
      </c>
      <c r="E70" s="1358"/>
      <c r="F70" s="652">
        <f>'SCH B-2.1'!I224</f>
        <v>105363141</v>
      </c>
      <c r="G70" s="1358"/>
      <c r="H70" s="1375">
        <f>'SCH B-3'!K262</f>
        <v>41995112</v>
      </c>
      <c r="J70" s="3245">
        <v>1.6400000000000001E-2</v>
      </c>
      <c r="L70" s="1375">
        <f t="shared" si="2"/>
        <v>1727956</v>
      </c>
      <c r="M70" s="821">
        <v>-0.2</v>
      </c>
      <c r="N70" s="819">
        <v>65</v>
      </c>
      <c r="O70" s="3279" t="s">
        <v>254</v>
      </c>
    </row>
    <row r="71" spans="1:15">
      <c r="A71" s="1274">
        <f t="shared" si="1"/>
        <v>6</v>
      </c>
      <c r="B71" s="1274" t="str">
        <f>'SCH B-3'!B263</f>
        <v>376</v>
      </c>
      <c r="C71" s="1274" t="str">
        <f>'SCH B-3'!C263</f>
        <v>27603,27608</v>
      </c>
      <c r="D71" s="1358" t="str">
        <f>'SCH B-3'!D263</f>
        <v>Mains - Plastic</v>
      </c>
      <c r="E71" s="1358"/>
      <c r="F71" s="652">
        <f>'SCH B-2.1'!I225</f>
        <v>149762955</v>
      </c>
      <c r="G71" s="1358"/>
      <c r="H71" s="1375">
        <f>'SCH B-3'!K263</f>
        <v>53723261</v>
      </c>
      <c r="J71" s="3245">
        <v>1.5299999999999999E-2</v>
      </c>
      <c r="L71" s="1375">
        <f t="shared" si="2"/>
        <v>2291373</v>
      </c>
      <c r="M71" s="821">
        <v>-0.2</v>
      </c>
      <c r="N71" s="1109">
        <v>70</v>
      </c>
      <c r="O71" s="1392" t="s">
        <v>1488</v>
      </c>
    </row>
    <row r="72" spans="1:15">
      <c r="A72" s="1274">
        <f t="shared" si="1"/>
        <v>7</v>
      </c>
      <c r="B72" s="1274" t="str">
        <f>'SCH B-3'!B264</f>
        <v>376</v>
      </c>
      <c r="C72" s="1274">
        <f>'SCH B-3'!C264</f>
        <v>27605</v>
      </c>
      <c r="D72" s="1358" t="str">
        <f>'SCH B-3'!D264</f>
        <v>Mains - Feeder</v>
      </c>
      <c r="E72" s="1358"/>
      <c r="F72" s="652">
        <f>'SCH B-2.1'!I226</f>
        <v>27337810</v>
      </c>
      <c r="G72" s="1358"/>
      <c r="H72" s="1375">
        <f>'SCH B-3'!K264</f>
        <v>12251097</v>
      </c>
      <c r="J72" s="3245">
        <v>1.49E-2</v>
      </c>
      <c r="L72" s="1375">
        <f t="shared" si="2"/>
        <v>407333</v>
      </c>
      <c r="M72" s="821">
        <v>-0.2</v>
      </c>
      <c r="N72" s="819">
        <v>65</v>
      </c>
      <c r="O72" s="3279" t="s">
        <v>254</v>
      </c>
    </row>
    <row r="73" spans="1:15">
      <c r="A73" s="1274">
        <f t="shared" si="1"/>
        <v>8</v>
      </c>
      <c r="B73" s="1274" t="str">
        <f>'SCH B-3'!B265</f>
        <v>378</v>
      </c>
      <c r="C73" s="1274">
        <f>'SCH B-3'!C265</f>
        <v>27800</v>
      </c>
      <c r="D73" s="1358" t="str">
        <f>'SCH B-3'!D265</f>
        <v>System Meas. &amp; Reg. Station Equipment</v>
      </c>
      <c r="E73" s="1358"/>
      <c r="F73" s="652">
        <f>'SCH B-2.1'!I227</f>
        <v>7162530</v>
      </c>
      <c r="G73" s="1377"/>
      <c r="H73" s="1375">
        <f>'SCH B-3'!K265</f>
        <v>2553533</v>
      </c>
      <c r="J73" s="3245">
        <v>2.0400000000000001E-2</v>
      </c>
      <c r="L73" s="1375">
        <f t="shared" si="2"/>
        <v>146116</v>
      </c>
      <c r="M73" s="821">
        <v>-0.25</v>
      </c>
      <c r="N73" s="1109">
        <v>52</v>
      </c>
      <c r="O73" s="1248" t="s">
        <v>258</v>
      </c>
    </row>
    <row r="74" spans="1:15">
      <c r="A74" s="1274">
        <f t="shared" si="1"/>
        <v>9</v>
      </c>
      <c r="B74" s="1274" t="str">
        <f>'SCH B-3'!B266</f>
        <v>378</v>
      </c>
      <c r="C74" s="1274">
        <f>'SCH B-3'!C266</f>
        <v>27801</v>
      </c>
      <c r="D74" s="1358" t="str">
        <f>'SCH B-3'!D266</f>
        <v>System Meas. &amp; Reg. Station Equipment - Electric</v>
      </c>
      <c r="E74" s="1358"/>
      <c r="F74" s="652">
        <f>'SCH B-2.1'!I228</f>
        <v>1032384</v>
      </c>
      <c r="G74" s="1358"/>
      <c r="H74" s="1375">
        <f>'SCH B-3'!K266</f>
        <v>404259</v>
      </c>
      <c r="J74" s="3245">
        <v>6.3700000000000007E-2</v>
      </c>
      <c r="L74" s="1375">
        <f t="shared" si="2"/>
        <v>65763</v>
      </c>
      <c r="M74" s="821">
        <v>-0.25</v>
      </c>
      <c r="N74" s="1109">
        <v>25</v>
      </c>
      <c r="O74" s="1248" t="s">
        <v>2952</v>
      </c>
    </row>
    <row r="75" spans="1:15">
      <c r="A75" s="1274">
        <f t="shared" si="1"/>
        <v>10</v>
      </c>
      <c r="B75" s="1274" t="str">
        <f>'SCH B-3'!B267</f>
        <v>378</v>
      </c>
      <c r="C75" s="1274">
        <f>'SCH B-3'!C267</f>
        <v>27802</v>
      </c>
      <c r="D75" s="1358" t="str">
        <f>'SCH B-3'!D267</f>
        <v>District Regulating Equipment</v>
      </c>
      <c r="E75" s="1358"/>
      <c r="F75" s="652">
        <f>'SCH B-2.1'!I229</f>
        <v>2419176</v>
      </c>
      <c r="G75" s="1358"/>
      <c r="H75" s="1375">
        <f>'SCH B-3'!K267</f>
        <v>1110309</v>
      </c>
      <c r="J75" s="3245">
        <v>1.6500000000000001E-2</v>
      </c>
      <c r="L75" s="1375">
        <f t="shared" si="2"/>
        <v>39916</v>
      </c>
      <c r="M75" s="821">
        <v>-0.25</v>
      </c>
      <c r="N75" s="1109">
        <v>55</v>
      </c>
      <c r="O75" s="1248" t="s">
        <v>255</v>
      </c>
    </row>
    <row r="76" spans="1:15">
      <c r="A76" s="1274">
        <f t="shared" si="1"/>
        <v>11</v>
      </c>
      <c r="B76" s="1274" t="str">
        <f>'SCH B-3'!B268</f>
        <v>380</v>
      </c>
      <c r="C76" s="1274">
        <f>'SCH B-3'!C268</f>
        <v>28001</v>
      </c>
      <c r="D76" s="1358" t="str">
        <f>'SCH B-3'!D268</f>
        <v>Services- Cast Iron &amp; Copper</v>
      </c>
      <c r="E76" s="1358"/>
      <c r="F76" s="652">
        <f>'SCH B-2.1'!I230</f>
        <v>3116451</v>
      </c>
      <c r="G76" s="1377"/>
      <c r="H76" s="1375">
        <f>'SCH B-3'!K268</f>
        <v>102528</v>
      </c>
      <c r="J76" s="3245">
        <v>5.2699999999999997E-2</v>
      </c>
      <c r="L76" s="1375">
        <f t="shared" si="2"/>
        <v>164237</v>
      </c>
      <c r="M76" s="821">
        <v>-0.25</v>
      </c>
      <c r="N76" s="819">
        <v>40</v>
      </c>
      <c r="O76" s="1392" t="s">
        <v>255</v>
      </c>
    </row>
    <row r="77" spans="1:15">
      <c r="A77" s="1274">
        <f t="shared" si="1"/>
        <v>12</v>
      </c>
      <c r="B77" s="1274" t="str">
        <f>'SCH B-3'!B269</f>
        <v>380</v>
      </c>
      <c r="C77" s="1274" t="str">
        <f>'SCH B-3'!C269</f>
        <v>28002,28004</v>
      </c>
      <c r="D77" s="1358" t="str">
        <f>'SCH B-3'!D269</f>
        <v>Services-Steel</v>
      </c>
      <c r="E77" s="1358"/>
      <c r="F77" s="652">
        <f>'SCH B-2.1'!I231</f>
        <v>8817969</v>
      </c>
      <c r="G77" s="1358"/>
      <c r="H77" s="1375">
        <f>'SCH B-3'!K269</f>
        <v>2370014</v>
      </c>
      <c r="J77" s="3245">
        <v>3.3399999999999999E-2</v>
      </c>
      <c r="L77" s="1375">
        <f t="shared" si="2"/>
        <v>294520</v>
      </c>
      <c r="M77" s="821">
        <v>-0.25</v>
      </c>
      <c r="N77" s="1109">
        <v>42</v>
      </c>
      <c r="O77" s="1248" t="s">
        <v>255</v>
      </c>
    </row>
    <row r="78" spans="1:15">
      <c r="A78" s="1274">
        <f t="shared" si="1"/>
        <v>13</v>
      </c>
      <c r="B78" s="1274" t="str">
        <f>'SCH B-3'!B270</f>
        <v>380</v>
      </c>
      <c r="C78" s="1274" t="str">
        <f>'SCH B-3'!C270</f>
        <v>28003,28005-28007</v>
      </c>
      <c r="D78" s="1358" t="str">
        <f>'SCH B-3'!D270</f>
        <v>Services-Plastic</v>
      </c>
      <c r="E78" s="1358"/>
      <c r="F78" s="652">
        <f>'SCH B-2.1'!I232</f>
        <v>151094070</v>
      </c>
      <c r="G78" s="1358"/>
      <c r="H78" s="1375">
        <f>'SCH B-3'!K270</f>
        <v>51299275</v>
      </c>
      <c r="J78" s="3245">
        <v>2.3900000000000001E-2</v>
      </c>
      <c r="L78" s="1375">
        <f t="shared" si="2"/>
        <v>3611148</v>
      </c>
      <c r="M78" s="821">
        <v>-0.25</v>
      </c>
      <c r="N78" s="1109">
        <v>48</v>
      </c>
      <c r="O78" s="1392" t="s">
        <v>2953</v>
      </c>
    </row>
    <row r="79" spans="1:15">
      <c r="A79" s="1274">
        <f t="shared" si="1"/>
        <v>14</v>
      </c>
      <c r="B79" s="1274" t="str">
        <f>'SCH B-3'!B271</f>
        <v>381</v>
      </c>
      <c r="C79" s="1274" t="str">
        <f>'SCH B-3'!C271</f>
        <v>28100,28101</v>
      </c>
      <c r="D79" s="1358" t="str">
        <f>'SCH B-3'!D271</f>
        <v>Meters</v>
      </c>
      <c r="E79" s="1358"/>
      <c r="F79" s="652">
        <f>'SCH B-2.1'!I233</f>
        <v>12832410</v>
      </c>
      <c r="G79" s="1377"/>
      <c r="H79" s="1375">
        <f>'SCH B-3'!K271</f>
        <v>-5811552</v>
      </c>
      <c r="J79" s="3245">
        <v>0.1077</v>
      </c>
      <c r="L79" s="1375">
        <f t="shared" si="2"/>
        <v>1382051</v>
      </c>
      <c r="M79" s="821">
        <v>0</v>
      </c>
      <c r="N79" s="1109">
        <v>17</v>
      </c>
      <c r="O79" s="1248" t="s">
        <v>2919</v>
      </c>
    </row>
    <row r="80" spans="1:15">
      <c r="A80" s="1274">
        <f t="shared" si="1"/>
        <v>15</v>
      </c>
      <c r="B80" s="1274">
        <f>'SCH B-3'!B272</f>
        <v>382</v>
      </c>
      <c r="C80" s="1274" t="str">
        <f>'SCH B-3'!C272</f>
        <v>28200,28201</v>
      </c>
      <c r="D80" s="1358" t="str">
        <f>'SCH B-3'!D272</f>
        <v>Meter Installations</v>
      </c>
      <c r="E80" s="1358"/>
      <c r="F80" s="652">
        <f>'SCH B-2.1'!I234</f>
        <v>10424840</v>
      </c>
      <c r="G80" s="1377"/>
      <c r="H80" s="1375">
        <f>'SCH B-3'!K272</f>
        <v>2892967</v>
      </c>
      <c r="J80" s="3245">
        <v>3.8199999999999998E-2</v>
      </c>
      <c r="L80" s="1375">
        <f t="shared" si="2"/>
        <v>398229</v>
      </c>
      <c r="M80" s="821">
        <v>0</v>
      </c>
      <c r="N80" s="1109">
        <v>30</v>
      </c>
      <c r="O80" s="1248" t="s">
        <v>2920</v>
      </c>
    </row>
    <row r="81" spans="1:15">
      <c r="A81" s="1274">
        <f t="shared" si="1"/>
        <v>16</v>
      </c>
      <c r="B81" s="1274" t="str">
        <f>'SCH B-3'!B273</f>
        <v>383</v>
      </c>
      <c r="C81" s="1274" t="str">
        <f>'SCH B-3'!C273</f>
        <v>28300,283001</v>
      </c>
      <c r="D81" s="1358" t="str">
        <f>'SCH B-3'!D273</f>
        <v>House Regulators</v>
      </c>
      <c r="E81" s="1358"/>
      <c r="F81" s="652">
        <f>'SCH B-2.1'!I235</f>
        <v>6557950</v>
      </c>
      <c r="G81" s="1377"/>
      <c r="H81" s="1375">
        <f>'SCH B-3'!K273</f>
        <v>2345399</v>
      </c>
      <c r="J81" s="3245">
        <v>2.1499999999999998E-2</v>
      </c>
      <c r="L81" s="1375">
        <f t="shared" si="2"/>
        <v>140996</v>
      </c>
      <c r="M81" s="821">
        <v>0</v>
      </c>
      <c r="N81" s="1109">
        <v>42</v>
      </c>
      <c r="O81" s="1248" t="s">
        <v>258</v>
      </c>
    </row>
    <row r="82" spans="1:15">
      <c r="A82" s="1274">
        <f t="shared" si="1"/>
        <v>17</v>
      </c>
      <c r="B82" s="1274" t="str">
        <f>'SCH B-3'!B274</f>
        <v>384</v>
      </c>
      <c r="C82" s="1274" t="str">
        <f>'SCH B-3'!C274</f>
        <v>28400,28401</v>
      </c>
      <c r="D82" s="1358" t="str">
        <f>'SCH B-3'!D274</f>
        <v>House Regulator Installations</v>
      </c>
      <c r="E82" s="1358"/>
      <c r="F82" s="652">
        <f>'SCH B-2.1'!I236</f>
        <v>5939132</v>
      </c>
      <c r="G82" s="1377"/>
      <c r="H82" s="1375">
        <f>'SCH B-3'!K274</f>
        <v>2787651</v>
      </c>
      <c r="J82" s="3245">
        <v>1.5900000000000001E-2</v>
      </c>
      <c r="L82" s="1375">
        <f t="shared" si="2"/>
        <v>94432</v>
      </c>
      <c r="M82" s="821">
        <v>0</v>
      </c>
      <c r="N82" s="1109">
        <v>50</v>
      </c>
      <c r="O82" s="1248" t="s">
        <v>1488</v>
      </c>
    </row>
    <row r="83" spans="1:15">
      <c r="A83" s="1274">
        <f t="shared" si="1"/>
        <v>18</v>
      </c>
      <c r="B83" s="1274" t="str">
        <f>'SCH B-3'!B275</f>
        <v>385</v>
      </c>
      <c r="C83" s="1274">
        <f>'SCH B-3'!C275</f>
        <v>28500</v>
      </c>
      <c r="D83" s="1358" t="str">
        <f>'SCH B-3'!D275</f>
        <v>Large Industrial Meas. &amp; Reg. Equipment</v>
      </c>
      <c r="E83" s="1358"/>
      <c r="F83" s="652">
        <f>'SCH B-2.1'!I237</f>
        <v>455084</v>
      </c>
      <c r="G83" s="1377"/>
      <c r="H83" s="1375">
        <f>'SCH B-3'!K275</f>
        <v>448439</v>
      </c>
      <c r="J83" s="3245">
        <v>6.0000000000000001E-3</v>
      </c>
      <c r="L83" s="1375">
        <f t="shared" si="2"/>
        <v>2731</v>
      </c>
      <c r="M83" s="821">
        <v>-0.1</v>
      </c>
      <c r="N83" s="1109">
        <v>42</v>
      </c>
      <c r="O83" s="1392" t="s">
        <v>255</v>
      </c>
    </row>
    <row r="84" spans="1:15">
      <c r="A84" s="1274">
        <f t="shared" si="1"/>
        <v>19</v>
      </c>
      <c r="B84" s="1274" t="str">
        <f>'SCH B-3'!B276</f>
        <v>385</v>
      </c>
      <c r="C84" s="1274">
        <f>'SCH B-3'!C276</f>
        <v>28501</v>
      </c>
      <c r="D84" s="1358" t="str">
        <f>'SCH B-3'!D276</f>
        <v>Large Industrial Meas. &amp; Reg. Equipment - Comm</v>
      </c>
      <c r="E84" s="1358"/>
      <c r="F84" s="652">
        <f>'SCH B-2.1'!I238</f>
        <v>64791</v>
      </c>
      <c r="G84" s="1358"/>
      <c r="H84" s="1375">
        <f>'SCH B-3'!K276</f>
        <v>49660</v>
      </c>
      <c r="J84" s="3245">
        <v>3.6400000000000002E-2</v>
      </c>
      <c r="L84" s="1375">
        <f t="shared" si="2"/>
        <v>2358</v>
      </c>
      <c r="M84" s="821">
        <v>-0.1</v>
      </c>
      <c r="N84" s="1109">
        <v>25</v>
      </c>
      <c r="O84" s="1248" t="s">
        <v>254</v>
      </c>
    </row>
    <row r="85" spans="1:15">
      <c r="A85" s="1274">
        <f t="shared" si="1"/>
        <v>20</v>
      </c>
      <c r="B85" s="1274">
        <f>'SCH B-3'!B277</f>
        <v>387</v>
      </c>
      <c r="C85" s="1274">
        <f>'SCH B-3'!C277</f>
        <v>28700</v>
      </c>
      <c r="D85" s="1358" t="str">
        <f>'SCH B-3'!D277</f>
        <v>Other Equipment - Other</v>
      </c>
      <c r="E85" s="1358"/>
      <c r="F85" s="652">
        <f>'SCH B-2.1'!I239</f>
        <v>21447</v>
      </c>
      <c r="G85" s="1358"/>
      <c r="H85" s="1375">
        <f>'SCH B-3'!K277</f>
        <v>22692</v>
      </c>
      <c r="J85" s="3245">
        <v>0</v>
      </c>
      <c r="K85" s="3130" t="s">
        <v>678</v>
      </c>
      <c r="L85" s="1375">
        <f t="shared" si="2"/>
        <v>0</v>
      </c>
      <c r="M85" s="821">
        <v>0</v>
      </c>
      <c r="N85" s="1109">
        <v>17</v>
      </c>
      <c r="O85" s="1248" t="s">
        <v>1488</v>
      </c>
    </row>
    <row r="86" spans="1:15">
      <c r="A86" s="1274">
        <f t="shared" si="1"/>
        <v>21</v>
      </c>
      <c r="B86" s="1274" t="str">
        <f>'SCH B-3'!B278</f>
        <v>387</v>
      </c>
      <c r="C86" s="1274">
        <f>'SCH B-3'!C278</f>
        <v>28701</v>
      </c>
      <c r="D86" s="1358" t="str">
        <f>'SCH B-3'!D278</f>
        <v>Street Lighting Equipment</v>
      </c>
      <c r="E86" s="1358"/>
      <c r="F86" s="652">
        <f>'SCH B-2.1'!I240</f>
        <v>28290</v>
      </c>
      <c r="G86" s="1358"/>
      <c r="H86" s="1375">
        <f>'SCH B-3'!K278</f>
        <v>22262</v>
      </c>
      <c r="J86" s="3245">
        <v>1.7600000000000001E-2</v>
      </c>
      <c r="L86" s="1375">
        <f t="shared" si="2"/>
        <v>498</v>
      </c>
      <c r="M86" s="821">
        <v>0</v>
      </c>
      <c r="N86" s="1109">
        <v>35</v>
      </c>
      <c r="O86" s="1392" t="s">
        <v>257</v>
      </c>
    </row>
    <row r="87" spans="1:15">
      <c r="A87" s="1274">
        <f t="shared" si="1"/>
        <v>22</v>
      </c>
      <c r="B87" s="1274"/>
      <c r="C87" s="1274"/>
      <c r="D87" s="2758" t="s">
        <v>2220</v>
      </c>
      <c r="E87" s="1358"/>
      <c r="F87" s="652">
        <f>'SCH B-2.1'!I241</f>
        <v>3583546</v>
      </c>
      <c r="G87" s="1358"/>
      <c r="H87" s="1375">
        <f>'SCH B-3'!K279</f>
        <v>1213033</v>
      </c>
      <c r="J87" s="1287"/>
      <c r="L87" s="3193">
        <v>82148</v>
      </c>
      <c r="M87" s="821"/>
      <c r="N87" s="1109"/>
      <c r="O87" s="1392"/>
    </row>
    <row r="88" spans="1:15">
      <c r="A88" s="1274">
        <f t="shared" si="1"/>
        <v>23</v>
      </c>
      <c r="B88" s="1274"/>
      <c r="C88" s="1274">
        <f>'SCH B-3'!C280</f>
        <v>108</v>
      </c>
      <c r="D88" s="1358" t="str">
        <f>'SCH B-3'!D280</f>
        <v>Retirement Work in Progress</v>
      </c>
      <c r="E88" s="1358"/>
      <c r="F88" s="652"/>
      <c r="G88" s="1358"/>
      <c r="H88" s="1375">
        <f>'SCH B-3'!K280</f>
        <v>-4652670</v>
      </c>
      <c r="J88" s="1287"/>
      <c r="L88" s="1375"/>
      <c r="M88" s="821"/>
      <c r="N88" s="1109"/>
      <c r="O88" s="1392"/>
    </row>
    <row r="89" spans="1:15">
      <c r="A89" s="1274">
        <f t="shared" si="1"/>
        <v>24</v>
      </c>
      <c r="C89" s="1274"/>
      <c r="D89" s="3189" t="s">
        <v>2776</v>
      </c>
      <c r="E89" s="1358"/>
      <c r="F89" s="652">
        <f>'SCH B-2.1'!I242</f>
        <v>50026690</v>
      </c>
      <c r="G89" s="1358"/>
      <c r="H89" s="1375">
        <f>'SCH B-3'!K281</f>
        <v>1258152</v>
      </c>
      <c r="J89" s="3245">
        <v>2.24E-2</v>
      </c>
      <c r="L89" s="1375">
        <f t="shared" ref="L89" si="3">ROUND(F89*J89,0)</f>
        <v>1120598</v>
      </c>
      <c r="M89" s="1357"/>
    </row>
    <row r="90" spans="1:15">
      <c r="G90" s="1361"/>
      <c r="H90" s="1361"/>
      <c r="I90" s="1361"/>
      <c r="J90" s="1361"/>
      <c r="K90" s="1361"/>
      <c r="L90" s="1276"/>
      <c r="M90" s="1361"/>
      <c r="N90" s="1361"/>
      <c r="O90" s="1361"/>
    </row>
    <row r="91" spans="1:15">
      <c r="A91" s="629"/>
      <c r="B91" s="629"/>
      <c r="C91" s="629"/>
      <c r="D91" s="629"/>
      <c r="E91" s="629"/>
      <c r="F91" s="629"/>
      <c r="G91" s="636"/>
      <c r="L91" s="1375"/>
    </row>
    <row r="92" spans="1:15">
      <c r="A92" s="1274">
        <f>A89+1</f>
        <v>25</v>
      </c>
      <c r="D92" s="1358" t="s">
        <v>1393</v>
      </c>
      <c r="E92" s="1358"/>
      <c r="F92" s="652">
        <f>SUM(F66:F91)</f>
        <v>548483808</v>
      </c>
      <c r="G92" s="1358"/>
      <c r="H92" s="652">
        <f>SUM(H66:H91)</f>
        <v>166941505</v>
      </c>
      <c r="L92" s="652">
        <f>SUM(L66:L91)</f>
        <v>12074876</v>
      </c>
    </row>
    <row r="93" spans="1:15">
      <c r="G93" s="1361"/>
      <c r="H93" s="1361"/>
      <c r="I93" s="1361"/>
      <c r="J93" s="1361"/>
      <c r="K93" s="1361"/>
      <c r="L93" s="1361"/>
      <c r="M93" s="1361"/>
      <c r="N93" s="1361"/>
      <c r="O93" s="1361"/>
    </row>
    <row r="94" spans="1:15">
      <c r="A94" s="629"/>
      <c r="B94" s="629"/>
      <c r="C94" s="629"/>
      <c r="D94" s="629"/>
      <c r="E94" s="629"/>
      <c r="F94" s="629"/>
      <c r="G94" s="636"/>
    </row>
    <row r="95" spans="1:15">
      <c r="A95" s="1377" t="s">
        <v>259</v>
      </c>
    </row>
    <row r="96" spans="1:15">
      <c r="A96" s="1377" t="s">
        <v>252</v>
      </c>
    </row>
    <row r="100" spans="1:15">
      <c r="A100" s="1273" t="str">
        <f t="shared" ref="A100:A105" si="4">A1</f>
        <v>DUKE ENERGY KENTUCKY, INC.</v>
      </c>
      <c r="B100" s="1273"/>
      <c r="C100" s="1273"/>
      <c r="D100" s="1273"/>
      <c r="E100" s="1273"/>
      <c r="F100" s="1273"/>
      <c r="G100" s="1273"/>
      <c r="H100" s="1273"/>
      <c r="I100" s="1273"/>
      <c r="J100" s="1273"/>
      <c r="K100" s="1273"/>
      <c r="L100" s="1273"/>
      <c r="M100" s="1273"/>
      <c r="N100" s="1273"/>
      <c r="O100" s="1273"/>
    </row>
    <row r="101" spans="1:15">
      <c r="A101" s="1272" t="str">
        <f t="shared" si="4"/>
        <v>CASE NO. 2018-00261</v>
      </c>
      <c r="B101" s="1272"/>
      <c r="C101" s="1272"/>
      <c r="D101" s="1272"/>
      <c r="E101" s="1272"/>
      <c r="F101" s="1272"/>
      <c r="G101" s="1272"/>
      <c r="H101" s="1272"/>
      <c r="I101" s="1272"/>
      <c r="J101" s="1272"/>
      <c r="K101" s="1272"/>
      <c r="L101" s="1272"/>
      <c r="M101" s="1272"/>
      <c r="N101" s="1272"/>
      <c r="O101" s="1272"/>
    </row>
    <row r="102" spans="1:15">
      <c r="A102" s="1272" t="str">
        <f t="shared" si="4"/>
        <v>DEPRECIATION AND AMORTIZATION ACCRUAL RATES AND</v>
      </c>
      <c r="B102" s="1272"/>
      <c r="C102" s="1272"/>
      <c r="D102" s="1272"/>
      <c r="E102" s="1272"/>
      <c r="F102" s="1272"/>
      <c r="G102" s="1272"/>
      <c r="H102" s="1272"/>
      <c r="I102" s="1272"/>
      <c r="J102" s="1272"/>
      <c r="K102" s="1272"/>
      <c r="L102" s="1272"/>
      <c r="M102" s="1272"/>
      <c r="N102" s="1272"/>
      <c r="O102" s="1272"/>
    </row>
    <row r="103" spans="1:15">
      <c r="A103" s="1272" t="str">
        <f t="shared" si="4"/>
        <v>JURISDICTIONAL ACCUMULATED BALANCES BY ACCOUNTS,</v>
      </c>
      <c r="B103" s="1272"/>
      <c r="C103" s="1272"/>
      <c r="D103" s="1272"/>
      <c r="E103" s="1272"/>
      <c r="F103" s="1272"/>
      <c r="G103" s="1272"/>
      <c r="H103" s="1272"/>
      <c r="I103" s="1272"/>
      <c r="J103" s="1272"/>
      <c r="K103" s="1272"/>
      <c r="L103" s="1272"/>
      <c r="M103" s="1272"/>
      <c r="N103" s="1272"/>
      <c r="O103" s="1272"/>
    </row>
    <row r="104" spans="1:15">
      <c r="A104" s="1272" t="str">
        <f t="shared" si="4"/>
        <v>FUNCTIONAL CLASS OR MAJOR PROPERTY GROUP</v>
      </c>
      <c r="B104" s="1272"/>
      <c r="C104" s="1272"/>
      <c r="D104" s="1272"/>
      <c r="E104" s="1272"/>
      <c r="F104" s="1272"/>
      <c r="G104" s="1272"/>
      <c r="H104" s="1272"/>
      <c r="I104" s="1272"/>
      <c r="J104" s="1272"/>
      <c r="K104" s="1272"/>
      <c r="L104" s="1272"/>
      <c r="M104" s="1272"/>
      <c r="N104" s="1272"/>
      <c r="O104" s="1272"/>
    </row>
    <row r="105" spans="1:15">
      <c r="A105" s="1272" t="str">
        <f t="shared" si="4"/>
        <v>THIRTEEN MONTH AVERAGE AS OF MARCH 31, 2020</v>
      </c>
      <c r="B105" s="1272"/>
      <c r="C105" s="1272"/>
      <c r="D105" s="1272"/>
      <c r="E105" s="1272"/>
      <c r="F105" s="1272"/>
      <c r="G105" s="1272"/>
      <c r="H105" s="1272"/>
      <c r="I105" s="1272"/>
      <c r="J105" s="1272"/>
      <c r="K105" s="1272"/>
      <c r="L105" s="1272"/>
      <c r="M105" s="1272"/>
      <c r="N105" s="1272"/>
      <c r="O105" s="1272"/>
    </row>
    <row r="106" spans="1:15">
      <c r="A106" s="1273"/>
      <c r="B106" s="1273"/>
      <c r="C106" s="1273"/>
      <c r="D106" s="1273"/>
      <c r="E106" s="1273"/>
      <c r="F106" s="1273"/>
      <c r="G106" s="1273"/>
    </row>
    <row r="107" spans="1:15">
      <c r="A107" s="1272" t="s">
        <v>1103</v>
      </c>
      <c r="B107" s="1272"/>
      <c r="C107" s="1272"/>
      <c r="D107" s="1272"/>
      <c r="E107" s="1272"/>
      <c r="F107" s="1272"/>
      <c r="G107" s="1272"/>
      <c r="H107" s="1272"/>
      <c r="I107" s="1272"/>
      <c r="J107" s="1272"/>
      <c r="K107" s="1272"/>
      <c r="L107" s="1272"/>
      <c r="M107" s="1272"/>
      <c r="N107" s="1272"/>
      <c r="O107" s="1272"/>
    </row>
    <row r="108" spans="1:15">
      <c r="A108" s="1355"/>
      <c r="B108" s="1355"/>
      <c r="C108" s="1355"/>
      <c r="D108" s="1355"/>
      <c r="E108" s="1355"/>
      <c r="F108" s="1355"/>
      <c r="G108" s="1355"/>
      <c r="H108" s="1355"/>
      <c r="I108" s="1355"/>
      <c r="J108" s="1355"/>
      <c r="K108" s="1355"/>
      <c r="L108" s="1355"/>
      <c r="M108" s="1355"/>
      <c r="N108" s="1355"/>
      <c r="O108" s="1355"/>
    </row>
    <row r="109" spans="1:15">
      <c r="A109" s="1356"/>
    </row>
    <row r="110" spans="1:15">
      <c r="A110" s="1358" t="str">
        <f>A12</f>
        <v>DATA:  BASE PERIOD  "X" FORECASTED PERIOD</v>
      </c>
      <c r="M110" s="1359" t="str">
        <f>M12</f>
        <v>SCHEDULE B-3.2</v>
      </c>
    </row>
    <row r="111" spans="1:15">
      <c r="A111" s="1358" t="str">
        <f>A13</f>
        <v xml:space="preserve">TYPE OF FILING:  "X" ORIGINAL   UPDATED    REVISED  </v>
      </c>
      <c r="M111" s="1359" t="s">
        <v>1104</v>
      </c>
    </row>
    <row r="112" spans="1:15">
      <c r="A112" s="1358" t="str">
        <f>A14</f>
        <v>WORK PAPER REFERENCE NOS.: SCHEDULE B-2.1, SCHEDULE B-3</v>
      </c>
      <c r="M112" s="1359" t="str">
        <f>M14</f>
        <v>WITNESS RESPONSIBLE:</v>
      </c>
    </row>
    <row r="113" spans="1:15">
      <c r="M113" s="1360" t="str">
        <f>M15</f>
        <v>R. H. PRATT / C. S. LEE</v>
      </c>
    </row>
    <row r="116" spans="1:15">
      <c r="B116" s="1361"/>
      <c r="F116" s="1361"/>
      <c r="G116" s="1361"/>
      <c r="H116" s="1361"/>
      <c r="I116" s="1361"/>
      <c r="J116" s="1361"/>
      <c r="K116" s="1361"/>
      <c r="L116" s="1361"/>
      <c r="M116" s="1361"/>
      <c r="N116" s="1361"/>
      <c r="O116" s="1361"/>
    </row>
    <row r="117" spans="1:15">
      <c r="A117" s="629"/>
      <c r="B117" s="646"/>
      <c r="C117" s="647"/>
      <c r="D117" s="629"/>
      <c r="E117" s="629"/>
      <c r="F117" s="823" t="s">
        <v>1468</v>
      </c>
      <c r="G117" s="823"/>
      <c r="H117" s="823"/>
    </row>
    <row r="118" spans="1:15">
      <c r="A118" s="636"/>
      <c r="B118" s="648" t="s">
        <v>1041</v>
      </c>
      <c r="C118" s="648" t="s">
        <v>2137</v>
      </c>
      <c r="D118" s="1274" t="s">
        <v>1151</v>
      </c>
      <c r="E118" s="1274"/>
      <c r="F118" s="3587" t="s">
        <v>2044</v>
      </c>
      <c r="G118" s="3587"/>
      <c r="H118" s="3587"/>
      <c r="J118" s="1384" t="s">
        <v>1523</v>
      </c>
      <c r="L118" s="1385" t="s">
        <v>1470</v>
      </c>
      <c r="N118" s="1385" t="s">
        <v>799</v>
      </c>
    </row>
    <row r="119" spans="1:15">
      <c r="A119" s="1274" t="s">
        <v>1938</v>
      </c>
      <c r="B119" s="1274" t="s">
        <v>1150</v>
      </c>
      <c r="C119" s="1274" t="s">
        <v>1150</v>
      </c>
      <c r="D119" s="1385" t="s">
        <v>1471</v>
      </c>
      <c r="E119" s="1385"/>
      <c r="F119" s="1385" t="s">
        <v>121</v>
      </c>
      <c r="G119" s="1385"/>
      <c r="H119" s="1385" t="s">
        <v>1438</v>
      </c>
      <c r="J119" s="1385" t="s">
        <v>1472</v>
      </c>
      <c r="L119" s="1385" t="s">
        <v>1473</v>
      </c>
      <c r="M119" s="1386" t="s">
        <v>1474</v>
      </c>
      <c r="N119" s="1385" t="s">
        <v>1475</v>
      </c>
      <c r="O119" s="1385" t="s">
        <v>1476</v>
      </c>
    </row>
    <row r="120" spans="1:15">
      <c r="A120" s="1274" t="s">
        <v>1939</v>
      </c>
      <c r="B120" s="1274" t="s">
        <v>1939</v>
      </c>
      <c r="C120" s="1274" t="s">
        <v>1939</v>
      </c>
      <c r="D120" s="1274" t="s">
        <v>1477</v>
      </c>
      <c r="E120" s="1274"/>
      <c r="F120" s="1274" t="s">
        <v>279</v>
      </c>
      <c r="G120" s="1274"/>
      <c r="H120" s="1385" t="s">
        <v>1407</v>
      </c>
      <c r="J120" s="1385" t="s">
        <v>524</v>
      </c>
      <c r="L120" s="1385" t="s">
        <v>398</v>
      </c>
      <c r="M120" s="1385" t="s">
        <v>1478</v>
      </c>
      <c r="N120" s="1385" t="s">
        <v>1479</v>
      </c>
      <c r="O120" s="1385" t="s">
        <v>1480</v>
      </c>
    </row>
    <row r="121" spans="1:15">
      <c r="A121" s="1387" t="s">
        <v>837</v>
      </c>
      <c r="B121" s="1387" t="s">
        <v>1481</v>
      </c>
      <c r="C121" s="1387" t="s">
        <v>1482</v>
      </c>
      <c r="D121" s="1387" t="s">
        <v>845</v>
      </c>
      <c r="E121" s="1387"/>
      <c r="F121" s="1387" t="s">
        <v>1042</v>
      </c>
      <c r="G121" s="1387"/>
      <c r="H121" s="1388" t="s">
        <v>718</v>
      </c>
      <c r="I121" s="1361"/>
      <c r="J121" s="1388" t="s">
        <v>840</v>
      </c>
      <c r="K121" s="1388"/>
      <c r="L121" s="1388" t="s">
        <v>1483</v>
      </c>
      <c r="M121" s="1388" t="s">
        <v>1484</v>
      </c>
      <c r="N121" s="1388" t="s">
        <v>1043</v>
      </c>
      <c r="O121" s="1388" t="s">
        <v>1485</v>
      </c>
    </row>
    <row r="122" spans="1:15">
      <c r="A122" s="1389"/>
      <c r="B122" s="1389"/>
      <c r="C122" s="1389"/>
      <c r="D122" s="1389"/>
      <c r="E122" s="1389"/>
      <c r="F122" s="637" t="s">
        <v>695</v>
      </c>
      <c r="G122" s="1389"/>
      <c r="H122" s="675" t="s">
        <v>695</v>
      </c>
      <c r="I122" s="679"/>
      <c r="J122" s="1390"/>
      <c r="K122" s="1390"/>
      <c r="L122" s="675" t="s">
        <v>695</v>
      </c>
      <c r="M122" s="1390"/>
      <c r="N122" s="1390"/>
      <c r="O122" s="1390"/>
    </row>
    <row r="123" spans="1:15">
      <c r="H123" s="1375"/>
    </row>
    <row r="124" spans="1:15">
      <c r="A124" s="1274" t="s">
        <v>1152</v>
      </c>
      <c r="B124" s="1274">
        <f>'SCH B-3'!B314</f>
        <v>303</v>
      </c>
      <c r="C124" s="1274">
        <f>'SCH B-3'!C314</f>
        <v>20300</v>
      </c>
      <c r="D124" s="1358" t="str">
        <f>'SCH B-3'!D314</f>
        <v>Miscellaneous Intangible Plant</v>
      </c>
      <c r="F124" s="1375">
        <f>'SCH B-2.1'!I270</f>
        <v>8757245</v>
      </c>
      <c r="H124" s="1375">
        <f>'SCH B-3'!K314</f>
        <v>6554122</v>
      </c>
      <c r="J124" s="3245" t="s">
        <v>1932</v>
      </c>
      <c r="L124" s="3193">
        <v>1046391</v>
      </c>
      <c r="M124" s="1109"/>
      <c r="N124" s="1109"/>
      <c r="O124" s="1109"/>
    </row>
    <row r="125" spans="1:15">
      <c r="A125" s="1274">
        <f t="shared" ref="A125:A135" si="5">A124+1</f>
        <v>2</v>
      </c>
      <c r="B125" s="1274">
        <f>'SCH B-3'!B315</f>
        <v>303</v>
      </c>
      <c r="C125" s="1274" t="str">
        <f>'SCH B-3'!C315</f>
        <v>20310</v>
      </c>
      <c r="D125" s="1358" t="str">
        <f>'SCH B-3'!D315</f>
        <v>Misc Intangible Plt - 10 Yr</v>
      </c>
      <c r="E125" s="1358"/>
      <c r="F125" s="1375">
        <f>'SCH B-2.1'!I271</f>
        <v>2670960</v>
      </c>
      <c r="G125" s="1358"/>
      <c r="H125" s="1375">
        <f>'SCH B-3'!K315</f>
        <v>553734</v>
      </c>
      <c r="J125" s="3245">
        <v>0.1</v>
      </c>
      <c r="L125" s="3193">
        <v>267439</v>
      </c>
      <c r="M125" s="821" t="s">
        <v>2954</v>
      </c>
      <c r="N125" s="1109"/>
      <c r="O125" s="1392"/>
    </row>
    <row r="126" spans="1:15">
      <c r="A126" s="1274">
        <f t="shared" si="5"/>
        <v>3</v>
      </c>
      <c r="B126" s="1274" t="str">
        <f>'SCH B-3'!B316</f>
        <v>391</v>
      </c>
      <c r="C126" s="1274">
        <f>'SCH B-3'!C316</f>
        <v>29100</v>
      </c>
      <c r="D126" s="1358" t="str">
        <f>'SCH B-3'!D316</f>
        <v>Office Furniture &amp; Equipment</v>
      </c>
      <c r="E126" s="1358"/>
      <c r="F126" s="1375">
        <f>'SCH B-2.1'!I272</f>
        <v>3981</v>
      </c>
      <c r="G126" s="1358"/>
      <c r="H126" s="1375">
        <f>'SCH B-3'!K316</f>
        <v>3245</v>
      </c>
      <c r="J126" s="3245">
        <v>0.05</v>
      </c>
      <c r="K126" s="1377"/>
      <c r="L126" s="1375">
        <f t="shared" ref="L126:L133" si="6">ROUND(F126*J126,0)</f>
        <v>199</v>
      </c>
      <c r="M126" s="1109">
        <v>0</v>
      </c>
      <c r="N126" s="1109">
        <v>20</v>
      </c>
      <c r="O126" s="1392" t="s">
        <v>1487</v>
      </c>
    </row>
    <row r="127" spans="1:15">
      <c r="A127" s="1274">
        <f t="shared" si="5"/>
        <v>4</v>
      </c>
      <c r="B127" s="1274">
        <f>'SCH B-3'!B317</f>
        <v>391</v>
      </c>
      <c r="C127" s="1274">
        <f>'SCH B-3'!C317</f>
        <v>29101</v>
      </c>
      <c r="D127" s="1358" t="str">
        <f>'SCH B-3'!D317</f>
        <v>Electronic Data Processing</v>
      </c>
      <c r="E127" s="1358"/>
      <c r="F127" s="1375">
        <f>'SCH B-2.1'!I273</f>
        <v>212320</v>
      </c>
      <c r="G127" s="1377"/>
      <c r="H127" s="1375">
        <f>'SCH B-3'!K317</f>
        <v>-10605</v>
      </c>
      <c r="J127" s="3245">
        <v>0.22950000000000001</v>
      </c>
      <c r="L127" s="1375">
        <f t="shared" si="6"/>
        <v>48727</v>
      </c>
      <c r="M127" s="1109">
        <v>0</v>
      </c>
      <c r="N127" s="1109">
        <v>5</v>
      </c>
      <c r="O127" s="1392" t="s">
        <v>1487</v>
      </c>
    </row>
    <row r="128" spans="1:15">
      <c r="A128" s="1274">
        <f t="shared" si="5"/>
        <v>5</v>
      </c>
      <c r="B128" s="1274" t="str">
        <f>'SCH B-3'!B318</f>
        <v>392</v>
      </c>
      <c r="C128" s="1274">
        <f>'SCH B-3'!C318</f>
        <v>29200</v>
      </c>
      <c r="D128" s="1358" t="str">
        <f>'SCH B-3'!D318</f>
        <v>Transportation Equipment</v>
      </c>
      <c r="E128" s="1358"/>
      <c r="F128" s="1375">
        <f>'SCH B-2.1'!I274</f>
        <v>0</v>
      </c>
      <c r="G128" s="1377"/>
      <c r="H128" s="1375">
        <f>'SCH B-3'!K318</f>
        <v>0</v>
      </c>
      <c r="J128" s="3245">
        <v>0</v>
      </c>
      <c r="L128" s="1375">
        <f t="shared" si="6"/>
        <v>0</v>
      </c>
      <c r="M128" s="821" t="s">
        <v>260</v>
      </c>
      <c r="N128" s="1109"/>
      <c r="O128" s="1392"/>
    </row>
    <row r="129" spans="1:15">
      <c r="A129" s="1274">
        <f t="shared" si="5"/>
        <v>6</v>
      </c>
      <c r="B129" s="1274" t="str">
        <f>'SCH B-3'!B319</f>
        <v>392</v>
      </c>
      <c r="C129" s="1274">
        <f>'SCH B-3'!C319</f>
        <v>29201</v>
      </c>
      <c r="D129" s="1358" t="str">
        <f>'SCH B-3'!D319</f>
        <v>Trailers</v>
      </c>
      <c r="E129" s="1358"/>
      <c r="F129" s="1375">
        <f>'SCH B-2.1'!I275</f>
        <v>63448</v>
      </c>
      <c r="G129" s="1358"/>
      <c r="H129" s="1375">
        <f>'SCH B-3'!K319</f>
        <v>42743</v>
      </c>
      <c r="J129" s="3245">
        <v>0</v>
      </c>
      <c r="K129" s="1377"/>
      <c r="L129" s="1375">
        <f t="shared" si="6"/>
        <v>0</v>
      </c>
      <c r="M129" s="1109" t="s">
        <v>260</v>
      </c>
      <c r="N129" s="1109"/>
      <c r="O129" s="1392"/>
    </row>
    <row r="130" spans="1:15">
      <c r="A130" s="1274">
        <f t="shared" si="5"/>
        <v>7</v>
      </c>
      <c r="B130" s="1274" t="str">
        <f>'SCH B-3'!B320</f>
        <v>394</v>
      </c>
      <c r="C130" s="1274">
        <f>'SCH B-3'!C320</f>
        <v>29400</v>
      </c>
      <c r="D130" s="1358" t="str">
        <f>'SCH B-3'!D320</f>
        <v>Tools, Shop &amp; Garage Equipment</v>
      </c>
      <c r="E130" s="1358"/>
      <c r="F130" s="1375">
        <f>'SCH B-2.1'!I276</f>
        <v>1099242</v>
      </c>
      <c r="G130" s="1358"/>
      <c r="H130" s="1375">
        <f>'SCH B-3'!K320</f>
        <v>873129</v>
      </c>
      <c r="J130" s="3245">
        <v>4.7E-2</v>
      </c>
      <c r="K130" s="1377"/>
      <c r="L130" s="1375">
        <f t="shared" si="6"/>
        <v>51664</v>
      </c>
      <c r="M130" s="821">
        <v>0</v>
      </c>
      <c r="N130" s="1109">
        <v>25</v>
      </c>
      <c r="O130" s="1392" t="s">
        <v>1487</v>
      </c>
    </row>
    <row r="131" spans="1:15">
      <c r="A131" s="1274">
        <f t="shared" si="5"/>
        <v>8</v>
      </c>
      <c r="B131" s="1274" t="str">
        <f>'SCH B-3'!B321</f>
        <v>396</v>
      </c>
      <c r="C131" s="1274">
        <f>'SCH B-3'!C321</f>
        <v>29600</v>
      </c>
      <c r="D131" s="1358" t="str">
        <f>'SCH B-3'!D321</f>
        <v>Power Operated Equipment</v>
      </c>
      <c r="E131" s="1358"/>
      <c r="F131" s="1375">
        <f>'SCH B-2.1'!I277</f>
        <v>168272</v>
      </c>
      <c r="G131" s="1358"/>
      <c r="H131" s="1375">
        <f>'SCH B-3'!K321</f>
        <v>1275</v>
      </c>
      <c r="J131" s="3245">
        <v>0</v>
      </c>
      <c r="K131" s="1377"/>
      <c r="L131" s="1375">
        <f t="shared" si="6"/>
        <v>0</v>
      </c>
      <c r="M131" s="821" t="s">
        <v>260</v>
      </c>
      <c r="N131" s="1109"/>
      <c r="O131" s="1248"/>
    </row>
    <row r="132" spans="1:15">
      <c r="A132" s="1274">
        <f t="shared" si="5"/>
        <v>9</v>
      </c>
      <c r="B132" s="1274">
        <f>'SCH B-3'!B322</f>
        <v>397</v>
      </c>
      <c r="C132" s="1274" t="str">
        <f>'SCH B-3'!C322</f>
        <v>29700</v>
      </c>
      <c r="D132" s="1358" t="str">
        <f>'SCH B-3'!D322</f>
        <v>Communication Equipment</v>
      </c>
      <c r="E132" s="1358"/>
      <c r="F132" s="1375">
        <f>'SCH B-2.1'!I278</f>
        <v>10766707</v>
      </c>
      <c r="G132" s="1358"/>
      <c r="H132" s="1375">
        <f>'SCH B-3'!K322</f>
        <v>732453</v>
      </c>
      <c r="J132" s="3245">
        <v>6.7599999999999993E-2</v>
      </c>
      <c r="K132" s="1377"/>
      <c r="L132" s="1375">
        <f t="shared" si="6"/>
        <v>727829</v>
      </c>
      <c r="M132" s="821">
        <v>0</v>
      </c>
      <c r="N132" s="1109">
        <v>15</v>
      </c>
      <c r="O132" s="1392" t="s">
        <v>1487</v>
      </c>
    </row>
    <row r="133" spans="1:15">
      <c r="A133" s="1274">
        <f t="shared" si="5"/>
        <v>10</v>
      </c>
      <c r="B133" s="1274" t="str">
        <f>'SCH B-3'!B323</f>
        <v>398</v>
      </c>
      <c r="C133" s="1274">
        <f>'SCH B-3'!C323</f>
        <v>29800</v>
      </c>
      <c r="D133" s="1358" t="str">
        <f>'SCH B-3'!D323</f>
        <v>Miscellaneous Equipment</v>
      </c>
      <c r="E133" s="1358"/>
      <c r="F133" s="1375">
        <f>'SCH B-2.1'!I279</f>
        <v>0</v>
      </c>
      <c r="G133" s="1358"/>
      <c r="H133" s="1375">
        <f>'SCH B-3'!K323</f>
        <v>-321</v>
      </c>
      <c r="J133" s="3245">
        <v>0.13200000000000001</v>
      </c>
      <c r="L133" s="1375">
        <f t="shared" si="6"/>
        <v>0</v>
      </c>
      <c r="M133" s="821">
        <v>0</v>
      </c>
      <c r="N133" s="1109">
        <v>20</v>
      </c>
      <c r="O133" s="1248" t="s">
        <v>1487</v>
      </c>
    </row>
    <row r="134" spans="1:15">
      <c r="A134" s="1274">
        <f t="shared" si="5"/>
        <v>11</v>
      </c>
      <c r="B134" s="1274"/>
      <c r="C134" s="1274">
        <f>'SCH B-3'!C324</f>
        <v>108</v>
      </c>
      <c r="D134" s="1358" t="str">
        <f>'SCH B-3'!D324</f>
        <v>Retirement Work in Progress</v>
      </c>
      <c r="E134" s="1358"/>
      <c r="F134" s="1375"/>
      <c r="G134" s="1358"/>
      <c r="H134" s="1375">
        <f>'SCH B-3'!K324</f>
        <v>12218</v>
      </c>
      <c r="J134" s="3245"/>
      <c r="L134" s="1375"/>
      <c r="M134" s="821"/>
      <c r="N134" s="1109"/>
      <c r="O134" s="1248"/>
    </row>
    <row r="135" spans="1:15">
      <c r="A135" s="1274">
        <f t="shared" si="5"/>
        <v>12</v>
      </c>
      <c r="C135" s="1274"/>
      <c r="D135" s="1358" t="s">
        <v>2776</v>
      </c>
      <c r="E135" s="1358"/>
      <c r="F135" s="1375">
        <f>'SCH B-2.1'!I280</f>
        <v>723715</v>
      </c>
      <c r="G135" s="1358"/>
      <c r="H135" s="1375">
        <f>'SCH B-3'!K325</f>
        <v>667715</v>
      </c>
      <c r="J135" s="3245">
        <v>7.2900000000000006E-2</v>
      </c>
      <c r="L135" s="1375">
        <f t="shared" ref="L135" si="7">ROUND(F135*J135,0)</f>
        <v>52759</v>
      </c>
    </row>
    <row r="136" spans="1:15">
      <c r="A136" s="1274"/>
      <c r="C136" s="1358"/>
      <c r="L136" s="1375"/>
    </row>
    <row r="137" spans="1:15">
      <c r="F137" s="1361"/>
      <c r="G137" s="1361"/>
      <c r="H137" s="1361"/>
      <c r="I137" s="1361"/>
      <c r="J137" s="1361"/>
      <c r="K137" s="1361"/>
      <c r="L137" s="1276"/>
      <c r="M137" s="1361"/>
      <c r="N137" s="1361"/>
      <c r="O137" s="1361"/>
    </row>
    <row r="138" spans="1:15">
      <c r="A138" s="629"/>
      <c r="B138" s="629"/>
      <c r="C138" s="629"/>
      <c r="D138" s="629"/>
      <c r="E138" s="629"/>
      <c r="F138" s="636"/>
      <c r="G138" s="636"/>
      <c r="L138" s="1375"/>
    </row>
    <row r="139" spans="1:15">
      <c r="A139" s="1274">
        <f>A135+1</f>
        <v>13</v>
      </c>
      <c r="D139" s="1358" t="s">
        <v>1397</v>
      </c>
      <c r="E139" s="1358"/>
      <c r="F139" s="652">
        <f>SUM(F124:F138)</f>
        <v>24465890</v>
      </c>
      <c r="G139" s="1359"/>
      <c r="H139" s="652">
        <f>SUM(H124:H138)</f>
        <v>9429708</v>
      </c>
      <c r="L139" s="652">
        <f>SUM(L124:L138)</f>
        <v>2195008</v>
      </c>
    </row>
    <row r="140" spans="1:15">
      <c r="F140" s="1276"/>
      <c r="G140" s="1276"/>
      <c r="H140" s="1276"/>
      <c r="I140" s="1361"/>
      <c r="J140" s="1361"/>
      <c r="K140" s="1361"/>
      <c r="L140" s="1276"/>
      <c r="M140" s="1361"/>
      <c r="N140" s="1361"/>
      <c r="O140" s="1361"/>
    </row>
    <row r="141" spans="1:15">
      <c r="A141" s="629"/>
      <c r="B141" s="629"/>
      <c r="C141" s="629"/>
      <c r="D141" s="629"/>
      <c r="E141" s="629"/>
      <c r="F141" s="818"/>
      <c r="G141" s="818"/>
      <c r="H141" s="1375"/>
      <c r="L141" s="1375"/>
    </row>
    <row r="142" spans="1:15">
      <c r="A142" s="1274">
        <f>A139+1</f>
        <v>14</v>
      </c>
      <c r="D142" s="1358" t="s">
        <v>1398</v>
      </c>
      <c r="E142" s="1358"/>
      <c r="F142" s="652">
        <f>(+F139+F92+F33)</f>
        <v>575749306</v>
      </c>
      <c r="G142" s="1359"/>
      <c r="H142" s="652">
        <f>H139+H92+H33</f>
        <v>178005811</v>
      </c>
      <c r="L142" s="652">
        <f>L139+L92+L33</f>
        <v>14487765</v>
      </c>
    </row>
    <row r="143" spans="1:15">
      <c r="F143" s="1361"/>
      <c r="G143" s="1361"/>
      <c r="H143" s="1361"/>
      <c r="I143" s="1361"/>
      <c r="J143" s="1361"/>
      <c r="K143" s="1361"/>
      <c r="L143" s="1361"/>
      <c r="M143" s="1361"/>
      <c r="N143" s="1361"/>
      <c r="O143" s="1361"/>
    </row>
    <row r="144" spans="1:15">
      <c r="A144" s="629"/>
      <c r="B144" s="629"/>
      <c r="C144" s="629"/>
      <c r="D144" s="629"/>
      <c r="E144" s="629"/>
      <c r="F144" s="636"/>
      <c r="G144" s="636"/>
    </row>
    <row r="145" spans="1:15">
      <c r="A145" s="1377" t="s">
        <v>259</v>
      </c>
    </row>
    <row r="146" spans="1:15">
      <c r="A146" s="1377"/>
    </row>
    <row r="150" spans="1:15">
      <c r="A150" s="1273" t="str">
        <f t="shared" ref="A150:A155" si="8">A1</f>
        <v>DUKE ENERGY KENTUCKY, INC.</v>
      </c>
      <c r="B150" s="1273"/>
      <c r="C150" s="1273"/>
      <c r="D150" s="1273"/>
      <c r="E150" s="1273"/>
      <c r="F150" s="1273"/>
      <c r="G150" s="1273"/>
      <c r="H150" s="1273"/>
      <c r="I150" s="1273"/>
      <c r="J150" s="1273"/>
      <c r="K150" s="1273"/>
      <c r="L150" s="1273"/>
      <c r="M150" s="1273"/>
      <c r="N150" s="1273"/>
      <c r="O150" s="1273"/>
    </row>
    <row r="151" spans="1:15">
      <c r="A151" s="1272" t="str">
        <f t="shared" si="8"/>
        <v>CASE NO. 2018-00261</v>
      </c>
      <c r="B151" s="1272"/>
      <c r="C151" s="1272"/>
      <c r="D151" s="1272"/>
      <c r="E151" s="1272"/>
      <c r="F151" s="1272"/>
      <c r="G151" s="1272"/>
      <c r="H151" s="1272"/>
      <c r="I151" s="1272"/>
      <c r="J151" s="1272"/>
      <c r="K151" s="1272"/>
      <c r="L151" s="1272"/>
      <c r="M151" s="1272"/>
      <c r="N151" s="1272"/>
      <c r="O151" s="1272"/>
    </row>
    <row r="152" spans="1:15">
      <c r="A152" s="1272" t="str">
        <f t="shared" si="8"/>
        <v>DEPRECIATION AND AMORTIZATION ACCRUAL RATES AND</v>
      </c>
      <c r="B152" s="1272"/>
      <c r="C152" s="1272"/>
      <c r="D152" s="1272"/>
      <c r="E152" s="1272"/>
      <c r="F152" s="1272"/>
      <c r="G152" s="1272"/>
      <c r="H152" s="1272"/>
      <c r="I152" s="1272"/>
      <c r="J152" s="1272"/>
      <c r="K152" s="1272"/>
      <c r="L152" s="1272"/>
      <c r="M152" s="1272"/>
      <c r="N152" s="1272"/>
      <c r="O152" s="1272"/>
    </row>
    <row r="153" spans="1:15">
      <c r="A153" s="1272" t="str">
        <f t="shared" si="8"/>
        <v>JURISDICTIONAL ACCUMULATED BALANCES BY ACCOUNTS,</v>
      </c>
      <c r="B153" s="1272"/>
      <c r="C153" s="1272"/>
      <c r="D153" s="1272"/>
      <c r="E153" s="1272"/>
      <c r="F153" s="1272"/>
      <c r="G153" s="1272"/>
      <c r="H153" s="1272"/>
      <c r="I153" s="1272"/>
      <c r="J153" s="1272"/>
      <c r="K153" s="1272"/>
      <c r="L153" s="1272"/>
      <c r="M153" s="1272"/>
      <c r="N153" s="1272"/>
      <c r="O153" s="1272"/>
    </row>
    <row r="154" spans="1:15">
      <c r="A154" s="1272" t="str">
        <f t="shared" si="8"/>
        <v>FUNCTIONAL CLASS OR MAJOR PROPERTY GROUP</v>
      </c>
      <c r="B154" s="1272"/>
      <c r="C154" s="1272"/>
      <c r="D154" s="1272"/>
      <c r="E154" s="1272"/>
      <c r="F154" s="1272"/>
      <c r="G154" s="1272"/>
      <c r="H154" s="1272"/>
      <c r="I154" s="1272"/>
      <c r="J154" s="1272"/>
      <c r="K154" s="1272"/>
      <c r="L154" s="1272"/>
      <c r="M154" s="1272"/>
      <c r="N154" s="1272"/>
      <c r="O154" s="1272"/>
    </row>
    <row r="155" spans="1:15">
      <c r="A155" s="1272" t="str">
        <f t="shared" si="8"/>
        <v>THIRTEEN MONTH AVERAGE AS OF MARCH 31, 2020</v>
      </c>
      <c r="B155" s="1272"/>
      <c r="C155" s="1272"/>
      <c r="D155" s="1272"/>
      <c r="E155" s="1272"/>
      <c r="F155" s="1272"/>
      <c r="G155" s="1272"/>
      <c r="H155" s="1272"/>
      <c r="I155" s="1272"/>
      <c r="J155" s="1272"/>
      <c r="K155" s="1272"/>
      <c r="L155" s="1272"/>
      <c r="M155" s="1272"/>
      <c r="N155" s="1272"/>
      <c r="O155" s="1272"/>
    </row>
    <row r="156" spans="1:15">
      <c r="A156" s="1273"/>
      <c r="B156" s="1273"/>
      <c r="C156" s="1273"/>
      <c r="D156" s="1273"/>
      <c r="E156" s="1273"/>
      <c r="F156" s="1273"/>
      <c r="G156" s="1273"/>
    </row>
    <row r="157" spans="1:15">
      <c r="A157" s="1272" t="s">
        <v>1119</v>
      </c>
      <c r="B157" s="1272"/>
      <c r="C157" s="1272"/>
      <c r="D157" s="1272"/>
      <c r="E157" s="1272"/>
      <c r="F157" s="1272"/>
      <c r="G157" s="1272"/>
      <c r="H157" s="1272"/>
      <c r="I157" s="1272"/>
      <c r="J157" s="1272"/>
      <c r="K157" s="1272"/>
      <c r="L157" s="1272"/>
      <c r="M157" s="1272"/>
      <c r="N157" s="1272"/>
      <c r="O157" s="1272"/>
    </row>
    <row r="158" spans="1:15">
      <c r="A158" s="1355"/>
      <c r="B158" s="1355"/>
      <c r="C158" s="1355"/>
      <c r="D158" s="1355"/>
      <c r="E158" s="1355"/>
      <c r="F158" s="1355"/>
      <c r="G158" s="1355"/>
      <c r="H158" s="1355"/>
      <c r="I158" s="1355"/>
      <c r="J158" s="1355"/>
      <c r="K158" s="1355"/>
      <c r="L158" s="1355"/>
      <c r="M158" s="1355"/>
      <c r="N158" s="1355"/>
      <c r="O158" s="1355"/>
    </row>
    <row r="159" spans="1:15">
      <c r="A159" s="1356"/>
    </row>
    <row r="160" spans="1:15">
      <c r="A160" s="1358" t="str">
        <f>A12</f>
        <v>DATA:  BASE PERIOD  "X" FORECASTED PERIOD</v>
      </c>
      <c r="M160" s="1359" t="str">
        <f>M12</f>
        <v>SCHEDULE B-3.2</v>
      </c>
    </row>
    <row r="161" spans="1:15">
      <c r="A161" s="1358" t="str">
        <f>A13</f>
        <v xml:space="preserve">TYPE OF FILING:  "X" ORIGINAL   UPDATED    REVISED  </v>
      </c>
      <c r="M161" s="1359" t="s">
        <v>1120</v>
      </c>
    </row>
    <row r="162" spans="1:15">
      <c r="A162" s="1358" t="str">
        <f>A14</f>
        <v>WORK PAPER REFERENCE NOS.: SCHEDULE B-2.1, SCHEDULE B-3</v>
      </c>
      <c r="M162" s="1359" t="str">
        <f>M14</f>
        <v>WITNESS RESPONSIBLE:</v>
      </c>
    </row>
    <row r="163" spans="1:15">
      <c r="M163" s="1360" t="str">
        <f>M15</f>
        <v>R. H. PRATT / C. S. LEE</v>
      </c>
    </row>
    <row r="166" spans="1:15">
      <c r="F166" s="1361"/>
      <c r="G166" s="1361"/>
      <c r="H166" s="1361"/>
      <c r="I166" s="1361"/>
      <c r="J166" s="1361"/>
      <c r="K166" s="1361"/>
      <c r="L166" s="1361"/>
      <c r="M166" s="1361"/>
      <c r="N166" s="1361"/>
      <c r="O166" s="1361"/>
    </row>
    <row r="167" spans="1:15">
      <c r="A167" s="629"/>
      <c r="B167" s="646"/>
      <c r="C167" s="647"/>
      <c r="D167" s="629"/>
      <c r="E167" s="629"/>
      <c r="F167" s="823" t="s">
        <v>1468</v>
      </c>
      <c r="G167" s="823"/>
      <c r="H167" s="823"/>
    </row>
    <row r="168" spans="1:15">
      <c r="A168" s="636"/>
      <c r="B168" s="648" t="s">
        <v>1041</v>
      </c>
      <c r="C168" s="648" t="s">
        <v>2137</v>
      </c>
      <c r="D168" s="1274" t="s">
        <v>1151</v>
      </c>
      <c r="E168" s="1274"/>
      <c r="F168" s="3587" t="s">
        <v>2044</v>
      </c>
      <c r="G168" s="3587"/>
      <c r="H168" s="3587"/>
      <c r="J168" s="1384" t="s">
        <v>1523</v>
      </c>
      <c r="L168" s="1385" t="s">
        <v>1470</v>
      </c>
      <c r="N168" s="1385" t="s">
        <v>799</v>
      </c>
    </row>
    <row r="169" spans="1:15">
      <c r="A169" s="1274" t="s">
        <v>1938</v>
      </c>
      <c r="B169" s="1274" t="s">
        <v>1150</v>
      </c>
      <c r="C169" s="1274" t="s">
        <v>1150</v>
      </c>
      <c r="D169" s="1385" t="s">
        <v>1471</v>
      </c>
      <c r="E169" s="1385"/>
      <c r="F169" s="1385" t="s">
        <v>121</v>
      </c>
      <c r="G169" s="1385"/>
      <c r="H169" s="1385" t="s">
        <v>1438</v>
      </c>
      <c r="J169" s="1385" t="s">
        <v>1472</v>
      </c>
      <c r="L169" s="1385" t="s">
        <v>1473</v>
      </c>
      <c r="M169" s="1386" t="s">
        <v>1474</v>
      </c>
      <c r="N169" s="1385" t="s">
        <v>1475</v>
      </c>
      <c r="O169" s="1385" t="s">
        <v>1476</v>
      </c>
    </row>
    <row r="170" spans="1:15">
      <c r="A170" s="1274" t="s">
        <v>1939</v>
      </c>
      <c r="B170" s="1274" t="s">
        <v>1939</v>
      </c>
      <c r="C170" s="1274" t="s">
        <v>1939</v>
      </c>
      <c r="D170" s="1274" t="s">
        <v>1477</v>
      </c>
      <c r="E170" s="1274"/>
      <c r="F170" s="1274" t="s">
        <v>279</v>
      </c>
      <c r="G170" s="1274"/>
      <c r="H170" s="1385" t="s">
        <v>1407</v>
      </c>
      <c r="J170" s="1385" t="s">
        <v>524</v>
      </c>
      <c r="L170" s="1385" t="s">
        <v>398</v>
      </c>
      <c r="M170" s="1385" t="s">
        <v>1478</v>
      </c>
      <c r="N170" s="1385" t="s">
        <v>1479</v>
      </c>
      <c r="O170" s="1385" t="s">
        <v>1480</v>
      </c>
    </row>
    <row r="171" spans="1:15">
      <c r="A171" s="1387" t="s">
        <v>837</v>
      </c>
      <c r="B171" s="1387" t="s">
        <v>1481</v>
      </c>
      <c r="C171" s="1387" t="s">
        <v>1482</v>
      </c>
      <c r="D171" s="1387" t="s">
        <v>845</v>
      </c>
      <c r="E171" s="1387"/>
      <c r="F171" s="1387" t="s">
        <v>1042</v>
      </c>
      <c r="G171" s="1387"/>
      <c r="H171" s="1388" t="s">
        <v>718</v>
      </c>
      <c r="I171" s="1361"/>
      <c r="J171" s="1388" t="s">
        <v>840</v>
      </c>
      <c r="K171" s="1388"/>
      <c r="L171" s="1388" t="s">
        <v>1483</v>
      </c>
      <c r="M171" s="1388" t="s">
        <v>1484</v>
      </c>
      <c r="N171" s="1388" t="s">
        <v>1043</v>
      </c>
      <c r="O171" s="1388" t="s">
        <v>1485</v>
      </c>
    </row>
    <row r="172" spans="1:15">
      <c r="A172" s="1389"/>
      <c r="B172" s="1389"/>
      <c r="C172" s="1389"/>
      <c r="D172" s="1389"/>
      <c r="E172" s="1389"/>
      <c r="F172" s="637" t="s">
        <v>695</v>
      </c>
      <c r="G172" s="1389"/>
      <c r="H172" s="675" t="s">
        <v>695</v>
      </c>
      <c r="I172" s="679"/>
      <c r="J172" s="1390"/>
      <c r="K172" s="1390"/>
      <c r="L172" s="675" t="s">
        <v>695</v>
      </c>
      <c r="M172" s="1390"/>
      <c r="N172" s="1390"/>
      <c r="O172" s="1390"/>
    </row>
    <row r="174" spans="1:15">
      <c r="A174" s="1274" t="s">
        <v>1152</v>
      </c>
      <c r="C174" s="1274">
        <f>'SCH B-3'!C165</f>
        <v>10300</v>
      </c>
      <c r="D174" s="1358" t="str">
        <f>'SCH B-3'!D165</f>
        <v xml:space="preserve">Miscellaneous Intangible Plant </v>
      </c>
      <c r="E174" s="1358"/>
      <c r="F174" s="652">
        <f>'SCH B-2.1'!I312</f>
        <v>22332072</v>
      </c>
      <c r="G174" s="1358"/>
      <c r="H174" s="1375">
        <f>'SCH B-3'!K362</f>
        <v>22332072</v>
      </c>
      <c r="J174" s="2956">
        <v>0</v>
      </c>
      <c r="K174" s="3130" t="s">
        <v>679</v>
      </c>
      <c r="L174" s="3194">
        <v>0</v>
      </c>
      <c r="M174" s="2960" t="s">
        <v>281</v>
      </c>
      <c r="N174" s="1248"/>
      <c r="O174" s="1248"/>
    </row>
    <row r="175" spans="1:15">
      <c r="A175" s="1274">
        <f>1+A174</f>
        <v>2</v>
      </c>
      <c r="C175" s="1274">
        <f>'SCH B-3'!C166</f>
        <v>18900</v>
      </c>
      <c r="D175" s="1358" t="str">
        <f>'SCH B-3'!D166</f>
        <v>Land and Land Rights</v>
      </c>
      <c r="E175" s="1358"/>
      <c r="F175" s="652">
        <f>'SCH B-2.1'!I313</f>
        <v>154248</v>
      </c>
      <c r="G175" s="1358"/>
      <c r="H175" s="1375">
        <f>'SCH B-3'!K363</f>
        <v>0</v>
      </c>
      <c r="J175" s="2956">
        <v>0</v>
      </c>
      <c r="L175" s="2957">
        <f>ROUND(F175*J175,0)</f>
        <v>0</v>
      </c>
      <c r="M175" s="2960" t="s">
        <v>1486</v>
      </c>
      <c r="N175" s="1248"/>
      <c r="O175" s="1248"/>
    </row>
    <row r="176" spans="1:15">
      <c r="A176" s="1274">
        <f t="shared" ref="A176:A183" si="9">1+A175</f>
        <v>3</v>
      </c>
      <c r="C176" s="1274">
        <f>'SCH B-3'!C167</f>
        <v>19000</v>
      </c>
      <c r="D176" s="1358" t="str">
        <f>'SCH B-3'!D167</f>
        <v>Structures &amp; Improvements</v>
      </c>
      <c r="E176" s="1358"/>
      <c r="F176" s="652">
        <f>'SCH B-2.1'!I314</f>
        <v>14645832</v>
      </c>
      <c r="G176" s="1358"/>
      <c r="H176" s="1375">
        <f>'SCH B-3'!K364</f>
        <v>7720162</v>
      </c>
      <c r="J176" s="2956">
        <v>1.26E-2</v>
      </c>
      <c r="L176" s="2957">
        <f t="shared" ref="L176:L186" si="10">ROUND(F176*J176,0)</f>
        <v>184537</v>
      </c>
      <c r="M176" s="2959">
        <v>0</v>
      </c>
      <c r="N176" s="1248">
        <v>90</v>
      </c>
      <c r="O176" s="1248" t="s">
        <v>256</v>
      </c>
    </row>
    <row r="177" spans="1:15">
      <c r="A177" s="1274">
        <f t="shared" si="9"/>
        <v>4</v>
      </c>
      <c r="C177" s="1274">
        <f>'SCH B-3'!C168</f>
        <v>19100</v>
      </c>
      <c r="D177" s="1358" t="str">
        <f>'SCH B-3'!D168</f>
        <v>Office Furniture &amp; Equipment</v>
      </c>
      <c r="E177" s="1358"/>
      <c r="F177" s="652">
        <f>'SCH B-2.1'!I315</f>
        <v>502844</v>
      </c>
      <c r="G177" s="1358"/>
      <c r="H177" s="1375">
        <f>'SCH B-3'!K365</f>
        <v>223342</v>
      </c>
      <c r="J177" s="2956">
        <v>0.05</v>
      </c>
      <c r="L177" s="2957">
        <f t="shared" si="10"/>
        <v>25142</v>
      </c>
      <c r="M177" s="2959">
        <v>0</v>
      </c>
      <c r="N177" s="1248">
        <v>20</v>
      </c>
      <c r="O177" s="1248" t="s">
        <v>1487</v>
      </c>
    </row>
    <row r="178" spans="1:15">
      <c r="A178" s="1274">
        <f t="shared" si="9"/>
        <v>5</v>
      </c>
      <c r="C178" s="3024" t="str">
        <f>'SCH B-3'!C169</f>
        <v>19100-URR</v>
      </c>
      <c r="D178" s="3192" t="str">
        <f>'SCH B-3'!D169</f>
        <v>Office Furniture &amp; Equipment</v>
      </c>
      <c r="E178" s="1358"/>
      <c r="F178" s="652">
        <f>'SCH B-3'!E366</f>
        <v>0</v>
      </c>
      <c r="G178" s="1358"/>
      <c r="H178" s="1375">
        <f>'SCH B-3'!K366</f>
        <v>394</v>
      </c>
      <c r="J178" s="2956" t="s">
        <v>2707</v>
      </c>
      <c r="K178" s="661" t="s">
        <v>2708</v>
      </c>
      <c r="L178" s="2957">
        <v>-110</v>
      </c>
      <c r="M178" s="2958" t="s">
        <v>2707</v>
      </c>
      <c r="N178" s="2958" t="s">
        <v>2707</v>
      </c>
      <c r="O178" s="2958" t="s">
        <v>2707</v>
      </c>
    </row>
    <row r="179" spans="1:15">
      <c r="A179" s="1274">
        <f t="shared" si="9"/>
        <v>6</v>
      </c>
      <c r="C179" s="3024">
        <f>'SCH B-3'!C170</f>
        <v>19101</v>
      </c>
      <c r="D179" s="3192" t="str">
        <f>'SCH B-3'!D170</f>
        <v>Electronic Data Processing</v>
      </c>
      <c r="E179" s="1358"/>
      <c r="F179" s="652">
        <f>'SCH B-2.1'!I316</f>
        <v>807217</v>
      </c>
      <c r="G179" s="1358"/>
      <c r="H179" s="1375">
        <f>'SCH B-3'!K367</f>
        <v>851335</v>
      </c>
      <c r="J179" s="2956">
        <v>0.2</v>
      </c>
      <c r="L179" s="2957">
        <f t="shared" si="10"/>
        <v>161443</v>
      </c>
      <c r="M179" s="2959">
        <v>0</v>
      </c>
      <c r="N179" s="1248">
        <v>5</v>
      </c>
      <c r="O179" s="1248" t="s">
        <v>1487</v>
      </c>
    </row>
    <row r="180" spans="1:15">
      <c r="A180" s="1274">
        <f t="shared" si="9"/>
        <v>7</v>
      </c>
      <c r="C180" s="3024" t="str">
        <f>'SCH B-3'!C171</f>
        <v>19101-URR</v>
      </c>
      <c r="D180" s="3192" t="str">
        <f>'SCH B-3'!D171</f>
        <v>Electronic Data Processing</v>
      </c>
      <c r="E180" s="1358"/>
      <c r="F180" s="652">
        <f>'SCH B-3'!E368</f>
        <v>0</v>
      </c>
      <c r="G180" s="1358"/>
      <c r="H180" s="1375">
        <f>'SCH B-3'!K368</f>
        <v>-41280</v>
      </c>
      <c r="J180" s="2956" t="s">
        <v>2707</v>
      </c>
      <c r="K180" s="661" t="s">
        <v>2708</v>
      </c>
      <c r="L180" s="2957">
        <v>11520</v>
      </c>
      <c r="M180" s="2958" t="s">
        <v>2707</v>
      </c>
      <c r="N180" s="2958" t="s">
        <v>2707</v>
      </c>
      <c r="O180" s="2958" t="s">
        <v>2707</v>
      </c>
    </row>
    <row r="181" spans="1:15">
      <c r="A181" s="1274">
        <f t="shared" si="9"/>
        <v>8</v>
      </c>
      <c r="C181" s="1274">
        <f>'SCH B-3'!C172</f>
        <v>19300</v>
      </c>
      <c r="D181" s="1358" t="str">
        <f>'SCH B-3'!D172</f>
        <v>Stores Equipment</v>
      </c>
      <c r="E181" s="1358"/>
      <c r="F181" s="652">
        <f>'SCH B-2.1'!I317</f>
        <v>0</v>
      </c>
      <c r="G181" s="1358"/>
      <c r="H181" s="1375">
        <f>'SCH B-3'!K369</f>
        <v>0</v>
      </c>
      <c r="J181" s="2956"/>
      <c r="L181" s="2957"/>
      <c r="M181" s="2959"/>
      <c r="N181" s="1248"/>
      <c r="O181" s="1248"/>
    </row>
    <row r="182" spans="1:15">
      <c r="A182" s="1274">
        <f t="shared" si="9"/>
        <v>9</v>
      </c>
      <c r="C182" s="1274">
        <f>'SCH B-3'!C173</f>
        <v>19400</v>
      </c>
      <c r="D182" s="1358" t="str">
        <f>'SCH B-3'!D173</f>
        <v>Tools, Shop &amp; Garage Equipment</v>
      </c>
      <c r="E182" s="1358"/>
      <c r="F182" s="652">
        <f>'SCH B-2.1'!I318</f>
        <v>121888</v>
      </c>
      <c r="G182" s="1377"/>
      <c r="H182" s="1375">
        <f>'SCH B-3'!K370</f>
        <v>52170</v>
      </c>
      <c r="J182" s="2956">
        <v>0.04</v>
      </c>
      <c r="L182" s="2957">
        <f t="shared" si="10"/>
        <v>4876</v>
      </c>
      <c r="M182" s="2959">
        <v>0</v>
      </c>
      <c r="N182" s="1248">
        <v>25</v>
      </c>
      <c r="O182" s="1248" t="s">
        <v>1487</v>
      </c>
    </row>
    <row r="183" spans="1:15">
      <c r="A183" s="1274">
        <f t="shared" si="9"/>
        <v>10</v>
      </c>
      <c r="C183" s="1274" t="str">
        <f>'SCH B-3'!C174</f>
        <v>19400-URR</v>
      </c>
      <c r="D183" s="1358" t="str">
        <f>'SCH B-3'!D174</f>
        <v>Tools, Shop &amp; Garage Equipment</v>
      </c>
      <c r="E183" s="1358"/>
      <c r="F183" s="652">
        <f>'SCH B-3'!E371</f>
        <v>0</v>
      </c>
      <c r="G183" s="1358"/>
      <c r="H183" s="1375">
        <f>'SCH B-3'!K371</f>
        <v>12900</v>
      </c>
      <c r="J183" s="2956" t="s">
        <v>2707</v>
      </c>
      <c r="K183" s="661" t="s">
        <v>2708</v>
      </c>
      <c r="L183" s="2957">
        <v>-3600</v>
      </c>
      <c r="M183" s="2958" t="s">
        <v>2707</v>
      </c>
      <c r="N183" s="2958" t="s">
        <v>2707</v>
      </c>
      <c r="O183" s="2958" t="s">
        <v>2707</v>
      </c>
    </row>
    <row r="184" spans="1:15">
      <c r="A184" s="1274">
        <f t="shared" ref="A184:A190" si="11">1+A183</f>
        <v>11</v>
      </c>
      <c r="C184" s="1274">
        <f>'SCH B-3'!C175</f>
        <v>19700</v>
      </c>
      <c r="D184" s="1358" t="str">
        <f>'SCH B-3'!D175</f>
        <v>Communication Equipment</v>
      </c>
      <c r="E184" s="1358"/>
      <c r="F184" s="652">
        <f>'SCH B-2.1'!I319</f>
        <v>8114194</v>
      </c>
      <c r="G184" s="1358"/>
      <c r="H184" s="1375">
        <f>'SCH B-3'!K372</f>
        <v>4803012</v>
      </c>
      <c r="J184" s="2956">
        <v>6.6699999999999995E-2</v>
      </c>
      <c r="L184" s="2957">
        <f t="shared" si="10"/>
        <v>541217</v>
      </c>
      <c r="M184" s="2959">
        <v>0</v>
      </c>
      <c r="N184" s="1248">
        <v>15</v>
      </c>
      <c r="O184" s="1248" t="s">
        <v>1487</v>
      </c>
    </row>
    <row r="185" spans="1:15">
      <c r="A185" s="1274">
        <f t="shared" si="11"/>
        <v>12</v>
      </c>
      <c r="C185" s="1274" t="str">
        <f>'SCH B-3'!C176</f>
        <v>19700-URR</v>
      </c>
      <c r="D185" s="1358" t="str">
        <f>'SCH B-3'!D176</f>
        <v>Communication Equipment</v>
      </c>
      <c r="E185" s="1358"/>
      <c r="F185" s="652">
        <f>'SCH B-3'!E373</f>
        <v>0</v>
      </c>
      <c r="G185" s="1358"/>
      <c r="H185" s="1375">
        <f>'SCH B-3'!K373</f>
        <v>2698966</v>
      </c>
      <c r="J185" s="2956" t="s">
        <v>2707</v>
      </c>
      <c r="K185" s="661" t="s">
        <v>2708</v>
      </c>
      <c r="L185" s="2957">
        <v>-753200</v>
      </c>
      <c r="M185" s="2958" t="s">
        <v>2707</v>
      </c>
      <c r="N185" s="2958" t="s">
        <v>2707</v>
      </c>
      <c r="O185" s="2958" t="s">
        <v>2707</v>
      </c>
    </row>
    <row r="186" spans="1:15">
      <c r="A186" s="1274">
        <f t="shared" si="11"/>
        <v>13</v>
      </c>
      <c r="C186" s="1274">
        <f>'SCH B-3'!C177</f>
        <v>19800</v>
      </c>
      <c r="D186" s="1358" t="str">
        <f>'SCH B-3'!D177</f>
        <v>Miscellaneous Equipment</v>
      </c>
      <c r="E186" s="1358"/>
      <c r="F186" s="652">
        <f>'SCH B-2.1'!I320</f>
        <v>41504</v>
      </c>
      <c r="G186" s="1358"/>
      <c r="H186" s="1375">
        <f>'SCH B-3'!K374</f>
        <v>23317</v>
      </c>
      <c r="J186" s="2956">
        <v>6.6699999999999995E-2</v>
      </c>
      <c r="K186" s="1377"/>
      <c r="L186" s="2957">
        <f t="shared" si="10"/>
        <v>2768</v>
      </c>
      <c r="M186" s="2959">
        <v>0</v>
      </c>
      <c r="N186" s="1248">
        <v>15</v>
      </c>
      <c r="O186" s="1248" t="s">
        <v>1487</v>
      </c>
    </row>
    <row r="187" spans="1:15">
      <c r="A187" s="1274">
        <f t="shared" si="11"/>
        <v>14</v>
      </c>
      <c r="C187" s="1274" t="str">
        <f>'SCH B-3'!C178</f>
        <v>19800-URR</v>
      </c>
      <c r="D187" s="1358" t="str">
        <f>'SCH B-3'!D178</f>
        <v>Miscellaneous Equipment</v>
      </c>
      <c r="E187" s="1358"/>
      <c r="F187" s="652">
        <f>'SCH B-3'!E375</f>
        <v>0</v>
      </c>
      <c r="G187" s="1358"/>
      <c r="H187" s="1375">
        <f>'SCH B-3'!K375</f>
        <v>-3081</v>
      </c>
      <c r="J187" s="2956" t="s">
        <v>2707</v>
      </c>
      <c r="K187" s="661" t="s">
        <v>2708</v>
      </c>
      <c r="L187" s="2957">
        <v>860</v>
      </c>
      <c r="M187" s="2958" t="s">
        <v>2707</v>
      </c>
      <c r="N187" s="2958" t="s">
        <v>2707</v>
      </c>
      <c r="O187" s="2958" t="s">
        <v>2707</v>
      </c>
    </row>
    <row r="188" spans="1:15">
      <c r="A188" s="1274">
        <f t="shared" si="11"/>
        <v>15</v>
      </c>
      <c r="C188" s="1274"/>
      <c r="D188" s="1358" t="str">
        <f>'SCH B-3'!D179</f>
        <v>Asset Retirement Cost Obligation</v>
      </c>
      <c r="E188" s="1358"/>
      <c r="F188" s="652">
        <f>'SCH B-2.1'!I321</f>
        <v>314111</v>
      </c>
      <c r="G188" s="1358"/>
      <c r="H188" s="1375">
        <f>'SCH B-3'!K376</f>
        <v>120812</v>
      </c>
      <c r="J188" s="2956"/>
      <c r="L188" s="3193">
        <v>289949</v>
      </c>
      <c r="M188" s="821"/>
      <c r="N188" s="1391"/>
      <c r="O188" s="1392"/>
    </row>
    <row r="189" spans="1:15">
      <c r="A189" s="1274">
        <f t="shared" si="11"/>
        <v>16</v>
      </c>
      <c r="C189" s="1274">
        <f>'SCH B-3'!C180</f>
        <v>108</v>
      </c>
      <c r="D189" s="1358" t="str">
        <f>'SCH B-3'!D180</f>
        <v>Retirement Work in Progress</v>
      </c>
      <c r="E189" s="1358"/>
      <c r="F189" s="652"/>
      <c r="G189" s="1358"/>
      <c r="H189" s="1375">
        <f>'SCH B-3'!K377</f>
        <v>-5510</v>
      </c>
      <c r="J189" s="2956"/>
      <c r="L189" s="1375"/>
      <c r="M189" s="821"/>
      <c r="N189" s="1391"/>
      <c r="O189" s="1392"/>
    </row>
    <row r="190" spans="1:15">
      <c r="A190" s="1274">
        <f t="shared" si="11"/>
        <v>17</v>
      </c>
      <c r="C190" s="1274"/>
      <c r="D190" s="1358" t="str">
        <f>'SCH B-3'!D181</f>
        <v>Completed Construction not Classified</v>
      </c>
      <c r="E190" s="1358"/>
      <c r="F190" s="652">
        <f>'SCH B-2.1'!I328</f>
        <v>0</v>
      </c>
      <c r="G190" s="1358"/>
      <c r="H190" s="1375">
        <f>'SCH B-3'!K378</f>
        <v>0</v>
      </c>
      <c r="J190" s="821"/>
      <c r="L190" s="1375"/>
      <c r="M190" s="1109"/>
      <c r="N190" s="1391"/>
      <c r="O190" s="1109"/>
    </row>
    <row r="191" spans="1:15">
      <c r="G191" s="1361"/>
      <c r="H191" s="1361"/>
      <c r="I191" s="1361"/>
      <c r="J191" s="1393"/>
      <c r="K191" s="1361"/>
      <c r="L191" s="1276"/>
      <c r="M191" s="1361"/>
      <c r="N191" s="1361"/>
      <c r="O191" s="1361"/>
    </row>
    <row r="192" spans="1:15">
      <c r="A192" s="629"/>
      <c r="B192" s="629"/>
      <c r="C192" s="629"/>
      <c r="D192" s="629"/>
      <c r="E192" s="629"/>
      <c r="F192" s="629"/>
      <c r="G192" s="636"/>
      <c r="L192" s="1375"/>
    </row>
    <row r="193" spans="1:15">
      <c r="A193" s="1274">
        <f>A190+1</f>
        <v>18</v>
      </c>
      <c r="D193" s="1358" t="s">
        <v>261</v>
      </c>
      <c r="E193" s="1358"/>
      <c r="F193" s="652">
        <f>SUM(F174:F192)</f>
        <v>47033910</v>
      </c>
      <c r="G193" s="1358"/>
      <c r="H193" s="652">
        <f>SUM(H174:H192)</f>
        <v>38788611</v>
      </c>
      <c r="J193" s="652"/>
      <c r="L193" s="652">
        <f>SUM(L174:L192)</f>
        <v>465402</v>
      </c>
    </row>
    <row r="194" spans="1:15">
      <c r="F194" s="1361"/>
      <c r="G194" s="1361"/>
      <c r="H194" s="1361"/>
      <c r="I194" s="1361"/>
      <c r="J194" s="1361"/>
      <c r="K194" s="1361"/>
      <c r="L194" s="1276"/>
      <c r="M194" s="1361"/>
      <c r="N194" s="1361"/>
      <c r="O194" s="1361"/>
    </row>
    <row r="195" spans="1:15">
      <c r="A195" s="629"/>
      <c r="B195" s="629"/>
      <c r="C195" s="629"/>
      <c r="D195" s="629"/>
      <c r="E195" s="629"/>
      <c r="F195" s="636"/>
      <c r="G195" s="636"/>
      <c r="L195" s="1375"/>
    </row>
    <row r="196" spans="1:15">
      <c r="A196" s="636"/>
      <c r="B196" s="636"/>
      <c r="C196" s="636"/>
      <c r="D196" s="1358" t="s">
        <v>1322</v>
      </c>
      <c r="E196" s="636"/>
      <c r="F196" s="636"/>
      <c r="G196" s="636"/>
      <c r="L196" s="1375"/>
    </row>
    <row r="197" spans="1:15">
      <c r="A197" s="1274">
        <f>A193+1</f>
        <v>19</v>
      </c>
      <c r="C197" s="1246">
        <f>CommonG</f>
        <v>0.27379999999999999</v>
      </c>
      <c r="D197" s="661" t="s">
        <v>365</v>
      </c>
      <c r="E197" s="1358"/>
      <c r="F197" s="652">
        <f>ROUND(F193*$C$197,0)</f>
        <v>12877885</v>
      </c>
      <c r="G197" s="1358"/>
      <c r="H197" s="1394"/>
      <c r="J197" s="1394"/>
      <c r="K197" s="1394"/>
      <c r="L197" s="652"/>
      <c r="M197" s="1394"/>
      <c r="N197" s="1394"/>
      <c r="O197" s="1394"/>
    </row>
    <row r="198" spans="1:15">
      <c r="A198" s="1274">
        <f>A197+1</f>
        <v>20</v>
      </c>
      <c r="C198" s="1246">
        <f>CommonG</f>
        <v>0.27379999999999999</v>
      </c>
      <c r="D198" s="1358" t="s">
        <v>262</v>
      </c>
      <c r="E198" s="1358"/>
      <c r="F198" s="1394"/>
      <c r="G198" s="1358"/>
      <c r="H198" s="652">
        <f>(+H193*C198)</f>
        <v>10620321.6918</v>
      </c>
      <c r="J198" s="1394"/>
      <c r="K198" s="1394"/>
      <c r="L198" s="652"/>
      <c r="M198" s="1394"/>
      <c r="N198" s="1394"/>
      <c r="O198" s="1394"/>
    </row>
    <row r="199" spans="1:15">
      <c r="A199" s="1274">
        <f>A198+1</f>
        <v>21</v>
      </c>
      <c r="C199" s="1246">
        <f>CommonG</f>
        <v>0.27379999999999999</v>
      </c>
      <c r="D199" s="1358" t="s">
        <v>263</v>
      </c>
      <c r="E199" s="1358"/>
      <c r="F199" s="1394"/>
      <c r="G199" s="1358"/>
      <c r="H199" s="1394"/>
      <c r="J199" s="1394"/>
      <c r="K199" s="1394"/>
      <c r="L199" s="652">
        <f>L193*C199</f>
        <v>127427.06759999999</v>
      </c>
      <c r="M199" s="1394"/>
      <c r="N199" s="1394"/>
      <c r="O199" s="1394"/>
    </row>
    <row r="200" spans="1:15">
      <c r="G200" s="1361"/>
      <c r="H200" s="1361"/>
      <c r="I200" s="1361"/>
      <c r="J200" s="1361"/>
      <c r="K200" s="1361"/>
      <c r="L200" s="1276"/>
      <c r="M200" s="1361"/>
      <c r="N200" s="1361"/>
      <c r="O200" s="1361"/>
    </row>
    <row r="201" spans="1:15">
      <c r="A201" s="629"/>
      <c r="B201" s="629"/>
      <c r="C201" s="629"/>
      <c r="D201" s="629"/>
      <c r="E201" s="629"/>
      <c r="F201" s="629"/>
      <c r="G201" s="636"/>
      <c r="L201" s="1375"/>
    </row>
    <row r="202" spans="1:15">
      <c r="A202" s="1274">
        <f>A199+1</f>
        <v>22</v>
      </c>
      <c r="D202" s="1358" t="s">
        <v>1323</v>
      </c>
      <c r="E202" s="1358"/>
      <c r="F202" s="652">
        <f>F197+F142</f>
        <v>588627191</v>
      </c>
      <c r="G202" s="1358"/>
      <c r="H202" s="652">
        <f>(+H198+H142)</f>
        <v>188626132.6918</v>
      </c>
      <c r="J202" s="652"/>
      <c r="K202" s="652"/>
      <c r="L202" s="652">
        <f>L199+L142</f>
        <v>14615192.067600001</v>
      </c>
      <c r="M202" s="652"/>
      <c r="N202" s="652"/>
      <c r="O202" s="652"/>
    </row>
    <row r="203" spans="1:15">
      <c r="F203" s="1361"/>
      <c r="G203" s="1361"/>
      <c r="H203" s="1361"/>
      <c r="I203" s="1361"/>
      <c r="J203" s="1361"/>
      <c r="K203" s="1361"/>
      <c r="L203" s="1361"/>
      <c r="M203" s="1361"/>
      <c r="N203" s="1361"/>
      <c r="O203" s="1361"/>
    </row>
    <row r="204" spans="1:15">
      <c r="A204" s="629"/>
      <c r="B204" s="629"/>
      <c r="C204" s="629"/>
      <c r="D204" s="629"/>
      <c r="E204" s="629"/>
      <c r="F204" s="636"/>
      <c r="G204" s="636"/>
    </row>
    <row r="205" spans="1:15">
      <c r="A205" s="1377" t="s">
        <v>251</v>
      </c>
    </row>
    <row r="206" spans="1:15">
      <c r="A206" s="3130" t="s">
        <v>2889</v>
      </c>
    </row>
    <row r="207" spans="1:15">
      <c r="A207" s="3130" t="s">
        <v>2973</v>
      </c>
    </row>
    <row r="208" spans="1:15">
      <c r="A208" s="1358"/>
    </row>
  </sheetData>
  <mergeCells count="4">
    <mergeCell ref="F19:H19"/>
    <mergeCell ref="F60:H60"/>
    <mergeCell ref="F118:H118"/>
    <mergeCell ref="F168:H168"/>
  </mergeCells>
  <phoneticPr fontId="5" type="noConversion"/>
  <pageMargins left="1" right="0.75" top="1" bottom="1" header="0.5" footer="0.5"/>
  <pageSetup scale="54" orientation="landscape" horizontalDpi="300" r:id="rId1"/>
  <headerFooter alignWithMargins="0"/>
  <rowBreaks count="3" manualBreakCount="3">
    <brk id="41" max="16383" man="1"/>
    <brk id="99" max="15" man="1"/>
    <brk id="149" max="15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>
    <tabColor theme="8" tint="0.59999389629810485"/>
    <pageSetUpPr fitToPage="1"/>
  </sheetPr>
  <dimension ref="A1:O205"/>
  <sheetViews>
    <sheetView topLeftCell="A175" zoomScale="75" zoomScaleNormal="75" workbookViewId="0">
      <selection activeCell="L202" sqref="L202"/>
    </sheetView>
  </sheetViews>
  <sheetFormatPr defaultColWidth="11.44140625" defaultRowHeight="15"/>
  <cols>
    <col min="1" max="2" width="11.44140625" style="621" customWidth="1"/>
    <col min="3" max="3" width="21.6640625" style="621" customWidth="1"/>
    <col min="4" max="4" width="53.5546875" style="621" customWidth="1"/>
    <col min="5" max="5" width="2.109375" style="621" customWidth="1"/>
    <col min="6" max="6" width="15.44140625" style="621" customWidth="1"/>
    <col min="7" max="7" width="3.44140625" style="621" customWidth="1"/>
    <col min="8" max="8" width="16.44140625" style="621" customWidth="1"/>
    <col min="9" max="9" width="2.44140625" style="621" customWidth="1"/>
    <col min="10" max="10" width="11.44140625" style="621" customWidth="1"/>
    <col min="11" max="11" width="4" style="621" customWidth="1"/>
    <col min="12" max="12" width="17.33203125" style="621" customWidth="1"/>
    <col min="13" max="13" width="12.33203125" style="621" customWidth="1"/>
    <col min="14" max="14" width="11.44140625" style="621" customWidth="1"/>
    <col min="15" max="15" width="12.88671875" style="621" customWidth="1"/>
    <col min="16" max="16384" width="11.44140625" style="621"/>
  </cols>
  <sheetData>
    <row r="1" spans="1:15">
      <c r="A1" s="618" t="str">
        <f>COMPANY</f>
        <v>DUKE ENERGY KENTUCKY, INC.</v>
      </c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8"/>
    </row>
    <row r="2" spans="1:15">
      <c r="A2" s="618" t="str">
        <f>CASE</f>
        <v>CASE NO. 2018-00261</v>
      </c>
      <c r="B2" s="618"/>
      <c r="C2" s="618"/>
      <c r="D2" s="618"/>
      <c r="E2" s="618"/>
      <c r="F2" s="618"/>
      <c r="G2" s="618"/>
      <c r="H2" s="618"/>
      <c r="I2" s="618"/>
      <c r="J2" s="618"/>
      <c r="K2" s="618"/>
      <c r="L2" s="618"/>
      <c r="M2" s="618"/>
      <c r="N2" s="618"/>
      <c r="O2" s="618"/>
    </row>
    <row r="3" spans="1:15">
      <c r="A3" s="618" t="s">
        <v>167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</row>
    <row r="4" spans="1:15">
      <c r="A4" s="618" t="s">
        <v>168</v>
      </c>
      <c r="B4" s="618"/>
      <c r="C4" s="618"/>
      <c r="D4" s="618"/>
      <c r="E4" s="618"/>
      <c r="F4" s="618"/>
      <c r="G4" s="618"/>
      <c r="H4" s="618"/>
      <c r="I4" s="618"/>
      <c r="J4" s="618"/>
      <c r="K4" s="618"/>
      <c r="L4" s="618"/>
      <c r="M4" s="618"/>
      <c r="N4" s="618"/>
      <c r="O4" s="618"/>
    </row>
    <row r="5" spans="1:15">
      <c r="A5" s="618" t="s">
        <v>169</v>
      </c>
      <c r="B5" s="618"/>
      <c r="C5" s="618"/>
      <c r="D5" s="618"/>
      <c r="E5" s="618"/>
      <c r="F5" s="618"/>
      <c r="G5" s="618"/>
      <c r="H5" s="618"/>
      <c r="I5" s="618"/>
      <c r="J5" s="618"/>
      <c r="K5" s="618"/>
      <c r="L5" s="618"/>
      <c r="M5" s="618"/>
      <c r="N5" s="618"/>
      <c r="O5" s="618"/>
    </row>
    <row r="6" spans="1:15">
      <c r="A6" s="44" t="str">
        <f>"THIRTEEN MONTH AVERAGE AS OF " &amp;RIGHT(Forecast,(LEN(Forecast)-16))</f>
        <v>THIRTEEN MONTH AVERAGE AS OF MARCH 31, 2020</v>
      </c>
      <c r="B6" s="618"/>
      <c r="C6" s="618"/>
      <c r="D6" s="618"/>
      <c r="E6" s="618"/>
      <c r="F6" s="618"/>
      <c r="G6" s="618"/>
      <c r="H6" s="618"/>
      <c r="I6" s="618"/>
      <c r="J6" s="618"/>
      <c r="K6" s="618"/>
      <c r="L6" s="618"/>
      <c r="M6" s="618"/>
      <c r="N6" s="618"/>
      <c r="O6" s="618"/>
    </row>
    <row r="7" spans="1:15">
      <c r="A7" s="618"/>
      <c r="B7" s="619"/>
      <c r="C7" s="619"/>
      <c r="D7" s="619"/>
      <c r="E7" s="619"/>
      <c r="F7" s="619"/>
      <c r="G7" s="619"/>
      <c r="H7" s="645"/>
      <c r="I7" s="645"/>
      <c r="J7" s="645"/>
      <c r="K7" s="645"/>
      <c r="L7" s="645"/>
      <c r="M7" s="645"/>
      <c r="N7" s="645"/>
      <c r="O7" s="645"/>
    </row>
    <row r="8" spans="1:15">
      <c r="A8" s="618" t="s">
        <v>1147</v>
      </c>
      <c r="B8" s="618"/>
      <c r="C8" s="618"/>
      <c r="D8" s="618"/>
      <c r="E8" s="618"/>
      <c r="F8" s="618"/>
      <c r="G8" s="618"/>
      <c r="H8" s="618"/>
      <c r="I8" s="618"/>
      <c r="J8" s="618"/>
      <c r="K8" s="618"/>
      <c r="L8" s="618"/>
      <c r="M8" s="618"/>
      <c r="N8" s="618"/>
      <c r="O8" s="618"/>
    </row>
    <row r="9" spans="1:15">
      <c r="A9" s="620"/>
      <c r="B9" s="620"/>
      <c r="C9" s="620"/>
      <c r="D9" s="620"/>
      <c r="E9" s="620"/>
      <c r="F9" s="620"/>
      <c r="G9" s="620"/>
      <c r="H9" s="620"/>
      <c r="I9" s="620"/>
      <c r="J9" s="620"/>
      <c r="K9" s="620"/>
      <c r="L9" s="620"/>
      <c r="M9" s="620"/>
      <c r="N9" s="620"/>
      <c r="O9" s="620"/>
    </row>
    <row r="12" spans="1:15">
      <c r="A12" s="625" t="str">
        <f>DataF</f>
        <v>DATA:  BASE PERIOD  "X" FORECASTED PERIOD</v>
      </c>
      <c r="M12" s="626" t="s">
        <v>117</v>
      </c>
    </row>
    <row r="13" spans="1:15">
      <c r="A13" s="625" t="str">
        <f>Type</f>
        <v xml:space="preserve">TYPE OF FILING:  "X" ORIGINAL   UPDATED    REVISED  </v>
      </c>
      <c r="M13" s="626" t="s">
        <v>1149</v>
      </c>
    </row>
    <row r="14" spans="1:15">
      <c r="A14" s="625" t="s">
        <v>118</v>
      </c>
      <c r="M14" s="626" t="str">
        <f>+'SCH B-3'!J12</f>
        <v>WITNESS RESPONSIBLE:</v>
      </c>
    </row>
    <row r="15" spans="1:15">
      <c r="M15" s="626" t="str">
        <f>_WIT7</f>
        <v>R. H. PRATT / C. S. LEE</v>
      </c>
    </row>
    <row r="17" spans="1:15">
      <c r="F17" s="628"/>
      <c r="G17" s="628"/>
      <c r="H17" s="628"/>
      <c r="I17" s="628"/>
      <c r="J17" s="628"/>
      <c r="K17" s="628"/>
      <c r="L17" s="628"/>
      <c r="M17" s="628"/>
      <c r="N17" s="628"/>
      <c r="O17" s="628"/>
    </row>
    <row r="18" spans="1:15">
      <c r="A18" s="629"/>
      <c r="B18" s="646"/>
      <c r="C18" s="647"/>
      <c r="D18" s="629"/>
      <c r="E18" s="629"/>
      <c r="F18" s="823" t="s">
        <v>1468</v>
      </c>
      <c r="G18" s="823"/>
      <c r="H18" s="823"/>
    </row>
    <row r="19" spans="1:15">
      <c r="A19" s="636"/>
      <c r="B19" s="648" t="s">
        <v>1041</v>
      </c>
      <c r="C19" s="648" t="s">
        <v>2137</v>
      </c>
      <c r="D19" s="639" t="s">
        <v>1151</v>
      </c>
      <c r="E19" s="639"/>
      <c r="F19" s="3588" t="s">
        <v>2044</v>
      </c>
      <c r="G19" s="3588"/>
      <c r="H19" s="3588"/>
      <c r="J19" s="1299" t="s">
        <v>1469</v>
      </c>
      <c r="L19" s="640" t="s">
        <v>1470</v>
      </c>
      <c r="N19" s="640" t="s">
        <v>799</v>
      </c>
    </row>
    <row r="20" spans="1:15">
      <c r="A20" s="639" t="s">
        <v>1938</v>
      </c>
      <c r="B20" s="639" t="s">
        <v>1150</v>
      </c>
      <c r="C20" s="639" t="s">
        <v>1150</v>
      </c>
      <c r="D20" s="640" t="s">
        <v>1471</v>
      </c>
      <c r="E20" s="640"/>
      <c r="F20" s="640" t="s">
        <v>121</v>
      </c>
      <c r="G20" s="640"/>
      <c r="H20" s="621" t="s">
        <v>1438</v>
      </c>
      <c r="J20" s="640" t="s">
        <v>1472</v>
      </c>
      <c r="L20" s="640" t="s">
        <v>1473</v>
      </c>
      <c r="M20" s="651" t="s">
        <v>1474</v>
      </c>
      <c r="N20" s="640" t="s">
        <v>1475</v>
      </c>
      <c r="O20" s="640" t="s">
        <v>1476</v>
      </c>
    </row>
    <row r="21" spans="1:15">
      <c r="A21" s="639" t="s">
        <v>1939</v>
      </c>
      <c r="B21" s="639" t="s">
        <v>1939</v>
      </c>
      <c r="C21" s="639" t="s">
        <v>1939</v>
      </c>
      <c r="D21" s="639" t="s">
        <v>1477</v>
      </c>
      <c r="E21" s="639"/>
      <c r="F21" s="639" t="s">
        <v>279</v>
      </c>
      <c r="G21" s="639"/>
      <c r="H21" s="640" t="s">
        <v>1407</v>
      </c>
      <c r="J21" s="640" t="s">
        <v>524</v>
      </c>
      <c r="L21" s="640" t="s">
        <v>398</v>
      </c>
      <c r="M21" s="640" t="s">
        <v>1478</v>
      </c>
      <c r="N21" s="640" t="s">
        <v>1479</v>
      </c>
      <c r="O21" s="640" t="s">
        <v>1480</v>
      </c>
    </row>
    <row r="22" spans="1:15">
      <c r="A22" s="650" t="s">
        <v>837</v>
      </c>
      <c r="B22" s="650" t="s">
        <v>1481</v>
      </c>
      <c r="C22" s="650" t="s">
        <v>1482</v>
      </c>
      <c r="D22" s="650" t="s">
        <v>845</v>
      </c>
      <c r="E22" s="650"/>
      <c r="F22" s="650" t="s">
        <v>1042</v>
      </c>
      <c r="G22" s="657"/>
      <c r="H22" s="658" t="s">
        <v>718</v>
      </c>
      <c r="I22" s="628"/>
      <c r="J22" s="658" t="s">
        <v>840</v>
      </c>
      <c r="K22" s="658"/>
      <c r="L22" s="658" t="s">
        <v>1483</v>
      </c>
      <c r="M22" s="658" t="s">
        <v>1484</v>
      </c>
      <c r="N22" s="658" t="s">
        <v>1043</v>
      </c>
      <c r="O22" s="658" t="s">
        <v>1485</v>
      </c>
    </row>
    <row r="23" spans="1:15">
      <c r="A23" s="629"/>
      <c r="B23" s="629"/>
      <c r="C23" s="629"/>
      <c r="D23" s="629"/>
      <c r="E23" s="629"/>
      <c r="F23" s="632" t="s">
        <v>695</v>
      </c>
      <c r="G23" s="636"/>
      <c r="H23" s="640" t="s">
        <v>695</v>
      </c>
      <c r="L23" s="640" t="s">
        <v>695</v>
      </c>
    </row>
    <row r="25" spans="1:15">
      <c r="A25" s="639" t="s">
        <v>1152</v>
      </c>
      <c r="B25" s="639" t="s">
        <v>1153</v>
      </c>
      <c r="C25" s="639">
        <f>'SCH B-3'!C22</f>
        <v>20400</v>
      </c>
      <c r="D25" s="625" t="s">
        <v>1154</v>
      </c>
      <c r="E25" s="625"/>
      <c r="F25" s="642">
        <f>'SCH B-2.1'!I188</f>
        <v>42141</v>
      </c>
      <c r="G25" s="625"/>
      <c r="H25" s="656">
        <f>'SCH B-3'!K220</f>
        <v>0</v>
      </c>
      <c r="J25" s="1286">
        <v>0</v>
      </c>
      <c r="L25" s="656">
        <f>ROUND(F25*J25,0)</f>
        <v>0</v>
      </c>
      <c r="M25" s="561" t="s">
        <v>1486</v>
      </c>
      <c r="N25" s="561"/>
      <c r="O25" s="561"/>
    </row>
    <row r="26" spans="1:15">
      <c r="A26" s="639">
        <f>1+A25</f>
        <v>2</v>
      </c>
      <c r="B26" s="639" t="s">
        <v>1153</v>
      </c>
      <c r="C26" s="639">
        <f>'SCH B-3'!C23</f>
        <v>20401</v>
      </c>
      <c r="D26" s="625" t="s">
        <v>1156</v>
      </c>
      <c r="E26" s="625"/>
      <c r="F26" s="642">
        <f>'SCH B-2.1'!I189</f>
        <v>8756</v>
      </c>
      <c r="G26" s="625"/>
      <c r="H26" s="656">
        <f>'SCH B-3'!K221</f>
        <v>8554</v>
      </c>
      <c r="J26" s="1286">
        <v>0</v>
      </c>
      <c r="K26" s="644" t="s">
        <v>678</v>
      </c>
      <c r="L26" s="656"/>
      <c r="M26" s="669"/>
      <c r="N26" s="561">
        <v>50</v>
      </c>
      <c r="O26" s="666" t="s">
        <v>1487</v>
      </c>
    </row>
    <row r="27" spans="1:15">
      <c r="A27" s="639">
        <f>1+A26</f>
        <v>3</v>
      </c>
      <c r="B27" s="639" t="s">
        <v>1158</v>
      </c>
      <c r="C27" s="639">
        <f>'SCH B-3'!C24</f>
        <v>20500</v>
      </c>
      <c r="D27" s="625" t="s">
        <v>1159</v>
      </c>
      <c r="E27" s="625"/>
      <c r="F27" s="642">
        <f>'SCH B-2.1'!I190</f>
        <v>616750</v>
      </c>
      <c r="G27" s="644"/>
      <c r="H27" s="656">
        <f>'SCH B-3'!K222</f>
        <v>499734</v>
      </c>
      <c r="J27" s="1286">
        <v>4.0000000000000001E-3</v>
      </c>
      <c r="L27" s="656">
        <f>ROUND(F27*J27,0)</f>
        <v>2467</v>
      </c>
      <c r="M27" s="669">
        <v>-0.05</v>
      </c>
      <c r="N27" s="561">
        <v>50</v>
      </c>
      <c r="O27" s="666" t="s">
        <v>253</v>
      </c>
    </row>
    <row r="28" spans="1:15">
      <c r="A28" s="639">
        <f>1+A27</f>
        <v>4</v>
      </c>
      <c r="B28" s="639" t="s">
        <v>1161</v>
      </c>
      <c r="C28" s="639">
        <f>'SCH B-3'!C25</f>
        <v>21100</v>
      </c>
      <c r="D28" s="625" t="s">
        <v>1162</v>
      </c>
      <c r="E28" s="625"/>
      <c r="F28" s="642">
        <f>'SCH B-2.1'!I191</f>
        <v>2131961</v>
      </c>
      <c r="G28" s="644"/>
      <c r="H28" s="656">
        <f>'SCH B-3'!K223</f>
        <v>1126310</v>
      </c>
      <c r="J28" s="1286">
        <v>2.4500000000000001E-2</v>
      </c>
      <c r="L28" s="656">
        <f>ROUND(F28*J28,0)</f>
        <v>52233</v>
      </c>
      <c r="M28" s="669">
        <v>-0.05</v>
      </c>
      <c r="N28" s="561">
        <v>35</v>
      </c>
      <c r="O28" s="666" t="s">
        <v>1489</v>
      </c>
    </row>
    <row r="29" spans="1:15">
      <c r="A29" s="639">
        <f>1+A28</f>
        <v>5</v>
      </c>
      <c r="B29" s="639"/>
      <c r="C29" s="639"/>
      <c r="D29" s="560" t="s">
        <v>278</v>
      </c>
      <c r="E29" s="625"/>
      <c r="F29" s="642" t="e">
        <f>'SCH B-2.1'!#REF!</f>
        <v>#REF!</v>
      </c>
      <c r="G29" s="644"/>
      <c r="H29" s="656" t="e">
        <f>'SCH B-3'!#REF!</f>
        <v>#REF!</v>
      </c>
      <c r="J29" s="1286">
        <v>1.8200000000000001E-2</v>
      </c>
      <c r="L29" s="656" t="e">
        <f>ROUND(F29*J29,0)</f>
        <v>#REF!</v>
      </c>
      <c r="M29" s="669"/>
      <c r="N29" s="561"/>
      <c r="O29" s="666"/>
    </row>
    <row r="30" spans="1:15">
      <c r="A30" s="639">
        <f>1+A29</f>
        <v>6</v>
      </c>
      <c r="C30" s="639">
        <v>108</v>
      </c>
      <c r="D30" s="625" t="s">
        <v>249</v>
      </c>
      <c r="E30" s="625"/>
      <c r="F30" s="642">
        <f>'SCH B-2.1'!I192</f>
        <v>0</v>
      </c>
      <c r="G30" s="625"/>
      <c r="H30" s="656">
        <f>'SCH B-3'!K224</f>
        <v>0</v>
      </c>
      <c r="L30" s="656"/>
      <c r="M30" s="561"/>
      <c r="N30" s="561"/>
      <c r="O30" s="561"/>
    </row>
    <row r="31" spans="1:15">
      <c r="L31" s="656"/>
    </row>
    <row r="32" spans="1:15">
      <c r="F32" s="628"/>
      <c r="G32" s="628"/>
      <c r="H32" s="628"/>
      <c r="I32" s="628"/>
      <c r="J32" s="628"/>
      <c r="K32" s="628"/>
      <c r="L32" s="655"/>
      <c r="M32" s="628"/>
      <c r="N32" s="628"/>
      <c r="O32" s="628"/>
    </row>
    <row r="33" spans="1:15">
      <c r="A33" s="629"/>
      <c r="B33" s="629"/>
      <c r="C33" s="629"/>
      <c r="D33" s="629"/>
      <c r="E33" s="629"/>
      <c r="F33" s="636"/>
      <c r="G33" s="636"/>
      <c r="L33" s="656"/>
    </row>
    <row r="34" spans="1:15">
      <c r="A34" s="639">
        <f>+A30+1</f>
        <v>7</v>
      </c>
      <c r="D34" s="625" t="s">
        <v>250</v>
      </c>
      <c r="E34" s="625"/>
      <c r="F34" s="656" t="e">
        <f>SUM(F25:F33)</f>
        <v>#REF!</v>
      </c>
      <c r="G34" s="625"/>
      <c r="H34" s="656" t="e">
        <f>SUM(H25:H33)</f>
        <v>#REF!</v>
      </c>
      <c r="L34" s="656" t="e">
        <f>SUM(L25:L33)</f>
        <v>#REF!</v>
      </c>
    </row>
    <row r="35" spans="1:15">
      <c r="G35" s="628"/>
      <c r="H35" s="628"/>
      <c r="I35" s="628"/>
      <c r="J35" s="628"/>
      <c r="K35" s="628"/>
      <c r="L35" s="628"/>
      <c r="M35" s="628"/>
      <c r="N35" s="628"/>
      <c r="O35" s="628"/>
    </row>
    <row r="36" spans="1:15">
      <c r="A36" s="629"/>
      <c r="B36" s="629"/>
      <c r="C36" s="629"/>
      <c r="D36" s="629"/>
      <c r="E36" s="629"/>
      <c r="F36" s="629"/>
      <c r="G36" s="636"/>
    </row>
    <row r="37" spans="1:15">
      <c r="A37" s="644" t="s">
        <v>251</v>
      </c>
    </row>
    <row r="38" spans="1:15">
      <c r="A38" s="644" t="s">
        <v>252</v>
      </c>
    </row>
    <row r="43" spans="1:15">
      <c r="A43" s="619" t="str">
        <f t="shared" ref="A43:A48" si="0">+A1</f>
        <v>DUKE ENERGY KENTUCKY, INC.</v>
      </c>
      <c r="B43" s="619"/>
      <c r="C43" s="619"/>
      <c r="D43" s="619"/>
      <c r="E43" s="619"/>
      <c r="F43" s="619"/>
      <c r="G43" s="619"/>
      <c r="H43" s="619"/>
      <c r="I43" s="619"/>
      <c r="J43" s="619"/>
      <c r="K43" s="619"/>
      <c r="L43" s="619"/>
      <c r="M43" s="619"/>
      <c r="N43" s="619"/>
      <c r="O43" s="619"/>
    </row>
    <row r="44" spans="1:15">
      <c r="A44" s="619" t="str">
        <f t="shared" si="0"/>
        <v>CASE NO. 2018-00261</v>
      </c>
      <c r="B44" s="619"/>
      <c r="C44" s="619"/>
      <c r="D44" s="619"/>
      <c r="E44" s="619"/>
      <c r="F44" s="619"/>
      <c r="G44" s="619"/>
      <c r="H44" s="619"/>
      <c r="I44" s="619"/>
      <c r="J44" s="619"/>
      <c r="K44" s="619"/>
      <c r="L44" s="619"/>
      <c r="M44" s="619"/>
      <c r="N44" s="619"/>
      <c r="O44" s="619"/>
    </row>
    <row r="45" spans="1:15">
      <c r="A45" s="619" t="str">
        <f t="shared" si="0"/>
        <v>DEPRECIATION AND AMORTIZATION ACCRUAL RATES AND</v>
      </c>
      <c r="B45" s="619"/>
      <c r="C45" s="619"/>
      <c r="D45" s="619"/>
      <c r="E45" s="619"/>
      <c r="F45" s="619"/>
      <c r="G45" s="619"/>
      <c r="H45" s="619"/>
      <c r="I45" s="619"/>
      <c r="J45" s="619"/>
      <c r="K45" s="619"/>
      <c r="L45" s="619"/>
      <c r="M45" s="619"/>
      <c r="N45" s="619"/>
      <c r="O45" s="619"/>
    </row>
    <row r="46" spans="1:15">
      <c r="A46" s="619" t="str">
        <f t="shared" si="0"/>
        <v>JURISDICTIONAL ACCUMULATED BALANCES BY ACCOUNTS,</v>
      </c>
      <c r="B46" s="619"/>
      <c r="C46" s="619"/>
      <c r="D46" s="619"/>
      <c r="E46" s="619"/>
      <c r="F46" s="619"/>
      <c r="G46" s="619"/>
      <c r="H46" s="619"/>
      <c r="I46" s="619"/>
      <c r="J46" s="619"/>
      <c r="K46" s="619"/>
      <c r="L46" s="619"/>
      <c r="M46" s="619"/>
      <c r="N46" s="619"/>
      <c r="O46" s="619"/>
    </row>
    <row r="47" spans="1:15">
      <c r="A47" s="619" t="str">
        <f t="shared" si="0"/>
        <v>FUNCTIONAL CLASS OR MAJOR PROPERTY GROUP</v>
      </c>
      <c r="B47" s="619"/>
      <c r="C47" s="619"/>
      <c r="D47" s="619"/>
      <c r="E47" s="619"/>
      <c r="F47" s="619"/>
      <c r="G47" s="619"/>
      <c r="H47" s="619"/>
      <c r="I47" s="619"/>
      <c r="J47" s="619"/>
      <c r="K47" s="619"/>
      <c r="L47" s="619"/>
      <c r="M47" s="619"/>
      <c r="N47" s="619"/>
      <c r="O47" s="619"/>
    </row>
    <row r="48" spans="1:15">
      <c r="A48" s="619" t="str">
        <f t="shared" si="0"/>
        <v>THIRTEEN MONTH AVERAGE AS OF MARCH 31, 2020</v>
      </c>
      <c r="B48" s="619"/>
      <c r="C48" s="619"/>
      <c r="D48" s="619"/>
      <c r="E48" s="619"/>
      <c r="F48" s="619"/>
      <c r="G48" s="619"/>
      <c r="H48" s="619"/>
      <c r="I48" s="619"/>
      <c r="J48" s="619"/>
      <c r="K48" s="619"/>
      <c r="L48" s="619"/>
      <c r="M48" s="619"/>
      <c r="N48" s="619"/>
      <c r="O48" s="619"/>
    </row>
    <row r="49" spans="1:15">
      <c r="A49" s="619"/>
      <c r="B49" s="619"/>
      <c r="C49" s="619"/>
      <c r="D49" s="619"/>
      <c r="E49" s="619"/>
      <c r="F49" s="619"/>
      <c r="G49" s="619"/>
      <c r="H49" s="645"/>
      <c r="I49" s="645"/>
      <c r="J49" s="645"/>
      <c r="K49" s="645"/>
      <c r="L49" s="645"/>
      <c r="M49" s="645"/>
      <c r="N49" s="645"/>
      <c r="O49" s="645"/>
    </row>
    <row r="50" spans="1:15">
      <c r="A50" s="618" t="s">
        <v>1164</v>
      </c>
      <c r="B50" s="618"/>
      <c r="C50" s="618"/>
      <c r="D50" s="618"/>
      <c r="E50" s="618"/>
      <c r="F50" s="618"/>
      <c r="G50" s="618"/>
      <c r="H50" s="618"/>
      <c r="I50" s="618"/>
      <c r="J50" s="618"/>
      <c r="K50" s="618"/>
      <c r="L50" s="618"/>
      <c r="M50" s="618"/>
      <c r="N50" s="618"/>
      <c r="O50" s="618"/>
    </row>
    <row r="51" spans="1:15">
      <c r="A51" s="620"/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0"/>
      <c r="M51" s="620"/>
      <c r="N51" s="620"/>
      <c r="O51" s="620"/>
    </row>
    <row r="52" spans="1:15">
      <c r="A52" s="645"/>
    </row>
    <row r="53" spans="1:15">
      <c r="A53" s="645"/>
    </row>
    <row r="54" spans="1:15">
      <c r="A54" s="625" t="str">
        <f>+A12</f>
        <v>DATA:  BASE PERIOD  "X" FORECASTED PERIOD</v>
      </c>
      <c r="M54" s="626" t="str">
        <f>+M12</f>
        <v>SCHEDULE B-3.2</v>
      </c>
    </row>
    <row r="55" spans="1:15">
      <c r="A55" s="625" t="str">
        <f>+A13</f>
        <v xml:space="preserve">TYPE OF FILING:  "X" ORIGINAL   UPDATED    REVISED  </v>
      </c>
      <c r="M55" s="626" t="s">
        <v>1165</v>
      </c>
    </row>
    <row r="56" spans="1:15">
      <c r="A56" s="625" t="str">
        <f>+A14</f>
        <v>WORK PAPER REFERENCE NOS.: SCHEDULE B-2.1, SCHEDULE B-3</v>
      </c>
      <c r="M56" s="626" t="str">
        <f>+M14</f>
        <v>WITNESS RESPONSIBLE:</v>
      </c>
    </row>
    <row r="57" spans="1:15">
      <c r="M57" s="627" t="str">
        <f>+M15</f>
        <v>R. H. PRATT / C. S. LEE</v>
      </c>
    </row>
    <row r="59" spans="1:15">
      <c r="F59" s="628"/>
      <c r="G59" s="628"/>
      <c r="H59" s="628"/>
      <c r="I59" s="628"/>
      <c r="J59" s="628"/>
      <c r="K59" s="628"/>
      <c r="L59" s="628"/>
      <c r="M59" s="628"/>
      <c r="N59" s="628"/>
      <c r="O59" s="628"/>
    </row>
    <row r="60" spans="1:15">
      <c r="A60" s="629"/>
      <c r="B60" s="646"/>
      <c r="C60" s="647"/>
      <c r="D60" s="629"/>
      <c r="E60" s="629"/>
      <c r="F60" s="823" t="s">
        <v>1468</v>
      </c>
      <c r="G60" s="823"/>
      <c r="H60" s="823"/>
    </row>
    <row r="61" spans="1:15">
      <c r="A61" s="636"/>
      <c r="B61" s="648" t="s">
        <v>1041</v>
      </c>
      <c r="C61" s="648" t="s">
        <v>2137</v>
      </c>
      <c r="D61" s="639" t="s">
        <v>1151</v>
      </c>
      <c r="E61" s="639"/>
      <c r="F61" s="3588" t="s">
        <v>2044</v>
      </c>
      <c r="G61" s="3588"/>
      <c r="H61" s="3588"/>
      <c r="J61" s="1299" t="s">
        <v>1469</v>
      </c>
      <c r="L61" s="640" t="s">
        <v>1470</v>
      </c>
      <c r="N61" s="640" t="s">
        <v>799</v>
      </c>
    </row>
    <row r="62" spans="1:15">
      <c r="A62" s="639" t="s">
        <v>1938</v>
      </c>
      <c r="B62" s="639" t="s">
        <v>1150</v>
      </c>
      <c r="C62" s="639" t="s">
        <v>1150</v>
      </c>
      <c r="D62" s="640" t="s">
        <v>1471</v>
      </c>
      <c r="E62" s="640"/>
      <c r="F62" s="640" t="s">
        <v>121</v>
      </c>
      <c r="G62" s="640"/>
      <c r="H62" s="621" t="s">
        <v>1438</v>
      </c>
      <c r="J62" s="640" t="s">
        <v>1472</v>
      </c>
      <c r="L62" s="640" t="s">
        <v>1473</v>
      </c>
      <c r="M62" s="651" t="s">
        <v>1474</v>
      </c>
      <c r="N62" s="640" t="s">
        <v>1475</v>
      </c>
      <c r="O62" s="640" t="s">
        <v>1476</v>
      </c>
    </row>
    <row r="63" spans="1:15">
      <c r="A63" s="639" t="s">
        <v>1939</v>
      </c>
      <c r="B63" s="639" t="s">
        <v>1939</v>
      </c>
      <c r="C63" s="639" t="s">
        <v>1939</v>
      </c>
      <c r="D63" s="639" t="s">
        <v>1477</v>
      </c>
      <c r="E63" s="639"/>
      <c r="F63" s="639" t="s">
        <v>279</v>
      </c>
      <c r="G63" s="639"/>
      <c r="H63" s="640" t="s">
        <v>1407</v>
      </c>
      <c r="J63" s="640" t="s">
        <v>524</v>
      </c>
      <c r="L63" s="640" t="s">
        <v>398</v>
      </c>
      <c r="M63" s="640" t="s">
        <v>1478</v>
      </c>
      <c r="N63" s="640" t="s">
        <v>1479</v>
      </c>
      <c r="O63" s="640" t="s">
        <v>1480</v>
      </c>
    </row>
    <row r="64" spans="1:15">
      <c r="A64" s="657" t="s">
        <v>837</v>
      </c>
      <c r="B64" s="657" t="s">
        <v>1481</v>
      </c>
      <c r="C64" s="657" t="s">
        <v>1482</v>
      </c>
      <c r="D64" s="657" t="s">
        <v>845</v>
      </c>
      <c r="E64" s="657"/>
      <c r="F64" s="657" t="s">
        <v>1042</v>
      </c>
      <c r="G64" s="657"/>
      <c r="H64" s="658" t="s">
        <v>718</v>
      </c>
      <c r="I64" s="628"/>
      <c r="J64" s="658" t="s">
        <v>840</v>
      </c>
      <c r="K64" s="658"/>
      <c r="L64" s="658" t="s">
        <v>1483</v>
      </c>
      <c r="M64" s="658" t="s">
        <v>1484</v>
      </c>
      <c r="N64" s="658" t="s">
        <v>1043</v>
      </c>
      <c r="O64" s="658" t="s">
        <v>1485</v>
      </c>
    </row>
    <row r="65" spans="1:15">
      <c r="A65" s="639" t="s">
        <v>749</v>
      </c>
      <c r="F65" s="640" t="s">
        <v>695</v>
      </c>
      <c r="H65" s="640" t="s">
        <v>695</v>
      </c>
      <c r="L65" s="640" t="s">
        <v>695</v>
      </c>
    </row>
    <row r="66" spans="1:15">
      <c r="A66" s="639"/>
    </row>
    <row r="67" spans="1:15">
      <c r="A67" s="639">
        <v>1</v>
      </c>
      <c r="B67" s="639" t="s">
        <v>1166</v>
      </c>
      <c r="C67" s="639">
        <f>'SCH B-3'!C61</f>
        <v>27400</v>
      </c>
      <c r="D67" s="625" t="s">
        <v>1167</v>
      </c>
      <c r="E67" s="625"/>
      <c r="F67" s="642">
        <f>'SCH B-2.1'!I220</f>
        <v>41032</v>
      </c>
      <c r="G67" s="625"/>
      <c r="H67" s="656">
        <f>'SCH B-3'!K258</f>
        <v>4</v>
      </c>
      <c r="J67" s="1282">
        <v>0</v>
      </c>
      <c r="L67" s="656">
        <v>0</v>
      </c>
      <c r="M67" s="561" t="s">
        <v>1486</v>
      </c>
      <c r="N67" s="561"/>
      <c r="O67" s="561"/>
    </row>
    <row r="68" spans="1:15">
      <c r="A68" s="639">
        <f t="shared" ref="A68:A93" si="1">+A67+1</f>
        <v>2</v>
      </c>
      <c r="B68" s="639" t="s">
        <v>1166</v>
      </c>
      <c r="C68" s="639">
        <f>'SCH B-3'!C62</f>
        <v>27401</v>
      </c>
      <c r="D68" s="625" t="s">
        <v>1156</v>
      </c>
      <c r="E68" s="625"/>
      <c r="F68" s="642">
        <f>'SCH B-2.1'!I221</f>
        <v>866302</v>
      </c>
      <c r="G68" s="625"/>
      <c r="H68" s="656">
        <f>'SCH B-3'!K259</f>
        <v>539948</v>
      </c>
      <c r="J68" s="1286">
        <v>1.3899999999999999E-2</v>
      </c>
      <c r="L68" s="656">
        <f t="shared" ref="L68:L92" si="2">ROUND(F68*J68,0)</f>
        <v>12042</v>
      </c>
      <c r="M68" s="669">
        <v>0</v>
      </c>
      <c r="N68" s="561">
        <v>65</v>
      </c>
      <c r="O68" s="666" t="s">
        <v>253</v>
      </c>
    </row>
    <row r="69" spans="1:15">
      <c r="A69" s="639">
        <f t="shared" si="1"/>
        <v>3</v>
      </c>
      <c r="B69" s="639" t="s">
        <v>1168</v>
      </c>
      <c r="C69" s="639">
        <f>'SCH B-3'!C63</f>
        <v>27500</v>
      </c>
      <c r="D69" s="625" t="s">
        <v>1159</v>
      </c>
      <c r="E69" s="625"/>
      <c r="F69" s="642">
        <f>'SCH B-2.1'!I222</f>
        <v>553059</v>
      </c>
      <c r="G69" s="644"/>
      <c r="H69" s="656">
        <f>'SCH B-3'!K260</f>
        <v>134405</v>
      </c>
      <c r="J69" s="1286">
        <v>1.12E-2</v>
      </c>
      <c r="L69" s="656">
        <f t="shared" si="2"/>
        <v>6194</v>
      </c>
      <c r="M69" s="669">
        <v>-0.1</v>
      </c>
      <c r="N69" s="561">
        <v>50</v>
      </c>
      <c r="O69" s="820" t="s">
        <v>254</v>
      </c>
    </row>
    <row r="70" spans="1:15">
      <c r="A70" s="639">
        <f t="shared" si="1"/>
        <v>4</v>
      </c>
      <c r="B70" s="639" t="s">
        <v>1169</v>
      </c>
      <c r="C70" s="639">
        <f>'SCH B-3'!C64</f>
        <v>27601</v>
      </c>
      <c r="D70" s="625" t="s">
        <v>1170</v>
      </c>
      <c r="E70" s="625"/>
      <c r="F70" s="642">
        <f>'SCH B-2.1'!I223</f>
        <v>982749</v>
      </c>
      <c r="G70" s="644"/>
      <c r="H70" s="656">
        <f>'SCH B-3'!K261</f>
        <v>-118273</v>
      </c>
      <c r="J70" s="1286">
        <v>1.6500000000000001E-2</v>
      </c>
      <c r="L70" s="656">
        <f t="shared" si="2"/>
        <v>16215</v>
      </c>
      <c r="M70" s="669">
        <v>-0.2</v>
      </c>
      <c r="N70" s="819">
        <v>41</v>
      </c>
      <c r="O70" s="820" t="s">
        <v>254</v>
      </c>
    </row>
    <row r="71" spans="1:15">
      <c r="A71" s="639">
        <f t="shared" si="1"/>
        <v>5</v>
      </c>
      <c r="B71" s="639" t="s">
        <v>1169</v>
      </c>
      <c r="C71" s="639" t="str">
        <f>'SCH B-3'!C65</f>
        <v>27602,27607</v>
      </c>
      <c r="D71" s="625" t="s">
        <v>1171</v>
      </c>
      <c r="E71" s="625"/>
      <c r="F71" s="642">
        <f>'SCH B-2.1'!I224</f>
        <v>105363141</v>
      </c>
      <c r="G71" s="625"/>
      <c r="H71" s="656">
        <f>'SCH B-3'!K262</f>
        <v>41995112</v>
      </c>
      <c r="J71" s="1286">
        <v>2.5600000000000001E-2</v>
      </c>
      <c r="L71" s="656">
        <f t="shared" si="2"/>
        <v>2697296</v>
      </c>
      <c r="M71" s="669">
        <v>-0.2</v>
      </c>
      <c r="N71" s="682">
        <v>53</v>
      </c>
      <c r="O71" s="820" t="s">
        <v>254</v>
      </c>
    </row>
    <row r="72" spans="1:15">
      <c r="A72" s="639">
        <f t="shared" si="1"/>
        <v>6</v>
      </c>
      <c r="B72" s="639" t="s">
        <v>1169</v>
      </c>
      <c r="C72" s="639" t="str">
        <f>'SCH B-3'!C66</f>
        <v>27603,27608</v>
      </c>
      <c r="D72" s="625" t="s">
        <v>1081</v>
      </c>
      <c r="E72" s="625"/>
      <c r="F72" s="642">
        <f>'SCH B-2.1'!I225</f>
        <v>149762955</v>
      </c>
      <c r="G72" s="625"/>
      <c r="H72" s="656">
        <f>'SCH B-3'!K263</f>
        <v>53723261</v>
      </c>
      <c r="J72" s="1286">
        <v>2.9700000000000001E-2</v>
      </c>
      <c r="L72" s="656">
        <f t="shared" si="2"/>
        <v>4447960</v>
      </c>
      <c r="M72" s="669">
        <v>-0.2</v>
      </c>
      <c r="N72" s="561">
        <v>50</v>
      </c>
      <c r="O72" s="666" t="s">
        <v>254</v>
      </c>
    </row>
    <row r="73" spans="1:15">
      <c r="A73" s="639">
        <f t="shared" si="1"/>
        <v>7</v>
      </c>
      <c r="B73" s="639" t="s">
        <v>1169</v>
      </c>
      <c r="C73" s="639">
        <f>'SCH B-3'!C67</f>
        <v>27605</v>
      </c>
      <c r="D73" s="625" t="s">
        <v>1189</v>
      </c>
      <c r="E73" s="625"/>
      <c r="F73" s="642">
        <f>'SCH B-2.1'!I226</f>
        <v>27337810</v>
      </c>
      <c r="G73" s="625"/>
      <c r="H73" s="656">
        <f>'SCH B-3'!K264</f>
        <v>12251097</v>
      </c>
      <c r="J73" s="1286">
        <v>2.5600000000000001E-2</v>
      </c>
      <c r="L73" s="656">
        <f t="shared" si="2"/>
        <v>699848</v>
      </c>
      <c r="M73" s="669">
        <v>-0.2</v>
      </c>
      <c r="N73" s="682">
        <v>53</v>
      </c>
      <c r="O73" s="820" t="s">
        <v>254</v>
      </c>
    </row>
    <row r="74" spans="1:15">
      <c r="A74" s="639">
        <f t="shared" si="1"/>
        <v>8</v>
      </c>
      <c r="B74" s="562">
        <v>376</v>
      </c>
      <c r="C74" s="639" t="e">
        <f>'SCH B-3'!#REF!</f>
        <v>#REF!</v>
      </c>
      <c r="D74" s="560" t="s">
        <v>1171</v>
      </c>
      <c r="E74" s="625"/>
      <c r="F74" s="642" t="e">
        <f>'SCH B-2.1'!#REF!</f>
        <v>#REF!</v>
      </c>
      <c r="G74" s="625"/>
      <c r="H74" s="656" t="e">
        <f>'SCH B-3'!#REF!</f>
        <v>#REF!</v>
      </c>
      <c r="J74" s="1286">
        <v>2.5600000000000001E-2</v>
      </c>
      <c r="L74" s="656" t="e">
        <f t="shared" si="2"/>
        <v>#REF!</v>
      </c>
      <c r="M74" s="669">
        <v>-0.2</v>
      </c>
      <c r="N74" s="561">
        <v>53</v>
      </c>
      <c r="O74" s="666" t="s">
        <v>254</v>
      </c>
    </row>
    <row r="75" spans="1:15">
      <c r="A75" s="639">
        <f t="shared" si="1"/>
        <v>9</v>
      </c>
      <c r="B75" s="562">
        <v>376</v>
      </c>
      <c r="C75" s="639" t="e">
        <f>'SCH B-3'!#REF!</f>
        <v>#REF!</v>
      </c>
      <c r="D75" s="560" t="s">
        <v>1081</v>
      </c>
      <c r="E75" s="625"/>
      <c r="F75" s="642" t="e">
        <f>'SCH B-2.1'!#REF!</f>
        <v>#REF!</v>
      </c>
      <c r="G75" s="625"/>
      <c r="H75" s="656" t="e">
        <f>'SCH B-3'!#REF!</f>
        <v>#REF!</v>
      </c>
      <c r="J75" s="1286">
        <v>2.9700000000000001E-2</v>
      </c>
      <c r="L75" s="656" t="e">
        <f t="shared" si="2"/>
        <v>#REF!</v>
      </c>
      <c r="M75" s="669">
        <v>-0.2</v>
      </c>
      <c r="N75" s="561">
        <v>50</v>
      </c>
      <c r="O75" s="666" t="s">
        <v>254</v>
      </c>
    </row>
    <row r="76" spans="1:15">
      <c r="A76" s="639">
        <f t="shared" si="1"/>
        <v>10</v>
      </c>
      <c r="B76" s="639" t="s">
        <v>1190</v>
      </c>
      <c r="C76" s="639">
        <f>'SCH B-3'!C68</f>
        <v>27800</v>
      </c>
      <c r="D76" s="625" t="s">
        <v>1191</v>
      </c>
      <c r="E76" s="625"/>
      <c r="F76" s="642">
        <f>'SCH B-2.1'!I227</f>
        <v>7162530</v>
      </c>
      <c r="G76" s="644"/>
      <c r="H76" s="656">
        <f>'SCH B-3'!K265</f>
        <v>2553533</v>
      </c>
      <c r="J76" s="1286">
        <v>2.0799999999999999E-2</v>
      </c>
      <c r="L76" s="656">
        <f t="shared" si="2"/>
        <v>148981</v>
      </c>
      <c r="M76" s="669">
        <v>-0.05</v>
      </c>
      <c r="N76" s="561">
        <v>40</v>
      </c>
      <c r="O76" s="666" t="s">
        <v>256</v>
      </c>
    </row>
    <row r="77" spans="1:15">
      <c r="A77" s="639">
        <f t="shared" si="1"/>
        <v>11</v>
      </c>
      <c r="B77" s="639" t="s">
        <v>1190</v>
      </c>
      <c r="C77" s="639">
        <f>'SCH B-3'!C69</f>
        <v>27801</v>
      </c>
      <c r="D77" s="625" t="s">
        <v>1192</v>
      </c>
      <c r="E77" s="625"/>
      <c r="F77" s="642">
        <f>'SCH B-2.1'!I228</f>
        <v>1032384</v>
      </c>
      <c r="G77" s="625"/>
      <c r="H77" s="656">
        <f>'SCH B-3'!K266</f>
        <v>404259</v>
      </c>
      <c r="J77" s="1286">
        <v>1.3899999999999999E-2</v>
      </c>
      <c r="L77" s="656">
        <f t="shared" si="2"/>
        <v>14350</v>
      </c>
      <c r="M77" s="669">
        <v>-0.05</v>
      </c>
      <c r="N77" s="561">
        <v>15</v>
      </c>
      <c r="O77" s="666" t="s">
        <v>257</v>
      </c>
    </row>
    <row r="78" spans="1:15">
      <c r="A78" s="639">
        <f t="shared" si="1"/>
        <v>12</v>
      </c>
      <c r="B78" s="639" t="s">
        <v>1190</v>
      </c>
      <c r="C78" s="639">
        <f>'SCH B-3'!C70</f>
        <v>27802</v>
      </c>
      <c r="D78" s="625" t="s">
        <v>1085</v>
      </c>
      <c r="E78" s="625"/>
      <c r="F78" s="642">
        <f>'SCH B-2.1'!I229</f>
        <v>2419176</v>
      </c>
      <c r="G78" s="625"/>
      <c r="H78" s="656">
        <f>'SCH B-3'!K267</f>
        <v>1110309</v>
      </c>
      <c r="J78" s="1286">
        <v>3.7100000000000001E-2</v>
      </c>
      <c r="L78" s="656">
        <f t="shared" si="2"/>
        <v>89751</v>
      </c>
      <c r="M78" s="669">
        <v>-0.75</v>
      </c>
      <c r="N78" s="561">
        <v>50</v>
      </c>
      <c r="O78" s="666" t="s">
        <v>254</v>
      </c>
    </row>
    <row r="79" spans="1:15">
      <c r="A79" s="639">
        <f t="shared" si="1"/>
        <v>13</v>
      </c>
      <c r="B79" s="639" t="s">
        <v>1086</v>
      </c>
      <c r="C79" s="639">
        <f>'SCH B-3'!C71</f>
        <v>28001</v>
      </c>
      <c r="D79" s="625" t="s">
        <v>1087</v>
      </c>
      <c r="E79" s="625"/>
      <c r="F79" s="642">
        <f>'SCH B-2.1'!I230</f>
        <v>3116451</v>
      </c>
      <c r="G79" s="644"/>
      <c r="H79" s="656">
        <f>'SCH B-3'!K268</f>
        <v>102528</v>
      </c>
      <c r="J79" s="1286">
        <v>8.8000000000000005E-3</v>
      </c>
      <c r="L79" s="656">
        <f t="shared" si="2"/>
        <v>27425</v>
      </c>
      <c r="M79" s="669">
        <v>-0.35</v>
      </c>
      <c r="N79" s="682">
        <v>40</v>
      </c>
      <c r="O79" s="666" t="s">
        <v>258</v>
      </c>
    </row>
    <row r="80" spans="1:15">
      <c r="A80" s="639">
        <f t="shared" si="1"/>
        <v>14</v>
      </c>
      <c r="B80" s="639" t="s">
        <v>1086</v>
      </c>
      <c r="C80" s="639" t="str">
        <f>'SCH B-3'!C72</f>
        <v>28002,28004</v>
      </c>
      <c r="D80" s="625" t="s">
        <v>1088</v>
      </c>
      <c r="E80" s="625"/>
      <c r="F80" s="642">
        <f>'SCH B-2.1'!I231</f>
        <v>8817969</v>
      </c>
      <c r="G80" s="625"/>
      <c r="H80" s="656">
        <f>'SCH B-3'!K269</f>
        <v>2370014</v>
      </c>
      <c r="J80" s="1286">
        <v>2.7E-2</v>
      </c>
      <c r="L80" s="656">
        <f t="shared" si="2"/>
        <v>238085</v>
      </c>
      <c r="M80" s="669">
        <v>-0.35</v>
      </c>
      <c r="N80" s="561">
        <v>38</v>
      </c>
      <c r="O80" s="666" t="s">
        <v>256</v>
      </c>
    </row>
    <row r="81" spans="1:15">
      <c r="A81" s="639">
        <f t="shared" si="1"/>
        <v>15</v>
      </c>
      <c r="B81" s="639" t="s">
        <v>1086</v>
      </c>
      <c r="C81" s="639" t="str">
        <f>'SCH B-3'!C73</f>
        <v>28003,28005-28007</v>
      </c>
      <c r="D81" s="625" t="s">
        <v>1089</v>
      </c>
      <c r="E81" s="625"/>
      <c r="F81" s="642">
        <f>'SCH B-2.1'!I232</f>
        <v>151094070</v>
      </c>
      <c r="G81" s="625"/>
      <c r="H81" s="656">
        <f>'SCH B-3'!K270</f>
        <v>51299275</v>
      </c>
      <c r="J81" s="1286">
        <v>3.9699999999999999E-2</v>
      </c>
      <c r="L81" s="656">
        <f t="shared" si="2"/>
        <v>5998435</v>
      </c>
      <c r="M81" s="669">
        <v>-0.35</v>
      </c>
      <c r="N81" s="561">
        <v>42</v>
      </c>
      <c r="O81" s="666" t="s">
        <v>258</v>
      </c>
    </row>
    <row r="82" spans="1:15">
      <c r="A82" s="639">
        <f t="shared" si="1"/>
        <v>16</v>
      </c>
      <c r="B82" s="562">
        <v>380</v>
      </c>
      <c r="C82" s="639" t="e">
        <f>'SCH B-3'!#REF!</f>
        <v>#REF!</v>
      </c>
      <c r="D82" s="560" t="s">
        <v>1678</v>
      </c>
      <c r="E82" s="625"/>
      <c r="F82" s="642" t="e">
        <f>'SCH B-2.1'!#REF!</f>
        <v>#REF!</v>
      </c>
      <c r="G82" s="625"/>
      <c r="H82" s="656" t="e">
        <f>'SCH B-3'!#REF!</f>
        <v>#REF!</v>
      </c>
      <c r="J82" s="1286">
        <v>2.7E-2</v>
      </c>
      <c r="L82" s="656" t="e">
        <f t="shared" si="2"/>
        <v>#REF!</v>
      </c>
      <c r="M82" s="669">
        <v>-0.35</v>
      </c>
      <c r="N82" s="561">
        <v>38</v>
      </c>
      <c r="O82" s="666" t="s">
        <v>256</v>
      </c>
    </row>
    <row r="83" spans="1:15">
      <c r="A83" s="639">
        <f t="shared" si="1"/>
        <v>17</v>
      </c>
      <c r="B83" s="562">
        <v>380</v>
      </c>
      <c r="C83" s="639" t="e">
        <f>'SCH B-3'!#REF!</f>
        <v>#REF!</v>
      </c>
      <c r="D83" s="560" t="s">
        <v>1679</v>
      </c>
      <c r="E83" s="625"/>
      <c r="F83" s="642" t="e">
        <f>'SCH B-2.1'!#REF!</f>
        <v>#REF!</v>
      </c>
      <c r="G83" s="625"/>
      <c r="H83" s="656" t="e">
        <f>'SCH B-3'!#REF!</f>
        <v>#REF!</v>
      </c>
      <c r="J83" s="1286">
        <v>3.9699999999999999E-2</v>
      </c>
      <c r="L83" s="656" t="e">
        <f t="shared" si="2"/>
        <v>#REF!</v>
      </c>
      <c r="M83" s="669">
        <v>-0.35</v>
      </c>
      <c r="N83" s="561">
        <v>42</v>
      </c>
      <c r="O83" s="666" t="s">
        <v>258</v>
      </c>
    </row>
    <row r="84" spans="1:15">
      <c r="A84" s="639">
        <f t="shared" si="1"/>
        <v>18</v>
      </c>
      <c r="B84" s="639">
        <v>381</v>
      </c>
      <c r="C84" s="639" t="str">
        <f>'SCH B-3'!C74</f>
        <v>28100,28101</v>
      </c>
      <c r="D84" s="625" t="s">
        <v>1558</v>
      </c>
      <c r="E84" s="625"/>
      <c r="F84" s="642">
        <f>'SCH B-2.1'!I233</f>
        <v>12832410</v>
      </c>
      <c r="G84" s="644"/>
      <c r="H84" s="656">
        <f>'SCH B-3'!K271</f>
        <v>-5811552</v>
      </c>
      <c r="J84" s="1286">
        <v>2.7099999999999999E-2</v>
      </c>
      <c r="L84" s="656">
        <f t="shared" si="2"/>
        <v>347758</v>
      </c>
      <c r="M84" s="669">
        <v>0.1</v>
      </c>
      <c r="N84" s="561">
        <v>37</v>
      </c>
      <c r="O84" s="666" t="s">
        <v>1488</v>
      </c>
    </row>
    <row r="85" spans="1:15">
      <c r="A85" s="639">
        <f t="shared" si="1"/>
        <v>19</v>
      </c>
      <c r="B85" s="639" t="s">
        <v>1090</v>
      </c>
      <c r="C85" s="639" t="str">
        <f>'SCH B-3'!C75</f>
        <v>28200,28201</v>
      </c>
      <c r="D85" s="625" t="s">
        <v>1091</v>
      </c>
      <c r="E85" s="625"/>
      <c r="F85" s="642">
        <f>'SCH B-2.1'!I234</f>
        <v>10424840</v>
      </c>
      <c r="G85" s="644"/>
      <c r="H85" s="656">
        <f>'SCH B-3'!K272</f>
        <v>2892967</v>
      </c>
      <c r="J85" s="1286">
        <v>3.1600000000000003E-2</v>
      </c>
      <c r="L85" s="656">
        <f t="shared" si="2"/>
        <v>329425</v>
      </c>
      <c r="M85" s="669">
        <v>0</v>
      </c>
      <c r="N85" s="561">
        <v>37</v>
      </c>
      <c r="O85" s="666" t="s">
        <v>1488</v>
      </c>
    </row>
    <row r="86" spans="1:15">
      <c r="A86" s="639">
        <f t="shared" si="1"/>
        <v>20</v>
      </c>
      <c r="B86" s="639" t="s">
        <v>1092</v>
      </c>
      <c r="C86" s="639" t="str">
        <f>'SCH B-3'!C76</f>
        <v>28300,283001</v>
      </c>
      <c r="D86" s="625" t="s">
        <v>1093</v>
      </c>
      <c r="E86" s="625"/>
      <c r="F86" s="642">
        <f>'SCH B-2.1'!I235</f>
        <v>6557950</v>
      </c>
      <c r="G86" s="644"/>
      <c r="H86" s="656">
        <f>'SCH B-3'!K273</f>
        <v>2345399</v>
      </c>
      <c r="J86" s="1286">
        <v>2.87E-2</v>
      </c>
      <c r="L86" s="656">
        <f t="shared" si="2"/>
        <v>188213</v>
      </c>
      <c r="M86" s="669">
        <v>0.1</v>
      </c>
      <c r="N86" s="561">
        <v>44</v>
      </c>
      <c r="O86" s="666" t="s">
        <v>258</v>
      </c>
    </row>
    <row r="87" spans="1:15">
      <c r="A87" s="639">
        <f t="shared" si="1"/>
        <v>21</v>
      </c>
      <c r="B87" s="639" t="s">
        <v>1094</v>
      </c>
      <c r="C87" s="639" t="str">
        <f>'SCH B-3'!C77</f>
        <v>28400,28401</v>
      </c>
      <c r="D87" s="625" t="s">
        <v>1095</v>
      </c>
      <c r="E87" s="625"/>
      <c r="F87" s="642">
        <f>'SCH B-2.1'!I236</f>
        <v>5939132</v>
      </c>
      <c r="G87" s="644"/>
      <c r="H87" s="656">
        <f>'SCH B-3'!K274</f>
        <v>2787651</v>
      </c>
      <c r="J87" s="1286">
        <v>3.0200000000000001E-2</v>
      </c>
      <c r="L87" s="656">
        <f t="shared" si="2"/>
        <v>179362</v>
      </c>
      <c r="M87" s="669">
        <v>0</v>
      </c>
      <c r="N87" s="561">
        <v>44</v>
      </c>
      <c r="O87" s="666" t="s">
        <v>258</v>
      </c>
    </row>
    <row r="88" spans="1:15">
      <c r="A88" s="639">
        <f t="shared" si="1"/>
        <v>22</v>
      </c>
      <c r="B88" s="639" t="s">
        <v>1096</v>
      </c>
      <c r="C88" s="639">
        <f>'SCH B-3'!C78</f>
        <v>28500</v>
      </c>
      <c r="D88" s="625" t="s">
        <v>1097</v>
      </c>
      <c r="E88" s="625"/>
      <c r="F88" s="642">
        <f>'SCH B-2.1'!I237</f>
        <v>455084</v>
      </c>
      <c r="G88" s="644"/>
      <c r="H88" s="656">
        <f>'SCH B-3'!K275</f>
        <v>448439</v>
      </c>
      <c r="J88" s="1286">
        <v>3.2199999999999999E-2</v>
      </c>
      <c r="L88" s="656">
        <f t="shared" si="2"/>
        <v>14654</v>
      </c>
      <c r="M88" s="669">
        <v>-0.1</v>
      </c>
      <c r="N88" s="561">
        <v>32</v>
      </c>
      <c r="O88" s="666" t="s">
        <v>255</v>
      </c>
    </row>
    <row r="89" spans="1:15">
      <c r="A89" s="639">
        <f t="shared" si="1"/>
        <v>23</v>
      </c>
      <c r="B89" s="639" t="s">
        <v>1096</v>
      </c>
      <c r="C89" s="639">
        <f>'SCH B-3'!C79</f>
        <v>28501</v>
      </c>
      <c r="D89" s="625" t="s">
        <v>1098</v>
      </c>
      <c r="E89" s="625"/>
      <c r="F89" s="642">
        <f>'SCH B-2.1'!I238</f>
        <v>64791</v>
      </c>
      <c r="G89" s="625"/>
      <c r="H89" s="656">
        <f>'SCH B-3'!K276</f>
        <v>49660</v>
      </c>
      <c r="J89" s="1286">
        <v>2.58E-2</v>
      </c>
      <c r="L89" s="656">
        <f t="shared" si="2"/>
        <v>1672</v>
      </c>
      <c r="M89" s="669">
        <v>-0.1</v>
      </c>
      <c r="N89" s="561">
        <v>32</v>
      </c>
      <c r="O89" s="666" t="s">
        <v>255</v>
      </c>
    </row>
    <row r="90" spans="1:15">
      <c r="A90" s="639">
        <f t="shared" si="1"/>
        <v>24</v>
      </c>
      <c r="B90" s="639">
        <v>387</v>
      </c>
      <c r="C90" s="639">
        <f>'SCH B-3'!C80</f>
        <v>28700</v>
      </c>
      <c r="D90" s="625" t="s">
        <v>1099</v>
      </c>
      <c r="E90" s="625"/>
      <c r="F90" s="642">
        <f>'SCH B-2.1'!I239</f>
        <v>21447</v>
      </c>
      <c r="G90" s="625"/>
      <c r="H90" s="656">
        <f>'SCH B-3'!K277</f>
        <v>22692</v>
      </c>
      <c r="J90" s="1286">
        <v>0.1077</v>
      </c>
      <c r="L90" s="656">
        <f t="shared" si="2"/>
        <v>2310</v>
      </c>
      <c r="M90" s="669">
        <v>0</v>
      </c>
      <c r="N90" s="561">
        <v>12</v>
      </c>
      <c r="O90" s="666" t="s">
        <v>280</v>
      </c>
    </row>
    <row r="91" spans="1:15">
      <c r="A91" s="639">
        <f t="shared" si="1"/>
        <v>25</v>
      </c>
      <c r="B91" s="639" t="s">
        <v>1100</v>
      </c>
      <c r="C91" s="639">
        <f>'SCH B-3'!C81</f>
        <v>28701</v>
      </c>
      <c r="D91" s="625" t="s">
        <v>1101</v>
      </c>
      <c r="E91" s="625"/>
      <c r="F91" s="642">
        <f>'SCH B-2.1'!I240</f>
        <v>28290</v>
      </c>
      <c r="G91" s="625"/>
      <c r="H91" s="656">
        <f>'SCH B-3'!K278</f>
        <v>22262</v>
      </c>
      <c r="J91" s="1286">
        <v>3.73E-2</v>
      </c>
      <c r="L91" s="656">
        <f t="shared" si="2"/>
        <v>1055</v>
      </c>
      <c r="M91" s="669">
        <v>0</v>
      </c>
      <c r="N91" s="561">
        <v>30</v>
      </c>
      <c r="O91" s="666" t="s">
        <v>257</v>
      </c>
    </row>
    <row r="92" spans="1:15">
      <c r="A92" s="639">
        <f t="shared" si="1"/>
        <v>26</v>
      </c>
      <c r="B92" s="639"/>
      <c r="C92" s="639"/>
      <c r="D92" s="560" t="s">
        <v>1385</v>
      </c>
      <c r="E92" s="625"/>
      <c r="F92" s="642">
        <f>'SCH B-2.1'!I241</f>
        <v>3583546</v>
      </c>
      <c r="G92" s="625"/>
      <c r="H92" s="656">
        <f>'SCH B-3'!K279</f>
        <v>1213033</v>
      </c>
      <c r="J92" s="1286">
        <v>3.0099999999999998E-2</v>
      </c>
      <c r="L92" s="656">
        <f t="shared" si="2"/>
        <v>107865</v>
      </c>
      <c r="M92" s="669"/>
      <c r="N92" s="561"/>
      <c r="O92" s="666"/>
    </row>
    <row r="93" spans="1:15">
      <c r="A93" s="639">
        <f t="shared" si="1"/>
        <v>27</v>
      </c>
      <c r="C93" s="639">
        <v>108</v>
      </c>
      <c r="D93" s="625" t="s">
        <v>249</v>
      </c>
      <c r="E93" s="625"/>
      <c r="F93" s="642">
        <f>'SCH B-2.1'!I243</f>
        <v>0</v>
      </c>
      <c r="G93" s="625"/>
      <c r="H93" s="656" t="e">
        <f>'SCH B-3'!#REF!</f>
        <v>#REF!</v>
      </c>
      <c r="L93" s="656"/>
      <c r="M93" s="624"/>
    </row>
    <row r="94" spans="1:15">
      <c r="G94" s="628"/>
      <c r="H94" s="628"/>
      <c r="I94" s="628"/>
      <c r="J94" s="628"/>
      <c r="K94" s="628"/>
      <c r="L94" s="655"/>
      <c r="M94" s="628"/>
      <c r="N94" s="628"/>
      <c r="O94" s="628"/>
    </row>
    <row r="95" spans="1:15">
      <c r="A95" s="629"/>
      <c r="B95" s="629"/>
      <c r="C95" s="629"/>
      <c r="D95" s="629"/>
      <c r="E95" s="629"/>
      <c r="F95" s="629"/>
      <c r="G95" s="636"/>
      <c r="L95" s="656"/>
    </row>
    <row r="96" spans="1:15">
      <c r="A96" s="639">
        <f>+A93+1</f>
        <v>28</v>
      </c>
      <c r="D96" s="625" t="s">
        <v>1393</v>
      </c>
      <c r="E96" s="625"/>
      <c r="F96" s="642" t="e">
        <f>SUM(F67:F95)</f>
        <v>#REF!</v>
      </c>
      <c r="G96" s="625"/>
      <c r="H96" s="642" t="e">
        <f>SUM(H67:H95)</f>
        <v>#REF!</v>
      </c>
      <c r="L96" s="642" t="e">
        <f>SUM(L67:L95)</f>
        <v>#REF!</v>
      </c>
    </row>
    <row r="97" spans="1:15">
      <c r="G97" s="628"/>
      <c r="H97" s="628"/>
      <c r="I97" s="628"/>
      <c r="J97" s="628"/>
      <c r="K97" s="628"/>
      <c r="L97" s="628"/>
      <c r="M97" s="628"/>
      <c r="N97" s="628"/>
      <c r="O97" s="628"/>
    </row>
    <row r="98" spans="1:15">
      <c r="A98" s="629"/>
      <c r="B98" s="629"/>
      <c r="C98" s="629"/>
      <c r="D98" s="629"/>
      <c r="E98" s="629"/>
      <c r="F98" s="629"/>
      <c r="G98" s="636"/>
    </row>
    <row r="99" spans="1:15">
      <c r="A99" s="644" t="s">
        <v>259</v>
      </c>
    </row>
    <row r="104" spans="1:15">
      <c r="A104" s="619" t="str">
        <f t="shared" ref="A104:A109" si="3">+A1</f>
        <v>DUKE ENERGY KENTUCKY, INC.</v>
      </c>
      <c r="B104" s="619"/>
      <c r="C104" s="619"/>
      <c r="D104" s="619"/>
      <c r="E104" s="619"/>
      <c r="F104" s="619"/>
      <c r="G104" s="619"/>
      <c r="H104" s="619"/>
      <c r="I104" s="619"/>
      <c r="J104" s="619"/>
      <c r="K104" s="619"/>
      <c r="L104" s="619"/>
      <c r="M104" s="619"/>
      <c r="N104" s="619"/>
      <c r="O104" s="619"/>
    </row>
    <row r="105" spans="1:15">
      <c r="A105" s="618" t="str">
        <f t="shared" si="3"/>
        <v>CASE NO. 2018-00261</v>
      </c>
      <c r="B105" s="618"/>
      <c r="C105" s="618"/>
      <c r="D105" s="618"/>
      <c r="E105" s="618"/>
      <c r="F105" s="618"/>
      <c r="G105" s="618"/>
      <c r="H105" s="618"/>
      <c r="I105" s="618"/>
      <c r="J105" s="618"/>
      <c r="K105" s="618"/>
      <c r="L105" s="618"/>
      <c r="M105" s="618"/>
      <c r="N105" s="618"/>
      <c r="O105" s="618"/>
    </row>
    <row r="106" spans="1:15">
      <c r="A106" s="618" t="str">
        <f t="shared" si="3"/>
        <v>DEPRECIATION AND AMORTIZATION ACCRUAL RATES AND</v>
      </c>
      <c r="B106" s="618"/>
      <c r="C106" s="618"/>
      <c r="D106" s="618"/>
      <c r="E106" s="618"/>
      <c r="F106" s="618"/>
      <c r="G106" s="618"/>
      <c r="H106" s="618"/>
      <c r="I106" s="618"/>
      <c r="J106" s="618"/>
      <c r="K106" s="618"/>
      <c r="L106" s="618"/>
      <c r="M106" s="618"/>
      <c r="N106" s="618"/>
      <c r="O106" s="618"/>
    </row>
    <row r="107" spans="1:15">
      <c r="A107" s="618" t="str">
        <f t="shared" si="3"/>
        <v>JURISDICTIONAL ACCUMULATED BALANCES BY ACCOUNTS,</v>
      </c>
      <c r="B107" s="618"/>
      <c r="C107" s="618"/>
      <c r="D107" s="618"/>
      <c r="E107" s="618"/>
      <c r="F107" s="618"/>
      <c r="G107" s="618"/>
      <c r="H107" s="618"/>
      <c r="I107" s="618"/>
      <c r="J107" s="618"/>
      <c r="K107" s="618"/>
      <c r="L107" s="618"/>
      <c r="M107" s="618"/>
      <c r="N107" s="618"/>
      <c r="O107" s="618"/>
    </row>
    <row r="108" spans="1:15">
      <c r="A108" s="618" t="str">
        <f t="shared" si="3"/>
        <v>FUNCTIONAL CLASS OR MAJOR PROPERTY GROUP</v>
      </c>
      <c r="B108" s="618"/>
      <c r="C108" s="618"/>
      <c r="D108" s="618"/>
      <c r="E108" s="618"/>
      <c r="F108" s="618"/>
      <c r="G108" s="618"/>
      <c r="H108" s="618"/>
      <c r="I108" s="618"/>
      <c r="J108" s="618"/>
      <c r="K108" s="618"/>
      <c r="L108" s="618"/>
      <c r="M108" s="618"/>
      <c r="N108" s="618"/>
      <c r="O108" s="618"/>
    </row>
    <row r="109" spans="1:15">
      <c r="A109" s="618" t="str">
        <f t="shared" si="3"/>
        <v>THIRTEEN MONTH AVERAGE AS OF MARCH 31, 2020</v>
      </c>
      <c r="B109" s="618"/>
      <c r="C109" s="618"/>
      <c r="D109" s="618"/>
      <c r="E109" s="618"/>
      <c r="F109" s="618"/>
      <c r="G109" s="618"/>
      <c r="H109" s="618"/>
      <c r="I109" s="618"/>
      <c r="J109" s="618"/>
      <c r="K109" s="618"/>
      <c r="L109" s="618"/>
      <c r="M109" s="618"/>
      <c r="N109" s="618"/>
      <c r="O109" s="618"/>
    </row>
    <row r="110" spans="1:15">
      <c r="A110" s="619"/>
      <c r="B110" s="619"/>
      <c r="C110" s="619"/>
      <c r="D110" s="619"/>
      <c r="E110" s="619"/>
      <c r="F110" s="619"/>
      <c r="G110" s="619"/>
    </row>
    <row r="111" spans="1:15">
      <c r="A111" s="618" t="s">
        <v>1103</v>
      </c>
      <c r="B111" s="618"/>
      <c r="C111" s="618"/>
      <c r="D111" s="618"/>
      <c r="E111" s="618"/>
      <c r="F111" s="618"/>
      <c r="G111" s="618"/>
      <c r="H111" s="618"/>
      <c r="I111" s="618"/>
      <c r="J111" s="618"/>
      <c r="K111" s="618"/>
      <c r="L111" s="618"/>
      <c r="M111" s="618"/>
      <c r="N111" s="618"/>
      <c r="O111" s="618"/>
    </row>
    <row r="112" spans="1:15">
      <c r="A112" s="620"/>
      <c r="B112" s="620"/>
      <c r="C112" s="620"/>
      <c r="D112" s="620"/>
      <c r="E112" s="620"/>
      <c r="F112" s="620"/>
      <c r="G112" s="620"/>
      <c r="H112" s="620"/>
      <c r="I112" s="620"/>
      <c r="J112" s="620"/>
      <c r="K112" s="620"/>
      <c r="L112" s="620"/>
      <c r="M112" s="620"/>
      <c r="N112" s="620"/>
      <c r="O112" s="620"/>
    </row>
    <row r="113" spans="1:15">
      <c r="A113" s="645"/>
    </row>
    <row r="114" spans="1:15">
      <c r="A114" s="625" t="str">
        <f>+A12</f>
        <v>DATA:  BASE PERIOD  "X" FORECASTED PERIOD</v>
      </c>
      <c r="M114" s="626" t="str">
        <f>+M12</f>
        <v>SCHEDULE B-3.2</v>
      </c>
    </row>
    <row r="115" spans="1:15">
      <c r="A115" s="625" t="str">
        <f>+A13</f>
        <v xml:space="preserve">TYPE OF FILING:  "X" ORIGINAL   UPDATED    REVISED  </v>
      </c>
      <c r="M115" s="626" t="s">
        <v>1104</v>
      </c>
    </row>
    <row r="116" spans="1:15">
      <c r="A116" s="625" t="str">
        <f>+A14</f>
        <v>WORK PAPER REFERENCE NOS.: SCHEDULE B-2.1, SCHEDULE B-3</v>
      </c>
      <c r="M116" s="626" t="str">
        <f>+M14</f>
        <v>WITNESS RESPONSIBLE:</v>
      </c>
    </row>
    <row r="117" spans="1:15">
      <c r="M117" s="627" t="str">
        <f>+M15</f>
        <v>R. H. PRATT / C. S. LEE</v>
      </c>
    </row>
    <row r="120" spans="1:15">
      <c r="B120" s="628"/>
      <c r="F120" s="628"/>
      <c r="G120" s="628"/>
      <c r="H120" s="628"/>
      <c r="I120" s="628"/>
      <c r="J120" s="628"/>
      <c r="K120" s="628"/>
      <c r="L120" s="628"/>
      <c r="M120" s="628"/>
      <c r="N120" s="628"/>
      <c r="O120" s="628"/>
    </row>
    <row r="121" spans="1:15">
      <c r="A121" s="629"/>
      <c r="B121" s="646"/>
      <c r="C121" s="647"/>
      <c r="D121" s="629"/>
      <c r="E121" s="629"/>
      <c r="F121" s="823" t="s">
        <v>1468</v>
      </c>
      <c r="G121" s="823"/>
      <c r="H121" s="823"/>
    </row>
    <row r="122" spans="1:15">
      <c r="A122" s="636"/>
      <c r="B122" s="648" t="s">
        <v>1041</v>
      </c>
      <c r="C122" s="648" t="s">
        <v>2137</v>
      </c>
      <c r="D122" s="639" t="s">
        <v>1151</v>
      </c>
      <c r="E122" s="639"/>
      <c r="F122" s="3588" t="s">
        <v>2044</v>
      </c>
      <c r="G122" s="3588"/>
      <c r="H122" s="3588"/>
      <c r="J122" s="1299" t="s">
        <v>1469</v>
      </c>
      <c r="L122" s="640" t="s">
        <v>1470</v>
      </c>
      <c r="N122" s="640" t="s">
        <v>799</v>
      </c>
    </row>
    <row r="123" spans="1:15">
      <c r="A123" s="639" t="s">
        <v>1938</v>
      </c>
      <c r="B123" s="639" t="s">
        <v>1150</v>
      </c>
      <c r="C123" s="639" t="s">
        <v>1150</v>
      </c>
      <c r="D123" s="640" t="s">
        <v>1471</v>
      </c>
      <c r="E123" s="640"/>
      <c r="F123" s="640" t="s">
        <v>121</v>
      </c>
      <c r="G123" s="640"/>
      <c r="H123" s="621" t="s">
        <v>1438</v>
      </c>
      <c r="J123" s="640" t="s">
        <v>1472</v>
      </c>
      <c r="L123" s="640" t="s">
        <v>1473</v>
      </c>
      <c r="M123" s="651" t="s">
        <v>1474</v>
      </c>
      <c r="N123" s="640" t="s">
        <v>1475</v>
      </c>
      <c r="O123" s="640" t="s">
        <v>1476</v>
      </c>
    </row>
    <row r="124" spans="1:15">
      <c r="A124" s="639" t="s">
        <v>1939</v>
      </c>
      <c r="B124" s="639" t="s">
        <v>1939</v>
      </c>
      <c r="C124" s="639" t="s">
        <v>1939</v>
      </c>
      <c r="D124" s="639" t="s">
        <v>1477</v>
      </c>
      <c r="E124" s="639"/>
      <c r="F124" s="639" t="s">
        <v>279</v>
      </c>
      <c r="G124" s="639"/>
      <c r="H124" s="640" t="s">
        <v>1407</v>
      </c>
      <c r="J124" s="640" t="s">
        <v>524</v>
      </c>
      <c r="L124" s="640" t="s">
        <v>398</v>
      </c>
      <c r="M124" s="640" t="s">
        <v>1478</v>
      </c>
      <c r="N124" s="640" t="s">
        <v>1479</v>
      </c>
      <c r="O124" s="640" t="s">
        <v>1480</v>
      </c>
    </row>
    <row r="125" spans="1:15">
      <c r="A125" s="657" t="s">
        <v>837</v>
      </c>
      <c r="B125" s="657" t="s">
        <v>1481</v>
      </c>
      <c r="C125" s="657" t="s">
        <v>1482</v>
      </c>
      <c r="D125" s="657" t="s">
        <v>845</v>
      </c>
      <c r="E125" s="657"/>
      <c r="F125" s="657" t="s">
        <v>1042</v>
      </c>
      <c r="G125" s="657"/>
      <c r="H125" s="658" t="s">
        <v>718</v>
      </c>
      <c r="I125" s="628"/>
      <c r="J125" s="658" t="s">
        <v>840</v>
      </c>
      <c r="K125" s="658"/>
      <c r="L125" s="658" t="s">
        <v>1483</v>
      </c>
      <c r="M125" s="658" t="s">
        <v>1484</v>
      </c>
      <c r="N125" s="658" t="s">
        <v>1043</v>
      </c>
      <c r="O125" s="658" t="s">
        <v>1485</v>
      </c>
    </row>
    <row r="126" spans="1:15">
      <c r="A126" s="659"/>
      <c r="B126" s="659"/>
      <c r="C126" s="659"/>
      <c r="D126" s="659"/>
      <c r="E126" s="659"/>
      <c r="F126" s="653" t="s">
        <v>695</v>
      </c>
      <c r="G126" s="659"/>
      <c r="H126" s="641" t="s">
        <v>695</v>
      </c>
      <c r="I126" s="622"/>
      <c r="J126" s="660"/>
      <c r="K126" s="660"/>
      <c r="L126" s="641" t="s">
        <v>695</v>
      </c>
      <c r="M126" s="660"/>
      <c r="N126" s="660"/>
      <c r="O126" s="660"/>
    </row>
    <row r="127" spans="1:15">
      <c r="H127" s="656"/>
      <c r="J127" s="661"/>
    </row>
    <row r="128" spans="1:15">
      <c r="A128" s="639" t="s">
        <v>1152</v>
      </c>
      <c r="B128" s="651"/>
      <c r="C128" s="640">
        <f>'SCH B-3'!C117</f>
        <v>20300</v>
      </c>
      <c r="D128" s="621" t="s">
        <v>1105</v>
      </c>
      <c r="F128" s="656">
        <f>'SCH B-2.1'!I270</f>
        <v>8757245</v>
      </c>
      <c r="H128" s="656">
        <f>'SCH B-3'!K314</f>
        <v>6554122</v>
      </c>
      <c r="J128" s="821"/>
      <c r="L128" s="561">
        <v>51</v>
      </c>
      <c r="M128" s="561" t="s">
        <v>281</v>
      </c>
      <c r="N128" s="561"/>
      <c r="O128" s="561"/>
    </row>
    <row r="129" spans="1:15">
      <c r="A129" s="639">
        <f t="shared" ref="A129:A136" si="4">+A128+1</f>
        <v>2</v>
      </c>
      <c r="B129" s="639" t="s">
        <v>1106</v>
      </c>
      <c r="C129" s="640" t="str">
        <f>'SCH B-3'!C118</f>
        <v>20310</v>
      </c>
      <c r="D129" s="625" t="s">
        <v>1107</v>
      </c>
      <c r="E129" s="625"/>
      <c r="F129" s="656">
        <f>'SCH B-2.1'!I271</f>
        <v>2670960</v>
      </c>
      <c r="G129" s="625"/>
      <c r="H129" s="656">
        <f>'SCH B-3'!K315</f>
        <v>553734</v>
      </c>
      <c r="J129" s="1287">
        <v>5.4800000000000001E-2</v>
      </c>
      <c r="L129" s="656">
        <f>ROUND(F129*J129,0)</f>
        <v>146369</v>
      </c>
      <c r="M129" s="561">
        <v>0</v>
      </c>
      <c r="N129" s="561">
        <v>20</v>
      </c>
      <c r="O129" s="666" t="s">
        <v>1487</v>
      </c>
    </row>
    <row r="130" spans="1:15">
      <c r="A130" s="639">
        <f t="shared" si="4"/>
        <v>3</v>
      </c>
      <c r="B130" s="639" t="s">
        <v>1108</v>
      </c>
      <c r="C130" s="640">
        <f>'SCH B-3'!C119</f>
        <v>29100</v>
      </c>
      <c r="D130" s="625" t="s">
        <v>1109</v>
      </c>
      <c r="E130" s="625"/>
      <c r="F130" s="656">
        <f>'SCH B-2.1'!I272</f>
        <v>3981</v>
      </c>
      <c r="G130" s="625"/>
      <c r="H130" s="656">
        <f>'SCH B-3'!K316</f>
        <v>3245</v>
      </c>
      <c r="J130" s="1286"/>
      <c r="L130" s="656"/>
      <c r="M130" s="561" t="s">
        <v>260</v>
      </c>
      <c r="N130" s="561"/>
      <c r="O130" s="666"/>
    </row>
    <row r="131" spans="1:15">
      <c r="A131" s="639">
        <f t="shared" si="4"/>
        <v>4</v>
      </c>
      <c r="B131" s="639" t="s">
        <v>1108</v>
      </c>
      <c r="C131" s="640">
        <f>'SCH B-3'!C120</f>
        <v>29101</v>
      </c>
      <c r="D131" s="625" t="s">
        <v>1110</v>
      </c>
      <c r="E131" s="625"/>
      <c r="F131" s="656">
        <f>'SCH B-2.1'!I273</f>
        <v>212320</v>
      </c>
      <c r="G131" s="644"/>
      <c r="H131" s="656">
        <f>'SCH B-3'!K317</f>
        <v>-10605</v>
      </c>
      <c r="J131" s="1286"/>
      <c r="L131" s="656"/>
      <c r="M131" s="561" t="s">
        <v>260</v>
      </c>
      <c r="N131" s="561"/>
      <c r="O131" s="666"/>
    </row>
    <row r="132" spans="1:15">
      <c r="A132" s="639">
        <f t="shared" si="4"/>
        <v>5</v>
      </c>
      <c r="B132" s="639" t="s">
        <v>1111</v>
      </c>
      <c r="C132" s="640">
        <f>'SCH B-3'!C121</f>
        <v>29200</v>
      </c>
      <c r="D132" s="625" t="s">
        <v>1112</v>
      </c>
      <c r="E132" s="625"/>
      <c r="F132" s="656">
        <f>'SCH B-2.1'!I274</f>
        <v>0</v>
      </c>
      <c r="G132" s="644"/>
      <c r="H132" s="656">
        <f>'SCH B-3'!K318</f>
        <v>0</v>
      </c>
      <c r="J132" s="1286">
        <v>4.0099999999999997E-2</v>
      </c>
      <c r="L132" s="656">
        <f>ROUND(F132*J132,0)</f>
        <v>0</v>
      </c>
      <c r="M132" s="561">
        <v>0</v>
      </c>
      <c r="N132" s="561">
        <v>25</v>
      </c>
      <c r="O132" s="666" t="s">
        <v>1487</v>
      </c>
    </row>
    <row r="133" spans="1:15">
      <c r="A133" s="639">
        <f t="shared" si="4"/>
        <v>6</v>
      </c>
      <c r="B133" s="639" t="s">
        <v>1113</v>
      </c>
      <c r="C133" s="640">
        <f>'SCH B-3'!C122</f>
        <v>29201</v>
      </c>
      <c r="D133" s="625" t="s">
        <v>1114</v>
      </c>
      <c r="E133" s="625"/>
      <c r="F133" s="656">
        <f>'SCH B-2.1'!I275</f>
        <v>63448</v>
      </c>
      <c r="G133" s="625"/>
      <c r="H133" s="656">
        <f>'SCH B-3'!K319</f>
        <v>42743</v>
      </c>
      <c r="J133" s="1286"/>
      <c r="K133" s="644" t="s">
        <v>678</v>
      </c>
      <c r="L133" s="656"/>
      <c r="M133" s="561" t="s">
        <v>260</v>
      </c>
      <c r="N133" s="561"/>
      <c r="O133" s="666"/>
    </row>
    <row r="134" spans="1:15">
      <c r="A134" s="639">
        <f t="shared" si="4"/>
        <v>7</v>
      </c>
      <c r="B134" s="639" t="s">
        <v>1115</v>
      </c>
      <c r="C134" s="640">
        <f>'SCH B-3'!C126</f>
        <v>29800</v>
      </c>
      <c r="D134" s="625" t="s">
        <v>1116</v>
      </c>
      <c r="E134" s="625"/>
      <c r="F134" s="656">
        <f>'SCH B-2.1'!I279</f>
        <v>0</v>
      </c>
      <c r="G134" s="625"/>
      <c r="H134" s="656">
        <f>'SCH B-3'!K323</f>
        <v>-321</v>
      </c>
      <c r="J134" s="1286"/>
      <c r="L134" s="656">
        <f>ROUND(F134*J134,0)</f>
        <v>0</v>
      </c>
      <c r="M134" s="561"/>
      <c r="N134" s="561"/>
      <c r="O134" s="666"/>
    </row>
    <row r="135" spans="1:15">
      <c r="A135" s="639">
        <f t="shared" si="4"/>
        <v>8</v>
      </c>
      <c r="B135" s="639"/>
      <c r="C135" s="639"/>
      <c r="D135" s="560" t="s">
        <v>1385</v>
      </c>
      <c r="E135" s="625"/>
      <c r="F135" s="656" t="e">
        <f>'SCH B-2.1'!#REF!</f>
        <v>#REF!</v>
      </c>
      <c r="G135" s="625"/>
      <c r="H135" s="656" t="e">
        <f>'SCH B-3'!#REF!</f>
        <v>#REF!</v>
      </c>
      <c r="J135" s="1286">
        <v>3.85E-2</v>
      </c>
      <c r="L135" s="656" t="e">
        <f>ROUND(F135*J135,0)</f>
        <v>#REF!</v>
      </c>
      <c r="O135" s="640"/>
    </row>
    <row r="136" spans="1:15">
      <c r="A136" s="639">
        <f t="shared" si="4"/>
        <v>9</v>
      </c>
      <c r="C136" s="639">
        <v>108</v>
      </c>
      <c r="D136" s="625" t="s">
        <v>122</v>
      </c>
      <c r="E136" s="625"/>
      <c r="F136" s="656"/>
      <c r="G136" s="625"/>
      <c r="H136" s="656">
        <f>'SCH B-3'!K325</f>
        <v>667715</v>
      </c>
      <c r="J136" s="624"/>
      <c r="L136" s="656"/>
    </row>
    <row r="137" spans="1:15">
      <c r="C137" s="625"/>
      <c r="L137" s="656"/>
    </row>
    <row r="138" spans="1:15">
      <c r="F138" s="628"/>
      <c r="G138" s="628"/>
      <c r="H138" s="628"/>
      <c r="I138" s="628"/>
      <c r="J138" s="628"/>
      <c r="K138" s="628"/>
      <c r="L138" s="655"/>
      <c r="M138" s="628"/>
      <c r="N138" s="628"/>
      <c r="O138" s="628"/>
    </row>
    <row r="139" spans="1:15">
      <c r="A139" s="629"/>
      <c r="B139" s="629"/>
      <c r="C139" s="629"/>
      <c r="D139" s="629"/>
      <c r="E139" s="629"/>
      <c r="F139" s="636"/>
      <c r="G139" s="636"/>
      <c r="L139" s="656"/>
    </row>
    <row r="140" spans="1:15">
      <c r="A140" s="639">
        <f>+A136+1</f>
        <v>10</v>
      </c>
      <c r="D140" s="625" t="s">
        <v>1397</v>
      </c>
      <c r="E140" s="625"/>
      <c r="F140" s="642" t="e">
        <f>SUM(F128:F139)</f>
        <v>#REF!</v>
      </c>
      <c r="G140" s="626"/>
      <c r="H140" s="642" t="e">
        <f>SUM(H128:H139)</f>
        <v>#REF!</v>
      </c>
      <c r="L140" s="642" t="e">
        <f>SUM(L128:L139)</f>
        <v>#REF!</v>
      </c>
    </row>
    <row r="141" spans="1:15">
      <c r="F141" s="655"/>
      <c r="G141" s="655"/>
      <c r="H141" s="655"/>
      <c r="I141" s="628"/>
      <c r="J141" s="628"/>
      <c r="K141" s="628"/>
      <c r="L141" s="655"/>
      <c r="M141" s="628"/>
      <c r="N141" s="628"/>
      <c r="O141" s="628"/>
    </row>
    <row r="142" spans="1:15">
      <c r="A142" s="629"/>
      <c r="B142" s="629"/>
      <c r="C142" s="629"/>
      <c r="D142" s="629"/>
      <c r="E142" s="629"/>
      <c r="F142" s="818"/>
      <c r="G142" s="818"/>
      <c r="H142" s="656"/>
      <c r="L142" s="656"/>
    </row>
    <row r="143" spans="1:15">
      <c r="A143" s="639">
        <f>+A140+1</f>
        <v>11</v>
      </c>
      <c r="D143" s="625" t="s">
        <v>1398</v>
      </c>
      <c r="E143" s="625"/>
      <c r="F143" s="642" t="e">
        <f>(+F140+F96+F34)</f>
        <v>#REF!</v>
      </c>
      <c r="G143" s="626"/>
      <c r="H143" s="642" t="e">
        <f>+H140+H96+H34</f>
        <v>#REF!</v>
      </c>
      <c r="L143" s="642" t="e">
        <f>+L140+L96+L34</f>
        <v>#REF!</v>
      </c>
    </row>
    <row r="144" spans="1:15">
      <c r="F144" s="628"/>
      <c r="G144" s="628"/>
      <c r="H144" s="628"/>
      <c r="I144" s="628"/>
      <c r="J144" s="628"/>
      <c r="K144" s="628"/>
      <c r="L144" s="628"/>
      <c r="M144" s="628"/>
      <c r="N144" s="628"/>
      <c r="O144" s="628"/>
    </row>
    <row r="145" spans="1:15">
      <c r="A145" s="629"/>
      <c r="B145" s="629"/>
      <c r="C145" s="629"/>
      <c r="D145" s="629"/>
      <c r="E145" s="629"/>
      <c r="F145" s="636"/>
      <c r="G145" s="636"/>
    </row>
    <row r="146" spans="1:15">
      <c r="A146" s="644" t="s">
        <v>259</v>
      </c>
    </row>
    <row r="147" spans="1:15">
      <c r="A147" s="644" t="s">
        <v>252</v>
      </c>
    </row>
    <row r="151" spans="1:15">
      <c r="A151" s="619" t="str">
        <f t="shared" ref="A151:A156" si="5">+A1</f>
        <v>DUKE ENERGY KENTUCKY, INC.</v>
      </c>
      <c r="B151" s="619"/>
      <c r="C151" s="619"/>
      <c r="D151" s="619"/>
      <c r="E151" s="619"/>
      <c r="F151" s="619"/>
      <c r="G151" s="619"/>
      <c r="H151" s="619"/>
      <c r="I151" s="619"/>
      <c r="J151" s="619"/>
      <c r="K151" s="619"/>
      <c r="L151" s="619"/>
      <c r="M151" s="619"/>
      <c r="N151" s="619"/>
      <c r="O151" s="619"/>
    </row>
    <row r="152" spans="1:15">
      <c r="A152" s="618" t="str">
        <f t="shared" si="5"/>
        <v>CASE NO. 2018-00261</v>
      </c>
      <c r="B152" s="618"/>
      <c r="C152" s="618"/>
      <c r="D152" s="618"/>
      <c r="E152" s="618"/>
      <c r="F152" s="618"/>
      <c r="G152" s="618"/>
      <c r="H152" s="618"/>
      <c r="I152" s="618"/>
      <c r="J152" s="618"/>
      <c r="K152" s="618"/>
      <c r="L152" s="618"/>
      <c r="M152" s="618"/>
      <c r="N152" s="618"/>
      <c r="O152" s="618"/>
    </row>
    <row r="153" spans="1:15">
      <c r="A153" s="618" t="str">
        <f t="shared" si="5"/>
        <v>DEPRECIATION AND AMORTIZATION ACCRUAL RATES AND</v>
      </c>
      <c r="B153" s="618"/>
      <c r="C153" s="618"/>
      <c r="D153" s="618"/>
      <c r="E153" s="618"/>
      <c r="F153" s="618"/>
      <c r="G153" s="618"/>
      <c r="H153" s="618"/>
      <c r="I153" s="618"/>
      <c r="J153" s="618"/>
      <c r="K153" s="618"/>
      <c r="L153" s="618"/>
      <c r="M153" s="618"/>
      <c r="N153" s="618"/>
      <c r="O153" s="618"/>
    </row>
    <row r="154" spans="1:15">
      <c r="A154" s="618" t="str">
        <f t="shared" si="5"/>
        <v>JURISDICTIONAL ACCUMULATED BALANCES BY ACCOUNTS,</v>
      </c>
      <c r="B154" s="618"/>
      <c r="C154" s="618"/>
      <c r="D154" s="618"/>
      <c r="E154" s="618"/>
      <c r="F154" s="618"/>
      <c r="G154" s="618"/>
      <c r="H154" s="618"/>
      <c r="I154" s="618"/>
      <c r="J154" s="618"/>
      <c r="K154" s="618"/>
      <c r="L154" s="618"/>
      <c r="M154" s="618"/>
      <c r="N154" s="618"/>
      <c r="O154" s="618"/>
    </row>
    <row r="155" spans="1:15">
      <c r="A155" s="618" t="str">
        <f t="shared" si="5"/>
        <v>FUNCTIONAL CLASS OR MAJOR PROPERTY GROUP</v>
      </c>
      <c r="B155" s="618"/>
      <c r="C155" s="618"/>
      <c r="D155" s="618"/>
      <c r="E155" s="618"/>
      <c r="F155" s="618"/>
      <c r="G155" s="618"/>
      <c r="H155" s="618"/>
      <c r="I155" s="618"/>
      <c r="J155" s="618"/>
      <c r="K155" s="618"/>
      <c r="L155" s="618"/>
      <c r="M155" s="618"/>
      <c r="N155" s="618"/>
      <c r="O155" s="618"/>
    </row>
    <row r="156" spans="1:15">
      <c r="A156" s="618" t="str">
        <f t="shared" si="5"/>
        <v>THIRTEEN MONTH AVERAGE AS OF MARCH 31, 2020</v>
      </c>
      <c r="B156" s="618"/>
      <c r="C156" s="618"/>
      <c r="D156" s="618"/>
      <c r="E156" s="618"/>
      <c r="F156" s="618"/>
      <c r="G156" s="618"/>
      <c r="H156" s="618"/>
      <c r="I156" s="618"/>
      <c r="J156" s="618"/>
      <c r="K156" s="618"/>
      <c r="L156" s="618"/>
      <c r="M156" s="618"/>
      <c r="N156" s="618"/>
      <c r="O156" s="618"/>
    </row>
    <row r="157" spans="1:15">
      <c r="A157" s="619"/>
      <c r="B157" s="619"/>
      <c r="C157" s="619"/>
      <c r="D157" s="619"/>
      <c r="E157" s="619"/>
      <c r="F157" s="619"/>
      <c r="G157" s="619"/>
    </row>
    <row r="158" spans="1:15">
      <c r="A158" s="618" t="s">
        <v>1119</v>
      </c>
      <c r="B158" s="618"/>
      <c r="C158" s="618"/>
      <c r="D158" s="618"/>
      <c r="E158" s="618"/>
      <c r="F158" s="618"/>
      <c r="G158" s="618"/>
      <c r="H158" s="618"/>
      <c r="I158" s="618"/>
      <c r="J158" s="618"/>
      <c r="K158" s="618"/>
      <c r="L158" s="618"/>
      <c r="M158" s="618"/>
      <c r="N158" s="618"/>
      <c r="O158" s="618"/>
    </row>
    <row r="159" spans="1:15">
      <c r="A159" s="620"/>
      <c r="B159" s="620"/>
      <c r="C159" s="620"/>
      <c r="D159" s="620"/>
      <c r="E159" s="620"/>
      <c r="F159" s="620"/>
      <c r="G159" s="620"/>
      <c r="H159" s="620"/>
      <c r="I159" s="620"/>
      <c r="J159" s="620"/>
      <c r="K159" s="620"/>
      <c r="L159" s="620"/>
      <c r="M159" s="620"/>
      <c r="N159" s="620"/>
      <c r="O159" s="620"/>
    </row>
    <row r="160" spans="1:15">
      <c r="A160" s="645"/>
    </row>
    <row r="161" spans="1:15">
      <c r="A161" s="625" t="str">
        <f>+A12</f>
        <v>DATA:  BASE PERIOD  "X" FORECASTED PERIOD</v>
      </c>
      <c r="M161" s="626" t="str">
        <f>+M12</f>
        <v>SCHEDULE B-3.2</v>
      </c>
    </row>
    <row r="162" spans="1:15">
      <c r="A162" s="625" t="str">
        <f>+A13</f>
        <v xml:space="preserve">TYPE OF FILING:  "X" ORIGINAL   UPDATED    REVISED  </v>
      </c>
      <c r="M162" s="626" t="s">
        <v>1120</v>
      </c>
    </row>
    <row r="163" spans="1:15">
      <c r="A163" s="625" t="str">
        <f>+A14</f>
        <v>WORK PAPER REFERENCE NOS.: SCHEDULE B-2.1, SCHEDULE B-3</v>
      </c>
      <c r="M163" s="626" t="str">
        <f>+M14</f>
        <v>WITNESS RESPONSIBLE:</v>
      </c>
    </row>
    <row r="164" spans="1:15">
      <c r="M164" s="627" t="str">
        <f>+M15</f>
        <v>R. H. PRATT / C. S. LEE</v>
      </c>
    </row>
    <row r="167" spans="1:15">
      <c r="F167" s="628"/>
      <c r="G167" s="628"/>
      <c r="H167" s="628"/>
      <c r="I167" s="628"/>
      <c r="J167" s="628"/>
      <c r="K167" s="628"/>
      <c r="L167" s="628"/>
      <c r="M167" s="628"/>
      <c r="N167" s="628"/>
      <c r="O167" s="628"/>
    </row>
    <row r="168" spans="1:15">
      <c r="A168" s="629"/>
      <c r="B168" s="646"/>
      <c r="C168" s="647"/>
      <c r="D168" s="629"/>
      <c r="E168" s="629"/>
      <c r="F168" s="823" t="s">
        <v>1468</v>
      </c>
      <c r="G168" s="823"/>
      <c r="H168" s="823"/>
    </row>
    <row r="169" spans="1:15">
      <c r="A169" s="636"/>
      <c r="B169" s="648" t="s">
        <v>1041</v>
      </c>
      <c r="C169" s="648" t="s">
        <v>2137</v>
      </c>
      <c r="D169" s="639" t="s">
        <v>1151</v>
      </c>
      <c r="E169" s="639"/>
      <c r="F169" s="3588" t="s">
        <v>2044</v>
      </c>
      <c r="G169" s="3588"/>
      <c r="H169" s="3588"/>
      <c r="J169" s="1299" t="s">
        <v>1469</v>
      </c>
      <c r="L169" s="640" t="s">
        <v>1470</v>
      </c>
      <c r="N169" s="640" t="s">
        <v>799</v>
      </c>
    </row>
    <row r="170" spans="1:15">
      <c r="A170" s="639" t="s">
        <v>1938</v>
      </c>
      <c r="B170" s="639" t="s">
        <v>1150</v>
      </c>
      <c r="C170" s="639" t="s">
        <v>1150</v>
      </c>
      <c r="D170" s="640" t="s">
        <v>1471</v>
      </c>
      <c r="E170" s="640"/>
      <c r="F170" s="640" t="s">
        <v>121</v>
      </c>
      <c r="G170" s="640"/>
      <c r="H170" s="621" t="s">
        <v>1438</v>
      </c>
      <c r="J170" s="640" t="s">
        <v>1472</v>
      </c>
      <c r="L170" s="640" t="s">
        <v>1473</v>
      </c>
      <c r="M170" s="651" t="s">
        <v>1474</v>
      </c>
      <c r="N170" s="640" t="s">
        <v>1475</v>
      </c>
      <c r="O170" s="640" t="s">
        <v>1476</v>
      </c>
    </row>
    <row r="171" spans="1:15">
      <c r="A171" s="639" t="s">
        <v>1939</v>
      </c>
      <c r="B171" s="639" t="s">
        <v>1939</v>
      </c>
      <c r="C171" s="639" t="s">
        <v>1939</v>
      </c>
      <c r="D171" s="639" t="s">
        <v>1477</v>
      </c>
      <c r="E171" s="639"/>
      <c r="F171" s="639" t="s">
        <v>279</v>
      </c>
      <c r="G171" s="639"/>
      <c r="H171" s="640" t="s">
        <v>1407</v>
      </c>
      <c r="J171" s="640" t="s">
        <v>524</v>
      </c>
      <c r="L171" s="640" t="s">
        <v>398</v>
      </c>
      <c r="M171" s="640" t="s">
        <v>1478</v>
      </c>
      <c r="N171" s="640" t="s">
        <v>1479</v>
      </c>
      <c r="O171" s="640" t="s">
        <v>1480</v>
      </c>
    </row>
    <row r="172" spans="1:15">
      <c r="A172" s="657" t="s">
        <v>837</v>
      </c>
      <c r="B172" s="657" t="s">
        <v>1481</v>
      </c>
      <c r="C172" s="657" t="s">
        <v>1482</v>
      </c>
      <c r="D172" s="657" t="s">
        <v>845</v>
      </c>
      <c r="E172" s="657"/>
      <c r="F172" s="657" t="s">
        <v>1042</v>
      </c>
      <c r="G172" s="657"/>
      <c r="H172" s="658" t="s">
        <v>718</v>
      </c>
      <c r="I172" s="628"/>
      <c r="J172" s="658" t="s">
        <v>840</v>
      </c>
      <c r="K172" s="658"/>
      <c r="L172" s="658" t="s">
        <v>1483</v>
      </c>
      <c r="M172" s="658" t="s">
        <v>1484</v>
      </c>
      <c r="N172" s="658" t="s">
        <v>1043</v>
      </c>
      <c r="O172" s="658" t="s">
        <v>1485</v>
      </c>
    </row>
    <row r="173" spans="1:15">
      <c r="A173" s="659"/>
      <c r="B173" s="659"/>
      <c r="C173" s="659"/>
      <c r="D173" s="659"/>
      <c r="E173" s="659"/>
      <c r="F173" s="653" t="s">
        <v>695</v>
      </c>
      <c r="G173" s="659"/>
      <c r="H173" s="641" t="s">
        <v>695</v>
      </c>
      <c r="I173" s="622"/>
      <c r="J173" s="660"/>
      <c r="K173" s="660"/>
      <c r="L173" s="641" t="s">
        <v>695</v>
      </c>
      <c r="M173" s="660"/>
      <c r="N173" s="660"/>
      <c r="O173" s="660"/>
    </row>
    <row r="175" spans="1:15">
      <c r="A175" s="639" t="s">
        <v>1152</v>
      </c>
      <c r="C175" s="639">
        <f>'SCH B-3'!C165</f>
        <v>10300</v>
      </c>
      <c r="D175" s="625" t="s">
        <v>1077</v>
      </c>
      <c r="E175" s="625"/>
      <c r="F175" s="642">
        <f>'SCH B-2.1'!I312</f>
        <v>22332072</v>
      </c>
      <c r="G175" s="625"/>
      <c r="H175" s="656">
        <f>'SCH B-3'!K362</f>
        <v>22332072</v>
      </c>
      <c r="J175" s="669" t="s">
        <v>1932</v>
      </c>
      <c r="L175" s="668">
        <v>1402</v>
      </c>
      <c r="M175" s="561"/>
      <c r="N175" s="561"/>
      <c r="O175" s="561"/>
    </row>
    <row r="176" spans="1:15">
      <c r="A176" s="639">
        <f>1+A175</f>
        <v>2</v>
      </c>
      <c r="C176" s="639" t="e">
        <f>'SCH B-3'!#REF!</f>
        <v>#REF!</v>
      </c>
      <c r="D176" s="1234" t="s">
        <v>2261</v>
      </c>
      <c r="E176" s="625"/>
      <c r="F176" s="642">
        <f>'SCH B-2.1'!I313</f>
        <v>154248</v>
      </c>
      <c r="G176" s="625"/>
      <c r="H176" s="656">
        <f>'SCH B-3'!K369</f>
        <v>0</v>
      </c>
      <c r="J176" s="1244"/>
      <c r="K176" s="1243"/>
      <c r="L176" s="1245"/>
      <c r="M176" s="561"/>
      <c r="N176" s="561"/>
      <c r="O176" s="561"/>
    </row>
    <row r="177" spans="1:15">
      <c r="A177" s="639">
        <f t="shared" ref="A177:A187" si="6">1+A176</f>
        <v>3</v>
      </c>
      <c r="C177" s="639">
        <f>'SCH B-3'!C166</f>
        <v>18900</v>
      </c>
      <c r="D177" s="625" t="s">
        <v>1167</v>
      </c>
      <c r="E177" s="625"/>
      <c r="F177" s="642">
        <f>'SCH B-2.1'!I314</f>
        <v>14645832</v>
      </c>
      <c r="G177" s="625"/>
      <c r="H177" s="656">
        <f>'SCH B-3'!K370</f>
        <v>52170</v>
      </c>
      <c r="J177" s="669"/>
      <c r="L177" s="656">
        <f t="shared" ref="L177:L186" si="7">ROUND(F177*J177,0)</f>
        <v>0</v>
      </c>
      <c r="M177" s="561" t="s">
        <v>1486</v>
      </c>
      <c r="N177" s="561"/>
      <c r="O177" s="561"/>
    </row>
    <row r="178" spans="1:15">
      <c r="A178" s="639">
        <f t="shared" si="6"/>
        <v>4</v>
      </c>
      <c r="C178" s="639">
        <f>'SCH B-3'!C167</f>
        <v>19000</v>
      </c>
      <c r="D178" s="625" t="s">
        <v>1159</v>
      </c>
      <c r="E178" s="625"/>
      <c r="F178" s="642">
        <f>'SCH B-2.1'!I315</f>
        <v>502844</v>
      </c>
      <c r="G178" s="644"/>
      <c r="H178" s="656">
        <f>'SCH B-3'!K371</f>
        <v>12900</v>
      </c>
      <c r="J178" s="1286">
        <v>2.1700000000000001E-2</v>
      </c>
      <c r="L178" s="656">
        <f t="shared" si="7"/>
        <v>10912</v>
      </c>
      <c r="M178" s="561">
        <v>0</v>
      </c>
      <c r="N178" s="670">
        <v>100</v>
      </c>
      <c r="O178" s="666" t="s">
        <v>258</v>
      </c>
    </row>
    <row r="179" spans="1:15">
      <c r="A179" s="639">
        <f t="shared" si="6"/>
        <v>5</v>
      </c>
      <c r="C179" s="639">
        <f>'SCH B-3'!C170</f>
        <v>19101</v>
      </c>
      <c r="D179" s="625" t="s">
        <v>1107</v>
      </c>
      <c r="E179" s="625"/>
      <c r="F179" s="642">
        <f>'SCH B-2.1'!I316</f>
        <v>807217</v>
      </c>
      <c r="G179" s="625"/>
      <c r="H179" s="656">
        <f>'SCH B-3'!K372</f>
        <v>4803012</v>
      </c>
      <c r="J179" s="1286">
        <v>6.4899999999999999E-2</v>
      </c>
      <c r="L179" s="656">
        <f t="shared" si="7"/>
        <v>52388</v>
      </c>
      <c r="M179" s="561">
        <v>0</v>
      </c>
      <c r="N179" s="670">
        <v>20</v>
      </c>
      <c r="O179" s="666" t="s">
        <v>1487</v>
      </c>
    </row>
    <row r="180" spans="1:15">
      <c r="A180" s="639">
        <f t="shared" si="6"/>
        <v>6</v>
      </c>
      <c r="C180" s="639" t="e">
        <f>'SCH B-3'!#REF!</f>
        <v>#REF!</v>
      </c>
      <c r="D180" s="625" t="s">
        <v>1078</v>
      </c>
      <c r="E180" s="625"/>
      <c r="F180" s="642" t="e">
        <f>'SCH B-2.1'!#REF!</f>
        <v>#REF!</v>
      </c>
      <c r="G180" s="625"/>
      <c r="H180" s="656" t="e">
        <f>'SCH B-3'!#REF!</f>
        <v>#REF!</v>
      </c>
      <c r="J180" s="1286"/>
      <c r="K180" s="644"/>
      <c r="L180" s="656">
        <v>0</v>
      </c>
      <c r="M180" s="561"/>
      <c r="N180" s="670"/>
      <c r="O180" s="666"/>
    </row>
    <row r="181" spans="1:15">
      <c r="A181" s="639">
        <f t="shared" si="6"/>
        <v>7</v>
      </c>
      <c r="C181" s="639" t="e">
        <f>'SCH B-3'!#REF!</f>
        <v>#REF!</v>
      </c>
      <c r="D181" s="625" t="s">
        <v>1109</v>
      </c>
      <c r="E181" s="625"/>
      <c r="F181" s="642" t="e">
        <f>'SCH B-2.1'!#REF!</f>
        <v>#REF!</v>
      </c>
      <c r="G181" s="625"/>
      <c r="H181" s="656" t="e">
        <f>'SCH B-3'!#REF!</f>
        <v>#REF!</v>
      </c>
      <c r="J181" s="1286"/>
      <c r="L181" s="656" t="e">
        <f t="shared" si="7"/>
        <v>#REF!</v>
      </c>
      <c r="M181" s="561" t="s">
        <v>260</v>
      </c>
      <c r="N181" s="670"/>
      <c r="O181" s="666"/>
    </row>
    <row r="182" spans="1:15">
      <c r="A182" s="639">
        <f t="shared" si="6"/>
        <v>8</v>
      </c>
      <c r="C182" s="639">
        <f>'SCH B-3'!C175</f>
        <v>19700</v>
      </c>
      <c r="D182" s="625" t="s">
        <v>1079</v>
      </c>
      <c r="E182" s="625"/>
      <c r="F182" s="642">
        <f>'SCH B-2.1'!I317</f>
        <v>0</v>
      </c>
      <c r="G182" s="625"/>
      <c r="H182" s="656">
        <f>'SCH B-3'!K373</f>
        <v>2698966</v>
      </c>
      <c r="J182" s="1286">
        <v>0.4753</v>
      </c>
      <c r="L182" s="656">
        <f t="shared" si="7"/>
        <v>0</v>
      </c>
      <c r="M182" s="561">
        <v>0</v>
      </c>
      <c r="N182" s="670">
        <v>20</v>
      </c>
      <c r="O182" s="666" t="s">
        <v>1487</v>
      </c>
    </row>
    <row r="183" spans="1:15">
      <c r="A183" s="639">
        <f t="shared" si="6"/>
        <v>9</v>
      </c>
      <c r="C183" s="639">
        <f>'SCH B-3'!C177</f>
        <v>19800</v>
      </c>
      <c r="D183" s="625" t="s">
        <v>1112</v>
      </c>
      <c r="E183" s="625"/>
      <c r="F183" s="642">
        <f>'SCH B-2.1'!I318</f>
        <v>121888</v>
      </c>
      <c r="G183" s="625"/>
      <c r="H183" s="656">
        <f>'SCH B-3'!K374</f>
        <v>23317</v>
      </c>
      <c r="J183" s="1286">
        <v>4.7899999999999998E-2</v>
      </c>
      <c r="L183" s="656">
        <f t="shared" si="7"/>
        <v>5838</v>
      </c>
      <c r="M183" s="561">
        <v>0</v>
      </c>
      <c r="N183" s="670">
        <v>25</v>
      </c>
      <c r="O183" s="666" t="s">
        <v>1487</v>
      </c>
    </row>
    <row r="184" spans="1:15">
      <c r="A184" s="639">
        <f t="shared" si="6"/>
        <v>10</v>
      </c>
      <c r="C184" s="639">
        <f>'SCH B-3'!C179</f>
        <v>0</v>
      </c>
      <c r="D184" s="625" t="s">
        <v>1080</v>
      </c>
      <c r="E184" s="625"/>
      <c r="F184" s="642">
        <f>'SCH B-2.1'!I319</f>
        <v>8114194</v>
      </c>
      <c r="G184" s="625"/>
      <c r="H184" s="656">
        <f>'SCH B-3'!K375</f>
        <v>-3081</v>
      </c>
      <c r="J184" s="1286">
        <v>7.1999999999999995E-2</v>
      </c>
      <c r="K184" s="644"/>
      <c r="L184" s="656">
        <f t="shared" si="7"/>
        <v>584222</v>
      </c>
      <c r="M184" s="561">
        <v>0</v>
      </c>
      <c r="N184" s="822">
        <v>15</v>
      </c>
      <c r="O184" s="666" t="s">
        <v>1487</v>
      </c>
    </row>
    <row r="185" spans="1:15">
      <c r="A185" s="639">
        <f t="shared" si="6"/>
        <v>11</v>
      </c>
      <c r="C185" s="639" t="e">
        <f>'SCH B-3'!#REF!</f>
        <v>#REF!</v>
      </c>
      <c r="D185" s="625" t="s">
        <v>1116</v>
      </c>
      <c r="E185" s="625"/>
      <c r="F185" s="642">
        <f>'SCH B-2.1'!I320</f>
        <v>41504</v>
      </c>
      <c r="G185" s="625"/>
      <c r="H185" s="656">
        <f>'SCH B-3'!K376</f>
        <v>120812</v>
      </c>
      <c r="J185" s="1286">
        <v>2.0899999999999998E-2</v>
      </c>
      <c r="L185" s="656">
        <f t="shared" si="7"/>
        <v>867</v>
      </c>
      <c r="M185" s="561">
        <v>0</v>
      </c>
      <c r="N185" s="670">
        <v>20</v>
      </c>
      <c r="O185" s="666" t="s">
        <v>1487</v>
      </c>
    </row>
    <row r="186" spans="1:15">
      <c r="A186" s="639">
        <f t="shared" si="6"/>
        <v>12</v>
      </c>
      <c r="C186" s="639"/>
      <c r="D186" s="560" t="s">
        <v>1385</v>
      </c>
      <c r="E186" s="625"/>
      <c r="F186" s="642" t="e">
        <f>'SCH B-2.1'!#REF!</f>
        <v>#REF!</v>
      </c>
      <c r="G186" s="625"/>
      <c r="H186" s="656" t="e">
        <f>'SCH B-3'!#REF!</f>
        <v>#REF!</v>
      </c>
      <c r="J186" s="669">
        <v>2.6200000000000001E-2</v>
      </c>
      <c r="L186" s="656" t="e">
        <f t="shared" si="7"/>
        <v>#REF!</v>
      </c>
      <c r="M186" s="561"/>
      <c r="N186" s="670"/>
      <c r="O186" s="666"/>
    </row>
    <row r="187" spans="1:15">
      <c r="A187" s="639">
        <f t="shared" si="6"/>
        <v>13</v>
      </c>
      <c r="C187" s="639">
        <v>108</v>
      </c>
      <c r="D187" s="625" t="s">
        <v>249</v>
      </c>
      <c r="E187" s="625"/>
      <c r="G187" s="625"/>
      <c r="H187" s="656" t="e">
        <f>'SCH B-3'!#REF!</f>
        <v>#REF!</v>
      </c>
      <c r="J187" s="669"/>
      <c r="L187" s="656"/>
      <c r="M187" s="561"/>
      <c r="N187" s="670"/>
      <c r="O187" s="561"/>
    </row>
    <row r="188" spans="1:15">
      <c r="G188" s="628"/>
      <c r="H188" s="628"/>
      <c r="I188" s="628"/>
      <c r="J188" s="663"/>
      <c r="K188" s="628"/>
      <c r="L188" s="655"/>
      <c r="M188" s="628"/>
      <c r="N188" s="628"/>
      <c r="O188" s="628"/>
    </row>
    <row r="189" spans="1:15">
      <c r="A189" s="629"/>
      <c r="B189" s="629"/>
      <c r="C189" s="629"/>
      <c r="D189" s="629"/>
      <c r="E189" s="629"/>
      <c r="F189" s="629"/>
      <c r="G189" s="636"/>
      <c r="L189" s="656"/>
    </row>
    <row r="190" spans="1:15">
      <c r="A190" s="639">
        <f>+A187+1</f>
        <v>14</v>
      </c>
      <c r="D190" s="625" t="s">
        <v>261</v>
      </c>
      <c r="E190" s="625"/>
      <c r="F190" s="642" t="e">
        <f>SUM(F175:F189)</f>
        <v>#REF!</v>
      </c>
      <c r="G190" s="625"/>
      <c r="H190" s="642" t="e">
        <f>SUM(H175:H189)</f>
        <v>#REF!</v>
      </c>
      <c r="J190" s="642"/>
      <c r="L190" s="642" t="e">
        <f>SUM(L175:L189)</f>
        <v>#REF!</v>
      </c>
    </row>
    <row r="191" spans="1:15">
      <c r="F191" s="628"/>
      <c r="G191" s="628"/>
      <c r="H191" s="628"/>
      <c r="I191" s="628"/>
      <c r="J191" s="628"/>
      <c r="K191" s="628"/>
      <c r="L191" s="655"/>
      <c r="M191" s="628"/>
      <c r="N191" s="628"/>
      <c r="O191" s="628"/>
    </row>
    <row r="192" spans="1:15">
      <c r="A192" s="629"/>
      <c r="B192" s="629"/>
      <c r="C192" s="629"/>
      <c r="D192" s="629"/>
      <c r="E192" s="629"/>
      <c r="F192" s="636"/>
      <c r="G192" s="636"/>
      <c r="L192" s="656"/>
    </row>
    <row r="193" spans="1:15">
      <c r="A193" s="636"/>
      <c r="B193" s="636"/>
      <c r="C193" s="636"/>
      <c r="D193" s="625" t="s">
        <v>1322</v>
      </c>
      <c r="E193" s="636"/>
      <c r="F193" s="636"/>
      <c r="G193" s="636"/>
      <c r="L193" s="656"/>
    </row>
    <row r="194" spans="1:15">
      <c r="A194" s="639">
        <f>+A190+1</f>
        <v>15</v>
      </c>
      <c r="C194" s="1246">
        <f>'SCH B-3'!C188</f>
        <v>0.27379999999999999</v>
      </c>
      <c r="D194" s="621" t="s">
        <v>365</v>
      </c>
      <c r="E194" s="625"/>
      <c r="F194" s="642" t="e">
        <f>ROUND(F190*$C$194,0)+1</f>
        <v>#REF!</v>
      </c>
      <c r="G194" s="625"/>
      <c r="H194" s="662"/>
      <c r="J194" s="662"/>
      <c r="K194" s="662"/>
      <c r="L194" s="642"/>
      <c r="M194" s="662"/>
      <c r="N194" s="662"/>
      <c r="O194" s="662"/>
    </row>
    <row r="195" spans="1:15">
      <c r="A195" s="639">
        <f>+A194+1</f>
        <v>16</v>
      </c>
      <c r="C195" s="1246">
        <f>'SCH B-3'!C189</f>
        <v>0.27379999999999999</v>
      </c>
      <c r="D195" s="625" t="s">
        <v>262</v>
      </c>
      <c r="E195" s="625"/>
      <c r="F195" s="662"/>
      <c r="G195" s="625"/>
      <c r="H195" s="642" t="e">
        <f>(+H190*C195)</f>
        <v>#REF!</v>
      </c>
      <c r="J195" s="662"/>
      <c r="K195" s="662"/>
      <c r="L195" s="642"/>
      <c r="M195" s="662"/>
      <c r="N195" s="662"/>
      <c r="O195" s="662"/>
    </row>
    <row r="196" spans="1:15">
      <c r="A196" s="639">
        <f>+A195+1</f>
        <v>17</v>
      </c>
      <c r="C196" s="623">
        <f>C195</f>
        <v>0.27379999999999999</v>
      </c>
      <c r="D196" s="625" t="s">
        <v>263</v>
      </c>
      <c r="E196" s="625"/>
      <c r="F196" s="662"/>
      <c r="G196" s="625"/>
      <c r="H196" s="662"/>
      <c r="J196" s="662"/>
      <c r="K196" s="662"/>
      <c r="L196" s="642" t="e">
        <f>+L190*C196</f>
        <v>#REF!</v>
      </c>
      <c r="M196" s="662"/>
      <c r="N196" s="662"/>
      <c r="O196" s="662"/>
    </row>
    <row r="197" spans="1:15">
      <c r="G197" s="628"/>
      <c r="H197" s="628"/>
      <c r="I197" s="628"/>
      <c r="J197" s="628"/>
      <c r="K197" s="628"/>
      <c r="L197" s="655"/>
      <c r="M197" s="628"/>
      <c r="N197" s="628"/>
      <c r="O197" s="628"/>
    </row>
    <row r="198" spans="1:15">
      <c r="A198" s="629"/>
      <c r="B198" s="629"/>
      <c r="C198" s="629"/>
      <c r="D198" s="629"/>
      <c r="E198" s="629"/>
      <c r="F198" s="629"/>
      <c r="G198" s="636"/>
      <c r="L198" s="656"/>
    </row>
    <row r="199" spans="1:15">
      <c r="A199" s="639">
        <f>+A196+1</f>
        <v>18</v>
      </c>
      <c r="D199" s="625" t="s">
        <v>1323</v>
      </c>
      <c r="E199" s="625"/>
      <c r="F199" s="642" t="e">
        <f>+F194+F143</f>
        <v>#REF!</v>
      </c>
      <c r="G199" s="625"/>
      <c r="H199" s="642" t="e">
        <f>(+H195+H143)</f>
        <v>#REF!</v>
      </c>
      <c r="J199" s="642"/>
      <c r="K199" s="642"/>
      <c r="L199" s="642" t="e">
        <f>+L196+L143</f>
        <v>#REF!</v>
      </c>
      <c r="M199" s="642"/>
      <c r="N199" s="642"/>
      <c r="O199" s="642"/>
    </row>
    <row r="200" spans="1:15">
      <c r="F200" s="628"/>
      <c r="G200" s="628"/>
      <c r="H200" s="628"/>
      <c r="I200" s="628"/>
      <c r="J200" s="628"/>
      <c r="K200" s="628"/>
      <c r="L200" s="628"/>
      <c r="M200" s="628"/>
      <c r="N200" s="628"/>
      <c r="O200" s="628"/>
    </row>
    <row r="201" spans="1:15">
      <c r="A201" s="629"/>
      <c r="B201" s="629"/>
      <c r="C201" s="629"/>
      <c r="D201" s="629"/>
      <c r="E201" s="629"/>
      <c r="F201" s="636"/>
      <c r="G201" s="636"/>
    </row>
    <row r="202" spans="1:15">
      <c r="A202" s="644" t="s">
        <v>251</v>
      </c>
      <c r="L202" s="656" t="e">
        <f>'SCH B-3.2 - Proposed Rate'!L202-'SCH B-3.2 - Current Rate'!L199</f>
        <v>#REF!</v>
      </c>
    </row>
    <row r="203" spans="1:15">
      <c r="A203" s="644"/>
    </row>
    <row r="205" spans="1:15">
      <c r="A205" s="625"/>
    </row>
  </sheetData>
  <mergeCells count="4">
    <mergeCell ref="F19:H19"/>
    <mergeCell ref="F61:H61"/>
    <mergeCell ref="F122:H122"/>
    <mergeCell ref="F169:H169"/>
  </mergeCells>
  <pageMargins left="1" right="0.75" top="1" bottom="1" header="0.5" footer="0.5"/>
  <pageSetup scale="58" orientation="landscape" horizontalDpi="300" r:id="rId1"/>
  <headerFooter alignWithMargins="0"/>
  <rowBreaks count="3" manualBreakCount="3">
    <brk id="42" max="16383" man="1"/>
    <brk id="103" max="15" man="1"/>
    <brk id="150" max="15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>
    <tabColor theme="8" tint="0.59999389629810485"/>
    <pageSetUpPr fitToPage="1"/>
  </sheetPr>
  <dimension ref="A1:H94"/>
  <sheetViews>
    <sheetView zoomScale="75" workbookViewId="0"/>
  </sheetViews>
  <sheetFormatPr defaultColWidth="11.44140625" defaultRowHeight="15"/>
  <cols>
    <col min="1" max="1" width="9" style="1396" customWidth="1"/>
    <col min="2" max="2" width="51.6640625" style="1396" customWidth="1"/>
    <col min="3" max="3" width="13.109375" style="1396" customWidth="1"/>
    <col min="4" max="4" width="1.6640625" style="1396" customWidth="1"/>
    <col min="5" max="6" width="20.33203125" style="1396" customWidth="1"/>
    <col min="7" max="16384" width="11.44140625" style="1396"/>
  </cols>
  <sheetData>
    <row r="1" spans="1:6">
      <c r="A1" s="1395" t="str">
        <f>COMPANY</f>
        <v>DUKE ENERGY KENTUCKY, INC.</v>
      </c>
      <c r="B1" s="1395"/>
      <c r="C1" s="1395"/>
      <c r="D1" s="1395"/>
      <c r="E1" s="1395"/>
      <c r="F1" s="1395"/>
    </row>
    <row r="2" spans="1:6">
      <c r="A2" s="1395" t="str">
        <f>CASE</f>
        <v>CASE NO. 2018-00261</v>
      </c>
      <c r="B2" s="1395"/>
      <c r="C2" s="1395"/>
      <c r="D2" s="1395"/>
      <c r="E2" s="1395"/>
      <c r="F2" s="1395"/>
    </row>
    <row r="3" spans="1:6">
      <c r="A3" s="1395" t="s">
        <v>1926</v>
      </c>
      <c r="B3" s="1395"/>
      <c r="C3" s="1395"/>
      <c r="D3" s="1395"/>
      <c r="E3" s="1395"/>
      <c r="F3" s="1395"/>
    </row>
    <row r="4" spans="1:6">
      <c r="A4" s="44" t="str">
        <f>"AS OF " &amp;RIGHT(TESTYR,(LEN(TESTYR)-16))</f>
        <v>AS OF NOVEMBER 30, 2018</v>
      </c>
      <c r="B4" s="1395"/>
      <c r="C4" s="1395"/>
      <c r="D4" s="1395"/>
      <c r="E4" s="1395"/>
      <c r="F4" s="1395"/>
    </row>
    <row r="5" spans="1:6">
      <c r="A5" s="1397"/>
      <c r="B5" s="1397"/>
      <c r="C5" s="1397"/>
      <c r="D5" s="1397"/>
      <c r="E5" s="1397"/>
      <c r="F5" s="1397"/>
    </row>
    <row r="6" spans="1:6">
      <c r="E6" s="1399"/>
      <c r="F6" s="1400"/>
    </row>
    <row r="8" spans="1:6">
      <c r="A8" s="1401" t="str">
        <f>Data</f>
        <v>DATA: "X" BASE PERIOD   FORECASTED PERIOD</v>
      </c>
      <c r="E8" s="2826" t="s">
        <v>264</v>
      </c>
      <c r="F8" s="1400"/>
    </row>
    <row r="9" spans="1:6">
      <c r="A9" s="1401" t="str">
        <f>Type</f>
        <v xml:space="preserve">TYPE OF FILING:  "X" ORIGINAL   UPDATED    REVISED  </v>
      </c>
      <c r="E9" s="2826" t="s">
        <v>2092</v>
      </c>
      <c r="F9" s="1400"/>
    </row>
    <row r="10" spans="1:6">
      <c r="A10" s="1401" t="s">
        <v>655</v>
      </c>
      <c r="E10" s="2826" t="s">
        <v>566</v>
      </c>
      <c r="F10" s="1400"/>
    </row>
    <row r="11" spans="1:6">
      <c r="E11" s="2827" t="str">
        <f>_WIT7</f>
        <v>R. H. PRATT / C. S. LEE</v>
      </c>
      <c r="F11" s="1400"/>
    </row>
    <row r="12" spans="1:6">
      <c r="E12" s="1399"/>
      <c r="F12" s="1400"/>
    </row>
    <row r="13" spans="1:6">
      <c r="A13" s="1402"/>
      <c r="B13" s="1402"/>
      <c r="C13" s="1402"/>
      <c r="D13" s="1402"/>
      <c r="E13" s="1404"/>
      <c r="F13" s="1403"/>
    </row>
    <row r="14" spans="1:6">
      <c r="A14" s="1405" t="s">
        <v>1938</v>
      </c>
      <c r="B14" s="1405"/>
      <c r="C14" s="1405" t="s">
        <v>265</v>
      </c>
      <c r="D14" s="1405"/>
      <c r="E14" s="1406" t="s">
        <v>2153</v>
      </c>
      <c r="F14" s="1406"/>
    </row>
    <row r="15" spans="1:6">
      <c r="A15" s="1405" t="s">
        <v>1939</v>
      </c>
      <c r="B15" s="1405" t="s">
        <v>622</v>
      </c>
      <c r="C15" s="1405" t="s">
        <v>266</v>
      </c>
      <c r="D15" s="1405"/>
      <c r="E15" s="1405" t="s">
        <v>267</v>
      </c>
      <c r="F15" s="1405" t="s">
        <v>1898</v>
      </c>
    </row>
    <row r="16" spans="1:6">
      <c r="A16" s="664"/>
      <c r="B16" s="664"/>
      <c r="C16" s="665" t="s">
        <v>2097</v>
      </c>
      <c r="D16" s="664"/>
      <c r="E16" s="665" t="s">
        <v>695</v>
      </c>
      <c r="F16" s="665" t="s">
        <v>695</v>
      </c>
    </row>
    <row r="18" spans="1:8">
      <c r="A18" s="1407">
        <v>1</v>
      </c>
      <c r="B18" s="1396" t="s">
        <v>268</v>
      </c>
      <c r="C18" s="2825">
        <v>1</v>
      </c>
      <c r="E18" s="3106">
        <v>0</v>
      </c>
      <c r="F18" s="1409">
        <f>E18</f>
        <v>0</v>
      </c>
    </row>
    <row r="19" spans="1:8">
      <c r="A19" s="1407"/>
      <c r="C19" s="2825"/>
      <c r="E19" s="3106"/>
      <c r="F19" s="1409"/>
    </row>
    <row r="20" spans="1:8">
      <c r="A20" s="1407">
        <f>A18+1</f>
        <v>2</v>
      </c>
      <c r="B20" s="1396" t="s">
        <v>269</v>
      </c>
      <c r="C20" s="2825"/>
      <c r="E20" s="3106"/>
      <c r="F20" s="1409"/>
    </row>
    <row r="21" spans="1:8">
      <c r="A21" s="1407"/>
      <c r="B21" s="1396" t="s">
        <v>270</v>
      </c>
      <c r="C21" s="2825">
        <v>1</v>
      </c>
      <c r="E21" s="3107">
        <v>0</v>
      </c>
      <c r="F21" s="1411">
        <f>E21</f>
        <v>0</v>
      </c>
    </row>
    <row r="22" spans="1:8">
      <c r="A22" s="1407"/>
      <c r="C22" s="2825"/>
      <c r="E22" s="1409"/>
      <c r="F22" s="1409"/>
    </row>
    <row r="23" spans="1:8">
      <c r="A23" s="1407">
        <f>A20+1</f>
        <v>3</v>
      </c>
      <c r="B23" s="1396" t="s">
        <v>271</v>
      </c>
      <c r="C23" s="2825">
        <v>1</v>
      </c>
      <c r="E23" s="1411">
        <f>E18-E21</f>
        <v>0</v>
      </c>
      <c r="F23" s="1411">
        <f>F18-F21</f>
        <v>0</v>
      </c>
    </row>
    <row r="24" spans="1:8">
      <c r="A24" s="1407"/>
      <c r="C24" s="2825"/>
      <c r="E24" s="1409"/>
      <c r="F24" s="1409"/>
    </row>
    <row r="25" spans="1:8">
      <c r="A25" s="1407"/>
      <c r="C25" s="2825"/>
      <c r="E25" s="1409"/>
      <c r="F25" s="1409"/>
    </row>
    <row r="26" spans="1:8">
      <c r="A26" s="1407">
        <f>A23+1</f>
        <v>4</v>
      </c>
      <c r="B26" s="1396" t="s">
        <v>965</v>
      </c>
      <c r="C26" s="2825">
        <f>C23</f>
        <v>1</v>
      </c>
      <c r="E26" s="3106">
        <v>28716199</v>
      </c>
      <c r="F26" s="1409">
        <f>E26</f>
        <v>28716199</v>
      </c>
      <c r="G26" s="1398"/>
      <c r="H26" s="1398"/>
    </row>
    <row r="27" spans="1:8">
      <c r="A27" s="1407"/>
      <c r="C27" s="2825"/>
      <c r="E27" s="1410"/>
      <c r="F27" s="1410"/>
      <c r="G27" s="1398"/>
      <c r="H27" s="1398"/>
    </row>
    <row r="28" spans="1:8">
      <c r="A28" s="1407">
        <f>A26+1</f>
        <v>5</v>
      </c>
      <c r="B28" s="1396" t="s">
        <v>269</v>
      </c>
      <c r="C28" s="2825"/>
      <c r="E28" s="1409"/>
      <c r="F28" s="1409"/>
    </row>
    <row r="29" spans="1:8">
      <c r="A29" s="1407"/>
      <c r="B29" s="1396" t="s">
        <v>270</v>
      </c>
      <c r="C29" s="2825">
        <v>1</v>
      </c>
      <c r="E29" s="3106">
        <v>0</v>
      </c>
      <c r="F29" s="1409">
        <f>E29</f>
        <v>0</v>
      </c>
    </row>
    <row r="30" spans="1:8">
      <c r="A30" s="1407"/>
      <c r="C30" s="2825"/>
      <c r="E30" s="1409"/>
      <c r="F30" s="1409"/>
    </row>
    <row r="31" spans="1:8">
      <c r="A31" s="1407">
        <f>A28+1</f>
        <v>6</v>
      </c>
      <c r="B31" s="1396" t="s">
        <v>272</v>
      </c>
      <c r="C31" s="2825">
        <v>1</v>
      </c>
      <c r="E31" s="1411">
        <f>E26-E29</f>
        <v>28716199</v>
      </c>
      <c r="F31" s="1411">
        <f>F26-F29</f>
        <v>28716199</v>
      </c>
    </row>
    <row r="32" spans="1:8">
      <c r="A32" s="1407"/>
      <c r="C32" s="2825"/>
      <c r="E32" s="1409"/>
      <c r="F32" s="1409"/>
    </row>
    <row r="33" spans="1:6">
      <c r="A33" s="1407"/>
      <c r="C33" s="2825"/>
      <c r="E33" s="1409"/>
      <c r="F33" s="1409"/>
    </row>
    <row r="34" spans="1:6">
      <c r="A34" s="1407">
        <f>A31+1</f>
        <v>7</v>
      </c>
      <c r="B34" s="1412" t="s">
        <v>2819</v>
      </c>
      <c r="C34" s="2825">
        <v>1</v>
      </c>
      <c r="E34" s="3106">
        <v>1181350</v>
      </c>
      <c r="F34" s="1409">
        <f>E34</f>
        <v>1181350</v>
      </c>
    </row>
    <row r="35" spans="1:6">
      <c r="A35" s="1407"/>
      <c r="C35" s="2825"/>
      <c r="E35" s="1410"/>
      <c r="F35" s="1410"/>
    </row>
    <row r="36" spans="1:6">
      <c r="A36" s="1407"/>
      <c r="C36" s="2825"/>
      <c r="E36" s="1410"/>
      <c r="F36" s="1410"/>
    </row>
    <row r="37" spans="1:6">
      <c r="A37" s="1407">
        <v>8</v>
      </c>
      <c r="B37" s="1396" t="s">
        <v>273</v>
      </c>
      <c r="C37" s="2825">
        <v>1</v>
      </c>
      <c r="E37" s="3106">
        <v>2198598</v>
      </c>
      <c r="F37" s="1409">
        <f>E37</f>
        <v>2198598</v>
      </c>
    </row>
    <row r="38" spans="1:6">
      <c r="A38" s="1407"/>
      <c r="C38" s="2825"/>
      <c r="E38" s="1409"/>
      <c r="F38" s="1409"/>
    </row>
    <row r="39" spans="1:6">
      <c r="A39" s="1407">
        <v>9</v>
      </c>
      <c r="B39" s="1412" t="str">
        <f>TEXT(CommonG,"00.00%")&amp;" Common Allocated to Gas"</f>
        <v>27.38% Common Allocated to Gas</v>
      </c>
      <c r="C39" s="2825">
        <v>1</v>
      </c>
      <c r="E39" s="1411">
        <f>ROUND(E37*CommonG,0)</f>
        <v>601976</v>
      </c>
      <c r="F39" s="1411">
        <f>E39</f>
        <v>601976</v>
      </c>
    </row>
    <row r="40" spans="1:6">
      <c r="A40" s="1407"/>
      <c r="C40" s="2825"/>
      <c r="E40" s="1409"/>
      <c r="F40" s="1409"/>
    </row>
    <row r="41" spans="1:6">
      <c r="A41" s="1407"/>
      <c r="C41" s="1408"/>
      <c r="E41" s="1409"/>
      <c r="F41" s="1409"/>
    </row>
    <row r="42" spans="1:6">
      <c r="A42" s="1407"/>
      <c r="C42" s="1408"/>
      <c r="E42" s="1409"/>
      <c r="F42" s="1409"/>
    </row>
    <row r="43" spans="1:6">
      <c r="A43" s="1413">
        <f>A39+1</f>
        <v>10</v>
      </c>
      <c r="B43" s="1414" t="s">
        <v>2531</v>
      </c>
      <c r="C43" s="1415"/>
      <c r="D43" s="1414"/>
      <c r="E43" s="1416">
        <f>E23+E31+E34+E39</f>
        <v>30499525</v>
      </c>
      <c r="F43" s="1416">
        <f>F23+F31+F34+F39</f>
        <v>30499525</v>
      </c>
    </row>
    <row r="44" spans="1:6">
      <c r="C44" s="1408"/>
    </row>
    <row r="45" spans="1:6">
      <c r="A45" s="1412" t="s">
        <v>2511</v>
      </c>
    </row>
    <row r="48" spans="1:6">
      <c r="A48" s="3435"/>
      <c r="B48" s="3435"/>
      <c r="C48" s="3435"/>
      <c r="D48" s="3435"/>
      <c r="E48" s="3435"/>
      <c r="F48" s="3435"/>
    </row>
    <row r="49" spans="1:6">
      <c r="A49" s="1345"/>
      <c r="B49" s="1345"/>
      <c r="C49" s="1345"/>
      <c r="D49" s="1345"/>
      <c r="E49" s="1345"/>
      <c r="F49" s="1345"/>
    </row>
    <row r="50" spans="1:6">
      <c r="A50" s="1395" t="str">
        <f>COMPANY</f>
        <v>DUKE ENERGY KENTUCKY, INC.</v>
      </c>
      <c r="B50" s="1395"/>
      <c r="C50" s="1395"/>
      <c r="D50" s="1395"/>
      <c r="E50" s="1395"/>
      <c r="F50" s="1395"/>
    </row>
    <row r="51" spans="1:6">
      <c r="A51" s="1395" t="str">
        <f>CASE</f>
        <v>CASE NO. 2018-00261</v>
      </c>
      <c r="B51" s="1395"/>
      <c r="C51" s="1395"/>
      <c r="D51" s="1395"/>
      <c r="E51" s="1395"/>
      <c r="F51" s="1395"/>
    </row>
    <row r="52" spans="1:6">
      <c r="A52" s="1395" t="s">
        <v>1926</v>
      </c>
      <c r="B52" s="1395"/>
      <c r="C52" s="1395"/>
      <c r="D52" s="1395"/>
      <c r="E52" s="1395"/>
      <c r="F52" s="1395"/>
    </row>
    <row r="53" spans="1:6">
      <c r="A53" s="44" t="str">
        <f>"THIRTEEN MONTH AVERAGE AS OF " &amp;RIGHT(Forecast,(LEN(Forecast)-16))</f>
        <v>THIRTEEN MONTH AVERAGE AS OF MARCH 31, 2020</v>
      </c>
      <c r="B53" s="1395"/>
      <c r="C53" s="1395"/>
      <c r="D53" s="1395"/>
      <c r="E53" s="1395"/>
      <c r="F53" s="1395"/>
    </row>
    <row r="54" spans="1:6">
      <c r="A54" s="1397"/>
      <c r="B54" s="1397"/>
      <c r="C54" s="1397"/>
      <c r="D54" s="1397"/>
      <c r="E54" s="1397"/>
      <c r="F54" s="1397"/>
    </row>
    <row r="55" spans="1:6">
      <c r="E55" s="1399"/>
      <c r="F55" s="1400"/>
    </row>
    <row r="57" spans="1:6">
      <c r="A57" s="1401" t="str">
        <f>DataF</f>
        <v>DATA:  BASE PERIOD  "X" FORECASTED PERIOD</v>
      </c>
      <c r="E57" s="2826" t="s">
        <v>264</v>
      </c>
      <c r="F57" s="1400"/>
    </row>
    <row r="58" spans="1:6">
      <c r="A58" s="1401" t="str">
        <f>Type</f>
        <v xml:space="preserve">TYPE OF FILING:  "X" ORIGINAL   UPDATED    REVISED  </v>
      </c>
      <c r="E58" s="2826" t="s">
        <v>762</v>
      </c>
      <c r="F58" s="1400"/>
    </row>
    <row r="59" spans="1:6">
      <c r="A59" s="1401" t="s">
        <v>655</v>
      </c>
      <c r="E59" s="2826" t="s">
        <v>566</v>
      </c>
      <c r="F59" s="1400"/>
    </row>
    <row r="60" spans="1:6">
      <c r="E60" s="2827" t="str">
        <f>_WIT7</f>
        <v>R. H. PRATT / C. S. LEE</v>
      </c>
      <c r="F60" s="1400"/>
    </row>
    <row r="61" spans="1:6">
      <c r="E61" s="1399"/>
      <c r="F61" s="1400"/>
    </row>
    <row r="62" spans="1:6">
      <c r="A62" s="1402"/>
      <c r="B62" s="1402"/>
      <c r="C62" s="1402"/>
      <c r="D62" s="1402"/>
      <c r="E62" s="1404"/>
      <c r="F62" s="1403"/>
    </row>
    <row r="63" spans="1:6">
      <c r="A63" s="1405" t="s">
        <v>1938</v>
      </c>
      <c r="B63" s="1405"/>
      <c r="C63" s="1405" t="s">
        <v>265</v>
      </c>
      <c r="D63" s="1405"/>
      <c r="E63" s="1406" t="s">
        <v>2153</v>
      </c>
      <c r="F63" s="1406"/>
    </row>
    <row r="64" spans="1:6">
      <c r="A64" s="1405" t="s">
        <v>1939</v>
      </c>
      <c r="B64" s="1405" t="s">
        <v>622</v>
      </c>
      <c r="C64" s="1405" t="s">
        <v>266</v>
      </c>
      <c r="D64" s="1405"/>
      <c r="E64" s="1405" t="s">
        <v>267</v>
      </c>
      <c r="F64" s="1405" t="s">
        <v>1898</v>
      </c>
    </row>
    <row r="65" spans="1:6">
      <c r="A65" s="664"/>
      <c r="B65" s="664"/>
      <c r="C65" s="665" t="s">
        <v>2097</v>
      </c>
      <c r="D65" s="664"/>
      <c r="E65" s="665" t="s">
        <v>695</v>
      </c>
      <c r="F65" s="665" t="s">
        <v>695</v>
      </c>
    </row>
    <row r="67" spans="1:6">
      <c r="A67" s="1407">
        <v>1</v>
      </c>
      <c r="B67" s="1396" t="s">
        <v>268</v>
      </c>
      <c r="C67" s="2825">
        <v>1</v>
      </c>
      <c r="E67" s="3106">
        <v>0</v>
      </c>
      <c r="F67" s="1409">
        <f>E67</f>
        <v>0</v>
      </c>
    </row>
    <row r="68" spans="1:6">
      <c r="A68" s="1407"/>
      <c r="C68" s="2825"/>
      <c r="E68" s="3106"/>
      <c r="F68" s="1409"/>
    </row>
    <row r="69" spans="1:6">
      <c r="A69" s="1407">
        <f>A67+1</f>
        <v>2</v>
      </c>
      <c r="B69" s="1396" t="s">
        <v>269</v>
      </c>
      <c r="C69" s="2825"/>
      <c r="E69" s="3106"/>
      <c r="F69" s="1409"/>
    </row>
    <row r="70" spans="1:6">
      <c r="A70" s="1407"/>
      <c r="B70" s="1396" t="s">
        <v>270</v>
      </c>
      <c r="C70" s="2825">
        <v>1</v>
      </c>
      <c r="E70" s="3107">
        <v>0</v>
      </c>
      <c r="F70" s="1411">
        <f>E70</f>
        <v>0</v>
      </c>
    </row>
    <row r="71" spans="1:6">
      <c r="A71" s="1407"/>
      <c r="C71" s="2825"/>
      <c r="E71" s="1409"/>
      <c r="F71" s="1409"/>
    </row>
    <row r="72" spans="1:6">
      <c r="A72" s="1407">
        <f>A69+1</f>
        <v>3</v>
      </c>
      <c r="B72" s="1396" t="s">
        <v>271</v>
      </c>
      <c r="C72" s="2825">
        <v>1</v>
      </c>
      <c r="E72" s="1411">
        <f>E67-E70</f>
        <v>0</v>
      </c>
      <c r="F72" s="1411">
        <f>F67-F70</f>
        <v>0</v>
      </c>
    </row>
    <row r="73" spans="1:6">
      <c r="A73" s="1407"/>
      <c r="C73" s="2825"/>
      <c r="E73" s="1409"/>
      <c r="F73" s="1409"/>
    </row>
    <row r="74" spans="1:6">
      <c r="A74" s="1407"/>
      <c r="C74" s="2825"/>
      <c r="E74" s="1409"/>
      <c r="F74" s="1409"/>
    </row>
    <row r="75" spans="1:6">
      <c r="A75" s="1407">
        <f>A72+1</f>
        <v>4</v>
      </c>
      <c r="B75" s="1396" t="s">
        <v>965</v>
      </c>
      <c r="C75" s="2825">
        <f>C72</f>
        <v>1</v>
      </c>
      <c r="E75" s="3106">
        <v>28715308</v>
      </c>
      <c r="F75" s="1409">
        <f>E75</f>
        <v>28715308</v>
      </c>
    </row>
    <row r="76" spans="1:6">
      <c r="A76" s="1407"/>
      <c r="C76" s="2825"/>
      <c r="E76" s="1410"/>
      <c r="F76" s="1410"/>
    </row>
    <row r="77" spans="1:6">
      <c r="A77" s="1407">
        <f>A75+1</f>
        <v>5</v>
      </c>
      <c r="B77" s="1396" t="s">
        <v>269</v>
      </c>
      <c r="C77" s="2825"/>
      <c r="E77" s="1409"/>
      <c r="F77" s="1409"/>
    </row>
    <row r="78" spans="1:6">
      <c r="A78" s="1407"/>
      <c r="B78" s="1396" t="s">
        <v>270</v>
      </c>
      <c r="C78" s="2825">
        <v>1</v>
      </c>
      <c r="E78" s="3106">
        <v>0</v>
      </c>
      <c r="F78" s="1409">
        <f>E78</f>
        <v>0</v>
      </c>
    </row>
    <row r="79" spans="1:6">
      <c r="A79" s="1407"/>
      <c r="C79" s="2825"/>
      <c r="E79" s="1409"/>
      <c r="F79" s="1409"/>
    </row>
    <row r="80" spans="1:6">
      <c r="A80" s="1407">
        <f>A77+1</f>
        <v>6</v>
      </c>
      <c r="B80" s="1396" t="s">
        <v>272</v>
      </c>
      <c r="C80" s="2825">
        <v>1</v>
      </c>
      <c r="E80" s="1411">
        <f>E75-E78</f>
        <v>28715308</v>
      </c>
      <c r="F80" s="1411">
        <f>F75-F78</f>
        <v>28715308</v>
      </c>
    </row>
    <row r="81" spans="1:6">
      <c r="A81" s="1407"/>
      <c r="C81" s="2825"/>
      <c r="E81" s="1409"/>
      <c r="F81" s="1409"/>
    </row>
    <row r="82" spans="1:6">
      <c r="A82" s="1407"/>
      <c r="C82" s="2825"/>
      <c r="E82" s="1409"/>
      <c r="F82" s="1409"/>
    </row>
    <row r="83" spans="1:6">
      <c r="A83" s="1407">
        <f>A80+1</f>
        <v>7</v>
      </c>
      <c r="B83" s="1412" t="s">
        <v>2819</v>
      </c>
      <c r="C83" s="2825">
        <v>1</v>
      </c>
      <c r="E83" s="3106">
        <v>1182402</v>
      </c>
      <c r="F83" s="1409">
        <f>E83</f>
        <v>1182402</v>
      </c>
    </row>
    <row r="84" spans="1:6">
      <c r="A84" s="1407"/>
      <c r="C84" s="2825"/>
      <c r="E84" s="1410"/>
      <c r="F84" s="1410"/>
    </row>
    <row r="85" spans="1:6">
      <c r="A85" s="1407"/>
      <c r="C85" s="2825"/>
      <c r="E85" s="1410"/>
      <c r="F85" s="1410"/>
    </row>
    <row r="86" spans="1:6">
      <c r="A86" s="1407">
        <v>8</v>
      </c>
      <c r="B86" s="1396" t="s">
        <v>273</v>
      </c>
      <c r="C86" s="2825">
        <v>1</v>
      </c>
      <c r="E86" s="3106">
        <v>2199047</v>
      </c>
      <c r="F86" s="1409">
        <f>E86</f>
        <v>2199047</v>
      </c>
    </row>
    <row r="87" spans="1:6">
      <c r="A87" s="1407"/>
      <c r="C87" s="2825"/>
      <c r="E87" s="1409"/>
      <c r="F87" s="1409"/>
    </row>
    <row r="88" spans="1:6">
      <c r="A88" s="1407">
        <v>9</v>
      </c>
      <c r="B88" s="1412" t="str">
        <f>TEXT(CommonG,"00.00%")&amp;" Common Allocated to Gas"</f>
        <v>27.38% Common Allocated to Gas</v>
      </c>
      <c r="C88" s="2825">
        <v>1</v>
      </c>
      <c r="E88" s="1411">
        <f>ROUND(E86*CommonG,0)</f>
        <v>602099</v>
      </c>
      <c r="F88" s="1411">
        <f>E88</f>
        <v>602099</v>
      </c>
    </row>
    <row r="89" spans="1:6">
      <c r="A89" s="1407"/>
      <c r="C89" s="1408"/>
      <c r="E89" s="1409"/>
      <c r="F89" s="1409"/>
    </row>
    <row r="90" spans="1:6">
      <c r="A90" s="1407"/>
      <c r="C90" s="1408"/>
      <c r="E90" s="1409"/>
      <c r="F90" s="1409"/>
    </row>
    <row r="91" spans="1:6">
      <c r="A91" s="1407"/>
      <c r="C91" s="1408"/>
      <c r="E91" s="1409"/>
      <c r="F91" s="1409"/>
    </row>
    <row r="92" spans="1:6">
      <c r="A92" s="1413">
        <f>A88+1</f>
        <v>10</v>
      </c>
      <c r="B92" s="1414" t="s">
        <v>2531</v>
      </c>
      <c r="C92" s="1415"/>
      <c r="D92" s="1414"/>
      <c r="E92" s="1416">
        <f>E72+E80+E83+E88</f>
        <v>30499809</v>
      </c>
      <c r="F92" s="1416">
        <f>F72+F80+F83+F88</f>
        <v>30499809</v>
      </c>
    </row>
    <row r="93" spans="1:6">
      <c r="C93" s="1408"/>
    </row>
    <row r="94" spans="1:6">
      <c r="A94" s="1412" t="s">
        <v>2511</v>
      </c>
    </row>
  </sheetData>
  <phoneticPr fontId="5" type="noConversion"/>
  <printOptions horizontalCentered="1"/>
  <pageMargins left="1" right="0.75" top="1" bottom="1" header="0.5" footer="0.5"/>
  <pageSetup scale="71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8" tint="0.59999389629810485"/>
    <pageSetUpPr fitToPage="1"/>
  </sheetPr>
  <dimension ref="A1:AC146"/>
  <sheetViews>
    <sheetView zoomScale="75" zoomScaleNormal="75" workbookViewId="0"/>
  </sheetViews>
  <sheetFormatPr defaultColWidth="8" defaultRowHeight="15"/>
  <cols>
    <col min="1" max="1" width="7.109375" style="787" customWidth="1"/>
    <col min="2" max="2" width="1.33203125" style="787" customWidth="1"/>
    <col min="3" max="3" width="36.6640625" style="787" customWidth="1"/>
    <col min="4" max="4" width="1.88671875" style="787" customWidth="1"/>
    <col min="5" max="5" width="41.88671875" style="787" customWidth="1"/>
    <col min="6" max="6" width="1.109375" style="787" customWidth="1"/>
    <col min="7" max="7" width="16.6640625" style="787" customWidth="1"/>
    <col min="8" max="8" width="0.88671875" style="787" customWidth="1"/>
    <col min="9" max="9" width="17" style="787" customWidth="1"/>
    <col min="10" max="10" width="0.88671875" style="787" customWidth="1"/>
    <col min="11" max="11" width="16.44140625" style="787" customWidth="1"/>
    <col min="12" max="12" width="1" style="787" customWidth="1"/>
    <col min="13" max="13" width="18.33203125" style="787" customWidth="1"/>
    <col min="14" max="14" width="1" style="787" customWidth="1"/>
    <col min="15" max="15" width="18.44140625" style="787" customWidth="1"/>
    <col min="16" max="16" width="10.88671875" style="787" customWidth="1"/>
    <col min="17" max="17" width="7.44140625" style="787" customWidth="1"/>
    <col min="18" max="18" width="3" style="787" customWidth="1"/>
    <col min="19" max="19" width="37.109375" style="787" customWidth="1"/>
    <col min="20" max="20" width="1" style="787" customWidth="1"/>
    <col min="21" max="21" width="15.109375" style="783" customWidth="1"/>
    <col min="22" max="22" width="7.109375" style="783" customWidth="1"/>
    <col min="23" max="23" width="14.88671875" style="787" customWidth="1"/>
    <col min="24" max="24" width="6.6640625" style="787" customWidth="1"/>
    <col min="25" max="25" width="21.6640625" style="783" customWidth="1"/>
    <col min="26" max="26" width="1.88671875" style="787" customWidth="1"/>
    <col min="27" max="27" width="15" style="783" customWidth="1"/>
    <col min="28" max="28" width="14.88671875" style="787" customWidth="1"/>
    <col min="29" max="29" width="15.109375" style="783" customWidth="1"/>
    <col min="30" max="16384" width="8" style="787"/>
  </cols>
  <sheetData>
    <row r="1" spans="1:16">
      <c r="A1" s="1417" t="str">
        <f>COMPANY</f>
        <v>DUKE ENERGY KENTUCKY, INC.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1418"/>
      <c r="M1" s="1418"/>
      <c r="N1" s="1418"/>
      <c r="O1" s="1418"/>
      <c r="P1" s="1418"/>
    </row>
    <row r="2" spans="1:16">
      <c r="A2" s="1417" t="str">
        <f>CASE</f>
        <v>CASE NO. 2018-00261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1418"/>
      <c r="M2" s="1418"/>
      <c r="N2" s="1418"/>
      <c r="O2" s="1418"/>
      <c r="P2" s="1418"/>
    </row>
    <row r="3" spans="1:16">
      <c r="A3" s="1417" t="s">
        <v>879</v>
      </c>
      <c r="B3" s="1418"/>
      <c r="C3" s="1418"/>
      <c r="D3" s="1418"/>
      <c r="E3" s="1418"/>
      <c r="F3" s="1418"/>
      <c r="G3" s="1418"/>
      <c r="H3" s="1418"/>
      <c r="I3" s="1418"/>
      <c r="J3" s="1418"/>
      <c r="K3" s="1418"/>
      <c r="L3" s="1418"/>
      <c r="M3" s="1418"/>
      <c r="N3" s="1418"/>
      <c r="O3" s="1418"/>
      <c r="P3" s="1418"/>
    </row>
    <row r="4" spans="1:16">
      <c r="A4" s="44" t="str">
        <f>"AS OF " &amp;RIGHT(TESTYR,(LEN(TESTYR)-16))</f>
        <v>AS OF NOVEMBER 30, 2018</v>
      </c>
      <c r="B4" s="1418"/>
      <c r="C4" s="1418"/>
      <c r="D4" s="1418"/>
      <c r="E4" s="1418"/>
      <c r="F4" s="1418"/>
      <c r="G4" s="1418"/>
      <c r="H4" s="1418"/>
      <c r="I4" s="1418"/>
      <c r="J4" s="1418"/>
      <c r="K4" s="1418"/>
      <c r="L4" s="1418"/>
      <c r="M4" s="1418"/>
      <c r="N4" s="1418"/>
      <c r="O4" s="1418"/>
      <c r="P4" s="1418"/>
    </row>
    <row r="5" spans="1:16">
      <c r="A5" s="44" t="str">
        <f>"AS OF " &amp;RIGHT(Forecast,(LEN(Forecast)-16))</f>
        <v>AS OF MARCH 31, 2020</v>
      </c>
      <c r="B5" s="1418"/>
      <c r="C5" s="1418"/>
      <c r="D5" s="1418"/>
      <c r="E5" s="1418"/>
      <c r="F5" s="1418"/>
      <c r="G5" s="1418"/>
      <c r="H5" s="1418"/>
      <c r="I5" s="1418"/>
      <c r="J5" s="1418"/>
      <c r="K5" s="1418"/>
      <c r="L5" s="1418"/>
      <c r="M5" s="1418"/>
      <c r="N5" s="1418"/>
      <c r="O5" s="1418"/>
      <c r="P5" s="1418"/>
    </row>
    <row r="7" spans="1:16">
      <c r="A7" s="1419" t="str">
        <f>DataB</f>
        <v>DATA: "X" BASE PERIOD  "X" FORECASTED PERIOD</v>
      </c>
      <c r="M7" s="1420" t="s">
        <v>880</v>
      </c>
    </row>
    <row r="8" spans="1:16">
      <c r="A8" s="1419" t="str">
        <f>Type</f>
        <v xml:space="preserve">TYPE OF FILING:  "X" ORIGINAL   UPDATED    REVISED  </v>
      </c>
      <c r="M8" s="1420" t="s">
        <v>564</v>
      </c>
    </row>
    <row r="9" spans="1:16">
      <c r="A9" s="1420" t="s">
        <v>565</v>
      </c>
      <c r="M9" s="1420" t="s">
        <v>566</v>
      </c>
    </row>
    <row r="10" spans="1:16">
      <c r="B10" s="1420" t="s">
        <v>749</v>
      </c>
      <c r="M10" s="1420" t="str">
        <f>_WIT9</f>
        <v>R. H. PRATT</v>
      </c>
    </row>
    <row r="11" spans="1:16">
      <c r="A11" s="1421"/>
      <c r="B11" s="1421"/>
      <c r="C11" s="1421"/>
      <c r="D11" s="1421"/>
      <c r="E11" s="1421"/>
      <c r="F11" s="1421"/>
      <c r="G11" s="1421"/>
      <c r="H11" s="1421"/>
      <c r="I11" s="1421"/>
      <c r="J11" s="1421"/>
      <c r="K11" s="1421"/>
      <c r="L11" s="1421"/>
      <c r="M11" s="1421"/>
      <c r="N11" s="1421"/>
      <c r="O11" s="1421"/>
      <c r="P11" s="1422"/>
    </row>
    <row r="12" spans="1:16">
      <c r="E12" s="1176" t="s">
        <v>881</v>
      </c>
      <c r="G12" s="1176" t="s">
        <v>882</v>
      </c>
      <c r="I12" s="778" t="s">
        <v>638</v>
      </c>
      <c r="J12" s="778"/>
      <c r="K12" s="778"/>
      <c r="M12" s="778" t="s">
        <v>686</v>
      </c>
      <c r="N12" s="778"/>
      <c r="O12" s="1418"/>
    </row>
    <row r="13" spans="1:16">
      <c r="A13" s="1176" t="s">
        <v>567</v>
      </c>
      <c r="E13" s="1176" t="s">
        <v>883</v>
      </c>
      <c r="G13" s="1176" t="s">
        <v>742</v>
      </c>
      <c r="I13" s="782" t="s">
        <v>740</v>
      </c>
      <c r="K13" s="1575" t="s">
        <v>1127</v>
      </c>
      <c r="M13" s="782" t="s">
        <v>740</v>
      </c>
      <c r="O13" s="1575" t="s">
        <v>1127</v>
      </c>
    </row>
    <row r="14" spans="1:16">
      <c r="A14" s="1176" t="s">
        <v>2169</v>
      </c>
      <c r="C14" s="1420" t="s">
        <v>885</v>
      </c>
      <c r="E14" s="1176" t="s">
        <v>692</v>
      </c>
      <c r="G14" s="1176" t="s">
        <v>693</v>
      </c>
      <c r="I14" s="782" t="s">
        <v>743</v>
      </c>
      <c r="K14" s="782" t="s">
        <v>743</v>
      </c>
      <c r="M14" s="782" t="s">
        <v>743</v>
      </c>
      <c r="O14" s="782" t="s">
        <v>743</v>
      </c>
      <c r="P14" s="1176"/>
    </row>
    <row r="15" spans="1:16">
      <c r="A15" s="1421"/>
      <c r="B15" s="1421"/>
      <c r="C15" s="1421"/>
      <c r="D15" s="1421"/>
      <c r="E15" s="1421"/>
      <c r="F15" s="1421"/>
      <c r="G15" s="1421"/>
      <c r="H15" s="1421"/>
      <c r="I15" s="1421"/>
      <c r="J15" s="1421"/>
      <c r="K15" s="1421"/>
      <c r="L15" s="1421"/>
      <c r="M15" s="1421"/>
      <c r="N15" s="1421"/>
      <c r="O15" s="781"/>
      <c r="P15" s="1423"/>
    </row>
    <row r="16" spans="1:16">
      <c r="I16" s="1424" t="s">
        <v>695</v>
      </c>
      <c r="K16" s="1424" t="s">
        <v>695</v>
      </c>
      <c r="M16" s="1424" t="s">
        <v>695</v>
      </c>
      <c r="O16" s="1424" t="s">
        <v>695</v>
      </c>
      <c r="P16" s="1424"/>
    </row>
    <row r="17" spans="1:16">
      <c r="A17" s="1176">
        <v>1</v>
      </c>
      <c r="C17" s="1420" t="s">
        <v>696</v>
      </c>
      <c r="E17" s="64" t="s">
        <v>600</v>
      </c>
      <c r="F17" s="1425"/>
      <c r="G17" s="1176" t="s">
        <v>697</v>
      </c>
      <c r="I17" s="1426">
        <f>'WPB-5''s'!E21+'WPB-5''s'!E33</f>
        <v>18843852</v>
      </c>
      <c r="J17" s="1427"/>
      <c r="K17" s="1426">
        <f ca="1">'WPB-5''s'!G21+'WPB-5''s'!G33</f>
        <v>17915083</v>
      </c>
      <c r="M17" s="1428">
        <f>'WPB-5''s'!E21</f>
        <v>2978574</v>
      </c>
      <c r="O17" s="1428">
        <f ca="1">'WPB-5''s'!G21</f>
        <v>3021735</v>
      </c>
      <c r="P17" s="1425"/>
    </row>
    <row r="18" spans="1:16">
      <c r="A18" s="1176">
        <v>2</v>
      </c>
      <c r="C18" s="1420" t="s">
        <v>698</v>
      </c>
      <c r="E18" s="64" t="s">
        <v>601</v>
      </c>
    </row>
    <row r="19" spans="1:16">
      <c r="A19" s="1176">
        <v>3</v>
      </c>
      <c r="C19" s="1429"/>
      <c r="E19" s="64" t="s">
        <v>602</v>
      </c>
    </row>
    <row r="20" spans="1:16">
      <c r="A20" s="1176">
        <v>4</v>
      </c>
      <c r="C20" s="1429"/>
      <c r="E20" s="64"/>
    </row>
    <row r="21" spans="1:16">
      <c r="A21" s="1176">
        <v>5</v>
      </c>
      <c r="C21" s="787" t="s">
        <v>603</v>
      </c>
    </row>
    <row r="22" spans="1:16">
      <c r="A22" s="1176">
        <v>6</v>
      </c>
      <c r="C22" s="1430" t="s">
        <v>604</v>
      </c>
    </row>
    <row r="23" spans="1:16">
      <c r="A23" s="1176">
        <v>7</v>
      </c>
      <c r="C23" s="1431" t="s">
        <v>226</v>
      </c>
      <c r="E23" s="732" t="s">
        <v>2099</v>
      </c>
      <c r="G23" s="1176" t="s">
        <v>1883</v>
      </c>
      <c r="I23" s="783">
        <f>U70</f>
        <v>17354274</v>
      </c>
      <c r="K23" s="783">
        <f>U120</f>
        <v>17354274</v>
      </c>
      <c r="M23" s="783">
        <f>Y70</f>
        <v>0</v>
      </c>
      <c r="O23" s="783">
        <f>Y120</f>
        <v>0</v>
      </c>
      <c r="P23" s="1425"/>
    </row>
    <row r="24" spans="1:16">
      <c r="A24" s="1176">
        <v>8</v>
      </c>
      <c r="C24" s="2135" t="s">
        <v>2532</v>
      </c>
      <c r="E24" s="732" t="s">
        <v>2099</v>
      </c>
      <c r="G24" s="1176" t="s">
        <v>1883</v>
      </c>
      <c r="I24" s="783">
        <f>U71</f>
        <v>592942</v>
      </c>
      <c r="K24" s="783">
        <f>U121</f>
        <v>592942</v>
      </c>
      <c r="M24" s="783">
        <f>Y71</f>
        <v>0</v>
      </c>
      <c r="O24" s="783">
        <f>Y121</f>
        <v>0</v>
      </c>
      <c r="P24" s="1425"/>
    </row>
    <row r="25" spans="1:16">
      <c r="A25" s="1176">
        <v>9</v>
      </c>
      <c r="C25" s="2135" t="s">
        <v>2533</v>
      </c>
      <c r="E25" s="732" t="s">
        <v>2099</v>
      </c>
      <c r="F25" s="1425"/>
      <c r="G25" s="1176" t="s">
        <v>1883</v>
      </c>
      <c r="I25" s="783">
        <f>U72</f>
        <v>0</v>
      </c>
      <c r="K25" s="783">
        <f>U122</f>
        <v>0</v>
      </c>
      <c r="M25" s="783">
        <f>Y72</f>
        <v>0</v>
      </c>
      <c r="O25" s="783">
        <f>Y122</f>
        <v>0</v>
      </c>
      <c r="P25" s="1432"/>
    </row>
    <row r="26" spans="1:16">
      <c r="A26" s="1176">
        <v>10</v>
      </c>
      <c r="C26" s="1431" t="s">
        <v>605</v>
      </c>
      <c r="E26" s="732" t="s">
        <v>2099</v>
      </c>
      <c r="G26" s="1176" t="s">
        <v>1883</v>
      </c>
      <c r="I26" s="786">
        <f>U73</f>
        <v>717397</v>
      </c>
      <c r="J26" s="1433"/>
      <c r="K26" s="786">
        <f>U123</f>
        <v>717397</v>
      </c>
      <c r="L26" s="1433"/>
      <c r="M26" s="786">
        <f>Y73</f>
        <v>0</v>
      </c>
      <c r="N26" s="1433"/>
      <c r="O26" s="786">
        <f>Y123</f>
        <v>0</v>
      </c>
      <c r="P26" s="1425"/>
    </row>
    <row r="27" spans="1:16">
      <c r="A27" s="1176">
        <v>11</v>
      </c>
      <c r="C27" s="1430" t="s">
        <v>606</v>
      </c>
      <c r="E27" s="732"/>
      <c r="F27" s="1425"/>
      <c r="G27" s="1176"/>
      <c r="I27" s="783">
        <f>SUM(I23:I26)</f>
        <v>18664613</v>
      </c>
      <c r="K27" s="783">
        <f>SUM(K23:K26)</f>
        <v>18664613</v>
      </c>
      <c r="M27" s="783">
        <f>SUM(M23:M26)</f>
        <v>0</v>
      </c>
      <c r="O27" s="783">
        <f>SUM(O23:O26)</f>
        <v>0</v>
      </c>
      <c r="P27" s="1425"/>
    </row>
    <row r="28" spans="1:16">
      <c r="A28" s="1176">
        <v>12</v>
      </c>
      <c r="C28" s="1430"/>
      <c r="E28" s="732"/>
      <c r="G28" s="1176"/>
      <c r="I28" s="783"/>
      <c r="K28" s="783"/>
      <c r="M28" s="783"/>
      <c r="O28" s="783"/>
    </row>
    <row r="29" spans="1:16">
      <c r="A29" s="1176">
        <v>13</v>
      </c>
      <c r="C29" s="1430" t="s">
        <v>607</v>
      </c>
      <c r="E29" s="732" t="s">
        <v>2099</v>
      </c>
      <c r="G29" s="1176" t="s">
        <v>699</v>
      </c>
      <c r="I29" s="783">
        <f>U76</f>
        <v>3586912</v>
      </c>
      <c r="K29" s="783">
        <f>SCH_B5s!U126</f>
        <v>3586912</v>
      </c>
      <c r="M29" s="783">
        <f>Y76</f>
        <v>1284114</v>
      </c>
      <c r="O29" s="783">
        <f>Y126</f>
        <v>1284114</v>
      </c>
    </row>
    <row r="30" spans="1:16">
      <c r="A30" s="1176">
        <v>14</v>
      </c>
      <c r="C30" s="1430"/>
      <c r="E30" s="732"/>
      <c r="G30" s="1176"/>
      <c r="I30" s="783"/>
      <c r="K30" s="783"/>
      <c r="M30" s="783"/>
      <c r="O30" s="783"/>
      <c r="P30" s="1425"/>
    </row>
    <row r="31" spans="1:16">
      <c r="A31" s="1176">
        <v>15</v>
      </c>
      <c r="C31" s="1430" t="s">
        <v>702</v>
      </c>
      <c r="E31" s="732" t="s">
        <v>2099</v>
      </c>
      <c r="G31" s="1176" t="s">
        <v>703</v>
      </c>
      <c r="I31" s="783">
        <f>U78</f>
        <v>2958880</v>
      </c>
      <c r="K31" s="783">
        <f>SCH_B5s!U128</f>
        <v>2958880.076923077</v>
      </c>
      <c r="M31" s="783">
        <f>Y78</f>
        <v>2958880</v>
      </c>
      <c r="O31" s="783">
        <f>Y128</f>
        <v>2958880</v>
      </c>
      <c r="P31" s="1425"/>
    </row>
    <row r="32" spans="1:16">
      <c r="A32" s="1176">
        <v>16</v>
      </c>
      <c r="C32" s="1430"/>
      <c r="E32" s="732"/>
      <c r="F32" s="1425"/>
      <c r="G32" s="1176"/>
      <c r="I32" s="783"/>
      <c r="K32" s="783"/>
      <c r="M32" s="786"/>
      <c r="O32" s="786"/>
    </row>
    <row r="33" spans="1:29">
      <c r="A33" s="1176">
        <v>17</v>
      </c>
      <c r="C33" s="1430" t="s">
        <v>608</v>
      </c>
      <c r="E33" s="732" t="s">
        <v>2099</v>
      </c>
      <c r="G33" s="1176" t="s">
        <v>225</v>
      </c>
      <c r="I33" s="783">
        <f>U80</f>
        <v>0</v>
      </c>
      <c r="K33" s="783">
        <f>SCH_B5s!U130</f>
        <v>0</v>
      </c>
      <c r="M33" s="783">
        <f>Y80</f>
        <v>0</v>
      </c>
      <c r="O33" s="783">
        <f>Y130</f>
        <v>0</v>
      </c>
      <c r="P33" s="1425"/>
    </row>
    <row r="34" spans="1:29">
      <c r="A34" s="1176">
        <v>18</v>
      </c>
      <c r="C34" s="1430"/>
      <c r="E34" s="732"/>
      <c r="G34" s="1176"/>
      <c r="I34" s="786"/>
      <c r="K34" s="786"/>
      <c r="M34" s="786"/>
      <c r="O34" s="786"/>
    </row>
    <row r="35" spans="1:29">
      <c r="A35" s="1176">
        <v>19</v>
      </c>
      <c r="C35" s="1430" t="s">
        <v>609</v>
      </c>
      <c r="E35" s="732" t="s">
        <v>2099</v>
      </c>
      <c r="G35" s="1176" t="s">
        <v>701</v>
      </c>
      <c r="I35" s="783">
        <f>U82</f>
        <v>18481347</v>
      </c>
      <c r="K35" s="783">
        <f>SCH_B5s!U132</f>
        <v>18481347</v>
      </c>
      <c r="M35" s="783">
        <f>Y82</f>
        <v>1143072</v>
      </c>
      <c r="O35" s="783">
        <f>Y132</f>
        <v>1143072</v>
      </c>
    </row>
    <row r="36" spans="1:29">
      <c r="A36" s="1176">
        <v>20</v>
      </c>
      <c r="C36" s="1430"/>
      <c r="I36" s="1434"/>
      <c r="K36" s="1434"/>
      <c r="M36" s="1434"/>
      <c r="O36" s="1434"/>
      <c r="P36" s="1435"/>
    </row>
    <row r="37" spans="1:29">
      <c r="A37" s="1176">
        <v>21</v>
      </c>
      <c r="C37" s="1430" t="s">
        <v>704</v>
      </c>
      <c r="E37" s="732" t="s">
        <v>2099</v>
      </c>
      <c r="G37" s="1176" t="s">
        <v>705</v>
      </c>
      <c r="I37" s="786">
        <f>U84</f>
        <v>1862533</v>
      </c>
      <c r="J37" s="1433"/>
      <c r="K37" s="786">
        <f>U134</f>
        <v>2148486.5384615385</v>
      </c>
      <c r="L37" s="1433"/>
      <c r="M37" s="786">
        <f>Y84</f>
        <v>37742</v>
      </c>
      <c r="N37" s="1433"/>
      <c r="O37" s="786">
        <f>Y134</f>
        <v>37742</v>
      </c>
    </row>
    <row r="38" spans="1:29">
      <c r="A38" s="1176">
        <v>22</v>
      </c>
    </row>
    <row r="39" spans="1:29">
      <c r="A39" s="1176">
        <v>23</v>
      </c>
      <c r="C39" s="787" t="s">
        <v>706</v>
      </c>
      <c r="I39" s="786">
        <f>I27+I29+I31+I33+I35+I37</f>
        <v>45554285</v>
      </c>
      <c r="K39" s="786">
        <f>K27+K29+K31+K33+K35+K37</f>
        <v>45840238.615384609</v>
      </c>
      <c r="M39" s="786">
        <f>M27+M29+M31+M33+M35+M37</f>
        <v>5423808</v>
      </c>
      <c r="O39" s="786">
        <f>O27+O29+O31+O33+O35+O37</f>
        <v>5423808</v>
      </c>
    </row>
    <row r="40" spans="1:29">
      <c r="A40" s="1176">
        <v>24</v>
      </c>
      <c r="C40" s="1429"/>
    </row>
    <row r="41" spans="1:29">
      <c r="A41" s="1176">
        <v>25</v>
      </c>
      <c r="C41" s="1420" t="s">
        <v>707</v>
      </c>
      <c r="I41" s="1434">
        <f>I39+I17</f>
        <v>64398137</v>
      </c>
      <c r="K41" s="1434">
        <f ca="1">K39+K17</f>
        <v>63755321.615384609</v>
      </c>
      <c r="M41" s="1434">
        <f>M39+M17</f>
        <v>8402382</v>
      </c>
      <c r="O41" s="1434">
        <f ca="1">O39+O17</f>
        <v>8445543</v>
      </c>
    </row>
    <row r="42" spans="1:29">
      <c r="A42" s="1176"/>
    </row>
    <row r="43" spans="1:29">
      <c r="A43" s="1176"/>
      <c r="C43" s="787" t="s">
        <v>708</v>
      </c>
      <c r="P43" s="1436"/>
    </row>
    <row r="44" spans="1:29">
      <c r="A44" s="1176"/>
      <c r="B44" s="1420"/>
    </row>
    <row r="45" spans="1:29">
      <c r="A45" s="1420"/>
      <c r="C45" s="787" t="s">
        <v>1235</v>
      </c>
    </row>
    <row r="46" spans="1:29">
      <c r="C46" s="1201"/>
      <c r="Q46" s="1417" t="str">
        <f>COMPANY</f>
        <v>DUKE ENERGY KENTUCKY, INC.</v>
      </c>
      <c r="R46" s="1418"/>
      <c r="S46" s="1418"/>
      <c r="T46" s="1418"/>
      <c r="U46" s="1437"/>
      <c r="V46" s="1437"/>
      <c r="W46" s="1418"/>
      <c r="X46" s="1418"/>
      <c r="Y46" s="1437"/>
      <c r="AA46" s="1437"/>
      <c r="AB46" s="1418"/>
      <c r="AC46" s="1437"/>
    </row>
    <row r="47" spans="1:29">
      <c r="C47" s="1240"/>
      <c r="Q47" s="1417" t="str">
        <f>CASE</f>
        <v>CASE NO. 2018-00261</v>
      </c>
      <c r="R47" s="1418"/>
      <c r="S47" s="1418"/>
      <c r="T47" s="1418"/>
      <c r="U47" s="1437"/>
      <c r="V47" s="1437"/>
      <c r="W47" s="1418"/>
      <c r="X47" s="1418"/>
      <c r="Y47" s="1437"/>
      <c r="AA47" s="1437"/>
      <c r="AB47" s="1418"/>
      <c r="AC47" s="1437"/>
    </row>
    <row r="48" spans="1:29">
      <c r="Q48" s="1417" t="s">
        <v>2090</v>
      </c>
      <c r="R48" s="1418"/>
      <c r="S48" s="1418"/>
      <c r="T48" s="1418"/>
      <c r="U48" s="1437"/>
      <c r="V48" s="1437"/>
      <c r="W48" s="1418"/>
      <c r="X48" s="1418"/>
      <c r="Y48" s="1437"/>
      <c r="AA48" s="1437"/>
      <c r="AB48" s="1418"/>
      <c r="AC48" s="1437"/>
    </row>
    <row r="49" spans="16:29">
      <c r="Q49" s="44" t="str">
        <f>"AS OF " &amp;RIGHT(TESTYR,(LEN(TESTYR)-16))</f>
        <v>AS OF NOVEMBER 30, 2018</v>
      </c>
      <c r="R49" s="1418"/>
      <c r="S49" s="1418"/>
      <c r="T49" s="1418"/>
      <c r="U49" s="1437"/>
      <c r="V49" s="1437"/>
      <c r="W49" s="1418"/>
      <c r="X49" s="1418"/>
      <c r="Y49" s="1437"/>
      <c r="AA49" s="1437"/>
      <c r="AB49" s="1418"/>
      <c r="AC49" s="1437"/>
    </row>
    <row r="52" spans="16:29">
      <c r="Q52" s="1419" t="str">
        <f>Data</f>
        <v>DATA: "X" BASE PERIOD   FORECASTED PERIOD</v>
      </c>
      <c r="X52" s="1420" t="s">
        <v>2091</v>
      </c>
    </row>
    <row r="53" spans="16:29">
      <c r="Q53" s="1419" t="str">
        <f>LOGO!$B$15</f>
        <v xml:space="preserve">TYPE OF FILING:  "X" ORIGINAL   UPDATED    REVISED  </v>
      </c>
      <c r="X53" s="1420" t="s">
        <v>2092</v>
      </c>
    </row>
    <row r="54" spans="16:29">
      <c r="Q54" s="1420" t="s">
        <v>610</v>
      </c>
      <c r="X54" s="1420" t="s">
        <v>566</v>
      </c>
    </row>
    <row r="55" spans="16:29">
      <c r="X55" s="1420" t="str">
        <f>_WIT9</f>
        <v>R. H. PRATT</v>
      </c>
    </row>
    <row r="56" spans="16:29">
      <c r="Q56" s="1439"/>
      <c r="R56" s="1439"/>
      <c r="S56" s="1439"/>
      <c r="T56" s="1439"/>
      <c r="U56" s="1440"/>
      <c r="V56" s="1440"/>
      <c r="W56" s="1439"/>
      <c r="X56" s="1439"/>
      <c r="Y56" s="1440"/>
    </row>
    <row r="58" spans="16:29">
      <c r="U58" s="777" t="s">
        <v>2540</v>
      </c>
      <c r="V58" s="777"/>
      <c r="W58" s="778"/>
      <c r="X58" s="778"/>
      <c r="Y58" s="777"/>
    </row>
    <row r="59" spans="16:29">
      <c r="Q59" s="787" t="s">
        <v>567</v>
      </c>
      <c r="U59" s="154"/>
      <c r="V59" s="154"/>
      <c r="W59" s="779" t="s">
        <v>2094</v>
      </c>
      <c r="X59" s="779"/>
      <c r="Y59" s="779" t="s">
        <v>2094</v>
      </c>
      <c r="Z59" s="782"/>
      <c r="AA59" s="787"/>
      <c r="AC59" s="787"/>
    </row>
    <row r="60" spans="16:29">
      <c r="Q60" s="787" t="s">
        <v>2169</v>
      </c>
      <c r="S60" s="787" t="s">
        <v>2095</v>
      </c>
      <c r="U60" s="779" t="s">
        <v>884</v>
      </c>
      <c r="V60" s="779"/>
      <c r="W60" s="779" t="s">
        <v>2096</v>
      </c>
      <c r="X60" s="779"/>
      <c r="Y60" s="779" t="s">
        <v>2096</v>
      </c>
      <c r="Z60" s="782"/>
      <c r="AA60" s="787"/>
      <c r="AC60" s="787"/>
    </row>
    <row r="61" spans="16:29">
      <c r="Q61" s="1439"/>
      <c r="R61" s="1439"/>
      <c r="S61" s="1439"/>
      <c r="T61" s="1439"/>
      <c r="U61" s="780" t="s">
        <v>694</v>
      </c>
      <c r="V61" s="780"/>
      <c r="W61" s="781" t="s">
        <v>2097</v>
      </c>
      <c r="X61" s="781"/>
      <c r="Y61" s="780" t="s">
        <v>2098</v>
      </c>
      <c r="Z61" s="781"/>
      <c r="AA61" s="787"/>
      <c r="AC61" s="787"/>
    </row>
    <row r="62" spans="16:29">
      <c r="U62" s="2255" t="s">
        <v>2099</v>
      </c>
      <c r="V62" s="779"/>
      <c r="W62" s="2255" t="s">
        <v>678</v>
      </c>
      <c r="X62" s="782"/>
      <c r="Y62" s="2255" t="s">
        <v>679</v>
      </c>
      <c r="Z62" s="782"/>
      <c r="AA62" s="787"/>
      <c r="AC62" s="787"/>
    </row>
    <row r="63" spans="16:29">
      <c r="P63" s="1441"/>
      <c r="AA63" s="787"/>
      <c r="AC63" s="787"/>
    </row>
    <row r="64" spans="16:29">
      <c r="P64" s="1441"/>
      <c r="Q64" s="782">
        <v>1</v>
      </c>
      <c r="S64" s="787" t="s">
        <v>682</v>
      </c>
      <c r="AA64" s="787"/>
      <c r="AC64" s="787"/>
    </row>
    <row r="65" spans="16:29">
      <c r="P65" s="1441"/>
      <c r="Q65" s="782">
        <v>2</v>
      </c>
      <c r="S65" s="787" t="s">
        <v>758</v>
      </c>
      <c r="U65" s="779">
        <f>'WPB-5''s'!E21+'WPB-5''s'!E33</f>
        <v>18843852</v>
      </c>
      <c r="V65" s="779"/>
      <c r="W65" s="785" t="s">
        <v>759</v>
      </c>
      <c r="X65" s="785"/>
      <c r="Y65" s="786">
        <f>'WPB-5''s'!E21</f>
        <v>2978574</v>
      </c>
      <c r="AA65" s="787"/>
      <c r="AC65" s="787"/>
    </row>
    <row r="66" spans="16:29">
      <c r="P66" s="1441"/>
      <c r="Q66" s="782">
        <v>3</v>
      </c>
      <c r="U66" s="779"/>
      <c r="V66" s="779"/>
      <c r="W66" s="785"/>
      <c r="X66" s="785"/>
      <c r="Y66" s="786"/>
      <c r="AA66" s="787"/>
      <c r="AC66" s="787"/>
    </row>
    <row r="67" spans="16:29">
      <c r="Q67" s="782">
        <v>4</v>
      </c>
      <c r="U67" s="787"/>
      <c r="V67" s="787"/>
      <c r="Y67" s="787"/>
      <c r="AA67" s="787"/>
      <c r="AC67" s="787"/>
    </row>
    <row r="68" spans="16:29">
      <c r="Q68" s="782">
        <v>5</v>
      </c>
      <c r="S68" s="787" t="s">
        <v>603</v>
      </c>
      <c r="W68" s="782"/>
      <c r="X68" s="782"/>
      <c r="AA68" s="787"/>
      <c r="AC68" s="787"/>
    </row>
    <row r="69" spans="16:29">
      <c r="Q69" s="782">
        <v>6</v>
      </c>
      <c r="S69" s="787" t="s">
        <v>604</v>
      </c>
      <c r="AA69" s="787"/>
      <c r="AC69" s="787"/>
    </row>
    <row r="70" spans="16:29">
      <c r="P70" s="3124" t="s">
        <v>595</v>
      </c>
      <c r="Q70" s="782">
        <v>7</v>
      </c>
      <c r="S70" s="1430" t="s">
        <v>226</v>
      </c>
      <c r="U70" s="783">
        <f>'WPB-5''s'!CM358+'WPB-5''s'!CN358</f>
        <v>17354274</v>
      </c>
      <c r="W70" s="785">
        <f>VLOOKUP(P70,ALLOCTABLE,2)</f>
        <v>0</v>
      </c>
      <c r="X70" s="785"/>
      <c r="Y70" s="783">
        <f>ROUND(U70*(W70/100),0)</f>
        <v>0</v>
      </c>
      <c r="AA70" s="787"/>
      <c r="AC70" s="787"/>
    </row>
    <row r="71" spans="16:29">
      <c r="P71" s="3124" t="s">
        <v>595</v>
      </c>
      <c r="Q71" s="782">
        <v>8</v>
      </c>
      <c r="S71" s="1430" t="s">
        <v>2532</v>
      </c>
      <c r="U71" s="783">
        <f>'WPB-5''s'!CP358</f>
        <v>592942</v>
      </c>
      <c r="W71" s="785">
        <f>VLOOKUP(P71,ALLOCTABLE,2)</f>
        <v>0</v>
      </c>
      <c r="X71" s="785"/>
      <c r="Y71" s="783">
        <f>ROUND(U71*(W71/100),0)</f>
        <v>0</v>
      </c>
      <c r="AA71" s="787"/>
      <c r="AC71" s="787"/>
    </row>
    <row r="72" spans="16:29">
      <c r="P72" s="3124" t="s">
        <v>595</v>
      </c>
      <c r="Q72" s="782">
        <v>9</v>
      </c>
      <c r="S72" s="1430" t="s">
        <v>2533</v>
      </c>
      <c r="U72" s="783">
        <f>'WPB-5''s'!CQ358</f>
        <v>0</v>
      </c>
      <c r="W72" s="785">
        <f>VLOOKUP(P72,ALLOCTABLE,2)</f>
        <v>0</v>
      </c>
      <c r="X72" s="785"/>
      <c r="Y72" s="783">
        <f>ROUND(U72*(W72/100),0)</f>
        <v>0</v>
      </c>
      <c r="AA72" s="787"/>
      <c r="AC72" s="787"/>
    </row>
    <row r="73" spans="16:29">
      <c r="P73" s="3124" t="s">
        <v>595</v>
      </c>
      <c r="Q73" s="782">
        <v>10</v>
      </c>
      <c r="S73" s="1430" t="s">
        <v>605</v>
      </c>
      <c r="U73" s="786">
        <f>'WPB-5''s'!CS358</f>
        <v>717397</v>
      </c>
      <c r="V73" s="786"/>
      <c r="W73" s="785">
        <f>VLOOKUP(P73,ALLOCTABLE,2)</f>
        <v>0</v>
      </c>
      <c r="X73" s="785"/>
      <c r="Y73" s="786">
        <f>ROUND(U73*(W73/100),0)</f>
        <v>0</v>
      </c>
      <c r="AA73" s="787"/>
      <c r="AC73" s="787"/>
    </row>
    <row r="74" spans="16:29">
      <c r="P74" s="3124"/>
      <c r="Q74" s="782">
        <v>11</v>
      </c>
      <c r="S74" s="787" t="s">
        <v>606</v>
      </c>
      <c r="U74" s="783">
        <f>SUM(U70:U73)</f>
        <v>18664613</v>
      </c>
      <c r="W74" s="785"/>
      <c r="X74" s="785"/>
      <c r="Y74" s="783">
        <f>SUM(Y70:Y73)</f>
        <v>0</v>
      </c>
      <c r="AA74" s="787"/>
      <c r="AC74" s="787"/>
    </row>
    <row r="75" spans="16:29">
      <c r="P75" s="3124"/>
      <c r="Q75" s="782">
        <v>12</v>
      </c>
      <c r="W75" s="1443"/>
      <c r="X75" s="1443"/>
      <c r="AA75" s="787"/>
      <c r="AC75" s="787"/>
    </row>
    <row r="76" spans="16:29">
      <c r="P76" s="3124"/>
      <c r="Q76" s="782">
        <v>13</v>
      </c>
      <c r="S76" s="787" t="s">
        <v>607</v>
      </c>
      <c r="U76" s="783">
        <f>'WPB-5''s'!M60</f>
        <v>3586912</v>
      </c>
      <c r="W76" s="3123">
        <v>35.799999999999997</v>
      </c>
      <c r="X76" s="1444"/>
      <c r="Y76" s="783">
        <f>ROUND(U76*(W76/100),0)</f>
        <v>1284114</v>
      </c>
      <c r="AA76" s="787"/>
      <c r="AC76" s="787"/>
    </row>
    <row r="77" spans="16:29">
      <c r="P77" s="3124"/>
      <c r="Q77" s="782">
        <v>14</v>
      </c>
      <c r="S77" s="850"/>
      <c r="W77" s="785"/>
      <c r="X77" s="785"/>
      <c r="AA77" s="787"/>
      <c r="AC77" s="787"/>
    </row>
    <row r="78" spans="16:29">
      <c r="P78" s="3124" t="s">
        <v>591</v>
      </c>
      <c r="Q78" s="782">
        <v>15</v>
      </c>
      <c r="S78" s="787" t="s">
        <v>702</v>
      </c>
      <c r="U78" s="783">
        <f>'WPB-5''s'!BJ206</f>
        <v>2958880</v>
      </c>
      <c r="W78" s="785">
        <f>VLOOKUP(P78,ALLOCTABLE,2)</f>
        <v>100</v>
      </c>
      <c r="X78" s="785"/>
      <c r="Y78" s="783">
        <f>ROUND(U78*(W78/100),0)</f>
        <v>2958880</v>
      </c>
      <c r="Z78" s="1432"/>
      <c r="AA78" s="787"/>
      <c r="AC78" s="787"/>
    </row>
    <row r="79" spans="16:29">
      <c r="P79" s="3124"/>
      <c r="Q79" s="782">
        <v>16</v>
      </c>
      <c r="AA79" s="787"/>
      <c r="AC79" s="787"/>
    </row>
    <row r="80" spans="16:29">
      <c r="P80" s="3124" t="s">
        <v>595</v>
      </c>
      <c r="Q80" s="782">
        <v>17</v>
      </c>
      <c r="S80" s="787" t="s">
        <v>608</v>
      </c>
      <c r="U80" s="783">
        <f>'WPB-5''s'!DC409</f>
        <v>0</v>
      </c>
      <c r="W80" s="785">
        <f>VLOOKUP(P80,ALLOCTABLE,2)</f>
        <v>0</v>
      </c>
      <c r="X80" s="785"/>
      <c r="Y80" s="783">
        <f>ROUND(U80*(W80/100),0)</f>
        <v>0</v>
      </c>
      <c r="AA80" s="787"/>
      <c r="AC80" s="787"/>
    </row>
    <row r="81" spans="16:29">
      <c r="P81" s="1442"/>
      <c r="Q81" s="782">
        <v>18</v>
      </c>
      <c r="AA81" s="787"/>
      <c r="AC81" s="787"/>
    </row>
    <row r="82" spans="16:29">
      <c r="P82" s="1442"/>
      <c r="Q82" s="782">
        <v>19</v>
      </c>
      <c r="S82" s="787" t="s">
        <v>609</v>
      </c>
      <c r="U82" s="783">
        <f>'WPB-5''s'!AT164</f>
        <v>18481347</v>
      </c>
      <c r="W82" s="785" t="s">
        <v>759</v>
      </c>
      <c r="X82" s="785"/>
      <c r="Y82" s="783">
        <f>'WPB-5''s'!AZ164</f>
        <v>1143072</v>
      </c>
      <c r="AA82" s="787"/>
      <c r="AC82" s="787"/>
    </row>
    <row r="83" spans="16:29">
      <c r="P83" s="1442"/>
      <c r="Q83" s="782">
        <v>20</v>
      </c>
      <c r="AA83" s="787"/>
      <c r="AC83" s="787"/>
    </row>
    <row r="84" spans="16:29">
      <c r="P84" s="1442"/>
      <c r="Q84" s="782">
        <v>21</v>
      </c>
      <c r="S84" s="787" t="s">
        <v>704</v>
      </c>
      <c r="U84" s="786">
        <f>'WPB-5''s'!W100</f>
        <v>1862533</v>
      </c>
      <c r="V84" s="786"/>
      <c r="W84" s="785" t="s">
        <v>759</v>
      </c>
      <c r="X84" s="785"/>
      <c r="Y84" s="786">
        <f>'WPB-5''s'!AC100</f>
        <v>37742</v>
      </c>
      <c r="AA84" s="787"/>
      <c r="AC84" s="787"/>
    </row>
    <row r="85" spans="16:29">
      <c r="Q85" s="782">
        <v>22</v>
      </c>
      <c r="AA85" s="787"/>
      <c r="AC85" s="787"/>
    </row>
    <row r="86" spans="16:29">
      <c r="Q86" s="782">
        <v>23</v>
      </c>
      <c r="S86" s="787" t="s">
        <v>706</v>
      </c>
      <c r="U86" s="786">
        <f>U74+U78+U76+U80+U82+U84</f>
        <v>45554285</v>
      </c>
      <c r="V86" s="786"/>
      <c r="Y86" s="786">
        <f>Y74+Y78+Y76+Y80+Y82+Y84</f>
        <v>5423808</v>
      </c>
      <c r="AA86" s="787"/>
      <c r="AC86" s="787"/>
    </row>
    <row r="87" spans="16:29">
      <c r="Q87" s="782">
        <v>24</v>
      </c>
      <c r="AA87" s="787"/>
      <c r="AC87" s="787"/>
    </row>
    <row r="88" spans="16:29">
      <c r="Q88" s="782">
        <v>25</v>
      </c>
      <c r="S88" s="787" t="s">
        <v>707</v>
      </c>
      <c r="U88" s="788">
        <f>U86+U65</f>
        <v>64398137</v>
      </c>
      <c r="V88" s="788"/>
      <c r="Y88" s="788">
        <f>Y86+Y65</f>
        <v>8402382</v>
      </c>
      <c r="AA88" s="787"/>
      <c r="AC88" s="787"/>
    </row>
    <row r="89" spans="16:29">
      <c r="U89" s="787"/>
      <c r="V89" s="787"/>
      <c r="Y89" s="787"/>
      <c r="AA89" s="787"/>
      <c r="AC89" s="787"/>
    </row>
    <row r="90" spans="16:29">
      <c r="U90" s="787"/>
      <c r="V90" s="787"/>
      <c r="Y90" s="787"/>
      <c r="AA90" s="787"/>
      <c r="AC90" s="787"/>
    </row>
    <row r="92" spans="16:29">
      <c r="Q92" s="1445"/>
      <c r="S92" s="787" t="s">
        <v>761</v>
      </c>
      <c r="T92" s="1445"/>
      <c r="U92" s="1446"/>
      <c r="V92" s="1446"/>
    </row>
    <row r="93" spans="16:29">
      <c r="Q93" s="1445"/>
      <c r="R93" s="1445"/>
      <c r="S93" s="1445"/>
      <c r="T93" s="1445"/>
      <c r="U93" s="1446"/>
      <c r="V93" s="1446"/>
    </row>
    <row r="94" spans="16:29">
      <c r="Q94" s="1445"/>
      <c r="R94" s="1445"/>
      <c r="S94" s="1445"/>
      <c r="T94" s="1445"/>
      <c r="U94" s="1446"/>
      <c r="V94" s="1446"/>
    </row>
    <row r="95" spans="16:29">
      <c r="Q95" s="1445"/>
      <c r="R95" s="1445"/>
      <c r="S95" s="1445"/>
      <c r="T95" s="1445"/>
      <c r="U95" s="1446"/>
      <c r="V95" s="1446"/>
    </row>
    <row r="96" spans="16:29">
      <c r="Q96" s="1417" t="str">
        <f>COMPANY</f>
        <v>DUKE ENERGY KENTUCKY, INC.</v>
      </c>
      <c r="R96" s="1418"/>
      <c r="S96" s="1418"/>
      <c r="T96" s="1418"/>
      <c r="U96" s="1437"/>
      <c r="V96" s="1437"/>
      <c r="W96" s="1418"/>
      <c r="X96" s="1418"/>
      <c r="Y96" s="1437"/>
      <c r="AA96" s="1437"/>
      <c r="AB96" s="1418"/>
      <c r="AC96" s="1437"/>
    </row>
    <row r="97" spans="17:29">
      <c r="Q97" s="1417" t="str">
        <f>CASE</f>
        <v>CASE NO. 2018-00261</v>
      </c>
      <c r="R97" s="1418"/>
      <c r="S97" s="1418"/>
      <c r="T97" s="1418"/>
      <c r="U97" s="1437"/>
      <c r="V97" s="1437"/>
      <c r="W97" s="1418"/>
      <c r="X97" s="1418"/>
      <c r="Y97" s="1437"/>
      <c r="AA97" s="1437"/>
      <c r="AB97" s="1418"/>
      <c r="AC97" s="1437"/>
    </row>
    <row r="98" spans="17:29">
      <c r="Q98" s="1417" t="s">
        <v>2090</v>
      </c>
      <c r="R98" s="1418"/>
      <c r="S98" s="1418"/>
      <c r="T98" s="1418"/>
      <c r="U98" s="1437"/>
      <c r="V98" s="1437"/>
      <c r="W98" s="1418"/>
      <c r="X98" s="1418"/>
      <c r="Y98" s="1437"/>
      <c r="AA98" s="1437"/>
      <c r="AB98" s="1418"/>
      <c r="AC98" s="1437"/>
    </row>
    <row r="99" spans="17:29">
      <c r="Q99" s="44" t="str">
        <f>"AS OF " &amp;RIGHT(Forecast,(LEN(Forecast)-16))</f>
        <v>AS OF MARCH 31, 2020</v>
      </c>
      <c r="R99" s="1418"/>
      <c r="S99" s="1418"/>
      <c r="T99" s="1418"/>
      <c r="U99" s="1437"/>
      <c r="V99" s="1437"/>
      <c r="W99" s="1418"/>
      <c r="X99" s="1418"/>
      <c r="Y99" s="1437"/>
      <c r="AA99" s="1437"/>
      <c r="AB99" s="1418"/>
      <c r="AC99" s="1437"/>
    </row>
    <row r="102" spans="17:29">
      <c r="Q102" s="1419" t="str">
        <f>DataF</f>
        <v>DATA:  BASE PERIOD  "X" FORECASTED PERIOD</v>
      </c>
      <c r="X102" s="1420" t="s">
        <v>2091</v>
      </c>
    </row>
    <row r="103" spans="17:29">
      <c r="Q103" s="1419" t="str">
        <f>LOGO!$B$15</f>
        <v xml:space="preserve">TYPE OF FILING:  "X" ORIGINAL   UPDATED    REVISED  </v>
      </c>
      <c r="X103" s="1420" t="s">
        <v>762</v>
      </c>
    </row>
    <row r="104" spans="17:29">
      <c r="Q104" s="1420" t="s">
        <v>610</v>
      </c>
      <c r="X104" s="1420" t="s">
        <v>566</v>
      </c>
    </row>
    <row r="105" spans="17:29">
      <c r="X105" s="1438" t="str">
        <f>_WIT9</f>
        <v>R. H. PRATT</v>
      </c>
    </row>
    <row r="106" spans="17:29">
      <c r="Q106" s="1439"/>
      <c r="R106" s="1439"/>
      <c r="S106" s="1439"/>
      <c r="T106" s="1439"/>
      <c r="U106" s="1440"/>
      <c r="V106" s="1440"/>
      <c r="W106" s="1439"/>
      <c r="X106" s="1439"/>
      <c r="Y106" s="1440"/>
    </row>
    <row r="108" spans="17:29">
      <c r="U108" s="777" t="s">
        <v>2093</v>
      </c>
      <c r="V108" s="777"/>
      <c r="W108" s="778"/>
      <c r="X108" s="778"/>
      <c r="Y108" s="777"/>
    </row>
    <row r="109" spans="17:29">
      <c r="Q109" s="787" t="s">
        <v>567</v>
      </c>
      <c r="U109" s="154"/>
      <c r="V109" s="154"/>
      <c r="W109" s="779" t="s">
        <v>2094</v>
      </c>
      <c r="X109" s="779"/>
      <c r="Y109" s="779" t="s">
        <v>2094</v>
      </c>
    </row>
    <row r="110" spans="17:29">
      <c r="Q110" s="787" t="s">
        <v>2169</v>
      </c>
      <c r="S110" s="787" t="s">
        <v>2095</v>
      </c>
      <c r="U110" s="779" t="s">
        <v>884</v>
      </c>
      <c r="V110" s="779"/>
      <c r="W110" s="779" t="s">
        <v>2096</v>
      </c>
      <c r="X110" s="779"/>
      <c r="Y110" s="779" t="s">
        <v>2096</v>
      </c>
    </row>
    <row r="111" spans="17:29">
      <c r="Q111" s="1439"/>
      <c r="R111" s="1439"/>
      <c r="S111" s="1439"/>
      <c r="T111" s="1439"/>
      <c r="U111" s="780" t="s">
        <v>694</v>
      </c>
      <c r="V111" s="780"/>
      <c r="W111" s="781" t="s">
        <v>2097</v>
      </c>
      <c r="X111" s="781"/>
      <c r="Y111" s="780" t="s">
        <v>2098</v>
      </c>
    </row>
    <row r="112" spans="17:29">
      <c r="U112" s="2255" t="s">
        <v>2099</v>
      </c>
      <c r="V112" s="779"/>
      <c r="W112" s="2255" t="s">
        <v>678</v>
      </c>
      <c r="X112" s="782"/>
      <c r="Y112" s="2255" t="s">
        <v>679</v>
      </c>
    </row>
    <row r="113" spans="16:25">
      <c r="P113" s="1441"/>
      <c r="W113" s="784"/>
      <c r="X113" s="784"/>
    </row>
    <row r="114" spans="16:25">
      <c r="P114" s="1441"/>
      <c r="Q114" s="782">
        <v>1</v>
      </c>
      <c r="S114" s="787" t="s">
        <v>682</v>
      </c>
      <c r="W114" s="784"/>
      <c r="X114" s="784"/>
    </row>
    <row r="115" spans="16:25">
      <c r="P115" s="1441"/>
      <c r="Q115" s="782">
        <v>2</v>
      </c>
      <c r="S115" s="787" t="s">
        <v>758</v>
      </c>
      <c r="U115" s="779">
        <f ca="1">'WPB-5''s'!G21+'WPB-5''s'!G33</f>
        <v>17915083</v>
      </c>
      <c r="V115" s="779"/>
      <c r="W115" s="785" t="s">
        <v>759</v>
      </c>
      <c r="X115" s="785"/>
      <c r="Y115" s="786">
        <f ca="1">'WPB-5''s'!G21</f>
        <v>3021735</v>
      </c>
    </row>
    <row r="116" spans="16:25">
      <c r="P116" s="1441"/>
      <c r="Q116" s="782">
        <v>3</v>
      </c>
      <c r="U116" s="779"/>
      <c r="V116" s="779"/>
      <c r="W116" s="785"/>
      <c r="X116" s="785"/>
      <c r="Y116" s="786"/>
    </row>
    <row r="117" spans="16:25">
      <c r="Q117" s="782">
        <v>4</v>
      </c>
      <c r="U117" s="787"/>
      <c r="V117" s="787"/>
      <c r="Y117" s="787"/>
    </row>
    <row r="118" spans="16:25">
      <c r="Q118" s="782">
        <v>5</v>
      </c>
      <c r="S118" s="787" t="s">
        <v>603</v>
      </c>
    </row>
    <row r="119" spans="16:25">
      <c r="P119" s="1442"/>
      <c r="Q119" s="782">
        <v>6</v>
      </c>
      <c r="S119" s="787" t="s">
        <v>604</v>
      </c>
      <c r="U119" s="787"/>
      <c r="V119" s="787"/>
      <c r="Y119" s="787"/>
    </row>
    <row r="120" spans="16:25">
      <c r="P120" s="3124" t="s">
        <v>595</v>
      </c>
      <c r="Q120" s="782">
        <v>7</v>
      </c>
      <c r="S120" s="1430" t="s">
        <v>226</v>
      </c>
      <c r="U120" s="783">
        <f>'WPB-5''s'!CM376+'WPB-5''s'!CN376</f>
        <v>17354274</v>
      </c>
      <c r="W120" s="785">
        <f>VLOOKUP(P120,ALLOCTABLE,2)</f>
        <v>0</v>
      </c>
      <c r="X120" s="785"/>
      <c r="Y120" s="783">
        <f>ROUND(U120*(W120/100),0)</f>
        <v>0</v>
      </c>
    </row>
    <row r="121" spans="16:25">
      <c r="P121" s="3124" t="s">
        <v>595</v>
      </c>
      <c r="Q121" s="782">
        <v>8</v>
      </c>
      <c r="S121" s="1430" t="s">
        <v>2532</v>
      </c>
      <c r="U121" s="783">
        <f>'WPB-5''s'!CP376</f>
        <v>592942</v>
      </c>
      <c r="W121" s="785">
        <f>VLOOKUP(P121,ALLOCTABLE,2)</f>
        <v>0</v>
      </c>
      <c r="X121" s="785"/>
      <c r="Y121" s="783">
        <f>ROUND(U121*(W121/100),0)</f>
        <v>0</v>
      </c>
    </row>
    <row r="122" spans="16:25">
      <c r="P122" s="3124" t="s">
        <v>595</v>
      </c>
      <c r="Q122" s="782">
        <v>9</v>
      </c>
      <c r="S122" s="1430" t="s">
        <v>2533</v>
      </c>
      <c r="U122" s="783">
        <f>'WPB-5''s'!CQ376</f>
        <v>0</v>
      </c>
      <c r="W122" s="785">
        <f>VLOOKUP(P122,ALLOCTABLE,2)</f>
        <v>0</v>
      </c>
      <c r="X122" s="785"/>
      <c r="Y122" s="783">
        <f>ROUND(U122*(W122/100),0)</f>
        <v>0</v>
      </c>
    </row>
    <row r="123" spans="16:25">
      <c r="P123" s="3124" t="s">
        <v>595</v>
      </c>
      <c r="Q123" s="782">
        <v>10</v>
      </c>
      <c r="S123" s="1430" t="s">
        <v>605</v>
      </c>
      <c r="U123" s="786">
        <f>'WPB-5''s'!CS376</f>
        <v>717397</v>
      </c>
      <c r="V123" s="786"/>
      <c r="W123" s="785">
        <f>VLOOKUP(P123,ALLOCTABLE,2)</f>
        <v>0</v>
      </c>
      <c r="X123" s="785"/>
      <c r="Y123" s="786">
        <f>ROUND(U123*(W123/100),0)</f>
        <v>0</v>
      </c>
    </row>
    <row r="124" spans="16:25">
      <c r="P124" s="3124"/>
      <c r="Q124" s="782">
        <v>11</v>
      </c>
      <c r="S124" s="787" t="s">
        <v>606</v>
      </c>
      <c r="U124" s="783">
        <f>SUM(U120:U123)</f>
        <v>18664613</v>
      </c>
      <c r="W124" s="785"/>
      <c r="X124" s="785"/>
      <c r="Y124" s="783">
        <f>SUM(Y120:Y123)</f>
        <v>0</v>
      </c>
    </row>
    <row r="125" spans="16:25">
      <c r="P125" s="3124"/>
      <c r="Q125" s="782">
        <v>12</v>
      </c>
      <c r="W125" s="785"/>
      <c r="X125" s="785"/>
    </row>
    <row r="126" spans="16:25">
      <c r="P126" s="3124"/>
      <c r="Q126" s="782">
        <v>13</v>
      </c>
      <c r="S126" s="787" t="s">
        <v>607</v>
      </c>
      <c r="U126" s="783">
        <f>'WPB-5''s'!M78</f>
        <v>3586912</v>
      </c>
      <c r="W126" s="785">
        <f>W76</f>
        <v>35.799999999999997</v>
      </c>
      <c r="X126" s="785"/>
      <c r="Y126" s="783">
        <f>ROUND(U126*(W126/100),0)</f>
        <v>1284114</v>
      </c>
    </row>
    <row r="127" spans="16:25">
      <c r="P127" s="3124"/>
      <c r="Q127" s="782">
        <v>14</v>
      </c>
      <c r="S127" s="850"/>
      <c r="W127" s="785"/>
      <c r="X127" s="785"/>
    </row>
    <row r="128" spans="16:25">
      <c r="P128" s="3124" t="s">
        <v>591</v>
      </c>
      <c r="Q128" s="782">
        <v>15</v>
      </c>
      <c r="S128" s="787" t="s">
        <v>702</v>
      </c>
      <c r="U128" s="783">
        <f>'WPB-5''s'!BJ224</f>
        <v>2958880.076923077</v>
      </c>
      <c r="W128" s="785">
        <f>VLOOKUP(P128,ALLOCTABLE,2)</f>
        <v>100</v>
      </c>
      <c r="X128" s="785"/>
      <c r="Y128" s="783">
        <f>ROUND(U128*(W128/100),0)</f>
        <v>2958880</v>
      </c>
    </row>
    <row r="129" spans="16:29">
      <c r="P129" s="3124"/>
      <c r="Q129" s="782">
        <v>16</v>
      </c>
    </row>
    <row r="130" spans="16:29">
      <c r="P130" s="3124" t="s">
        <v>595</v>
      </c>
      <c r="Q130" s="782">
        <v>17</v>
      </c>
      <c r="S130" s="787" t="s">
        <v>608</v>
      </c>
      <c r="U130" s="783">
        <f>'WPB-5''s'!DC427</f>
        <v>0</v>
      </c>
      <c r="W130" s="785">
        <f>VLOOKUP(P130,ALLOCTABLE,2)</f>
        <v>0</v>
      </c>
      <c r="X130" s="785"/>
      <c r="Y130" s="783">
        <f>ROUND(U130*(W130/100),0)</f>
        <v>0</v>
      </c>
    </row>
    <row r="131" spans="16:29">
      <c r="Q131" s="782">
        <v>18</v>
      </c>
    </row>
    <row r="132" spans="16:29">
      <c r="Q132" s="782">
        <v>19</v>
      </c>
      <c r="S132" s="787" t="s">
        <v>609</v>
      </c>
      <c r="U132" s="783">
        <f>'WPB-5''s'!AT176</f>
        <v>18481347</v>
      </c>
      <c r="W132" s="785" t="s">
        <v>759</v>
      </c>
      <c r="X132" s="785"/>
      <c r="Y132" s="783">
        <f>'WPB-5''s'!AZ176</f>
        <v>1143072</v>
      </c>
    </row>
    <row r="133" spans="16:29">
      <c r="Q133" s="782">
        <v>20</v>
      </c>
    </row>
    <row r="134" spans="16:29">
      <c r="Q134" s="782">
        <v>21</v>
      </c>
      <c r="S134" s="787" t="s">
        <v>704</v>
      </c>
      <c r="U134" s="786">
        <f>'WPB-5''s'!W108</f>
        <v>2148486.5384615385</v>
      </c>
      <c r="V134" s="786"/>
      <c r="W134" s="785" t="s">
        <v>759</v>
      </c>
      <c r="X134" s="785"/>
      <c r="Y134" s="786">
        <f>'WPB-5''s'!AC108</f>
        <v>37742</v>
      </c>
    </row>
    <row r="135" spans="16:29">
      <c r="Q135" s="782">
        <v>22</v>
      </c>
    </row>
    <row r="136" spans="16:29">
      <c r="Q136" s="782">
        <v>23</v>
      </c>
      <c r="S136" s="787" t="s">
        <v>706</v>
      </c>
      <c r="U136" s="786">
        <f>U124+U128+U126+U130+U132+U134</f>
        <v>45840238.615384609</v>
      </c>
      <c r="V136" s="786"/>
      <c r="Y136" s="786">
        <f>Y124+Y126+Y128+Y130+Y132+Y134</f>
        <v>5423808</v>
      </c>
    </row>
    <row r="137" spans="16:29">
      <c r="Q137" s="782">
        <v>24</v>
      </c>
    </row>
    <row r="138" spans="16:29">
      <c r="Q138" s="782">
        <v>25</v>
      </c>
      <c r="S138" s="787" t="s">
        <v>707</v>
      </c>
      <c r="U138" s="788">
        <f ca="1">U136+U115</f>
        <v>63755321.615384609</v>
      </c>
      <c r="V138" s="788"/>
      <c r="Y138" s="788">
        <f ca="1">Y136+Y115</f>
        <v>8445543</v>
      </c>
    </row>
    <row r="139" spans="16:29">
      <c r="U139" s="787"/>
      <c r="V139" s="787"/>
      <c r="Y139" s="787"/>
    </row>
    <row r="140" spans="16:29">
      <c r="U140" s="787"/>
      <c r="V140" s="787"/>
      <c r="Y140" s="787"/>
      <c r="AA140" s="787"/>
      <c r="AC140" s="787"/>
    </row>
    <row r="142" spans="16:29">
      <c r="Q142" s="1445"/>
      <c r="S142" s="787" t="s">
        <v>761</v>
      </c>
      <c r="T142" s="1445"/>
      <c r="U142" s="1446"/>
      <c r="V142" s="1446"/>
    </row>
    <row r="146" spans="21:29">
      <c r="U146" s="787"/>
      <c r="V146" s="787"/>
      <c r="Y146" s="787"/>
      <c r="AA146" s="787"/>
      <c r="AC146" s="787"/>
    </row>
  </sheetData>
  <phoneticPr fontId="4" type="noConversion"/>
  <pageMargins left="1" right="0.75" top="1" bottom="0" header="0" footer="0"/>
  <pageSetup scale="75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>
    <tabColor theme="8" tint="0.59999389629810485"/>
    <pageSetUpPr fitToPage="1"/>
  </sheetPr>
  <dimension ref="A1:DC540"/>
  <sheetViews>
    <sheetView zoomScale="90" zoomScaleNormal="90" workbookViewId="0"/>
  </sheetViews>
  <sheetFormatPr defaultColWidth="8" defaultRowHeight="13.2"/>
  <cols>
    <col min="1" max="1" width="7.44140625" style="2137" customWidth="1"/>
    <col min="2" max="2" width="1.44140625" style="2137" customWidth="1"/>
    <col min="3" max="3" width="40.33203125" style="2137" customWidth="1"/>
    <col min="4" max="4" width="20.5546875" style="2137" customWidth="1"/>
    <col min="5" max="5" width="19" style="2137" customWidth="1"/>
    <col min="6" max="6" width="1.6640625" style="2137" customWidth="1"/>
    <col min="7" max="7" width="20" style="2137" customWidth="1"/>
    <col min="8" max="8" width="3.5546875" style="2137" customWidth="1"/>
    <col min="9" max="9" width="6.5546875" style="2137" customWidth="1"/>
    <col min="10" max="10" width="2.44140625" style="2137" customWidth="1"/>
    <col min="11" max="11" width="31.5546875" style="2137" customWidth="1"/>
    <col min="12" max="12" width="10" style="2137" customWidth="1"/>
    <col min="13" max="13" width="16.33203125" style="2137" customWidth="1"/>
    <col min="14" max="14" width="16.88671875" style="2137" customWidth="1"/>
    <col min="15" max="15" width="14.5546875" style="2137" customWidth="1"/>
    <col min="16" max="16" width="21.33203125" style="2137" customWidth="1"/>
    <col min="17" max="17" width="7.6640625" style="2137" customWidth="1"/>
    <col min="18" max="18" width="3.5546875" style="2137" customWidth="1"/>
    <col min="19" max="20" width="11" style="2137" customWidth="1"/>
    <col min="21" max="21" width="15.33203125" style="2137" customWidth="1"/>
    <col min="22" max="22" width="3.109375" style="2137" customWidth="1"/>
    <col min="23" max="23" width="16.5546875" style="2137" customWidth="1"/>
    <col min="24" max="24" width="14.6640625" style="2137" customWidth="1"/>
    <col min="25" max="25" width="5" style="2137" customWidth="1"/>
    <col min="26" max="26" width="14.109375" style="2137" customWidth="1"/>
    <col min="27" max="27" width="16.88671875" style="2137" customWidth="1"/>
    <col min="28" max="28" width="13" style="2137" customWidth="1"/>
    <col min="29" max="29" width="16.33203125" style="2137" customWidth="1"/>
    <col min="30" max="30" width="5.33203125" style="2137" customWidth="1"/>
    <col min="31" max="31" width="11" style="2137" customWidth="1"/>
    <col min="32" max="32" width="7.6640625" style="2137" customWidth="1"/>
    <col min="33" max="33" width="1.44140625" style="2137" customWidth="1"/>
    <col min="34" max="34" width="45" style="2137" customWidth="1"/>
    <col min="35" max="35" width="16" style="2137" customWidth="1"/>
    <col min="36" max="36" width="14.5546875" style="2137" customWidth="1"/>
    <col min="37" max="37" width="1.88671875" style="2137" customWidth="1"/>
    <col min="38" max="38" width="17.44140625" style="2137" customWidth="1"/>
    <col min="39" max="39" width="19.44140625" style="2137" customWidth="1"/>
    <col min="40" max="40" width="5" style="2137" customWidth="1"/>
    <col min="41" max="41" width="8.109375" style="2137" customWidth="1"/>
    <col min="42" max="42" width="1.109375" style="2137" customWidth="1"/>
    <col min="43" max="43" width="12.88671875" style="2137" customWidth="1"/>
    <col min="44" max="44" width="36.44140625" style="2137" customWidth="1"/>
    <col min="45" max="45" width="1.33203125" style="2137" customWidth="1"/>
    <col min="46" max="46" width="18.109375" style="2137" customWidth="1"/>
    <col min="47" max="47" width="11.88671875" style="2137" customWidth="1"/>
    <col min="48" max="48" width="3.88671875" style="2137" customWidth="1"/>
    <col min="49" max="49" width="13.44140625" style="2137" customWidth="1"/>
    <col min="50" max="50" width="14.6640625" style="2137" customWidth="1"/>
    <col min="51" max="51" width="10.5546875" style="2137" customWidth="1"/>
    <col min="52" max="52" width="18.6640625" style="2137" customWidth="1"/>
    <col min="53" max="53" width="5.88671875" style="2137" customWidth="1"/>
    <col min="54" max="54" width="5.5546875" style="2137" customWidth="1"/>
    <col min="55" max="55" width="3" style="2137" customWidth="1"/>
    <col min="56" max="56" width="7.109375" style="2137" customWidth="1"/>
    <col min="57" max="59" width="16.88671875" style="2137" customWidth="1"/>
    <col min="60" max="60" width="17.88671875" style="2137" customWidth="1"/>
    <col min="61" max="61" width="2" style="2137" customWidth="1"/>
    <col min="62" max="62" width="19.109375" style="2137" customWidth="1"/>
    <col min="63" max="63" width="9.5546875" style="2137" customWidth="1"/>
    <col min="64" max="64" width="19.44140625" style="2137" customWidth="1"/>
    <col min="65" max="65" width="1" style="2137" customWidth="1"/>
    <col min="66" max="66" width="7.109375" style="2137" customWidth="1"/>
    <col min="67" max="67" width="16.88671875" style="2137" customWidth="1"/>
    <col min="68" max="68" width="17.88671875" style="2137" customWidth="1"/>
    <col min="69" max="69" width="16.6640625" style="2137" customWidth="1"/>
    <col min="70" max="77" width="16.109375" style="2137" customWidth="1"/>
    <col min="78" max="79" width="8" style="2137" customWidth="1"/>
    <col min="80" max="80" width="17" style="2137" customWidth="1"/>
    <col min="81" max="86" width="16.6640625" style="2137" customWidth="1"/>
    <col min="87" max="88" width="8" style="2137" customWidth="1"/>
    <col min="89" max="89" width="25" style="2137" customWidth="1"/>
    <col min="90" max="90" width="8" style="2137" customWidth="1"/>
    <col min="91" max="92" width="16" style="2137" customWidth="1"/>
    <col min="93" max="93" width="3.44140625" style="2025" customWidth="1"/>
    <col min="94" max="95" width="16" style="2137" customWidth="1"/>
    <col min="96" max="96" width="2.33203125" style="2025" customWidth="1"/>
    <col min="97" max="97" width="16" style="2137" customWidth="1"/>
    <col min="98" max="99" width="8" style="2137" customWidth="1"/>
    <col min="100" max="100" width="19.88671875" style="2137" customWidth="1"/>
    <col min="101" max="103" width="8" style="2137" customWidth="1"/>
    <col min="104" max="104" width="15.33203125" style="2137" customWidth="1"/>
    <col min="105" max="107" width="15.88671875" style="2137" customWidth="1"/>
    <col min="108" max="16384" width="8" style="2137"/>
  </cols>
  <sheetData>
    <row r="1" spans="1:8">
      <c r="A1" s="2136" t="str">
        <f>COMPANY</f>
        <v>DUKE ENERGY KENTUCKY, INC.</v>
      </c>
      <c r="E1" s="2138" t="s">
        <v>697</v>
      </c>
      <c r="F1" s="2138"/>
      <c r="H1" s="2138"/>
    </row>
    <row r="2" spans="1:8">
      <c r="A2" s="2136" t="str">
        <f>DEPT</f>
        <v>GAS DEPARTMENT</v>
      </c>
      <c r="E2" s="2138" t="s">
        <v>566</v>
      </c>
      <c r="F2" s="2138"/>
    </row>
    <row r="3" spans="1:8">
      <c r="A3" s="2136" t="str">
        <f>CASE</f>
        <v>CASE NO. 2018-00261</v>
      </c>
      <c r="E3" s="2137" t="str">
        <f>_WIT9</f>
        <v>R. H. PRATT</v>
      </c>
      <c r="H3" s="2139"/>
    </row>
    <row r="4" spans="1:8">
      <c r="A4" s="2140" t="s">
        <v>763</v>
      </c>
    </row>
    <row r="5" spans="1:8">
      <c r="A5" s="2140" t="s">
        <v>2516</v>
      </c>
    </row>
    <row r="6" spans="1:8">
      <c r="G6" s="2141"/>
      <c r="H6" s="2141"/>
    </row>
    <row r="8" spans="1:8">
      <c r="D8" s="2142" t="s">
        <v>764</v>
      </c>
      <c r="E8" s="2143" t="s">
        <v>686</v>
      </c>
      <c r="F8" s="2143"/>
      <c r="G8" s="2144"/>
    </row>
    <row r="9" spans="1:8">
      <c r="A9" s="2142" t="s">
        <v>567</v>
      </c>
      <c r="D9" s="2142" t="s">
        <v>765</v>
      </c>
      <c r="E9" s="2142" t="s">
        <v>740</v>
      </c>
      <c r="F9" s="2142"/>
      <c r="G9" s="2142" t="s">
        <v>1127</v>
      </c>
      <c r="H9" s="2142"/>
    </row>
    <row r="10" spans="1:8">
      <c r="A10" s="2145" t="s">
        <v>766</v>
      </c>
      <c r="C10" s="2146" t="s">
        <v>690</v>
      </c>
      <c r="D10" s="2145" t="s">
        <v>742</v>
      </c>
      <c r="E10" s="2145" t="s">
        <v>743</v>
      </c>
      <c r="F10" s="2145"/>
      <c r="G10" s="2145" t="s">
        <v>743</v>
      </c>
      <c r="H10" s="2146"/>
    </row>
    <row r="11" spans="1:8">
      <c r="A11" s="2147"/>
      <c r="C11" s="2148"/>
      <c r="D11" s="2142"/>
      <c r="E11" s="2142"/>
      <c r="F11" s="2142"/>
      <c r="G11" s="2142"/>
      <c r="H11" s="2142"/>
    </row>
    <row r="12" spans="1:8">
      <c r="A12" s="2142">
        <v>1</v>
      </c>
      <c r="C12" s="2149" t="s">
        <v>219</v>
      </c>
    </row>
    <row r="13" spans="1:8">
      <c r="A13" s="2142">
        <v>2</v>
      </c>
      <c r="C13" s="2138" t="s">
        <v>691</v>
      </c>
      <c r="D13" s="2150" t="s">
        <v>1006</v>
      </c>
      <c r="E13" s="2151">
        <f>SCH_C2!E40</f>
        <v>67613438</v>
      </c>
      <c r="F13" s="2150"/>
      <c r="G13" s="2151">
        <f ca="1">SCH_C2!N40</f>
        <v>60507968</v>
      </c>
    </row>
    <row r="14" spans="1:8">
      <c r="A14" s="2142">
        <v>3</v>
      </c>
    </row>
    <row r="15" spans="1:8">
      <c r="A15" s="2142">
        <v>4</v>
      </c>
      <c r="C15" s="2138" t="s">
        <v>221</v>
      </c>
      <c r="D15" s="2150" t="s">
        <v>1006</v>
      </c>
      <c r="E15" s="2152">
        <f>SCH_C2!E30</f>
        <v>43784843</v>
      </c>
      <c r="F15" s="2150"/>
      <c r="G15" s="2152">
        <f ca="1">SCH_C2!N30</f>
        <v>36334092</v>
      </c>
    </row>
    <row r="16" spans="1:8">
      <c r="A16" s="2142">
        <v>5</v>
      </c>
      <c r="E16" s="2153"/>
      <c r="G16" s="2153"/>
      <c r="H16" s="2153"/>
    </row>
    <row r="17" spans="1:8" ht="13.8" thickBot="1">
      <c r="A17" s="2142">
        <v>6</v>
      </c>
      <c r="C17" s="2138" t="s">
        <v>218</v>
      </c>
      <c r="E17" s="2154">
        <f>E13-E15</f>
        <v>23828595</v>
      </c>
      <c r="G17" s="2154">
        <f ca="1">G13-G15</f>
        <v>24173876</v>
      </c>
      <c r="H17" s="2155"/>
    </row>
    <row r="18" spans="1:8" ht="13.8" thickTop="1">
      <c r="A18" s="2142">
        <v>7</v>
      </c>
      <c r="E18" s="2153"/>
      <c r="G18" s="2153"/>
      <c r="H18" s="2153"/>
    </row>
    <row r="19" spans="1:8">
      <c r="A19" s="2142">
        <v>8</v>
      </c>
      <c r="C19" s="2138" t="s">
        <v>1007</v>
      </c>
    </row>
    <row r="20" spans="1:8">
      <c r="A20" s="2142">
        <v>9</v>
      </c>
    </row>
    <row r="21" spans="1:8" ht="13.8" thickBot="1">
      <c r="A21" s="2142">
        <v>10</v>
      </c>
      <c r="C21" s="2156" t="s">
        <v>1008</v>
      </c>
      <c r="D21" s="2157" t="s">
        <v>1009</v>
      </c>
      <c r="E21" s="2154">
        <f>ROUND(E17/8,0)</f>
        <v>2978574</v>
      </c>
      <c r="F21" s="2157"/>
      <c r="G21" s="2154">
        <f ca="1">ROUND(G17/8,0)</f>
        <v>3021735</v>
      </c>
    </row>
    <row r="22" spans="1:8" ht="13.8" thickTop="1">
      <c r="A22" s="2142">
        <v>11</v>
      </c>
      <c r="H22" s="2151"/>
    </row>
    <row r="23" spans="1:8">
      <c r="A23" s="2142">
        <v>12</v>
      </c>
    </row>
    <row r="24" spans="1:8">
      <c r="A24" s="2142">
        <v>13</v>
      </c>
      <c r="C24" s="2149" t="s">
        <v>216</v>
      </c>
      <c r="E24" s="2158"/>
      <c r="G24" s="2158"/>
      <c r="H24" s="2155"/>
    </row>
    <row r="25" spans="1:8">
      <c r="A25" s="2142">
        <v>14</v>
      </c>
      <c r="C25" s="2138" t="s">
        <v>691</v>
      </c>
      <c r="D25" s="2150" t="s">
        <v>220</v>
      </c>
      <c r="E25" s="3308">
        <f>62769476+64152744</f>
        <v>126922220</v>
      </c>
      <c r="G25" s="3308">
        <v>119146781</v>
      </c>
      <c r="H25" s="2155"/>
    </row>
    <row r="26" spans="1:8">
      <c r="A26" s="2142">
        <v>15</v>
      </c>
      <c r="E26" s="2159"/>
      <c r="G26" s="2159"/>
      <c r="H26" s="2155"/>
    </row>
    <row r="27" spans="1:8">
      <c r="A27" s="2142">
        <v>16</v>
      </c>
      <c r="C27" s="2138" t="s">
        <v>217</v>
      </c>
      <c r="D27" s="2150" t="s">
        <v>220</v>
      </c>
      <c r="E27" s="2160">
        <v>0</v>
      </c>
      <c r="F27" s="2161"/>
      <c r="G27" s="2160">
        <v>0</v>
      </c>
      <c r="H27" s="2155"/>
    </row>
    <row r="28" spans="1:8">
      <c r="A28" s="2142">
        <v>17</v>
      </c>
      <c r="E28" s="2153"/>
      <c r="G28" s="2153"/>
      <c r="H28" s="2155"/>
    </row>
    <row r="29" spans="1:8" ht="13.8" thickBot="1">
      <c r="A29" s="2142">
        <v>18</v>
      </c>
      <c r="C29" s="2138" t="s">
        <v>218</v>
      </c>
      <c r="E29" s="2154">
        <f>E25-E27</f>
        <v>126922220</v>
      </c>
      <c r="G29" s="2154">
        <f>G25-G27</f>
        <v>119146781</v>
      </c>
      <c r="H29" s="2155"/>
    </row>
    <row r="30" spans="1:8" ht="13.8" thickTop="1">
      <c r="A30" s="2142">
        <v>19</v>
      </c>
      <c r="E30" s="2153"/>
      <c r="G30" s="2153"/>
      <c r="H30" s="2155"/>
    </row>
    <row r="31" spans="1:8">
      <c r="A31" s="2142">
        <v>20</v>
      </c>
      <c r="C31" s="2138" t="s">
        <v>1007</v>
      </c>
      <c r="H31" s="2155"/>
    </row>
    <row r="32" spans="1:8">
      <c r="A32" s="2142">
        <v>21</v>
      </c>
      <c r="H32" s="2155"/>
    </row>
    <row r="33" spans="1:16" ht="13.8" thickBot="1">
      <c r="A33" s="2142">
        <v>22</v>
      </c>
      <c r="C33" s="2156" t="s">
        <v>1008</v>
      </c>
      <c r="D33" s="2157"/>
      <c r="E33" s="2154">
        <f>ROUND(E29/8,0)</f>
        <v>15865278</v>
      </c>
      <c r="F33" s="2157"/>
      <c r="G33" s="2154">
        <f>ROUND(G29/8,0)</f>
        <v>14893348</v>
      </c>
      <c r="H33" s="2155"/>
    </row>
    <row r="34" spans="1:16" ht="13.8" thickTop="1">
      <c r="A34" s="2142"/>
      <c r="C34" s="2156"/>
      <c r="D34" s="2157"/>
      <c r="E34" s="2155"/>
      <c r="F34" s="2157"/>
      <c r="G34" s="2155"/>
      <c r="H34" s="2155"/>
    </row>
    <row r="35" spans="1:16">
      <c r="A35" s="2142"/>
      <c r="C35" s="2156"/>
      <c r="D35" s="2157"/>
      <c r="E35" s="2155"/>
      <c r="F35" s="2157"/>
      <c r="G35" s="2155"/>
      <c r="H35" s="2155"/>
    </row>
    <row r="36" spans="1:16">
      <c r="A36" s="2142"/>
      <c r="C36" s="2156"/>
      <c r="D36" s="2157"/>
      <c r="E36" s="2162" t="s">
        <v>222</v>
      </c>
      <c r="F36" s="2157"/>
      <c r="G36" s="2162" t="s">
        <v>223</v>
      </c>
      <c r="H36" s="2155"/>
    </row>
    <row r="37" spans="1:16">
      <c r="A37" s="2024"/>
      <c r="B37" s="2025"/>
      <c r="C37" s="2138"/>
      <c r="D37" s="2025"/>
      <c r="E37" s="2025"/>
      <c r="F37" s="2025"/>
      <c r="G37" s="2155"/>
      <c r="H37" s="2155"/>
    </row>
    <row r="38" spans="1:16">
      <c r="A38" s="2136"/>
      <c r="C38" s="2138"/>
      <c r="G38" s="2155"/>
      <c r="H38" s="2155"/>
      <c r="I38" s="1898" t="str">
        <f>COMPANY</f>
        <v>DUKE ENERGY KENTUCKY, INC.</v>
      </c>
      <c r="J38" s="1603"/>
      <c r="K38" s="1603"/>
      <c r="L38" s="1603"/>
      <c r="M38" s="1603"/>
      <c r="N38" s="1603"/>
      <c r="O38" s="1616" t="s">
        <v>699</v>
      </c>
    </row>
    <row r="39" spans="1:16">
      <c r="A39" s="2136"/>
      <c r="C39" s="2138"/>
      <c r="G39" s="2155"/>
      <c r="H39" s="2155"/>
      <c r="I39" s="1898" t="str">
        <f>DEPT</f>
        <v>GAS DEPARTMENT</v>
      </c>
      <c r="J39" s="1603"/>
      <c r="K39" s="1603"/>
      <c r="L39" s="1603"/>
      <c r="M39" s="1603"/>
      <c r="N39" s="1603"/>
      <c r="O39" s="1898" t="s">
        <v>566</v>
      </c>
    </row>
    <row r="40" spans="1:16">
      <c r="A40" s="2136"/>
      <c r="C40" s="2138"/>
      <c r="G40" s="2155"/>
      <c r="H40" s="2155"/>
      <c r="I40" s="1898" t="str">
        <f>CASE</f>
        <v>CASE NO. 2018-00261</v>
      </c>
      <c r="J40" s="1603"/>
      <c r="K40" s="1603"/>
      <c r="L40" s="1603"/>
      <c r="M40" s="1603"/>
      <c r="N40" s="1603"/>
      <c r="O40" s="1603" t="str">
        <f>_WIT9</f>
        <v>R. H. PRATT</v>
      </c>
    </row>
    <row r="41" spans="1:16">
      <c r="A41" s="2136"/>
      <c r="C41" s="2138"/>
      <c r="G41" s="2155"/>
      <c r="H41" s="2155"/>
      <c r="I41" s="1721" t="s">
        <v>2534</v>
      </c>
      <c r="J41" s="1603"/>
      <c r="K41" s="1603"/>
      <c r="L41" s="1603"/>
      <c r="M41" s="1603"/>
      <c r="N41" s="1603"/>
    </row>
    <row r="42" spans="1:16">
      <c r="A42" s="2136"/>
      <c r="C42" s="2138"/>
      <c r="G42" s="2155"/>
      <c r="H42" s="2155"/>
      <c r="I42" s="1721" t="s">
        <v>2516</v>
      </c>
      <c r="J42" s="1603"/>
      <c r="K42" s="1603"/>
      <c r="L42" s="1603"/>
      <c r="M42" s="1603"/>
      <c r="N42" s="1603"/>
      <c r="O42" s="1603"/>
      <c r="P42" s="2163"/>
    </row>
    <row r="43" spans="1:16">
      <c r="A43" s="2136"/>
      <c r="C43" s="2138"/>
      <c r="G43" s="2155"/>
      <c r="H43" s="2155"/>
      <c r="I43" s="1603"/>
      <c r="J43" s="1603"/>
      <c r="K43" s="1603"/>
      <c r="L43" s="1603"/>
      <c r="M43" s="1603"/>
      <c r="N43" s="1603"/>
      <c r="O43" s="1603"/>
      <c r="P43" s="1603"/>
    </row>
    <row r="44" spans="1:16">
      <c r="A44" s="2136"/>
      <c r="C44" s="2138"/>
      <c r="G44" s="2155"/>
      <c r="H44" s="2155"/>
      <c r="I44" s="1603"/>
      <c r="J44" s="1603"/>
      <c r="K44" s="1603"/>
      <c r="L44" s="1603"/>
      <c r="M44" s="1603"/>
      <c r="N44" s="1603"/>
      <c r="O44" s="1603"/>
      <c r="P44" s="1603"/>
    </row>
    <row r="45" spans="1:16">
      <c r="A45" s="2136"/>
      <c r="C45" s="2138"/>
      <c r="G45" s="2155"/>
      <c r="H45" s="2155"/>
      <c r="I45" s="3275" t="s">
        <v>567</v>
      </c>
      <c r="J45" s="1603"/>
      <c r="K45" s="1603"/>
      <c r="L45" s="1603"/>
      <c r="M45" s="1182" t="s">
        <v>1758</v>
      </c>
      <c r="O45" s="1182" t="s">
        <v>1010</v>
      </c>
      <c r="P45" s="1603"/>
    </row>
    <row r="46" spans="1:16">
      <c r="A46" s="2136"/>
      <c r="C46" s="2138"/>
      <c r="G46" s="2155"/>
      <c r="H46" s="2155"/>
      <c r="I46" s="2164" t="s">
        <v>766</v>
      </c>
      <c r="J46" s="1603"/>
      <c r="K46" s="2164" t="s">
        <v>1011</v>
      </c>
      <c r="L46" s="1603"/>
      <c r="M46" s="2165" t="str">
        <f>"AMOUNT (A)"</f>
        <v>AMOUNT (A)</v>
      </c>
      <c r="N46" s="1910" t="s">
        <v>1012</v>
      </c>
      <c r="O46" s="2166" t="s">
        <v>2098</v>
      </c>
      <c r="P46" s="1603"/>
    </row>
    <row r="47" spans="1:16">
      <c r="A47" s="2136"/>
      <c r="C47" s="2138"/>
      <c r="G47" s="2155"/>
      <c r="H47" s="2155"/>
      <c r="I47" s="1607"/>
      <c r="J47" s="1603"/>
      <c r="K47" s="1607"/>
      <c r="L47" s="1603"/>
      <c r="M47" s="3275" t="s">
        <v>695</v>
      </c>
      <c r="N47" s="2167" t="s">
        <v>2097</v>
      </c>
      <c r="P47" s="1612"/>
    </row>
    <row r="48" spans="1:16">
      <c r="A48" s="2136"/>
      <c r="C48" s="2138"/>
      <c r="G48" s="2155"/>
      <c r="H48" s="2155"/>
      <c r="I48" s="2157">
        <v>1</v>
      </c>
      <c r="J48" s="1603"/>
      <c r="K48" s="2254" t="s">
        <v>1013</v>
      </c>
      <c r="L48" s="1603"/>
      <c r="M48" s="1603"/>
      <c r="N48" s="1612"/>
      <c r="P48" s="1612"/>
    </row>
    <row r="49" spans="1:16">
      <c r="A49" s="2136"/>
      <c r="C49" s="2138"/>
      <c r="G49" s="2155"/>
      <c r="H49" s="2155"/>
      <c r="I49" s="2157">
        <v>2</v>
      </c>
      <c r="J49" s="1603"/>
      <c r="K49" s="2251" t="s">
        <v>2535</v>
      </c>
      <c r="L49" s="1723"/>
      <c r="M49" s="1718">
        <v>3586912</v>
      </c>
      <c r="N49" s="2253">
        <v>0.35799999999999998</v>
      </c>
      <c r="O49" s="2168">
        <f t="shared" ref="O49:O58" si="0">ROUND(M49*N49,0)</f>
        <v>1284114</v>
      </c>
      <c r="P49" s="1612"/>
    </row>
    <row r="50" spans="1:16">
      <c r="A50" s="2136"/>
      <c r="C50" s="2138"/>
      <c r="G50" s="2155"/>
      <c r="H50" s="2155"/>
      <c r="I50" s="2157">
        <v>3</v>
      </c>
      <c r="J50" s="1603"/>
      <c r="K50" s="2251" t="s">
        <v>2536</v>
      </c>
      <c r="L50" s="1723"/>
      <c r="M50" s="1718">
        <v>2006406</v>
      </c>
      <c r="N50" s="2169">
        <f>$N$49</f>
        <v>0.35799999999999998</v>
      </c>
      <c r="O50" s="2168">
        <f t="shared" si="0"/>
        <v>718293</v>
      </c>
      <c r="P50" s="1612"/>
    </row>
    <row r="51" spans="1:16">
      <c r="A51" s="2136"/>
      <c r="C51" s="2138"/>
      <c r="G51" s="2155"/>
      <c r="H51" s="2155"/>
      <c r="I51" s="2157">
        <v>4</v>
      </c>
      <c r="J51" s="1603"/>
      <c r="K51" s="2252" t="s">
        <v>891</v>
      </c>
      <c r="L51" s="1723"/>
      <c r="M51" s="1718">
        <v>2730261</v>
      </c>
      <c r="N51" s="2169">
        <f t="shared" ref="N51:N60" si="1">$N$49</f>
        <v>0.35799999999999998</v>
      </c>
      <c r="O51" s="2168">
        <f t="shared" si="0"/>
        <v>977433</v>
      </c>
      <c r="P51" s="1612"/>
    </row>
    <row r="52" spans="1:16">
      <c r="A52" s="2136"/>
      <c r="C52" s="2138"/>
      <c r="G52" s="2155"/>
      <c r="H52" s="2155"/>
      <c r="I52" s="2157">
        <v>5</v>
      </c>
      <c r="J52" s="1603"/>
      <c r="K52" s="2251" t="s">
        <v>892</v>
      </c>
      <c r="L52" s="1723"/>
      <c r="M52" s="1718">
        <v>2730261</v>
      </c>
      <c r="N52" s="2169">
        <f t="shared" si="1"/>
        <v>0.35799999999999998</v>
      </c>
      <c r="O52" s="2168">
        <f t="shared" si="0"/>
        <v>977433</v>
      </c>
      <c r="P52" s="1612"/>
    </row>
    <row r="53" spans="1:16">
      <c r="A53" s="2136"/>
      <c r="C53" s="2138"/>
      <c r="G53" s="2155"/>
      <c r="H53" s="2155"/>
      <c r="I53" s="2157">
        <v>6</v>
      </c>
      <c r="J53" s="1603"/>
      <c r="K53" s="2252" t="s">
        <v>893</v>
      </c>
      <c r="L53" s="1723"/>
      <c r="M53" s="1718">
        <v>2730261</v>
      </c>
      <c r="N53" s="2169">
        <f t="shared" si="1"/>
        <v>0.35799999999999998</v>
      </c>
      <c r="O53" s="2168">
        <f t="shared" si="0"/>
        <v>977433</v>
      </c>
      <c r="P53" s="1612"/>
    </row>
    <row r="54" spans="1:16">
      <c r="A54" s="2136"/>
      <c r="C54" s="2138"/>
      <c r="G54" s="2155"/>
      <c r="H54" s="2155"/>
      <c r="I54" s="2157">
        <v>7</v>
      </c>
      <c r="J54" s="1603"/>
      <c r="K54" s="2252" t="s">
        <v>894</v>
      </c>
      <c r="L54" s="1723"/>
      <c r="M54" s="1718">
        <v>2730261</v>
      </c>
      <c r="N54" s="2169">
        <f t="shared" si="1"/>
        <v>0.35799999999999998</v>
      </c>
      <c r="O54" s="2168">
        <f t="shared" si="0"/>
        <v>977433</v>
      </c>
      <c r="P54" s="1612"/>
    </row>
    <row r="55" spans="1:16">
      <c r="A55" s="2136"/>
      <c r="C55" s="2138"/>
      <c r="G55" s="2155"/>
      <c r="H55" s="2155"/>
      <c r="I55" s="2157">
        <v>8</v>
      </c>
      <c r="J55" s="1603"/>
      <c r="K55" s="2252" t="s">
        <v>895</v>
      </c>
      <c r="L55" s="1723"/>
      <c r="M55" s="1892">
        <f>$M$49</f>
        <v>3586912</v>
      </c>
      <c r="N55" s="2169">
        <f t="shared" si="1"/>
        <v>0.35799999999999998</v>
      </c>
      <c r="O55" s="2168">
        <f t="shared" si="0"/>
        <v>1284114</v>
      </c>
      <c r="P55" s="1612"/>
    </row>
    <row r="56" spans="1:16">
      <c r="A56" s="2136"/>
      <c r="C56" s="2138"/>
      <c r="G56" s="2155"/>
      <c r="H56" s="2155"/>
      <c r="I56" s="2157">
        <v>9</v>
      </c>
      <c r="J56" s="1603"/>
      <c r="K56" s="2252" t="s">
        <v>896</v>
      </c>
      <c r="L56" s="1723"/>
      <c r="M56" s="1892">
        <f t="shared" ref="M56:M60" si="2">$M$49</f>
        <v>3586912</v>
      </c>
      <c r="N56" s="2169">
        <f t="shared" si="1"/>
        <v>0.35799999999999998</v>
      </c>
      <c r="O56" s="2168">
        <f t="shared" si="0"/>
        <v>1284114</v>
      </c>
      <c r="P56" s="1612"/>
    </row>
    <row r="57" spans="1:16">
      <c r="A57" s="2136"/>
      <c r="C57" s="2138"/>
      <c r="G57" s="2155"/>
      <c r="H57" s="2155"/>
      <c r="I57" s="2157">
        <v>10</v>
      </c>
      <c r="J57" s="1603"/>
      <c r="K57" s="2252" t="s">
        <v>897</v>
      </c>
      <c r="L57" s="1723"/>
      <c r="M57" s="1892">
        <f t="shared" si="2"/>
        <v>3586912</v>
      </c>
      <c r="N57" s="2169">
        <f t="shared" si="1"/>
        <v>0.35799999999999998</v>
      </c>
      <c r="O57" s="2168">
        <f t="shared" si="0"/>
        <v>1284114</v>
      </c>
      <c r="P57" s="1612"/>
    </row>
    <row r="58" spans="1:16">
      <c r="A58" s="2136"/>
      <c r="C58" s="2138"/>
      <c r="G58" s="2155"/>
      <c r="H58" s="2155"/>
      <c r="I58" s="2157">
        <v>11</v>
      </c>
      <c r="J58" s="1603"/>
      <c r="K58" s="2252" t="s">
        <v>898</v>
      </c>
      <c r="L58" s="1723"/>
      <c r="M58" s="1892">
        <f t="shared" si="2"/>
        <v>3586912</v>
      </c>
      <c r="N58" s="2169">
        <f t="shared" si="1"/>
        <v>0.35799999999999998</v>
      </c>
      <c r="O58" s="2168">
        <f t="shared" si="0"/>
        <v>1284114</v>
      </c>
      <c r="P58" s="1612"/>
    </row>
    <row r="59" spans="1:16">
      <c r="A59" s="2136"/>
      <c r="C59" s="2138"/>
      <c r="G59" s="2155"/>
      <c r="H59" s="2155"/>
      <c r="I59" s="2157">
        <v>12</v>
      </c>
      <c r="J59" s="1603"/>
      <c r="K59" s="2252" t="s">
        <v>1014</v>
      </c>
      <c r="L59" s="1723"/>
      <c r="M59" s="1892">
        <f t="shared" si="2"/>
        <v>3586912</v>
      </c>
      <c r="N59" s="2169">
        <f t="shared" si="1"/>
        <v>0.35799999999999998</v>
      </c>
      <c r="O59" s="2168">
        <f>ROUND(M59*N59,0)</f>
        <v>1284114</v>
      </c>
      <c r="P59" s="1612"/>
    </row>
    <row r="60" spans="1:16">
      <c r="A60" s="2136"/>
      <c r="C60" s="2138"/>
      <c r="G60" s="2155"/>
      <c r="H60" s="2155"/>
      <c r="I60" s="2157">
        <v>13</v>
      </c>
      <c r="J60" s="1603"/>
      <c r="K60" s="2252" t="s">
        <v>889</v>
      </c>
      <c r="L60" s="1723"/>
      <c r="M60" s="1892">
        <f t="shared" si="2"/>
        <v>3586912</v>
      </c>
      <c r="N60" s="2169">
        <f t="shared" si="1"/>
        <v>0.35799999999999998</v>
      </c>
      <c r="O60" s="2168">
        <f>ROUND(M60*N60,0)</f>
        <v>1284114</v>
      </c>
      <c r="P60" s="2170" t="s">
        <v>224</v>
      </c>
    </row>
    <row r="61" spans="1:16">
      <c r="A61" s="2136"/>
      <c r="C61" s="2138"/>
      <c r="G61" s="2155"/>
      <c r="H61" s="2155"/>
      <c r="I61" s="2157">
        <v>14</v>
      </c>
      <c r="J61" s="1603"/>
      <c r="K61" s="1603"/>
      <c r="L61" s="1603"/>
      <c r="M61" s="1603"/>
      <c r="N61" s="1744"/>
      <c r="O61" s="2171"/>
      <c r="P61" s="1614"/>
    </row>
    <row r="62" spans="1:16">
      <c r="A62" s="2136"/>
      <c r="C62" s="2138"/>
      <c r="G62" s="2155"/>
      <c r="H62" s="2155"/>
      <c r="I62" s="2157">
        <v>15</v>
      </c>
      <c r="J62" s="1603"/>
      <c r="K62" s="2254" t="s">
        <v>1234</v>
      </c>
      <c r="L62" s="1603"/>
      <c r="M62" s="1603"/>
      <c r="N62" s="1744"/>
      <c r="O62" s="2171"/>
      <c r="P62" s="1614"/>
    </row>
    <row r="63" spans="1:16">
      <c r="A63" s="2136"/>
      <c r="C63" s="2138"/>
      <c r="G63" s="2155"/>
      <c r="H63" s="2155"/>
      <c r="I63" s="2157">
        <v>16</v>
      </c>
      <c r="J63" s="1603"/>
      <c r="K63" s="2251" t="s">
        <v>2537</v>
      </c>
      <c r="L63" s="1723"/>
      <c r="M63" s="1892">
        <f t="shared" ref="M63:M75" si="3">$M$49</f>
        <v>3586912</v>
      </c>
      <c r="N63" s="2169">
        <f t="shared" ref="N63:N75" si="4">$N$59</f>
        <v>0.35799999999999998</v>
      </c>
      <c r="O63" s="2168">
        <f t="shared" ref="O63:O75" si="5">ROUND(M63*N63,0)</f>
        <v>1284114</v>
      </c>
      <c r="P63" s="1612"/>
    </row>
    <row r="64" spans="1:16">
      <c r="A64" s="2136"/>
      <c r="C64" s="2138"/>
      <c r="G64" s="2155"/>
      <c r="H64" s="2155"/>
      <c r="I64" s="2157">
        <v>17</v>
      </c>
      <c r="J64" s="1603"/>
      <c r="K64" s="2252" t="s">
        <v>893</v>
      </c>
      <c r="L64" s="1723"/>
      <c r="M64" s="1892">
        <f t="shared" si="3"/>
        <v>3586912</v>
      </c>
      <c r="N64" s="2169">
        <f t="shared" si="4"/>
        <v>0.35799999999999998</v>
      </c>
      <c r="O64" s="2168">
        <f t="shared" si="5"/>
        <v>1284114</v>
      </c>
      <c r="P64" s="1612"/>
    </row>
    <row r="65" spans="1:16">
      <c r="A65" s="2136"/>
      <c r="C65" s="2138"/>
      <c r="G65" s="2155"/>
      <c r="H65" s="2155"/>
      <c r="I65" s="2157">
        <v>18</v>
      </c>
      <c r="J65" s="1603"/>
      <c r="K65" s="2252" t="s">
        <v>894</v>
      </c>
      <c r="L65" s="1723"/>
      <c r="M65" s="1892">
        <f t="shared" si="3"/>
        <v>3586912</v>
      </c>
      <c r="N65" s="2169">
        <f t="shared" si="4"/>
        <v>0.35799999999999998</v>
      </c>
      <c r="O65" s="2168">
        <f t="shared" si="5"/>
        <v>1284114</v>
      </c>
      <c r="P65" s="1612"/>
    </row>
    <row r="66" spans="1:16">
      <c r="A66" s="2136"/>
      <c r="C66" s="2138"/>
      <c r="G66" s="2155"/>
      <c r="H66" s="2155"/>
      <c r="I66" s="2157">
        <v>19</v>
      </c>
      <c r="J66" s="1603"/>
      <c r="K66" s="2252" t="s">
        <v>895</v>
      </c>
      <c r="L66" s="1723"/>
      <c r="M66" s="1892">
        <f t="shared" si="3"/>
        <v>3586912</v>
      </c>
      <c r="N66" s="2169">
        <f t="shared" si="4"/>
        <v>0.35799999999999998</v>
      </c>
      <c r="O66" s="2168">
        <f t="shared" si="5"/>
        <v>1284114</v>
      </c>
      <c r="P66" s="1612"/>
    </row>
    <row r="67" spans="1:16">
      <c r="A67" s="2136"/>
      <c r="C67" s="2138"/>
      <c r="G67" s="2155"/>
      <c r="H67" s="2155"/>
      <c r="I67" s="2157">
        <v>20</v>
      </c>
      <c r="J67" s="1603"/>
      <c r="K67" s="2252" t="s">
        <v>896</v>
      </c>
      <c r="L67" s="1723"/>
      <c r="M67" s="1892">
        <f t="shared" si="3"/>
        <v>3586912</v>
      </c>
      <c r="N67" s="2169">
        <f t="shared" si="4"/>
        <v>0.35799999999999998</v>
      </c>
      <c r="O67" s="2168">
        <f t="shared" si="5"/>
        <v>1284114</v>
      </c>
      <c r="P67" s="1612"/>
    </row>
    <row r="68" spans="1:16">
      <c r="A68" s="2136"/>
      <c r="C68" s="2138"/>
      <c r="G68" s="2155"/>
      <c r="H68" s="2155"/>
      <c r="I68" s="2157">
        <v>21</v>
      </c>
      <c r="J68" s="1603"/>
      <c r="K68" s="2252" t="s">
        <v>897</v>
      </c>
      <c r="L68" s="1723"/>
      <c r="M68" s="1892">
        <f t="shared" si="3"/>
        <v>3586912</v>
      </c>
      <c r="N68" s="2169">
        <f t="shared" si="4"/>
        <v>0.35799999999999998</v>
      </c>
      <c r="O68" s="2168">
        <f t="shared" si="5"/>
        <v>1284114</v>
      </c>
      <c r="P68" s="1612"/>
    </row>
    <row r="69" spans="1:16">
      <c r="A69" s="2136"/>
      <c r="C69" s="2138"/>
      <c r="G69" s="2155"/>
      <c r="H69" s="2155"/>
      <c r="I69" s="2157">
        <v>22</v>
      </c>
      <c r="J69" s="1603"/>
      <c r="K69" s="2252" t="s">
        <v>898</v>
      </c>
      <c r="L69" s="1723"/>
      <c r="M69" s="1892">
        <f t="shared" si="3"/>
        <v>3586912</v>
      </c>
      <c r="N69" s="2169">
        <f t="shared" si="4"/>
        <v>0.35799999999999998</v>
      </c>
      <c r="O69" s="2168">
        <f t="shared" si="5"/>
        <v>1284114</v>
      </c>
      <c r="P69" s="1612"/>
    </row>
    <row r="70" spans="1:16">
      <c r="A70" s="2136"/>
      <c r="C70" s="2138"/>
      <c r="G70" s="2155"/>
      <c r="H70" s="2155"/>
      <c r="I70" s="2157">
        <v>23</v>
      </c>
      <c r="J70" s="1603"/>
      <c r="K70" s="2252" t="s">
        <v>1014</v>
      </c>
      <c r="L70" s="1723"/>
      <c r="M70" s="1892">
        <f t="shared" si="3"/>
        <v>3586912</v>
      </c>
      <c r="N70" s="2169">
        <f t="shared" si="4"/>
        <v>0.35799999999999998</v>
      </c>
      <c r="O70" s="2168">
        <f t="shared" si="5"/>
        <v>1284114</v>
      </c>
      <c r="P70" s="1612"/>
    </row>
    <row r="71" spans="1:16">
      <c r="A71" s="2136"/>
      <c r="C71" s="2138"/>
      <c r="G71" s="2155"/>
      <c r="H71" s="2155"/>
      <c r="I71" s="2157">
        <v>24</v>
      </c>
      <c r="J71" s="1603"/>
      <c r="K71" s="2252" t="s">
        <v>889</v>
      </c>
      <c r="L71" s="1723"/>
      <c r="M71" s="1892">
        <f t="shared" si="3"/>
        <v>3586912</v>
      </c>
      <c r="N71" s="2169">
        <f t="shared" si="4"/>
        <v>0.35799999999999998</v>
      </c>
      <c r="O71" s="2168">
        <f t="shared" si="5"/>
        <v>1284114</v>
      </c>
      <c r="P71" s="1612"/>
    </row>
    <row r="72" spans="1:16">
      <c r="A72" s="2136"/>
      <c r="C72" s="2138"/>
      <c r="G72" s="2155"/>
      <c r="H72" s="2155"/>
      <c r="I72" s="2157">
        <v>25</v>
      </c>
      <c r="J72" s="1603"/>
      <c r="K72" s="2252" t="s">
        <v>890</v>
      </c>
      <c r="L72" s="1723"/>
      <c r="M72" s="1892">
        <f t="shared" si="3"/>
        <v>3586912</v>
      </c>
      <c r="N72" s="2169">
        <f t="shared" si="4"/>
        <v>0.35799999999999998</v>
      </c>
      <c r="O72" s="2168">
        <f t="shared" si="5"/>
        <v>1284114</v>
      </c>
      <c r="P72" s="1612"/>
    </row>
    <row r="73" spans="1:16">
      <c r="A73" s="2136"/>
      <c r="C73" s="2138"/>
      <c r="G73" s="2155"/>
      <c r="H73" s="2155"/>
      <c r="I73" s="2157">
        <v>26</v>
      </c>
      <c r="J73" s="1603"/>
      <c r="K73" s="2251" t="s">
        <v>2538</v>
      </c>
      <c r="L73" s="1723"/>
      <c r="M73" s="1892">
        <f t="shared" si="3"/>
        <v>3586912</v>
      </c>
      <c r="N73" s="2169">
        <f t="shared" si="4"/>
        <v>0.35799999999999998</v>
      </c>
      <c r="O73" s="2168">
        <f t="shared" si="5"/>
        <v>1284114</v>
      </c>
      <c r="P73" s="1612"/>
    </row>
    <row r="74" spans="1:16">
      <c r="A74" s="2136"/>
      <c r="C74" s="2138"/>
      <c r="G74" s="2155"/>
      <c r="H74" s="2155"/>
      <c r="I74" s="2157">
        <v>27</v>
      </c>
      <c r="J74" s="1603"/>
      <c r="K74" s="2252" t="s">
        <v>891</v>
      </c>
      <c r="L74" s="1723"/>
      <c r="M74" s="1892">
        <f t="shared" si="3"/>
        <v>3586912</v>
      </c>
      <c r="N74" s="2169">
        <f t="shared" si="4"/>
        <v>0.35799999999999998</v>
      </c>
      <c r="O74" s="2168">
        <f t="shared" si="5"/>
        <v>1284114</v>
      </c>
      <c r="P74" s="1603"/>
    </row>
    <row r="75" spans="1:16">
      <c r="A75" s="2136"/>
      <c r="C75" s="2138"/>
      <c r="G75" s="2155"/>
      <c r="H75" s="2155"/>
      <c r="I75" s="2157">
        <v>28</v>
      </c>
      <c r="J75" s="1603"/>
      <c r="K75" s="2251" t="s">
        <v>892</v>
      </c>
      <c r="L75" s="1723"/>
      <c r="M75" s="1892">
        <f t="shared" si="3"/>
        <v>3586912</v>
      </c>
      <c r="N75" s="2169">
        <f t="shared" si="4"/>
        <v>0.35799999999999998</v>
      </c>
      <c r="O75" s="2168">
        <f t="shared" si="5"/>
        <v>1284114</v>
      </c>
      <c r="P75" s="2170"/>
    </row>
    <row r="76" spans="1:16" ht="13.8" thickBot="1">
      <c r="A76" s="2136"/>
      <c r="C76" s="2138"/>
      <c r="G76" s="2155"/>
      <c r="H76" s="2155"/>
      <c r="I76" s="2157">
        <v>29</v>
      </c>
      <c r="J76" s="1603"/>
      <c r="K76" s="1616" t="s">
        <v>899</v>
      </c>
      <c r="L76" s="1603"/>
      <c r="M76" s="2172">
        <f>SUM(M63:M75)</f>
        <v>46629856</v>
      </c>
      <c r="N76" s="1614"/>
      <c r="O76" s="2172">
        <f>SUM(O63:O75)</f>
        <v>16693482</v>
      </c>
      <c r="P76" s="2027"/>
    </row>
    <row r="77" spans="1:16" ht="13.8" thickTop="1">
      <c r="A77" s="2136"/>
      <c r="C77" s="2138"/>
      <c r="G77" s="2155"/>
      <c r="H77" s="2155"/>
      <c r="I77" s="2157">
        <v>30</v>
      </c>
      <c r="J77" s="1603"/>
      <c r="K77" s="1603"/>
      <c r="L77" s="1603"/>
      <c r="M77" s="1744"/>
      <c r="N77" s="1614"/>
      <c r="O77" s="1744"/>
      <c r="P77" s="1614"/>
    </row>
    <row r="78" spans="1:16" ht="13.8" thickBot="1">
      <c r="A78" s="2136"/>
      <c r="C78" s="2138"/>
      <c r="G78" s="2155"/>
      <c r="H78" s="2155"/>
      <c r="I78" s="2157">
        <v>31</v>
      </c>
      <c r="J78" s="1603"/>
      <c r="K78" s="1616" t="s">
        <v>2515</v>
      </c>
      <c r="L78" s="1603"/>
      <c r="M78" s="1620">
        <f>ROUND(M76/13,0)</f>
        <v>3586912</v>
      </c>
      <c r="O78" s="1620">
        <f>ROUND(O76/13,0)</f>
        <v>1284114</v>
      </c>
      <c r="P78" s="2170" t="s">
        <v>224</v>
      </c>
    </row>
    <row r="79" spans="1:16" ht="13.8" thickTop="1">
      <c r="A79" s="2136"/>
      <c r="C79" s="2138"/>
      <c r="G79" s="2155"/>
      <c r="H79" s="2155"/>
      <c r="I79" s="3275"/>
      <c r="J79" s="1603"/>
      <c r="K79" s="1603"/>
      <c r="L79" s="1603"/>
      <c r="M79" s="1603"/>
      <c r="N79" s="1744"/>
      <c r="O79" s="2171"/>
      <c r="P79" s="1614"/>
    </row>
    <row r="80" spans="1:16">
      <c r="A80" s="2136"/>
      <c r="C80" s="2138"/>
      <c r="G80" s="2155"/>
      <c r="H80" s="2155"/>
      <c r="I80" s="3275"/>
      <c r="J80" s="1603"/>
      <c r="K80" s="1603"/>
      <c r="L80" s="1603"/>
      <c r="M80" s="1614"/>
      <c r="N80" s="1614"/>
      <c r="O80" s="1614"/>
      <c r="P80" s="1614"/>
    </row>
    <row r="81" spans="1:31">
      <c r="A81" s="2136"/>
      <c r="C81" s="2138"/>
      <c r="G81" s="2155"/>
      <c r="H81" s="2155"/>
      <c r="I81" s="3275"/>
      <c r="J81" s="1603"/>
      <c r="K81" s="1616" t="s">
        <v>901</v>
      </c>
      <c r="L81" s="1603"/>
      <c r="M81" s="1614"/>
      <c r="N81" s="1614"/>
      <c r="O81" s="1614"/>
      <c r="P81" s="1614"/>
    </row>
    <row r="82" spans="1:31">
      <c r="A82" s="2136"/>
      <c r="C82" s="2138"/>
      <c r="G82" s="2155"/>
      <c r="H82" s="2155"/>
      <c r="I82" s="3275"/>
      <c r="J82" s="1603"/>
      <c r="K82" s="1616" t="s">
        <v>902</v>
      </c>
      <c r="L82" s="1603"/>
      <c r="M82" s="1603"/>
      <c r="N82" s="1603"/>
      <c r="O82" s="1603"/>
      <c r="P82" s="1614"/>
    </row>
    <row r="83" spans="1:31">
      <c r="A83" s="2136"/>
      <c r="C83" s="2138"/>
      <c r="G83" s="2155"/>
      <c r="H83" s="2155"/>
      <c r="I83" s="3275"/>
      <c r="J83" s="1603"/>
      <c r="K83" s="1616"/>
      <c r="L83" s="1603"/>
      <c r="M83" s="1614"/>
      <c r="N83" s="1614"/>
      <c r="O83" s="1614"/>
      <c r="P83" s="1614"/>
    </row>
    <row r="84" spans="1:31">
      <c r="Q84" s="2137" t="str">
        <f>COMPANY</f>
        <v>DUKE ENERGY KENTUCKY, INC.</v>
      </c>
      <c r="AB84" s="2137" t="s">
        <v>705</v>
      </c>
      <c r="AE84" s="2026"/>
    </row>
    <row r="85" spans="1:31">
      <c r="Q85" s="2137" t="str">
        <f>DEPT</f>
        <v>GAS DEPARTMENT</v>
      </c>
      <c r="AB85" s="2137" t="s">
        <v>566</v>
      </c>
      <c r="AE85" s="2025"/>
    </row>
    <row r="86" spans="1:31">
      <c r="Q86" s="2137" t="str">
        <f>CASE</f>
        <v>CASE NO. 2018-00261</v>
      </c>
      <c r="AB86" s="2173" t="str">
        <f>_WIT9</f>
        <v>R. H. PRATT</v>
      </c>
      <c r="AE86" s="2025"/>
    </row>
    <row r="87" spans="1:31">
      <c r="Q87" s="2137" t="s">
        <v>1054</v>
      </c>
      <c r="AE87" s="2025"/>
    </row>
    <row r="88" spans="1:31">
      <c r="Q88" s="2174" t="s">
        <v>2542</v>
      </c>
      <c r="AE88" s="2175"/>
    </row>
    <row r="89" spans="1:31">
      <c r="AE89" s="2025"/>
    </row>
    <row r="90" spans="1:31">
      <c r="Q90" s="2157"/>
      <c r="R90" s="2157"/>
      <c r="S90" s="2157"/>
      <c r="T90" s="2157"/>
      <c r="U90" s="2157"/>
      <c r="V90" s="2157"/>
      <c r="W90" s="2157"/>
      <c r="X90" s="2157" t="s">
        <v>903</v>
      </c>
      <c r="Y90" s="2157"/>
      <c r="Z90" s="2157"/>
      <c r="AA90" s="2157" t="s">
        <v>904</v>
      </c>
      <c r="AB90" s="2157"/>
      <c r="AC90" s="2157"/>
      <c r="AE90" s="2176"/>
    </row>
    <row r="91" spans="1:31">
      <c r="Q91" s="2157" t="s">
        <v>567</v>
      </c>
      <c r="R91" s="2157"/>
      <c r="S91" s="2157"/>
      <c r="T91" s="2157"/>
      <c r="U91" s="2157"/>
      <c r="V91" s="2157"/>
      <c r="W91" s="2157" t="s">
        <v>884</v>
      </c>
      <c r="X91" s="2157" t="s">
        <v>905</v>
      </c>
      <c r="Y91" s="2157"/>
      <c r="Z91" s="2157"/>
      <c r="AA91" s="2157" t="s">
        <v>906</v>
      </c>
      <c r="AB91" s="2157"/>
      <c r="AC91" s="2157" t="s">
        <v>907</v>
      </c>
      <c r="AE91" s="2176"/>
    </row>
    <row r="92" spans="1:31">
      <c r="Q92" s="2166" t="s">
        <v>766</v>
      </c>
      <c r="R92" s="2166"/>
      <c r="S92" s="2177" t="s">
        <v>741</v>
      </c>
      <c r="T92" s="2177"/>
      <c r="U92" s="2177"/>
      <c r="V92" s="2166"/>
      <c r="W92" s="2166" t="s">
        <v>908</v>
      </c>
      <c r="X92" s="2166" t="s">
        <v>909</v>
      </c>
      <c r="Y92" s="2166"/>
      <c r="Z92" s="2166" t="s">
        <v>2098</v>
      </c>
      <c r="AA92" s="2166" t="s">
        <v>910</v>
      </c>
      <c r="AB92" s="2166" t="s">
        <v>2097</v>
      </c>
      <c r="AC92" s="2166" t="s">
        <v>911</v>
      </c>
      <c r="AE92" s="2178"/>
    </row>
    <row r="93" spans="1:31">
      <c r="AE93" s="2179"/>
    </row>
    <row r="94" spans="1:31">
      <c r="Q94" s="2157">
        <v>1</v>
      </c>
      <c r="R94" s="2149" t="s">
        <v>1053</v>
      </c>
      <c r="Z94" s="2180"/>
      <c r="AA94" s="2157"/>
      <c r="AE94" s="2155"/>
    </row>
    <row r="95" spans="1:31">
      <c r="Q95" s="2157">
        <v>2</v>
      </c>
      <c r="S95" s="2137" t="s">
        <v>2666</v>
      </c>
      <c r="W95" s="2188">
        <f>CD308</f>
        <v>37742</v>
      </c>
      <c r="X95" s="2256">
        <v>1</v>
      </c>
      <c r="Y95" s="2181"/>
      <c r="Z95" s="2168">
        <f t="shared" ref="Z95" si="6">ROUND(W95*X95,0)</f>
        <v>37742</v>
      </c>
      <c r="AA95" s="2157" t="s">
        <v>591</v>
      </c>
      <c r="AB95" s="2182">
        <f t="shared" ref="AB95" si="7">VLOOKUP(AA95,ALLOCTABLE,2)</f>
        <v>100</v>
      </c>
      <c r="AC95" s="2168">
        <f t="shared" ref="AC95" si="8">ROUND(Z95*(AB95/100),0)</f>
        <v>37742</v>
      </c>
      <c r="AE95" s="2155"/>
    </row>
    <row r="96" spans="1:31">
      <c r="Q96" s="2157">
        <v>3</v>
      </c>
      <c r="S96" s="2137" t="s">
        <v>2667</v>
      </c>
      <c r="W96" s="2188">
        <f>CE308</f>
        <v>286417</v>
      </c>
      <c r="X96" s="2256">
        <v>0</v>
      </c>
      <c r="Y96" s="2181"/>
      <c r="Z96" s="2168">
        <f t="shared" ref="Z96:Z99" si="9">ROUND(W96*X96,0)</f>
        <v>0</v>
      </c>
      <c r="AA96" s="2157" t="s">
        <v>591</v>
      </c>
      <c r="AB96" s="2182">
        <f t="shared" ref="AB96:AB99" si="10">VLOOKUP(AA96,ALLOCTABLE,2)</f>
        <v>100</v>
      </c>
      <c r="AC96" s="2168">
        <f t="shared" ref="AC96:AC99" si="11">ROUND(Z96*(AB96/100),0)</f>
        <v>0</v>
      </c>
      <c r="AE96" s="2155"/>
    </row>
    <row r="97" spans="17:31">
      <c r="Q97" s="2157">
        <v>4</v>
      </c>
      <c r="S97" s="2137" t="s">
        <v>1771</v>
      </c>
      <c r="W97" s="2188">
        <f>CF308</f>
        <v>11411</v>
      </c>
      <c r="X97" s="2256">
        <v>1</v>
      </c>
      <c r="Y97" s="2181" t="s">
        <v>678</v>
      </c>
      <c r="Z97" s="2168">
        <f t="shared" si="9"/>
        <v>11411</v>
      </c>
      <c r="AA97" s="2157" t="s">
        <v>595</v>
      </c>
      <c r="AB97" s="2182">
        <f t="shared" si="10"/>
        <v>0</v>
      </c>
      <c r="AC97" s="2168">
        <f t="shared" si="11"/>
        <v>0</v>
      </c>
      <c r="AE97" s="2155"/>
    </row>
    <row r="98" spans="17:31">
      <c r="Q98" s="2157">
        <v>5</v>
      </c>
      <c r="S98" s="2137" t="s">
        <v>1772</v>
      </c>
      <c r="W98" s="2188">
        <f>CG308</f>
        <v>487958</v>
      </c>
      <c r="X98" s="2256">
        <v>0</v>
      </c>
      <c r="Y98" s="2181" t="s">
        <v>678</v>
      </c>
      <c r="Z98" s="2168">
        <f t="shared" si="9"/>
        <v>0</v>
      </c>
      <c r="AA98" s="2157" t="s">
        <v>595</v>
      </c>
      <c r="AB98" s="2182">
        <f t="shared" si="10"/>
        <v>0</v>
      </c>
      <c r="AC98" s="2168">
        <f t="shared" si="11"/>
        <v>0</v>
      </c>
      <c r="AE98" s="2155"/>
    </row>
    <row r="99" spans="17:31">
      <c r="Q99" s="2157">
        <v>6</v>
      </c>
      <c r="S99" s="2137" t="s">
        <v>1770</v>
      </c>
      <c r="W99" s="2203">
        <f>CH308</f>
        <v>1039005</v>
      </c>
      <c r="X99" s="2256">
        <v>0</v>
      </c>
      <c r="Y99" s="2181"/>
      <c r="Z99" s="2830">
        <f t="shared" si="9"/>
        <v>0</v>
      </c>
      <c r="AA99" s="2157" t="s">
        <v>591</v>
      </c>
      <c r="AB99" s="2182">
        <f t="shared" si="10"/>
        <v>100</v>
      </c>
      <c r="AC99" s="2830">
        <f t="shared" si="11"/>
        <v>0</v>
      </c>
      <c r="AE99" s="2155"/>
    </row>
    <row r="100" spans="17:31">
      <c r="Q100" s="2157">
        <v>7</v>
      </c>
      <c r="S100" s="2137" t="s">
        <v>912</v>
      </c>
      <c r="W100" s="2828">
        <f>SUM(W94:W99)</f>
        <v>1862533</v>
      </c>
      <c r="X100" s="2257"/>
      <c r="Z100" s="2828">
        <f>SUM(Z94:Z99)</f>
        <v>49153</v>
      </c>
      <c r="AA100" s="2157"/>
      <c r="AB100" s="2182"/>
      <c r="AC100" s="2828">
        <f>SUM(AC94:AC99)</f>
        <v>37742</v>
      </c>
      <c r="AE100" s="2155"/>
    </row>
    <row r="101" spans="17:31">
      <c r="Q101" s="2157">
        <v>8</v>
      </c>
      <c r="W101" s="2194"/>
      <c r="X101" s="2257"/>
      <c r="Z101" s="2168"/>
      <c r="AA101" s="2157"/>
      <c r="AB101" s="2182"/>
      <c r="AC101" s="2168"/>
      <c r="AE101" s="2155"/>
    </row>
    <row r="102" spans="17:31">
      <c r="Q102" s="2157">
        <v>9</v>
      </c>
      <c r="R102" s="2149" t="s">
        <v>1237</v>
      </c>
      <c r="W102" s="2200"/>
      <c r="X102" s="2258"/>
      <c r="Z102" s="2168"/>
      <c r="AA102" s="2157"/>
      <c r="AB102" s="2182"/>
      <c r="AC102" s="2168"/>
      <c r="AE102" s="2155"/>
    </row>
    <row r="103" spans="17:31">
      <c r="Q103" s="2157">
        <v>10</v>
      </c>
      <c r="S103" s="2137" t="s">
        <v>2666</v>
      </c>
      <c r="W103" s="2188">
        <f>CD326</f>
        <v>37742</v>
      </c>
      <c r="X103" s="2256">
        <v>1</v>
      </c>
      <c r="Y103" s="2181"/>
      <c r="Z103" s="2168">
        <f t="shared" ref="Z103:Z107" si="12">ROUND(W103*X103,0)</f>
        <v>37742</v>
      </c>
      <c r="AA103" s="2157" t="s">
        <v>591</v>
      </c>
      <c r="AB103" s="2182">
        <f t="shared" ref="AB103:AB107" si="13">VLOOKUP(AA103,ALLOCTABLE,2)</f>
        <v>100</v>
      </c>
      <c r="AC103" s="2168">
        <f t="shared" ref="AC103:AC107" si="14">ROUND(Z103*(AB103/100),0)</f>
        <v>37742</v>
      </c>
      <c r="AE103" s="2155"/>
    </row>
    <row r="104" spans="17:31">
      <c r="Q104" s="2157">
        <v>11</v>
      </c>
      <c r="S104" s="2137" t="s">
        <v>2667</v>
      </c>
      <c r="W104" s="2188">
        <f>CE326</f>
        <v>286417</v>
      </c>
      <c r="X104" s="2256">
        <v>0</v>
      </c>
      <c r="Y104" s="2181"/>
      <c r="Z104" s="2168">
        <f t="shared" ref="Z104" si="15">ROUND(W104*X104,0)</f>
        <v>0</v>
      </c>
      <c r="AA104" s="2157" t="s">
        <v>591</v>
      </c>
      <c r="AB104" s="2182">
        <f t="shared" ref="AB104" si="16">VLOOKUP(AA104,ALLOCTABLE,2)</f>
        <v>100</v>
      </c>
      <c r="AC104" s="2168">
        <f t="shared" ref="AC104" si="17">ROUND(Z104*(AB104/100),0)</f>
        <v>0</v>
      </c>
      <c r="AE104" s="2155"/>
    </row>
    <row r="105" spans="17:31">
      <c r="Q105" s="2157">
        <v>12</v>
      </c>
      <c r="S105" s="2137" t="s">
        <v>1771</v>
      </c>
      <c r="W105" s="2188">
        <f>CF326</f>
        <v>14055.615384615385</v>
      </c>
      <c r="X105" s="2256">
        <f>X97</f>
        <v>1</v>
      </c>
      <c r="Y105" s="2181" t="s">
        <v>678</v>
      </c>
      <c r="Z105" s="2168">
        <f t="shared" si="12"/>
        <v>14056</v>
      </c>
      <c r="AA105" s="2157" t="s">
        <v>595</v>
      </c>
      <c r="AB105" s="2182">
        <f t="shared" si="13"/>
        <v>0</v>
      </c>
      <c r="AC105" s="2168">
        <f t="shared" si="14"/>
        <v>0</v>
      </c>
      <c r="AE105" s="2155"/>
    </row>
    <row r="106" spans="17:31">
      <c r="Q106" s="2157">
        <v>13</v>
      </c>
      <c r="S106" s="2137" t="s">
        <v>1772</v>
      </c>
      <c r="W106" s="2188">
        <f>CG326</f>
        <v>771266.92307692312</v>
      </c>
      <c r="X106" s="2256">
        <f>X98</f>
        <v>0</v>
      </c>
      <c r="Y106" s="2181" t="s">
        <v>678</v>
      </c>
      <c r="Z106" s="2168">
        <f t="shared" si="12"/>
        <v>0</v>
      </c>
      <c r="AA106" s="2157" t="s">
        <v>595</v>
      </c>
      <c r="AB106" s="2182">
        <f t="shared" si="13"/>
        <v>0</v>
      </c>
      <c r="AC106" s="2168">
        <f t="shared" si="14"/>
        <v>0</v>
      </c>
      <c r="AE106" s="2155"/>
    </row>
    <row r="107" spans="17:31">
      <c r="Q107" s="2157">
        <v>14</v>
      </c>
      <c r="S107" s="2137" t="s">
        <v>1770</v>
      </c>
      <c r="W107" s="2203">
        <f>CH326</f>
        <v>1039005</v>
      </c>
      <c r="X107" s="2256">
        <f>X99</f>
        <v>0</v>
      </c>
      <c r="Y107" s="2181"/>
      <c r="Z107" s="2830">
        <f t="shared" si="12"/>
        <v>0</v>
      </c>
      <c r="AA107" s="2157" t="s">
        <v>591</v>
      </c>
      <c r="AB107" s="2182">
        <f t="shared" si="13"/>
        <v>100</v>
      </c>
      <c r="AC107" s="2830">
        <f t="shared" si="14"/>
        <v>0</v>
      </c>
      <c r="AE107" s="2155"/>
    </row>
    <row r="108" spans="17:31">
      <c r="Q108" s="2157">
        <v>15</v>
      </c>
      <c r="S108" s="2137" t="s">
        <v>912</v>
      </c>
      <c r="W108" s="2829">
        <f>SUM(W103:W107)</f>
        <v>2148486.5384615385</v>
      </c>
      <c r="X108" s="2183"/>
      <c r="Z108" s="2829">
        <f>SUM(Z102:Z107)</f>
        <v>51798</v>
      </c>
      <c r="AB108" s="2182"/>
      <c r="AC108" s="2829">
        <f>SUM(AC102:AC107)</f>
        <v>37742</v>
      </c>
      <c r="AE108" s="2155"/>
    </row>
    <row r="109" spans="17:31">
      <c r="AE109" s="2025"/>
    </row>
    <row r="110" spans="17:31">
      <c r="AB110" s="2182"/>
      <c r="AC110" s="2180"/>
      <c r="AE110" s="2155"/>
    </row>
    <row r="111" spans="17:31">
      <c r="S111" s="2181" t="s">
        <v>998</v>
      </c>
      <c r="AE111" s="2155"/>
    </row>
    <row r="112" spans="17:31">
      <c r="S112" s="2138" t="s">
        <v>2539</v>
      </c>
      <c r="AE112" s="2155"/>
    </row>
    <row r="113" spans="31:59">
      <c r="AE113" s="2155"/>
    </row>
    <row r="114" spans="31:59">
      <c r="AE114" s="2185"/>
    </row>
    <row r="115" spans="31:59">
      <c r="AE115" s="2155"/>
    </row>
    <row r="116" spans="31:59">
      <c r="AE116" s="2155"/>
    </row>
    <row r="117" spans="31:59">
      <c r="AF117" s="2136" t="str">
        <f>COMPANY</f>
        <v>DUKE ENERGY KENTUCKY, INC.</v>
      </c>
      <c r="AL117" s="2138" t="s">
        <v>769</v>
      </c>
      <c r="AN117" s="2142"/>
      <c r="AO117" s="2142"/>
      <c r="AP117" s="2142"/>
      <c r="AQ117" s="2142"/>
      <c r="AR117" s="2142"/>
      <c r="AS117" s="2142"/>
      <c r="AT117" s="2142"/>
      <c r="AU117" s="2142"/>
      <c r="AV117" s="2142"/>
      <c r="AW117" s="2142"/>
      <c r="AX117" s="2142"/>
      <c r="AY117" s="2142"/>
      <c r="AZ117" s="2142"/>
      <c r="BA117" s="2142"/>
      <c r="BB117" s="2142"/>
      <c r="BC117" s="2142"/>
      <c r="BD117" s="2142"/>
      <c r="BE117" s="2142"/>
      <c r="BF117" s="2142"/>
      <c r="BG117" s="2142"/>
    </row>
    <row r="118" spans="31:59">
      <c r="AF118" s="2136" t="str">
        <f>DEPT</f>
        <v>GAS DEPARTMENT</v>
      </c>
      <c r="AL118" s="2136" t="str">
        <f>E2</f>
        <v>WITNESS RESPONSIBLE:</v>
      </c>
    </row>
    <row r="119" spans="31:59">
      <c r="AF119" s="2136" t="str">
        <f>CASE</f>
        <v>CASE NO. 2018-00261</v>
      </c>
      <c r="AL119" s="2141" t="str">
        <f>_WIT9</f>
        <v>R. H. PRATT</v>
      </c>
    </row>
    <row r="120" spans="31:59">
      <c r="AF120" s="2140" t="s">
        <v>770</v>
      </c>
      <c r="AN120" s="2141"/>
      <c r="AO120" s="2141"/>
      <c r="AP120" s="2141"/>
      <c r="AQ120" s="2141"/>
      <c r="AR120" s="2141"/>
      <c r="AS120" s="2141"/>
      <c r="AT120" s="2141"/>
      <c r="AU120" s="2141"/>
      <c r="AV120" s="2141"/>
      <c r="AW120" s="2141"/>
      <c r="AX120" s="2141"/>
      <c r="AY120" s="2141"/>
      <c r="AZ120" s="2141"/>
      <c r="BA120" s="2141"/>
      <c r="BB120" s="2141"/>
      <c r="BC120" s="2141"/>
      <c r="BD120" s="2141"/>
      <c r="BE120" s="2141"/>
      <c r="BF120" s="2141"/>
      <c r="BG120" s="2141"/>
    </row>
    <row r="121" spans="31:59">
      <c r="AF121" s="2140" t="s">
        <v>771</v>
      </c>
    </row>
    <row r="122" spans="31:59">
      <c r="AL122" s="2139"/>
    </row>
    <row r="123" spans="31:59">
      <c r="AL123" s="2142"/>
    </row>
    <row r="124" spans="31:59">
      <c r="AF124" s="2142" t="s">
        <v>567</v>
      </c>
      <c r="AH124" s="2138" t="s">
        <v>772</v>
      </c>
      <c r="AI124" s="2139"/>
      <c r="AJ124" s="2139"/>
      <c r="AL124" s="2142"/>
    </row>
    <row r="125" spans="31:59">
      <c r="AF125" s="2145" t="s">
        <v>766</v>
      </c>
      <c r="AH125" s="2146" t="s">
        <v>773</v>
      </c>
      <c r="AL125" s="2145"/>
      <c r="AM125" s="2145"/>
      <c r="AN125" s="2145"/>
      <c r="AO125" s="2145"/>
      <c r="AP125" s="2145"/>
      <c r="AQ125" s="2145"/>
      <c r="AR125" s="2145"/>
      <c r="AS125" s="2145"/>
      <c r="AT125" s="2145"/>
      <c r="AU125" s="2145"/>
      <c r="AV125" s="2145"/>
      <c r="AW125" s="2145"/>
      <c r="AX125" s="2145"/>
      <c r="AY125" s="2145"/>
      <c r="AZ125" s="2145"/>
      <c r="BA125" s="2145"/>
      <c r="BB125" s="2145"/>
      <c r="BC125" s="2145"/>
      <c r="BD125" s="2145"/>
      <c r="BE125" s="2145"/>
      <c r="BF125" s="2145"/>
      <c r="BG125" s="2145"/>
    </row>
    <row r="126" spans="31:59">
      <c r="AF126" s="2147"/>
      <c r="AH126" s="2148"/>
      <c r="AI126" s="2148"/>
      <c r="AJ126" s="2148"/>
      <c r="AL126" s="2186"/>
      <c r="AM126" s="2186"/>
      <c r="AN126" s="2186"/>
      <c r="AO126" s="2186"/>
      <c r="AP126" s="2186"/>
      <c r="AQ126" s="2186"/>
      <c r="AR126" s="2186"/>
      <c r="AS126" s="2186"/>
      <c r="AT126" s="2186"/>
      <c r="AU126" s="2186"/>
      <c r="AV126" s="2186"/>
      <c r="AW126" s="2186"/>
      <c r="AX126" s="2186"/>
      <c r="AY126" s="2186"/>
      <c r="AZ126" s="2186"/>
      <c r="BA126" s="2186"/>
      <c r="BB126" s="2186"/>
      <c r="BC126" s="2186"/>
      <c r="BD126" s="2186"/>
      <c r="BE126" s="2186"/>
      <c r="BF126" s="2186"/>
      <c r="BG126" s="2186"/>
    </row>
    <row r="127" spans="31:59">
      <c r="AF127" s="2142">
        <v>1</v>
      </c>
      <c r="AH127" s="2146" t="str">
        <f>"Retail Customers at "&amp;PROPER(RIGHT(Base_Period,LEN(Base_Period)-15))</f>
        <v>Retail Customers at  November 30, 2018</v>
      </c>
      <c r="AI127" s="2166" t="s">
        <v>774</v>
      </c>
      <c r="AJ127" s="2177" t="s">
        <v>775</v>
      </c>
      <c r="AL127" s="2187"/>
      <c r="AM127" s="2187"/>
      <c r="AN127" s="2151"/>
      <c r="AO127" s="2151"/>
      <c r="AP127" s="2151"/>
      <c r="AQ127" s="2151"/>
      <c r="AR127" s="2151"/>
      <c r="AS127" s="2151"/>
      <c r="AT127" s="2151"/>
      <c r="AU127" s="2151"/>
      <c r="AV127" s="2151"/>
      <c r="AW127" s="2151"/>
      <c r="AX127" s="2151"/>
      <c r="AY127" s="2151"/>
      <c r="AZ127" s="2151"/>
      <c r="BA127" s="2151"/>
      <c r="BB127" s="2151"/>
      <c r="BC127" s="2151"/>
      <c r="BD127" s="2151"/>
      <c r="BE127" s="2151"/>
      <c r="BF127" s="2151"/>
      <c r="BG127" s="2151"/>
    </row>
    <row r="128" spans="31:59">
      <c r="AF128" s="2142">
        <v>2</v>
      </c>
      <c r="AH128" s="2138" t="s">
        <v>776</v>
      </c>
      <c r="AI128" s="2188">
        <f>'Base Period Cust'!N23</f>
        <v>99223</v>
      </c>
      <c r="AJ128" s="2189">
        <f>AJ130-AJ129</f>
        <v>0.41110000000000002</v>
      </c>
      <c r="AL128" s="2187"/>
      <c r="AM128" s="2187"/>
      <c r="AN128" s="2151"/>
      <c r="AO128" s="2151"/>
      <c r="AP128" s="2151"/>
      <c r="AQ128" s="2151"/>
      <c r="AR128" s="2151"/>
      <c r="AS128" s="2151"/>
      <c r="AT128" s="2151"/>
      <c r="AU128" s="2151"/>
      <c r="AV128" s="2151"/>
      <c r="AW128" s="2151"/>
      <c r="AX128" s="2151"/>
      <c r="AY128" s="2151"/>
      <c r="AZ128" s="2151"/>
      <c r="BA128" s="2151"/>
      <c r="BB128" s="2151"/>
      <c r="BC128" s="2151"/>
      <c r="BD128" s="2151"/>
      <c r="BE128" s="2151"/>
      <c r="BF128" s="2151"/>
      <c r="BG128" s="2151"/>
    </row>
    <row r="129" spans="31:59">
      <c r="AF129" s="2142">
        <v>3</v>
      </c>
      <c r="AH129" s="2138" t="s">
        <v>777</v>
      </c>
      <c r="AI129" s="3195">
        <v>142125</v>
      </c>
      <c r="AJ129" s="2190">
        <f>ROUND(AI129/AI130,4)</f>
        <v>0.58889999999999998</v>
      </c>
      <c r="AL129" s="2187"/>
      <c r="AM129" s="2187"/>
      <c r="AN129" s="2151"/>
      <c r="AO129" s="2151"/>
      <c r="AP129" s="2151"/>
      <c r="AQ129" s="2151"/>
      <c r="AR129" s="2151"/>
      <c r="AS129" s="2151"/>
      <c r="AT129" s="2151"/>
      <c r="AU129" s="2151"/>
      <c r="AV129" s="2151"/>
      <c r="AW129" s="2151"/>
      <c r="AX129" s="2151"/>
      <c r="AY129" s="2151"/>
      <c r="AZ129" s="2151"/>
      <c r="BA129" s="2151"/>
      <c r="BB129" s="2151"/>
      <c r="BC129" s="2151"/>
      <c r="BD129" s="2151"/>
      <c r="BE129" s="2151"/>
      <c r="BF129" s="2151"/>
      <c r="BG129" s="2151"/>
    </row>
    <row r="130" spans="31:59">
      <c r="AF130" s="2142">
        <v>4</v>
      </c>
      <c r="AH130" s="2138" t="s">
        <v>778</v>
      </c>
      <c r="AI130" s="2191">
        <f>SUM(AI128:AI129)</f>
        <v>241348</v>
      </c>
      <c r="AJ130" s="2192">
        <v>1</v>
      </c>
      <c r="AL130" s="2187"/>
      <c r="AM130" s="2187"/>
      <c r="AN130" s="2151"/>
      <c r="AO130" s="2151"/>
      <c r="AP130" s="2151"/>
      <c r="AQ130" s="2151"/>
      <c r="AR130" s="2151"/>
      <c r="AS130" s="2151"/>
      <c r="AT130" s="2151"/>
      <c r="AU130" s="2151"/>
      <c r="AV130" s="2151"/>
      <c r="AW130" s="2151"/>
      <c r="AX130" s="2151"/>
      <c r="AY130" s="2151"/>
      <c r="AZ130" s="2151"/>
      <c r="BA130" s="2151"/>
      <c r="BB130" s="2151"/>
      <c r="BC130" s="2151"/>
      <c r="BD130" s="2151"/>
      <c r="BE130" s="2151"/>
      <c r="BF130" s="2151"/>
      <c r="BG130" s="2151"/>
    </row>
    <row r="131" spans="31:59">
      <c r="AF131" s="2142">
        <v>5</v>
      </c>
      <c r="AL131" s="2187"/>
      <c r="AM131" s="2187"/>
      <c r="AN131" s="2151"/>
      <c r="AO131" s="2151"/>
      <c r="AP131" s="2151"/>
      <c r="AQ131" s="2151"/>
      <c r="AR131" s="2151"/>
      <c r="AS131" s="2151"/>
      <c r="AT131" s="2151"/>
      <c r="AU131" s="2151"/>
      <c r="AV131" s="2151"/>
      <c r="AW131" s="2151"/>
      <c r="AX131" s="2151"/>
      <c r="AY131" s="2151"/>
      <c r="AZ131" s="2151"/>
      <c r="BA131" s="2151"/>
      <c r="BB131" s="2151"/>
      <c r="BC131" s="2151"/>
      <c r="BD131" s="2151"/>
      <c r="BE131" s="2151"/>
      <c r="BF131" s="2151"/>
      <c r="BG131" s="2151"/>
    </row>
    <row r="132" spans="31:59">
      <c r="AF132" s="2142">
        <v>6</v>
      </c>
      <c r="AH132" s="2146" t="str">
        <f>"Retail Customers at "&amp;PROPER(Testyear)</f>
        <v>Retail Customers at March 31, 2020</v>
      </c>
      <c r="AI132" s="2166" t="s">
        <v>774</v>
      </c>
      <c r="AJ132" s="2177" t="s">
        <v>775</v>
      </c>
      <c r="AL132" s="2187"/>
      <c r="AM132" s="2187"/>
      <c r="AN132" s="2151"/>
      <c r="AO132" s="2151"/>
      <c r="AP132" s="2151"/>
      <c r="AQ132" s="2151"/>
      <c r="AR132" s="2151"/>
      <c r="AS132" s="2151"/>
      <c r="AT132" s="2151"/>
      <c r="AU132" s="2151"/>
      <c r="AV132" s="2151"/>
      <c r="AW132" s="2151"/>
      <c r="AX132" s="2151"/>
      <c r="AY132" s="2151"/>
      <c r="AZ132" s="2151"/>
      <c r="BA132" s="2151"/>
      <c r="BB132" s="2151"/>
      <c r="BC132" s="2151"/>
      <c r="BD132" s="2151"/>
      <c r="BE132" s="2151"/>
      <c r="BF132" s="2151"/>
      <c r="BG132" s="2151"/>
    </row>
    <row r="133" spans="31:59">
      <c r="AF133" s="2142">
        <v>7</v>
      </c>
      <c r="AH133" s="2138" t="s">
        <v>776</v>
      </c>
      <c r="AI133" s="2188">
        <f>SCH_I4!G46</f>
        <v>101128.2175</v>
      </c>
      <c r="AJ133" s="2189">
        <f>AJ135-AJ134</f>
        <v>0.41349999999999998</v>
      </c>
      <c r="AL133" s="2187"/>
      <c r="AM133" s="2187"/>
      <c r="AN133" s="2151"/>
      <c r="AO133" s="2151"/>
      <c r="AP133" s="2151"/>
      <c r="AQ133" s="2151"/>
      <c r="AR133" s="2151"/>
      <c r="AS133" s="2151"/>
      <c r="AT133" s="2151"/>
      <c r="AU133" s="2151"/>
      <c r="AV133" s="2151"/>
      <c r="AW133" s="2151"/>
      <c r="AX133" s="2151"/>
      <c r="AY133" s="2151"/>
      <c r="AZ133" s="2151"/>
      <c r="BA133" s="2151"/>
      <c r="BB133" s="2151"/>
      <c r="BC133" s="2151"/>
      <c r="BD133" s="2151"/>
      <c r="BE133" s="2151"/>
      <c r="BF133" s="2151"/>
      <c r="BG133" s="2151"/>
    </row>
    <row r="134" spans="31:59">
      <c r="AF134" s="2142">
        <v>8</v>
      </c>
      <c r="AH134" s="2138" t="s">
        <v>777</v>
      </c>
      <c r="AI134" s="3195">
        <v>143453</v>
      </c>
      <c r="AJ134" s="2190">
        <f>ROUND(AI134/AI135,4)</f>
        <v>0.58650000000000002</v>
      </c>
      <c r="AL134" s="2187"/>
      <c r="AM134" s="2187"/>
      <c r="AN134" s="2151"/>
      <c r="AO134" s="2151"/>
      <c r="AP134" s="2151"/>
      <c r="AQ134" s="2151"/>
      <c r="AR134" s="2151"/>
      <c r="AS134" s="2151"/>
      <c r="AT134" s="2151"/>
      <c r="AU134" s="2151"/>
      <c r="AV134" s="2151"/>
      <c r="AW134" s="2151"/>
      <c r="AX134" s="2151"/>
      <c r="AY134" s="2151"/>
      <c r="AZ134" s="2151"/>
      <c r="BA134" s="2151"/>
      <c r="BB134" s="2151"/>
      <c r="BC134" s="2151"/>
      <c r="BD134" s="2151"/>
      <c r="BE134" s="2151"/>
      <c r="BF134" s="2151"/>
      <c r="BG134" s="2151"/>
    </row>
    <row r="135" spans="31:59">
      <c r="AF135" s="2142">
        <v>9</v>
      </c>
      <c r="AH135" s="2138" t="s">
        <v>778</v>
      </c>
      <c r="AI135" s="2191">
        <f>SUM(AI133:AI134)</f>
        <v>244581.2175</v>
      </c>
      <c r="AJ135" s="2192">
        <v>1</v>
      </c>
      <c r="AL135" s="2187"/>
      <c r="AM135" s="2187"/>
      <c r="AN135" s="2155"/>
      <c r="AO135" s="2155"/>
      <c r="AP135" s="2155"/>
      <c r="AQ135" s="2155"/>
      <c r="AR135" s="2155"/>
      <c r="AS135" s="2155"/>
      <c r="AT135" s="2155"/>
      <c r="AU135" s="2155"/>
      <c r="AV135" s="2155"/>
      <c r="AW135" s="2155"/>
      <c r="AX135" s="2155"/>
      <c r="AY135" s="2155"/>
      <c r="AZ135" s="2155"/>
      <c r="BA135" s="2155"/>
      <c r="BB135" s="2155"/>
      <c r="BC135" s="2155"/>
      <c r="BD135" s="2155"/>
      <c r="BE135" s="2155"/>
      <c r="BF135" s="2155"/>
      <c r="BG135" s="2155"/>
    </row>
    <row r="136" spans="31:59">
      <c r="AF136" s="2142"/>
      <c r="AL136" s="2193"/>
      <c r="AM136" s="2193"/>
    </row>
    <row r="137" spans="31:59">
      <c r="AF137" s="2142"/>
      <c r="AH137" s="2146"/>
      <c r="AI137" s="2166"/>
      <c r="AJ137" s="2177"/>
      <c r="AL137" s="2187"/>
      <c r="AM137" s="2187"/>
      <c r="AN137" s="2155"/>
      <c r="AO137" s="2155"/>
      <c r="AP137" s="2155"/>
      <c r="AQ137" s="2155"/>
      <c r="AR137" s="2155"/>
      <c r="AS137" s="2155"/>
      <c r="AT137" s="2155"/>
      <c r="AU137" s="2155"/>
      <c r="AV137" s="2155"/>
      <c r="AW137" s="2155"/>
      <c r="AX137" s="2155"/>
      <c r="AY137" s="2155"/>
      <c r="AZ137" s="2155"/>
      <c r="BA137" s="2155"/>
      <c r="BB137" s="2155"/>
      <c r="BC137" s="2155"/>
      <c r="BD137" s="2155"/>
      <c r="BE137" s="2155"/>
      <c r="BF137" s="2155"/>
      <c r="BG137" s="2155"/>
    </row>
    <row r="138" spans="31:59">
      <c r="AE138" s="2159"/>
      <c r="AF138" s="2142"/>
      <c r="AH138" s="2138"/>
      <c r="AI138" s="2194"/>
      <c r="AJ138" s="2189"/>
      <c r="AL138" s="2195"/>
      <c r="AM138" s="2195"/>
      <c r="AN138" s="2196"/>
      <c r="AO138" s="2196"/>
      <c r="AP138" s="2196"/>
      <c r="AQ138" s="2196"/>
      <c r="AR138" s="2196"/>
      <c r="AS138" s="2196"/>
      <c r="AT138" s="2196"/>
      <c r="AU138" s="2196"/>
      <c r="AV138" s="2196"/>
      <c r="AW138" s="2196"/>
      <c r="AX138" s="2196"/>
      <c r="AY138" s="2196"/>
      <c r="AZ138" s="2196"/>
      <c r="BA138" s="2196"/>
      <c r="BB138" s="2196"/>
      <c r="BC138" s="2196"/>
      <c r="BD138" s="2196"/>
      <c r="BE138" s="2196"/>
      <c r="BF138" s="2196"/>
      <c r="BG138" s="2196"/>
    </row>
    <row r="139" spans="31:59">
      <c r="AE139" s="2159"/>
      <c r="AF139" s="2142"/>
      <c r="AH139" s="2138"/>
      <c r="AI139" s="2197"/>
      <c r="AJ139" s="2190"/>
      <c r="AL139" s="2187"/>
      <c r="AM139" s="2187"/>
      <c r="AN139" s="2155"/>
      <c r="AO139" s="2155"/>
      <c r="AP139" s="2155"/>
      <c r="AQ139" s="2155"/>
      <c r="AR139" s="2155"/>
      <c r="AS139" s="2155"/>
      <c r="AT139" s="2155"/>
      <c r="AU139" s="2155"/>
      <c r="AV139" s="2155"/>
      <c r="AW139" s="2155"/>
      <c r="AX139" s="2155"/>
      <c r="AY139" s="2155"/>
      <c r="AZ139" s="2155"/>
      <c r="BA139" s="2155"/>
      <c r="BB139" s="2155"/>
      <c r="BC139" s="2155"/>
      <c r="BD139" s="2155"/>
      <c r="BE139" s="2155"/>
      <c r="BF139" s="2155"/>
      <c r="BG139" s="2155"/>
    </row>
    <row r="140" spans="31:59">
      <c r="AF140" s="2142"/>
      <c r="AH140" s="2138"/>
      <c r="AI140" s="2191"/>
      <c r="AJ140" s="2192"/>
      <c r="AL140" s="2195"/>
      <c r="AM140" s="2195"/>
      <c r="AN140" s="2147"/>
      <c r="AO140" s="2147"/>
      <c r="AP140" s="2147"/>
      <c r="AQ140" s="2147"/>
      <c r="AR140" s="2147"/>
      <c r="AS140" s="2147"/>
      <c r="AT140" s="2147"/>
      <c r="AU140" s="2147"/>
      <c r="AV140" s="2147"/>
      <c r="AW140" s="2147"/>
      <c r="AX140" s="2147"/>
      <c r="AY140" s="2147"/>
      <c r="AZ140" s="2147"/>
      <c r="BA140" s="2147"/>
      <c r="BB140" s="2147"/>
      <c r="BC140" s="2147"/>
      <c r="BD140" s="2147"/>
      <c r="BE140" s="2147"/>
      <c r="BF140" s="2147"/>
      <c r="BG140" s="2147"/>
    </row>
    <row r="141" spans="31:59">
      <c r="AF141" s="2136"/>
      <c r="AL141" s="2193"/>
      <c r="AM141" s="2193"/>
    </row>
    <row r="142" spans="31:59">
      <c r="AF142" s="2136"/>
      <c r="AH142" s="2138"/>
    </row>
    <row r="143" spans="31:59">
      <c r="AI143" s="2168"/>
    </row>
    <row r="145" spans="41:60">
      <c r="AO145" s="2138" t="str">
        <f>COMPANY</f>
        <v>DUKE ENERGY KENTUCKY, INC.</v>
      </c>
      <c r="AY145" s="2138" t="s">
        <v>701</v>
      </c>
    </row>
    <row r="146" spans="41:60">
      <c r="AO146" s="2138" t="str">
        <f>DEPT</f>
        <v>GAS DEPARTMENT</v>
      </c>
      <c r="AY146" s="2138" t="s">
        <v>2100</v>
      </c>
    </row>
    <row r="147" spans="41:60">
      <c r="AO147" s="2138" t="str">
        <f>CASE</f>
        <v>CASE NO. 2018-00261</v>
      </c>
      <c r="AY147" s="2141" t="str">
        <f>_WIT9</f>
        <v>R. H. PRATT</v>
      </c>
    </row>
    <row r="148" spans="41:60">
      <c r="AO148" s="2140" t="s">
        <v>2662</v>
      </c>
    </row>
    <row r="149" spans="41:60">
      <c r="AO149" s="2138" t="str">
        <f>"THIRTEEN MONTHS ENDED "&amp;UPPER(LOGO!F17)</f>
        <v>THIRTEEN MONTHS ENDED MARCH 31, 2020</v>
      </c>
    </row>
    <row r="151" spans="41:60">
      <c r="AY151" s="2139"/>
      <c r="AZ151" s="2139"/>
    </row>
    <row r="152" spans="41:60">
      <c r="AO152" s="2142" t="s">
        <v>567</v>
      </c>
      <c r="AT152" s="2142" t="s">
        <v>1229</v>
      </c>
      <c r="AU152" s="2198" t="s">
        <v>2102</v>
      </c>
      <c r="AV152" s="2139"/>
      <c r="AW152" s="2139"/>
      <c r="AX152" s="2198" t="s">
        <v>2103</v>
      </c>
      <c r="AY152" s="2139"/>
      <c r="AZ152" s="2139"/>
      <c r="BB152" s="2139"/>
      <c r="BC152" s="2139"/>
      <c r="BD152" s="2139"/>
      <c r="BE152" s="2139"/>
      <c r="BF152" s="2139"/>
      <c r="BG152" s="2139"/>
      <c r="BH152" s="2139"/>
    </row>
    <row r="153" spans="41:60">
      <c r="AO153" s="2145" t="s">
        <v>766</v>
      </c>
      <c r="AP153" s="2149"/>
      <c r="AQ153" s="2146" t="s">
        <v>2104</v>
      </c>
      <c r="AR153" s="2149"/>
      <c r="AS153" s="2149"/>
      <c r="AT153" s="2145" t="s">
        <v>2105</v>
      </c>
      <c r="AU153" s="2145" t="s">
        <v>2097</v>
      </c>
      <c r="AV153" s="2149"/>
      <c r="AW153" s="2145" t="s">
        <v>2098</v>
      </c>
      <c r="AX153" s="2145" t="s">
        <v>2106</v>
      </c>
      <c r="AY153" s="2145" t="s">
        <v>2097</v>
      </c>
      <c r="AZ153" s="2145" t="s">
        <v>2098</v>
      </c>
      <c r="BA153" s="2145"/>
      <c r="BB153" s="2145"/>
      <c r="BC153" s="2145"/>
      <c r="BD153" s="2145"/>
      <c r="BE153" s="2145"/>
      <c r="BF153" s="2145"/>
      <c r="BG153" s="2145"/>
    </row>
    <row r="154" spans="41:60">
      <c r="AR154" s="2199"/>
      <c r="AS154" s="2200"/>
      <c r="AT154" s="2150" t="s">
        <v>695</v>
      </c>
      <c r="AU154" s="2200"/>
      <c r="AV154" s="2151"/>
      <c r="AW154" s="2150" t="s">
        <v>695</v>
      </c>
      <c r="AZ154" s="2142" t="s">
        <v>695</v>
      </c>
      <c r="BA154" s="2142"/>
      <c r="BB154" s="2142"/>
      <c r="BC154" s="2142"/>
      <c r="BD154" s="2142"/>
      <c r="BE154" s="2142"/>
      <c r="BF154" s="2142"/>
      <c r="BG154" s="2142"/>
    </row>
    <row r="155" spans="41:60">
      <c r="AO155" s="2142">
        <v>1</v>
      </c>
      <c r="AQ155" s="2146" t="s">
        <v>1053</v>
      </c>
      <c r="AR155" s="2199"/>
      <c r="AS155" s="2200"/>
      <c r="AT155" s="2200"/>
      <c r="AU155" s="2200"/>
      <c r="AV155" s="2151"/>
      <c r="AW155" s="2151"/>
    </row>
    <row r="156" spans="41:60">
      <c r="AO156" s="2142">
        <v>2</v>
      </c>
      <c r="AQ156" s="2142">
        <v>154100</v>
      </c>
      <c r="AR156" s="2201" t="s">
        <v>1751</v>
      </c>
      <c r="AS156" s="2200"/>
      <c r="AT156" s="2188">
        <f>BQ256</f>
        <v>296279</v>
      </c>
      <c r="AU156" s="2184">
        <v>1</v>
      </c>
      <c r="AV156" s="2138"/>
      <c r="AW156" s="2151">
        <f t="shared" ref="AW156:AW159" si="18">ROUND(+AT156*AU156,0)</f>
        <v>296279</v>
      </c>
      <c r="AX156" s="2142" t="s">
        <v>591</v>
      </c>
      <c r="AY156" s="2202">
        <f t="shared" ref="AY156:AY160" si="19">VLOOKUP(AX156,ALLOCTABLE,2)</f>
        <v>100</v>
      </c>
      <c r="AZ156" s="2151">
        <f t="shared" ref="AZ156:AZ159" si="20">ROUND(AW156*(AY156/100),0)</f>
        <v>296279</v>
      </c>
    </row>
    <row r="157" spans="41:60">
      <c r="AO157" s="2142">
        <v>3</v>
      </c>
      <c r="AQ157" s="2142">
        <v>154100</v>
      </c>
      <c r="AR157" s="2201" t="s">
        <v>1752</v>
      </c>
      <c r="AS157" s="2200"/>
      <c r="AT157" s="2188">
        <f>BR256</f>
        <v>16584792</v>
      </c>
      <c r="AU157" s="2184">
        <v>0</v>
      </c>
      <c r="AV157" s="2138"/>
      <c r="AW157" s="2151">
        <f t="shared" si="18"/>
        <v>0</v>
      </c>
      <c r="AX157" s="2142" t="s">
        <v>591</v>
      </c>
      <c r="AY157" s="2202">
        <f t="shared" si="19"/>
        <v>100</v>
      </c>
      <c r="AZ157" s="2151">
        <f t="shared" si="20"/>
        <v>0</v>
      </c>
    </row>
    <row r="158" spans="41:60">
      <c r="AO158" s="2142">
        <v>4</v>
      </c>
      <c r="AQ158" s="2142">
        <v>154102</v>
      </c>
      <c r="AR158" s="2201" t="s">
        <v>1753</v>
      </c>
      <c r="AS158" s="2200"/>
      <c r="AT158" s="2188">
        <f>BS256</f>
        <v>747531</v>
      </c>
      <c r="AU158" s="2184">
        <v>1</v>
      </c>
      <c r="AV158" s="2138"/>
      <c r="AW158" s="2151">
        <f t="shared" si="18"/>
        <v>747531</v>
      </c>
      <c r="AX158" s="2142" t="s">
        <v>591</v>
      </c>
      <c r="AY158" s="2202">
        <f t="shared" si="19"/>
        <v>100</v>
      </c>
      <c r="AZ158" s="2151">
        <f t="shared" si="20"/>
        <v>747531</v>
      </c>
    </row>
    <row r="159" spans="41:60">
      <c r="AO159" s="2142">
        <v>5</v>
      </c>
      <c r="AQ159" s="2142">
        <v>154102</v>
      </c>
      <c r="AR159" s="2201" t="s">
        <v>1754</v>
      </c>
      <c r="AS159" s="2200"/>
      <c r="AT159" s="2188">
        <f>BU256</f>
        <v>-30000</v>
      </c>
      <c r="AU159" s="2184">
        <v>0</v>
      </c>
      <c r="AV159" s="2138"/>
      <c r="AW159" s="2151">
        <f t="shared" si="18"/>
        <v>0</v>
      </c>
      <c r="AX159" s="2142" t="s">
        <v>591</v>
      </c>
      <c r="AY159" s="2202">
        <f t="shared" si="19"/>
        <v>100</v>
      </c>
      <c r="AZ159" s="2151">
        <f t="shared" si="20"/>
        <v>0</v>
      </c>
    </row>
    <row r="160" spans="41:60">
      <c r="AO160" s="2142">
        <v>6</v>
      </c>
      <c r="AQ160" s="2142">
        <v>154410</v>
      </c>
      <c r="AR160" s="2201" t="s">
        <v>1755</v>
      </c>
      <c r="AS160" s="2200"/>
      <c r="AT160" s="2203">
        <f>BT256</f>
        <v>16187</v>
      </c>
      <c r="AU160" s="2184">
        <v>1</v>
      </c>
      <c r="AV160" s="2138"/>
      <c r="AW160" s="2204">
        <f t="shared" ref="AW160" si="21">ROUND(+AT160*AU160,0)</f>
        <v>16187</v>
      </c>
      <c r="AX160" s="2142" t="s">
        <v>591</v>
      </c>
      <c r="AY160" s="2202">
        <f t="shared" si="19"/>
        <v>100</v>
      </c>
      <c r="AZ160" s="2204">
        <f t="shared" ref="AZ160" si="22">ROUND(AW160*(AY160/100),0)</f>
        <v>16187</v>
      </c>
    </row>
    <row r="161" spans="41:52">
      <c r="AO161" s="2142">
        <v>7</v>
      </c>
      <c r="AQ161" s="2142"/>
      <c r="AR161" s="2201"/>
      <c r="AS161" s="2200"/>
      <c r="AT161" s="2188">
        <f>SUM(AT156:AT160)</f>
        <v>17614789</v>
      </c>
      <c r="AU161" s="2184"/>
      <c r="AV161" s="2138"/>
      <c r="AW161" s="2188">
        <f>SUM(AW156:AW160)</f>
        <v>1059997</v>
      </c>
      <c r="AX161" s="2142"/>
      <c r="AY161" s="2202"/>
      <c r="AZ161" s="2188">
        <f>SUM(AZ156:AZ160)</f>
        <v>1059997</v>
      </c>
    </row>
    <row r="162" spans="41:52">
      <c r="AO162" s="2142">
        <v>8</v>
      </c>
      <c r="AQ162" s="2142">
        <v>163110</v>
      </c>
      <c r="AR162" s="2201" t="s">
        <v>1756</v>
      </c>
      <c r="AS162" s="2200"/>
      <c r="AT162" s="2188">
        <f>BV256</f>
        <v>83075</v>
      </c>
      <c r="AU162" s="2184">
        <v>1</v>
      </c>
      <c r="AV162" s="2138"/>
      <c r="AW162" s="2151">
        <f>ROUND(+AT162*AU162,0)</f>
        <v>83075</v>
      </c>
      <c r="AX162" s="2142" t="s">
        <v>591</v>
      </c>
      <c r="AY162" s="2202">
        <f>VLOOKUP(AX162,ALLOCTABLE,2)</f>
        <v>100</v>
      </c>
      <c r="AZ162" s="2151">
        <f>ROUND(AW162*(AY162/100),0)</f>
        <v>83075</v>
      </c>
    </row>
    <row r="163" spans="41:52">
      <c r="AO163" s="2142">
        <v>9</v>
      </c>
      <c r="AQ163" s="2142">
        <v>163110</v>
      </c>
      <c r="AR163" s="2201" t="s">
        <v>1757</v>
      </c>
      <c r="AS163" s="2200"/>
      <c r="AT163" s="2203">
        <f>BW256</f>
        <v>783483</v>
      </c>
      <c r="AU163" s="2184">
        <v>0</v>
      </c>
      <c r="AV163" s="2138"/>
      <c r="AW163" s="2204">
        <f>ROUND(+AT163*AU163,0)</f>
        <v>0</v>
      </c>
      <c r="AX163" s="2142" t="s">
        <v>591</v>
      </c>
      <c r="AY163" s="2202">
        <f>VLOOKUP(AX163,ALLOCTABLE,2)</f>
        <v>100</v>
      </c>
      <c r="AZ163" s="2204">
        <f>ROUND(AW163*(AY163/100),0)</f>
        <v>0</v>
      </c>
    </row>
    <row r="164" spans="41:52">
      <c r="AO164" s="2142">
        <v>10</v>
      </c>
      <c r="AQ164" s="2142" t="s">
        <v>2153</v>
      </c>
      <c r="AR164" s="2199"/>
      <c r="AS164" s="2200"/>
      <c r="AT164" s="2191">
        <f>SUM(AT161:AT163)</f>
        <v>18481347</v>
      </c>
      <c r="AU164" s="2205"/>
      <c r="AW164" s="2191">
        <f>SUM(AW161:AW163)</f>
        <v>1143072</v>
      </c>
      <c r="AX164" s="2157"/>
      <c r="AY164" s="2202"/>
      <c r="AZ164" s="2191">
        <f>SUM(AZ161:AZ163)</f>
        <v>1143072</v>
      </c>
    </row>
    <row r="165" spans="41:52">
      <c r="AO165" s="2142">
        <v>11</v>
      </c>
      <c r="AQ165" s="2149"/>
      <c r="AU165" s="2183"/>
      <c r="AX165" s="2157"/>
    </row>
    <row r="166" spans="41:52">
      <c r="AO166" s="2142">
        <v>12</v>
      </c>
      <c r="AQ166" s="2146" t="s">
        <v>1237</v>
      </c>
      <c r="AU166" s="2183"/>
      <c r="AX166" s="2157"/>
    </row>
    <row r="167" spans="41:52">
      <c r="AO167" s="2142">
        <v>13</v>
      </c>
      <c r="AQ167" s="2149"/>
      <c r="AU167" s="2183"/>
      <c r="AX167" s="2157"/>
    </row>
    <row r="168" spans="41:52">
      <c r="AO168" s="2142">
        <v>14</v>
      </c>
      <c r="AQ168" s="2142">
        <v>154100</v>
      </c>
      <c r="AR168" s="2201" t="s">
        <v>1751</v>
      </c>
      <c r="AS168" s="2200"/>
      <c r="AT168" s="2188">
        <f>BQ274</f>
        <v>296279</v>
      </c>
      <c r="AU168" s="2184">
        <v>1</v>
      </c>
      <c r="AV168" s="2138"/>
      <c r="AW168" s="2151">
        <f t="shared" ref="AW168:AW171" si="23">ROUND(+AT168*AU168,0)</f>
        <v>296279</v>
      </c>
      <c r="AX168" s="2142" t="s">
        <v>591</v>
      </c>
      <c r="AY168" s="2202">
        <f t="shared" ref="AY168:AY172" si="24">VLOOKUP(AX168,ALLOCTABLE,2)</f>
        <v>100</v>
      </c>
      <c r="AZ168" s="2151">
        <f t="shared" ref="AZ168:AZ171" si="25">ROUND(AW168*(AY168/100),0)</f>
        <v>296279</v>
      </c>
    </row>
    <row r="169" spans="41:52">
      <c r="AO169" s="2142">
        <v>15</v>
      </c>
      <c r="AQ169" s="2142">
        <v>154100</v>
      </c>
      <c r="AR169" s="2201" t="s">
        <v>1752</v>
      </c>
      <c r="AS169" s="2200"/>
      <c r="AT169" s="2188">
        <f>BR274</f>
        <v>16584792</v>
      </c>
      <c r="AU169" s="2184">
        <v>0</v>
      </c>
      <c r="AV169" s="2138"/>
      <c r="AW169" s="2151">
        <f t="shared" si="23"/>
        <v>0</v>
      </c>
      <c r="AX169" s="2142" t="s">
        <v>591</v>
      </c>
      <c r="AY169" s="2202">
        <f t="shared" si="24"/>
        <v>100</v>
      </c>
      <c r="AZ169" s="2151">
        <f t="shared" si="25"/>
        <v>0</v>
      </c>
    </row>
    <row r="170" spans="41:52">
      <c r="AO170" s="2142">
        <v>16</v>
      </c>
      <c r="AQ170" s="2142">
        <v>154102</v>
      </c>
      <c r="AR170" s="2201" t="s">
        <v>1753</v>
      </c>
      <c r="AS170" s="2200"/>
      <c r="AT170" s="2188">
        <f>BS274</f>
        <v>747531</v>
      </c>
      <c r="AU170" s="2184">
        <v>1</v>
      </c>
      <c r="AV170" s="2138"/>
      <c r="AW170" s="2151">
        <f t="shared" si="23"/>
        <v>747531</v>
      </c>
      <c r="AX170" s="2142" t="s">
        <v>591</v>
      </c>
      <c r="AY170" s="2202">
        <f t="shared" si="24"/>
        <v>100</v>
      </c>
      <c r="AZ170" s="2151">
        <f t="shared" si="25"/>
        <v>747531</v>
      </c>
    </row>
    <row r="171" spans="41:52">
      <c r="AO171" s="2142">
        <v>17</v>
      </c>
      <c r="AQ171" s="2142">
        <v>154102</v>
      </c>
      <c r="AR171" s="2201" t="s">
        <v>1754</v>
      </c>
      <c r="AS171" s="2200"/>
      <c r="AT171" s="2188">
        <f>BU274</f>
        <v>-30000</v>
      </c>
      <c r="AU171" s="2184">
        <v>0</v>
      </c>
      <c r="AV171" s="2138"/>
      <c r="AW171" s="2151">
        <f t="shared" si="23"/>
        <v>0</v>
      </c>
      <c r="AX171" s="2142" t="s">
        <v>591</v>
      </c>
      <c r="AY171" s="2202">
        <f t="shared" si="24"/>
        <v>100</v>
      </c>
      <c r="AZ171" s="2151">
        <f t="shared" si="25"/>
        <v>0</v>
      </c>
    </row>
    <row r="172" spans="41:52">
      <c r="AO172" s="2142">
        <v>18</v>
      </c>
      <c r="AQ172" s="2142">
        <v>154410</v>
      </c>
      <c r="AR172" s="2201" t="s">
        <v>1755</v>
      </c>
      <c r="AS172" s="2200"/>
      <c r="AT172" s="2203">
        <f>BT274</f>
        <v>16187</v>
      </c>
      <c r="AU172" s="2184">
        <v>1</v>
      </c>
      <c r="AV172" s="2138"/>
      <c r="AW172" s="2204">
        <f t="shared" ref="AW172" si="26">ROUND(+AT172*AU172,0)</f>
        <v>16187</v>
      </c>
      <c r="AX172" s="2142" t="s">
        <v>591</v>
      </c>
      <c r="AY172" s="2202">
        <f t="shared" si="24"/>
        <v>100</v>
      </c>
      <c r="AZ172" s="2204">
        <f t="shared" ref="AZ172" si="27">ROUND(AW172*(AY172/100),0)</f>
        <v>16187</v>
      </c>
    </row>
    <row r="173" spans="41:52">
      <c r="AO173" s="2142">
        <v>19</v>
      </c>
      <c r="AQ173" s="2142"/>
      <c r="AR173" s="2201"/>
      <c r="AS173" s="2200"/>
      <c r="AT173" s="2188">
        <f>SUM(AT168:AT172)</f>
        <v>17614789</v>
      </c>
      <c r="AU173" s="2184"/>
      <c r="AV173" s="2138"/>
      <c r="AW173" s="2188">
        <f>SUM(AW168:AW172)</f>
        <v>1059997</v>
      </c>
      <c r="AX173" s="2142"/>
      <c r="AY173" s="2202"/>
      <c r="AZ173" s="2188">
        <f>SUM(AZ168:AZ172)</f>
        <v>1059997</v>
      </c>
    </row>
    <row r="174" spans="41:52">
      <c r="AO174" s="2142">
        <v>20</v>
      </c>
      <c r="AQ174" s="2142">
        <v>163110</v>
      </c>
      <c r="AR174" s="2201" t="s">
        <v>1756</v>
      </c>
      <c r="AS174" s="2200"/>
      <c r="AT174" s="2188">
        <f>BV274</f>
        <v>83075</v>
      </c>
      <c r="AU174" s="2184">
        <v>1</v>
      </c>
      <c r="AV174" s="2138"/>
      <c r="AW174" s="2151">
        <f>ROUND(+AT174*AU174,0)</f>
        <v>83075</v>
      </c>
      <c r="AX174" s="2142" t="s">
        <v>591</v>
      </c>
      <c r="AY174" s="2202">
        <f>VLOOKUP(AX174,ALLOCTABLE,2)</f>
        <v>100</v>
      </c>
      <c r="AZ174" s="2151">
        <f>ROUND(AW174*(AY174/100),0)</f>
        <v>83075</v>
      </c>
    </row>
    <row r="175" spans="41:52">
      <c r="AO175" s="2142">
        <v>21</v>
      </c>
      <c r="AQ175" s="2142">
        <v>163110</v>
      </c>
      <c r="AR175" s="2201" t="s">
        <v>1757</v>
      </c>
      <c r="AS175" s="2200"/>
      <c r="AT175" s="2203">
        <f>BW274</f>
        <v>783483</v>
      </c>
      <c r="AU175" s="2184">
        <v>0</v>
      </c>
      <c r="AV175" s="2138"/>
      <c r="AW175" s="2204">
        <f>ROUND(+AT175*AU175,0)</f>
        <v>0</v>
      </c>
      <c r="AX175" s="2142" t="s">
        <v>591</v>
      </c>
      <c r="AY175" s="2202">
        <f>VLOOKUP(AX175,ALLOCTABLE,2)</f>
        <v>100</v>
      </c>
      <c r="AZ175" s="2204">
        <f>ROUND(AW175*(AY175/100),0)</f>
        <v>0</v>
      </c>
    </row>
    <row r="176" spans="41:52">
      <c r="AO176" s="2142">
        <v>22</v>
      </c>
      <c r="AQ176" s="2142" t="s">
        <v>2153</v>
      </c>
      <c r="AR176" s="2199"/>
      <c r="AS176" s="2200"/>
      <c r="AT176" s="2191">
        <f>AT173+AT174+AT175</f>
        <v>18481347</v>
      </c>
      <c r="AU176" s="2205"/>
      <c r="AW176" s="2191">
        <f>AW173+AW174+AW175</f>
        <v>1143072</v>
      </c>
      <c r="AX176" s="2157"/>
      <c r="AY176" s="2202"/>
      <c r="AZ176" s="2191">
        <f>AZ173+AZ174+AZ175</f>
        <v>1143072</v>
      </c>
    </row>
    <row r="177" spans="41:63">
      <c r="AO177" s="2138"/>
      <c r="AQ177" s="2149"/>
      <c r="AX177" s="2157"/>
    </row>
    <row r="178" spans="41:63">
      <c r="AO178" s="2138"/>
      <c r="AQ178" s="2149" t="s">
        <v>2154</v>
      </c>
      <c r="AX178" s="2157"/>
    </row>
    <row r="179" spans="41:63">
      <c r="AO179" s="2138"/>
      <c r="AQ179" s="2137" t="s">
        <v>2155</v>
      </c>
      <c r="AX179" s="2157"/>
    </row>
    <row r="180" spans="41:63">
      <c r="AO180" s="2138"/>
      <c r="AQ180" s="2181"/>
      <c r="AX180" s="2157"/>
    </row>
    <row r="181" spans="41:63">
      <c r="AO181" s="2138"/>
      <c r="AQ181" s="2181"/>
      <c r="AX181" s="2157"/>
    </row>
    <row r="182" spans="41:63">
      <c r="AO182" s="2138"/>
      <c r="AX182" s="2157"/>
    </row>
    <row r="183" spans="41:63">
      <c r="AO183" s="2138"/>
      <c r="AQ183" s="2181"/>
      <c r="AX183" s="2157"/>
    </row>
    <row r="184" spans="41:63">
      <c r="AO184" s="2138"/>
      <c r="AQ184" s="2149"/>
      <c r="AX184" s="2157"/>
      <c r="BD184" s="1616" t="str">
        <f>COMPANY</f>
        <v>DUKE ENERGY KENTUCKY, INC.</v>
      </c>
      <c r="BE184" s="2206"/>
      <c r="BF184" s="2206"/>
      <c r="BG184" s="1603"/>
      <c r="BH184" s="1612"/>
      <c r="BI184" s="1612"/>
      <c r="BJ184" s="1616" t="s">
        <v>703</v>
      </c>
    </row>
    <row r="185" spans="41:63">
      <c r="AO185" s="2138"/>
      <c r="AX185" s="2157"/>
      <c r="BD185" s="1616" t="str">
        <f>DEPT</f>
        <v>GAS DEPARTMENT</v>
      </c>
      <c r="BE185" s="2206"/>
      <c r="BF185" s="2206"/>
      <c r="BG185" s="1614"/>
      <c r="BH185" s="1612"/>
      <c r="BI185" s="1612"/>
      <c r="BJ185" s="1898" t="s">
        <v>566</v>
      </c>
      <c r="BK185" s="1612"/>
    </row>
    <row r="186" spans="41:63">
      <c r="AX186" s="2157"/>
      <c r="BD186" s="1898" t="str">
        <f>CASE</f>
        <v>CASE NO. 2018-00261</v>
      </c>
      <c r="BE186" s="2206"/>
      <c r="BF186" s="2206"/>
      <c r="BG186" s="1614"/>
      <c r="BH186" s="1612"/>
      <c r="BI186" s="1612"/>
      <c r="BJ186" s="1603" t="str">
        <f>_WIT9</f>
        <v>R. H. PRATT</v>
      </c>
      <c r="BK186" s="1612"/>
    </row>
    <row r="187" spans="41:63">
      <c r="AX187" s="2157"/>
      <c r="BD187" s="1721" t="s">
        <v>2977</v>
      </c>
      <c r="BE187" s="2206"/>
      <c r="BF187" s="2206"/>
      <c r="BG187" s="1614"/>
      <c r="BH187" s="1612"/>
      <c r="BI187" s="1612"/>
      <c r="BK187" s="1603"/>
    </row>
    <row r="188" spans="41:63">
      <c r="AX188" s="2157"/>
      <c r="BD188" s="1721" t="s">
        <v>2542</v>
      </c>
      <c r="BE188" s="2206"/>
      <c r="BF188" s="2206"/>
      <c r="BG188" s="1614"/>
      <c r="BH188" s="1612"/>
      <c r="BI188" s="1612"/>
      <c r="BJ188" s="1603"/>
      <c r="BK188" s="2163"/>
    </row>
    <row r="189" spans="41:63">
      <c r="AX189" s="2157"/>
      <c r="BD189" s="1603"/>
      <c r="BE189" s="2206"/>
      <c r="BF189" s="2206"/>
      <c r="BG189" s="1614"/>
      <c r="BH189" s="1612"/>
      <c r="BI189" s="1612"/>
      <c r="BJ189" s="1612"/>
      <c r="BK189" s="1612"/>
    </row>
    <row r="190" spans="41:63">
      <c r="AX190" s="2157"/>
      <c r="BD190" s="1603"/>
      <c r="BE190" s="1603"/>
      <c r="BF190" s="1603"/>
      <c r="BG190" s="1603"/>
      <c r="BH190" s="1612"/>
      <c r="BI190" s="1612"/>
      <c r="BJ190" s="1614"/>
      <c r="BK190" s="1612"/>
    </row>
    <row r="191" spans="41:63">
      <c r="AX191" s="2157"/>
      <c r="BD191" s="3275" t="s">
        <v>567</v>
      </c>
      <c r="BE191" s="1603"/>
      <c r="BF191" s="1603"/>
      <c r="BG191" s="1603"/>
      <c r="BH191" s="1732"/>
      <c r="BI191" s="1732"/>
      <c r="BJ191" s="2207"/>
      <c r="BK191" s="1603"/>
    </row>
    <row r="192" spans="41:63">
      <c r="AX192" s="2157"/>
      <c r="BD192" s="2164" t="s">
        <v>766</v>
      </c>
      <c r="BE192" s="2164" t="s">
        <v>2156</v>
      </c>
      <c r="BF192" s="1603"/>
      <c r="BG192" s="1603"/>
      <c r="BH192" s="1909"/>
      <c r="BI192" s="2164"/>
      <c r="BJ192" s="2164" t="s">
        <v>2157</v>
      </c>
      <c r="BK192" s="1603"/>
    </row>
    <row r="193" spans="50:63">
      <c r="AX193" s="2157"/>
      <c r="BD193" s="1616"/>
      <c r="BE193" s="1603"/>
      <c r="BF193" s="1603"/>
      <c r="BG193" s="1603"/>
      <c r="BH193" s="1901"/>
      <c r="BI193" s="3275"/>
      <c r="BJ193" s="3275" t="s">
        <v>695</v>
      </c>
      <c r="BK193" s="1603"/>
    </row>
    <row r="194" spans="50:63">
      <c r="AX194" s="2157"/>
      <c r="BD194" s="3275">
        <v>1</v>
      </c>
      <c r="BE194" s="2254" t="s">
        <v>1013</v>
      </c>
      <c r="BF194" s="1603"/>
      <c r="BG194" s="1603"/>
      <c r="BH194" s="1610"/>
      <c r="BI194" s="1603"/>
      <c r="BJ194" s="1603"/>
      <c r="BK194" s="1603"/>
    </row>
    <row r="195" spans="50:63">
      <c r="AX195" s="2157"/>
      <c r="BD195" s="3275">
        <v>2</v>
      </c>
      <c r="BE195" s="2208" t="str">
        <f t="shared" ref="BE195:BE206" si="28">K49</f>
        <v>December 2017</v>
      </c>
      <c r="BF195" s="1603"/>
      <c r="BG195" s="1603"/>
      <c r="BH195" s="1610"/>
      <c r="BI195" s="1603"/>
      <c r="BJ195" s="1718">
        <v>2958880</v>
      </c>
      <c r="BK195" s="1603"/>
    </row>
    <row r="196" spans="50:63">
      <c r="AX196" s="2157"/>
      <c r="BD196" s="3275">
        <v>3</v>
      </c>
      <c r="BE196" s="2208" t="str">
        <f t="shared" si="28"/>
        <v>January 2018</v>
      </c>
      <c r="BF196" s="1603"/>
      <c r="BG196" s="1603"/>
      <c r="BH196" s="1610"/>
      <c r="BI196" s="1603"/>
      <c r="BJ196" s="1718">
        <v>2046089</v>
      </c>
      <c r="BK196" s="1603"/>
    </row>
    <row r="197" spans="50:63">
      <c r="AX197" s="2157"/>
      <c r="BD197" s="3275">
        <v>4</v>
      </c>
      <c r="BE197" s="2208" t="str">
        <f t="shared" si="28"/>
        <v>February</v>
      </c>
      <c r="BF197" s="1603"/>
      <c r="BG197" s="1603"/>
      <c r="BH197" s="1610"/>
      <c r="BI197" s="1603"/>
      <c r="BJ197" s="1718">
        <v>1490689</v>
      </c>
      <c r="BK197" s="1603"/>
    </row>
    <row r="198" spans="50:63">
      <c r="AX198" s="2157"/>
      <c r="BD198" s="3275">
        <v>5</v>
      </c>
      <c r="BE198" s="2208" t="str">
        <f t="shared" si="28"/>
        <v>March</v>
      </c>
      <c r="BF198" s="1603"/>
      <c r="BG198" s="1603"/>
      <c r="BH198" s="1610"/>
      <c r="BI198" s="1603"/>
      <c r="BJ198" s="1718">
        <v>970442</v>
      </c>
      <c r="BK198" s="1603"/>
    </row>
    <row r="199" spans="50:63">
      <c r="AX199" s="2157"/>
      <c r="BD199" s="3275">
        <v>6</v>
      </c>
      <c r="BE199" s="2208" t="str">
        <f t="shared" si="28"/>
        <v>April</v>
      </c>
      <c r="BF199" s="1603"/>
      <c r="BG199" s="1603"/>
      <c r="BH199" s="1610"/>
      <c r="BI199" s="1603"/>
      <c r="BJ199" s="1718">
        <v>995417</v>
      </c>
      <c r="BK199" s="1603"/>
    </row>
    <row r="200" spans="50:63">
      <c r="AX200" s="2157"/>
      <c r="BD200" s="3275">
        <v>7</v>
      </c>
      <c r="BE200" s="2208" t="str">
        <f t="shared" si="28"/>
        <v>May</v>
      </c>
      <c r="BF200" s="1603"/>
      <c r="BG200" s="1603"/>
      <c r="BH200" s="1610"/>
      <c r="BI200" s="1603"/>
      <c r="BJ200" s="1718">
        <v>1802411</v>
      </c>
      <c r="BK200" s="1603"/>
    </row>
    <row r="201" spans="50:63">
      <c r="AX201" s="2157"/>
      <c r="BD201" s="3275">
        <v>8</v>
      </c>
      <c r="BE201" s="2208" t="str">
        <f t="shared" si="28"/>
        <v>June</v>
      </c>
      <c r="BF201" s="1603"/>
      <c r="BG201" s="1603"/>
      <c r="BH201" s="1610"/>
      <c r="BI201" s="1603"/>
      <c r="BJ201" s="1892">
        <f>$BJ$195</f>
        <v>2958880</v>
      </c>
      <c r="BK201" s="1603"/>
    </row>
    <row r="202" spans="50:63">
      <c r="AX202" s="2157"/>
      <c r="BD202" s="3275">
        <v>9</v>
      </c>
      <c r="BE202" s="2208" t="str">
        <f t="shared" si="28"/>
        <v>July</v>
      </c>
      <c r="BF202" s="1603"/>
      <c r="BG202" s="1603"/>
      <c r="BH202" s="1610"/>
      <c r="BI202" s="1603"/>
      <c r="BJ202" s="1892">
        <f t="shared" ref="BJ202:BJ206" si="29">$BJ$195</f>
        <v>2958880</v>
      </c>
      <c r="BK202" s="1603"/>
    </row>
    <row r="203" spans="50:63">
      <c r="AX203" s="2157"/>
      <c r="BD203" s="3275">
        <v>10</v>
      </c>
      <c r="BE203" s="2208" t="str">
        <f t="shared" si="28"/>
        <v>August</v>
      </c>
      <c r="BF203" s="1603"/>
      <c r="BG203" s="1603"/>
      <c r="BH203" s="1610"/>
      <c r="BI203" s="1603"/>
      <c r="BJ203" s="1892">
        <f t="shared" si="29"/>
        <v>2958880</v>
      </c>
      <c r="BK203" s="1603"/>
    </row>
    <row r="204" spans="50:63">
      <c r="AX204" s="2157"/>
      <c r="BD204" s="3275">
        <v>11</v>
      </c>
      <c r="BE204" s="2208" t="str">
        <f t="shared" si="28"/>
        <v>September</v>
      </c>
      <c r="BF204" s="1603"/>
      <c r="BG204" s="1603"/>
      <c r="BH204" s="1610"/>
      <c r="BI204" s="1603"/>
      <c r="BJ204" s="1892">
        <f t="shared" si="29"/>
        <v>2958880</v>
      </c>
      <c r="BK204" s="1603"/>
    </row>
    <row r="205" spans="50:63">
      <c r="AX205" s="2157"/>
      <c r="BD205" s="3275">
        <v>12</v>
      </c>
      <c r="BE205" s="2208" t="str">
        <f t="shared" si="28"/>
        <v>October</v>
      </c>
      <c r="BF205" s="1603"/>
      <c r="BG205" s="1612"/>
      <c r="BH205" s="2209"/>
      <c r="BI205" s="1612"/>
      <c r="BJ205" s="1892">
        <f t="shared" si="29"/>
        <v>2958880</v>
      </c>
      <c r="BK205" s="1603"/>
    </row>
    <row r="206" spans="50:63">
      <c r="AX206" s="2157"/>
      <c r="BD206" s="3275">
        <v>13</v>
      </c>
      <c r="BE206" s="2208" t="str">
        <f t="shared" si="28"/>
        <v>November</v>
      </c>
      <c r="BF206" s="1603"/>
      <c r="BG206" s="1612"/>
      <c r="BH206" s="2209"/>
      <c r="BI206" s="1612"/>
      <c r="BJ206" s="1892">
        <f t="shared" si="29"/>
        <v>2958880</v>
      </c>
      <c r="BK206" s="1603"/>
    </row>
    <row r="207" spans="50:63">
      <c r="AX207" s="2157"/>
      <c r="BD207" s="3275">
        <v>14</v>
      </c>
      <c r="BE207" s="2208"/>
      <c r="BF207" s="1603"/>
      <c r="BG207" s="1612"/>
      <c r="BH207" s="2209"/>
      <c r="BI207" s="1612"/>
      <c r="BJ207" s="1701"/>
      <c r="BK207" s="1603"/>
    </row>
    <row r="208" spans="50:63">
      <c r="AX208" s="2157"/>
      <c r="BD208" s="3275">
        <v>15</v>
      </c>
      <c r="BE208" s="2254" t="s">
        <v>1234</v>
      </c>
      <c r="BF208" s="1603"/>
      <c r="BG208" s="1603"/>
      <c r="BH208" s="1610"/>
      <c r="BI208" s="1603"/>
      <c r="BJ208" s="1596"/>
      <c r="BK208" s="1603"/>
    </row>
    <row r="209" spans="50:63">
      <c r="AX209" s="2157"/>
      <c r="BD209" s="3275">
        <v>16</v>
      </c>
      <c r="BE209" s="2210" t="str">
        <f t="shared" ref="BE209:BE221" si="30">K63</f>
        <v>March 2019</v>
      </c>
      <c r="BF209" s="1603"/>
      <c r="BG209" s="1612"/>
      <c r="BH209" s="2209"/>
      <c r="BI209" s="1612"/>
      <c r="BJ209" s="1892">
        <f t="shared" ref="BJ209:BJ221" si="31">$BJ$195</f>
        <v>2958880</v>
      </c>
      <c r="BK209" s="1603"/>
    </row>
    <row r="210" spans="50:63">
      <c r="AX210" s="2157"/>
      <c r="BD210" s="3275">
        <v>17</v>
      </c>
      <c r="BE210" s="2210" t="str">
        <f t="shared" si="30"/>
        <v>April</v>
      </c>
      <c r="BF210" s="1603"/>
      <c r="BG210" s="1612"/>
      <c r="BH210" s="2209"/>
      <c r="BI210" s="1612"/>
      <c r="BJ210" s="1892">
        <f t="shared" si="31"/>
        <v>2958880</v>
      </c>
      <c r="BK210" s="1603"/>
    </row>
    <row r="211" spans="50:63">
      <c r="AX211" s="2157"/>
      <c r="BD211" s="3275">
        <v>18</v>
      </c>
      <c r="BE211" s="2210" t="str">
        <f t="shared" si="30"/>
        <v>May</v>
      </c>
      <c r="BF211" s="1603"/>
      <c r="BG211" s="1612"/>
      <c r="BH211" s="2209"/>
      <c r="BI211" s="1612"/>
      <c r="BJ211" s="1892">
        <f t="shared" si="31"/>
        <v>2958880</v>
      </c>
      <c r="BK211" s="1603"/>
    </row>
    <row r="212" spans="50:63">
      <c r="AX212" s="2157"/>
      <c r="BD212" s="3275">
        <v>19</v>
      </c>
      <c r="BE212" s="2210" t="str">
        <f t="shared" si="30"/>
        <v>June</v>
      </c>
      <c r="BF212" s="1603"/>
      <c r="BG212" s="1612"/>
      <c r="BH212" s="2209"/>
      <c r="BI212" s="1612"/>
      <c r="BJ212" s="1892">
        <f t="shared" si="31"/>
        <v>2958880</v>
      </c>
      <c r="BK212" s="1603"/>
    </row>
    <row r="213" spans="50:63">
      <c r="AX213" s="2157"/>
      <c r="BD213" s="3275">
        <v>20</v>
      </c>
      <c r="BE213" s="2210" t="str">
        <f t="shared" si="30"/>
        <v>July</v>
      </c>
      <c r="BF213" s="1603"/>
      <c r="BG213" s="1612"/>
      <c r="BH213" s="2209"/>
      <c r="BI213" s="1612"/>
      <c r="BJ213" s="1892">
        <f t="shared" si="31"/>
        <v>2958880</v>
      </c>
      <c r="BK213" s="1603"/>
    </row>
    <row r="214" spans="50:63">
      <c r="AX214" s="2157"/>
      <c r="BD214" s="3275">
        <v>21</v>
      </c>
      <c r="BE214" s="2210" t="str">
        <f t="shared" si="30"/>
        <v>August</v>
      </c>
      <c r="BF214" s="1603"/>
      <c r="BG214" s="1612"/>
      <c r="BH214" s="2209"/>
      <c r="BI214" s="1612"/>
      <c r="BJ214" s="1892">
        <f t="shared" si="31"/>
        <v>2958880</v>
      </c>
      <c r="BK214" s="1603"/>
    </row>
    <row r="215" spans="50:63">
      <c r="AX215" s="2157"/>
      <c r="BD215" s="3275">
        <v>22</v>
      </c>
      <c r="BE215" s="2210" t="str">
        <f t="shared" si="30"/>
        <v>September</v>
      </c>
      <c r="BF215" s="1603"/>
      <c r="BG215" s="1612"/>
      <c r="BH215" s="2209"/>
      <c r="BI215" s="1612"/>
      <c r="BJ215" s="1892">
        <f t="shared" si="31"/>
        <v>2958880</v>
      </c>
      <c r="BK215" s="1603"/>
    </row>
    <row r="216" spans="50:63">
      <c r="AX216" s="2157"/>
      <c r="BD216" s="3275">
        <v>23</v>
      </c>
      <c r="BE216" s="2210" t="str">
        <f t="shared" si="30"/>
        <v>October</v>
      </c>
      <c r="BF216" s="1603"/>
      <c r="BG216" s="1612"/>
      <c r="BH216" s="2209"/>
      <c r="BI216" s="1612"/>
      <c r="BJ216" s="1892">
        <f t="shared" si="31"/>
        <v>2958880</v>
      </c>
      <c r="BK216" s="1603"/>
    </row>
    <row r="217" spans="50:63">
      <c r="AX217" s="2157"/>
      <c r="BD217" s="3275">
        <v>24</v>
      </c>
      <c r="BE217" s="2210" t="str">
        <f t="shared" si="30"/>
        <v>November</v>
      </c>
      <c r="BF217" s="1603"/>
      <c r="BG217" s="1612"/>
      <c r="BH217" s="2209"/>
      <c r="BI217" s="1612"/>
      <c r="BJ217" s="1892">
        <f t="shared" si="31"/>
        <v>2958880</v>
      </c>
      <c r="BK217" s="1603"/>
    </row>
    <row r="218" spans="50:63">
      <c r="AX218" s="2157"/>
      <c r="BD218" s="3275">
        <v>25</v>
      </c>
      <c r="BE218" s="2210" t="str">
        <f t="shared" si="30"/>
        <v>December</v>
      </c>
      <c r="BF218" s="1603"/>
      <c r="BG218" s="1612"/>
      <c r="BH218" s="2209"/>
      <c r="BI218" s="1612"/>
      <c r="BJ218" s="1892">
        <f t="shared" si="31"/>
        <v>2958880</v>
      </c>
      <c r="BK218" s="1603"/>
    </row>
    <row r="219" spans="50:63">
      <c r="AX219" s="2157"/>
      <c r="BD219" s="3275">
        <v>26</v>
      </c>
      <c r="BE219" s="2210" t="str">
        <f t="shared" si="30"/>
        <v>January 2020</v>
      </c>
      <c r="BF219" s="1603"/>
      <c r="BG219" s="1612"/>
      <c r="BH219" s="2209"/>
      <c r="BI219" s="1612"/>
      <c r="BJ219" s="1892">
        <f t="shared" si="31"/>
        <v>2958880</v>
      </c>
      <c r="BK219" s="1603"/>
    </row>
    <row r="220" spans="50:63">
      <c r="AX220" s="2157"/>
      <c r="BD220" s="3275">
        <v>27</v>
      </c>
      <c r="BE220" s="2210" t="str">
        <f t="shared" si="30"/>
        <v>February</v>
      </c>
      <c r="BF220" s="1603"/>
      <c r="BG220" s="1612"/>
      <c r="BH220" s="2209"/>
      <c r="BI220" s="1612"/>
      <c r="BJ220" s="1892">
        <f t="shared" si="31"/>
        <v>2958880</v>
      </c>
      <c r="BK220" s="1603"/>
    </row>
    <row r="221" spans="50:63">
      <c r="AX221" s="2157"/>
      <c r="BD221" s="3275">
        <v>28</v>
      </c>
      <c r="BE221" s="2210" t="str">
        <f t="shared" si="30"/>
        <v>March</v>
      </c>
      <c r="BF221" s="1603"/>
      <c r="BG221" s="1612"/>
      <c r="BH221" s="2209"/>
      <c r="BI221" s="1612"/>
      <c r="BJ221" s="1892">
        <f t="shared" si="31"/>
        <v>2958880</v>
      </c>
      <c r="BK221" s="1616"/>
    </row>
    <row r="222" spans="50:63" ht="13.8" thickBot="1">
      <c r="AX222" s="2157"/>
      <c r="BD222" s="3275">
        <v>29</v>
      </c>
      <c r="BE222" s="3275" t="s">
        <v>2153</v>
      </c>
      <c r="BF222" s="1603"/>
      <c r="BG222" s="1603"/>
      <c r="BH222" s="1619"/>
      <c r="BI222" s="1614"/>
      <c r="BJ222" s="2172">
        <f>SUM(BJ209:BJ221)+1</f>
        <v>38465441</v>
      </c>
      <c r="BK222" s="1616"/>
    </row>
    <row r="223" spans="50:63" ht="13.8" thickTop="1">
      <c r="AX223" s="2157"/>
      <c r="BD223" s="3275">
        <v>30</v>
      </c>
      <c r="BE223" s="1603"/>
      <c r="BF223" s="1603"/>
      <c r="BG223" s="1603"/>
      <c r="BH223" s="2211"/>
      <c r="BI223" s="2212"/>
      <c r="BJ223" s="2212"/>
      <c r="BK223" s="1616"/>
    </row>
    <row r="224" spans="50:63" ht="13.8" thickBot="1">
      <c r="AX224" s="2157"/>
      <c r="BD224" s="3275">
        <v>31</v>
      </c>
      <c r="BE224" s="1616" t="s">
        <v>2107</v>
      </c>
      <c r="BF224" s="1603"/>
      <c r="BG224" s="1603"/>
      <c r="BH224" s="1619"/>
      <c r="BI224" s="1614"/>
      <c r="BJ224" s="1620">
        <f>BJ222/13</f>
        <v>2958880.076923077</v>
      </c>
      <c r="BK224" s="1616"/>
    </row>
    <row r="225" spans="50:74" ht="13.8" thickTop="1">
      <c r="AX225" s="2157"/>
      <c r="BD225" s="3275"/>
      <c r="BE225" s="2206"/>
      <c r="BF225" s="2206"/>
      <c r="BG225" s="1603"/>
      <c r="BH225" s="2211"/>
      <c r="BI225" s="2212"/>
      <c r="BJ225" s="2212"/>
      <c r="BK225" s="1616"/>
    </row>
    <row r="226" spans="50:74">
      <c r="AX226" s="2157"/>
      <c r="BD226" s="3275"/>
      <c r="BE226" s="2206"/>
      <c r="BF226" s="2206"/>
      <c r="BG226" s="1603"/>
      <c r="BH226" s="1610"/>
      <c r="BI226" s="1603"/>
      <c r="BJ226" s="3275"/>
      <c r="BK226" s="1616"/>
    </row>
    <row r="227" spans="50:74">
      <c r="AX227" s="2157"/>
      <c r="BD227" s="3275"/>
      <c r="BE227" s="2206"/>
      <c r="BF227" s="2206"/>
      <c r="BG227" s="1614"/>
      <c r="BH227" s="1614"/>
      <c r="BI227" s="1614"/>
      <c r="BJ227" s="1604" t="s">
        <v>223</v>
      </c>
      <c r="BK227" s="1616"/>
    </row>
    <row r="228" spans="50:74">
      <c r="AX228" s="2157"/>
      <c r="BD228" s="3275"/>
      <c r="BE228" s="2206"/>
      <c r="BF228" s="2206"/>
      <c r="BG228" s="2213"/>
      <c r="BH228" s="1612"/>
      <c r="BI228" s="1612"/>
      <c r="BJ228" s="1614"/>
      <c r="BK228" s="2214"/>
    </row>
    <row r="229" spans="50:74">
      <c r="AX229" s="2157"/>
      <c r="BD229" s="3275"/>
      <c r="BE229" s="1603"/>
      <c r="BF229" s="1603"/>
      <c r="BG229" s="2215"/>
      <c r="BH229" s="1612"/>
      <c r="BI229" s="1612"/>
      <c r="BJ229" s="1614"/>
      <c r="BK229" s="1603"/>
    </row>
    <row r="230" spans="50:74">
      <c r="AX230" s="2157"/>
      <c r="BD230" s="3275"/>
      <c r="BE230" s="1603" t="s">
        <v>2158</v>
      </c>
      <c r="BF230" s="1603"/>
      <c r="BG230" s="1603"/>
      <c r="BH230" s="1603"/>
      <c r="BI230" s="1603"/>
      <c r="BJ230" s="1603"/>
      <c r="BK230" s="1603"/>
    </row>
    <row r="231" spans="50:74">
      <c r="AX231" s="2157"/>
      <c r="BD231" s="1898"/>
      <c r="BE231" s="1603"/>
      <c r="BF231" s="1603"/>
      <c r="BG231" s="1603"/>
      <c r="BH231" s="1603"/>
      <c r="BI231" s="1603"/>
      <c r="BJ231" s="1603"/>
      <c r="BK231" s="1603"/>
    </row>
    <row r="232" spans="50:74">
      <c r="AX232" s="2157"/>
      <c r="BD232" s="1898"/>
      <c r="BE232" s="1603"/>
      <c r="BF232" s="1603"/>
      <c r="BG232" s="1603"/>
      <c r="BH232" s="1603"/>
      <c r="BI232" s="1603"/>
      <c r="BJ232" s="1603"/>
      <c r="BK232" s="1603"/>
    </row>
    <row r="233" spans="50:74">
      <c r="AX233" s="2157"/>
      <c r="BD233" s="1898"/>
      <c r="BE233" s="1616"/>
      <c r="BF233" s="1603"/>
      <c r="BG233" s="1603"/>
      <c r="BH233" s="1603"/>
      <c r="BI233" s="1603"/>
      <c r="BJ233" s="1603"/>
      <c r="BK233" s="1603"/>
    </row>
    <row r="234" spans="50:74">
      <c r="AX234" s="2157"/>
      <c r="BD234" s="1616"/>
      <c r="BE234" s="1603"/>
      <c r="BF234" s="1603"/>
      <c r="BG234" s="1603"/>
      <c r="BH234" s="1603"/>
      <c r="BI234" s="1603"/>
      <c r="BJ234" s="1603"/>
      <c r="BK234" s="1603"/>
      <c r="BN234" s="1616" t="str">
        <f>COMPANY</f>
        <v>DUKE ENERGY KENTUCKY, INC.</v>
      </c>
      <c r="BO234" s="2206"/>
      <c r="BP234" s="2206"/>
      <c r="BQ234" s="1603"/>
      <c r="BV234" s="1616" t="s">
        <v>2159</v>
      </c>
    </row>
    <row r="235" spans="50:74">
      <c r="AX235" s="2157"/>
      <c r="BN235" s="1616" t="str">
        <f>DEPT</f>
        <v>GAS DEPARTMENT</v>
      </c>
      <c r="BO235" s="2206"/>
      <c r="BP235" s="2206"/>
      <c r="BQ235" s="1614"/>
      <c r="BV235" s="2137" t="s">
        <v>2663</v>
      </c>
    </row>
    <row r="236" spans="50:74">
      <c r="AX236" s="2157"/>
      <c r="BN236" s="1898" t="str">
        <f>CASE</f>
        <v>CASE NO. 2018-00261</v>
      </c>
      <c r="BO236" s="2206"/>
      <c r="BP236" s="2206"/>
      <c r="BQ236" s="1614"/>
      <c r="BV236" s="1898" t="s">
        <v>566</v>
      </c>
    </row>
    <row r="237" spans="50:74">
      <c r="AX237" s="2157"/>
      <c r="BN237" s="1721" t="s">
        <v>2543</v>
      </c>
      <c r="BO237" s="2206"/>
      <c r="BP237" s="2206"/>
      <c r="BQ237" s="1614"/>
      <c r="BV237" s="1603" t="str">
        <f>_WIT9</f>
        <v>R. H. PRATT</v>
      </c>
    </row>
    <row r="238" spans="50:74">
      <c r="AX238" s="2157"/>
      <c r="BN238" s="1721" t="s">
        <v>2542</v>
      </c>
      <c r="BO238" s="2206"/>
      <c r="BP238" s="2206"/>
      <c r="BQ238" s="1614"/>
      <c r="BR238" s="1603"/>
    </row>
    <row r="239" spans="50:74">
      <c r="AX239" s="2157"/>
      <c r="BN239" s="1603"/>
      <c r="BO239" s="2206"/>
      <c r="BP239" s="2206"/>
      <c r="BQ239" s="1614"/>
      <c r="BR239" s="1612"/>
    </row>
    <row r="240" spans="50:74">
      <c r="AX240" s="2157"/>
      <c r="BN240" s="1603"/>
      <c r="BO240" s="1603"/>
      <c r="BP240" s="1603"/>
      <c r="BQ240" s="1603"/>
      <c r="BR240" s="1614"/>
    </row>
    <row r="241" spans="50:75">
      <c r="AX241" s="2157"/>
      <c r="BN241" s="3275" t="s">
        <v>567</v>
      </c>
      <c r="BO241" s="1603"/>
      <c r="BP241" s="1603"/>
      <c r="BQ241" s="2167" t="s">
        <v>2160</v>
      </c>
      <c r="BR241" s="2167" t="s">
        <v>2160</v>
      </c>
      <c r="BS241" s="2167" t="s">
        <v>2160</v>
      </c>
      <c r="BT241" s="2167" t="s">
        <v>2160</v>
      </c>
      <c r="BU241" s="2167" t="s">
        <v>2160</v>
      </c>
      <c r="BV241" s="2167" t="s">
        <v>2160</v>
      </c>
      <c r="BW241" s="2167" t="s">
        <v>2160</v>
      </c>
    </row>
    <row r="242" spans="50:75">
      <c r="AX242" s="2157"/>
      <c r="BN242" s="2164" t="s">
        <v>766</v>
      </c>
      <c r="BO242" s="2164" t="s">
        <v>2156</v>
      </c>
      <c r="BP242" s="1603"/>
      <c r="BQ242" s="2164" t="s">
        <v>1745</v>
      </c>
      <c r="BR242" s="2164" t="s">
        <v>1746</v>
      </c>
      <c r="BS242" s="2164" t="s">
        <v>1747</v>
      </c>
      <c r="BT242" s="2164" t="s">
        <v>1748</v>
      </c>
      <c r="BU242" s="2164" t="s">
        <v>2544</v>
      </c>
      <c r="BV242" s="2164" t="s">
        <v>1749</v>
      </c>
      <c r="BW242" s="2164" t="s">
        <v>1750</v>
      </c>
    </row>
    <row r="243" spans="50:75">
      <c r="AX243" s="2157"/>
      <c r="BN243" s="1616"/>
      <c r="BO243" s="1603"/>
      <c r="BP243" s="1603"/>
      <c r="BQ243" s="3275" t="s">
        <v>695</v>
      </c>
      <c r="BR243" s="3275" t="s">
        <v>695</v>
      </c>
      <c r="BS243" s="3275" t="s">
        <v>695</v>
      </c>
      <c r="BT243" s="3275" t="s">
        <v>695</v>
      </c>
      <c r="BU243" s="3275" t="s">
        <v>695</v>
      </c>
      <c r="BV243" s="3275" t="s">
        <v>695</v>
      </c>
      <c r="BW243" s="3275" t="s">
        <v>695</v>
      </c>
    </row>
    <row r="244" spans="50:75">
      <c r="AX244" s="2157"/>
      <c r="BN244" s="3275">
        <v>1</v>
      </c>
      <c r="BO244" s="2254" t="s">
        <v>2000</v>
      </c>
      <c r="BP244" s="1603"/>
      <c r="BQ244" s="1603"/>
    </row>
    <row r="245" spans="50:75">
      <c r="AX245" s="2157"/>
      <c r="BN245" s="3275">
        <f>1+BN244</f>
        <v>2</v>
      </c>
      <c r="BO245" s="2208" t="str">
        <f t="shared" ref="BO245:BO254" si="32">BE195</f>
        <v>December 2017</v>
      </c>
      <c r="BP245" s="1891"/>
      <c r="BQ245" s="1718">
        <v>296279</v>
      </c>
      <c r="BR245" s="1718">
        <v>16584792</v>
      </c>
      <c r="BS245" s="1718">
        <v>747531</v>
      </c>
      <c r="BT245" s="1718">
        <v>16187</v>
      </c>
      <c r="BU245" s="1718">
        <v>-30000</v>
      </c>
      <c r="BV245" s="1718">
        <v>83075</v>
      </c>
      <c r="BW245" s="1718">
        <v>783483</v>
      </c>
    </row>
    <row r="246" spans="50:75">
      <c r="AX246" s="2157"/>
      <c r="BN246" s="3275">
        <f t="shared" ref="BN246:BN274" si="33">1+BN245</f>
        <v>3</v>
      </c>
      <c r="BO246" s="2208" t="str">
        <f t="shared" si="32"/>
        <v>January 2018</v>
      </c>
      <c r="BP246" s="1891"/>
      <c r="BQ246" s="1718">
        <v>300099</v>
      </c>
      <c r="BR246" s="1718">
        <v>16582501</v>
      </c>
      <c r="BS246" s="1718">
        <v>935946</v>
      </c>
      <c r="BT246" s="1718">
        <v>19595</v>
      </c>
      <c r="BU246" s="1718">
        <v>-30000</v>
      </c>
      <c r="BV246" s="1718">
        <v>94429</v>
      </c>
      <c r="BW246" s="1718">
        <v>615122</v>
      </c>
    </row>
    <row r="247" spans="50:75">
      <c r="AX247" s="2157"/>
      <c r="BN247" s="3275">
        <f t="shared" si="33"/>
        <v>4</v>
      </c>
      <c r="BO247" s="2208" t="str">
        <f t="shared" si="32"/>
        <v>February</v>
      </c>
      <c r="BP247" s="1891"/>
      <c r="BQ247" s="1718">
        <v>345143</v>
      </c>
      <c r="BR247" s="1718">
        <v>16722229</v>
      </c>
      <c r="BS247" s="1718">
        <v>830099</v>
      </c>
      <c r="BT247" s="1718">
        <v>19595</v>
      </c>
      <c r="BU247" s="1718">
        <v>-30000</v>
      </c>
      <c r="BV247" s="1718">
        <v>67056</v>
      </c>
      <c r="BW247" s="1718">
        <v>643608</v>
      </c>
    </row>
    <row r="248" spans="50:75">
      <c r="AX248" s="2157"/>
      <c r="BN248" s="3275">
        <f t="shared" si="33"/>
        <v>5</v>
      </c>
      <c r="BO248" s="2208" t="str">
        <f t="shared" si="32"/>
        <v>March</v>
      </c>
      <c r="BP248" s="1891"/>
      <c r="BQ248" s="1718">
        <v>313445</v>
      </c>
      <c r="BR248" s="1718">
        <v>17000536</v>
      </c>
      <c r="BS248" s="1718">
        <v>779737</v>
      </c>
      <c r="BT248" s="1718">
        <v>19751</v>
      </c>
      <c r="BU248" s="1718">
        <v>-30000</v>
      </c>
      <c r="BV248" s="1718">
        <v>73596</v>
      </c>
      <c r="BW248" s="1718">
        <v>459596</v>
      </c>
    </row>
    <row r="249" spans="50:75">
      <c r="AX249" s="2157"/>
      <c r="BN249" s="3275">
        <f t="shared" si="33"/>
        <v>6</v>
      </c>
      <c r="BO249" s="2208" t="str">
        <f t="shared" si="32"/>
        <v>April</v>
      </c>
      <c r="BP249" s="1891"/>
      <c r="BQ249" s="1718">
        <v>293390</v>
      </c>
      <c r="BR249" s="1718">
        <v>16549028</v>
      </c>
      <c r="BS249" s="1718">
        <v>779737</v>
      </c>
      <c r="BT249" s="1718">
        <v>19817</v>
      </c>
      <c r="BU249" s="1718">
        <v>-30000</v>
      </c>
      <c r="BV249" s="1718">
        <v>88826</v>
      </c>
      <c r="BW249" s="1718">
        <v>396250</v>
      </c>
    </row>
    <row r="250" spans="50:75">
      <c r="AX250" s="2157"/>
      <c r="BN250" s="3275">
        <f t="shared" si="33"/>
        <v>7</v>
      </c>
      <c r="BO250" s="2208" t="str">
        <f t="shared" si="32"/>
        <v>May</v>
      </c>
      <c r="BP250" s="1891"/>
      <c r="BQ250" s="1718">
        <v>277986</v>
      </c>
      <c r="BR250" s="1718">
        <v>16337472</v>
      </c>
      <c r="BS250" s="1718">
        <v>779737</v>
      </c>
      <c r="BT250" s="1718">
        <v>19817</v>
      </c>
      <c r="BU250" s="1718">
        <v>-30000</v>
      </c>
      <c r="BV250" s="1718">
        <v>31082</v>
      </c>
      <c r="BW250" s="1718">
        <v>132053</v>
      </c>
    </row>
    <row r="251" spans="50:75">
      <c r="AX251" s="2157"/>
      <c r="BN251" s="3275">
        <f t="shared" si="33"/>
        <v>8</v>
      </c>
      <c r="BO251" s="2208" t="str">
        <f t="shared" si="32"/>
        <v>June</v>
      </c>
      <c r="BP251" s="1891"/>
      <c r="BQ251" s="1892">
        <f t="shared" ref="BQ251:BW251" si="34">BQ245</f>
        <v>296279</v>
      </c>
      <c r="BR251" s="1892">
        <f t="shared" si="34"/>
        <v>16584792</v>
      </c>
      <c r="BS251" s="1892">
        <f t="shared" si="34"/>
        <v>747531</v>
      </c>
      <c r="BT251" s="1892">
        <f t="shared" si="34"/>
        <v>16187</v>
      </c>
      <c r="BU251" s="1892">
        <f t="shared" si="34"/>
        <v>-30000</v>
      </c>
      <c r="BV251" s="1892">
        <f t="shared" si="34"/>
        <v>83075</v>
      </c>
      <c r="BW251" s="1892">
        <f t="shared" si="34"/>
        <v>783483</v>
      </c>
    </row>
    <row r="252" spans="50:75">
      <c r="AX252" s="2157"/>
      <c r="BN252" s="3275">
        <f t="shared" si="33"/>
        <v>9</v>
      </c>
      <c r="BO252" s="2208" t="str">
        <f t="shared" si="32"/>
        <v>July</v>
      </c>
      <c r="BP252" s="1891"/>
      <c r="BQ252" s="1892">
        <f t="shared" ref="BQ252:BW252" si="35">BQ245</f>
        <v>296279</v>
      </c>
      <c r="BR252" s="1892">
        <f t="shared" si="35"/>
        <v>16584792</v>
      </c>
      <c r="BS252" s="1892">
        <f t="shared" si="35"/>
        <v>747531</v>
      </c>
      <c r="BT252" s="1892">
        <f t="shared" si="35"/>
        <v>16187</v>
      </c>
      <c r="BU252" s="1892">
        <f t="shared" si="35"/>
        <v>-30000</v>
      </c>
      <c r="BV252" s="1892">
        <f t="shared" si="35"/>
        <v>83075</v>
      </c>
      <c r="BW252" s="1892">
        <f t="shared" si="35"/>
        <v>783483</v>
      </c>
    </row>
    <row r="253" spans="50:75">
      <c r="AX253" s="2157"/>
      <c r="BN253" s="3275">
        <f t="shared" si="33"/>
        <v>10</v>
      </c>
      <c r="BO253" s="2208" t="str">
        <f t="shared" si="32"/>
        <v>August</v>
      </c>
      <c r="BP253" s="1891"/>
      <c r="BQ253" s="1892">
        <f t="shared" ref="BQ253:BW253" si="36">BQ245</f>
        <v>296279</v>
      </c>
      <c r="BR253" s="1892">
        <f t="shared" si="36"/>
        <v>16584792</v>
      </c>
      <c r="BS253" s="1892">
        <f t="shared" si="36"/>
        <v>747531</v>
      </c>
      <c r="BT253" s="1892">
        <f t="shared" si="36"/>
        <v>16187</v>
      </c>
      <c r="BU253" s="1892">
        <f t="shared" si="36"/>
        <v>-30000</v>
      </c>
      <c r="BV253" s="1892">
        <f t="shared" si="36"/>
        <v>83075</v>
      </c>
      <c r="BW253" s="1892">
        <f t="shared" si="36"/>
        <v>783483</v>
      </c>
    </row>
    <row r="254" spans="50:75">
      <c r="AX254" s="2157"/>
      <c r="BN254" s="3275">
        <f t="shared" si="33"/>
        <v>11</v>
      </c>
      <c r="BO254" s="2208" t="str">
        <f t="shared" si="32"/>
        <v>September</v>
      </c>
      <c r="BP254" s="1891"/>
      <c r="BQ254" s="1892">
        <f t="shared" ref="BQ254:BW254" si="37">BQ245</f>
        <v>296279</v>
      </c>
      <c r="BR254" s="1892">
        <f t="shared" si="37"/>
        <v>16584792</v>
      </c>
      <c r="BS254" s="1892">
        <f t="shared" si="37"/>
        <v>747531</v>
      </c>
      <c r="BT254" s="1892">
        <f t="shared" si="37"/>
        <v>16187</v>
      </c>
      <c r="BU254" s="1892">
        <f t="shared" si="37"/>
        <v>-30000</v>
      </c>
      <c r="BV254" s="1892">
        <f t="shared" si="37"/>
        <v>83075</v>
      </c>
      <c r="BW254" s="1892">
        <f t="shared" si="37"/>
        <v>783483</v>
      </c>
    </row>
    <row r="255" spans="50:75">
      <c r="AX255" s="2157"/>
      <c r="BN255" s="3275">
        <f t="shared" si="33"/>
        <v>12</v>
      </c>
      <c r="BO255" s="2208" t="str">
        <f>BE205</f>
        <v>October</v>
      </c>
      <c r="BP255" s="1891"/>
      <c r="BQ255" s="1892">
        <f t="shared" ref="BQ255:BW255" si="38">BQ245</f>
        <v>296279</v>
      </c>
      <c r="BR255" s="1892">
        <f t="shared" si="38"/>
        <v>16584792</v>
      </c>
      <c r="BS255" s="1892">
        <f t="shared" si="38"/>
        <v>747531</v>
      </c>
      <c r="BT255" s="1892">
        <f t="shared" si="38"/>
        <v>16187</v>
      </c>
      <c r="BU255" s="1892">
        <f t="shared" si="38"/>
        <v>-30000</v>
      </c>
      <c r="BV255" s="1892">
        <f t="shared" si="38"/>
        <v>83075</v>
      </c>
      <c r="BW255" s="1892">
        <f t="shared" si="38"/>
        <v>783483</v>
      </c>
    </row>
    <row r="256" spans="50:75">
      <c r="AX256" s="2157"/>
      <c r="BN256" s="3275">
        <f t="shared" si="33"/>
        <v>13</v>
      </c>
      <c r="BO256" s="2208" t="str">
        <f>BE206</f>
        <v>November</v>
      </c>
      <c r="BP256" s="1891"/>
      <c r="BQ256" s="1892">
        <f t="shared" ref="BQ256:BW256" si="39">BQ245</f>
        <v>296279</v>
      </c>
      <c r="BR256" s="1892">
        <f t="shared" si="39"/>
        <v>16584792</v>
      </c>
      <c r="BS256" s="1892">
        <f t="shared" si="39"/>
        <v>747531</v>
      </c>
      <c r="BT256" s="1892">
        <f t="shared" si="39"/>
        <v>16187</v>
      </c>
      <c r="BU256" s="1892">
        <f t="shared" si="39"/>
        <v>-30000</v>
      </c>
      <c r="BV256" s="1892">
        <f t="shared" si="39"/>
        <v>83075</v>
      </c>
      <c r="BW256" s="1892">
        <f t="shared" si="39"/>
        <v>783483</v>
      </c>
    </row>
    <row r="257" spans="50:75">
      <c r="AX257" s="2157"/>
      <c r="BN257" s="3275">
        <f t="shared" si="33"/>
        <v>14</v>
      </c>
      <c r="BO257" s="1603"/>
      <c r="BP257" s="1603"/>
      <c r="BQ257" s="1723"/>
      <c r="BR257" s="1723"/>
      <c r="BS257" s="1723"/>
      <c r="BT257" s="1723"/>
      <c r="BU257" s="1723"/>
      <c r="BV257" s="1723"/>
      <c r="BW257" s="1723"/>
    </row>
    <row r="258" spans="50:75">
      <c r="AX258" s="2157"/>
      <c r="BN258" s="3275">
        <f t="shared" si="33"/>
        <v>15</v>
      </c>
      <c r="BO258" s="2254" t="s">
        <v>1234</v>
      </c>
      <c r="BP258" s="1603"/>
      <c r="BQ258" s="1723"/>
      <c r="BR258" s="1723"/>
      <c r="BS258" s="1723"/>
      <c r="BT258" s="1723"/>
      <c r="BU258" s="1723"/>
      <c r="BV258" s="1723"/>
      <c r="BW258" s="1723"/>
    </row>
    <row r="259" spans="50:75">
      <c r="AX259" s="2157"/>
      <c r="BN259" s="3275">
        <f t="shared" si="33"/>
        <v>16</v>
      </c>
      <c r="BO259" s="2208" t="str">
        <f t="shared" ref="BO259:BO271" si="40">BE209</f>
        <v>March 2019</v>
      </c>
      <c r="BP259" s="1891"/>
      <c r="BQ259" s="1892">
        <f t="shared" ref="BQ259:BW259" si="41">BQ245</f>
        <v>296279</v>
      </c>
      <c r="BR259" s="1892">
        <f t="shared" si="41"/>
        <v>16584792</v>
      </c>
      <c r="BS259" s="1892">
        <f t="shared" si="41"/>
        <v>747531</v>
      </c>
      <c r="BT259" s="1892">
        <f t="shared" si="41"/>
        <v>16187</v>
      </c>
      <c r="BU259" s="1892">
        <f t="shared" si="41"/>
        <v>-30000</v>
      </c>
      <c r="BV259" s="1892">
        <f t="shared" si="41"/>
        <v>83075</v>
      </c>
      <c r="BW259" s="1892">
        <f t="shared" si="41"/>
        <v>783483</v>
      </c>
    </row>
    <row r="260" spans="50:75">
      <c r="AX260" s="2157"/>
      <c r="BN260" s="3275">
        <f t="shared" si="33"/>
        <v>17</v>
      </c>
      <c r="BO260" s="2208" t="str">
        <f t="shared" si="40"/>
        <v>April</v>
      </c>
      <c r="BP260" s="1891"/>
      <c r="BQ260" s="1892">
        <f t="shared" ref="BQ260:BW260" si="42">BQ245</f>
        <v>296279</v>
      </c>
      <c r="BR260" s="1892">
        <f t="shared" si="42"/>
        <v>16584792</v>
      </c>
      <c r="BS260" s="1892">
        <f t="shared" si="42"/>
        <v>747531</v>
      </c>
      <c r="BT260" s="1892">
        <f t="shared" si="42"/>
        <v>16187</v>
      </c>
      <c r="BU260" s="1892">
        <f t="shared" si="42"/>
        <v>-30000</v>
      </c>
      <c r="BV260" s="1892">
        <f t="shared" si="42"/>
        <v>83075</v>
      </c>
      <c r="BW260" s="1892">
        <f t="shared" si="42"/>
        <v>783483</v>
      </c>
    </row>
    <row r="261" spans="50:75">
      <c r="AX261" s="2157"/>
      <c r="BN261" s="3275">
        <f t="shared" si="33"/>
        <v>18</v>
      </c>
      <c r="BO261" s="2208" t="str">
        <f t="shared" si="40"/>
        <v>May</v>
      </c>
      <c r="BP261" s="1891"/>
      <c r="BQ261" s="1892">
        <f t="shared" ref="BQ261:BW261" si="43">BQ245</f>
        <v>296279</v>
      </c>
      <c r="BR261" s="1892">
        <f t="shared" si="43"/>
        <v>16584792</v>
      </c>
      <c r="BS261" s="1892">
        <f t="shared" si="43"/>
        <v>747531</v>
      </c>
      <c r="BT261" s="1892">
        <f t="shared" si="43"/>
        <v>16187</v>
      </c>
      <c r="BU261" s="1892">
        <f t="shared" si="43"/>
        <v>-30000</v>
      </c>
      <c r="BV261" s="1892">
        <f t="shared" si="43"/>
        <v>83075</v>
      </c>
      <c r="BW261" s="1892">
        <f t="shared" si="43"/>
        <v>783483</v>
      </c>
    </row>
    <row r="262" spans="50:75">
      <c r="AX262" s="2157"/>
      <c r="BN262" s="3275">
        <f t="shared" si="33"/>
        <v>19</v>
      </c>
      <c r="BO262" s="2208" t="str">
        <f t="shared" si="40"/>
        <v>June</v>
      </c>
      <c r="BP262" s="1891"/>
      <c r="BQ262" s="1892">
        <f t="shared" ref="BQ262:BW262" si="44">BQ245</f>
        <v>296279</v>
      </c>
      <c r="BR262" s="1892">
        <f t="shared" si="44"/>
        <v>16584792</v>
      </c>
      <c r="BS262" s="1892">
        <f t="shared" si="44"/>
        <v>747531</v>
      </c>
      <c r="BT262" s="1892">
        <f t="shared" si="44"/>
        <v>16187</v>
      </c>
      <c r="BU262" s="1892">
        <f t="shared" si="44"/>
        <v>-30000</v>
      </c>
      <c r="BV262" s="1892">
        <f t="shared" si="44"/>
        <v>83075</v>
      </c>
      <c r="BW262" s="1892">
        <f t="shared" si="44"/>
        <v>783483</v>
      </c>
    </row>
    <row r="263" spans="50:75">
      <c r="AX263" s="2157"/>
      <c r="BN263" s="3275">
        <f t="shared" si="33"/>
        <v>20</v>
      </c>
      <c r="BO263" s="2208" t="str">
        <f t="shared" si="40"/>
        <v>July</v>
      </c>
      <c r="BP263" s="1891"/>
      <c r="BQ263" s="1892">
        <f t="shared" ref="BQ263:BW263" si="45">BQ245</f>
        <v>296279</v>
      </c>
      <c r="BR263" s="1892">
        <f t="shared" si="45"/>
        <v>16584792</v>
      </c>
      <c r="BS263" s="1892">
        <f t="shared" si="45"/>
        <v>747531</v>
      </c>
      <c r="BT263" s="1892">
        <f t="shared" si="45"/>
        <v>16187</v>
      </c>
      <c r="BU263" s="1892">
        <f t="shared" si="45"/>
        <v>-30000</v>
      </c>
      <c r="BV263" s="1892">
        <f t="shared" si="45"/>
        <v>83075</v>
      </c>
      <c r="BW263" s="1892">
        <f t="shared" si="45"/>
        <v>783483</v>
      </c>
    </row>
    <row r="264" spans="50:75">
      <c r="AX264" s="2157"/>
      <c r="BN264" s="3275">
        <f t="shared" si="33"/>
        <v>21</v>
      </c>
      <c r="BO264" s="2208" t="str">
        <f t="shared" si="40"/>
        <v>August</v>
      </c>
      <c r="BP264" s="1891"/>
      <c r="BQ264" s="1892">
        <f t="shared" ref="BQ264:BW264" si="46">BQ245</f>
        <v>296279</v>
      </c>
      <c r="BR264" s="1892">
        <f t="shared" si="46"/>
        <v>16584792</v>
      </c>
      <c r="BS264" s="1892">
        <f t="shared" si="46"/>
        <v>747531</v>
      </c>
      <c r="BT264" s="1892">
        <f t="shared" si="46"/>
        <v>16187</v>
      </c>
      <c r="BU264" s="1892">
        <f t="shared" si="46"/>
        <v>-30000</v>
      </c>
      <c r="BV264" s="1892">
        <f t="shared" si="46"/>
        <v>83075</v>
      </c>
      <c r="BW264" s="1892">
        <f t="shared" si="46"/>
        <v>783483</v>
      </c>
    </row>
    <row r="265" spans="50:75">
      <c r="AX265" s="2157"/>
      <c r="BN265" s="3275">
        <f t="shared" si="33"/>
        <v>22</v>
      </c>
      <c r="BO265" s="2208" t="str">
        <f t="shared" si="40"/>
        <v>September</v>
      </c>
      <c r="BP265" s="1891"/>
      <c r="BQ265" s="1892">
        <f t="shared" ref="BQ265:BW265" si="47">BQ245</f>
        <v>296279</v>
      </c>
      <c r="BR265" s="1892">
        <f t="shared" si="47"/>
        <v>16584792</v>
      </c>
      <c r="BS265" s="1892">
        <f t="shared" si="47"/>
        <v>747531</v>
      </c>
      <c r="BT265" s="1892">
        <f t="shared" si="47"/>
        <v>16187</v>
      </c>
      <c r="BU265" s="1892">
        <f t="shared" si="47"/>
        <v>-30000</v>
      </c>
      <c r="BV265" s="1892">
        <f t="shared" si="47"/>
        <v>83075</v>
      </c>
      <c r="BW265" s="1892">
        <f t="shared" si="47"/>
        <v>783483</v>
      </c>
    </row>
    <row r="266" spans="50:75">
      <c r="AX266" s="2157"/>
      <c r="BN266" s="3275">
        <f t="shared" si="33"/>
        <v>23</v>
      </c>
      <c r="BO266" s="2208" t="str">
        <f t="shared" si="40"/>
        <v>October</v>
      </c>
      <c r="BP266" s="1891"/>
      <c r="BQ266" s="1892">
        <f t="shared" ref="BQ266:BW266" si="48">BQ245</f>
        <v>296279</v>
      </c>
      <c r="BR266" s="1892">
        <f t="shared" si="48"/>
        <v>16584792</v>
      </c>
      <c r="BS266" s="1892">
        <f t="shared" si="48"/>
        <v>747531</v>
      </c>
      <c r="BT266" s="1892">
        <f t="shared" si="48"/>
        <v>16187</v>
      </c>
      <c r="BU266" s="1892">
        <f t="shared" si="48"/>
        <v>-30000</v>
      </c>
      <c r="BV266" s="1892">
        <f t="shared" si="48"/>
        <v>83075</v>
      </c>
      <c r="BW266" s="1892">
        <f t="shared" si="48"/>
        <v>783483</v>
      </c>
    </row>
    <row r="267" spans="50:75">
      <c r="AX267" s="2157"/>
      <c r="BN267" s="3275">
        <f t="shared" si="33"/>
        <v>24</v>
      </c>
      <c r="BO267" s="2208" t="str">
        <f t="shared" si="40"/>
        <v>November</v>
      </c>
      <c r="BP267" s="1891"/>
      <c r="BQ267" s="1892">
        <f t="shared" ref="BQ267:BW267" si="49">BQ245</f>
        <v>296279</v>
      </c>
      <c r="BR267" s="1892">
        <f t="shared" si="49"/>
        <v>16584792</v>
      </c>
      <c r="BS267" s="1892">
        <f t="shared" si="49"/>
        <v>747531</v>
      </c>
      <c r="BT267" s="1892">
        <f t="shared" si="49"/>
        <v>16187</v>
      </c>
      <c r="BU267" s="1892">
        <f t="shared" si="49"/>
        <v>-30000</v>
      </c>
      <c r="BV267" s="1892">
        <f t="shared" si="49"/>
        <v>83075</v>
      </c>
      <c r="BW267" s="1892">
        <f t="shared" si="49"/>
        <v>783483</v>
      </c>
    </row>
    <row r="268" spans="50:75">
      <c r="AX268" s="2157"/>
      <c r="BN268" s="3275">
        <f t="shared" si="33"/>
        <v>25</v>
      </c>
      <c r="BO268" s="2208" t="str">
        <f t="shared" si="40"/>
        <v>December</v>
      </c>
      <c r="BP268" s="1891"/>
      <c r="BQ268" s="1892">
        <f t="shared" ref="BQ268:BW268" si="50">BQ245</f>
        <v>296279</v>
      </c>
      <c r="BR268" s="1892">
        <f t="shared" si="50"/>
        <v>16584792</v>
      </c>
      <c r="BS268" s="1892">
        <f t="shared" si="50"/>
        <v>747531</v>
      </c>
      <c r="BT268" s="1892">
        <f t="shared" si="50"/>
        <v>16187</v>
      </c>
      <c r="BU268" s="1892">
        <f t="shared" si="50"/>
        <v>-30000</v>
      </c>
      <c r="BV268" s="1892">
        <f t="shared" si="50"/>
        <v>83075</v>
      </c>
      <c r="BW268" s="1892">
        <f t="shared" si="50"/>
        <v>783483</v>
      </c>
    </row>
    <row r="269" spans="50:75">
      <c r="AX269" s="2157"/>
      <c r="BN269" s="3275">
        <f t="shared" si="33"/>
        <v>26</v>
      </c>
      <c r="BO269" s="2208" t="str">
        <f t="shared" si="40"/>
        <v>January 2020</v>
      </c>
      <c r="BP269" s="1891"/>
      <c r="BQ269" s="1892">
        <f t="shared" ref="BQ269:BW269" si="51">BQ245</f>
        <v>296279</v>
      </c>
      <c r="BR269" s="1892">
        <f t="shared" si="51"/>
        <v>16584792</v>
      </c>
      <c r="BS269" s="1892">
        <f t="shared" si="51"/>
        <v>747531</v>
      </c>
      <c r="BT269" s="1892">
        <f t="shared" si="51"/>
        <v>16187</v>
      </c>
      <c r="BU269" s="1892">
        <f t="shared" si="51"/>
        <v>-30000</v>
      </c>
      <c r="BV269" s="1892">
        <f t="shared" si="51"/>
        <v>83075</v>
      </c>
      <c r="BW269" s="1892">
        <f t="shared" si="51"/>
        <v>783483</v>
      </c>
    </row>
    <row r="270" spans="50:75">
      <c r="AX270" s="2157"/>
      <c r="BN270" s="3275">
        <f t="shared" si="33"/>
        <v>27</v>
      </c>
      <c r="BO270" s="2208" t="str">
        <f t="shared" si="40"/>
        <v>February</v>
      </c>
      <c r="BP270" s="1891"/>
      <c r="BQ270" s="1892">
        <f t="shared" ref="BQ270:BW270" si="52">BQ245</f>
        <v>296279</v>
      </c>
      <c r="BR270" s="1892">
        <f t="shared" si="52"/>
        <v>16584792</v>
      </c>
      <c r="BS270" s="1892">
        <f t="shared" si="52"/>
        <v>747531</v>
      </c>
      <c r="BT270" s="1892">
        <f t="shared" si="52"/>
        <v>16187</v>
      </c>
      <c r="BU270" s="1892">
        <f t="shared" si="52"/>
        <v>-30000</v>
      </c>
      <c r="BV270" s="1892">
        <f t="shared" si="52"/>
        <v>83075</v>
      </c>
      <c r="BW270" s="1892">
        <f t="shared" si="52"/>
        <v>783483</v>
      </c>
    </row>
    <row r="271" spans="50:75">
      <c r="AX271" s="2157"/>
      <c r="BN271" s="3275">
        <f t="shared" si="33"/>
        <v>28</v>
      </c>
      <c r="BO271" s="2208" t="str">
        <f t="shared" si="40"/>
        <v>March</v>
      </c>
      <c r="BP271" s="1891"/>
      <c r="BQ271" s="1892">
        <f t="shared" ref="BQ271:BW271" si="53">BQ245</f>
        <v>296279</v>
      </c>
      <c r="BR271" s="1892">
        <f t="shared" si="53"/>
        <v>16584792</v>
      </c>
      <c r="BS271" s="1892">
        <f t="shared" si="53"/>
        <v>747531</v>
      </c>
      <c r="BT271" s="1892">
        <f t="shared" si="53"/>
        <v>16187</v>
      </c>
      <c r="BU271" s="1892">
        <f t="shared" si="53"/>
        <v>-30000</v>
      </c>
      <c r="BV271" s="1892">
        <f t="shared" si="53"/>
        <v>83075</v>
      </c>
      <c r="BW271" s="1892">
        <f t="shared" si="53"/>
        <v>783483</v>
      </c>
    </row>
    <row r="272" spans="50:75" ht="13.8" thickBot="1">
      <c r="BD272" s="2138"/>
      <c r="BN272" s="3275">
        <f t="shared" si="33"/>
        <v>29</v>
      </c>
      <c r="BO272" s="3275" t="s">
        <v>2153</v>
      </c>
      <c r="BP272" s="1603"/>
      <c r="BQ272" s="2172">
        <f t="shared" ref="BQ272:BU272" si="54">SUM(BQ259:BQ271)</f>
        <v>3851627</v>
      </c>
      <c r="BR272" s="2172">
        <f t="shared" si="54"/>
        <v>215602296</v>
      </c>
      <c r="BS272" s="2172">
        <f t="shared" si="54"/>
        <v>9717903</v>
      </c>
      <c r="BT272" s="2172">
        <f>SUM(BT259:BT271)</f>
        <v>210431</v>
      </c>
      <c r="BU272" s="2172">
        <f t="shared" si="54"/>
        <v>-390000</v>
      </c>
      <c r="BV272" s="2172">
        <f>SUM(BV259:BV271)</f>
        <v>1079975</v>
      </c>
      <c r="BW272" s="2172">
        <f>SUM(BW259:BW271)</f>
        <v>10185279</v>
      </c>
    </row>
    <row r="273" spans="56:87" ht="13.8" thickTop="1">
      <c r="BD273" s="2141"/>
      <c r="BN273" s="3275">
        <f t="shared" si="33"/>
        <v>30</v>
      </c>
      <c r="BO273" s="1603"/>
      <c r="BP273" s="1603"/>
      <c r="BQ273" s="2212"/>
      <c r="BR273" s="2212"/>
      <c r="BS273" s="2212"/>
      <c r="BT273" s="2212"/>
      <c r="BU273" s="2212"/>
      <c r="BV273" s="2212"/>
      <c r="BW273" s="2212"/>
    </row>
    <row r="274" spans="56:87" ht="13.8" thickBot="1">
      <c r="BN274" s="3275">
        <f t="shared" si="33"/>
        <v>31</v>
      </c>
      <c r="BO274" s="1616" t="s">
        <v>2107</v>
      </c>
      <c r="BP274" s="1603"/>
      <c r="BQ274" s="1620">
        <f t="shared" ref="BQ274:BU274" si="55">BQ272/13</f>
        <v>296279</v>
      </c>
      <c r="BR274" s="1620">
        <f t="shared" si="55"/>
        <v>16584792</v>
      </c>
      <c r="BS274" s="1620">
        <f t="shared" si="55"/>
        <v>747531</v>
      </c>
      <c r="BT274" s="1620">
        <f>BT272/13</f>
        <v>16187</v>
      </c>
      <c r="BU274" s="1620">
        <f t="shared" si="55"/>
        <v>-30000</v>
      </c>
      <c r="BV274" s="1620">
        <f>BV272/13</f>
        <v>83075</v>
      </c>
      <c r="BW274" s="1620">
        <f>BW272/13</f>
        <v>783483</v>
      </c>
    </row>
    <row r="275" spans="56:87" ht="13.8" thickTop="1">
      <c r="BO275" s="2206"/>
      <c r="BP275" s="2206"/>
      <c r="BQ275" s="2212"/>
      <c r="BR275" s="2212"/>
      <c r="BS275" s="2212"/>
      <c r="BT275" s="2212"/>
      <c r="BU275" s="2212"/>
      <c r="BV275" s="2212"/>
      <c r="BW275" s="2212"/>
    </row>
    <row r="276" spans="56:87">
      <c r="BO276" s="2206"/>
      <c r="BP276" s="2206"/>
      <c r="BQ276" s="3275" t="s">
        <v>811</v>
      </c>
      <c r="BR276" s="3275" t="s">
        <v>811</v>
      </c>
      <c r="BS276" s="3275" t="s">
        <v>811</v>
      </c>
      <c r="BT276" s="3275" t="s">
        <v>811</v>
      </c>
      <c r="BU276" s="3275" t="s">
        <v>811</v>
      </c>
      <c r="BV276" s="3275" t="s">
        <v>811</v>
      </c>
      <c r="BW276" s="3275" t="s">
        <v>811</v>
      </c>
    </row>
    <row r="277" spans="56:87">
      <c r="BO277" s="2206"/>
      <c r="BP277" s="2206"/>
      <c r="BQ277" s="1604" t="s">
        <v>812</v>
      </c>
      <c r="BR277" s="1604" t="s">
        <v>812</v>
      </c>
      <c r="BS277" s="1604" t="s">
        <v>812</v>
      </c>
      <c r="BT277" s="1604" t="s">
        <v>812</v>
      </c>
      <c r="BU277" s="1604" t="s">
        <v>812</v>
      </c>
      <c r="BV277" s="1604" t="s">
        <v>812</v>
      </c>
      <c r="BW277" s="1604" t="s">
        <v>812</v>
      </c>
    </row>
    <row r="278" spans="56:87">
      <c r="BO278" s="2206"/>
      <c r="BP278" s="2206"/>
      <c r="BQ278" s="1604" t="s">
        <v>813</v>
      </c>
      <c r="BR278" s="1604" t="s">
        <v>813</v>
      </c>
      <c r="BS278" s="1604" t="s">
        <v>813</v>
      </c>
      <c r="BT278" s="1604" t="s">
        <v>813</v>
      </c>
      <c r="BU278" s="1604" t="s">
        <v>813</v>
      </c>
      <c r="BV278" s="1604" t="s">
        <v>813</v>
      </c>
      <c r="BW278" s="1604" t="s">
        <v>813</v>
      </c>
    </row>
    <row r="279" spans="56:87">
      <c r="BN279" s="3275"/>
      <c r="BO279" s="2206"/>
      <c r="BP279" s="2206"/>
      <c r="BQ279" s="1614"/>
    </row>
    <row r="280" spans="56:87">
      <c r="BN280" s="3275"/>
      <c r="BO280" s="1603"/>
      <c r="BP280" s="1603"/>
      <c r="BQ280" s="2215"/>
      <c r="BR280" s="1614"/>
    </row>
    <row r="281" spans="56:87">
      <c r="BN281" s="3275"/>
      <c r="BO281" s="1603" t="s">
        <v>1744</v>
      </c>
      <c r="BP281" s="1603"/>
      <c r="BQ281" s="1603"/>
      <c r="BR281" s="1603"/>
    </row>
    <row r="286" spans="56:87">
      <c r="CA286" s="1616" t="str">
        <f>COMPANY</f>
        <v>DUKE ENERGY KENTUCKY, INC.</v>
      </c>
      <c r="CB286" s="2206"/>
      <c r="CC286" s="2206"/>
      <c r="CD286" s="1603"/>
      <c r="CE286" s="1603"/>
      <c r="CF286" s="1603"/>
      <c r="CG286" s="1616" t="s">
        <v>997</v>
      </c>
    </row>
    <row r="287" spans="56:87">
      <c r="CA287" s="1616" t="str">
        <f>DEPT</f>
        <v>GAS DEPARTMENT</v>
      </c>
      <c r="CB287" s="2206"/>
      <c r="CC287" s="2206"/>
      <c r="CD287" s="1614"/>
      <c r="CE287" s="1614"/>
      <c r="CF287" s="1614"/>
      <c r="CG287" s="1898" t="s">
        <v>566</v>
      </c>
      <c r="CI287" s="1612"/>
    </row>
    <row r="288" spans="56:87">
      <c r="CA288" s="1898" t="str">
        <f>CASE</f>
        <v>CASE NO. 2018-00261</v>
      </c>
      <c r="CB288" s="2206"/>
      <c r="CC288" s="2206"/>
      <c r="CD288" s="1614"/>
      <c r="CE288" s="1614"/>
      <c r="CF288" s="1614"/>
      <c r="CG288" s="1603" t="str">
        <f>_WIT9</f>
        <v>R. H. PRATT</v>
      </c>
      <c r="CI288" s="1612"/>
    </row>
    <row r="289" spans="79:89">
      <c r="CA289" s="1740" t="s">
        <v>1764</v>
      </c>
      <c r="CB289" s="2206"/>
      <c r="CC289" s="2206"/>
      <c r="CD289" s="1614"/>
      <c r="CE289" s="1614"/>
      <c r="CF289" s="1614"/>
      <c r="CG289" s="1614"/>
      <c r="CH289" s="1614"/>
      <c r="CI289" s="1603"/>
    </row>
    <row r="290" spans="79:89">
      <c r="CA290" s="1740" t="s">
        <v>1236</v>
      </c>
      <c r="CB290" s="2206"/>
      <c r="CC290" s="2206"/>
      <c r="CD290" s="1614"/>
      <c r="CE290" s="1614"/>
      <c r="CF290" s="1614"/>
      <c r="CG290" s="1614"/>
      <c r="CH290" s="1614"/>
      <c r="CI290" s="2163"/>
    </row>
    <row r="291" spans="79:89">
      <c r="CA291" s="1603"/>
      <c r="CB291" s="2206"/>
      <c r="CC291" s="2206"/>
      <c r="CD291" s="1614"/>
      <c r="CE291" s="1614"/>
      <c r="CF291" s="1614"/>
      <c r="CG291" s="1614"/>
      <c r="CH291" s="1614"/>
      <c r="CI291" s="1612"/>
    </row>
    <row r="292" spans="79:89">
      <c r="CA292" s="1603"/>
      <c r="CB292" s="1603"/>
      <c r="CC292" s="1603"/>
      <c r="CD292" s="1604" t="s">
        <v>227</v>
      </c>
      <c r="CE292" s="1604" t="s">
        <v>227</v>
      </c>
      <c r="CF292" s="2157" t="s">
        <v>228</v>
      </c>
      <c r="CG292" s="2157" t="s">
        <v>228</v>
      </c>
      <c r="CH292" s="2157" t="s">
        <v>1767</v>
      </c>
      <c r="CI292" s="1612"/>
    </row>
    <row r="293" spans="79:89">
      <c r="CA293" s="3275" t="s">
        <v>1938</v>
      </c>
      <c r="CB293" s="1603"/>
      <c r="CC293" s="1603"/>
      <c r="CD293" s="2167" t="s">
        <v>2664</v>
      </c>
      <c r="CE293" s="2167" t="s">
        <v>2665</v>
      </c>
      <c r="CF293" s="2167" t="s">
        <v>2780</v>
      </c>
      <c r="CG293" s="2167" t="s">
        <v>2541</v>
      </c>
      <c r="CH293" s="2167" t="s">
        <v>1768</v>
      </c>
      <c r="CI293" s="1603"/>
    </row>
    <row r="294" spans="79:89">
      <c r="CA294" s="2164" t="s">
        <v>1939</v>
      </c>
      <c r="CB294" s="2164" t="s">
        <v>283</v>
      </c>
      <c r="CC294" s="1603"/>
      <c r="CD294" s="2164" t="s">
        <v>1765</v>
      </c>
      <c r="CE294" s="2164" t="s">
        <v>1765</v>
      </c>
      <c r="CF294" s="2164" t="s">
        <v>1766</v>
      </c>
      <c r="CG294" s="2164" t="s">
        <v>1766</v>
      </c>
      <c r="CH294" s="2164" t="s">
        <v>1769</v>
      </c>
      <c r="CI294" s="1603"/>
    </row>
    <row r="295" spans="79:89">
      <c r="CA295" s="1616"/>
      <c r="CB295" s="1603"/>
      <c r="CC295" s="1603"/>
      <c r="CD295" s="3275" t="s">
        <v>695</v>
      </c>
      <c r="CE295" s="3275" t="s">
        <v>695</v>
      </c>
      <c r="CF295" s="3275" t="s">
        <v>695</v>
      </c>
      <c r="CG295" s="3275" t="s">
        <v>695</v>
      </c>
      <c r="CH295" s="3275" t="s">
        <v>695</v>
      </c>
      <c r="CI295" s="1603"/>
    </row>
    <row r="296" spans="79:89">
      <c r="CA296" s="3275">
        <v>1</v>
      </c>
      <c r="CB296" s="2254" t="s">
        <v>1013</v>
      </c>
      <c r="CC296" s="1603"/>
      <c r="CD296" s="1603"/>
      <c r="CE296" s="1603"/>
      <c r="CF296" s="1603"/>
      <c r="CG296" s="1603"/>
      <c r="CH296" s="1603"/>
      <c r="CI296" s="1603"/>
    </row>
    <row r="297" spans="79:89">
      <c r="CA297" s="3275">
        <v>2</v>
      </c>
      <c r="CB297" s="2208" t="str">
        <f t="shared" ref="CB297:CB308" si="56">K49</f>
        <v>December 2017</v>
      </c>
      <c r="CC297" s="1603"/>
      <c r="CD297" s="1718">
        <v>0</v>
      </c>
      <c r="CE297" s="1718">
        <v>0</v>
      </c>
      <c r="CF297" s="1718">
        <v>107612</v>
      </c>
      <c r="CG297" s="1718">
        <v>392274</v>
      </c>
      <c r="CH297" s="1718">
        <v>-31025</v>
      </c>
      <c r="CI297" s="1603"/>
    </row>
    <row r="298" spans="79:89">
      <c r="CA298" s="3275">
        <v>3</v>
      </c>
      <c r="CB298" s="2208" t="str">
        <f t="shared" si="56"/>
        <v>January 2018</v>
      </c>
      <c r="CC298" s="1603"/>
      <c r="CD298" s="1718">
        <v>59308</v>
      </c>
      <c r="CE298" s="1718">
        <v>450083</v>
      </c>
      <c r="CF298" s="1718">
        <v>77353</v>
      </c>
      <c r="CG298" s="1718">
        <v>304229</v>
      </c>
      <c r="CH298" s="1718">
        <v>206871</v>
      </c>
      <c r="CI298" s="1603"/>
      <c r="CK298" s="2168"/>
    </row>
    <row r="299" spans="79:89">
      <c r="CA299" s="3275">
        <v>4</v>
      </c>
      <c r="CB299" s="2208" t="str">
        <f t="shared" si="56"/>
        <v>February</v>
      </c>
      <c r="CC299" s="1603"/>
      <c r="CD299" s="1718">
        <v>53917</v>
      </c>
      <c r="CE299" s="1718">
        <v>409167</v>
      </c>
      <c r="CF299" s="1718">
        <v>61883</v>
      </c>
      <c r="CG299" s="1718">
        <v>246383</v>
      </c>
      <c r="CH299" s="1718">
        <v>2531614</v>
      </c>
      <c r="CI299" s="1603"/>
      <c r="CK299" s="2168"/>
    </row>
    <row r="300" spans="79:89">
      <c r="CA300" s="3275">
        <v>5</v>
      </c>
      <c r="CB300" s="2208" t="str">
        <f t="shared" si="56"/>
        <v>March</v>
      </c>
      <c r="CC300" s="1603"/>
      <c r="CD300" s="1718">
        <v>48525</v>
      </c>
      <c r="CE300" s="1718">
        <v>368250</v>
      </c>
      <c r="CF300" s="1718">
        <v>46412</v>
      </c>
      <c r="CG300" s="1718">
        <v>188537</v>
      </c>
      <c r="CH300" s="1718">
        <v>3593634</v>
      </c>
      <c r="CI300" s="1603"/>
      <c r="CK300" s="2168"/>
    </row>
    <row r="301" spans="79:89">
      <c r="CA301" s="3275">
        <v>6</v>
      </c>
      <c r="CB301" s="2208" t="str">
        <f t="shared" si="56"/>
        <v>April</v>
      </c>
      <c r="CC301" s="1603"/>
      <c r="CD301" s="1718">
        <v>43133</v>
      </c>
      <c r="CE301" s="1718">
        <v>327333</v>
      </c>
      <c r="CF301" s="1718">
        <v>30941</v>
      </c>
      <c r="CG301" s="1718">
        <v>130692</v>
      </c>
      <c r="CH301" s="1718">
        <v>2667481</v>
      </c>
      <c r="CI301" s="1603"/>
    </row>
    <row r="302" spans="79:89">
      <c r="CA302" s="3275">
        <v>7</v>
      </c>
      <c r="CB302" s="2208" t="str">
        <f t="shared" si="56"/>
        <v>May</v>
      </c>
      <c r="CC302" s="1603"/>
      <c r="CD302" s="1718">
        <v>37742</v>
      </c>
      <c r="CE302" s="1718">
        <v>286417</v>
      </c>
      <c r="CF302" s="1718">
        <v>15471</v>
      </c>
      <c r="CG302" s="1718">
        <v>72846</v>
      </c>
      <c r="CH302" s="1718">
        <v>1039005</v>
      </c>
      <c r="CI302" s="1603"/>
    </row>
    <row r="303" spans="79:89">
      <c r="CA303" s="3275">
        <v>8</v>
      </c>
      <c r="CB303" s="2208" t="str">
        <f t="shared" si="56"/>
        <v>June</v>
      </c>
      <c r="CC303" s="1603"/>
      <c r="CD303" s="1892">
        <f>$CD$302</f>
        <v>37742</v>
      </c>
      <c r="CE303" s="1892">
        <f>$CE$302</f>
        <v>286417</v>
      </c>
      <c r="CF303" s="1718">
        <v>14661</v>
      </c>
      <c r="CG303" s="1718">
        <v>851676</v>
      </c>
      <c r="CH303" s="1892">
        <f>$CH$302</f>
        <v>1039005</v>
      </c>
      <c r="CI303" s="1603"/>
    </row>
    <row r="304" spans="79:89">
      <c r="CA304" s="3275">
        <v>9</v>
      </c>
      <c r="CB304" s="2208" t="str">
        <f t="shared" si="56"/>
        <v>July</v>
      </c>
      <c r="CC304" s="1603"/>
      <c r="CD304" s="1892">
        <f t="shared" ref="CD304:CD308" si="57">$CD$302</f>
        <v>37742</v>
      </c>
      <c r="CE304" s="1892">
        <f t="shared" ref="CE304:CE308" si="58">$CE$302</f>
        <v>286417</v>
      </c>
      <c r="CF304" s="1718">
        <v>14011</v>
      </c>
      <c r="CG304" s="1718">
        <v>778933</v>
      </c>
      <c r="CH304" s="1892">
        <f t="shared" ref="CH304:CH308" si="59">$CH$302</f>
        <v>1039005</v>
      </c>
      <c r="CI304" s="1603"/>
    </row>
    <row r="305" spans="79:87">
      <c r="CA305" s="3275">
        <v>10</v>
      </c>
      <c r="CB305" s="2208" t="str">
        <f t="shared" si="56"/>
        <v>August</v>
      </c>
      <c r="CC305" s="1603"/>
      <c r="CD305" s="1892">
        <f t="shared" si="57"/>
        <v>37742</v>
      </c>
      <c r="CE305" s="1892">
        <f t="shared" si="58"/>
        <v>286417</v>
      </c>
      <c r="CF305" s="1718">
        <v>13361</v>
      </c>
      <c r="CG305" s="1718">
        <v>706189</v>
      </c>
      <c r="CH305" s="1892">
        <f t="shared" si="59"/>
        <v>1039005</v>
      </c>
      <c r="CI305" s="1603"/>
    </row>
    <row r="306" spans="79:87">
      <c r="CA306" s="3275">
        <v>11</v>
      </c>
      <c r="CB306" s="2208" t="str">
        <f t="shared" si="56"/>
        <v>September</v>
      </c>
      <c r="CC306" s="1603"/>
      <c r="CD306" s="1892">
        <f t="shared" si="57"/>
        <v>37742</v>
      </c>
      <c r="CE306" s="1892">
        <f t="shared" si="58"/>
        <v>286417</v>
      </c>
      <c r="CF306" s="1718">
        <v>12711</v>
      </c>
      <c r="CG306" s="1718">
        <v>633445</v>
      </c>
      <c r="CH306" s="1892">
        <f t="shared" si="59"/>
        <v>1039005</v>
      </c>
      <c r="CI306" s="1603"/>
    </row>
    <row r="307" spans="79:87">
      <c r="CA307" s="3275">
        <v>12</v>
      </c>
      <c r="CB307" s="2208" t="str">
        <f t="shared" si="56"/>
        <v>October</v>
      </c>
      <c r="CC307" s="1603"/>
      <c r="CD307" s="1892">
        <f t="shared" si="57"/>
        <v>37742</v>
      </c>
      <c r="CE307" s="1892">
        <f t="shared" si="58"/>
        <v>286417</v>
      </c>
      <c r="CF307" s="1718">
        <v>12061</v>
      </c>
      <c r="CG307" s="1718">
        <v>560702</v>
      </c>
      <c r="CH307" s="1892">
        <f t="shared" si="59"/>
        <v>1039005</v>
      </c>
      <c r="CI307" s="1603"/>
    </row>
    <row r="308" spans="79:87">
      <c r="CA308" s="3275">
        <v>13</v>
      </c>
      <c r="CB308" s="2208" t="str">
        <f t="shared" si="56"/>
        <v>November</v>
      </c>
      <c r="CC308" s="1603"/>
      <c r="CD308" s="1892">
        <f t="shared" si="57"/>
        <v>37742</v>
      </c>
      <c r="CE308" s="1892">
        <f t="shared" si="58"/>
        <v>286417</v>
      </c>
      <c r="CF308" s="1718">
        <v>11411</v>
      </c>
      <c r="CG308" s="1718">
        <v>487958</v>
      </c>
      <c r="CH308" s="1892">
        <f t="shared" si="59"/>
        <v>1039005</v>
      </c>
      <c r="CI308" s="1603"/>
    </row>
    <row r="309" spans="79:87">
      <c r="CA309" s="3275">
        <v>14</v>
      </c>
      <c r="CB309" s="1603"/>
      <c r="CC309" s="1603"/>
      <c r="CD309" s="1285"/>
      <c r="CE309" s="1285"/>
      <c r="CF309" s="1723"/>
      <c r="CG309" s="1723"/>
      <c r="CH309" s="1596"/>
      <c r="CI309" s="1603"/>
    </row>
    <row r="310" spans="79:87">
      <c r="CA310" s="3275">
        <v>15</v>
      </c>
      <c r="CB310" s="2254" t="s">
        <v>1234</v>
      </c>
      <c r="CC310" s="1603"/>
      <c r="CD310" s="1285"/>
      <c r="CE310" s="1285"/>
      <c r="CF310" s="1723"/>
      <c r="CG310" s="1723"/>
      <c r="CH310" s="1596"/>
      <c r="CI310" s="1603"/>
    </row>
    <row r="311" spans="79:87">
      <c r="CA311" s="3275">
        <v>16</v>
      </c>
      <c r="CB311" s="2208" t="str">
        <f t="shared" ref="CB311:CB323" si="60">K63</f>
        <v>March 2019</v>
      </c>
      <c r="CC311" s="1603"/>
      <c r="CD311" s="1892">
        <f t="shared" ref="CD311:CD323" si="61">$CD$302</f>
        <v>37742</v>
      </c>
      <c r="CE311" s="1892">
        <f t="shared" ref="CE311:CE323" si="62">$CE$302</f>
        <v>286417</v>
      </c>
      <c r="CF311" s="1718">
        <v>16819</v>
      </c>
      <c r="CG311" s="1718">
        <v>1069907</v>
      </c>
      <c r="CH311" s="1892">
        <f t="shared" ref="CH311:CH323" si="63">$CH$302</f>
        <v>1039005</v>
      </c>
      <c r="CI311" s="1603"/>
    </row>
    <row r="312" spans="79:87">
      <c r="CA312" s="3275">
        <v>17</v>
      </c>
      <c r="CB312" s="2208" t="str">
        <f t="shared" si="60"/>
        <v>April</v>
      </c>
      <c r="CC312" s="1603"/>
      <c r="CD312" s="1892">
        <f t="shared" si="61"/>
        <v>37742</v>
      </c>
      <c r="CE312" s="1892">
        <f t="shared" si="62"/>
        <v>286417</v>
      </c>
      <c r="CF312" s="1718">
        <v>16146</v>
      </c>
      <c r="CG312" s="1718">
        <v>997164</v>
      </c>
      <c r="CH312" s="1892">
        <f t="shared" si="63"/>
        <v>1039005</v>
      </c>
      <c r="CI312" s="1603"/>
    </row>
    <row r="313" spans="79:87">
      <c r="CA313" s="3275">
        <v>18</v>
      </c>
      <c r="CB313" s="2208" t="str">
        <f t="shared" si="60"/>
        <v>May</v>
      </c>
      <c r="CC313" s="1603"/>
      <c r="CD313" s="1892">
        <f t="shared" si="61"/>
        <v>37742</v>
      </c>
      <c r="CE313" s="1892">
        <f t="shared" si="62"/>
        <v>286417</v>
      </c>
      <c r="CF313" s="1718">
        <v>15473</v>
      </c>
      <c r="CG313" s="1718">
        <v>924420</v>
      </c>
      <c r="CH313" s="1892">
        <f t="shared" si="63"/>
        <v>1039005</v>
      </c>
      <c r="CI313" s="1603"/>
    </row>
    <row r="314" spans="79:87">
      <c r="CA314" s="3275">
        <v>19</v>
      </c>
      <c r="CB314" s="2208" t="str">
        <f t="shared" si="60"/>
        <v>June</v>
      </c>
      <c r="CC314" s="1603"/>
      <c r="CD314" s="1892">
        <f t="shared" si="61"/>
        <v>37742</v>
      </c>
      <c r="CE314" s="1892">
        <f t="shared" si="62"/>
        <v>286417</v>
      </c>
      <c r="CF314" s="1718">
        <v>14800</v>
      </c>
      <c r="CG314" s="1718">
        <v>851676</v>
      </c>
      <c r="CH314" s="1892">
        <f t="shared" si="63"/>
        <v>1039005</v>
      </c>
      <c r="CI314" s="1603"/>
    </row>
    <row r="315" spans="79:87">
      <c r="CA315" s="3275">
        <v>20</v>
      </c>
      <c r="CB315" s="2208" t="str">
        <f t="shared" si="60"/>
        <v>July</v>
      </c>
      <c r="CC315" s="1603"/>
      <c r="CD315" s="1892">
        <f t="shared" si="61"/>
        <v>37742</v>
      </c>
      <c r="CE315" s="1892">
        <f t="shared" si="62"/>
        <v>286417</v>
      </c>
      <c r="CF315" s="1718">
        <v>14127</v>
      </c>
      <c r="CG315" s="1718">
        <v>778933</v>
      </c>
      <c r="CH315" s="1892">
        <f t="shared" si="63"/>
        <v>1039005</v>
      </c>
      <c r="CI315" s="1603"/>
    </row>
    <row r="316" spans="79:87">
      <c r="CA316" s="3275">
        <v>21</v>
      </c>
      <c r="CB316" s="2208" t="str">
        <f t="shared" si="60"/>
        <v>August</v>
      </c>
      <c r="CC316" s="1603"/>
      <c r="CD316" s="1892">
        <f t="shared" si="61"/>
        <v>37742</v>
      </c>
      <c r="CE316" s="1892">
        <f t="shared" si="62"/>
        <v>286417</v>
      </c>
      <c r="CF316" s="1718">
        <v>13453</v>
      </c>
      <c r="CG316" s="1718">
        <v>706189</v>
      </c>
      <c r="CH316" s="1892">
        <f t="shared" si="63"/>
        <v>1039005</v>
      </c>
      <c r="CI316" s="1603"/>
    </row>
    <row r="317" spans="79:87">
      <c r="CA317" s="3275">
        <v>22</v>
      </c>
      <c r="CB317" s="2208" t="str">
        <f t="shared" si="60"/>
        <v>September</v>
      </c>
      <c r="CC317" s="1603"/>
      <c r="CD317" s="1892">
        <f t="shared" si="61"/>
        <v>37742</v>
      </c>
      <c r="CE317" s="1892">
        <f t="shared" si="62"/>
        <v>286417</v>
      </c>
      <c r="CF317" s="1718">
        <v>12780</v>
      </c>
      <c r="CG317" s="1718">
        <v>633445</v>
      </c>
      <c r="CH317" s="1892">
        <f t="shared" si="63"/>
        <v>1039005</v>
      </c>
      <c r="CI317" s="1603"/>
    </row>
    <row r="318" spans="79:87">
      <c r="CA318" s="3275">
        <v>23</v>
      </c>
      <c r="CB318" s="2208" t="str">
        <f t="shared" si="60"/>
        <v>October</v>
      </c>
      <c r="CC318" s="1603"/>
      <c r="CD318" s="1892">
        <f t="shared" si="61"/>
        <v>37742</v>
      </c>
      <c r="CE318" s="1892">
        <f t="shared" si="62"/>
        <v>286417</v>
      </c>
      <c r="CF318" s="1718">
        <v>12107</v>
      </c>
      <c r="CG318" s="1718">
        <v>560702</v>
      </c>
      <c r="CH318" s="1892">
        <f t="shared" si="63"/>
        <v>1039005</v>
      </c>
      <c r="CI318" s="1603"/>
    </row>
    <row r="319" spans="79:87">
      <c r="CA319" s="3275">
        <v>24</v>
      </c>
      <c r="CB319" s="2208" t="str">
        <f t="shared" si="60"/>
        <v>November</v>
      </c>
      <c r="CC319" s="1603"/>
      <c r="CD319" s="1892">
        <f t="shared" si="61"/>
        <v>37742</v>
      </c>
      <c r="CE319" s="1892">
        <f t="shared" si="62"/>
        <v>286417</v>
      </c>
      <c r="CF319" s="1718">
        <v>11434</v>
      </c>
      <c r="CG319" s="1718">
        <v>487958</v>
      </c>
      <c r="CH319" s="1892">
        <f t="shared" si="63"/>
        <v>1039005</v>
      </c>
      <c r="CI319" s="1603"/>
    </row>
    <row r="320" spans="79:87">
      <c r="CA320" s="3275">
        <v>25</v>
      </c>
      <c r="CB320" s="2208" t="str">
        <f t="shared" si="60"/>
        <v>December</v>
      </c>
      <c r="CC320" s="1603"/>
      <c r="CD320" s="1892">
        <f t="shared" si="61"/>
        <v>37742</v>
      </c>
      <c r="CE320" s="1892">
        <f t="shared" si="62"/>
        <v>286417</v>
      </c>
      <c r="CF320" s="1718">
        <v>10761</v>
      </c>
      <c r="CG320" s="1718">
        <v>415214</v>
      </c>
      <c r="CH320" s="1892">
        <f t="shared" si="63"/>
        <v>1039005</v>
      </c>
      <c r="CI320" s="1603"/>
    </row>
    <row r="321" spans="79:96">
      <c r="CA321" s="3275">
        <v>26</v>
      </c>
      <c r="CB321" s="2208" t="str">
        <f t="shared" si="60"/>
        <v>January 2020</v>
      </c>
      <c r="CC321" s="1603"/>
      <c r="CD321" s="1892">
        <f t="shared" si="61"/>
        <v>37742</v>
      </c>
      <c r="CE321" s="1892">
        <f t="shared" si="62"/>
        <v>286417</v>
      </c>
      <c r="CF321" s="1718">
        <v>10065</v>
      </c>
      <c r="CG321" s="1718">
        <v>339924</v>
      </c>
      <c r="CH321" s="1892">
        <f t="shared" si="63"/>
        <v>1039005</v>
      </c>
      <c r="CI321" s="1603"/>
    </row>
    <row r="322" spans="79:96">
      <c r="CA322" s="3275">
        <v>27</v>
      </c>
      <c r="CB322" s="2208" t="str">
        <f t="shared" si="60"/>
        <v>February</v>
      </c>
      <c r="CC322" s="1603"/>
      <c r="CD322" s="1892">
        <f t="shared" si="61"/>
        <v>37742</v>
      </c>
      <c r="CE322" s="1892">
        <f t="shared" si="62"/>
        <v>286417</v>
      </c>
      <c r="CF322" s="1718">
        <v>17727</v>
      </c>
      <c r="CG322" s="1718">
        <v>1168114</v>
      </c>
      <c r="CH322" s="1892">
        <f t="shared" si="63"/>
        <v>1039005</v>
      </c>
      <c r="CI322" s="1603"/>
    </row>
    <row r="323" spans="79:96">
      <c r="CA323" s="3275">
        <v>28</v>
      </c>
      <c r="CB323" s="2208" t="str">
        <f t="shared" si="60"/>
        <v>March</v>
      </c>
      <c r="CC323" s="1603"/>
      <c r="CD323" s="1892">
        <f t="shared" si="61"/>
        <v>37742</v>
      </c>
      <c r="CE323" s="1892">
        <f t="shared" si="62"/>
        <v>286417</v>
      </c>
      <c r="CF323" s="1718">
        <v>17031</v>
      </c>
      <c r="CG323" s="1718">
        <v>1092824</v>
      </c>
      <c r="CH323" s="1892">
        <f t="shared" si="63"/>
        <v>1039005</v>
      </c>
      <c r="CI323" s="1616"/>
    </row>
    <row r="324" spans="79:96" ht="13.8" thickBot="1">
      <c r="CA324" s="3275">
        <v>29</v>
      </c>
      <c r="CB324" s="3275" t="s">
        <v>2153</v>
      </c>
      <c r="CC324" s="1603"/>
      <c r="CD324" s="2172">
        <f t="shared" ref="CD324:CH324" si="64">SUM(CD311:CD323)</f>
        <v>490646</v>
      </c>
      <c r="CE324" s="2172">
        <f t="shared" si="64"/>
        <v>3723421</v>
      </c>
      <c r="CF324" s="2172">
        <f t="shared" si="64"/>
        <v>182723</v>
      </c>
      <c r="CG324" s="2172">
        <f t="shared" si="64"/>
        <v>10026470</v>
      </c>
      <c r="CH324" s="2172">
        <f t="shared" si="64"/>
        <v>13507065</v>
      </c>
      <c r="CI324" s="1616"/>
    </row>
    <row r="325" spans="79:96" ht="13.8" thickTop="1">
      <c r="CA325" s="3275">
        <v>30</v>
      </c>
      <c r="CB325" s="1603"/>
      <c r="CC325" s="1603"/>
      <c r="CD325" s="2212"/>
      <c r="CE325" s="2212"/>
      <c r="CF325" s="2212"/>
      <c r="CG325" s="2212"/>
      <c r="CH325" s="2212"/>
      <c r="CI325" s="1616"/>
    </row>
    <row r="326" spans="79:96" ht="13.8" thickBot="1">
      <c r="CA326" s="3275">
        <v>31</v>
      </c>
      <c r="CB326" s="1616" t="s">
        <v>2107</v>
      </c>
      <c r="CC326" s="1603"/>
      <c r="CD326" s="1620">
        <f t="shared" ref="CD326:CH326" si="65">CD324/13</f>
        <v>37742</v>
      </c>
      <c r="CE326" s="1620">
        <f t="shared" si="65"/>
        <v>286417</v>
      </c>
      <c r="CF326" s="1620">
        <f t="shared" si="65"/>
        <v>14055.615384615385</v>
      </c>
      <c r="CG326" s="1620">
        <f t="shared" si="65"/>
        <v>771266.92307692312</v>
      </c>
      <c r="CH326" s="1620">
        <f t="shared" si="65"/>
        <v>1039005</v>
      </c>
      <c r="CI326" s="1616"/>
    </row>
    <row r="327" spans="79:96" ht="13.8" thickTop="1">
      <c r="CA327" s="3275"/>
      <c r="CB327" s="2206"/>
      <c r="CC327" s="2206"/>
      <c r="CD327" s="2212"/>
      <c r="CE327" s="2212"/>
      <c r="CF327" s="2212"/>
      <c r="CG327" s="2212"/>
      <c r="CH327" s="2212"/>
      <c r="CI327" s="1616"/>
    </row>
    <row r="328" spans="79:96">
      <c r="CA328" s="3275"/>
      <c r="CB328" s="2206"/>
      <c r="CC328" s="2206"/>
      <c r="CD328" s="3275" t="s">
        <v>811</v>
      </c>
      <c r="CE328" s="3275" t="s">
        <v>811</v>
      </c>
      <c r="CF328" s="3275" t="s">
        <v>811</v>
      </c>
      <c r="CG328" s="3275" t="s">
        <v>811</v>
      </c>
      <c r="CH328" s="3275" t="s">
        <v>811</v>
      </c>
      <c r="CI328" s="1616"/>
    </row>
    <row r="329" spans="79:96">
      <c r="CA329" s="3275"/>
      <c r="CB329" s="2206"/>
      <c r="CC329" s="2206"/>
      <c r="CD329" s="1604" t="s">
        <v>812</v>
      </c>
      <c r="CE329" s="1604" t="s">
        <v>812</v>
      </c>
      <c r="CF329" s="1604" t="s">
        <v>812</v>
      </c>
      <c r="CG329" s="1604" t="s">
        <v>812</v>
      </c>
      <c r="CH329" s="1604" t="s">
        <v>812</v>
      </c>
      <c r="CI329" s="1616"/>
    </row>
    <row r="330" spans="79:96">
      <c r="CA330" s="3275"/>
      <c r="CB330" s="2206"/>
      <c r="CC330" s="2206"/>
      <c r="CD330" s="1604" t="s">
        <v>229</v>
      </c>
      <c r="CE330" s="1604" t="s">
        <v>229</v>
      </c>
      <c r="CF330" s="1604" t="s">
        <v>229</v>
      </c>
      <c r="CG330" s="1604" t="s">
        <v>229</v>
      </c>
      <c r="CH330" s="1604" t="s">
        <v>229</v>
      </c>
      <c r="CI330" s="2214"/>
    </row>
    <row r="331" spans="79:96">
      <c r="CA331" s="3275"/>
      <c r="CB331" s="1603"/>
      <c r="CC331" s="1603"/>
      <c r="CD331" s="2215"/>
      <c r="CE331" s="2215"/>
      <c r="CF331" s="2215"/>
      <c r="CG331" s="2215"/>
      <c r="CH331" s="2215"/>
      <c r="CI331" s="1603"/>
    </row>
    <row r="332" spans="79:96">
      <c r="CA332" s="3275"/>
      <c r="CB332" s="1603" t="s">
        <v>2158</v>
      </c>
      <c r="CC332" s="1603"/>
      <c r="CD332" s="1603"/>
      <c r="CE332" s="1603"/>
      <c r="CF332" s="1603"/>
      <c r="CG332" s="1603"/>
      <c r="CH332" s="1603"/>
      <c r="CI332" s="1603"/>
    </row>
    <row r="333" spans="79:96">
      <c r="CA333" s="1898"/>
      <c r="CB333" s="1603"/>
      <c r="CC333" s="1603"/>
      <c r="CD333" s="1603"/>
      <c r="CE333" s="1603"/>
      <c r="CF333" s="1603"/>
      <c r="CG333" s="1603"/>
      <c r="CH333" s="1603"/>
      <c r="CI333" s="1603"/>
    </row>
    <row r="334" spans="79:96">
      <c r="CJ334" s="1616" t="str">
        <f>COMPANY</f>
        <v>DUKE ENERGY KENTUCKY, INC.</v>
      </c>
      <c r="CK334" s="2206"/>
      <c r="CL334" s="2206"/>
      <c r="CM334" s="1603"/>
      <c r="CQ334" s="1616" t="s">
        <v>1883</v>
      </c>
      <c r="CR334" s="2216"/>
    </row>
    <row r="335" spans="79:96">
      <c r="CJ335" s="1616" t="str">
        <f>DEPT</f>
        <v>GAS DEPARTMENT</v>
      </c>
      <c r="CK335" s="2206"/>
      <c r="CL335" s="2206"/>
      <c r="CM335" s="1614"/>
      <c r="CQ335" s="1898" t="s">
        <v>566</v>
      </c>
      <c r="CR335" s="2217"/>
    </row>
    <row r="336" spans="79:96">
      <c r="CJ336" s="1898" t="str">
        <f>CASE</f>
        <v>CASE NO. 2018-00261</v>
      </c>
      <c r="CK336" s="2206"/>
      <c r="CL336" s="2206"/>
      <c r="CM336" s="1614"/>
      <c r="CQ336" s="1603" t="str">
        <f>_WIT9</f>
        <v>R. H. PRATT</v>
      </c>
      <c r="CR336" s="1610"/>
    </row>
    <row r="337" spans="88:97">
      <c r="CJ337" s="1740" t="s">
        <v>2545</v>
      </c>
      <c r="CK337" s="2206"/>
      <c r="CL337" s="2206"/>
      <c r="CM337" s="1614"/>
    </row>
    <row r="338" spans="88:97">
      <c r="CJ338" s="1740" t="s">
        <v>2542</v>
      </c>
      <c r="CK338" s="2206"/>
      <c r="CL338" s="2206"/>
      <c r="CM338" s="1614"/>
      <c r="CN338" s="1603"/>
    </row>
    <row r="339" spans="88:97">
      <c r="CJ339" s="1603"/>
      <c r="CK339" s="2206"/>
      <c r="CL339" s="2206"/>
      <c r="CM339" s="1614"/>
      <c r="CN339" s="1612"/>
    </row>
    <row r="340" spans="88:97">
      <c r="CJ340" s="1603"/>
      <c r="CK340" s="2206"/>
      <c r="CL340" s="2206"/>
      <c r="CM340" s="1614"/>
      <c r="CN340" s="1612"/>
    </row>
    <row r="341" spans="88:97">
      <c r="CJ341" s="1603"/>
      <c r="CK341" s="2206"/>
      <c r="CL341" s="2206"/>
      <c r="CM341" s="1614"/>
      <c r="CN341" s="1612"/>
    </row>
    <row r="342" spans="88:97">
      <c r="CJ342" s="1603"/>
      <c r="CK342" s="1603"/>
      <c r="CL342" s="1603"/>
      <c r="CM342" s="1888" t="s">
        <v>1759</v>
      </c>
      <c r="CN342" s="1888"/>
      <c r="CO342" s="2218"/>
      <c r="CP342" s="1904" t="s">
        <v>1762</v>
      </c>
      <c r="CQ342" s="1182" t="s">
        <v>2533</v>
      </c>
      <c r="CR342" s="1904"/>
      <c r="CS342" s="1182" t="s">
        <v>50</v>
      </c>
    </row>
    <row r="343" spans="88:97">
      <c r="CJ343" s="3275" t="s">
        <v>1938</v>
      </c>
      <c r="CK343" s="1603"/>
      <c r="CL343" s="1603"/>
      <c r="CM343" s="2167"/>
      <c r="CN343" s="2167"/>
      <c r="CO343" s="2219"/>
      <c r="CP343" s="2167" t="s">
        <v>230</v>
      </c>
      <c r="CQ343" s="2167" t="s">
        <v>231</v>
      </c>
      <c r="CR343" s="2219"/>
      <c r="CS343" s="2167" t="s">
        <v>231</v>
      </c>
    </row>
    <row r="344" spans="88:97">
      <c r="CJ344" s="2164" t="s">
        <v>1939</v>
      </c>
      <c r="CK344" s="2164" t="s">
        <v>283</v>
      </c>
      <c r="CL344" s="1603"/>
      <c r="CM344" s="2164" t="s">
        <v>1760</v>
      </c>
      <c r="CN344" s="2164" t="s">
        <v>1761</v>
      </c>
      <c r="CO344" s="1909"/>
      <c r="CP344" s="2164" t="s">
        <v>1763</v>
      </c>
      <c r="CQ344" s="2164" t="s">
        <v>2546</v>
      </c>
      <c r="CR344" s="1909"/>
      <c r="CS344" s="2164" t="s">
        <v>232</v>
      </c>
    </row>
    <row r="345" spans="88:97">
      <c r="CJ345" s="1616"/>
      <c r="CK345" s="1603"/>
      <c r="CL345" s="1603"/>
      <c r="CM345" s="3275" t="s">
        <v>695</v>
      </c>
      <c r="CN345" s="3275" t="s">
        <v>695</v>
      </c>
      <c r="CO345" s="1901"/>
      <c r="CP345" s="3275" t="s">
        <v>695</v>
      </c>
      <c r="CQ345" s="3275" t="s">
        <v>695</v>
      </c>
      <c r="CR345" s="1901"/>
      <c r="CS345" s="3275" t="s">
        <v>695</v>
      </c>
    </row>
    <row r="346" spans="88:97">
      <c r="CJ346" s="3275">
        <v>1</v>
      </c>
      <c r="CK346" s="2254" t="s">
        <v>2000</v>
      </c>
      <c r="CL346" s="1603"/>
      <c r="CM346" s="2220"/>
      <c r="CN346" s="2220"/>
      <c r="CO346" s="1901"/>
      <c r="CP346" s="2158"/>
      <c r="CQ346" s="2158"/>
      <c r="CR346" s="1901"/>
      <c r="CS346" s="2157"/>
    </row>
    <row r="347" spans="88:97">
      <c r="CJ347" s="3275">
        <v>2</v>
      </c>
      <c r="CK347" s="2208" t="str">
        <f t="shared" ref="CK347:CK358" si="66">K49</f>
        <v>December 2017</v>
      </c>
      <c r="CL347" s="1603"/>
      <c r="CM347" s="1718">
        <v>13167725</v>
      </c>
      <c r="CN347" s="1718">
        <v>4186549</v>
      </c>
      <c r="CO347" s="1901"/>
      <c r="CP347" s="1718">
        <v>592942</v>
      </c>
      <c r="CQ347" s="1718">
        <v>0</v>
      </c>
      <c r="CR347" s="1901"/>
      <c r="CS347" s="1718">
        <v>717397</v>
      </c>
    </row>
    <row r="348" spans="88:97">
      <c r="CJ348" s="3275">
        <f t="shared" ref="CJ348:CJ376" si="67">1+CJ347</f>
        <v>3</v>
      </c>
      <c r="CK348" s="2208" t="str">
        <f t="shared" si="66"/>
        <v>January 2018</v>
      </c>
      <c r="CL348" s="1603"/>
      <c r="CM348" s="1718">
        <v>12660986</v>
      </c>
      <c r="CN348" s="1718">
        <v>2795991</v>
      </c>
      <c r="CO348" s="1901"/>
      <c r="CP348" s="1718">
        <v>500788</v>
      </c>
      <c r="CQ348" s="1718">
        <v>0</v>
      </c>
      <c r="CR348" s="1901"/>
      <c r="CS348" s="1718">
        <v>717397</v>
      </c>
    </row>
    <row r="349" spans="88:97">
      <c r="CJ349" s="3275">
        <f t="shared" si="67"/>
        <v>4</v>
      </c>
      <c r="CK349" s="2208" t="str">
        <f t="shared" si="66"/>
        <v>February</v>
      </c>
      <c r="CL349" s="1603"/>
      <c r="CM349" s="1718">
        <v>12109455</v>
      </c>
      <c r="CN349" s="1718">
        <v>145780</v>
      </c>
      <c r="CO349" s="1901"/>
      <c r="CP349" s="1718">
        <v>536208</v>
      </c>
      <c r="CQ349" s="1718">
        <v>0</v>
      </c>
      <c r="CR349" s="1901"/>
      <c r="CS349" s="1718">
        <v>717397</v>
      </c>
    </row>
    <row r="350" spans="88:97">
      <c r="CJ350" s="3275">
        <f t="shared" si="67"/>
        <v>5</v>
      </c>
      <c r="CK350" s="2208" t="str">
        <f t="shared" si="66"/>
        <v>March</v>
      </c>
      <c r="CL350" s="1603"/>
      <c r="CM350" s="1718">
        <v>12609563</v>
      </c>
      <c r="CN350" s="1718">
        <v>75</v>
      </c>
      <c r="CO350" s="1901"/>
      <c r="CP350" s="1718">
        <v>417661</v>
      </c>
      <c r="CQ350" s="1718">
        <v>0</v>
      </c>
      <c r="CR350" s="1901"/>
      <c r="CS350" s="1718">
        <v>581094</v>
      </c>
    </row>
    <row r="351" spans="88:97">
      <c r="CJ351" s="3275">
        <f t="shared" si="67"/>
        <v>6</v>
      </c>
      <c r="CK351" s="2208" t="str">
        <f t="shared" si="66"/>
        <v>April</v>
      </c>
      <c r="CL351" s="1603"/>
      <c r="CM351" s="1718">
        <v>10795018</v>
      </c>
      <c r="CN351" s="1718">
        <v>335127</v>
      </c>
      <c r="CO351" s="1901"/>
      <c r="CP351" s="1718">
        <v>417661</v>
      </c>
      <c r="CQ351" s="1718">
        <v>0</v>
      </c>
      <c r="CR351" s="1901"/>
      <c r="CS351" s="1718">
        <v>507820</v>
      </c>
    </row>
    <row r="352" spans="88:97">
      <c r="CJ352" s="3275">
        <f t="shared" si="67"/>
        <v>7</v>
      </c>
      <c r="CK352" s="2208" t="str">
        <f t="shared" si="66"/>
        <v>May</v>
      </c>
      <c r="CL352" s="1603"/>
      <c r="CM352" s="1718">
        <v>10942376</v>
      </c>
      <c r="CN352" s="1718">
        <v>2741998</v>
      </c>
      <c r="CO352" s="1901"/>
      <c r="CP352" s="1718">
        <v>727368</v>
      </c>
      <c r="CQ352" s="1718">
        <v>0</v>
      </c>
      <c r="CR352" s="1901"/>
      <c r="CS352" s="1718">
        <v>480388</v>
      </c>
    </row>
    <row r="353" spans="88:97">
      <c r="CJ353" s="3275">
        <f t="shared" si="67"/>
        <v>8</v>
      </c>
      <c r="CK353" s="2208" t="str">
        <f t="shared" si="66"/>
        <v>June</v>
      </c>
      <c r="CL353" s="2221"/>
      <c r="CM353" s="1892">
        <f>$CM$347</f>
        <v>13167725</v>
      </c>
      <c r="CN353" s="1892">
        <f>$CN$347</f>
        <v>4186549</v>
      </c>
      <c r="CO353" s="2259"/>
      <c r="CP353" s="1892">
        <f>$CP$347</f>
        <v>592942</v>
      </c>
      <c r="CQ353" s="1892">
        <f>$CQ$347</f>
        <v>0</v>
      </c>
      <c r="CR353" s="2259"/>
      <c r="CS353" s="1892">
        <f>$CS$347</f>
        <v>717397</v>
      </c>
    </row>
    <row r="354" spans="88:97">
      <c r="CJ354" s="3275">
        <f t="shared" si="67"/>
        <v>9</v>
      </c>
      <c r="CK354" s="2208" t="str">
        <f t="shared" si="66"/>
        <v>July</v>
      </c>
      <c r="CL354" s="2221"/>
      <c r="CM354" s="1892">
        <f t="shared" ref="CM354:CM358" si="68">$CM$347</f>
        <v>13167725</v>
      </c>
      <c r="CN354" s="1892">
        <f t="shared" ref="CN354:CN358" si="69">$CN$347</f>
        <v>4186549</v>
      </c>
      <c r="CO354" s="2259"/>
      <c r="CP354" s="1892">
        <f t="shared" ref="CP354:CP358" si="70">$CP$347</f>
        <v>592942</v>
      </c>
      <c r="CQ354" s="1892">
        <f t="shared" ref="CQ354:CQ358" si="71">$CQ$347</f>
        <v>0</v>
      </c>
      <c r="CR354" s="2259"/>
      <c r="CS354" s="1892">
        <f t="shared" ref="CS354:CS358" si="72">$CS$347</f>
        <v>717397</v>
      </c>
    </row>
    <row r="355" spans="88:97">
      <c r="CJ355" s="3275">
        <f t="shared" si="67"/>
        <v>10</v>
      </c>
      <c r="CK355" s="2208" t="str">
        <f t="shared" si="66"/>
        <v>August</v>
      </c>
      <c r="CL355" s="2221"/>
      <c r="CM355" s="1892">
        <f t="shared" si="68"/>
        <v>13167725</v>
      </c>
      <c r="CN355" s="1892">
        <f t="shared" si="69"/>
        <v>4186549</v>
      </c>
      <c r="CO355" s="2259"/>
      <c r="CP355" s="1892">
        <f t="shared" si="70"/>
        <v>592942</v>
      </c>
      <c r="CQ355" s="1892">
        <f t="shared" si="71"/>
        <v>0</v>
      </c>
      <c r="CR355" s="2259"/>
      <c r="CS355" s="1892">
        <f t="shared" si="72"/>
        <v>717397</v>
      </c>
    </row>
    <row r="356" spans="88:97">
      <c r="CJ356" s="3275">
        <f t="shared" si="67"/>
        <v>11</v>
      </c>
      <c r="CK356" s="2208" t="str">
        <f t="shared" si="66"/>
        <v>September</v>
      </c>
      <c r="CL356" s="1603"/>
      <c r="CM356" s="1892">
        <f t="shared" si="68"/>
        <v>13167725</v>
      </c>
      <c r="CN356" s="1892">
        <f t="shared" si="69"/>
        <v>4186549</v>
      </c>
      <c r="CO356" s="2259"/>
      <c r="CP356" s="1892">
        <f t="shared" si="70"/>
        <v>592942</v>
      </c>
      <c r="CQ356" s="1892">
        <f t="shared" si="71"/>
        <v>0</v>
      </c>
      <c r="CR356" s="2259"/>
      <c r="CS356" s="1892">
        <f t="shared" si="72"/>
        <v>717397</v>
      </c>
    </row>
    <row r="357" spans="88:97">
      <c r="CJ357" s="3275">
        <f t="shared" si="67"/>
        <v>12</v>
      </c>
      <c r="CK357" s="2208" t="str">
        <f t="shared" si="66"/>
        <v>October</v>
      </c>
      <c r="CL357" s="1603"/>
      <c r="CM357" s="1892">
        <f t="shared" si="68"/>
        <v>13167725</v>
      </c>
      <c r="CN357" s="1892">
        <f t="shared" si="69"/>
        <v>4186549</v>
      </c>
      <c r="CO357" s="2259"/>
      <c r="CP357" s="1892">
        <f t="shared" si="70"/>
        <v>592942</v>
      </c>
      <c r="CQ357" s="1892">
        <f t="shared" si="71"/>
        <v>0</v>
      </c>
      <c r="CR357" s="2259"/>
      <c r="CS357" s="1892">
        <f t="shared" si="72"/>
        <v>717397</v>
      </c>
    </row>
    <row r="358" spans="88:97">
      <c r="CJ358" s="3275">
        <f t="shared" si="67"/>
        <v>13</v>
      </c>
      <c r="CK358" s="2208" t="str">
        <f t="shared" si="66"/>
        <v>November</v>
      </c>
      <c r="CL358" s="1603"/>
      <c r="CM358" s="1892">
        <f t="shared" si="68"/>
        <v>13167725</v>
      </c>
      <c r="CN358" s="1892">
        <f t="shared" si="69"/>
        <v>4186549</v>
      </c>
      <c r="CO358" s="2259"/>
      <c r="CP358" s="1892">
        <f t="shared" si="70"/>
        <v>592942</v>
      </c>
      <c r="CQ358" s="1892">
        <f t="shared" si="71"/>
        <v>0</v>
      </c>
      <c r="CR358" s="2259"/>
      <c r="CS358" s="1892">
        <f t="shared" si="72"/>
        <v>717397</v>
      </c>
    </row>
    <row r="359" spans="88:97">
      <c r="CJ359" s="3275">
        <f t="shared" si="67"/>
        <v>14</v>
      </c>
      <c r="CK359" s="1603"/>
      <c r="CL359" s="1603"/>
      <c r="CM359" s="1596"/>
      <c r="CN359" s="1596"/>
      <c r="CO359" s="2222"/>
      <c r="CP359" s="1596"/>
      <c r="CQ359" s="1596"/>
      <c r="CR359" s="2223"/>
      <c r="CS359" s="1596"/>
    </row>
    <row r="360" spans="88:97">
      <c r="CJ360" s="3275">
        <f t="shared" si="67"/>
        <v>15</v>
      </c>
      <c r="CK360" s="2254" t="s">
        <v>1234</v>
      </c>
      <c r="CL360" s="1603"/>
      <c r="CM360" s="1596"/>
      <c r="CN360" s="1596"/>
      <c r="CO360" s="2222"/>
      <c r="CP360" s="1596"/>
      <c r="CQ360" s="1596"/>
      <c r="CR360" s="2223"/>
      <c r="CS360" s="1596"/>
    </row>
    <row r="361" spans="88:97">
      <c r="CJ361" s="3275">
        <f t="shared" si="67"/>
        <v>16</v>
      </c>
      <c r="CK361" s="2208" t="str">
        <f t="shared" ref="CK361:CK373" si="73">K63</f>
        <v>March 2019</v>
      </c>
      <c r="CL361" s="1603"/>
      <c r="CM361" s="1892">
        <f t="shared" ref="CM361:CM373" si="74">$CM$347</f>
        <v>13167725</v>
      </c>
      <c r="CN361" s="1892">
        <f t="shared" ref="CN361:CN373" si="75">$CN$347</f>
        <v>4186549</v>
      </c>
      <c r="CO361" s="2259"/>
      <c r="CP361" s="1892">
        <f t="shared" ref="CP361:CP373" si="76">$CP$347</f>
        <v>592942</v>
      </c>
      <c r="CQ361" s="1892">
        <f t="shared" ref="CQ361:CQ373" si="77">$CQ$347</f>
        <v>0</v>
      </c>
      <c r="CR361" s="2259"/>
      <c r="CS361" s="1892">
        <f t="shared" ref="CS361:CS373" si="78">$CS$347</f>
        <v>717397</v>
      </c>
    </row>
    <row r="362" spans="88:97">
      <c r="CJ362" s="3275">
        <f t="shared" si="67"/>
        <v>17</v>
      </c>
      <c r="CK362" s="2208" t="str">
        <f t="shared" si="73"/>
        <v>April</v>
      </c>
      <c r="CL362" s="1603"/>
      <c r="CM362" s="1892">
        <f t="shared" si="74"/>
        <v>13167725</v>
      </c>
      <c r="CN362" s="1892">
        <f t="shared" si="75"/>
        <v>4186549</v>
      </c>
      <c r="CO362" s="2259"/>
      <c r="CP362" s="1892">
        <f t="shared" si="76"/>
        <v>592942</v>
      </c>
      <c r="CQ362" s="1892">
        <f t="shared" si="77"/>
        <v>0</v>
      </c>
      <c r="CR362" s="2259"/>
      <c r="CS362" s="1892">
        <f t="shared" si="78"/>
        <v>717397</v>
      </c>
    </row>
    <row r="363" spans="88:97">
      <c r="CJ363" s="3275">
        <f t="shared" si="67"/>
        <v>18</v>
      </c>
      <c r="CK363" s="2208" t="str">
        <f t="shared" si="73"/>
        <v>May</v>
      </c>
      <c r="CL363" s="1603"/>
      <c r="CM363" s="1892">
        <f t="shared" si="74"/>
        <v>13167725</v>
      </c>
      <c r="CN363" s="1892">
        <f t="shared" si="75"/>
        <v>4186549</v>
      </c>
      <c r="CO363" s="2259"/>
      <c r="CP363" s="1892">
        <f t="shared" si="76"/>
        <v>592942</v>
      </c>
      <c r="CQ363" s="1892">
        <f t="shared" si="77"/>
        <v>0</v>
      </c>
      <c r="CR363" s="2259"/>
      <c r="CS363" s="1892">
        <f t="shared" si="78"/>
        <v>717397</v>
      </c>
    </row>
    <row r="364" spans="88:97">
      <c r="CJ364" s="3275">
        <f t="shared" si="67"/>
        <v>19</v>
      </c>
      <c r="CK364" s="2208" t="str">
        <f t="shared" si="73"/>
        <v>June</v>
      </c>
      <c r="CL364" s="1603"/>
      <c r="CM364" s="1892">
        <f t="shared" si="74"/>
        <v>13167725</v>
      </c>
      <c r="CN364" s="1892">
        <f t="shared" si="75"/>
        <v>4186549</v>
      </c>
      <c r="CO364" s="2259"/>
      <c r="CP364" s="1892">
        <f t="shared" si="76"/>
        <v>592942</v>
      </c>
      <c r="CQ364" s="1892">
        <f t="shared" si="77"/>
        <v>0</v>
      </c>
      <c r="CR364" s="2259"/>
      <c r="CS364" s="1892">
        <f t="shared" si="78"/>
        <v>717397</v>
      </c>
    </row>
    <row r="365" spans="88:97">
      <c r="CJ365" s="3275">
        <f t="shared" si="67"/>
        <v>20</v>
      </c>
      <c r="CK365" s="2208" t="str">
        <f t="shared" si="73"/>
        <v>July</v>
      </c>
      <c r="CL365" s="1603"/>
      <c r="CM365" s="1892">
        <f t="shared" si="74"/>
        <v>13167725</v>
      </c>
      <c r="CN365" s="1892">
        <f t="shared" si="75"/>
        <v>4186549</v>
      </c>
      <c r="CO365" s="2259"/>
      <c r="CP365" s="1892">
        <f t="shared" si="76"/>
        <v>592942</v>
      </c>
      <c r="CQ365" s="1892">
        <f t="shared" si="77"/>
        <v>0</v>
      </c>
      <c r="CR365" s="2259"/>
      <c r="CS365" s="1892">
        <f t="shared" si="78"/>
        <v>717397</v>
      </c>
    </row>
    <row r="366" spans="88:97">
      <c r="CJ366" s="3275">
        <f t="shared" si="67"/>
        <v>21</v>
      </c>
      <c r="CK366" s="2208" t="str">
        <f t="shared" si="73"/>
        <v>August</v>
      </c>
      <c r="CL366" s="1603"/>
      <c r="CM366" s="1892">
        <f t="shared" si="74"/>
        <v>13167725</v>
      </c>
      <c r="CN366" s="1892">
        <f t="shared" si="75"/>
        <v>4186549</v>
      </c>
      <c r="CO366" s="2259"/>
      <c r="CP366" s="1892">
        <f t="shared" si="76"/>
        <v>592942</v>
      </c>
      <c r="CQ366" s="1892">
        <f t="shared" si="77"/>
        <v>0</v>
      </c>
      <c r="CR366" s="2259"/>
      <c r="CS366" s="1892">
        <f t="shared" si="78"/>
        <v>717397</v>
      </c>
    </row>
    <row r="367" spans="88:97">
      <c r="CJ367" s="3275">
        <f t="shared" si="67"/>
        <v>22</v>
      </c>
      <c r="CK367" s="2208" t="str">
        <f t="shared" si="73"/>
        <v>September</v>
      </c>
      <c r="CL367" s="1603"/>
      <c r="CM367" s="1892">
        <f t="shared" si="74"/>
        <v>13167725</v>
      </c>
      <c r="CN367" s="1892">
        <f t="shared" si="75"/>
        <v>4186549</v>
      </c>
      <c r="CO367" s="2259"/>
      <c r="CP367" s="1892">
        <f t="shared" si="76"/>
        <v>592942</v>
      </c>
      <c r="CQ367" s="1892">
        <f t="shared" si="77"/>
        <v>0</v>
      </c>
      <c r="CR367" s="2259"/>
      <c r="CS367" s="1892">
        <f t="shared" si="78"/>
        <v>717397</v>
      </c>
    </row>
    <row r="368" spans="88:97">
      <c r="CJ368" s="3275">
        <f t="shared" si="67"/>
        <v>23</v>
      </c>
      <c r="CK368" s="2208" t="str">
        <f t="shared" si="73"/>
        <v>October</v>
      </c>
      <c r="CL368" s="1603"/>
      <c r="CM368" s="1892">
        <f t="shared" si="74"/>
        <v>13167725</v>
      </c>
      <c r="CN368" s="1892">
        <f t="shared" si="75"/>
        <v>4186549</v>
      </c>
      <c r="CO368" s="2259"/>
      <c r="CP368" s="1892">
        <f t="shared" si="76"/>
        <v>592942</v>
      </c>
      <c r="CQ368" s="1892">
        <f t="shared" si="77"/>
        <v>0</v>
      </c>
      <c r="CR368" s="2259"/>
      <c r="CS368" s="1892">
        <f t="shared" si="78"/>
        <v>717397</v>
      </c>
    </row>
    <row r="369" spans="60:97">
      <c r="CJ369" s="3275">
        <f t="shared" si="67"/>
        <v>24</v>
      </c>
      <c r="CK369" s="2208" t="str">
        <f t="shared" si="73"/>
        <v>November</v>
      </c>
      <c r="CL369" s="1603"/>
      <c r="CM369" s="1892">
        <f t="shared" si="74"/>
        <v>13167725</v>
      </c>
      <c r="CN369" s="1892">
        <f t="shared" si="75"/>
        <v>4186549</v>
      </c>
      <c r="CO369" s="2259"/>
      <c r="CP369" s="1892">
        <f t="shared" si="76"/>
        <v>592942</v>
      </c>
      <c r="CQ369" s="1892">
        <f t="shared" si="77"/>
        <v>0</v>
      </c>
      <c r="CR369" s="2259"/>
      <c r="CS369" s="1892">
        <f t="shared" si="78"/>
        <v>717397</v>
      </c>
    </row>
    <row r="370" spans="60:97">
      <c r="CJ370" s="3275">
        <f t="shared" si="67"/>
        <v>25</v>
      </c>
      <c r="CK370" s="2208" t="str">
        <f t="shared" si="73"/>
        <v>December</v>
      </c>
      <c r="CL370" s="1603"/>
      <c r="CM370" s="1892">
        <f t="shared" si="74"/>
        <v>13167725</v>
      </c>
      <c r="CN370" s="1892">
        <f t="shared" si="75"/>
        <v>4186549</v>
      </c>
      <c r="CO370" s="2259"/>
      <c r="CP370" s="1892">
        <f t="shared" si="76"/>
        <v>592942</v>
      </c>
      <c r="CQ370" s="1892">
        <f t="shared" si="77"/>
        <v>0</v>
      </c>
      <c r="CR370" s="2259"/>
      <c r="CS370" s="1892">
        <f t="shared" si="78"/>
        <v>717397</v>
      </c>
    </row>
    <row r="371" spans="60:97">
      <c r="CJ371" s="3275">
        <f t="shared" si="67"/>
        <v>26</v>
      </c>
      <c r="CK371" s="2208" t="str">
        <f t="shared" si="73"/>
        <v>January 2020</v>
      </c>
      <c r="CL371" s="1603"/>
      <c r="CM371" s="1892">
        <f t="shared" si="74"/>
        <v>13167725</v>
      </c>
      <c r="CN371" s="1892">
        <f t="shared" si="75"/>
        <v>4186549</v>
      </c>
      <c r="CO371" s="2259"/>
      <c r="CP371" s="1892">
        <f t="shared" si="76"/>
        <v>592942</v>
      </c>
      <c r="CQ371" s="1892">
        <f t="shared" si="77"/>
        <v>0</v>
      </c>
      <c r="CR371" s="2259"/>
      <c r="CS371" s="1892">
        <f t="shared" si="78"/>
        <v>717397</v>
      </c>
    </row>
    <row r="372" spans="60:97">
      <c r="CJ372" s="3275">
        <f t="shared" si="67"/>
        <v>27</v>
      </c>
      <c r="CK372" s="2208" t="str">
        <f t="shared" si="73"/>
        <v>February</v>
      </c>
      <c r="CL372" s="1603"/>
      <c r="CM372" s="1892">
        <f t="shared" si="74"/>
        <v>13167725</v>
      </c>
      <c r="CN372" s="1892">
        <f t="shared" si="75"/>
        <v>4186549</v>
      </c>
      <c r="CO372" s="2259"/>
      <c r="CP372" s="1892">
        <f t="shared" si="76"/>
        <v>592942</v>
      </c>
      <c r="CQ372" s="1892">
        <f t="shared" si="77"/>
        <v>0</v>
      </c>
      <c r="CR372" s="2259"/>
      <c r="CS372" s="1892">
        <f t="shared" si="78"/>
        <v>717397</v>
      </c>
    </row>
    <row r="373" spans="60:97">
      <c r="CJ373" s="3275">
        <f t="shared" si="67"/>
        <v>28</v>
      </c>
      <c r="CK373" s="2208" t="str">
        <f t="shared" si="73"/>
        <v>March</v>
      </c>
      <c r="CL373" s="1603"/>
      <c r="CM373" s="1892">
        <f t="shared" si="74"/>
        <v>13167725</v>
      </c>
      <c r="CN373" s="1892">
        <f t="shared" si="75"/>
        <v>4186549</v>
      </c>
      <c r="CO373" s="2259"/>
      <c r="CP373" s="1892">
        <f t="shared" si="76"/>
        <v>592942</v>
      </c>
      <c r="CQ373" s="1892">
        <f t="shared" si="77"/>
        <v>0</v>
      </c>
      <c r="CR373" s="2259"/>
      <c r="CS373" s="1892">
        <f t="shared" si="78"/>
        <v>717397</v>
      </c>
    </row>
    <row r="374" spans="60:97" ht="13.8" thickBot="1">
      <c r="CJ374" s="3275">
        <f t="shared" si="67"/>
        <v>29</v>
      </c>
      <c r="CK374" s="3275" t="s">
        <v>2153</v>
      </c>
      <c r="CL374" s="1603"/>
      <c r="CM374" s="2172">
        <f>SUM(CM361:CM373)</f>
        <v>171180425</v>
      </c>
      <c r="CN374" s="2172">
        <f>SUM(CN361:CN373)</f>
        <v>54425137</v>
      </c>
      <c r="CO374" s="1619"/>
      <c r="CP374" s="2172">
        <f>SUM(CP361:CP373)</f>
        <v>7708246</v>
      </c>
      <c r="CQ374" s="2172">
        <f>SUM(CQ361:CQ373)</f>
        <v>0</v>
      </c>
      <c r="CR374" s="1619"/>
      <c r="CS374" s="2172">
        <f>SUM(CS361:CS373)</f>
        <v>9326161</v>
      </c>
    </row>
    <row r="375" spans="60:97" ht="13.8" thickTop="1">
      <c r="CJ375" s="3275">
        <f t="shared" si="67"/>
        <v>30</v>
      </c>
      <c r="CK375" s="1603"/>
      <c r="CL375" s="1603"/>
      <c r="CM375" s="2212"/>
      <c r="CN375" s="2212"/>
      <c r="CO375" s="2211"/>
      <c r="CP375" s="2212"/>
      <c r="CQ375" s="2212"/>
      <c r="CR375" s="2211"/>
      <c r="CS375" s="2212"/>
    </row>
    <row r="376" spans="60:97" ht="13.8" thickBot="1">
      <c r="CJ376" s="3275">
        <f t="shared" si="67"/>
        <v>31</v>
      </c>
      <c r="CK376" s="1616" t="s">
        <v>2107</v>
      </c>
      <c r="CL376" s="1603"/>
      <c r="CM376" s="1620">
        <f t="shared" ref="CM376:CS376" si="79">CM374/13</f>
        <v>13167725</v>
      </c>
      <c r="CN376" s="1620">
        <f t="shared" si="79"/>
        <v>4186549</v>
      </c>
      <c r="CO376" s="1619"/>
      <c r="CP376" s="1620">
        <f t="shared" si="79"/>
        <v>592942</v>
      </c>
      <c r="CQ376" s="1620">
        <f>CQ374/13</f>
        <v>0</v>
      </c>
      <c r="CR376" s="1619"/>
      <c r="CS376" s="1620">
        <f t="shared" si="79"/>
        <v>717397</v>
      </c>
    </row>
    <row r="377" spans="60:97" ht="13.8" thickTop="1">
      <c r="CK377" s="2206"/>
      <c r="CL377" s="2206"/>
      <c r="CM377" s="2212"/>
      <c r="CN377" s="2212"/>
      <c r="CO377" s="2211"/>
      <c r="CP377" s="2212"/>
      <c r="CQ377" s="2212"/>
      <c r="CR377" s="2211"/>
      <c r="CS377" s="2212"/>
    </row>
    <row r="378" spans="60:97">
      <c r="CK378" s="2206"/>
      <c r="CL378" s="2206"/>
      <c r="CM378" s="3275" t="s">
        <v>811</v>
      </c>
      <c r="CN378" s="3275" t="s">
        <v>811</v>
      </c>
      <c r="CO378" s="1901"/>
      <c r="CP378" s="3275" t="s">
        <v>811</v>
      </c>
      <c r="CQ378" s="3275" t="s">
        <v>811</v>
      </c>
      <c r="CR378" s="1901"/>
      <c r="CS378" s="3275" t="s">
        <v>811</v>
      </c>
    </row>
    <row r="379" spans="60:97">
      <c r="CK379" s="2206"/>
      <c r="CL379" s="2206"/>
      <c r="CM379" s="1604" t="s">
        <v>812</v>
      </c>
      <c r="CN379" s="1604" t="s">
        <v>812</v>
      </c>
      <c r="CO379" s="2027"/>
      <c r="CP379" s="1604" t="s">
        <v>812</v>
      </c>
      <c r="CQ379" s="1604" t="s">
        <v>812</v>
      </c>
      <c r="CR379" s="2027"/>
      <c r="CS379" s="1604" t="s">
        <v>812</v>
      </c>
    </row>
    <row r="380" spans="60:97">
      <c r="CK380" s="2206"/>
      <c r="CL380" s="2206"/>
      <c r="CM380" s="1604" t="s">
        <v>233</v>
      </c>
      <c r="CN380" s="1604" t="s">
        <v>233</v>
      </c>
      <c r="CO380" s="2027"/>
      <c r="CP380" s="1604" t="s">
        <v>233</v>
      </c>
      <c r="CQ380" s="1604" t="s">
        <v>233</v>
      </c>
      <c r="CR380" s="2027"/>
      <c r="CS380" s="1604" t="s">
        <v>233</v>
      </c>
    </row>
    <row r="381" spans="60:97">
      <c r="CJ381" s="3275"/>
      <c r="CK381" s="1603"/>
      <c r="CL381" s="1603"/>
      <c r="CM381" s="2215"/>
      <c r="CN381" s="1612"/>
      <c r="CO381" s="1619"/>
      <c r="CP381" s="1612"/>
    </row>
    <row r="382" spans="60:97">
      <c r="CJ382" s="3275"/>
      <c r="CK382" s="1603" t="s">
        <v>2158</v>
      </c>
      <c r="CL382" s="1603"/>
      <c r="CM382" s="1603"/>
      <c r="CN382" s="1603"/>
      <c r="CO382" s="1610"/>
      <c r="CP382" s="1603"/>
    </row>
    <row r="383" spans="60:97">
      <c r="BH383" s="2025"/>
      <c r="BI383" s="2025"/>
      <c r="BJ383" s="2025"/>
      <c r="BK383" s="2025"/>
      <c r="BL383" s="2025"/>
      <c r="BM383" s="2025"/>
      <c r="BN383" s="2025"/>
      <c r="BO383" s="2025"/>
      <c r="BP383" s="2025"/>
      <c r="BQ383" s="2025"/>
      <c r="BR383" s="2025"/>
      <c r="BS383" s="2025"/>
      <c r="BT383" s="2025"/>
      <c r="BU383" s="2025"/>
      <c r="CJ383" s="1898"/>
      <c r="CK383" s="1603"/>
      <c r="CL383" s="1603"/>
      <c r="CM383" s="1603"/>
      <c r="CN383" s="1603"/>
      <c r="CO383" s="1610"/>
      <c r="CP383" s="1603"/>
      <c r="CQ383" s="1603"/>
      <c r="CR383" s="1610"/>
    </row>
    <row r="384" spans="60:97">
      <c r="BH384" s="2025"/>
      <c r="BI384" s="2025"/>
      <c r="BJ384" s="2025"/>
      <c r="BK384" s="2025"/>
      <c r="BL384" s="2025"/>
      <c r="BM384" s="2025"/>
      <c r="BN384" s="2025"/>
      <c r="BO384" s="2025"/>
      <c r="BP384" s="2025"/>
      <c r="BQ384" s="2025"/>
      <c r="BR384" s="2025"/>
      <c r="BS384" s="2025"/>
      <c r="BT384" s="2025"/>
      <c r="BU384" s="2025"/>
    </row>
    <row r="385" spans="60:107">
      <c r="BH385" s="2025"/>
      <c r="BI385" s="2025"/>
      <c r="BJ385" s="2025"/>
      <c r="BK385" s="2025"/>
      <c r="BL385" s="2025"/>
      <c r="BM385" s="2025"/>
      <c r="BN385" s="2025"/>
      <c r="BO385" s="2025"/>
      <c r="BP385" s="2025"/>
      <c r="BQ385" s="2025"/>
      <c r="BR385" s="2025"/>
      <c r="BS385" s="2025"/>
      <c r="BT385" s="2025"/>
      <c r="BU385" s="2025"/>
      <c r="CJ385" s="2224"/>
      <c r="CU385" s="1616" t="str">
        <f>COMPANY</f>
        <v>DUKE ENERGY KENTUCKY, INC.</v>
      </c>
      <c r="CV385" s="2206"/>
      <c r="CW385" s="2206"/>
      <c r="CX385" s="1603"/>
      <c r="DB385" s="1616" t="s">
        <v>225</v>
      </c>
    </row>
    <row r="386" spans="60:107">
      <c r="BH386" s="2025"/>
      <c r="BI386" s="2025"/>
      <c r="BJ386" s="2025"/>
      <c r="BK386" s="2025"/>
      <c r="BL386" s="2025"/>
      <c r="BM386" s="2025"/>
      <c r="BN386" s="2025"/>
      <c r="BO386" s="2025"/>
      <c r="BP386" s="2025"/>
      <c r="BQ386" s="2025"/>
      <c r="BR386" s="2025"/>
      <c r="BS386" s="2025"/>
      <c r="BT386" s="2025"/>
      <c r="BU386" s="2025"/>
      <c r="CJ386" s="2224"/>
      <c r="CU386" s="1616" t="str">
        <f>DEPT</f>
        <v>GAS DEPARTMENT</v>
      </c>
      <c r="CV386" s="2206"/>
      <c r="CW386" s="2206"/>
      <c r="CX386" s="1614"/>
      <c r="DB386" s="1898" t="s">
        <v>566</v>
      </c>
    </row>
    <row r="387" spans="60:107">
      <c r="BH387" s="2025"/>
      <c r="BI387" s="2025"/>
      <c r="BJ387" s="2025"/>
      <c r="BK387" s="2025"/>
      <c r="BL387" s="2025"/>
      <c r="BM387" s="2025"/>
      <c r="BN387" s="2025"/>
      <c r="BO387" s="2025"/>
      <c r="BP387" s="2025"/>
      <c r="BQ387" s="2025"/>
      <c r="BR387" s="2025"/>
      <c r="BS387" s="2025"/>
      <c r="BT387" s="2025"/>
      <c r="BU387" s="2025"/>
      <c r="CJ387" s="2224"/>
      <c r="CU387" s="1898" t="str">
        <f>CASE</f>
        <v>CASE NO. 2018-00261</v>
      </c>
      <c r="CV387" s="2206"/>
      <c r="CW387" s="2206"/>
      <c r="CX387" s="1614"/>
      <c r="DB387" s="1603" t="str">
        <f>_WIT9</f>
        <v>R. H. PRATT</v>
      </c>
    </row>
    <row r="388" spans="60:107">
      <c r="BH388" s="2025"/>
      <c r="BI388" s="2025"/>
      <c r="BJ388" s="2025"/>
      <c r="BK388" s="2025"/>
      <c r="BL388" s="2025"/>
      <c r="BM388" s="2025"/>
      <c r="BN388" s="2025"/>
      <c r="BO388" s="2025"/>
      <c r="BP388" s="2025"/>
      <c r="BQ388" s="2025"/>
      <c r="BR388" s="2025"/>
      <c r="BS388" s="2025"/>
      <c r="BT388" s="2025"/>
      <c r="BU388" s="2025"/>
      <c r="CJ388" s="2224"/>
      <c r="CU388" s="1740" t="s">
        <v>2547</v>
      </c>
      <c r="CV388" s="2206"/>
      <c r="CW388" s="2206"/>
      <c r="CX388" s="1614"/>
    </row>
    <row r="389" spans="60:107">
      <c r="BH389" s="2025"/>
      <c r="BI389" s="2025"/>
      <c r="BJ389" s="2025"/>
      <c r="BK389" s="2025"/>
      <c r="BL389" s="2025"/>
      <c r="BM389" s="2025"/>
      <c r="BN389" s="2025"/>
      <c r="BO389" s="2025"/>
      <c r="BP389" s="2025"/>
      <c r="BQ389" s="2025"/>
      <c r="BR389" s="2025"/>
      <c r="BS389" s="2025"/>
      <c r="BT389" s="2025"/>
      <c r="BU389" s="2025"/>
      <c r="CJ389" s="2224"/>
      <c r="CU389" s="1740" t="s">
        <v>2542</v>
      </c>
      <c r="CV389" s="2206"/>
      <c r="CW389" s="2206"/>
      <c r="CX389" s="1614"/>
      <c r="CY389" s="1603"/>
    </row>
    <row r="390" spans="60:107">
      <c r="BH390" s="2025"/>
      <c r="BI390" s="2025"/>
      <c r="BJ390" s="2025"/>
      <c r="BK390" s="2025"/>
      <c r="BL390" s="2025"/>
      <c r="BM390" s="2025"/>
      <c r="BN390" s="2025"/>
      <c r="BO390" s="2025"/>
      <c r="BP390" s="2025"/>
      <c r="BQ390" s="2025"/>
      <c r="BR390" s="2025"/>
      <c r="BS390" s="2025"/>
      <c r="BT390" s="2025"/>
      <c r="BU390" s="2025"/>
      <c r="CJ390" s="2224"/>
      <c r="CU390" s="1603"/>
      <c r="CV390" s="2206"/>
      <c r="CW390" s="2206"/>
      <c r="CX390" s="1614"/>
      <c r="CY390" s="1612"/>
    </row>
    <row r="391" spans="60:107">
      <c r="BH391" s="2025"/>
      <c r="BI391" s="2025"/>
      <c r="BJ391" s="2025"/>
      <c r="BK391" s="2225"/>
      <c r="BL391" s="2226"/>
      <c r="BM391" s="2226"/>
      <c r="BN391" s="2227"/>
      <c r="BO391" s="2227"/>
      <c r="BP391" s="2228"/>
      <c r="BQ391" s="2025"/>
      <c r="BR391" s="2025"/>
      <c r="BS391" s="2227"/>
      <c r="BT391" s="2227"/>
      <c r="BU391" s="2025"/>
      <c r="CJ391" s="2224"/>
      <c r="CU391" s="1603"/>
      <c r="CV391" s="2206"/>
      <c r="CW391" s="2206"/>
      <c r="CX391" s="1614"/>
      <c r="CY391" s="1612"/>
    </row>
    <row r="392" spans="60:107">
      <c r="BH392" s="2025"/>
      <c r="BI392" s="2025"/>
      <c r="BJ392" s="2025"/>
      <c r="BK392" s="2225"/>
      <c r="BL392" s="2226"/>
      <c r="BM392" s="2226"/>
      <c r="BN392" s="2227"/>
      <c r="BO392" s="2227"/>
      <c r="BP392" s="2228"/>
      <c r="BQ392" s="2025"/>
      <c r="BR392" s="2227"/>
      <c r="BS392" s="2227"/>
      <c r="BT392" s="2227"/>
      <c r="BU392" s="2025"/>
      <c r="CJ392" s="2224"/>
      <c r="CU392" s="1603"/>
      <c r="CV392" s="2206"/>
      <c r="CW392" s="2206"/>
      <c r="CX392" s="1614"/>
      <c r="CY392" s="1612"/>
    </row>
    <row r="393" spans="60:107">
      <c r="BH393" s="2025"/>
      <c r="BI393" s="2025"/>
      <c r="BJ393" s="2025"/>
      <c r="BK393" s="2225"/>
      <c r="BL393" s="2226"/>
      <c r="BM393" s="2226"/>
      <c r="BN393" s="2227"/>
      <c r="BO393" s="2227"/>
      <c r="BP393" s="2228"/>
      <c r="BQ393" s="2025"/>
      <c r="BR393" s="2227"/>
      <c r="BS393" s="2227"/>
      <c r="BT393" s="2227"/>
      <c r="BU393" s="2025"/>
      <c r="CJ393" s="2224"/>
      <c r="CU393" s="1603"/>
      <c r="CV393" s="1603"/>
      <c r="CW393" s="1603"/>
      <c r="CX393" s="1904"/>
      <c r="CY393" s="1904"/>
      <c r="CZ393" s="1904"/>
      <c r="DA393" s="1904"/>
      <c r="DB393" s="2218"/>
      <c r="DC393" s="2218"/>
    </row>
    <row r="394" spans="60:107">
      <c r="BH394" s="2025"/>
      <c r="BI394" s="2025"/>
      <c r="BJ394" s="2025"/>
      <c r="BK394" s="2229"/>
      <c r="BL394" s="2227"/>
      <c r="BM394" s="2227"/>
      <c r="BN394" s="2230"/>
      <c r="BO394" s="2230"/>
      <c r="BP394" s="2230"/>
      <c r="BQ394" s="2025"/>
      <c r="BR394" s="2231"/>
      <c r="BS394" s="2227"/>
      <c r="BT394" s="2227"/>
      <c r="BU394" s="2025"/>
      <c r="CJ394" s="2224"/>
      <c r="CU394" s="3275" t="s">
        <v>1938</v>
      </c>
      <c r="CV394" s="1603"/>
      <c r="CW394" s="1603"/>
      <c r="CX394" s="2219"/>
      <c r="CY394" s="2219"/>
      <c r="CZ394" s="1904" t="s">
        <v>1667</v>
      </c>
      <c r="DA394" s="2218" t="s">
        <v>1668</v>
      </c>
      <c r="DB394" s="2218" t="s">
        <v>1668</v>
      </c>
      <c r="DC394" s="2167" t="s">
        <v>2153</v>
      </c>
    </row>
    <row r="395" spans="60:107">
      <c r="BH395" s="2025"/>
      <c r="BI395" s="2025"/>
      <c r="BJ395" s="2025"/>
      <c r="BK395" s="2229"/>
      <c r="BL395" s="2227"/>
      <c r="BM395" s="2227"/>
      <c r="BN395" s="2227"/>
      <c r="BO395" s="2227"/>
      <c r="BP395" s="2230"/>
      <c r="BQ395" s="2025"/>
      <c r="BR395" s="2227"/>
      <c r="BS395" s="2227"/>
      <c r="BT395" s="2227"/>
      <c r="BU395" s="2025"/>
      <c r="CJ395" s="2224"/>
      <c r="CU395" s="2164" t="s">
        <v>1939</v>
      </c>
      <c r="CV395" s="2164" t="s">
        <v>283</v>
      </c>
      <c r="CW395" s="1603"/>
      <c r="CX395" s="1909"/>
      <c r="CY395" s="1909"/>
      <c r="CZ395" s="2164" t="s">
        <v>2548</v>
      </c>
      <c r="DA395" s="2164" t="s">
        <v>2549</v>
      </c>
      <c r="DB395" s="2164" t="s">
        <v>2668</v>
      </c>
      <c r="DC395" s="2164" t="s">
        <v>1669</v>
      </c>
    </row>
    <row r="396" spans="60:107">
      <c r="BH396" s="2025"/>
      <c r="BI396" s="2025"/>
      <c r="BJ396" s="2025"/>
      <c r="BK396" s="2229"/>
      <c r="BL396" s="2227"/>
      <c r="BM396" s="2227"/>
      <c r="BN396" s="2227"/>
      <c r="BO396" s="2227"/>
      <c r="BP396" s="2230"/>
      <c r="BQ396" s="2227"/>
      <c r="BR396" s="2227"/>
      <c r="BS396" s="2232"/>
      <c r="BT396" s="2232"/>
      <c r="BU396" s="2025"/>
      <c r="CJ396" s="2224"/>
      <c r="CU396" s="1616"/>
      <c r="CV396" s="1603"/>
      <c r="CW396" s="1603"/>
      <c r="CX396" s="1901"/>
      <c r="CY396" s="1901"/>
      <c r="CZ396" s="3275" t="s">
        <v>695</v>
      </c>
      <c r="DA396" s="3275" t="s">
        <v>695</v>
      </c>
      <c r="DB396" s="3275" t="s">
        <v>695</v>
      </c>
      <c r="DC396" s="3275" t="s">
        <v>695</v>
      </c>
    </row>
    <row r="397" spans="60:107">
      <c r="BH397" s="2025"/>
      <c r="BI397" s="2025"/>
      <c r="BJ397" s="2025"/>
      <c r="BK397" s="2229"/>
      <c r="BL397" s="2233"/>
      <c r="BM397" s="2233"/>
      <c r="BN397" s="2234"/>
      <c r="BO397" s="2234"/>
      <c r="BP397" s="2235"/>
      <c r="BQ397" s="2234"/>
      <c r="BR397" s="2234"/>
      <c r="BS397" s="2227"/>
      <c r="BT397" s="2227"/>
      <c r="BU397" s="2025"/>
      <c r="CJ397" s="2224"/>
      <c r="CU397" s="3275">
        <v>1</v>
      </c>
      <c r="CV397" s="2254" t="s">
        <v>2000</v>
      </c>
      <c r="CW397" s="1603"/>
      <c r="CX397" s="2236"/>
      <c r="CY397" s="2236"/>
      <c r="CZ397" s="2158"/>
      <c r="DA397" s="2158"/>
      <c r="DB397" s="2157"/>
      <c r="DC397" s="2157"/>
    </row>
    <row r="398" spans="60:107">
      <c r="BH398" s="2237"/>
      <c r="BI398" s="2025"/>
      <c r="BJ398" s="2025"/>
      <c r="BK398" s="2229"/>
      <c r="BL398" s="2237"/>
      <c r="BM398" s="2237"/>
      <c r="BN398" s="2237"/>
      <c r="BO398" s="2237"/>
      <c r="BP398" s="2238"/>
      <c r="BQ398" s="2239"/>
      <c r="BR398" s="2239"/>
      <c r="BS398" s="2227"/>
      <c r="BT398" s="2227"/>
      <c r="BU398" s="2025"/>
      <c r="CJ398" s="2224"/>
      <c r="CU398" s="3275">
        <v>2</v>
      </c>
      <c r="CV398" s="2208" t="str">
        <f t="shared" ref="CV398:CV409" si="80">K49</f>
        <v>December 2017</v>
      </c>
      <c r="CW398" s="1603"/>
      <c r="CX398" s="2209"/>
      <c r="CY398" s="2209"/>
      <c r="CZ398" s="1718">
        <v>0</v>
      </c>
      <c r="DA398" s="1718">
        <v>0</v>
      </c>
      <c r="DB398" s="1718">
        <v>0</v>
      </c>
      <c r="DC398" s="1892">
        <f t="shared" ref="DC398:DC409" si="81">SUM(CZ398:DB398)</f>
        <v>0</v>
      </c>
    </row>
    <row r="399" spans="60:107">
      <c r="BH399" s="2240"/>
      <c r="BI399" s="2241"/>
      <c r="BJ399" s="2240"/>
      <c r="BK399" s="2242"/>
      <c r="BL399" s="2240"/>
      <c r="BM399" s="2240"/>
      <c r="BN399" s="2240"/>
      <c r="BO399" s="2240"/>
      <c r="BP399" s="2240"/>
      <c r="BQ399" s="2240"/>
      <c r="BR399" s="2240"/>
      <c r="BS399" s="2227"/>
      <c r="BT399" s="2227"/>
      <c r="BU399" s="2025"/>
      <c r="CJ399" s="2224"/>
      <c r="CU399" s="3275">
        <f t="shared" ref="CU399:CU427" si="82">1+CU398</f>
        <v>3</v>
      </c>
      <c r="CV399" s="2208" t="str">
        <f t="shared" si="80"/>
        <v>January 2018</v>
      </c>
      <c r="CW399" s="1603"/>
      <c r="CX399" s="2209"/>
      <c r="CY399" s="2209"/>
      <c r="CZ399" s="1718">
        <v>0</v>
      </c>
      <c r="DA399" s="1718">
        <v>0</v>
      </c>
      <c r="DB399" s="1718">
        <v>0</v>
      </c>
      <c r="DC399" s="1892">
        <f t="shared" si="81"/>
        <v>0</v>
      </c>
    </row>
    <row r="400" spans="60:107">
      <c r="BH400" s="2025"/>
      <c r="BI400" s="2025"/>
      <c r="BJ400" s="2025"/>
      <c r="BK400" s="2229"/>
      <c r="BL400" s="2025"/>
      <c r="BM400" s="2025"/>
      <c r="BN400" s="2025"/>
      <c r="BO400" s="2025"/>
      <c r="BP400" s="2025"/>
      <c r="BQ400" s="2025"/>
      <c r="BR400" s="2025"/>
      <c r="BS400" s="2227"/>
      <c r="BT400" s="2227"/>
      <c r="BU400" s="2025"/>
      <c r="CJ400" s="2224"/>
      <c r="CU400" s="3275">
        <f t="shared" si="82"/>
        <v>4</v>
      </c>
      <c r="CV400" s="2208" t="str">
        <f t="shared" si="80"/>
        <v>February</v>
      </c>
      <c r="CW400" s="1603"/>
      <c r="CX400" s="2209"/>
      <c r="CY400" s="2209"/>
      <c r="CZ400" s="1718">
        <v>0</v>
      </c>
      <c r="DA400" s="1718">
        <v>0</v>
      </c>
      <c r="DB400" s="1718">
        <v>0</v>
      </c>
      <c r="DC400" s="1892">
        <f t="shared" si="81"/>
        <v>0</v>
      </c>
    </row>
    <row r="401" spans="60:107">
      <c r="BH401" s="2025"/>
      <c r="BI401" s="2025"/>
      <c r="BJ401" s="2243"/>
      <c r="BK401" s="2226"/>
      <c r="BL401" s="2227"/>
      <c r="BM401" s="2227"/>
      <c r="BN401" s="2227"/>
      <c r="BO401" s="2227"/>
      <c r="BP401" s="2227"/>
      <c r="BQ401" s="2025"/>
      <c r="BR401" s="2227"/>
      <c r="BS401" s="2227"/>
      <c r="BT401" s="2227"/>
      <c r="BU401" s="2025"/>
      <c r="CJ401" s="2224"/>
      <c r="CU401" s="3275">
        <f t="shared" si="82"/>
        <v>5</v>
      </c>
      <c r="CV401" s="2208" t="str">
        <f t="shared" si="80"/>
        <v>March</v>
      </c>
      <c r="CW401" s="1603"/>
      <c r="CX401" s="2209"/>
      <c r="CY401" s="2209"/>
      <c r="CZ401" s="1718">
        <v>0</v>
      </c>
      <c r="DA401" s="1718">
        <v>0</v>
      </c>
      <c r="DB401" s="1718">
        <v>0</v>
      </c>
      <c r="DC401" s="1892">
        <f t="shared" si="81"/>
        <v>0</v>
      </c>
    </row>
    <row r="402" spans="60:107">
      <c r="BH402" s="2025"/>
      <c r="BI402" s="2025"/>
      <c r="BJ402" s="2243"/>
      <c r="BK402" s="2226"/>
      <c r="BL402" s="2227"/>
      <c r="BM402" s="2227"/>
      <c r="BN402" s="2227"/>
      <c r="BO402" s="2227"/>
      <c r="BP402" s="2227"/>
      <c r="BQ402" s="2025"/>
      <c r="BR402" s="2227"/>
      <c r="BS402" s="2227"/>
      <c r="BT402" s="2227"/>
      <c r="BU402" s="2025"/>
      <c r="CJ402" s="2224"/>
      <c r="CU402" s="3275">
        <f t="shared" si="82"/>
        <v>6</v>
      </c>
      <c r="CV402" s="2208" t="str">
        <f t="shared" si="80"/>
        <v>April</v>
      </c>
      <c r="CW402" s="1603"/>
      <c r="CX402" s="2209"/>
      <c r="CY402" s="2209"/>
      <c r="CZ402" s="1718">
        <v>0</v>
      </c>
      <c r="DA402" s="1718">
        <v>0</v>
      </c>
      <c r="DB402" s="1718">
        <v>0</v>
      </c>
      <c r="DC402" s="1892">
        <f t="shared" si="81"/>
        <v>0</v>
      </c>
    </row>
    <row r="403" spans="60:107">
      <c r="BH403" s="2025"/>
      <c r="BI403" s="2025"/>
      <c r="BJ403" s="2243"/>
      <c r="BK403" s="2226"/>
      <c r="BL403" s="2227"/>
      <c r="BM403" s="2227"/>
      <c r="BN403" s="2227"/>
      <c r="BO403" s="2227"/>
      <c r="BP403" s="2227"/>
      <c r="BQ403" s="2025"/>
      <c r="BR403" s="2227"/>
      <c r="BS403" s="2227"/>
      <c r="BT403" s="2227"/>
      <c r="BU403" s="2025"/>
      <c r="CJ403" s="2224"/>
      <c r="CU403" s="3275">
        <f t="shared" si="82"/>
        <v>7</v>
      </c>
      <c r="CV403" s="2208" t="str">
        <f t="shared" si="80"/>
        <v>May</v>
      </c>
      <c r="CW403" s="1603"/>
      <c r="CX403" s="2209"/>
      <c r="CY403" s="2209"/>
      <c r="CZ403" s="1718">
        <v>0</v>
      </c>
      <c r="DA403" s="1718">
        <v>0</v>
      </c>
      <c r="DB403" s="1718">
        <v>0</v>
      </c>
      <c r="DC403" s="1892">
        <f t="shared" si="81"/>
        <v>0</v>
      </c>
    </row>
    <row r="404" spans="60:107">
      <c r="BH404" s="2025"/>
      <c r="BI404" s="2025"/>
      <c r="BJ404" s="2243"/>
      <c r="BK404" s="2226"/>
      <c r="BL404" s="2227"/>
      <c r="BM404" s="2227"/>
      <c r="BN404" s="2227"/>
      <c r="BO404" s="2227"/>
      <c r="BP404" s="2227"/>
      <c r="BQ404" s="2025"/>
      <c r="BR404" s="2227"/>
      <c r="BS404" s="2227"/>
      <c r="BT404" s="2227"/>
      <c r="BU404" s="2025"/>
      <c r="CJ404" s="2224"/>
      <c r="CU404" s="3275">
        <f t="shared" si="82"/>
        <v>8</v>
      </c>
      <c r="CV404" s="2208" t="str">
        <f t="shared" si="80"/>
        <v>June</v>
      </c>
      <c r="CX404" s="2209"/>
      <c r="CY404" s="2209"/>
      <c r="CZ404" s="1892">
        <f>$CZ$398</f>
        <v>0</v>
      </c>
      <c r="DA404" s="1892">
        <f>$DA$398</f>
        <v>0</v>
      </c>
      <c r="DB404" s="1892">
        <f>$DB$398</f>
        <v>0</v>
      </c>
      <c r="DC404" s="1892">
        <f t="shared" si="81"/>
        <v>0</v>
      </c>
    </row>
    <row r="405" spans="60:107">
      <c r="BH405" s="2025"/>
      <c r="BI405" s="2025"/>
      <c r="BJ405" s="2243"/>
      <c r="BK405" s="2226"/>
      <c r="BL405" s="2227"/>
      <c r="BM405" s="2227"/>
      <c r="BN405" s="2227"/>
      <c r="BO405" s="2227"/>
      <c r="BP405" s="2227"/>
      <c r="BQ405" s="2025"/>
      <c r="BR405" s="2227"/>
      <c r="BS405" s="2227"/>
      <c r="BT405" s="2227"/>
      <c r="BU405" s="2025"/>
      <c r="CJ405" s="2224"/>
      <c r="CU405" s="3275">
        <f t="shared" si="82"/>
        <v>9</v>
      </c>
      <c r="CV405" s="2208" t="str">
        <f t="shared" si="80"/>
        <v>July</v>
      </c>
      <c r="CX405" s="2209"/>
      <c r="CY405" s="2209"/>
      <c r="CZ405" s="1892">
        <f t="shared" ref="CZ405:CZ409" si="83">$CZ$398</f>
        <v>0</v>
      </c>
      <c r="DA405" s="1892">
        <f t="shared" ref="DA405:DA409" si="84">$DA$398</f>
        <v>0</v>
      </c>
      <c r="DB405" s="1892">
        <f t="shared" ref="DB405:DB409" si="85">$DB$398</f>
        <v>0</v>
      </c>
      <c r="DC405" s="1892">
        <f t="shared" si="81"/>
        <v>0</v>
      </c>
    </row>
    <row r="406" spans="60:107">
      <c r="BH406" s="2025"/>
      <c r="BI406" s="2025"/>
      <c r="BJ406" s="2243"/>
      <c r="BK406" s="2226"/>
      <c r="BL406" s="2227"/>
      <c r="BM406" s="2227"/>
      <c r="BN406" s="2227"/>
      <c r="BO406" s="2227"/>
      <c r="BP406" s="2227"/>
      <c r="BQ406" s="2025"/>
      <c r="BR406" s="2227"/>
      <c r="BS406" s="2227"/>
      <c r="BT406" s="2227"/>
      <c r="BU406" s="2025"/>
      <c r="CJ406" s="2224"/>
      <c r="CU406" s="3275">
        <f t="shared" si="82"/>
        <v>10</v>
      </c>
      <c r="CV406" s="2208" t="str">
        <f t="shared" si="80"/>
        <v>August</v>
      </c>
      <c r="CX406" s="2209"/>
      <c r="CY406" s="2209"/>
      <c r="CZ406" s="1892">
        <f t="shared" si="83"/>
        <v>0</v>
      </c>
      <c r="DA406" s="1892">
        <f t="shared" si="84"/>
        <v>0</v>
      </c>
      <c r="DB406" s="1892">
        <f t="shared" si="85"/>
        <v>0</v>
      </c>
      <c r="DC406" s="1892">
        <f t="shared" si="81"/>
        <v>0</v>
      </c>
    </row>
    <row r="407" spans="60:107">
      <c r="BH407" s="2025"/>
      <c r="BI407" s="2025"/>
      <c r="BJ407" s="2243"/>
      <c r="BK407" s="2226"/>
      <c r="BL407" s="2227"/>
      <c r="BM407" s="2227"/>
      <c r="BN407" s="2227"/>
      <c r="BO407" s="2227"/>
      <c r="BP407" s="2227"/>
      <c r="BQ407" s="2025"/>
      <c r="BR407" s="2227"/>
      <c r="BS407" s="2227"/>
      <c r="BT407" s="2227"/>
      <c r="BU407" s="2025"/>
      <c r="CJ407" s="2224"/>
      <c r="CU407" s="3275">
        <f t="shared" si="82"/>
        <v>11</v>
      </c>
      <c r="CV407" s="2208" t="str">
        <f t="shared" si="80"/>
        <v>September</v>
      </c>
      <c r="CW407" s="1603"/>
      <c r="CX407" s="2209"/>
      <c r="CY407" s="2209"/>
      <c r="CZ407" s="1892">
        <f t="shared" si="83"/>
        <v>0</v>
      </c>
      <c r="DA407" s="1892">
        <f t="shared" si="84"/>
        <v>0</v>
      </c>
      <c r="DB407" s="1892">
        <f t="shared" si="85"/>
        <v>0</v>
      </c>
      <c r="DC407" s="1892">
        <f t="shared" si="81"/>
        <v>0</v>
      </c>
    </row>
    <row r="408" spans="60:107">
      <c r="BH408" s="2025"/>
      <c r="BI408" s="2025"/>
      <c r="BJ408" s="2243"/>
      <c r="BK408" s="2226"/>
      <c r="BL408" s="2227"/>
      <c r="BM408" s="2227"/>
      <c r="BN408" s="2227"/>
      <c r="BO408" s="2227"/>
      <c r="BP408" s="2227"/>
      <c r="BQ408" s="2025"/>
      <c r="BR408" s="2227"/>
      <c r="BS408" s="2227"/>
      <c r="BT408" s="2227"/>
      <c r="BU408" s="2025"/>
      <c r="CJ408" s="2224"/>
      <c r="CU408" s="3275">
        <f t="shared" si="82"/>
        <v>12</v>
      </c>
      <c r="CV408" s="2208" t="str">
        <f t="shared" si="80"/>
        <v>October</v>
      </c>
      <c r="CW408" s="1603"/>
      <c r="CX408" s="2209"/>
      <c r="CY408" s="2209"/>
      <c r="CZ408" s="1892">
        <f t="shared" si="83"/>
        <v>0</v>
      </c>
      <c r="DA408" s="1892">
        <f t="shared" si="84"/>
        <v>0</v>
      </c>
      <c r="DB408" s="1892">
        <f t="shared" si="85"/>
        <v>0</v>
      </c>
      <c r="DC408" s="1892">
        <f t="shared" si="81"/>
        <v>0</v>
      </c>
    </row>
    <row r="409" spans="60:107">
      <c r="BH409" s="2025"/>
      <c r="BI409" s="2025"/>
      <c r="BJ409" s="2243"/>
      <c r="BK409" s="2226"/>
      <c r="BL409" s="2227"/>
      <c r="BM409" s="2227"/>
      <c r="BN409" s="2227"/>
      <c r="BO409" s="2227"/>
      <c r="BP409" s="2227"/>
      <c r="BQ409" s="2025"/>
      <c r="BR409" s="2227"/>
      <c r="BS409" s="2227"/>
      <c r="BT409" s="2227"/>
      <c r="BU409" s="2025"/>
      <c r="CJ409" s="2224"/>
      <c r="CU409" s="3275">
        <f t="shared" si="82"/>
        <v>13</v>
      </c>
      <c r="CV409" s="2208" t="str">
        <f t="shared" si="80"/>
        <v>November</v>
      </c>
      <c r="CW409" s="1603"/>
      <c r="CX409" s="2209"/>
      <c r="CY409" s="2209"/>
      <c r="CZ409" s="1892">
        <f t="shared" si="83"/>
        <v>0</v>
      </c>
      <c r="DA409" s="1892">
        <f t="shared" si="84"/>
        <v>0</v>
      </c>
      <c r="DB409" s="1892">
        <f t="shared" si="85"/>
        <v>0</v>
      </c>
      <c r="DC409" s="1892">
        <f t="shared" si="81"/>
        <v>0</v>
      </c>
    </row>
    <row r="410" spans="60:107">
      <c r="BH410" s="2025"/>
      <c r="BI410" s="2025"/>
      <c r="BJ410" s="2243"/>
      <c r="BK410" s="2226"/>
      <c r="BL410" s="2227"/>
      <c r="BM410" s="2227"/>
      <c r="BN410" s="2227"/>
      <c r="BO410" s="2227"/>
      <c r="BP410" s="2227"/>
      <c r="BQ410" s="2025"/>
      <c r="BR410" s="2227"/>
      <c r="BS410" s="2227"/>
      <c r="BT410" s="2227"/>
      <c r="BU410" s="2025"/>
      <c r="CJ410" s="2224"/>
      <c r="CU410" s="3275">
        <f t="shared" si="82"/>
        <v>14</v>
      </c>
      <c r="CV410" s="1603"/>
      <c r="CW410" s="1603"/>
      <c r="CX410" s="2025"/>
      <c r="CY410" s="2025"/>
      <c r="CZ410" s="1723"/>
      <c r="DA410" s="1723"/>
      <c r="DB410" s="1723"/>
    </row>
    <row r="411" spans="60:107">
      <c r="BH411" s="2025"/>
      <c r="BI411" s="2025"/>
      <c r="BJ411" s="2243"/>
      <c r="BK411" s="2226"/>
      <c r="BL411" s="2227"/>
      <c r="BM411" s="2227"/>
      <c r="BN411" s="2227"/>
      <c r="BO411" s="2227"/>
      <c r="BP411" s="2227"/>
      <c r="BQ411" s="2025"/>
      <c r="BR411" s="2227"/>
      <c r="BS411" s="2227"/>
      <c r="BT411" s="2227"/>
      <c r="BU411" s="2025"/>
      <c r="CJ411" s="2224"/>
      <c r="CU411" s="3275">
        <f t="shared" si="82"/>
        <v>15</v>
      </c>
      <c r="CV411" s="2254" t="s">
        <v>1234</v>
      </c>
      <c r="CW411" s="1603"/>
      <c r="CX411" s="2025"/>
      <c r="CY411" s="2025"/>
      <c r="CZ411" s="1723"/>
      <c r="DA411" s="1723"/>
      <c r="DB411" s="1723"/>
    </row>
    <row r="412" spans="60:107">
      <c r="BH412" s="2025"/>
      <c r="BI412" s="2025"/>
      <c r="BJ412" s="2243"/>
      <c r="BK412" s="2226"/>
      <c r="BL412" s="2227"/>
      <c r="BM412" s="2227"/>
      <c r="BN412" s="2227"/>
      <c r="BO412" s="2227"/>
      <c r="BP412" s="2227"/>
      <c r="BQ412" s="2025"/>
      <c r="BR412" s="2227"/>
      <c r="BS412" s="2227"/>
      <c r="BT412" s="2227"/>
      <c r="BU412" s="2025"/>
      <c r="CJ412" s="2224"/>
      <c r="CU412" s="3275">
        <f t="shared" si="82"/>
        <v>16</v>
      </c>
      <c r="CV412" s="2208" t="str">
        <f>K63</f>
        <v>March 2019</v>
      </c>
      <c r="CW412" s="1603"/>
      <c r="CX412" s="2209"/>
      <c r="CY412" s="2209"/>
      <c r="CZ412" s="1892">
        <f t="shared" ref="CZ412:CZ424" si="86">$CZ$398</f>
        <v>0</v>
      </c>
      <c r="DA412" s="1892">
        <f t="shared" ref="DA412:DA424" si="87">$DA$398</f>
        <v>0</v>
      </c>
      <c r="DB412" s="1892">
        <f t="shared" ref="DB412:DB424" si="88">$DB$398</f>
        <v>0</v>
      </c>
      <c r="DC412" s="1892">
        <f t="shared" ref="DC412:DC424" si="89">SUM(CZ412:DB412)</f>
        <v>0</v>
      </c>
    </row>
    <row r="413" spans="60:107">
      <c r="BH413" s="2025"/>
      <c r="BI413" s="2025"/>
      <c r="BJ413" s="2243"/>
      <c r="BK413" s="2226"/>
      <c r="BL413" s="2244"/>
      <c r="BM413" s="2244"/>
      <c r="BN413" s="2244"/>
      <c r="BO413" s="2244"/>
      <c r="BP413" s="2244"/>
      <c r="BQ413" s="2241"/>
      <c r="BR413" s="2244"/>
      <c r="BS413" s="2227"/>
      <c r="BT413" s="2227"/>
      <c r="BU413" s="2025"/>
      <c r="CJ413" s="2224"/>
      <c r="CU413" s="3275">
        <f t="shared" si="82"/>
        <v>17</v>
      </c>
      <c r="CV413" s="2208" t="str">
        <f t="shared" ref="CV413:CV424" si="90">K64</f>
        <v>April</v>
      </c>
      <c r="CW413" s="1603"/>
      <c r="CX413" s="2209"/>
      <c r="CY413" s="2209"/>
      <c r="CZ413" s="1892">
        <f t="shared" si="86"/>
        <v>0</v>
      </c>
      <c r="DA413" s="1892">
        <f t="shared" si="87"/>
        <v>0</v>
      </c>
      <c r="DB413" s="1892">
        <f t="shared" si="88"/>
        <v>0</v>
      </c>
      <c r="DC413" s="1892">
        <f t="shared" si="89"/>
        <v>0</v>
      </c>
    </row>
    <row r="414" spans="60:107">
      <c r="BH414" s="2025"/>
      <c r="BI414" s="2025"/>
      <c r="BJ414" s="2025"/>
      <c r="BK414" s="2227"/>
      <c r="BL414" s="2245"/>
      <c r="BM414" s="2227"/>
      <c r="BN414" s="2245"/>
      <c r="BO414" s="2227"/>
      <c r="BP414" s="2245"/>
      <c r="BQ414" s="2025"/>
      <c r="BR414" s="2245"/>
      <c r="BS414" s="2227"/>
      <c r="BT414" s="2227"/>
      <c r="BU414" s="2025"/>
      <c r="CJ414" s="2224"/>
      <c r="CU414" s="3275">
        <f t="shared" si="82"/>
        <v>18</v>
      </c>
      <c r="CV414" s="2208" t="str">
        <f t="shared" si="90"/>
        <v>May</v>
      </c>
      <c r="CW414" s="1603"/>
      <c r="CX414" s="2209"/>
      <c r="CY414" s="2209"/>
      <c r="CZ414" s="1892">
        <f t="shared" si="86"/>
        <v>0</v>
      </c>
      <c r="DA414" s="1892">
        <f t="shared" si="87"/>
        <v>0</v>
      </c>
      <c r="DB414" s="1892">
        <f t="shared" si="88"/>
        <v>0</v>
      </c>
      <c r="DC414" s="1892">
        <f t="shared" si="89"/>
        <v>0</v>
      </c>
    </row>
    <row r="415" spans="60:107">
      <c r="BH415" s="2025"/>
      <c r="BI415" s="2025"/>
      <c r="BJ415" s="2025"/>
      <c r="BK415" s="2227"/>
      <c r="BL415" s="2227"/>
      <c r="BM415" s="2227"/>
      <c r="BN415" s="2227"/>
      <c r="BO415" s="2227"/>
      <c r="BP415" s="2227"/>
      <c r="BQ415" s="2025"/>
      <c r="BR415" s="2227"/>
      <c r="BS415" s="2227"/>
      <c r="BT415" s="2227"/>
      <c r="BU415" s="2025"/>
      <c r="CJ415" s="2224"/>
      <c r="CU415" s="3275">
        <f t="shared" si="82"/>
        <v>19</v>
      </c>
      <c r="CV415" s="2208" t="str">
        <f t="shared" si="90"/>
        <v>June</v>
      </c>
      <c r="CW415" s="1603"/>
      <c r="CX415" s="2209"/>
      <c r="CY415" s="2209"/>
      <c r="CZ415" s="1892">
        <f t="shared" si="86"/>
        <v>0</v>
      </c>
      <c r="DA415" s="1892">
        <f t="shared" si="87"/>
        <v>0</v>
      </c>
      <c r="DB415" s="1892">
        <f t="shared" si="88"/>
        <v>0</v>
      </c>
      <c r="DC415" s="1892">
        <f t="shared" si="89"/>
        <v>0</v>
      </c>
    </row>
    <row r="416" spans="60:107">
      <c r="BH416" s="2025"/>
      <c r="BI416" s="2025"/>
      <c r="BJ416" s="2025"/>
      <c r="BK416" s="2227"/>
      <c r="BL416" s="2245"/>
      <c r="BM416" s="2227"/>
      <c r="BN416" s="2245"/>
      <c r="BO416" s="2227"/>
      <c r="BP416" s="2245"/>
      <c r="BQ416" s="2025"/>
      <c r="BR416" s="2245"/>
      <c r="BS416" s="2227"/>
      <c r="BT416" s="2227"/>
      <c r="BU416" s="2025"/>
      <c r="CJ416" s="2224"/>
      <c r="CU416" s="3275">
        <f t="shared" si="82"/>
        <v>20</v>
      </c>
      <c r="CV416" s="2208" t="str">
        <f t="shared" si="90"/>
        <v>July</v>
      </c>
      <c r="CW416" s="1603"/>
      <c r="CX416" s="2209"/>
      <c r="CY416" s="2209"/>
      <c r="CZ416" s="1892">
        <f t="shared" si="86"/>
        <v>0</v>
      </c>
      <c r="DA416" s="1892">
        <f t="shared" si="87"/>
        <v>0</v>
      </c>
      <c r="DB416" s="1892">
        <f t="shared" si="88"/>
        <v>0</v>
      </c>
      <c r="DC416" s="1892">
        <f t="shared" si="89"/>
        <v>0</v>
      </c>
    </row>
    <row r="417" spans="60:107">
      <c r="BH417" s="2025"/>
      <c r="BI417" s="2025"/>
      <c r="BJ417" s="2025"/>
      <c r="BK417" s="2227"/>
      <c r="BL417" s="2227"/>
      <c r="BM417" s="2227"/>
      <c r="BN417" s="2227"/>
      <c r="BO417" s="2227"/>
      <c r="BP417" s="2227"/>
      <c r="BQ417" s="2025"/>
      <c r="BR417" s="2227"/>
      <c r="BS417" s="2227"/>
      <c r="BT417" s="2227"/>
      <c r="BU417" s="2025"/>
      <c r="CJ417" s="2224"/>
      <c r="CU417" s="3275">
        <f t="shared" si="82"/>
        <v>21</v>
      </c>
      <c r="CV417" s="2208" t="str">
        <f t="shared" si="90"/>
        <v>August</v>
      </c>
      <c r="CW417" s="1603"/>
      <c r="CX417" s="2209"/>
      <c r="CY417" s="2209"/>
      <c r="CZ417" s="1892">
        <f t="shared" si="86"/>
        <v>0</v>
      </c>
      <c r="DA417" s="1892">
        <f t="shared" si="87"/>
        <v>0</v>
      </c>
      <c r="DB417" s="1892">
        <f t="shared" si="88"/>
        <v>0</v>
      </c>
      <c r="DC417" s="1892">
        <f t="shared" si="89"/>
        <v>0</v>
      </c>
    </row>
    <row r="418" spans="60:107">
      <c r="BH418" s="2025"/>
      <c r="BI418" s="2025"/>
      <c r="BJ418" s="2025"/>
      <c r="BK418" s="2025"/>
      <c r="BL418" s="2025"/>
      <c r="BM418" s="2025"/>
      <c r="BN418" s="2025"/>
      <c r="BO418" s="2025"/>
      <c r="BP418" s="2025"/>
      <c r="BQ418" s="2025"/>
      <c r="BR418" s="2025"/>
      <c r="BS418" s="2025"/>
      <c r="BT418" s="2025"/>
      <c r="BU418" s="2025"/>
      <c r="CJ418" s="2224"/>
      <c r="CU418" s="3275">
        <f t="shared" si="82"/>
        <v>22</v>
      </c>
      <c r="CV418" s="2208" t="str">
        <f t="shared" si="90"/>
        <v>September</v>
      </c>
      <c r="CW418" s="1603"/>
      <c r="CX418" s="2209"/>
      <c r="CY418" s="2209"/>
      <c r="CZ418" s="1892">
        <f t="shared" si="86"/>
        <v>0</v>
      </c>
      <c r="DA418" s="1892">
        <f t="shared" si="87"/>
        <v>0</v>
      </c>
      <c r="DB418" s="1892">
        <f t="shared" si="88"/>
        <v>0</v>
      </c>
      <c r="DC418" s="1892">
        <f t="shared" si="89"/>
        <v>0</v>
      </c>
    </row>
    <row r="419" spans="60:107">
      <c r="BH419" s="2025"/>
      <c r="BI419" s="2025"/>
      <c r="BJ419" s="2025"/>
      <c r="BK419" s="2025"/>
      <c r="BL419" s="2233"/>
      <c r="BM419" s="2246"/>
      <c r="BN419" s="2246"/>
      <c r="BO419" s="2246"/>
      <c r="BP419" s="2246"/>
      <c r="BQ419" s="2246"/>
      <c r="BR419" s="2246"/>
      <c r="BS419" s="2025"/>
      <c r="BT419" s="2025"/>
      <c r="BU419" s="2025"/>
      <c r="CJ419" s="2224"/>
      <c r="CU419" s="3275">
        <f t="shared" si="82"/>
        <v>23</v>
      </c>
      <c r="CV419" s="2208" t="str">
        <f t="shared" si="90"/>
        <v>October</v>
      </c>
      <c r="CW419" s="1603"/>
      <c r="CX419" s="2209"/>
      <c r="CY419" s="2209"/>
      <c r="CZ419" s="1892">
        <f t="shared" si="86"/>
        <v>0</v>
      </c>
      <c r="DA419" s="1892">
        <f t="shared" si="87"/>
        <v>0</v>
      </c>
      <c r="DB419" s="1892">
        <f t="shared" si="88"/>
        <v>0</v>
      </c>
      <c r="DC419" s="1892">
        <f t="shared" si="89"/>
        <v>0</v>
      </c>
    </row>
    <row r="420" spans="60:107">
      <c r="BH420" s="2025"/>
      <c r="BI420" s="2025"/>
      <c r="BJ420" s="2025"/>
      <c r="BK420" s="2025"/>
      <c r="BL420" s="2025"/>
      <c r="BM420" s="2025"/>
      <c r="BN420" s="2025"/>
      <c r="BO420" s="2025"/>
      <c r="BP420" s="2025"/>
      <c r="BQ420" s="2025"/>
      <c r="BR420" s="2025"/>
      <c r="BS420" s="2025"/>
      <c r="BT420" s="2025"/>
      <c r="BU420" s="2025"/>
      <c r="CJ420" s="2224"/>
      <c r="CU420" s="3275">
        <f t="shared" si="82"/>
        <v>24</v>
      </c>
      <c r="CV420" s="2208" t="str">
        <f t="shared" si="90"/>
        <v>November</v>
      </c>
      <c r="CW420" s="1603"/>
      <c r="CX420" s="2209"/>
      <c r="CY420" s="2209"/>
      <c r="CZ420" s="1892">
        <f t="shared" si="86"/>
        <v>0</v>
      </c>
      <c r="DA420" s="1892">
        <f t="shared" si="87"/>
        <v>0</v>
      </c>
      <c r="DB420" s="1892">
        <f t="shared" si="88"/>
        <v>0</v>
      </c>
      <c r="DC420" s="1892">
        <f t="shared" si="89"/>
        <v>0</v>
      </c>
    </row>
    <row r="421" spans="60:107">
      <c r="BH421" s="2025"/>
      <c r="BI421" s="2025"/>
      <c r="BJ421" s="2025"/>
      <c r="BK421" s="2227"/>
      <c r="BL421" s="2227"/>
      <c r="BM421" s="2227"/>
      <c r="BN421" s="2227"/>
      <c r="BO421" s="2227"/>
      <c r="BP421" s="2227"/>
      <c r="BQ421" s="2247"/>
      <c r="BR421" s="2227"/>
      <c r="BS421" s="2025"/>
      <c r="BT421" s="2025"/>
      <c r="BU421" s="2025"/>
      <c r="CJ421" s="2224"/>
      <c r="CU421" s="3275">
        <f t="shared" si="82"/>
        <v>25</v>
      </c>
      <c r="CV421" s="2208" t="str">
        <f t="shared" si="90"/>
        <v>December</v>
      </c>
      <c r="CW421" s="1603"/>
      <c r="CX421" s="2209"/>
      <c r="CY421" s="2209"/>
      <c r="CZ421" s="1892">
        <f t="shared" si="86"/>
        <v>0</v>
      </c>
      <c r="DA421" s="1892">
        <f t="shared" si="87"/>
        <v>0</v>
      </c>
      <c r="DB421" s="1892">
        <f t="shared" si="88"/>
        <v>0</v>
      </c>
      <c r="DC421" s="1892">
        <f t="shared" si="89"/>
        <v>0</v>
      </c>
    </row>
    <row r="422" spans="60:107">
      <c r="BH422" s="2025"/>
      <c r="BI422" s="2025"/>
      <c r="BJ422" s="2025"/>
      <c r="BK422" s="2227"/>
      <c r="BL422" s="2227"/>
      <c r="BM422" s="2227"/>
      <c r="BN422" s="2227"/>
      <c r="BO422" s="2227"/>
      <c r="BP422" s="2227"/>
      <c r="BQ422" s="2247"/>
      <c r="BR422" s="2227"/>
      <c r="BS422" s="2025"/>
      <c r="BT422" s="2025"/>
      <c r="BU422" s="2025"/>
      <c r="CJ422" s="2224"/>
      <c r="CU422" s="3275">
        <f t="shared" si="82"/>
        <v>26</v>
      </c>
      <c r="CV422" s="2208" t="str">
        <f t="shared" si="90"/>
        <v>January 2020</v>
      </c>
      <c r="CW422" s="1603"/>
      <c r="CX422" s="2209"/>
      <c r="CY422" s="2209"/>
      <c r="CZ422" s="1892">
        <f t="shared" si="86"/>
        <v>0</v>
      </c>
      <c r="DA422" s="1892">
        <f t="shared" si="87"/>
        <v>0</v>
      </c>
      <c r="DB422" s="1892">
        <f t="shared" si="88"/>
        <v>0</v>
      </c>
      <c r="DC422" s="1892">
        <f t="shared" si="89"/>
        <v>0</v>
      </c>
    </row>
    <row r="423" spans="60:107">
      <c r="BH423" s="2025"/>
      <c r="BI423" s="2025"/>
      <c r="BJ423" s="2025"/>
      <c r="BK423" s="2227"/>
      <c r="BL423" s="2227"/>
      <c r="BM423" s="2227"/>
      <c r="BN423" s="2227"/>
      <c r="BO423" s="2227"/>
      <c r="BP423" s="2227"/>
      <c r="BQ423" s="2247"/>
      <c r="BR423" s="2227"/>
      <c r="BS423" s="2025"/>
      <c r="BT423" s="2025"/>
      <c r="BU423" s="2025"/>
      <c r="CJ423" s="2224"/>
      <c r="CU423" s="3275">
        <f t="shared" si="82"/>
        <v>27</v>
      </c>
      <c r="CV423" s="2208" t="str">
        <f t="shared" si="90"/>
        <v>February</v>
      </c>
      <c r="CW423" s="1603"/>
      <c r="CX423" s="2209"/>
      <c r="CY423" s="2209"/>
      <c r="CZ423" s="1892">
        <f t="shared" si="86"/>
        <v>0</v>
      </c>
      <c r="DA423" s="1892">
        <f t="shared" si="87"/>
        <v>0</v>
      </c>
      <c r="DB423" s="1892">
        <f t="shared" si="88"/>
        <v>0</v>
      </c>
      <c r="DC423" s="1892">
        <f t="shared" si="89"/>
        <v>0</v>
      </c>
    </row>
    <row r="424" spans="60:107">
      <c r="BH424" s="2025"/>
      <c r="BI424" s="2025"/>
      <c r="BJ424" s="2025"/>
      <c r="BK424" s="2227"/>
      <c r="BL424" s="2227"/>
      <c r="BM424" s="2227"/>
      <c r="BN424" s="2227"/>
      <c r="BO424" s="2227"/>
      <c r="BP424" s="2227"/>
      <c r="BQ424" s="2247"/>
      <c r="BR424" s="2227"/>
      <c r="BS424" s="2025"/>
      <c r="BT424" s="2025"/>
      <c r="BU424" s="2025"/>
      <c r="CJ424" s="2224"/>
      <c r="CU424" s="3275">
        <f t="shared" si="82"/>
        <v>28</v>
      </c>
      <c r="CV424" s="2208" t="str">
        <f t="shared" si="90"/>
        <v>March</v>
      </c>
      <c r="CW424" s="1603"/>
      <c r="CX424" s="2209"/>
      <c r="CY424" s="2209"/>
      <c r="CZ424" s="1892">
        <f t="shared" si="86"/>
        <v>0</v>
      </c>
      <c r="DA424" s="1892">
        <f t="shared" si="87"/>
        <v>0</v>
      </c>
      <c r="DB424" s="1892">
        <f t="shared" si="88"/>
        <v>0</v>
      </c>
      <c r="DC424" s="1892">
        <f t="shared" si="89"/>
        <v>0</v>
      </c>
    </row>
    <row r="425" spans="60:107" ht="13.8" thickBot="1">
      <c r="BH425" s="2025"/>
      <c r="BI425" s="2025"/>
      <c r="BJ425" s="2025"/>
      <c r="BK425" s="2227"/>
      <c r="BL425" s="2227"/>
      <c r="BM425" s="2227"/>
      <c r="BN425" s="2227"/>
      <c r="BO425" s="2227"/>
      <c r="BP425" s="2227"/>
      <c r="BQ425" s="2247"/>
      <c r="BR425" s="2227"/>
      <c r="BS425" s="2025"/>
      <c r="BT425" s="2025"/>
      <c r="BU425" s="2025"/>
      <c r="CJ425" s="2224"/>
      <c r="CU425" s="3275">
        <f t="shared" si="82"/>
        <v>29</v>
      </c>
      <c r="CV425" s="3275" t="s">
        <v>2153</v>
      </c>
      <c r="CW425" s="1603"/>
      <c r="CX425" s="1619"/>
      <c r="CY425" s="1619"/>
      <c r="CZ425" s="2172">
        <f>SUM(CZ412:CZ424)</f>
        <v>0</v>
      </c>
      <c r="DA425" s="2172">
        <f>SUM(DA412:DA424)</f>
        <v>0</v>
      </c>
      <c r="DB425" s="2172">
        <f>SUM(DB412:DB424)</f>
        <v>0</v>
      </c>
      <c r="DC425" s="2172">
        <f>SUM(DC412:DC424)</f>
        <v>0</v>
      </c>
    </row>
    <row r="426" spans="60:107" ht="13.8" thickTop="1">
      <c r="BH426" s="2025"/>
      <c r="BI426" s="2025"/>
      <c r="BJ426" s="2025"/>
      <c r="BK426" s="2227"/>
      <c r="BL426" s="2227"/>
      <c r="BM426" s="2227"/>
      <c r="BN426" s="2227"/>
      <c r="BO426" s="2227"/>
      <c r="BP426" s="2227"/>
      <c r="BQ426" s="2247"/>
      <c r="BR426" s="2227"/>
      <c r="BS426" s="2025"/>
      <c r="BT426" s="2025"/>
      <c r="BU426" s="2025"/>
      <c r="CJ426" s="2224"/>
      <c r="CU426" s="3275">
        <f t="shared" si="82"/>
        <v>30</v>
      </c>
      <c r="CV426" s="1603"/>
      <c r="CW426" s="1603"/>
      <c r="CX426" s="2211"/>
      <c r="CY426" s="2211"/>
      <c r="CZ426" s="2212"/>
      <c r="DA426" s="2212"/>
      <c r="DB426" s="2212"/>
      <c r="DC426" s="2212"/>
    </row>
    <row r="427" spans="60:107" ht="13.8" thickBot="1">
      <c r="BH427" s="2025"/>
      <c r="BI427" s="2025"/>
      <c r="BJ427" s="2025"/>
      <c r="BK427" s="2227"/>
      <c r="BL427" s="2227"/>
      <c r="BM427" s="2227"/>
      <c r="BN427" s="2227"/>
      <c r="BO427" s="2227"/>
      <c r="BP427" s="2227"/>
      <c r="BQ427" s="2247"/>
      <c r="BR427" s="2227"/>
      <c r="BS427" s="2025"/>
      <c r="BT427" s="2025"/>
      <c r="BU427" s="2025"/>
      <c r="CJ427" s="2224"/>
      <c r="CU427" s="3275">
        <f t="shared" si="82"/>
        <v>31</v>
      </c>
      <c r="CV427" s="1616" t="s">
        <v>2107</v>
      </c>
      <c r="CW427" s="1603"/>
      <c r="CX427" s="1619"/>
      <c r="CY427" s="1619"/>
      <c r="CZ427" s="1620">
        <f>CZ425/13</f>
        <v>0</v>
      </c>
      <c r="DA427" s="1620">
        <f>DA425/13</f>
        <v>0</v>
      </c>
      <c r="DB427" s="1620">
        <f>DB425/13</f>
        <v>0</v>
      </c>
      <c r="DC427" s="1620">
        <f>DC425/13</f>
        <v>0</v>
      </c>
    </row>
    <row r="428" spans="60:107" ht="13.8" thickTop="1">
      <c r="BH428" s="2025"/>
      <c r="BI428" s="2025"/>
      <c r="BJ428" s="2025"/>
      <c r="BK428" s="2227"/>
      <c r="BL428" s="2227"/>
      <c r="BM428" s="2227"/>
      <c r="BN428" s="2227"/>
      <c r="BO428" s="2227"/>
      <c r="BP428" s="2227"/>
      <c r="BQ428" s="2247"/>
      <c r="BR428" s="2227"/>
      <c r="BS428" s="2227"/>
      <c r="BT428" s="2227"/>
      <c r="BU428" s="2025"/>
      <c r="CJ428" s="2224"/>
      <c r="CV428" s="2206"/>
      <c r="CW428" s="2206"/>
      <c r="CX428" s="2211"/>
      <c r="CY428" s="2211"/>
      <c r="CZ428" s="2211"/>
      <c r="DA428" s="2212"/>
      <c r="DB428" s="2212"/>
      <c r="DC428" s="2212"/>
    </row>
    <row r="429" spans="60:107">
      <c r="BH429" s="2025"/>
      <c r="BI429" s="2025"/>
      <c r="BJ429" s="2025"/>
      <c r="BK429" s="2227"/>
      <c r="BL429" s="2227"/>
      <c r="BM429" s="2227"/>
      <c r="BN429" s="2227"/>
      <c r="BO429" s="2227"/>
      <c r="BP429" s="2227"/>
      <c r="BQ429" s="2247"/>
      <c r="BR429" s="2227"/>
      <c r="BS429" s="2227"/>
      <c r="BT429" s="2227"/>
      <c r="BU429" s="2025"/>
      <c r="CJ429" s="2224"/>
      <c r="CV429" s="2206"/>
      <c r="CW429" s="2206"/>
      <c r="CX429" s="1901"/>
      <c r="CY429" s="1901"/>
      <c r="CZ429" s="1901"/>
      <c r="DA429" s="3275"/>
      <c r="DB429" s="3275"/>
      <c r="DC429" s="3275" t="s">
        <v>811</v>
      </c>
    </row>
    <row r="430" spans="60:107">
      <c r="BH430" s="2025"/>
      <c r="BI430" s="2025"/>
      <c r="BJ430" s="2025"/>
      <c r="BK430" s="2227"/>
      <c r="BL430" s="2227"/>
      <c r="BM430" s="2227"/>
      <c r="BN430" s="2227"/>
      <c r="BO430" s="2227"/>
      <c r="BP430" s="2227"/>
      <c r="BQ430" s="2247"/>
      <c r="BR430" s="2227"/>
      <c r="BS430" s="2025"/>
      <c r="BT430" s="2025"/>
      <c r="BU430" s="2025"/>
      <c r="CJ430" s="2224"/>
      <c r="CV430" s="2206"/>
      <c r="CW430" s="2206"/>
      <c r="CX430" s="2027"/>
      <c r="CY430" s="2027"/>
      <c r="CZ430" s="2027"/>
      <c r="DA430" s="1604"/>
      <c r="DB430" s="1604"/>
      <c r="DC430" s="1604" t="s">
        <v>812</v>
      </c>
    </row>
    <row r="431" spans="60:107">
      <c r="BH431" s="2025"/>
      <c r="BI431" s="2025"/>
      <c r="BJ431" s="2025"/>
      <c r="BK431" s="2227"/>
      <c r="BL431" s="2227"/>
      <c r="BM431" s="2227"/>
      <c r="BN431" s="2227"/>
      <c r="BO431" s="2227"/>
      <c r="BP431" s="2227"/>
      <c r="BQ431" s="2247"/>
      <c r="BR431" s="2227"/>
      <c r="BS431" s="2227"/>
      <c r="BT431" s="2227"/>
      <c r="BU431" s="2025"/>
      <c r="CJ431" s="2224"/>
      <c r="CV431" s="2206"/>
      <c r="CW431" s="2206"/>
      <c r="CX431" s="2027"/>
      <c r="CY431" s="2027"/>
      <c r="CZ431" s="2027"/>
      <c r="DA431" s="1604"/>
      <c r="DB431" s="1604"/>
      <c r="DC431" s="1604" t="s">
        <v>233</v>
      </c>
    </row>
    <row r="432" spans="60:107">
      <c r="BH432" s="2025"/>
      <c r="BI432" s="2025"/>
      <c r="BJ432" s="2025"/>
      <c r="BK432" s="2227"/>
      <c r="BL432" s="2227"/>
      <c r="BM432" s="2227"/>
      <c r="BN432" s="2227"/>
      <c r="BO432" s="2227"/>
      <c r="BP432" s="2227"/>
      <c r="BQ432" s="2247"/>
      <c r="BR432" s="2227"/>
      <c r="BS432" s="2227"/>
      <c r="BT432" s="2227"/>
      <c r="BU432" s="2025"/>
      <c r="CJ432" s="2224"/>
      <c r="CU432" s="3275"/>
      <c r="CV432" s="1603"/>
      <c r="CW432" s="1603"/>
      <c r="CX432" s="2248"/>
      <c r="CY432" s="2209"/>
      <c r="CZ432" s="1619"/>
      <c r="DA432" s="1612"/>
    </row>
    <row r="433" spans="60:105">
      <c r="BH433" s="2025"/>
      <c r="BI433" s="2025"/>
      <c r="BJ433" s="2025"/>
      <c r="BK433" s="2227"/>
      <c r="BL433" s="2244"/>
      <c r="BM433" s="2244"/>
      <c r="BN433" s="2244"/>
      <c r="BO433" s="2244"/>
      <c r="BP433" s="2244"/>
      <c r="BQ433" s="2249"/>
      <c r="BR433" s="2244"/>
      <c r="BS433" s="2227"/>
      <c r="BT433" s="2227"/>
      <c r="BU433" s="2025"/>
      <c r="CJ433" s="2224"/>
      <c r="CU433" s="3275"/>
      <c r="CV433" s="1603" t="s">
        <v>2956</v>
      </c>
      <c r="CW433" s="1603"/>
      <c r="CX433" s="1603"/>
      <c r="CY433" s="1603"/>
      <c r="CZ433" s="1610"/>
      <c r="DA433" s="1603"/>
    </row>
    <row r="434" spans="60:105">
      <c r="BH434" s="2025"/>
      <c r="BI434" s="2025"/>
      <c r="BJ434" s="2025"/>
      <c r="BK434" s="2025"/>
      <c r="BL434" s="2245"/>
      <c r="BM434" s="2227"/>
      <c r="BN434" s="2245"/>
      <c r="BO434" s="2227"/>
      <c r="BP434" s="2245"/>
      <c r="BQ434" s="2025"/>
      <c r="BR434" s="2245"/>
      <c r="BS434" s="2025"/>
      <c r="BT434" s="2025"/>
      <c r="BU434" s="2025"/>
    </row>
    <row r="435" spans="60:105">
      <c r="BH435" s="2025"/>
      <c r="BI435" s="2025"/>
      <c r="BJ435" s="2025"/>
      <c r="BK435" s="2025"/>
      <c r="BL435" s="2227"/>
      <c r="BM435" s="2227"/>
      <c r="BN435" s="2227"/>
      <c r="BO435" s="2227"/>
      <c r="BP435" s="2227"/>
      <c r="BQ435" s="2025"/>
      <c r="BR435" s="2227"/>
      <c r="BS435" s="2250"/>
      <c r="BT435" s="2250"/>
      <c r="BU435" s="2025"/>
    </row>
    <row r="436" spans="60:105">
      <c r="BH436" s="2025"/>
      <c r="BI436" s="2025"/>
      <c r="BJ436" s="2025"/>
      <c r="BK436" s="2025"/>
      <c r="BL436" s="2245"/>
      <c r="BM436" s="2227"/>
      <c r="BN436" s="2245"/>
      <c r="BO436" s="2227"/>
      <c r="BP436" s="2245"/>
      <c r="BQ436" s="2227"/>
      <c r="BR436" s="2245"/>
      <c r="BS436" s="2227"/>
      <c r="BT436" s="2227"/>
      <c r="BU436" s="2025"/>
    </row>
    <row r="437" spans="60:105">
      <c r="BH437" s="2025"/>
      <c r="BI437" s="2025"/>
      <c r="BJ437" s="2025"/>
      <c r="BK437" s="2025"/>
      <c r="BL437" s="2227"/>
      <c r="BM437" s="2227"/>
      <c r="BN437" s="2227"/>
      <c r="BO437" s="2227"/>
      <c r="BP437" s="2227"/>
      <c r="BQ437" s="2025"/>
      <c r="BR437" s="2227"/>
      <c r="BS437" s="2250"/>
      <c r="BT437" s="2250"/>
      <c r="BU437" s="2025"/>
    </row>
    <row r="438" spans="60:105">
      <c r="BH438" s="2025"/>
      <c r="BI438" s="2025"/>
      <c r="BJ438" s="2025"/>
      <c r="BK438" s="2025"/>
      <c r="BL438" s="2245"/>
      <c r="BM438" s="2227"/>
      <c r="BN438" s="2245"/>
      <c r="BO438" s="2227"/>
      <c r="BP438" s="2245"/>
      <c r="BQ438" s="2227"/>
      <c r="BR438" s="2245"/>
      <c r="BS438" s="2250"/>
      <c r="BT438" s="2250"/>
      <c r="BU438" s="2025"/>
    </row>
    <row r="439" spans="60:105">
      <c r="BH439" s="2025"/>
      <c r="BI439" s="2025"/>
      <c r="BJ439" s="2025"/>
      <c r="BK439" s="2025"/>
      <c r="BL439" s="2227"/>
      <c r="BM439" s="2227"/>
      <c r="BN439" s="2227"/>
      <c r="BO439" s="2227"/>
      <c r="BP439" s="2227"/>
      <c r="BQ439" s="2025"/>
      <c r="BR439" s="2227"/>
      <c r="BS439" s="2250"/>
      <c r="BT439" s="2250"/>
      <c r="BU439" s="2025"/>
    </row>
    <row r="440" spans="60:105">
      <c r="BH440" s="2025"/>
      <c r="BI440" s="2025"/>
      <c r="BJ440" s="2025"/>
      <c r="BK440" s="2025"/>
      <c r="BL440" s="2245"/>
      <c r="BM440" s="2227"/>
      <c r="BN440" s="2245"/>
      <c r="BO440" s="2227"/>
      <c r="BP440" s="2245"/>
      <c r="BQ440" s="2227"/>
      <c r="BR440" s="2245"/>
      <c r="BS440" s="2250"/>
      <c r="BT440" s="2250"/>
      <c r="BU440" s="2025"/>
    </row>
    <row r="441" spans="60:105">
      <c r="BH441" s="2025"/>
      <c r="BI441" s="2025"/>
      <c r="BJ441" s="2025"/>
      <c r="BK441" s="2025"/>
      <c r="BL441" s="2025"/>
      <c r="BM441" s="2025"/>
      <c r="BN441" s="2025"/>
      <c r="BO441" s="2025"/>
      <c r="BP441" s="2025"/>
      <c r="BQ441" s="2025"/>
      <c r="BR441" s="2025"/>
      <c r="BS441" s="2025"/>
      <c r="BT441" s="2025"/>
      <c r="BU441" s="2025"/>
    </row>
    <row r="442" spans="60:105">
      <c r="BH442" s="2025"/>
      <c r="BI442" s="2025"/>
      <c r="BJ442" s="2025"/>
      <c r="BK442" s="2025"/>
      <c r="BL442" s="2227"/>
      <c r="BM442" s="2227"/>
      <c r="BN442" s="2227"/>
      <c r="BO442" s="2227"/>
      <c r="BP442" s="2227"/>
      <c r="BQ442" s="2025"/>
      <c r="BR442" s="2227"/>
      <c r="BS442" s="2250"/>
      <c r="BT442" s="2250"/>
      <c r="BU442" s="2025"/>
    </row>
    <row r="443" spans="60:105">
      <c r="BH443" s="2025"/>
      <c r="BI443" s="2025"/>
      <c r="BJ443" s="2025"/>
      <c r="BK443" s="2025"/>
      <c r="BL443" s="2025"/>
      <c r="BM443" s="2025"/>
      <c r="BN443" s="2025"/>
      <c r="BO443" s="2025"/>
      <c r="BP443" s="2025"/>
      <c r="BQ443" s="2025"/>
      <c r="BR443" s="2025"/>
      <c r="BS443" s="2025"/>
      <c r="BT443" s="2025"/>
      <c r="BU443" s="2025"/>
    </row>
    <row r="444" spans="60:105">
      <c r="BH444" s="2025"/>
      <c r="BI444" s="2025"/>
      <c r="BJ444" s="2025"/>
      <c r="BK444" s="2025"/>
      <c r="BL444" s="2025"/>
      <c r="BM444" s="2025"/>
      <c r="BN444" s="2025"/>
      <c r="BO444" s="2025"/>
      <c r="BP444" s="2025"/>
      <c r="BQ444" s="2025"/>
      <c r="BR444" s="2245"/>
      <c r="BS444" s="2227"/>
      <c r="BT444" s="2227"/>
      <c r="BU444" s="2025"/>
    </row>
    <row r="445" spans="60:105">
      <c r="BH445" s="2025"/>
      <c r="BI445" s="2025"/>
      <c r="BJ445" s="2025"/>
      <c r="BK445" s="2025"/>
      <c r="BL445" s="2025"/>
      <c r="BM445" s="2025"/>
      <c r="BN445" s="2025"/>
      <c r="BO445" s="2025"/>
      <c r="BP445" s="2025"/>
      <c r="BQ445" s="2025"/>
      <c r="BR445" s="2227"/>
      <c r="BS445" s="2227"/>
      <c r="BT445" s="2227"/>
      <c r="BU445" s="2025"/>
    </row>
    <row r="446" spans="60:105">
      <c r="BH446" s="2025"/>
      <c r="BI446" s="2025"/>
      <c r="BJ446" s="2025"/>
      <c r="BK446" s="2025"/>
      <c r="BL446" s="2025"/>
      <c r="BM446" s="2025"/>
      <c r="BN446" s="2025"/>
      <c r="BO446" s="2025"/>
      <c r="BP446" s="2025"/>
      <c r="BQ446" s="2025"/>
      <c r="BR446" s="2025"/>
      <c r="BS446" s="2025"/>
      <c r="BT446" s="2025"/>
      <c r="BU446" s="2025"/>
    </row>
    <row r="447" spans="60:105">
      <c r="BH447" s="2025"/>
      <c r="BI447" s="2025"/>
      <c r="BJ447" s="2025"/>
      <c r="BK447" s="2025"/>
      <c r="BL447" s="2025"/>
      <c r="BM447" s="2025"/>
      <c r="BN447" s="2025"/>
      <c r="BO447" s="2025"/>
      <c r="BP447" s="2025"/>
      <c r="BQ447" s="2025"/>
      <c r="BR447" s="2025"/>
      <c r="BS447" s="2025"/>
      <c r="BT447" s="2025"/>
      <c r="BU447" s="2025"/>
    </row>
    <row r="448" spans="60:105">
      <c r="BH448" s="2025"/>
      <c r="BI448" s="2025"/>
      <c r="BJ448" s="2025"/>
      <c r="BK448" s="2025"/>
      <c r="BL448" s="2025"/>
      <c r="BM448" s="2025"/>
      <c r="BN448" s="2025"/>
      <c r="BO448" s="2025"/>
      <c r="BP448" s="2025"/>
      <c r="BQ448" s="2025"/>
      <c r="BR448" s="2025"/>
      <c r="BS448" s="2025"/>
      <c r="BT448" s="2025"/>
      <c r="BU448" s="2025"/>
    </row>
    <row r="449" spans="60:73">
      <c r="BH449" s="2025"/>
      <c r="BI449" s="2025"/>
      <c r="BJ449" s="2025"/>
      <c r="BK449" s="2025"/>
      <c r="BL449" s="2025"/>
      <c r="BM449" s="2025"/>
      <c r="BN449" s="2025"/>
      <c r="BO449" s="2025"/>
      <c r="BP449" s="2025"/>
      <c r="BQ449" s="2025"/>
      <c r="BR449" s="2025"/>
      <c r="BS449" s="2025"/>
      <c r="BT449" s="2025"/>
      <c r="BU449" s="2025"/>
    </row>
    <row r="450" spans="60:73">
      <c r="BH450" s="2025"/>
      <c r="BI450" s="2025"/>
      <c r="BJ450" s="2025"/>
      <c r="BK450" s="2025"/>
      <c r="BL450" s="2025"/>
      <c r="BM450" s="2025"/>
      <c r="BN450" s="2025"/>
      <c r="BO450" s="2025"/>
      <c r="BP450" s="2025"/>
      <c r="BQ450" s="2025"/>
      <c r="BR450" s="2025"/>
      <c r="BS450" s="2025"/>
      <c r="BT450" s="2025"/>
      <c r="BU450" s="2025"/>
    </row>
    <row r="451" spans="60:73">
      <c r="BH451" s="2025"/>
      <c r="BI451" s="2025"/>
      <c r="BJ451" s="2025"/>
      <c r="BK451" s="2025"/>
      <c r="BL451" s="2025"/>
      <c r="BM451" s="2025"/>
      <c r="BN451" s="2025"/>
      <c r="BO451" s="2025"/>
      <c r="BP451" s="2025"/>
      <c r="BQ451" s="2025"/>
      <c r="BR451" s="2025"/>
      <c r="BS451" s="2025"/>
      <c r="BT451" s="2025"/>
      <c r="BU451" s="2025"/>
    </row>
    <row r="452" spans="60:73">
      <c r="BH452" s="2025"/>
      <c r="BI452" s="2025"/>
      <c r="BJ452" s="2025"/>
      <c r="BK452" s="2025"/>
      <c r="BL452" s="2025"/>
      <c r="BM452" s="2025"/>
      <c r="BN452" s="2025"/>
      <c r="BO452" s="2025"/>
      <c r="BP452" s="2025"/>
      <c r="BQ452" s="2025"/>
      <c r="BR452" s="2025"/>
      <c r="BS452" s="2025"/>
      <c r="BT452" s="2025"/>
      <c r="BU452" s="2025"/>
    </row>
    <row r="453" spans="60:73">
      <c r="BH453" s="2025"/>
      <c r="BI453" s="2025"/>
      <c r="BJ453" s="2025"/>
      <c r="BK453" s="2025"/>
      <c r="BL453" s="2025"/>
      <c r="BM453" s="2025"/>
      <c r="BN453" s="2025"/>
      <c r="BO453" s="2025"/>
      <c r="BP453" s="2025"/>
      <c r="BQ453" s="2025"/>
      <c r="BR453" s="2025"/>
      <c r="BS453" s="2025"/>
      <c r="BT453" s="2025"/>
      <c r="BU453" s="2025"/>
    </row>
    <row r="454" spans="60:73">
      <c r="BH454" s="2025"/>
      <c r="BI454" s="2025"/>
      <c r="BJ454" s="2025"/>
      <c r="BK454" s="2025"/>
      <c r="BL454" s="2025"/>
      <c r="BM454" s="2025"/>
      <c r="BN454" s="2025"/>
      <c r="BO454" s="2025"/>
      <c r="BP454" s="2025"/>
      <c r="BQ454" s="2025"/>
      <c r="BR454" s="2025"/>
      <c r="BS454" s="2025"/>
      <c r="BT454" s="2025"/>
      <c r="BU454" s="2025"/>
    </row>
    <row r="455" spans="60:73">
      <c r="BH455" s="2025"/>
      <c r="BI455" s="2025"/>
      <c r="BJ455" s="2025"/>
      <c r="BK455" s="2025"/>
      <c r="BL455" s="2025"/>
      <c r="BM455" s="2025"/>
      <c r="BN455" s="2025"/>
      <c r="BO455" s="2025"/>
      <c r="BP455" s="2025"/>
      <c r="BQ455" s="2025"/>
      <c r="BR455" s="2025"/>
      <c r="BS455" s="2025"/>
      <c r="BT455" s="2025"/>
      <c r="BU455" s="2025"/>
    </row>
    <row r="456" spans="60:73">
      <c r="BH456" s="2025"/>
      <c r="BI456" s="2025"/>
      <c r="BJ456" s="2025"/>
      <c r="BK456" s="2025"/>
      <c r="BL456" s="2025"/>
      <c r="BM456" s="2025"/>
      <c r="BN456" s="2025"/>
      <c r="BO456" s="2025"/>
      <c r="BP456" s="2025"/>
      <c r="BQ456" s="2025"/>
      <c r="BR456" s="2025"/>
      <c r="BS456" s="2025"/>
      <c r="BT456" s="2025"/>
      <c r="BU456" s="2025"/>
    </row>
    <row r="457" spans="60:73">
      <c r="BH457" s="2025"/>
      <c r="BI457" s="2025"/>
      <c r="BJ457" s="2025"/>
      <c r="BK457" s="2025"/>
      <c r="BL457" s="2025"/>
      <c r="BM457" s="2025"/>
      <c r="BN457" s="2025"/>
      <c r="BO457" s="2025"/>
      <c r="BP457" s="2025"/>
      <c r="BQ457" s="2025"/>
      <c r="BR457" s="2025"/>
      <c r="BS457" s="2025"/>
      <c r="BT457" s="2025"/>
      <c r="BU457" s="2025"/>
    </row>
    <row r="458" spans="60:73">
      <c r="BH458" s="2025"/>
      <c r="BI458" s="2025"/>
      <c r="BJ458" s="2025"/>
      <c r="BK458" s="2025"/>
      <c r="BL458" s="2025"/>
      <c r="BM458" s="2025"/>
      <c r="BN458" s="2025"/>
      <c r="BO458" s="2025"/>
      <c r="BP458" s="2025"/>
      <c r="BQ458" s="2025"/>
      <c r="BR458" s="2025"/>
      <c r="BS458" s="2025"/>
      <c r="BT458" s="2025"/>
      <c r="BU458" s="2025"/>
    </row>
    <row r="459" spans="60:73">
      <c r="BH459" s="2025"/>
      <c r="BI459" s="2025"/>
      <c r="BJ459" s="2025"/>
      <c r="BK459" s="2025"/>
      <c r="BL459" s="2025"/>
      <c r="BM459" s="2025"/>
      <c r="BN459" s="2025"/>
      <c r="BO459" s="2025"/>
      <c r="BP459" s="2025"/>
      <c r="BQ459" s="2025"/>
      <c r="BR459" s="2025"/>
      <c r="BS459" s="2025"/>
      <c r="BT459" s="2025"/>
      <c r="BU459" s="2025"/>
    </row>
    <row r="460" spans="60:73">
      <c r="BH460" s="2025"/>
      <c r="BI460" s="2025"/>
      <c r="BJ460" s="2025"/>
      <c r="BK460" s="2025"/>
      <c r="BL460" s="2025"/>
      <c r="BM460" s="2025"/>
      <c r="BN460" s="2025"/>
      <c r="BO460" s="2025"/>
      <c r="BP460" s="2025"/>
      <c r="BQ460" s="2025"/>
      <c r="BR460" s="2025"/>
      <c r="BS460" s="2025"/>
      <c r="BT460" s="2025"/>
      <c r="BU460" s="2025"/>
    </row>
    <row r="461" spans="60:73">
      <c r="BH461" s="2025"/>
      <c r="BI461" s="2025"/>
      <c r="BJ461" s="2025"/>
      <c r="BK461" s="2025"/>
      <c r="BL461" s="2025"/>
      <c r="BM461" s="2025"/>
      <c r="BN461" s="2025"/>
      <c r="BO461" s="2025"/>
      <c r="BP461" s="2025"/>
      <c r="BQ461" s="2025"/>
      <c r="BR461" s="2025"/>
      <c r="BS461" s="2025"/>
      <c r="BT461" s="2025"/>
      <c r="BU461" s="2025"/>
    </row>
    <row r="462" spans="60:73">
      <c r="BH462" s="2025"/>
      <c r="BI462" s="2025"/>
      <c r="BJ462" s="2025"/>
      <c r="BK462" s="2025"/>
      <c r="BL462" s="2025"/>
      <c r="BM462" s="2025"/>
      <c r="BN462" s="2025"/>
      <c r="BO462" s="2025"/>
      <c r="BP462" s="2025"/>
      <c r="BQ462" s="2025"/>
      <c r="BR462" s="2025"/>
      <c r="BS462" s="2025"/>
      <c r="BT462" s="2025"/>
      <c r="BU462" s="2025"/>
    </row>
    <row r="463" spans="60:73">
      <c r="BH463" s="2025"/>
      <c r="BI463" s="2025"/>
      <c r="BJ463" s="2025"/>
      <c r="BK463" s="2025"/>
      <c r="BL463" s="2025"/>
      <c r="BM463" s="2025"/>
      <c r="BN463" s="2025"/>
      <c r="BO463" s="2025"/>
      <c r="BP463" s="2025"/>
      <c r="BQ463" s="2025"/>
      <c r="BR463" s="2025"/>
      <c r="BS463" s="2025"/>
      <c r="BT463" s="2025"/>
      <c r="BU463" s="2025"/>
    </row>
    <row r="464" spans="60:73">
      <c r="BH464" s="2025"/>
      <c r="BI464" s="2025"/>
      <c r="BJ464" s="2025"/>
      <c r="BK464" s="2025"/>
      <c r="BL464" s="2025"/>
      <c r="BM464" s="2025"/>
      <c r="BN464" s="2025"/>
      <c r="BO464" s="2025"/>
      <c r="BP464" s="2025"/>
      <c r="BQ464" s="2025"/>
      <c r="BR464" s="2025"/>
      <c r="BS464" s="2025"/>
      <c r="BT464" s="2025"/>
      <c r="BU464" s="2025"/>
    </row>
    <row r="465" spans="60:73">
      <c r="BH465" s="2025"/>
      <c r="BI465" s="2025"/>
      <c r="BJ465" s="2025"/>
      <c r="BK465" s="2025"/>
      <c r="BL465" s="2025"/>
      <c r="BM465" s="2025"/>
      <c r="BN465" s="2025"/>
      <c r="BO465" s="2025"/>
      <c r="BP465" s="2025"/>
      <c r="BQ465" s="2025"/>
      <c r="BR465" s="2025"/>
      <c r="BS465" s="2025"/>
      <c r="BT465" s="2025"/>
      <c r="BU465" s="2025"/>
    </row>
    <row r="466" spans="60:73">
      <c r="BH466" s="2025"/>
      <c r="BI466" s="2025"/>
      <c r="BJ466" s="2025"/>
      <c r="BK466" s="2025"/>
      <c r="BL466" s="2025"/>
      <c r="BM466" s="2025"/>
      <c r="BN466" s="2025"/>
      <c r="BO466" s="2025"/>
      <c r="BP466" s="2025"/>
      <c r="BQ466" s="2025"/>
      <c r="BR466" s="2025"/>
      <c r="BS466" s="2025"/>
      <c r="BT466" s="2025"/>
      <c r="BU466" s="2025"/>
    </row>
    <row r="467" spans="60:73">
      <c r="BH467" s="2025"/>
      <c r="BI467" s="2025"/>
      <c r="BJ467" s="2025"/>
      <c r="BK467" s="2025"/>
      <c r="BL467" s="2025"/>
      <c r="BM467" s="2025"/>
      <c r="BN467" s="2025"/>
      <c r="BO467" s="2025"/>
      <c r="BP467" s="2025"/>
      <c r="BQ467" s="2025"/>
      <c r="BR467" s="2025"/>
      <c r="BS467" s="2025"/>
      <c r="BT467" s="2025"/>
      <c r="BU467" s="2025"/>
    </row>
    <row r="468" spans="60:73">
      <c r="BH468" s="2025"/>
      <c r="BI468" s="2025"/>
      <c r="BJ468" s="2025"/>
      <c r="BK468" s="2025"/>
      <c r="BL468" s="2025"/>
      <c r="BM468" s="2025"/>
      <c r="BN468" s="2025"/>
      <c r="BO468" s="2025"/>
      <c r="BP468" s="2025"/>
      <c r="BQ468" s="2025"/>
      <c r="BR468" s="2025"/>
      <c r="BS468" s="2025"/>
      <c r="BT468" s="2025"/>
      <c r="BU468" s="2025"/>
    </row>
    <row r="469" spans="60:73">
      <c r="BH469" s="2025"/>
      <c r="BI469" s="2025"/>
      <c r="BJ469" s="2025"/>
      <c r="BK469" s="2025"/>
      <c r="BL469" s="2025"/>
      <c r="BM469" s="2025"/>
      <c r="BN469" s="2025"/>
      <c r="BO469" s="2025"/>
      <c r="BP469" s="2025"/>
      <c r="BQ469" s="2025"/>
      <c r="BR469" s="2025"/>
      <c r="BS469" s="2025"/>
      <c r="BT469" s="2025"/>
      <c r="BU469" s="2025"/>
    </row>
    <row r="470" spans="60:73">
      <c r="BH470" s="2025"/>
      <c r="BI470" s="2025"/>
      <c r="BJ470" s="2025"/>
      <c r="BK470" s="2025"/>
      <c r="BL470" s="2025"/>
      <c r="BM470" s="2025"/>
      <c r="BN470" s="2025"/>
      <c r="BO470" s="2025"/>
      <c r="BP470" s="2025"/>
      <c r="BQ470" s="2025"/>
      <c r="BR470" s="2025"/>
      <c r="BS470" s="2025"/>
      <c r="BT470" s="2025"/>
      <c r="BU470" s="2025"/>
    </row>
    <row r="471" spans="60:73">
      <c r="BH471" s="2025"/>
      <c r="BI471" s="2025"/>
      <c r="BJ471" s="2025"/>
      <c r="BK471" s="2025"/>
      <c r="BL471" s="2025"/>
      <c r="BM471" s="2025"/>
      <c r="BN471" s="2025"/>
      <c r="BO471" s="2025"/>
      <c r="BP471" s="2025"/>
      <c r="BQ471" s="2025"/>
      <c r="BR471" s="2025"/>
      <c r="BS471" s="2025"/>
      <c r="BT471" s="2025"/>
      <c r="BU471" s="2025"/>
    </row>
    <row r="472" spans="60:73">
      <c r="BH472" s="2025"/>
      <c r="BI472" s="2025"/>
      <c r="BJ472" s="2025"/>
      <c r="BK472" s="2025"/>
      <c r="BL472" s="2025"/>
      <c r="BM472" s="2025"/>
      <c r="BN472" s="2025"/>
      <c r="BO472" s="2025"/>
      <c r="BP472" s="2025"/>
      <c r="BQ472" s="2025"/>
      <c r="BR472" s="2025"/>
      <c r="BS472" s="2025"/>
      <c r="BT472" s="2025"/>
      <c r="BU472" s="2025"/>
    </row>
    <row r="473" spans="60:73">
      <c r="BH473" s="2025"/>
      <c r="BI473" s="2025"/>
      <c r="BJ473" s="2025"/>
      <c r="BK473" s="2025"/>
      <c r="BL473" s="2025"/>
      <c r="BM473" s="2025"/>
      <c r="BN473" s="2025"/>
      <c r="BO473" s="2025"/>
      <c r="BP473" s="2025"/>
      <c r="BQ473" s="2025"/>
      <c r="BR473" s="2025"/>
      <c r="BS473" s="2025"/>
      <c r="BT473" s="2025"/>
      <c r="BU473" s="2025"/>
    </row>
    <row r="474" spans="60:73">
      <c r="BH474" s="2025"/>
      <c r="BI474" s="2025"/>
      <c r="BJ474" s="2025"/>
      <c r="BK474" s="2025"/>
      <c r="BL474" s="2025"/>
      <c r="BM474" s="2025"/>
      <c r="BN474" s="2025"/>
      <c r="BO474" s="2025"/>
      <c r="BP474" s="2025"/>
      <c r="BQ474" s="2025"/>
      <c r="BR474" s="2025"/>
      <c r="BS474" s="2025"/>
      <c r="BT474" s="2025"/>
      <c r="BU474" s="2025"/>
    </row>
    <row r="475" spans="60:73">
      <c r="BH475" s="2025"/>
      <c r="BI475" s="2025"/>
      <c r="BJ475" s="2025"/>
      <c r="BK475" s="2025"/>
      <c r="BL475" s="2025"/>
      <c r="BM475" s="2025"/>
      <c r="BN475" s="2025"/>
      <c r="BO475" s="2025"/>
      <c r="BP475" s="2025"/>
      <c r="BQ475" s="2025"/>
      <c r="BR475" s="2025"/>
      <c r="BS475" s="2025"/>
      <c r="BT475" s="2025"/>
      <c r="BU475" s="2025"/>
    </row>
    <row r="476" spans="60:73">
      <c r="BH476" s="2025"/>
      <c r="BI476" s="2025"/>
      <c r="BJ476" s="2025"/>
      <c r="BK476" s="2025"/>
      <c r="BL476" s="2025"/>
      <c r="BM476" s="2025"/>
      <c r="BN476" s="2025"/>
      <c r="BO476" s="2025"/>
      <c r="BP476" s="2025"/>
      <c r="BQ476" s="2025"/>
      <c r="BR476" s="2025"/>
      <c r="BS476" s="2025"/>
      <c r="BT476" s="2025"/>
      <c r="BU476" s="2025"/>
    </row>
    <row r="477" spans="60:73">
      <c r="BH477" s="2025"/>
      <c r="BI477" s="2025"/>
      <c r="BJ477" s="2025"/>
      <c r="BK477" s="2025"/>
      <c r="BL477" s="2025"/>
      <c r="BM477" s="2025"/>
      <c r="BN477" s="2025"/>
      <c r="BO477" s="2025"/>
      <c r="BP477" s="2025"/>
      <c r="BQ477" s="2025"/>
      <c r="BR477" s="2025"/>
      <c r="BS477" s="2025"/>
      <c r="BT477" s="2025"/>
      <c r="BU477" s="2025"/>
    </row>
    <row r="478" spans="60:73">
      <c r="BH478" s="2025"/>
      <c r="BI478" s="2025"/>
      <c r="BJ478" s="2025"/>
      <c r="BK478" s="2025"/>
      <c r="BL478" s="2025"/>
      <c r="BM478" s="2025"/>
      <c r="BN478" s="2025"/>
      <c r="BO478" s="2025"/>
      <c r="BP478" s="2025"/>
      <c r="BQ478" s="2025"/>
      <c r="BR478" s="2025"/>
      <c r="BS478" s="2025"/>
      <c r="BT478" s="2025"/>
      <c r="BU478" s="2025"/>
    </row>
    <row r="479" spans="60:73">
      <c r="BH479" s="2025"/>
      <c r="BI479" s="2025"/>
      <c r="BJ479" s="2025"/>
      <c r="BK479" s="2025"/>
      <c r="BL479" s="2025"/>
      <c r="BM479" s="2025"/>
      <c r="BN479" s="2025"/>
      <c r="BO479" s="2025"/>
      <c r="BP479" s="2025"/>
      <c r="BQ479" s="2025"/>
      <c r="BR479" s="2025"/>
      <c r="BS479" s="2025"/>
      <c r="BT479" s="2025"/>
      <c r="BU479" s="2025"/>
    </row>
    <row r="480" spans="60:73">
      <c r="BH480" s="2025"/>
      <c r="BI480" s="2025"/>
      <c r="BJ480" s="2025"/>
      <c r="BK480" s="2025"/>
      <c r="BL480" s="2025"/>
      <c r="BM480" s="2025"/>
      <c r="BN480" s="2025"/>
      <c r="BO480" s="2025"/>
      <c r="BP480" s="2025"/>
      <c r="BQ480" s="2025"/>
      <c r="BR480" s="2025"/>
      <c r="BS480" s="2025"/>
      <c r="BT480" s="2025"/>
      <c r="BU480" s="2025"/>
    </row>
    <row r="481" spans="60:73">
      <c r="BH481" s="2025"/>
      <c r="BI481" s="2025"/>
      <c r="BJ481" s="2025"/>
      <c r="BK481" s="2025"/>
      <c r="BL481" s="2025"/>
      <c r="BM481" s="2025"/>
      <c r="BN481" s="2025"/>
      <c r="BO481" s="2025"/>
      <c r="BP481" s="2025"/>
      <c r="BQ481" s="2025"/>
      <c r="BR481" s="2025"/>
      <c r="BS481" s="2025"/>
      <c r="BT481" s="2025"/>
      <c r="BU481" s="2025"/>
    </row>
    <row r="482" spans="60:73">
      <c r="BH482" s="2025"/>
      <c r="BI482" s="2025"/>
      <c r="BJ482" s="2025"/>
      <c r="BK482" s="2025"/>
      <c r="BL482" s="2025"/>
      <c r="BM482" s="2025"/>
      <c r="BN482" s="2025"/>
      <c r="BO482" s="2025"/>
      <c r="BP482" s="2025"/>
      <c r="BQ482" s="2025"/>
      <c r="BR482" s="2025"/>
      <c r="BS482" s="2025"/>
      <c r="BT482" s="2025"/>
      <c r="BU482" s="2025"/>
    </row>
    <row r="483" spans="60:73">
      <c r="BH483" s="2025"/>
      <c r="BI483" s="2025"/>
      <c r="BJ483" s="2025"/>
      <c r="BK483" s="2025"/>
      <c r="BL483" s="2025"/>
      <c r="BM483" s="2025"/>
      <c r="BN483" s="2025"/>
      <c r="BO483" s="2025"/>
      <c r="BP483" s="2025"/>
      <c r="BQ483" s="2025"/>
      <c r="BR483" s="2025"/>
      <c r="BS483" s="2025"/>
      <c r="BT483" s="2025"/>
      <c r="BU483" s="2025"/>
    </row>
    <row r="484" spans="60:73">
      <c r="BH484" s="2025"/>
      <c r="BI484" s="2025"/>
      <c r="BJ484" s="2025"/>
      <c r="BK484" s="2025"/>
      <c r="BL484" s="2025"/>
      <c r="BM484" s="2025"/>
      <c r="BN484" s="2025"/>
      <c r="BO484" s="2025"/>
      <c r="BP484" s="2025"/>
      <c r="BQ484" s="2025"/>
      <c r="BR484" s="2025"/>
      <c r="BS484" s="2025"/>
      <c r="BT484" s="2025"/>
      <c r="BU484" s="2025"/>
    </row>
    <row r="485" spans="60:73">
      <c r="BH485" s="2025"/>
      <c r="BI485" s="2025"/>
      <c r="BJ485" s="2025"/>
      <c r="BK485" s="2025"/>
      <c r="BL485" s="2025"/>
      <c r="BM485" s="2025"/>
      <c r="BN485" s="2025"/>
      <c r="BO485" s="2025"/>
      <c r="BP485" s="2025"/>
      <c r="BQ485" s="2025"/>
      <c r="BR485" s="2025"/>
      <c r="BS485" s="2025"/>
      <c r="BT485" s="2025"/>
      <c r="BU485" s="2025"/>
    </row>
    <row r="486" spans="60:73">
      <c r="BH486" s="2025"/>
      <c r="BI486" s="2025"/>
      <c r="BJ486" s="2025"/>
      <c r="BK486" s="2025"/>
      <c r="BL486" s="2025"/>
      <c r="BM486" s="2025"/>
      <c r="BN486" s="2025"/>
      <c r="BO486" s="2025"/>
      <c r="BP486" s="2025"/>
      <c r="BQ486" s="2025"/>
      <c r="BR486" s="2025"/>
      <c r="BS486" s="2025"/>
      <c r="BT486" s="2025"/>
      <c r="BU486" s="2025"/>
    </row>
    <row r="487" spans="60:73">
      <c r="BH487" s="2025"/>
      <c r="BI487" s="2025"/>
      <c r="BJ487" s="2025"/>
      <c r="BK487" s="2025"/>
      <c r="BL487" s="2025"/>
      <c r="BM487" s="2025"/>
      <c r="BN487" s="2025"/>
      <c r="BO487" s="2025"/>
      <c r="BP487" s="2025"/>
      <c r="BQ487" s="2025"/>
      <c r="BR487" s="2025"/>
      <c r="BS487" s="2025"/>
      <c r="BT487" s="2025"/>
      <c r="BU487" s="2025"/>
    </row>
    <row r="488" spans="60:73">
      <c r="BH488" s="2025"/>
      <c r="BI488" s="2025"/>
      <c r="BJ488" s="2025"/>
      <c r="BK488" s="2025"/>
      <c r="BL488" s="2025"/>
      <c r="BM488" s="2025"/>
      <c r="BN488" s="2025"/>
      <c r="BO488" s="2025"/>
      <c r="BP488" s="2025"/>
      <c r="BQ488" s="2025"/>
      <c r="BR488" s="2025"/>
      <c r="BS488" s="2025"/>
      <c r="BT488" s="2025"/>
      <c r="BU488" s="2025"/>
    </row>
    <row r="489" spans="60:73">
      <c r="BH489" s="2025"/>
      <c r="BI489" s="2025"/>
      <c r="BJ489" s="2025"/>
      <c r="BK489" s="2025"/>
      <c r="BL489" s="2025"/>
      <c r="BM489" s="2025"/>
      <c r="BN489" s="2025"/>
      <c r="BO489" s="2025"/>
      <c r="BP489" s="2025"/>
      <c r="BQ489" s="2025"/>
      <c r="BR489" s="2025"/>
      <c r="BS489" s="2025"/>
      <c r="BT489" s="2025"/>
      <c r="BU489" s="2025"/>
    </row>
    <row r="490" spans="60:73">
      <c r="BH490" s="2025"/>
      <c r="BI490" s="2025"/>
      <c r="BJ490" s="2025"/>
      <c r="BK490" s="2025"/>
      <c r="BL490" s="2025"/>
      <c r="BM490" s="2025"/>
      <c r="BN490" s="2025"/>
      <c r="BO490" s="2025"/>
      <c r="BP490" s="2025"/>
      <c r="BQ490" s="2025"/>
      <c r="BR490" s="2025"/>
      <c r="BS490" s="2025"/>
      <c r="BT490" s="2025"/>
      <c r="BU490" s="2025"/>
    </row>
    <row r="491" spans="60:73">
      <c r="BH491" s="2025"/>
      <c r="BI491" s="2025"/>
      <c r="BJ491" s="2025"/>
      <c r="BK491" s="2025"/>
      <c r="BL491" s="2025"/>
      <c r="BM491" s="2025"/>
      <c r="BN491" s="2025"/>
      <c r="BO491" s="2025"/>
      <c r="BP491" s="2025"/>
      <c r="BQ491" s="2025"/>
      <c r="BR491" s="2025"/>
      <c r="BS491" s="2025"/>
      <c r="BT491" s="2025"/>
      <c r="BU491" s="2025"/>
    </row>
    <row r="492" spans="60:73">
      <c r="BH492" s="2025"/>
      <c r="BI492" s="2025"/>
      <c r="BJ492" s="2025"/>
      <c r="BK492" s="2025"/>
      <c r="BL492" s="2025"/>
      <c r="BM492" s="2025"/>
      <c r="BN492" s="2025"/>
      <c r="BO492" s="2025"/>
      <c r="BP492" s="2025"/>
      <c r="BQ492" s="2025"/>
      <c r="BR492" s="2025"/>
      <c r="BS492" s="2025"/>
      <c r="BT492" s="2025"/>
      <c r="BU492" s="2025"/>
    </row>
    <row r="493" spans="60:73">
      <c r="BH493" s="2025"/>
      <c r="BI493" s="2025"/>
      <c r="BJ493" s="2025"/>
      <c r="BK493" s="2025"/>
      <c r="BL493" s="2025"/>
      <c r="BM493" s="2025"/>
      <c r="BN493" s="2025"/>
      <c r="BO493" s="2025"/>
      <c r="BP493" s="2025"/>
      <c r="BQ493" s="2025"/>
      <c r="BR493" s="2025"/>
      <c r="BS493" s="2025"/>
      <c r="BT493" s="2025"/>
      <c r="BU493" s="2025"/>
    </row>
    <row r="494" spans="60:73">
      <c r="BH494" s="2025"/>
      <c r="BI494" s="2025"/>
      <c r="BJ494" s="2025"/>
      <c r="BK494" s="2025"/>
      <c r="BL494" s="2025"/>
      <c r="BM494" s="2025"/>
      <c r="BN494" s="2025"/>
      <c r="BO494" s="2025"/>
      <c r="BP494" s="2025"/>
      <c r="BQ494" s="2025"/>
      <c r="BR494" s="2025"/>
      <c r="BS494" s="2025"/>
      <c r="BT494" s="2025"/>
      <c r="BU494" s="2025"/>
    </row>
    <row r="495" spans="60:73">
      <c r="BH495" s="2025"/>
      <c r="BI495" s="2025"/>
      <c r="BJ495" s="2025"/>
      <c r="BK495" s="2025"/>
      <c r="BL495" s="2025"/>
      <c r="BM495" s="2025"/>
      <c r="BN495" s="2025"/>
      <c r="BO495" s="2025"/>
      <c r="BP495" s="2025"/>
      <c r="BQ495" s="2025"/>
      <c r="BR495" s="2025"/>
      <c r="BS495" s="2025"/>
      <c r="BT495" s="2025"/>
      <c r="BU495" s="2025"/>
    </row>
    <row r="496" spans="60:73">
      <c r="BH496" s="2025"/>
      <c r="BI496" s="2025"/>
      <c r="BJ496" s="2025"/>
      <c r="BK496" s="2025"/>
      <c r="BL496" s="2025"/>
      <c r="BM496" s="2025"/>
      <c r="BN496" s="2025"/>
      <c r="BO496" s="2025"/>
      <c r="BP496" s="2025"/>
      <c r="BQ496" s="2025"/>
      <c r="BR496" s="2025"/>
      <c r="BS496" s="2025"/>
      <c r="BT496" s="2025"/>
      <c r="BU496" s="2025"/>
    </row>
    <row r="497" spans="60:73">
      <c r="BH497" s="2025"/>
      <c r="BI497" s="2025"/>
      <c r="BJ497" s="2025"/>
      <c r="BK497" s="2025"/>
      <c r="BL497" s="2025"/>
      <c r="BM497" s="2025"/>
      <c r="BN497" s="2025"/>
      <c r="BO497" s="2025"/>
      <c r="BP497" s="2025"/>
      <c r="BQ497" s="2025"/>
      <c r="BR497" s="2025"/>
      <c r="BS497" s="2025"/>
      <c r="BT497" s="2025"/>
      <c r="BU497" s="2025"/>
    </row>
    <row r="498" spans="60:73">
      <c r="BH498" s="2025"/>
      <c r="BI498" s="2025"/>
      <c r="BJ498" s="2025"/>
      <c r="BK498" s="2025"/>
      <c r="BL498" s="2025"/>
      <c r="BM498" s="2025"/>
      <c r="BN498" s="2025"/>
      <c r="BO498" s="2025"/>
      <c r="BP498" s="2025"/>
      <c r="BQ498" s="2025"/>
      <c r="BR498" s="2025"/>
      <c r="BS498" s="2025"/>
      <c r="BT498" s="2025"/>
      <c r="BU498" s="2025"/>
    </row>
    <row r="499" spans="60:73">
      <c r="BH499" s="2025"/>
      <c r="BI499" s="2025"/>
      <c r="BJ499" s="2025"/>
      <c r="BK499" s="2025"/>
      <c r="BL499" s="2025"/>
      <c r="BM499" s="2025"/>
      <c r="BN499" s="2025"/>
      <c r="BO499" s="2025"/>
      <c r="BP499" s="2025"/>
      <c r="BQ499" s="2025"/>
      <c r="BR499" s="2025"/>
      <c r="BS499" s="2025"/>
      <c r="BT499" s="2025"/>
      <c r="BU499" s="2025"/>
    </row>
    <row r="500" spans="60:73">
      <c r="BH500" s="2025"/>
      <c r="BI500" s="2025"/>
      <c r="BJ500" s="2025"/>
      <c r="BK500" s="2025"/>
      <c r="BL500" s="2025"/>
      <c r="BM500" s="2025"/>
      <c r="BN500" s="2025"/>
      <c r="BO500" s="2025"/>
      <c r="BP500" s="2025"/>
      <c r="BQ500" s="2025"/>
      <c r="BR500" s="2025"/>
      <c r="BS500" s="2025"/>
      <c r="BT500" s="2025"/>
      <c r="BU500" s="2025"/>
    </row>
    <row r="501" spans="60:73">
      <c r="BH501" s="2025"/>
      <c r="BI501" s="2025"/>
      <c r="BJ501" s="2025"/>
      <c r="BK501" s="2025"/>
      <c r="BL501" s="2025"/>
      <c r="BM501" s="2025"/>
      <c r="BN501" s="2025"/>
      <c r="BO501" s="2025"/>
      <c r="BP501" s="2025"/>
      <c r="BQ501" s="2025"/>
      <c r="BR501" s="2025"/>
      <c r="BS501" s="2025"/>
      <c r="BT501" s="2025"/>
      <c r="BU501" s="2025"/>
    </row>
    <row r="502" spans="60:73">
      <c r="BH502" s="2025"/>
      <c r="BI502" s="2025"/>
      <c r="BJ502" s="2025"/>
      <c r="BK502" s="2025"/>
      <c r="BL502" s="2025"/>
      <c r="BM502" s="2025"/>
      <c r="BN502" s="2025"/>
      <c r="BO502" s="2025"/>
      <c r="BP502" s="2025"/>
      <c r="BQ502" s="2025"/>
      <c r="BR502" s="2025"/>
      <c r="BS502" s="2025"/>
      <c r="BT502" s="2025"/>
      <c r="BU502" s="2025"/>
    </row>
    <row r="503" spans="60:73">
      <c r="BH503" s="2025"/>
      <c r="BI503" s="2025"/>
      <c r="BJ503" s="2025"/>
      <c r="BK503" s="2025"/>
      <c r="BL503" s="2025"/>
      <c r="BM503" s="2025"/>
      <c r="BN503" s="2025"/>
      <c r="BO503" s="2025"/>
      <c r="BP503" s="2025"/>
      <c r="BQ503" s="2025"/>
      <c r="BR503" s="2025"/>
      <c r="BS503" s="2025"/>
      <c r="BT503" s="2025"/>
      <c r="BU503" s="2025"/>
    </row>
    <row r="504" spans="60:73">
      <c r="BH504" s="2025"/>
      <c r="BI504" s="2025"/>
      <c r="BJ504" s="2025"/>
      <c r="BK504" s="2025"/>
      <c r="BL504" s="2025"/>
      <c r="BM504" s="2025"/>
      <c r="BN504" s="2025"/>
      <c r="BO504" s="2025"/>
      <c r="BP504" s="2025"/>
      <c r="BQ504" s="2025"/>
      <c r="BR504" s="2025"/>
      <c r="BS504" s="2025"/>
      <c r="BT504" s="2025"/>
      <c r="BU504" s="2025"/>
    </row>
    <row r="505" spans="60:73">
      <c r="BH505" s="2025"/>
      <c r="BI505" s="2025"/>
      <c r="BJ505" s="2025"/>
      <c r="BK505" s="2025"/>
      <c r="BL505" s="2025"/>
      <c r="BM505" s="2025"/>
      <c r="BN505" s="2025"/>
      <c r="BO505" s="2025"/>
      <c r="BP505" s="2025"/>
      <c r="BQ505" s="2025"/>
      <c r="BR505" s="2025"/>
      <c r="BS505" s="2025"/>
      <c r="BT505" s="2025"/>
      <c r="BU505" s="2025"/>
    </row>
    <row r="506" spans="60:73">
      <c r="BH506" s="2025"/>
      <c r="BI506" s="2025"/>
      <c r="BJ506" s="2025"/>
      <c r="BK506" s="2025"/>
      <c r="BL506" s="2025"/>
      <c r="BM506" s="2025"/>
      <c r="BN506" s="2025"/>
      <c r="BO506" s="2025"/>
      <c r="BP506" s="2025"/>
      <c r="BQ506" s="2025"/>
      <c r="BR506" s="2025"/>
      <c r="BS506" s="2025"/>
      <c r="BT506" s="2025"/>
      <c r="BU506" s="2025"/>
    </row>
    <row r="507" spans="60:73">
      <c r="BH507" s="2025"/>
      <c r="BI507" s="2025"/>
      <c r="BJ507" s="2025"/>
      <c r="BK507" s="2025"/>
      <c r="BL507" s="2025"/>
      <c r="BM507" s="2025"/>
      <c r="BN507" s="2025"/>
      <c r="BO507" s="2025"/>
      <c r="BP507" s="2025"/>
      <c r="BQ507" s="2025"/>
      <c r="BR507" s="2025"/>
      <c r="BS507" s="2025"/>
      <c r="BT507" s="2025"/>
      <c r="BU507" s="2025"/>
    </row>
    <row r="508" spans="60:73">
      <c r="BH508" s="2025"/>
      <c r="BI508" s="2025"/>
      <c r="BJ508" s="2025"/>
      <c r="BK508" s="2025"/>
      <c r="BL508" s="2025"/>
      <c r="BM508" s="2025"/>
      <c r="BN508" s="2025"/>
      <c r="BO508" s="2025"/>
      <c r="BP508" s="2025"/>
      <c r="BQ508" s="2025"/>
      <c r="BR508" s="2025"/>
      <c r="BS508" s="2025"/>
      <c r="BT508" s="2025"/>
      <c r="BU508" s="2025"/>
    </row>
    <row r="509" spans="60:73">
      <c r="BH509" s="2025"/>
      <c r="BI509" s="2025"/>
      <c r="BJ509" s="2025"/>
      <c r="BK509" s="2025"/>
      <c r="BL509" s="2025"/>
      <c r="BM509" s="2025"/>
      <c r="BN509" s="2025"/>
      <c r="BO509" s="2025"/>
      <c r="BP509" s="2025"/>
      <c r="BQ509" s="2025"/>
      <c r="BR509" s="2025"/>
      <c r="BS509" s="2025"/>
      <c r="BT509" s="2025"/>
      <c r="BU509" s="2025"/>
    </row>
    <row r="510" spans="60:73">
      <c r="BH510" s="2025"/>
      <c r="BI510" s="2025"/>
      <c r="BJ510" s="2025"/>
      <c r="BK510" s="2025"/>
      <c r="BL510" s="2025"/>
      <c r="BM510" s="2025"/>
      <c r="BN510" s="2025"/>
      <c r="BO510" s="2025"/>
      <c r="BP510" s="2025"/>
      <c r="BQ510" s="2025"/>
      <c r="BR510" s="2025"/>
      <c r="BS510" s="2025"/>
      <c r="BT510" s="2025"/>
      <c r="BU510" s="2025"/>
    </row>
    <row r="511" spans="60:73">
      <c r="BH511" s="2025"/>
      <c r="BI511" s="2025"/>
      <c r="BJ511" s="2025"/>
      <c r="BK511" s="2025"/>
      <c r="BL511" s="2025"/>
      <c r="BM511" s="2025"/>
      <c r="BN511" s="2025"/>
      <c r="BO511" s="2025"/>
      <c r="BP511" s="2025"/>
      <c r="BQ511" s="2025"/>
      <c r="BR511" s="2025"/>
      <c r="BS511" s="2025"/>
      <c r="BT511" s="2025"/>
      <c r="BU511" s="2025"/>
    </row>
    <row r="512" spans="60:73">
      <c r="BH512" s="2025"/>
      <c r="BI512" s="2025"/>
      <c r="BJ512" s="2025"/>
      <c r="BK512" s="2025"/>
      <c r="BL512" s="2025"/>
      <c r="BM512" s="2025"/>
      <c r="BN512" s="2025"/>
      <c r="BO512" s="2025"/>
      <c r="BP512" s="2025"/>
      <c r="BQ512" s="2025"/>
      <c r="BR512" s="2025"/>
      <c r="BS512" s="2025"/>
      <c r="BT512" s="2025"/>
      <c r="BU512" s="2025"/>
    </row>
    <row r="513" spans="60:73">
      <c r="BH513" s="2025"/>
      <c r="BI513" s="2025"/>
      <c r="BJ513" s="2025"/>
      <c r="BK513" s="2025"/>
      <c r="BL513" s="2025"/>
      <c r="BM513" s="2025"/>
      <c r="BN513" s="2025"/>
      <c r="BO513" s="2025"/>
      <c r="BP513" s="2025"/>
      <c r="BQ513" s="2025"/>
      <c r="BR513" s="2025"/>
      <c r="BS513" s="2025"/>
      <c r="BT513" s="2025"/>
      <c r="BU513" s="2025"/>
    </row>
    <row r="514" spans="60:73">
      <c r="BH514" s="2025"/>
      <c r="BI514" s="2025"/>
      <c r="BJ514" s="2025"/>
      <c r="BK514" s="2025"/>
      <c r="BL514" s="2025"/>
      <c r="BM514" s="2025"/>
      <c r="BN514" s="2025"/>
      <c r="BO514" s="2025"/>
      <c r="BP514" s="2025"/>
      <c r="BQ514" s="2025"/>
      <c r="BR514" s="2025"/>
      <c r="BS514" s="2025"/>
      <c r="BT514" s="2025"/>
      <c r="BU514" s="2025"/>
    </row>
    <row r="515" spans="60:73">
      <c r="BH515" s="2025"/>
      <c r="BI515" s="2025"/>
      <c r="BJ515" s="2025"/>
      <c r="BK515" s="2025"/>
      <c r="BL515" s="2025"/>
      <c r="BM515" s="2025"/>
      <c r="BN515" s="2025"/>
      <c r="BO515" s="2025"/>
      <c r="BP515" s="2025"/>
      <c r="BQ515" s="2025"/>
      <c r="BR515" s="2025"/>
      <c r="BS515" s="2025"/>
      <c r="BT515" s="2025"/>
      <c r="BU515" s="2025"/>
    </row>
    <row r="516" spans="60:73">
      <c r="BH516" s="2025"/>
      <c r="BI516" s="2025"/>
      <c r="BJ516" s="2025"/>
      <c r="BK516" s="2025"/>
      <c r="BL516" s="2025"/>
      <c r="BM516" s="2025"/>
      <c r="BN516" s="2025"/>
      <c r="BO516" s="2025"/>
      <c r="BP516" s="2025"/>
      <c r="BQ516" s="2025"/>
      <c r="BR516" s="2025"/>
      <c r="BS516" s="2025"/>
      <c r="BT516" s="2025"/>
      <c r="BU516" s="2025"/>
    </row>
    <row r="517" spans="60:73">
      <c r="BH517" s="2025"/>
      <c r="BI517" s="2025"/>
      <c r="BJ517" s="2025"/>
      <c r="BK517" s="2025"/>
      <c r="BL517" s="2025"/>
      <c r="BM517" s="2025"/>
      <c r="BN517" s="2025"/>
      <c r="BO517" s="2025"/>
      <c r="BP517" s="2025"/>
      <c r="BQ517" s="2025"/>
      <c r="BR517" s="2025"/>
      <c r="BS517" s="2025"/>
      <c r="BT517" s="2025"/>
      <c r="BU517" s="2025"/>
    </row>
    <row r="518" spans="60:73">
      <c r="BH518" s="2025"/>
      <c r="BI518" s="2025"/>
      <c r="BJ518" s="2025"/>
      <c r="BK518" s="2025"/>
      <c r="BL518" s="2025"/>
      <c r="BM518" s="2025"/>
      <c r="BN518" s="2025"/>
      <c r="BO518" s="2025"/>
      <c r="BP518" s="2025"/>
      <c r="BQ518" s="2025"/>
      <c r="BR518" s="2025"/>
      <c r="BS518" s="2025"/>
      <c r="BT518" s="2025"/>
      <c r="BU518" s="2025"/>
    </row>
    <row r="519" spans="60:73">
      <c r="BH519" s="2025"/>
      <c r="BI519" s="2025"/>
      <c r="BJ519" s="2025"/>
      <c r="BK519" s="2025"/>
      <c r="BL519" s="2025"/>
      <c r="BM519" s="2025"/>
      <c r="BN519" s="2025"/>
      <c r="BO519" s="2025"/>
      <c r="BP519" s="2025"/>
      <c r="BQ519" s="2025"/>
      <c r="BR519" s="2025"/>
      <c r="BS519" s="2025"/>
      <c r="BT519" s="2025"/>
      <c r="BU519" s="2025"/>
    </row>
    <row r="520" spans="60:73">
      <c r="BH520" s="2025"/>
      <c r="BI520" s="2025"/>
      <c r="BJ520" s="2025"/>
      <c r="BK520" s="2025"/>
      <c r="BL520" s="2025"/>
      <c r="BM520" s="2025"/>
      <c r="BN520" s="2025"/>
      <c r="BO520" s="2025"/>
      <c r="BP520" s="2025"/>
      <c r="BQ520" s="2025"/>
      <c r="BR520" s="2025"/>
      <c r="BS520" s="2025"/>
      <c r="BT520" s="2025"/>
      <c r="BU520" s="2025"/>
    </row>
    <row r="521" spans="60:73">
      <c r="BH521" s="2025"/>
      <c r="BI521" s="2025"/>
      <c r="BJ521" s="2025"/>
      <c r="BK521" s="2025"/>
      <c r="BL521" s="2025"/>
      <c r="BM521" s="2025"/>
      <c r="BN521" s="2025"/>
      <c r="BO521" s="2025"/>
      <c r="BP521" s="2025"/>
      <c r="BQ521" s="2025"/>
      <c r="BR521" s="2025"/>
      <c r="BS521" s="2025"/>
      <c r="BT521" s="2025"/>
      <c r="BU521" s="2025"/>
    </row>
    <row r="522" spans="60:73">
      <c r="BH522" s="2025"/>
      <c r="BI522" s="2025"/>
      <c r="BJ522" s="2025"/>
      <c r="BK522" s="2025"/>
      <c r="BL522" s="2025"/>
      <c r="BM522" s="2025"/>
      <c r="BN522" s="2025"/>
      <c r="BO522" s="2025"/>
      <c r="BP522" s="2025"/>
      <c r="BQ522" s="2025"/>
      <c r="BR522" s="2025"/>
      <c r="BS522" s="2025"/>
      <c r="BT522" s="2025"/>
      <c r="BU522" s="2025"/>
    </row>
    <row r="523" spans="60:73">
      <c r="BH523" s="2025"/>
      <c r="BI523" s="2025"/>
      <c r="BJ523" s="2025"/>
      <c r="BK523" s="2025"/>
      <c r="BL523" s="2025"/>
      <c r="BM523" s="2025"/>
      <c r="BN523" s="2025"/>
      <c r="BO523" s="2025"/>
      <c r="BP523" s="2025"/>
      <c r="BQ523" s="2025"/>
      <c r="BR523" s="2025"/>
      <c r="BS523" s="2025"/>
      <c r="BT523" s="2025"/>
      <c r="BU523" s="2025"/>
    </row>
    <row r="524" spans="60:73">
      <c r="BH524" s="2025"/>
      <c r="BI524" s="2025"/>
      <c r="BJ524" s="2025"/>
      <c r="BK524" s="2025"/>
      <c r="BL524" s="2025"/>
      <c r="BM524" s="2025"/>
      <c r="BN524" s="2025"/>
      <c r="BO524" s="2025"/>
      <c r="BP524" s="2025"/>
      <c r="BQ524" s="2025"/>
      <c r="BR524" s="2025"/>
      <c r="BS524" s="2025"/>
      <c r="BT524" s="2025"/>
      <c r="BU524" s="2025"/>
    </row>
    <row r="525" spans="60:73">
      <c r="BH525" s="2025"/>
      <c r="BI525" s="2025"/>
      <c r="BJ525" s="2025"/>
      <c r="BK525" s="2025"/>
      <c r="BL525" s="2025"/>
      <c r="BM525" s="2025"/>
      <c r="BN525" s="2025"/>
      <c r="BO525" s="2025"/>
      <c r="BP525" s="2025"/>
      <c r="BQ525" s="2025"/>
      <c r="BR525" s="2025"/>
      <c r="BS525" s="2025"/>
      <c r="BT525" s="2025"/>
      <c r="BU525" s="2025"/>
    </row>
    <row r="526" spans="60:73">
      <c r="BH526" s="2025"/>
      <c r="BI526" s="2025"/>
      <c r="BJ526" s="2025"/>
      <c r="BK526" s="2025"/>
      <c r="BL526" s="2025"/>
      <c r="BM526" s="2025"/>
      <c r="BN526" s="2025"/>
      <c r="BO526" s="2025"/>
      <c r="BP526" s="2025"/>
      <c r="BQ526" s="2025"/>
      <c r="BR526" s="2025"/>
      <c r="BS526" s="2025"/>
      <c r="BT526" s="2025"/>
      <c r="BU526" s="2025"/>
    </row>
    <row r="527" spans="60:73">
      <c r="BH527" s="2025"/>
      <c r="BI527" s="2025"/>
      <c r="BJ527" s="2025"/>
      <c r="BK527" s="2025"/>
      <c r="BL527" s="2025"/>
      <c r="BM527" s="2025"/>
      <c r="BN527" s="2025"/>
      <c r="BO527" s="2025"/>
      <c r="BP527" s="2025"/>
      <c r="BQ527" s="2025"/>
      <c r="BR527" s="2025"/>
      <c r="BS527" s="2025"/>
      <c r="BT527" s="2025"/>
      <c r="BU527" s="2025"/>
    </row>
    <row r="528" spans="60:73">
      <c r="BH528" s="2025"/>
      <c r="BI528" s="2025"/>
      <c r="BJ528" s="2025"/>
      <c r="BK528" s="2025"/>
      <c r="BL528" s="2025"/>
      <c r="BM528" s="2025"/>
      <c r="BN528" s="2025"/>
      <c r="BO528" s="2025"/>
      <c r="BP528" s="2025"/>
      <c r="BQ528" s="2025"/>
      <c r="BR528" s="2025"/>
      <c r="BS528" s="2025"/>
      <c r="BT528" s="2025"/>
      <c r="BU528" s="2025"/>
    </row>
    <row r="529" spans="60:73">
      <c r="BH529" s="2025"/>
      <c r="BI529" s="2025"/>
      <c r="BJ529" s="2025"/>
      <c r="BK529" s="2025"/>
      <c r="BL529" s="2025"/>
      <c r="BM529" s="2025"/>
      <c r="BN529" s="2025"/>
      <c r="BO529" s="2025"/>
      <c r="BP529" s="2025"/>
      <c r="BQ529" s="2025"/>
      <c r="BR529" s="2025"/>
      <c r="BS529" s="2025"/>
      <c r="BT529" s="2025"/>
      <c r="BU529" s="2025"/>
    </row>
    <row r="530" spans="60:73">
      <c r="BH530" s="2025"/>
      <c r="BI530" s="2025"/>
      <c r="BJ530" s="2025"/>
      <c r="BK530" s="2025"/>
      <c r="BL530" s="2025"/>
      <c r="BM530" s="2025"/>
      <c r="BN530" s="2025"/>
      <c r="BO530" s="2025"/>
      <c r="BP530" s="2025"/>
      <c r="BQ530" s="2025"/>
      <c r="BR530" s="2025"/>
      <c r="BS530" s="2025"/>
      <c r="BT530" s="2025"/>
      <c r="BU530" s="2025"/>
    </row>
    <row r="531" spans="60:73">
      <c r="BH531" s="2025"/>
      <c r="BI531" s="2025"/>
      <c r="BJ531" s="2025"/>
      <c r="BK531" s="2025"/>
      <c r="BL531" s="2025"/>
      <c r="BM531" s="2025"/>
      <c r="BN531" s="2025"/>
      <c r="BO531" s="2025"/>
      <c r="BP531" s="2025"/>
      <c r="BQ531" s="2025"/>
      <c r="BR531" s="2025"/>
      <c r="BS531" s="2025"/>
      <c r="BT531" s="2025"/>
      <c r="BU531" s="2025"/>
    </row>
    <row r="532" spans="60:73">
      <c r="BH532" s="2025"/>
      <c r="BI532" s="2025"/>
      <c r="BJ532" s="2025"/>
      <c r="BK532" s="2025"/>
      <c r="BL532" s="2025"/>
      <c r="BM532" s="2025"/>
      <c r="BN532" s="2025"/>
      <c r="BO532" s="2025"/>
      <c r="BP532" s="2025"/>
      <c r="BQ532" s="2025"/>
      <c r="BR532" s="2025"/>
      <c r="BS532" s="2025"/>
      <c r="BT532" s="2025"/>
      <c r="BU532" s="2025"/>
    </row>
    <row r="533" spans="60:73">
      <c r="BH533" s="2025"/>
      <c r="BI533" s="2025"/>
      <c r="BJ533" s="2025"/>
      <c r="BK533" s="2025"/>
      <c r="BL533" s="2025"/>
      <c r="BM533" s="2025"/>
      <c r="BN533" s="2025"/>
      <c r="BO533" s="2025"/>
      <c r="BP533" s="2025"/>
      <c r="BQ533" s="2025"/>
      <c r="BR533" s="2025"/>
      <c r="BS533" s="2025"/>
      <c r="BT533" s="2025"/>
      <c r="BU533" s="2025"/>
    </row>
    <row r="534" spans="60:73">
      <c r="BH534" s="2025"/>
      <c r="BI534" s="2025"/>
      <c r="BJ534" s="2025"/>
      <c r="BK534" s="2025"/>
      <c r="BL534" s="2025"/>
      <c r="BM534" s="2025"/>
      <c r="BN534" s="2025"/>
      <c r="BO534" s="2025"/>
      <c r="BP534" s="2025"/>
      <c r="BQ534" s="2025"/>
      <c r="BR534" s="2025"/>
      <c r="BS534" s="2025"/>
      <c r="BT534" s="2025"/>
      <c r="BU534" s="2025"/>
    </row>
    <row r="535" spans="60:73">
      <c r="BH535" s="2025"/>
      <c r="BI535" s="2025"/>
      <c r="BJ535" s="2025"/>
      <c r="BK535" s="2025"/>
      <c r="BL535" s="2025"/>
      <c r="BM535" s="2025"/>
      <c r="BN535" s="2025"/>
      <c r="BO535" s="2025"/>
      <c r="BP535" s="2025"/>
      <c r="BQ535" s="2025"/>
      <c r="BR535" s="2025"/>
      <c r="BS535" s="2025"/>
      <c r="BT535" s="2025"/>
      <c r="BU535" s="2025"/>
    </row>
    <row r="536" spans="60:73">
      <c r="BH536" s="2025"/>
      <c r="BI536" s="2025"/>
      <c r="BJ536" s="2025"/>
      <c r="BK536" s="2025"/>
      <c r="BL536" s="2025"/>
      <c r="BM536" s="2025"/>
      <c r="BN536" s="2025"/>
      <c r="BO536" s="2025"/>
      <c r="BP536" s="2025"/>
      <c r="BQ536" s="2025"/>
      <c r="BR536" s="2025"/>
      <c r="BS536" s="2025"/>
      <c r="BT536" s="2025"/>
      <c r="BU536" s="2025"/>
    </row>
    <row r="537" spans="60:73">
      <c r="BH537" s="2025"/>
      <c r="BI537" s="2025"/>
      <c r="BJ537" s="2025"/>
      <c r="BK537" s="2025"/>
      <c r="BL537" s="2025"/>
      <c r="BM537" s="2025"/>
      <c r="BN537" s="2025"/>
      <c r="BO537" s="2025"/>
      <c r="BP537" s="2025"/>
      <c r="BQ537" s="2025"/>
      <c r="BR537" s="2025"/>
      <c r="BS537" s="2025"/>
      <c r="BT537" s="2025"/>
      <c r="BU537" s="2025"/>
    </row>
    <row r="538" spans="60:73">
      <c r="BH538" s="2025"/>
      <c r="BI538" s="2025"/>
      <c r="BJ538" s="2025"/>
      <c r="BK538" s="2025"/>
      <c r="BL538" s="2025"/>
      <c r="BM538" s="2025"/>
      <c r="BN538" s="2025"/>
      <c r="BO538" s="2025"/>
      <c r="BP538" s="2025"/>
      <c r="BQ538" s="2025"/>
      <c r="BR538" s="2025"/>
      <c r="BS538" s="2025"/>
      <c r="BT538" s="2025"/>
      <c r="BU538" s="2025"/>
    </row>
    <row r="539" spans="60:73">
      <c r="BH539" s="2025"/>
      <c r="BI539" s="2025"/>
      <c r="BJ539" s="2025"/>
      <c r="BK539" s="2025"/>
      <c r="BL539" s="2025"/>
      <c r="BM539" s="2025"/>
      <c r="BN539" s="2025"/>
      <c r="BO539" s="2025"/>
      <c r="BP539" s="2025"/>
      <c r="BQ539" s="2025"/>
      <c r="BR539" s="2025"/>
      <c r="BS539" s="2025"/>
      <c r="BT539" s="2025"/>
      <c r="BU539" s="2025"/>
    </row>
    <row r="540" spans="60:73">
      <c r="BH540" s="2025"/>
      <c r="BI540" s="2025"/>
      <c r="BJ540" s="2025"/>
      <c r="BK540" s="2025"/>
      <c r="BL540" s="2025"/>
      <c r="BM540" s="2025"/>
      <c r="BN540" s="2025"/>
      <c r="BO540" s="2025"/>
      <c r="BP540" s="2025"/>
      <c r="BQ540" s="2025"/>
      <c r="BR540" s="2025"/>
      <c r="BS540" s="2025"/>
      <c r="BT540" s="2025"/>
      <c r="BU540" s="2025"/>
    </row>
  </sheetData>
  <phoneticPr fontId="4" type="noConversion"/>
  <pageMargins left="1" right="0.75" top="1" bottom="0" header="0" footer="0"/>
  <pageSetup scale="75" orientation="portrait" r:id="rId1"/>
  <headerFooter alignWithMargins="0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8" tint="0.59999389629810485"/>
    <pageSetUpPr fitToPage="1"/>
  </sheetPr>
  <dimension ref="A1:BM157"/>
  <sheetViews>
    <sheetView topLeftCell="A31" zoomScale="90" zoomScaleNormal="90" workbookViewId="0"/>
  </sheetViews>
  <sheetFormatPr defaultColWidth="8" defaultRowHeight="13.2"/>
  <cols>
    <col min="1" max="1" width="5.5546875" style="2262" customWidth="1"/>
    <col min="2" max="2" width="1.44140625" style="2262" customWidth="1"/>
    <col min="3" max="3" width="12.88671875" style="2262" customWidth="1"/>
    <col min="4" max="4" width="1.109375" style="2262" customWidth="1"/>
    <col min="5" max="5" width="2.88671875" style="2262" customWidth="1"/>
    <col min="6" max="6" width="39.88671875" style="2262" customWidth="1"/>
    <col min="7" max="7" width="15.44140625" style="2262" customWidth="1"/>
    <col min="8" max="8" width="2" style="2262" customWidth="1"/>
    <col min="9" max="9" width="9.88671875" style="2268" customWidth="1"/>
    <col min="10" max="10" width="10" style="2262" customWidth="1"/>
    <col min="11" max="11" width="1.33203125" style="2262" customWidth="1"/>
    <col min="12" max="12" width="16.33203125" style="2262" customWidth="1"/>
    <col min="13" max="13" width="1.44140625" style="2262" customWidth="1"/>
    <col min="14" max="14" width="16.5546875" style="2262" customWidth="1"/>
    <col min="15" max="15" width="4.5546875" style="2268" customWidth="1"/>
    <col min="16" max="16" width="18.88671875" style="2262" customWidth="1"/>
    <col min="17" max="17" width="5.5546875" style="2262" customWidth="1"/>
    <col min="18" max="18" width="5.44140625" style="2262" customWidth="1"/>
    <col min="19" max="19" width="0.6640625" style="2262" customWidth="1"/>
    <col min="20" max="20" width="13" style="2282" customWidth="1"/>
    <col min="21" max="21" width="1.109375" style="2262" customWidth="1"/>
    <col min="22" max="22" width="41.33203125" style="2262" customWidth="1"/>
    <col min="23" max="23" width="17.88671875" style="2262" customWidth="1"/>
    <col min="24" max="24" width="1" style="2282" customWidth="1"/>
    <col min="25" max="25" width="15.33203125" style="2262" customWidth="1"/>
    <col min="26" max="26" width="1.109375" style="2262" customWidth="1"/>
    <col min="27" max="27" width="19.88671875" style="2262" customWidth="1"/>
    <col min="28" max="28" width="1.109375" style="2262" customWidth="1"/>
    <col min="29" max="29" width="19.44140625" style="2262" customWidth="1"/>
    <col min="30" max="30" width="1.88671875" style="2262" customWidth="1"/>
    <col min="31" max="31" width="19.5546875" style="2262" customWidth="1"/>
    <col min="32" max="32" width="12.33203125" style="2262" customWidth="1"/>
    <col min="33" max="33" width="14.88671875" style="2262" customWidth="1"/>
    <col min="34" max="34" width="8" style="2262" customWidth="1"/>
    <col min="35" max="35" width="3" style="2262" customWidth="1"/>
    <col min="36" max="36" width="8.6640625" style="2262" customWidth="1"/>
    <col min="37" max="37" width="14.44140625" style="2262" customWidth="1"/>
    <col min="38" max="38" width="12.88671875" style="2262" customWidth="1"/>
    <col min="39" max="39" width="15.5546875" style="2262" customWidth="1"/>
    <col min="40" max="40" width="6.6640625" style="2262" customWidth="1"/>
    <col min="41" max="41" width="24.88671875" style="2262" customWidth="1"/>
    <col min="42" max="16384" width="8" style="2262"/>
  </cols>
  <sheetData>
    <row r="1" spans="1:17">
      <c r="A1" s="2266" t="str">
        <f>COMPANY</f>
        <v>DUKE ENERGY KENTUCKY, INC.</v>
      </c>
      <c r="B1" s="2261"/>
      <c r="C1" s="2261"/>
      <c r="D1" s="2261"/>
      <c r="E1" s="2261"/>
      <c r="F1" s="2261"/>
      <c r="G1" s="2261"/>
      <c r="H1" s="2261"/>
      <c r="I1" s="2261"/>
      <c r="J1" s="2261"/>
      <c r="K1" s="2261"/>
      <c r="L1" s="2261"/>
      <c r="M1" s="2261"/>
      <c r="N1" s="2261"/>
      <c r="O1" s="2261"/>
      <c r="P1" s="2261"/>
      <c r="Q1" s="2261"/>
    </row>
    <row r="2" spans="1:17">
      <c r="A2" s="2266" t="str">
        <f>CASE</f>
        <v>CASE NO. 2018-00261</v>
      </c>
      <c r="B2" s="2261"/>
      <c r="C2" s="2261"/>
      <c r="D2" s="2261"/>
      <c r="E2" s="2261"/>
      <c r="F2" s="2261"/>
      <c r="G2" s="2261"/>
      <c r="H2" s="2261"/>
      <c r="I2" s="2261"/>
      <c r="J2" s="2261"/>
      <c r="K2" s="2261"/>
      <c r="L2" s="2261"/>
      <c r="M2" s="2261"/>
      <c r="N2" s="2261"/>
      <c r="O2" s="2261"/>
      <c r="P2" s="2261"/>
      <c r="Q2" s="2261"/>
    </row>
    <row r="3" spans="1:17">
      <c r="A3" s="2266" t="s">
        <v>814</v>
      </c>
      <c r="B3" s="2261"/>
      <c r="C3" s="2261"/>
      <c r="D3" s="2261"/>
      <c r="E3" s="2261"/>
      <c r="F3" s="2261"/>
      <c r="G3" s="2261"/>
      <c r="H3" s="2261"/>
      <c r="I3" s="2261"/>
      <c r="J3" s="2261"/>
      <c r="K3" s="2261"/>
      <c r="L3" s="2261"/>
      <c r="M3" s="2261"/>
      <c r="N3" s="2261"/>
      <c r="O3" s="2261"/>
      <c r="P3" s="2261"/>
      <c r="Q3" s="2261"/>
    </row>
    <row r="4" spans="1:17">
      <c r="A4" s="1625" t="str">
        <f>"AS OF " &amp;RIGHT(TESTYR,(LEN(TESTYR)-16))</f>
        <v>AS OF NOVEMBER 30, 2018</v>
      </c>
      <c r="B4" s="2261"/>
      <c r="C4" s="2261"/>
      <c r="D4" s="2261"/>
      <c r="E4" s="2261"/>
      <c r="F4" s="2261"/>
      <c r="G4" s="2261"/>
      <c r="H4" s="2261"/>
      <c r="I4" s="2261"/>
      <c r="J4" s="2261"/>
      <c r="K4" s="2261"/>
      <c r="L4" s="2261"/>
      <c r="M4" s="2261"/>
      <c r="N4" s="2261"/>
      <c r="O4" s="2261"/>
      <c r="P4" s="2261"/>
      <c r="Q4" s="2261"/>
    </row>
    <row r="5" spans="1:17">
      <c r="A5" s="2266"/>
      <c r="B5" s="2261"/>
      <c r="C5" s="2261"/>
      <c r="D5" s="2261"/>
      <c r="E5" s="2261"/>
      <c r="F5" s="2261"/>
      <c r="G5" s="2261"/>
      <c r="H5" s="2261"/>
      <c r="I5" s="2261"/>
      <c r="J5" s="2261"/>
      <c r="K5" s="2261"/>
      <c r="L5" s="2261"/>
      <c r="M5" s="2261"/>
      <c r="N5" s="2261"/>
      <c r="O5" s="2261"/>
      <c r="P5" s="2261"/>
      <c r="Q5" s="2261"/>
    </row>
    <row r="6" spans="1:17">
      <c r="A6" s="2266"/>
      <c r="B6" s="2261"/>
      <c r="C6" s="2261"/>
      <c r="D6" s="2261"/>
      <c r="E6" s="2261"/>
      <c r="F6" s="2261"/>
      <c r="G6" s="2261"/>
      <c r="H6" s="2261"/>
      <c r="I6" s="2261"/>
      <c r="J6" s="2261"/>
      <c r="K6" s="2261"/>
      <c r="L6" s="2261"/>
      <c r="M6" s="2261"/>
      <c r="N6" s="2261"/>
      <c r="O6" s="2261"/>
      <c r="P6" s="2261"/>
      <c r="Q6" s="2261"/>
    </row>
    <row r="8" spans="1:17">
      <c r="A8" s="3285" t="str">
        <f>Data</f>
        <v>DATA: "X" BASE PERIOD   FORECASTED PERIOD</v>
      </c>
      <c r="O8" s="3286" t="s">
        <v>815</v>
      </c>
    </row>
    <row r="9" spans="1:17">
      <c r="A9" s="3285" t="str">
        <f>Type</f>
        <v xml:space="preserve">TYPE OF FILING:  "X" ORIGINAL   UPDATED    REVISED  </v>
      </c>
      <c r="O9" s="3286" t="s">
        <v>2092</v>
      </c>
    </row>
    <row r="10" spans="1:17">
      <c r="A10" s="3286" t="s">
        <v>493</v>
      </c>
      <c r="O10" s="3286" t="s">
        <v>566</v>
      </c>
    </row>
    <row r="11" spans="1:17">
      <c r="O11" s="2137" t="str">
        <f>_WIT3</f>
        <v>J. R. PANIZZA</v>
      </c>
    </row>
    <row r="12" spans="1:17">
      <c r="A12" s="2270"/>
      <c r="B12" s="2270"/>
      <c r="C12" s="2270"/>
      <c r="D12" s="2270"/>
      <c r="E12" s="2270"/>
      <c r="F12" s="2270"/>
      <c r="G12" s="2270"/>
      <c r="H12" s="2270"/>
      <c r="I12" s="2293"/>
      <c r="J12" s="2270"/>
      <c r="K12" s="2270"/>
      <c r="L12" s="2270"/>
    </row>
    <row r="13" spans="1:17">
      <c r="G13" s="2268"/>
      <c r="M13" s="2294"/>
      <c r="N13" s="2294"/>
      <c r="O13" s="2295"/>
      <c r="P13" s="2295" t="s">
        <v>816</v>
      </c>
    </row>
    <row r="14" spans="1:17">
      <c r="A14" s="2272" t="s">
        <v>567</v>
      </c>
      <c r="C14" s="2272" t="s">
        <v>2160</v>
      </c>
      <c r="D14" s="2261"/>
      <c r="G14" s="2272" t="s">
        <v>884</v>
      </c>
      <c r="I14" s="2261" t="s">
        <v>686</v>
      </c>
      <c r="J14" s="2261"/>
      <c r="L14" s="2272" t="s">
        <v>904</v>
      </c>
      <c r="P14" s="2268" t="s">
        <v>904</v>
      </c>
    </row>
    <row r="15" spans="1:17">
      <c r="A15" s="2272" t="s">
        <v>2169</v>
      </c>
      <c r="C15" s="2272" t="s">
        <v>693</v>
      </c>
      <c r="D15" s="2261"/>
      <c r="E15" s="2266" t="s">
        <v>741</v>
      </c>
      <c r="F15" s="2261"/>
      <c r="G15" s="2272" t="s">
        <v>694</v>
      </c>
      <c r="I15" s="2268" t="s">
        <v>910</v>
      </c>
      <c r="J15" s="2268" t="s">
        <v>2097</v>
      </c>
      <c r="L15" s="2268" t="s">
        <v>2098</v>
      </c>
      <c r="N15" s="2268" t="s">
        <v>817</v>
      </c>
      <c r="P15" s="2268" t="s">
        <v>2098</v>
      </c>
    </row>
    <row r="16" spans="1:17">
      <c r="A16" s="2270"/>
      <c r="B16" s="2270"/>
      <c r="C16" s="2270"/>
      <c r="D16" s="2270"/>
      <c r="E16" s="2270"/>
      <c r="F16" s="2270"/>
      <c r="G16" s="3287"/>
      <c r="H16" s="2270"/>
      <c r="I16" s="2293"/>
      <c r="J16" s="2270"/>
      <c r="K16" s="2270"/>
      <c r="L16" s="2270"/>
    </row>
    <row r="17" spans="1:17">
      <c r="G17" s="2278" t="s">
        <v>2099</v>
      </c>
      <c r="H17" s="2267"/>
      <c r="I17" s="2279" t="s">
        <v>678</v>
      </c>
      <c r="J17" s="2264"/>
      <c r="K17" s="2267"/>
      <c r="L17" s="2278" t="s">
        <v>679</v>
      </c>
      <c r="M17" s="2294"/>
      <c r="N17" s="2295" t="s">
        <v>680</v>
      </c>
      <c r="O17" s="2295"/>
      <c r="P17" s="2295" t="s">
        <v>681</v>
      </c>
    </row>
    <row r="18" spans="1:17">
      <c r="D18" s="2267"/>
      <c r="G18" s="2282"/>
      <c r="H18" s="2282"/>
      <c r="I18" s="2283"/>
      <c r="J18" s="2282"/>
      <c r="K18" s="2282"/>
      <c r="L18" s="2282"/>
    </row>
    <row r="19" spans="1:17">
      <c r="A19" s="2268">
        <v>1</v>
      </c>
      <c r="C19" s="2268">
        <v>252</v>
      </c>
      <c r="D19" s="2267"/>
      <c r="E19" s="2262" t="s">
        <v>818</v>
      </c>
      <c r="G19" s="2298">
        <f>'WPB-6''s'!L17</f>
        <v>-1579329</v>
      </c>
      <c r="H19" s="2282"/>
      <c r="I19" s="2283" t="s">
        <v>591</v>
      </c>
      <c r="J19" s="3288">
        <f>VLOOKUP(I19,ALLOCTABLE,2)</f>
        <v>100</v>
      </c>
      <c r="K19" s="2282"/>
      <c r="L19" s="2298">
        <f>ROUND(G19*(J19/100),0)</f>
        <v>-1579329</v>
      </c>
      <c r="P19" s="2298">
        <f>L19+N19</f>
        <v>-1579329</v>
      </c>
      <c r="Q19" s="2262" t="s">
        <v>837</v>
      </c>
    </row>
    <row r="20" spans="1:17">
      <c r="A20" s="2268">
        <v>2</v>
      </c>
      <c r="C20" s="2268"/>
      <c r="D20" s="2267"/>
      <c r="G20" s="2282"/>
      <c r="H20" s="2282"/>
      <c r="I20" s="2283"/>
      <c r="J20" s="2282"/>
      <c r="K20" s="2282"/>
      <c r="L20" s="2282"/>
    </row>
    <row r="21" spans="1:17">
      <c r="A21" s="2268">
        <v>3</v>
      </c>
      <c r="C21" s="2268">
        <v>255</v>
      </c>
      <c r="D21" s="2267"/>
      <c r="E21" s="2262" t="s">
        <v>838</v>
      </c>
      <c r="G21" s="2288"/>
      <c r="H21" s="2282"/>
      <c r="I21" s="2283"/>
      <c r="J21" s="2282"/>
      <c r="K21" s="2282"/>
      <c r="L21" s="2282"/>
    </row>
    <row r="22" spans="1:17">
      <c r="A22" s="2268">
        <v>4</v>
      </c>
      <c r="C22" s="2268"/>
      <c r="D22" s="2267"/>
      <c r="F22" s="2262" t="s">
        <v>839</v>
      </c>
      <c r="G22" s="3289">
        <f>'WPB-6''s'!L20</f>
        <v>0</v>
      </c>
      <c r="H22" s="2282"/>
      <c r="I22" s="2283" t="s">
        <v>591</v>
      </c>
      <c r="J22" s="3288">
        <f>VLOOKUP(I22,ALLOCTABLE,2)</f>
        <v>100</v>
      </c>
      <c r="K22" s="2282"/>
      <c r="L22" s="2282">
        <f>ROUND(G22*(J22/100),0)</f>
        <v>0</v>
      </c>
      <c r="N22" s="2282">
        <f>-'WPB-6''s'!AE205</f>
        <v>0</v>
      </c>
      <c r="O22" s="2268" t="s">
        <v>840</v>
      </c>
      <c r="P22" s="2282">
        <f>L22+N22</f>
        <v>0</v>
      </c>
    </row>
    <row r="23" spans="1:17">
      <c r="A23" s="2268">
        <v>5</v>
      </c>
      <c r="C23" s="2268"/>
      <c r="D23" s="2267"/>
      <c r="F23" s="2262" t="s">
        <v>841</v>
      </c>
      <c r="G23" s="3289">
        <f>'WPB-6''s'!L21</f>
        <v>-6874</v>
      </c>
      <c r="H23" s="2282"/>
      <c r="I23" s="2283" t="s">
        <v>591</v>
      </c>
      <c r="J23" s="3288">
        <f>VLOOKUP(I23,ALLOCTABLE,2)</f>
        <v>100</v>
      </c>
      <c r="K23" s="2282"/>
      <c r="L23" s="2282">
        <f>ROUND(G23*(J23/100),0)</f>
        <v>-6874</v>
      </c>
      <c r="N23" s="2282">
        <f>-L23</f>
        <v>6874</v>
      </c>
      <c r="O23" s="2268" t="s">
        <v>842</v>
      </c>
      <c r="P23" s="2282">
        <f>L23+N23</f>
        <v>0</v>
      </c>
    </row>
    <row r="24" spans="1:17">
      <c r="A24" s="2268">
        <v>6</v>
      </c>
      <c r="C24" s="2268"/>
      <c r="D24" s="2267"/>
      <c r="F24" s="2262" t="s">
        <v>843</v>
      </c>
      <c r="G24" s="3289">
        <f>'WPB-6''s'!L22</f>
        <v>-502329</v>
      </c>
      <c r="H24" s="2281"/>
      <c r="I24" s="3290" t="s">
        <v>591</v>
      </c>
      <c r="J24" s="3291">
        <f>VLOOKUP(I24,ALLOCTABLE,2)</f>
        <v>100</v>
      </c>
      <c r="K24" s="2281"/>
      <c r="L24" s="2281">
        <f>ROUND(G24*(J24/100),0)</f>
        <v>-502329</v>
      </c>
      <c r="M24" s="2267"/>
      <c r="N24" s="2281">
        <f>-L24</f>
        <v>502329</v>
      </c>
      <c r="O24" s="2269" t="s">
        <v>842</v>
      </c>
      <c r="P24" s="2281">
        <f>L24+N24</f>
        <v>0</v>
      </c>
    </row>
    <row r="25" spans="1:17">
      <c r="A25" s="2268">
        <v>7</v>
      </c>
      <c r="C25" s="2268"/>
      <c r="D25" s="2267"/>
      <c r="F25" s="2262" t="s">
        <v>2550</v>
      </c>
      <c r="G25" s="3289">
        <f>'WPB-6''s'!L23</f>
        <v>0</v>
      </c>
      <c r="H25" s="2282"/>
      <c r="I25" s="3290" t="s">
        <v>591</v>
      </c>
      <c r="J25" s="3288">
        <f>VLOOKUP(I25,ALLOCTABLE,2)</f>
        <v>100</v>
      </c>
      <c r="K25" s="3292"/>
      <c r="L25" s="3293">
        <f>ROUND(G25*(J25/100),0)</f>
        <v>0</v>
      </c>
      <c r="M25" s="3294"/>
      <c r="N25" s="3295">
        <f>-L25</f>
        <v>0</v>
      </c>
      <c r="O25" s="3126" t="s">
        <v>842</v>
      </c>
      <c r="P25" s="3295">
        <f>L25+N25</f>
        <v>0</v>
      </c>
    </row>
    <row r="26" spans="1:17" ht="13.8" thickBot="1">
      <c r="A26" s="2268">
        <v>8</v>
      </c>
      <c r="C26" s="2268"/>
      <c r="D26" s="2267"/>
      <c r="E26" s="2262" t="s">
        <v>844</v>
      </c>
      <c r="G26" s="2327">
        <f>SUM(G21:G25)</f>
        <v>-509203</v>
      </c>
      <c r="H26" s="2282"/>
      <c r="I26" s="2283"/>
      <c r="J26" s="2282"/>
      <c r="K26" s="2282"/>
      <c r="L26" s="2327">
        <f>SUM(L21:L25)</f>
        <v>-509203</v>
      </c>
      <c r="N26" s="2327">
        <f>SUM(N21:N25)</f>
        <v>509203</v>
      </c>
      <c r="P26" s="2327">
        <f>SUM(P21:P25)</f>
        <v>0</v>
      </c>
      <c r="Q26" s="3296" t="s">
        <v>845</v>
      </c>
    </row>
    <row r="27" spans="1:17" ht="13.8" thickTop="1">
      <c r="A27" s="2268">
        <v>9</v>
      </c>
      <c r="C27" s="2268"/>
      <c r="D27" s="2267"/>
      <c r="G27" s="2282"/>
      <c r="H27" s="2282"/>
      <c r="I27" s="2283"/>
      <c r="J27" s="2282"/>
      <c r="K27" s="2282"/>
      <c r="L27" s="2282"/>
    </row>
    <row r="28" spans="1:17">
      <c r="A28" s="2268">
        <v>10</v>
      </c>
      <c r="C28" s="2268" t="s">
        <v>1019</v>
      </c>
      <c r="D28" s="2267"/>
      <c r="E28" s="2262" t="s">
        <v>846</v>
      </c>
      <c r="G28" s="2288"/>
      <c r="H28" s="2282"/>
      <c r="I28" s="2283"/>
      <c r="J28" s="2282"/>
      <c r="K28" s="2282"/>
      <c r="L28" s="2282"/>
    </row>
    <row r="29" spans="1:17" ht="13.8" thickBot="1">
      <c r="A29" s="2268">
        <v>11</v>
      </c>
      <c r="C29" s="3297">
        <v>282283</v>
      </c>
      <c r="E29" s="3296" t="s">
        <v>1018</v>
      </c>
      <c r="G29" s="2290">
        <f>'WPB-6''s'!L33</f>
        <v>-60715102</v>
      </c>
      <c r="H29" s="2282"/>
      <c r="I29" s="2283" t="s">
        <v>591</v>
      </c>
      <c r="J29" s="3288">
        <f>VLOOKUP(I29,ALLOCTABLE,2)</f>
        <v>100</v>
      </c>
      <c r="K29" s="2282"/>
      <c r="L29" s="2286">
        <f>ROUND(G29*(J29/100),0)</f>
        <v>-60715102</v>
      </c>
      <c r="N29" s="2286">
        <f>-'WPB-6''s'!AE207-'WPB-6''s'!L32</f>
        <v>576211</v>
      </c>
      <c r="O29" s="2268" t="s">
        <v>1484</v>
      </c>
      <c r="P29" s="2290">
        <f>L29+N29</f>
        <v>-60138891</v>
      </c>
      <c r="Q29" s="3296" t="s">
        <v>1042</v>
      </c>
    </row>
    <row r="30" spans="1:17" ht="13.8" thickTop="1">
      <c r="A30" s="2268">
        <v>12</v>
      </c>
      <c r="C30" s="2268"/>
      <c r="F30" s="1616"/>
      <c r="G30" s="2282"/>
      <c r="H30" s="1603"/>
    </row>
    <row r="31" spans="1:17" ht="13.8" thickBot="1">
      <c r="A31" s="2268">
        <v>13</v>
      </c>
      <c r="C31" s="2268">
        <v>254</v>
      </c>
      <c r="E31" s="2262" t="s">
        <v>2554</v>
      </c>
      <c r="F31" s="1616"/>
      <c r="G31" s="2286">
        <f>'WPB-6''s'!L38</f>
        <v>-32322707</v>
      </c>
      <c r="H31" s="1603"/>
      <c r="I31" s="2283" t="s">
        <v>591</v>
      </c>
      <c r="J31" s="3288">
        <f>VLOOKUP(I31,ALLOCTABLE,2)</f>
        <v>100</v>
      </c>
      <c r="K31" s="2282"/>
      <c r="L31" s="2286">
        <f>ROUND(G31*(J31/100),0)</f>
        <v>-32322707</v>
      </c>
      <c r="N31" s="2286">
        <f>-'WPB-6''s'!AE209</f>
        <v>349085</v>
      </c>
      <c r="O31" s="2268" t="s">
        <v>1484</v>
      </c>
      <c r="P31" s="2286">
        <f>L31+N31</f>
        <v>-31973622</v>
      </c>
      <c r="Q31" s="3296" t="s">
        <v>718</v>
      </c>
    </row>
    <row r="32" spans="1:17" ht="13.8" thickTop="1">
      <c r="C32" s="2268"/>
      <c r="F32" s="1616"/>
      <c r="G32" s="2282"/>
      <c r="H32" s="1603"/>
    </row>
    <row r="33" spans="1:65">
      <c r="C33" s="2268"/>
      <c r="E33" s="1616"/>
      <c r="F33" s="1616"/>
      <c r="G33" s="2336"/>
      <c r="H33" s="1603"/>
      <c r="L33" s="2336"/>
      <c r="N33" s="2336"/>
      <c r="P33" s="2336"/>
    </row>
    <row r="34" spans="1:65">
      <c r="F34" s="1616"/>
      <c r="H34" s="1603"/>
    </row>
    <row r="35" spans="1:65">
      <c r="B35" s="3298" t="s">
        <v>719</v>
      </c>
      <c r="F35" s="1603"/>
      <c r="G35" s="1603"/>
      <c r="H35" s="1603"/>
    </row>
    <row r="36" spans="1:65">
      <c r="C36" s="3286" t="s">
        <v>784</v>
      </c>
      <c r="E36" s="2267"/>
      <c r="F36" s="1603"/>
      <c r="G36" s="3275"/>
      <c r="H36" s="1603"/>
    </row>
    <row r="37" spans="1:65">
      <c r="C37" s="3286" t="s">
        <v>2827</v>
      </c>
      <c r="E37" s="2267"/>
      <c r="F37" s="2267"/>
    </row>
    <row r="38" spans="1:65">
      <c r="C38" s="3286" t="s">
        <v>634</v>
      </c>
      <c r="E38" s="2267"/>
      <c r="F38" s="2267"/>
      <c r="G38" s="2267"/>
      <c r="H38" s="2267"/>
      <c r="I38" s="2269"/>
      <c r="J38" s="2267"/>
      <c r="K38" s="2267"/>
      <c r="L38" s="2267"/>
    </row>
    <row r="39" spans="1:65">
      <c r="C39" s="3286" t="s">
        <v>635</v>
      </c>
      <c r="E39" s="2267"/>
      <c r="F39" s="2267"/>
      <c r="G39" s="2267"/>
      <c r="H39" s="2267"/>
      <c r="I39" s="2269"/>
      <c r="J39" s="2267"/>
      <c r="K39" s="2267"/>
      <c r="L39" s="2267"/>
    </row>
    <row r="40" spans="1:65">
      <c r="C40" s="3286" t="s">
        <v>2828</v>
      </c>
      <c r="E40" s="2267"/>
      <c r="F40" s="2267"/>
      <c r="G40" s="2267"/>
      <c r="H40" s="2267"/>
      <c r="I40" s="2269"/>
      <c r="J40" s="2267"/>
      <c r="K40" s="2267"/>
      <c r="L40" s="2267"/>
    </row>
    <row r="41" spans="1:65">
      <c r="C41" s="3286" t="s">
        <v>2829</v>
      </c>
      <c r="E41" s="2267"/>
      <c r="F41" s="2267"/>
      <c r="G41" s="2267"/>
      <c r="H41" s="2267"/>
      <c r="I41" s="2269"/>
      <c r="J41" s="2267"/>
      <c r="K41" s="2267"/>
      <c r="L41" s="2267"/>
    </row>
    <row r="42" spans="1:65">
      <c r="C42" s="3286" t="s">
        <v>2830</v>
      </c>
      <c r="E42" s="2267"/>
      <c r="F42" s="2267"/>
      <c r="G42" s="2267"/>
      <c r="H42" s="2267"/>
      <c r="I42" s="2269"/>
      <c r="J42" s="2267"/>
      <c r="K42" s="2267"/>
      <c r="L42" s="2267"/>
    </row>
    <row r="43" spans="1:65">
      <c r="C43" s="3286" t="s">
        <v>3051</v>
      </c>
      <c r="E43" s="2267"/>
      <c r="F43" s="2267"/>
      <c r="G43" s="2267"/>
      <c r="H43" s="2267"/>
      <c r="I43" s="2269"/>
      <c r="J43" s="2267"/>
      <c r="K43" s="2267"/>
      <c r="L43" s="2267"/>
    </row>
    <row r="44" spans="1:65">
      <c r="B44" s="2267"/>
      <c r="C44" s="3286" t="s">
        <v>2269</v>
      </c>
      <c r="D44" s="2267"/>
      <c r="E44" s="2267"/>
      <c r="F44" s="2267"/>
      <c r="G44" s="2267"/>
      <c r="H44" s="2267"/>
      <c r="I44" s="2269"/>
      <c r="J44" s="2267"/>
      <c r="K44" s="2267"/>
      <c r="L44" s="2267"/>
    </row>
    <row r="45" spans="1:65">
      <c r="B45" s="2267"/>
      <c r="C45" s="3296"/>
      <c r="D45" s="2267"/>
      <c r="E45" s="2267"/>
      <c r="F45" s="2267"/>
      <c r="G45" s="2267"/>
      <c r="H45" s="2267"/>
      <c r="I45" s="2269"/>
      <c r="J45" s="2267"/>
      <c r="K45" s="2267"/>
      <c r="L45" s="2267"/>
    </row>
    <row r="46" spans="1:65">
      <c r="B46" s="2267"/>
      <c r="C46" s="3296"/>
      <c r="D46" s="2267"/>
      <c r="E46" s="2267"/>
      <c r="F46" s="2267"/>
      <c r="G46" s="2267"/>
      <c r="H46" s="2267"/>
      <c r="I46" s="2269"/>
      <c r="J46" s="2267"/>
      <c r="K46" s="2267"/>
      <c r="L46" s="2267"/>
    </row>
    <row r="47" spans="1:65">
      <c r="A47" s="2267"/>
      <c r="B47" s="2267"/>
      <c r="C47" s="2267"/>
      <c r="D47" s="2267"/>
      <c r="E47" s="2267"/>
      <c r="F47" s="2267"/>
      <c r="G47" s="2267"/>
      <c r="H47" s="2267"/>
      <c r="I47" s="2269"/>
      <c r="J47" s="2267"/>
      <c r="K47" s="2267"/>
      <c r="L47" s="2267"/>
      <c r="M47" s="2264"/>
      <c r="N47" s="2264"/>
      <c r="O47" s="2264"/>
      <c r="P47" s="2264"/>
      <c r="Q47" s="2264"/>
      <c r="R47" s="2264"/>
      <c r="S47" s="2264"/>
      <c r="T47" s="3299"/>
      <c r="U47" s="2264"/>
      <c r="V47" s="2264"/>
      <c r="W47" s="2264"/>
      <c r="X47" s="3299"/>
      <c r="Y47" s="2267"/>
      <c r="Z47" s="2267"/>
      <c r="AA47" s="2264"/>
      <c r="AB47" s="2264"/>
      <c r="AC47" s="2267"/>
      <c r="AD47" s="2267"/>
      <c r="AE47" s="2267"/>
      <c r="AF47" s="2267"/>
      <c r="AG47" s="2267"/>
      <c r="AH47" s="2267"/>
      <c r="AI47" s="2267"/>
      <c r="AJ47" s="2267"/>
      <c r="AK47" s="2267"/>
      <c r="AL47" s="2267"/>
      <c r="AM47" s="2267"/>
      <c r="AN47" s="2267"/>
      <c r="AO47" s="2267"/>
      <c r="AP47" s="2267"/>
      <c r="AQ47" s="2267"/>
      <c r="AR47" s="2267"/>
      <c r="AS47" s="2267"/>
      <c r="AT47" s="2267"/>
      <c r="AU47" s="2267"/>
      <c r="AV47" s="2267"/>
      <c r="AW47" s="2267"/>
      <c r="AX47" s="2267"/>
      <c r="AY47" s="2267"/>
      <c r="AZ47" s="2267"/>
      <c r="BA47" s="2267"/>
      <c r="BB47" s="2267"/>
      <c r="BC47" s="2267"/>
      <c r="BD47" s="2267"/>
      <c r="BE47" s="2267"/>
      <c r="BF47" s="2267"/>
      <c r="BG47" s="2267"/>
      <c r="BH47" s="2267"/>
      <c r="BI47" s="2267"/>
      <c r="BJ47" s="2267"/>
      <c r="BK47" s="2267"/>
      <c r="BL47" s="2267"/>
      <c r="BM47" s="2267"/>
    </row>
    <row r="48" spans="1:65">
      <c r="A48" s="2267"/>
      <c r="B48" s="2267"/>
      <c r="C48" s="2267"/>
      <c r="D48" s="2267"/>
      <c r="E48" s="2267"/>
      <c r="F48" s="2267"/>
      <c r="G48" s="2267"/>
      <c r="H48" s="2267"/>
      <c r="I48" s="2269"/>
      <c r="J48" s="2267"/>
      <c r="K48" s="2267"/>
      <c r="L48" s="2267"/>
      <c r="M48" s="2264"/>
      <c r="N48" s="2264"/>
      <c r="O48" s="2264"/>
      <c r="P48" s="2264"/>
      <c r="Q48" s="2264"/>
      <c r="R48" s="2264"/>
      <c r="S48" s="2264"/>
      <c r="T48" s="3299"/>
      <c r="U48" s="2264"/>
      <c r="V48" s="2264"/>
      <c r="W48" s="2264"/>
      <c r="X48" s="3299"/>
      <c r="Y48" s="2267"/>
      <c r="Z48" s="2267"/>
      <c r="AA48" s="2264"/>
      <c r="AB48" s="2264"/>
      <c r="AC48" s="2267"/>
      <c r="AD48" s="2267"/>
      <c r="AE48" s="2267"/>
      <c r="AF48" s="2267"/>
      <c r="AG48" s="2267"/>
      <c r="AH48" s="2267"/>
      <c r="AI48" s="2267"/>
      <c r="AJ48" s="2267"/>
      <c r="AK48" s="2267"/>
      <c r="AL48" s="2267"/>
      <c r="AM48" s="2267"/>
      <c r="AN48" s="2267"/>
      <c r="AO48" s="2267"/>
      <c r="AP48" s="2267"/>
      <c r="AQ48" s="2267"/>
      <c r="AR48" s="2267"/>
      <c r="AS48" s="2267"/>
      <c r="AT48" s="2267"/>
      <c r="AU48" s="2267"/>
      <c r="AV48" s="2267"/>
      <c r="AW48" s="2267"/>
      <c r="AX48" s="2267"/>
      <c r="AY48" s="2267"/>
      <c r="AZ48" s="2267"/>
      <c r="BA48" s="2267"/>
      <c r="BB48" s="2267"/>
      <c r="BC48" s="2267"/>
      <c r="BD48" s="2267"/>
      <c r="BE48" s="2267"/>
      <c r="BF48" s="2267"/>
      <c r="BG48" s="2267"/>
      <c r="BH48" s="2267"/>
      <c r="BI48" s="2267"/>
      <c r="BJ48" s="2267"/>
      <c r="BK48" s="2267"/>
      <c r="BL48" s="2267"/>
      <c r="BM48" s="2267"/>
    </row>
    <row r="49" spans="1:65">
      <c r="A49" s="2266" t="str">
        <f>COMPANY</f>
        <v>DUKE ENERGY KENTUCKY, INC.</v>
      </c>
      <c r="B49" s="2261"/>
      <c r="C49" s="2261"/>
      <c r="D49" s="2261"/>
      <c r="E49" s="2261"/>
      <c r="F49" s="2261"/>
      <c r="G49" s="2261"/>
      <c r="H49" s="2261"/>
      <c r="I49" s="2261"/>
      <c r="J49" s="2261"/>
      <c r="K49" s="2261"/>
      <c r="L49" s="2261"/>
      <c r="M49" s="2261"/>
      <c r="N49" s="2261"/>
      <c r="O49" s="2261"/>
      <c r="P49" s="2261"/>
      <c r="Q49" s="2261"/>
      <c r="S49" s="2264"/>
      <c r="T49" s="3299"/>
      <c r="U49" s="2264"/>
      <c r="V49" s="2264"/>
      <c r="W49" s="2264"/>
      <c r="X49" s="3299"/>
      <c r="Y49" s="2267"/>
      <c r="Z49" s="2267"/>
      <c r="AA49" s="2264"/>
      <c r="AB49" s="2264"/>
      <c r="AC49" s="2267"/>
      <c r="AD49" s="2267"/>
      <c r="AE49" s="2267"/>
      <c r="AF49" s="2267"/>
      <c r="AG49" s="2267"/>
      <c r="AH49" s="2267"/>
      <c r="AI49" s="2267"/>
      <c r="AJ49" s="2267"/>
      <c r="AK49" s="2267"/>
      <c r="AL49" s="2267"/>
      <c r="AM49" s="2267"/>
      <c r="AN49" s="2267"/>
      <c r="AO49" s="2267"/>
      <c r="AP49" s="2267"/>
      <c r="AQ49" s="2267"/>
      <c r="AR49" s="2267"/>
      <c r="AS49" s="2267"/>
      <c r="AT49" s="2267"/>
      <c r="AU49" s="2267"/>
      <c r="AV49" s="2267"/>
      <c r="AW49" s="2267"/>
      <c r="AX49" s="2267"/>
      <c r="AY49" s="2267"/>
      <c r="AZ49" s="2267"/>
      <c r="BA49" s="2267"/>
      <c r="BB49" s="2267"/>
      <c r="BC49" s="2267"/>
      <c r="BD49" s="2267"/>
      <c r="BE49" s="2267"/>
      <c r="BF49" s="2267"/>
      <c r="BG49" s="2267"/>
      <c r="BH49" s="2267"/>
      <c r="BI49" s="2267"/>
      <c r="BJ49" s="2267"/>
      <c r="BK49" s="2267"/>
      <c r="BL49" s="2267"/>
      <c r="BM49" s="2267"/>
    </row>
    <row r="50" spans="1:65">
      <c r="A50" s="2266" t="str">
        <f>CASE</f>
        <v>CASE NO. 2018-00261</v>
      </c>
      <c r="B50" s="2261"/>
      <c r="C50" s="2261"/>
      <c r="D50" s="2261"/>
      <c r="E50" s="2261"/>
      <c r="F50" s="2261"/>
      <c r="G50" s="2261"/>
      <c r="H50" s="2261"/>
      <c r="I50" s="2261"/>
      <c r="J50" s="2261"/>
      <c r="K50" s="2261"/>
      <c r="L50" s="2261"/>
      <c r="M50" s="2261"/>
      <c r="N50" s="2261"/>
      <c r="O50" s="2261"/>
      <c r="P50" s="2261"/>
      <c r="Q50" s="2261"/>
      <c r="S50" s="2264"/>
      <c r="T50" s="3299"/>
      <c r="U50" s="2264"/>
      <c r="V50" s="2264"/>
      <c r="W50" s="2264"/>
      <c r="X50" s="3299"/>
      <c r="Y50" s="2267"/>
      <c r="Z50" s="2267"/>
      <c r="AA50" s="2264"/>
      <c r="AB50" s="2264"/>
      <c r="AC50" s="2267"/>
      <c r="AD50" s="2267"/>
      <c r="AE50" s="2267"/>
      <c r="AF50" s="2267"/>
      <c r="AG50" s="2267"/>
      <c r="AH50" s="2267"/>
      <c r="AI50" s="2267"/>
      <c r="AJ50" s="2267"/>
      <c r="AK50" s="2267"/>
      <c r="AL50" s="2267"/>
      <c r="AM50" s="2267"/>
      <c r="AN50" s="2267"/>
      <c r="AO50" s="2267"/>
      <c r="AP50" s="2267"/>
      <c r="AQ50" s="2267"/>
      <c r="AR50" s="2267"/>
      <c r="AS50" s="2267"/>
      <c r="AT50" s="2267"/>
      <c r="AU50" s="2267"/>
      <c r="AV50" s="2267"/>
      <c r="AW50" s="2267"/>
      <c r="AX50" s="2267"/>
      <c r="AY50" s="2267"/>
      <c r="AZ50" s="2267"/>
      <c r="BA50" s="2267"/>
      <c r="BB50" s="2267"/>
      <c r="BC50" s="2267"/>
      <c r="BD50" s="2267"/>
      <c r="BE50" s="2267"/>
      <c r="BF50" s="2267"/>
      <c r="BG50" s="2267"/>
      <c r="BH50" s="2267"/>
      <c r="BI50" s="2267"/>
      <c r="BJ50" s="2267"/>
      <c r="BK50" s="2267"/>
      <c r="BL50" s="2267"/>
      <c r="BM50" s="2267"/>
    </row>
    <row r="51" spans="1:65">
      <c r="A51" s="2266" t="s">
        <v>814</v>
      </c>
      <c r="B51" s="2261"/>
      <c r="C51" s="2261"/>
      <c r="D51" s="2261"/>
      <c r="E51" s="2261"/>
      <c r="F51" s="2261"/>
      <c r="G51" s="2261"/>
      <c r="H51" s="2261"/>
      <c r="I51" s="2261"/>
      <c r="J51" s="2261"/>
      <c r="K51" s="2261"/>
      <c r="L51" s="2261"/>
      <c r="M51" s="2261"/>
      <c r="N51" s="2261"/>
      <c r="O51" s="2261"/>
      <c r="P51" s="2261"/>
      <c r="Q51" s="2261"/>
      <c r="AH51" s="2267"/>
      <c r="AI51" s="2267"/>
      <c r="AJ51" s="2267"/>
      <c r="AK51" s="2267"/>
      <c r="AL51" s="2267"/>
      <c r="AM51" s="2267"/>
      <c r="AN51" s="2267"/>
      <c r="AO51" s="2267"/>
      <c r="AP51" s="2267"/>
      <c r="AQ51" s="2267"/>
      <c r="AR51" s="2267"/>
      <c r="AS51" s="2267"/>
      <c r="AT51" s="2267"/>
      <c r="AU51" s="2267"/>
      <c r="AV51" s="2267"/>
      <c r="AW51" s="2267"/>
      <c r="AX51" s="2267"/>
      <c r="AY51" s="2267"/>
      <c r="AZ51" s="2267"/>
      <c r="BA51" s="2267"/>
      <c r="BB51" s="2267"/>
      <c r="BC51" s="2267"/>
      <c r="BD51" s="2267"/>
      <c r="BE51" s="2267"/>
      <c r="BF51" s="2267"/>
      <c r="BG51" s="2267"/>
      <c r="BH51" s="2267"/>
      <c r="BI51" s="2267"/>
      <c r="BJ51" s="2267"/>
      <c r="BK51" s="2267"/>
      <c r="BL51" s="2267"/>
      <c r="BM51" s="2267"/>
    </row>
    <row r="52" spans="1:65">
      <c r="A52" s="1625" t="str">
        <f>"AS OF " &amp;RIGHT(Forecast,(LEN(Forecast)-16))</f>
        <v>AS OF MARCH 31, 2020</v>
      </c>
      <c r="B52" s="2261"/>
      <c r="C52" s="2261"/>
      <c r="D52" s="2261"/>
      <c r="E52" s="2261"/>
      <c r="F52" s="2261"/>
      <c r="G52" s="2261"/>
      <c r="H52" s="2261"/>
      <c r="I52" s="2261"/>
      <c r="J52" s="2261"/>
      <c r="K52" s="2261"/>
      <c r="L52" s="2261"/>
      <c r="M52" s="2261"/>
      <c r="N52" s="2261"/>
      <c r="O52" s="2261"/>
      <c r="P52" s="2261"/>
      <c r="Q52" s="2261"/>
      <c r="AH52" s="2267"/>
      <c r="AI52" s="2267"/>
      <c r="AJ52" s="2267"/>
      <c r="AK52" s="2267"/>
      <c r="AL52" s="2267"/>
      <c r="AM52" s="2267"/>
      <c r="AN52" s="2267"/>
      <c r="AO52" s="2267"/>
      <c r="AP52" s="2267"/>
      <c r="AQ52" s="2267"/>
      <c r="AR52" s="2267"/>
      <c r="AS52" s="2267"/>
      <c r="AT52" s="2267"/>
      <c r="AU52" s="2267"/>
      <c r="AV52" s="2267"/>
      <c r="AW52" s="2267"/>
      <c r="AX52" s="2267"/>
      <c r="AY52" s="2267"/>
      <c r="AZ52" s="2267"/>
      <c r="BA52" s="2267"/>
      <c r="BB52" s="2267"/>
      <c r="BC52" s="2267"/>
      <c r="BD52" s="2267"/>
      <c r="BE52" s="2267"/>
      <c r="BF52" s="2267"/>
      <c r="BG52" s="2267"/>
      <c r="BH52" s="2267"/>
      <c r="BI52" s="2267"/>
      <c r="BJ52" s="2267"/>
      <c r="BK52" s="2267"/>
      <c r="BL52" s="2267"/>
      <c r="BM52" s="2267"/>
    </row>
    <row r="53" spans="1:65">
      <c r="A53" s="2266"/>
      <c r="B53" s="2261"/>
      <c r="C53" s="2261"/>
      <c r="D53" s="2261"/>
      <c r="E53" s="2261"/>
      <c r="F53" s="2261"/>
      <c r="G53" s="2261"/>
      <c r="H53" s="2261"/>
      <c r="I53" s="2261"/>
      <c r="J53" s="2261"/>
      <c r="K53" s="2261"/>
      <c r="L53" s="2261"/>
      <c r="M53" s="2261"/>
      <c r="N53" s="2261"/>
      <c r="O53" s="2261"/>
      <c r="P53" s="2261"/>
      <c r="Q53" s="2261"/>
      <c r="AH53" s="2267"/>
      <c r="AI53" s="2267"/>
      <c r="AJ53" s="2267"/>
      <c r="AK53" s="2267"/>
      <c r="AL53" s="2267"/>
      <c r="AM53" s="2267"/>
      <c r="AN53" s="2267"/>
      <c r="AO53" s="2267"/>
      <c r="AP53" s="2267"/>
      <c r="AQ53" s="2267"/>
      <c r="AR53" s="2267"/>
      <c r="AS53" s="2267"/>
      <c r="AT53" s="2267"/>
      <c r="AU53" s="2267"/>
      <c r="AV53" s="2267"/>
      <c r="AW53" s="2267"/>
      <c r="AX53" s="2267"/>
      <c r="AY53" s="2267"/>
      <c r="AZ53" s="2267"/>
      <c r="BA53" s="2267"/>
      <c r="BB53" s="2267"/>
      <c r="BC53" s="2267"/>
      <c r="BD53" s="2267"/>
      <c r="BE53" s="2267"/>
      <c r="BF53" s="2267"/>
      <c r="BG53" s="2267"/>
      <c r="BH53" s="2267"/>
      <c r="BI53" s="2267"/>
      <c r="BJ53" s="2267"/>
      <c r="BK53" s="2267"/>
      <c r="BL53" s="2267"/>
      <c r="BM53" s="2267"/>
    </row>
    <row r="54" spans="1:65">
      <c r="A54" s="2266"/>
      <c r="B54" s="2261"/>
      <c r="C54" s="2261"/>
      <c r="D54" s="2261"/>
      <c r="E54" s="2261"/>
      <c r="F54" s="2261"/>
      <c r="G54" s="2261"/>
      <c r="H54" s="2261"/>
      <c r="I54" s="2261"/>
      <c r="J54" s="2261"/>
      <c r="K54" s="2261"/>
      <c r="L54" s="2261"/>
      <c r="M54" s="2261"/>
      <c r="N54" s="2261"/>
      <c r="O54" s="2261"/>
      <c r="P54" s="2261"/>
      <c r="Q54" s="2261"/>
      <c r="AH54" s="2267"/>
      <c r="AI54" s="2267"/>
      <c r="AJ54" s="2267"/>
      <c r="AK54" s="2267"/>
      <c r="AL54" s="2267"/>
      <c r="AM54" s="2267"/>
      <c r="AN54" s="2267"/>
      <c r="AO54" s="2267"/>
      <c r="AP54" s="2267"/>
      <c r="AQ54" s="2267"/>
      <c r="AR54" s="2267"/>
      <c r="AS54" s="2267"/>
      <c r="AT54" s="2267"/>
      <c r="AU54" s="2267"/>
      <c r="AV54" s="2267"/>
      <c r="AW54" s="2267"/>
      <c r="AX54" s="2267"/>
      <c r="AY54" s="2267"/>
      <c r="AZ54" s="2267"/>
      <c r="BA54" s="2267"/>
      <c r="BB54" s="2267"/>
      <c r="BC54" s="2267"/>
      <c r="BD54" s="2267"/>
      <c r="BE54" s="2267"/>
      <c r="BF54" s="2267"/>
      <c r="BG54" s="2267"/>
      <c r="BH54" s="2267"/>
      <c r="BI54" s="2267"/>
      <c r="BJ54" s="2267"/>
      <c r="BK54" s="2267"/>
      <c r="BL54" s="2267"/>
      <c r="BM54" s="2267"/>
    </row>
    <row r="55" spans="1:65">
      <c r="AH55" s="2267"/>
      <c r="AI55" s="2267"/>
      <c r="AJ55" s="2267"/>
      <c r="AK55" s="2267"/>
      <c r="AL55" s="2267"/>
      <c r="AM55" s="2267"/>
      <c r="AN55" s="2267"/>
      <c r="AO55" s="2267"/>
      <c r="AP55" s="2267"/>
      <c r="AQ55" s="2267"/>
      <c r="AR55" s="2267"/>
      <c r="AS55" s="2267"/>
      <c r="AT55" s="2267"/>
      <c r="AU55" s="2267"/>
      <c r="AV55" s="2267"/>
      <c r="AW55" s="2267"/>
      <c r="AX55" s="2267"/>
      <c r="AY55" s="2267"/>
      <c r="AZ55" s="2267"/>
      <c r="BA55" s="2267"/>
      <c r="BB55" s="2267"/>
      <c r="BC55" s="2267"/>
      <c r="BD55" s="2267"/>
      <c r="BE55" s="2267"/>
      <c r="BF55" s="2267"/>
      <c r="BG55" s="2267"/>
      <c r="BH55" s="2267"/>
      <c r="BI55" s="2267"/>
      <c r="BJ55" s="2267"/>
      <c r="BK55" s="2267"/>
      <c r="BL55" s="2267"/>
      <c r="BM55" s="2267"/>
    </row>
    <row r="56" spans="1:65">
      <c r="A56" s="3285" t="str">
        <f>DataF</f>
        <v>DATA:  BASE PERIOD  "X" FORECASTED PERIOD</v>
      </c>
      <c r="O56" s="3286" t="s">
        <v>815</v>
      </c>
      <c r="AH56" s="2267"/>
      <c r="AI56" s="2267"/>
      <c r="AJ56" s="2267"/>
      <c r="AK56" s="2267"/>
      <c r="AL56" s="2267"/>
      <c r="AM56" s="2267"/>
      <c r="AN56" s="2267"/>
      <c r="AO56" s="2267"/>
      <c r="AP56" s="2267"/>
      <c r="AQ56" s="2267"/>
      <c r="AR56" s="2267"/>
      <c r="AS56" s="2267"/>
      <c r="AT56" s="2267"/>
      <c r="AU56" s="2267"/>
      <c r="AV56" s="2267"/>
      <c r="AW56" s="2267"/>
      <c r="AX56" s="2267"/>
      <c r="AY56" s="2267"/>
      <c r="AZ56" s="2267"/>
      <c r="BA56" s="2267"/>
      <c r="BB56" s="2267"/>
      <c r="BC56" s="2267"/>
      <c r="BD56" s="2267"/>
      <c r="BE56" s="2267"/>
      <c r="BF56" s="2267"/>
      <c r="BG56" s="2267"/>
      <c r="BH56" s="2267"/>
      <c r="BI56" s="2267"/>
      <c r="BJ56" s="2267"/>
      <c r="BK56" s="2267"/>
      <c r="BL56" s="2267"/>
      <c r="BM56" s="2267"/>
    </row>
    <row r="57" spans="1:65">
      <c r="A57" s="3285" t="str">
        <f>Type</f>
        <v xml:space="preserve">TYPE OF FILING:  "X" ORIGINAL   UPDATED    REVISED  </v>
      </c>
      <c r="O57" s="3286" t="s">
        <v>762</v>
      </c>
      <c r="AH57" s="2267"/>
      <c r="AI57" s="2267"/>
      <c r="AJ57" s="2267"/>
      <c r="AK57" s="2267"/>
      <c r="AL57" s="2267"/>
      <c r="AM57" s="2267"/>
      <c r="AN57" s="2267"/>
      <c r="AO57" s="2267"/>
      <c r="AP57" s="2267"/>
      <c r="AQ57" s="2267"/>
      <c r="AR57" s="2267"/>
      <c r="AS57" s="2267"/>
      <c r="AT57" s="2267"/>
      <c r="AU57" s="2267"/>
      <c r="AV57" s="2267"/>
      <c r="AW57" s="2267"/>
      <c r="AX57" s="2267"/>
      <c r="AY57" s="2267"/>
      <c r="AZ57" s="2267"/>
      <c r="BA57" s="2267"/>
      <c r="BB57" s="2267"/>
      <c r="BC57" s="2267"/>
      <c r="BD57" s="2267"/>
      <c r="BE57" s="2267"/>
      <c r="BF57" s="2267"/>
      <c r="BG57" s="2267"/>
      <c r="BH57" s="2267"/>
      <c r="BI57" s="2267"/>
      <c r="BJ57" s="2267"/>
      <c r="BK57" s="2267"/>
      <c r="BL57" s="2267"/>
      <c r="BM57" s="2267"/>
    </row>
    <row r="58" spans="1:65">
      <c r="A58" s="3286" t="s">
        <v>1962</v>
      </c>
      <c r="O58" s="3286" t="s">
        <v>566</v>
      </c>
      <c r="AH58" s="2267"/>
      <c r="AI58" s="2267"/>
      <c r="AJ58" s="2267"/>
      <c r="AK58" s="2267"/>
      <c r="AL58" s="2267"/>
      <c r="AM58" s="2267"/>
      <c r="AN58" s="2267"/>
      <c r="AO58" s="2267"/>
      <c r="AP58" s="2267"/>
      <c r="AQ58" s="2267"/>
      <c r="AR58" s="2267"/>
      <c r="AS58" s="2267"/>
      <c r="AT58" s="2267"/>
      <c r="AU58" s="2267"/>
      <c r="AV58" s="2267"/>
      <c r="AW58" s="2267"/>
      <c r="AX58" s="2267"/>
      <c r="AY58" s="2267"/>
      <c r="AZ58" s="2267"/>
      <c r="BA58" s="2267"/>
      <c r="BB58" s="2267"/>
      <c r="BC58" s="2267"/>
      <c r="BD58" s="2267"/>
      <c r="BE58" s="2267"/>
      <c r="BF58" s="2267"/>
      <c r="BG58" s="2267"/>
      <c r="BH58" s="2267"/>
      <c r="BI58" s="2267"/>
      <c r="BJ58" s="2267"/>
      <c r="BK58" s="2267"/>
      <c r="BL58" s="2267"/>
      <c r="BM58" s="2267"/>
    </row>
    <row r="59" spans="1:65">
      <c r="O59" s="2137" t="str">
        <f>_WIT3</f>
        <v>J. R. PANIZZA</v>
      </c>
      <c r="AH59" s="2267"/>
      <c r="AI59" s="2267"/>
      <c r="AJ59" s="2267"/>
      <c r="AK59" s="2267"/>
      <c r="AL59" s="2267"/>
      <c r="AM59" s="2267"/>
      <c r="AN59" s="2267"/>
      <c r="AO59" s="2267"/>
      <c r="AP59" s="2267"/>
      <c r="AQ59" s="2267"/>
      <c r="AR59" s="2267"/>
      <c r="AS59" s="2267"/>
      <c r="AT59" s="2267"/>
      <c r="AU59" s="2267"/>
      <c r="AV59" s="2267"/>
      <c r="AW59" s="2267"/>
      <c r="AX59" s="2267"/>
      <c r="AY59" s="2267"/>
      <c r="AZ59" s="2267"/>
      <c r="BA59" s="2267"/>
      <c r="BB59" s="2267"/>
      <c r="BC59" s="2267"/>
      <c r="BD59" s="2267"/>
      <c r="BE59" s="2267"/>
      <c r="BF59" s="2267"/>
      <c r="BG59" s="2267"/>
      <c r="BH59" s="2267"/>
      <c r="BI59" s="2267"/>
      <c r="BJ59" s="2267"/>
      <c r="BK59" s="2267"/>
      <c r="BL59" s="2267"/>
      <c r="BM59" s="2267"/>
    </row>
    <row r="60" spans="1:65">
      <c r="A60" s="2270"/>
      <c r="B60" s="2270"/>
      <c r="C60" s="2270"/>
      <c r="D60" s="2270"/>
      <c r="E60" s="2270"/>
      <c r="F60" s="2270"/>
      <c r="G60" s="2270"/>
      <c r="H60" s="2270"/>
      <c r="I60" s="2293"/>
      <c r="J60" s="2270"/>
      <c r="K60" s="2270"/>
      <c r="L60" s="2270"/>
      <c r="AH60" s="2267"/>
      <c r="AI60" s="2267"/>
      <c r="AJ60" s="2267"/>
      <c r="AK60" s="2267"/>
      <c r="AL60" s="2267"/>
      <c r="AM60" s="2267"/>
      <c r="AN60" s="2267"/>
      <c r="AO60" s="2267"/>
      <c r="AP60" s="2267"/>
      <c r="AQ60" s="2267"/>
      <c r="AR60" s="2267"/>
      <c r="AS60" s="2267"/>
      <c r="AT60" s="2267"/>
      <c r="AU60" s="2267"/>
      <c r="AV60" s="2267"/>
      <c r="AW60" s="2267"/>
      <c r="AX60" s="2267"/>
      <c r="AY60" s="2267"/>
      <c r="AZ60" s="2267"/>
      <c r="BA60" s="2267"/>
      <c r="BB60" s="2267"/>
      <c r="BC60" s="2267"/>
      <c r="BD60" s="2267"/>
      <c r="BE60" s="2267"/>
      <c r="BF60" s="2267"/>
      <c r="BG60" s="2267"/>
      <c r="BH60" s="2267"/>
      <c r="BI60" s="2267"/>
      <c r="BJ60" s="2267"/>
      <c r="BK60" s="2267"/>
      <c r="BL60" s="2267"/>
      <c r="BM60" s="2267"/>
    </row>
    <row r="61" spans="1:65">
      <c r="G61" s="3126" t="s">
        <v>2559</v>
      </c>
      <c r="M61" s="2294"/>
      <c r="N61" s="2294"/>
      <c r="O61" s="2295"/>
      <c r="P61" s="2294"/>
      <c r="AH61" s="2267"/>
      <c r="AI61" s="2267"/>
      <c r="AJ61" s="2267"/>
      <c r="AK61" s="2267"/>
      <c r="AL61" s="2267"/>
      <c r="AM61" s="2267"/>
      <c r="AN61" s="2267"/>
      <c r="AO61" s="2267"/>
      <c r="AP61" s="2267"/>
      <c r="AQ61" s="2267"/>
      <c r="AR61" s="2267"/>
      <c r="AS61" s="2267"/>
      <c r="AT61" s="2267"/>
      <c r="AU61" s="2267"/>
      <c r="AV61" s="2267"/>
      <c r="AW61" s="2267"/>
      <c r="AX61" s="2267"/>
      <c r="AY61" s="2267"/>
      <c r="AZ61" s="2267"/>
      <c r="BA61" s="2267"/>
      <c r="BB61" s="2267"/>
      <c r="BC61" s="2267"/>
      <c r="BD61" s="2267"/>
      <c r="BE61" s="2267"/>
      <c r="BF61" s="2267"/>
      <c r="BG61" s="2267"/>
      <c r="BH61" s="2267"/>
      <c r="BI61" s="2267"/>
      <c r="BJ61" s="2267"/>
      <c r="BK61" s="2267"/>
      <c r="BL61" s="2267"/>
      <c r="BM61" s="2267"/>
    </row>
    <row r="62" spans="1:65">
      <c r="D62" s="2261"/>
      <c r="G62" s="3300" t="s">
        <v>2831</v>
      </c>
      <c r="M62" s="2267"/>
      <c r="N62" s="2267"/>
      <c r="O62" s="2269"/>
      <c r="P62" s="2269" t="s">
        <v>816</v>
      </c>
      <c r="AH62" s="2267"/>
      <c r="AI62" s="2267"/>
      <c r="AJ62" s="2267"/>
      <c r="AK62" s="2267"/>
      <c r="AL62" s="2267"/>
      <c r="AM62" s="2267"/>
      <c r="AN62" s="2267"/>
      <c r="AO62" s="2267"/>
      <c r="AP62" s="2267"/>
      <c r="AQ62" s="2267"/>
      <c r="AR62" s="2267"/>
      <c r="AS62" s="2267"/>
      <c r="AT62" s="2267"/>
      <c r="AU62" s="2267"/>
      <c r="AV62" s="2267"/>
      <c r="AW62" s="2267"/>
      <c r="AX62" s="2267"/>
      <c r="AY62" s="2267"/>
      <c r="AZ62" s="2267"/>
      <c r="BA62" s="2267"/>
      <c r="BB62" s="2267"/>
      <c r="BC62" s="2267"/>
      <c r="BD62" s="2267"/>
      <c r="BE62" s="2267"/>
      <c r="BF62" s="2267"/>
      <c r="BG62" s="2267"/>
      <c r="BH62" s="2267"/>
      <c r="BI62" s="2267"/>
      <c r="BJ62" s="2267"/>
      <c r="BK62" s="2267"/>
      <c r="BL62" s="2267"/>
      <c r="BM62" s="2267"/>
    </row>
    <row r="63" spans="1:65">
      <c r="A63" s="2272" t="s">
        <v>567</v>
      </c>
      <c r="C63" s="2272" t="s">
        <v>2160</v>
      </c>
      <c r="D63" s="2261"/>
      <c r="G63" s="3300" t="s">
        <v>2832</v>
      </c>
      <c r="I63" s="2261" t="s">
        <v>686</v>
      </c>
      <c r="J63" s="2261"/>
      <c r="L63" s="2272" t="s">
        <v>904</v>
      </c>
      <c r="P63" s="2268" t="s">
        <v>904</v>
      </c>
      <c r="AH63" s="2267"/>
      <c r="AI63" s="2267"/>
      <c r="AJ63" s="2267"/>
      <c r="AK63" s="2267"/>
      <c r="AL63" s="2267"/>
      <c r="AM63" s="2267"/>
      <c r="AN63" s="2267"/>
      <c r="AO63" s="2267"/>
      <c r="AP63" s="2267"/>
      <c r="AQ63" s="2267"/>
      <c r="AR63" s="2267"/>
      <c r="AS63" s="2267"/>
      <c r="AT63" s="2267"/>
      <c r="AU63" s="2267"/>
      <c r="AV63" s="2267"/>
      <c r="AW63" s="2267"/>
      <c r="AX63" s="2267"/>
      <c r="AY63" s="2267"/>
      <c r="AZ63" s="2267"/>
      <c r="BA63" s="2267"/>
      <c r="BB63" s="2267"/>
      <c r="BC63" s="2267"/>
      <c r="BD63" s="2267"/>
      <c r="BE63" s="2267"/>
      <c r="BF63" s="2267"/>
      <c r="BG63" s="2267"/>
      <c r="BH63" s="2267"/>
      <c r="BI63" s="2267"/>
      <c r="BJ63" s="2267"/>
      <c r="BK63" s="2267"/>
      <c r="BL63" s="2267"/>
      <c r="BM63" s="2267"/>
    </row>
    <row r="64" spans="1:65">
      <c r="A64" s="2272" t="s">
        <v>2169</v>
      </c>
      <c r="C64" s="2272" t="s">
        <v>693</v>
      </c>
      <c r="D64" s="2261"/>
      <c r="E64" s="2266" t="s">
        <v>741</v>
      </c>
      <c r="F64" s="2261"/>
      <c r="G64" s="3126" t="s">
        <v>2174</v>
      </c>
      <c r="I64" s="2268" t="s">
        <v>910</v>
      </c>
      <c r="J64" s="2268" t="s">
        <v>2097</v>
      </c>
      <c r="L64" s="2268" t="s">
        <v>2098</v>
      </c>
      <c r="N64" s="2268" t="s">
        <v>817</v>
      </c>
      <c r="P64" s="2268" t="s">
        <v>2098</v>
      </c>
      <c r="AH64" s="2267"/>
      <c r="AI64" s="2267"/>
      <c r="AJ64" s="2267"/>
      <c r="AK64" s="2267"/>
      <c r="AL64" s="2267"/>
      <c r="AM64" s="2267"/>
      <c r="AN64" s="2267"/>
      <c r="AO64" s="2267"/>
      <c r="AP64" s="2267"/>
      <c r="AQ64" s="2267"/>
      <c r="AR64" s="2267"/>
      <c r="AS64" s="2267"/>
      <c r="AT64" s="2267"/>
      <c r="AU64" s="2267"/>
      <c r="AV64" s="2267"/>
      <c r="AW64" s="2267"/>
      <c r="AX64" s="2267"/>
      <c r="AY64" s="2267"/>
      <c r="AZ64" s="2267"/>
      <c r="BA64" s="2267"/>
      <c r="BB64" s="2267"/>
      <c r="BC64" s="2267"/>
      <c r="BD64" s="2267"/>
      <c r="BE64" s="2267"/>
      <c r="BF64" s="2267"/>
      <c r="BG64" s="2267"/>
      <c r="BH64" s="2267"/>
      <c r="BI64" s="2267"/>
      <c r="BJ64" s="2267"/>
      <c r="BK64" s="2267"/>
      <c r="BL64" s="2267"/>
      <c r="BM64" s="2267"/>
    </row>
    <row r="65" spans="1:65">
      <c r="A65" s="2270"/>
      <c r="B65" s="2270"/>
      <c r="C65" s="2270"/>
      <c r="D65" s="2270"/>
      <c r="E65" s="2270"/>
      <c r="F65" s="2270"/>
      <c r="G65" s="3287"/>
      <c r="H65" s="2270"/>
      <c r="I65" s="2293"/>
      <c r="J65" s="2270"/>
      <c r="K65" s="2270"/>
      <c r="L65" s="2270"/>
      <c r="AH65" s="2267"/>
      <c r="AI65" s="2267"/>
      <c r="AJ65" s="2267"/>
      <c r="AK65" s="2267"/>
      <c r="AL65" s="2267"/>
      <c r="AM65" s="2267"/>
      <c r="AN65" s="2267"/>
      <c r="AO65" s="2267"/>
      <c r="AP65" s="2267"/>
      <c r="AQ65" s="2267"/>
      <c r="AR65" s="2267"/>
      <c r="AS65" s="2267"/>
      <c r="AT65" s="2267"/>
      <c r="AU65" s="2267"/>
      <c r="AV65" s="2267"/>
      <c r="AW65" s="2267"/>
      <c r="AX65" s="2267"/>
      <c r="AY65" s="2267"/>
      <c r="AZ65" s="2267"/>
      <c r="BA65" s="2267"/>
      <c r="BB65" s="2267"/>
      <c r="BC65" s="2267"/>
      <c r="BD65" s="2267"/>
      <c r="BE65" s="2267"/>
      <c r="BF65" s="2267"/>
      <c r="BG65" s="2267"/>
      <c r="BH65" s="2267"/>
      <c r="BI65" s="2267"/>
      <c r="BJ65" s="2267"/>
      <c r="BK65" s="2267"/>
      <c r="BL65" s="2267"/>
      <c r="BM65" s="2267"/>
    </row>
    <row r="66" spans="1:65">
      <c r="G66" s="2278" t="s">
        <v>2099</v>
      </c>
      <c r="H66" s="2267"/>
      <c r="I66" s="2279" t="s">
        <v>678</v>
      </c>
      <c r="J66" s="2264"/>
      <c r="K66" s="2267"/>
      <c r="L66" s="2278" t="s">
        <v>679</v>
      </c>
      <c r="M66" s="2294"/>
      <c r="N66" s="2295" t="s">
        <v>680</v>
      </c>
      <c r="O66" s="2295"/>
      <c r="P66" s="2295" t="s">
        <v>681</v>
      </c>
      <c r="AH66" s="2267"/>
      <c r="AI66" s="2267"/>
      <c r="AJ66" s="2267"/>
      <c r="AK66" s="2267"/>
      <c r="AL66" s="2267"/>
      <c r="AM66" s="2267"/>
      <c r="AN66" s="2267"/>
      <c r="AO66" s="2267"/>
      <c r="AP66" s="2267"/>
      <c r="AQ66" s="2267"/>
      <c r="AR66" s="2267"/>
      <c r="AS66" s="2267"/>
      <c r="AT66" s="2267"/>
      <c r="AU66" s="2267"/>
      <c r="AV66" s="2267"/>
      <c r="AW66" s="2267"/>
      <c r="AX66" s="2267"/>
      <c r="AY66" s="2267"/>
      <c r="AZ66" s="2267"/>
      <c r="BA66" s="2267"/>
      <c r="BB66" s="2267"/>
      <c r="BC66" s="2267"/>
      <c r="BD66" s="2267"/>
      <c r="BE66" s="2267"/>
      <c r="BF66" s="2267"/>
      <c r="BG66" s="2267"/>
      <c r="BH66" s="2267"/>
      <c r="BI66" s="2267"/>
      <c r="BJ66" s="2267"/>
      <c r="BK66" s="2267"/>
      <c r="BL66" s="2267"/>
      <c r="BM66" s="2267"/>
    </row>
    <row r="67" spans="1:65">
      <c r="D67" s="2267"/>
      <c r="G67" s="2282"/>
      <c r="H67" s="2282"/>
      <c r="I67" s="2283"/>
      <c r="J67" s="2282"/>
      <c r="K67" s="2282"/>
      <c r="L67" s="2282"/>
      <c r="AH67" s="2267"/>
      <c r="AI67" s="2267"/>
      <c r="AJ67" s="2267"/>
      <c r="AK67" s="2267"/>
      <c r="AL67" s="2267"/>
      <c r="AM67" s="2267"/>
      <c r="AN67" s="2267"/>
      <c r="AO67" s="2267"/>
      <c r="AP67" s="2267"/>
      <c r="AQ67" s="2267"/>
      <c r="AR67" s="2267"/>
      <c r="AS67" s="2267"/>
      <c r="AT67" s="2267"/>
      <c r="AU67" s="2267"/>
      <c r="AV67" s="2267"/>
      <c r="AW67" s="2267"/>
      <c r="AX67" s="2267"/>
      <c r="AY67" s="2267"/>
      <c r="AZ67" s="2267"/>
      <c r="BA67" s="2267"/>
      <c r="BB67" s="2267"/>
      <c r="BC67" s="2267"/>
      <c r="BD67" s="2267"/>
      <c r="BE67" s="2267"/>
      <c r="BF67" s="2267"/>
      <c r="BG67" s="2267"/>
      <c r="BH67" s="2267"/>
      <c r="BI67" s="2267"/>
      <c r="BJ67" s="2267"/>
      <c r="BK67" s="2267"/>
      <c r="BL67" s="2267"/>
      <c r="BM67" s="2267"/>
    </row>
    <row r="68" spans="1:65">
      <c r="A68" s="2268">
        <v>1</v>
      </c>
      <c r="C68" s="2268">
        <v>252</v>
      </c>
      <c r="D68" s="2267"/>
      <c r="E68" s="2262" t="s">
        <v>818</v>
      </c>
      <c r="G68" s="2284">
        <f>'WPB-6''s'!T101</f>
        <v>-1579329</v>
      </c>
      <c r="H68" s="2282"/>
      <c r="I68" s="2283" t="s">
        <v>591</v>
      </c>
      <c r="J68" s="3288">
        <f>VLOOKUP(I68,ALLOCTABLE,2)</f>
        <v>100</v>
      </c>
      <c r="K68" s="2282"/>
      <c r="L68" s="2284">
        <f>ROUND(G68*(J68/100),0)</f>
        <v>-1579329</v>
      </c>
      <c r="P68" s="2284">
        <f>L68+N68</f>
        <v>-1579329</v>
      </c>
      <c r="Q68" s="2262" t="s">
        <v>837</v>
      </c>
      <c r="AH68" s="2267"/>
      <c r="AI68" s="2267"/>
      <c r="AJ68" s="2267"/>
      <c r="AK68" s="2267"/>
      <c r="AL68" s="2267"/>
      <c r="AM68" s="2267"/>
      <c r="AN68" s="2267"/>
      <c r="AO68" s="2267"/>
      <c r="AP68" s="2267"/>
      <c r="AQ68" s="2267"/>
      <c r="AR68" s="2267"/>
      <c r="AS68" s="2267"/>
      <c r="AT68" s="2267"/>
      <c r="AU68" s="2267"/>
      <c r="AV68" s="2267"/>
      <c r="AW68" s="2267"/>
      <c r="AX68" s="2267"/>
      <c r="AY68" s="2267"/>
      <c r="AZ68" s="2267"/>
      <c r="BA68" s="2267"/>
      <c r="BB68" s="2267"/>
      <c r="BC68" s="2267"/>
      <c r="BD68" s="2267"/>
      <c r="BE68" s="2267"/>
      <c r="BF68" s="2267"/>
      <c r="BG68" s="2267"/>
      <c r="BH68" s="2267"/>
      <c r="BI68" s="2267"/>
      <c r="BJ68" s="2267"/>
      <c r="BK68" s="2267"/>
      <c r="BL68" s="2267"/>
      <c r="BM68" s="2267"/>
    </row>
    <row r="69" spans="1:65">
      <c r="A69" s="2268">
        <v>2</v>
      </c>
      <c r="C69" s="2268"/>
      <c r="D69" s="2267"/>
      <c r="G69" s="2282"/>
      <c r="H69" s="2282"/>
      <c r="I69" s="2283"/>
      <c r="J69" s="2282"/>
      <c r="K69" s="2282"/>
      <c r="L69" s="2282"/>
      <c r="AH69" s="2267"/>
      <c r="AI69" s="2267"/>
      <c r="AJ69" s="2267"/>
      <c r="AK69" s="2267"/>
      <c r="AL69" s="2267"/>
      <c r="AM69" s="2267"/>
      <c r="AN69" s="2267"/>
      <c r="AO69" s="2267"/>
      <c r="AP69" s="2267"/>
      <c r="AQ69" s="2267"/>
      <c r="AR69" s="2267"/>
      <c r="AS69" s="2267"/>
      <c r="AT69" s="2267"/>
      <c r="AU69" s="2267"/>
      <c r="AV69" s="2267"/>
      <c r="AW69" s="2267"/>
      <c r="AX69" s="2267"/>
      <c r="AY69" s="2267"/>
      <c r="AZ69" s="2267"/>
      <c r="BA69" s="2267"/>
      <c r="BB69" s="2267"/>
      <c r="BC69" s="2267"/>
      <c r="BD69" s="2267"/>
      <c r="BE69" s="2267"/>
      <c r="BF69" s="2267"/>
      <c r="BG69" s="2267"/>
      <c r="BH69" s="2267"/>
      <c r="BI69" s="2267"/>
      <c r="BJ69" s="2267"/>
      <c r="BK69" s="2267"/>
      <c r="BL69" s="2267"/>
      <c r="BM69" s="2267"/>
    </row>
    <row r="70" spans="1:65">
      <c r="A70" s="2268">
        <v>3</v>
      </c>
      <c r="C70" s="2268">
        <v>255</v>
      </c>
      <c r="D70" s="2267"/>
      <c r="E70" s="2262" t="s">
        <v>838</v>
      </c>
      <c r="G70" s="2288"/>
      <c r="H70" s="2282"/>
      <c r="I70" s="2283"/>
      <c r="J70" s="2282"/>
      <c r="K70" s="2282"/>
      <c r="L70" s="2282"/>
      <c r="AH70" s="2267"/>
      <c r="AI70" s="2267"/>
      <c r="AJ70" s="2267"/>
      <c r="AK70" s="2267"/>
      <c r="AL70" s="2267"/>
      <c r="AM70" s="2267"/>
      <c r="AN70" s="2267"/>
      <c r="AO70" s="2267"/>
      <c r="AP70" s="2267"/>
      <c r="AQ70" s="2267"/>
      <c r="AR70" s="2267"/>
      <c r="AS70" s="2267"/>
      <c r="AT70" s="2267"/>
      <c r="AU70" s="2267"/>
      <c r="AV70" s="2267"/>
      <c r="AW70" s="2267"/>
      <c r="AX70" s="2267"/>
      <c r="AY70" s="2267"/>
      <c r="AZ70" s="2267"/>
      <c r="BA70" s="2267"/>
      <c r="BB70" s="2267"/>
      <c r="BC70" s="2267"/>
      <c r="BD70" s="2267"/>
      <c r="BE70" s="2267"/>
      <c r="BF70" s="2267"/>
      <c r="BG70" s="2267"/>
      <c r="BH70" s="2267"/>
      <c r="BI70" s="2267"/>
      <c r="BJ70" s="2267"/>
      <c r="BK70" s="2267"/>
      <c r="BL70" s="2267"/>
      <c r="BM70" s="2267"/>
    </row>
    <row r="71" spans="1:65">
      <c r="A71" s="2268">
        <v>4</v>
      </c>
      <c r="C71" s="2268"/>
      <c r="D71" s="2267"/>
      <c r="F71" s="2262" t="s">
        <v>839</v>
      </c>
      <c r="G71" s="3289">
        <f>'WPB-6''s'!T104</f>
        <v>0</v>
      </c>
      <c r="H71" s="2282"/>
      <c r="I71" s="2283" t="s">
        <v>591</v>
      </c>
      <c r="J71" s="3288">
        <f>VLOOKUP(I71,ALLOCTABLE,2)</f>
        <v>100</v>
      </c>
      <c r="K71" s="2282"/>
      <c r="L71" s="2282">
        <f>ROUND(G71*(J71/100),0)</f>
        <v>0</v>
      </c>
      <c r="N71" s="2282">
        <f>-'WPB-6''s'!AE230</f>
        <v>0</v>
      </c>
      <c r="O71" s="2268" t="s">
        <v>840</v>
      </c>
      <c r="P71" s="2282">
        <f>L71+N71</f>
        <v>0</v>
      </c>
      <c r="AH71" s="2267"/>
      <c r="AI71" s="2267"/>
      <c r="AJ71" s="2267"/>
      <c r="AK71" s="2267"/>
      <c r="AL71" s="2267"/>
      <c r="AM71" s="2267"/>
      <c r="AN71" s="2267"/>
      <c r="AO71" s="2267"/>
      <c r="AP71" s="2267"/>
      <c r="AQ71" s="2267"/>
      <c r="AR71" s="2267"/>
      <c r="AS71" s="2267"/>
      <c r="AT71" s="2267"/>
      <c r="AU71" s="2267"/>
      <c r="AV71" s="2267"/>
      <c r="AW71" s="2267"/>
      <c r="AX71" s="2267"/>
      <c r="AY71" s="2267"/>
      <c r="AZ71" s="2267"/>
      <c r="BA71" s="2267"/>
      <c r="BB71" s="2267"/>
      <c r="BC71" s="2267"/>
      <c r="BD71" s="2267"/>
      <c r="BE71" s="2267"/>
      <c r="BF71" s="2267"/>
      <c r="BG71" s="2267"/>
      <c r="BH71" s="2267"/>
      <c r="BI71" s="2267"/>
      <c r="BJ71" s="2267"/>
      <c r="BK71" s="2267"/>
      <c r="BL71" s="2267"/>
      <c r="BM71" s="2267"/>
    </row>
    <row r="72" spans="1:65">
      <c r="A72" s="2268">
        <v>5</v>
      </c>
      <c r="C72" s="2268"/>
      <c r="D72" s="2267"/>
      <c r="F72" s="2262" t="s">
        <v>841</v>
      </c>
      <c r="G72" s="3289">
        <f>'WPB-6''s'!T105</f>
        <v>-5020</v>
      </c>
      <c r="H72" s="2282"/>
      <c r="I72" s="2283" t="s">
        <v>591</v>
      </c>
      <c r="J72" s="3288">
        <f>VLOOKUP(I72,ALLOCTABLE,2)</f>
        <v>100</v>
      </c>
      <c r="K72" s="2282"/>
      <c r="L72" s="2282">
        <f>ROUND(G72*(J72/100),0)</f>
        <v>-5020</v>
      </c>
      <c r="N72" s="2282">
        <f>-L72</f>
        <v>5020</v>
      </c>
      <c r="O72" s="2268" t="s">
        <v>842</v>
      </c>
      <c r="P72" s="2282">
        <f>L72+N72</f>
        <v>0</v>
      </c>
      <c r="AH72" s="2267"/>
      <c r="AI72" s="2267"/>
      <c r="AJ72" s="2267"/>
      <c r="AK72" s="2267"/>
      <c r="AL72" s="2267"/>
      <c r="AM72" s="2267"/>
      <c r="AN72" s="2267"/>
      <c r="AO72" s="2267"/>
      <c r="AP72" s="2267"/>
      <c r="AQ72" s="2267"/>
      <c r="AR72" s="2267"/>
      <c r="AS72" s="2267"/>
      <c r="AT72" s="2267"/>
      <c r="AU72" s="2267"/>
      <c r="AV72" s="2267"/>
      <c r="AW72" s="2267"/>
      <c r="AX72" s="2267"/>
      <c r="AY72" s="2267"/>
      <c r="AZ72" s="2267"/>
      <c r="BA72" s="2267"/>
      <c r="BB72" s="2267"/>
      <c r="BC72" s="2267"/>
      <c r="BD72" s="2267"/>
      <c r="BE72" s="2267"/>
      <c r="BF72" s="2267"/>
      <c r="BG72" s="2267"/>
      <c r="BH72" s="2267"/>
      <c r="BI72" s="2267"/>
      <c r="BJ72" s="2267"/>
      <c r="BK72" s="2267"/>
      <c r="BL72" s="2267"/>
      <c r="BM72" s="2267"/>
    </row>
    <row r="73" spans="1:65">
      <c r="A73" s="2268">
        <v>6</v>
      </c>
      <c r="C73" s="2268"/>
      <c r="D73" s="2267"/>
      <c r="F73" s="2262" t="s">
        <v>843</v>
      </c>
      <c r="G73" s="3301">
        <f>'WPB-6''s'!T106</f>
        <v>-449038</v>
      </c>
      <c r="H73" s="2281"/>
      <c r="I73" s="3290" t="s">
        <v>591</v>
      </c>
      <c r="J73" s="3291">
        <f>VLOOKUP(I73,ALLOCTABLE,2)</f>
        <v>100</v>
      </c>
      <c r="K73" s="2281"/>
      <c r="L73" s="2281">
        <f>ROUND(G73*(J73/100),0)</f>
        <v>-449038</v>
      </c>
      <c r="M73" s="2267"/>
      <c r="N73" s="2281">
        <f>-L73</f>
        <v>449038</v>
      </c>
      <c r="O73" s="2269" t="s">
        <v>842</v>
      </c>
      <c r="P73" s="2281">
        <f>L73+N73</f>
        <v>0</v>
      </c>
      <c r="AH73" s="2267"/>
      <c r="AI73" s="2267"/>
      <c r="AJ73" s="2267"/>
      <c r="AK73" s="2267"/>
      <c r="AL73" s="2267"/>
      <c r="AM73" s="2267"/>
      <c r="AN73" s="2267"/>
      <c r="AO73" s="2267"/>
      <c r="AP73" s="2267"/>
      <c r="AQ73" s="2267"/>
      <c r="AR73" s="2267"/>
      <c r="AS73" s="2267"/>
      <c r="AT73" s="2267"/>
      <c r="AU73" s="2267"/>
      <c r="AV73" s="2267"/>
      <c r="AW73" s="2267"/>
      <c r="AX73" s="2267"/>
      <c r="AY73" s="2267"/>
      <c r="AZ73" s="2267"/>
      <c r="BA73" s="2267"/>
      <c r="BB73" s="2267"/>
      <c r="BC73" s="2267"/>
      <c r="BD73" s="2267"/>
      <c r="BE73" s="2267"/>
      <c r="BF73" s="2267"/>
      <c r="BG73" s="2267"/>
      <c r="BH73" s="2267"/>
      <c r="BI73" s="2267"/>
      <c r="BJ73" s="2267"/>
      <c r="BK73" s="2267"/>
      <c r="BL73" s="2267"/>
      <c r="BM73" s="2267"/>
    </row>
    <row r="74" spans="1:65">
      <c r="A74" s="2268">
        <v>7</v>
      </c>
      <c r="C74" s="2268"/>
      <c r="D74" s="2267"/>
      <c r="F74" s="2262" t="s">
        <v>2550</v>
      </c>
      <c r="G74" s="3301">
        <f>'WPB-6''s'!T107</f>
        <v>0</v>
      </c>
      <c r="H74" s="2282"/>
      <c r="I74" s="3290" t="s">
        <v>591</v>
      </c>
      <c r="J74" s="3291">
        <f>VLOOKUP(I74,ALLOCTABLE,2)</f>
        <v>100</v>
      </c>
      <c r="K74" s="2281"/>
      <c r="L74" s="2281">
        <f>ROUND(G74*(J74/100),0)</f>
        <v>0</v>
      </c>
      <c r="M74" s="2267"/>
      <c r="N74" s="2281">
        <f>-L74</f>
        <v>0</v>
      </c>
      <c r="O74" s="2269" t="s">
        <v>842</v>
      </c>
      <c r="P74" s="2281">
        <f>L74+N74</f>
        <v>0</v>
      </c>
      <c r="AH74" s="2267"/>
      <c r="AI74" s="2267"/>
      <c r="AJ74" s="2267"/>
      <c r="AK74" s="2267"/>
      <c r="AL74" s="2267"/>
      <c r="AM74" s="2267"/>
      <c r="AN74" s="2267"/>
      <c r="AO74" s="2267"/>
      <c r="AP74" s="2267"/>
      <c r="AQ74" s="2267"/>
      <c r="AR74" s="2267"/>
      <c r="AS74" s="2267"/>
      <c r="AT74" s="2267"/>
      <c r="AU74" s="2267"/>
      <c r="AV74" s="2267"/>
      <c r="AW74" s="2267"/>
      <c r="AX74" s="2267"/>
      <c r="AY74" s="2267"/>
      <c r="AZ74" s="2267"/>
      <c r="BA74" s="2267"/>
      <c r="BB74" s="2267"/>
      <c r="BC74" s="2267"/>
      <c r="BD74" s="2267"/>
      <c r="BE74" s="2267"/>
      <c r="BF74" s="2267"/>
      <c r="BG74" s="2267"/>
      <c r="BH74" s="2267"/>
      <c r="BI74" s="2267"/>
      <c r="BJ74" s="2267"/>
      <c r="BK74" s="2267"/>
      <c r="BL74" s="2267"/>
      <c r="BM74" s="2267"/>
    </row>
    <row r="75" spans="1:65" ht="13.8" thickBot="1">
      <c r="A75" s="2268">
        <v>8</v>
      </c>
      <c r="C75" s="2268"/>
      <c r="D75" s="2267"/>
      <c r="E75" s="2262" t="s">
        <v>844</v>
      </c>
      <c r="G75" s="2327">
        <f>SUM(G70:G74)</f>
        <v>-454058</v>
      </c>
      <c r="H75" s="2282"/>
      <c r="I75" s="2283"/>
      <c r="J75" s="2282"/>
      <c r="K75" s="2282"/>
      <c r="L75" s="2327">
        <f>SUM(L70:L74)</f>
        <v>-454058</v>
      </c>
      <c r="N75" s="2327">
        <f>SUM(N70:N74)</f>
        <v>454058</v>
      </c>
      <c r="P75" s="2327">
        <f>SUM(P70:P74)</f>
        <v>0</v>
      </c>
      <c r="Q75" s="3296" t="s">
        <v>845</v>
      </c>
      <c r="AH75" s="2267"/>
      <c r="AI75" s="2267"/>
      <c r="AJ75" s="2267"/>
      <c r="AK75" s="2267"/>
      <c r="AL75" s="2267"/>
      <c r="AM75" s="2267"/>
      <c r="AN75" s="2267"/>
      <c r="AO75" s="2267"/>
      <c r="AP75" s="2267"/>
      <c r="AQ75" s="2267"/>
      <c r="AR75" s="2267"/>
      <c r="AS75" s="2267"/>
      <c r="AT75" s="2267"/>
      <c r="AU75" s="2267"/>
      <c r="AV75" s="2267"/>
      <c r="AW75" s="2267"/>
      <c r="AX75" s="2267"/>
      <c r="AY75" s="2267"/>
      <c r="AZ75" s="2267"/>
      <c r="BA75" s="2267"/>
      <c r="BB75" s="2267"/>
      <c r="BC75" s="2267"/>
      <c r="BD75" s="2267"/>
      <c r="BE75" s="2267"/>
      <c r="BF75" s="2267"/>
      <c r="BG75" s="2267"/>
      <c r="BH75" s="2267"/>
      <c r="BI75" s="2267"/>
      <c r="BJ75" s="2267"/>
      <c r="BK75" s="2267"/>
      <c r="BL75" s="2267"/>
      <c r="BM75" s="2267"/>
    </row>
    <row r="76" spans="1:65" ht="13.8" thickTop="1">
      <c r="A76" s="2268">
        <v>9</v>
      </c>
      <c r="C76" s="2268"/>
      <c r="D76" s="2267"/>
      <c r="G76" s="2336"/>
      <c r="H76" s="2282"/>
      <c r="I76" s="2283"/>
      <c r="J76" s="2282"/>
      <c r="K76" s="2282"/>
      <c r="L76" s="2336"/>
      <c r="N76" s="2336"/>
      <c r="P76" s="2336"/>
      <c r="Q76" s="3296"/>
      <c r="AH76" s="2267"/>
      <c r="AI76" s="2267"/>
      <c r="AJ76" s="2267"/>
      <c r="AK76" s="2267"/>
      <c r="AL76" s="2267"/>
      <c r="AM76" s="2267"/>
      <c r="AN76" s="2267"/>
      <c r="AO76" s="2267"/>
      <c r="AP76" s="2267"/>
      <c r="AQ76" s="2267"/>
      <c r="AR76" s="2267"/>
      <c r="AS76" s="2267"/>
      <c r="AT76" s="2267"/>
      <c r="AU76" s="2267"/>
      <c r="AV76" s="2267"/>
      <c r="AW76" s="2267"/>
      <c r="AX76" s="2267"/>
      <c r="AY76" s="2267"/>
      <c r="AZ76" s="2267"/>
      <c r="BA76" s="2267"/>
      <c r="BB76" s="2267"/>
      <c r="BC76" s="2267"/>
      <c r="BD76" s="2267"/>
      <c r="BE76" s="2267"/>
      <c r="BF76" s="2267"/>
      <c r="BG76" s="2267"/>
      <c r="BH76" s="2267"/>
      <c r="BI76" s="2267"/>
      <c r="BJ76" s="2267"/>
      <c r="BK76" s="2267"/>
      <c r="BL76" s="2267"/>
      <c r="BM76" s="2267"/>
    </row>
    <row r="77" spans="1:65">
      <c r="A77" s="2268">
        <v>10</v>
      </c>
      <c r="C77" s="3297" t="s">
        <v>1464</v>
      </c>
      <c r="D77" s="2267"/>
      <c r="E77" s="2262" t="s">
        <v>846</v>
      </c>
      <c r="G77" s="2288"/>
      <c r="H77" s="2282"/>
      <c r="I77" s="2283"/>
      <c r="J77" s="2282"/>
      <c r="K77" s="2282"/>
      <c r="L77" s="2282"/>
      <c r="AH77" s="2267"/>
      <c r="AI77" s="2267"/>
      <c r="AJ77" s="2267"/>
      <c r="AK77" s="2267"/>
      <c r="AL77" s="2267"/>
      <c r="AM77" s="2267"/>
      <c r="AN77" s="2267"/>
      <c r="AO77" s="2267"/>
      <c r="AP77" s="2267"/>
      <c r="AQ77" s="2267"/>
      <c r="AR77" s="2267"/>
      <c r="AS77" s="2267"/>
      <c r="AT77" s="2267"/>
      <c r="AU77" s="2267"/>
      <c r="AV77" s="2267"/>
      <c r="AW77" s="2267"/>
      <c r="AX77" s="2267"/>
      <c r="AY77" s="2267"/>
      <c r="AZ77" s="2267"/>
      <c r="BA77" s="2267"/>
      <c r="BB77" s="2267"/>
      <c r="BC77" s="2267"/>
      <c r="BD77" s="2267"/>
      <c r="BE77" s="2267"/>
      <c r="BF77" s="2267"/>
      <c r="BG77" s="2267"/>
      <c r="BH77" s="2267"/>
      <c r="BI77" s="2267"/>
      <c r="BJ77" s="2267"/>
      <c r="BK77" s="2267"/>
      <c r="BL77" s="2267"/>
      <c r="BM77" s="2267"/>
    </row>
    <row r="78" spans="1:65" ht="13.8" thickBot="1">
      <c r="A78" s="2268">
        <v>11</v>
      </c>
      <c r="C78" s="3297">
        <v>282283</v>
      </c>
      <c r="E78" s="2262" t="s">
        <v>673</v>
      </c>
      <c r="G78" s="2286">
        <f>'WPB-6''s'!R122</f>
        <v>-63262769.857534245</v>
      </c>
      <c r="H78" s="2282"/>
      <c r="I78" s="2283" t="s">
        <v>591</v>
      </c>
      <c r="J78" s="3288">
        <f>VLOOKUP(I78,ALLOCTABLE,2)</f>
        <v>100</v>
      </c>
      <c r="K78" s="2282"/>
      <c r="L78" s="2286">
        <f>ROUND(G78*(J78/100),0)</f>
        <v>-63262770</v>
      </c>
      <c r="N78" s="2286">
        <f>-'WPB-6''s'!AE232-AVERAGE('WPB-6''s'!F116:R116)</f>
        <v>596887</v>
      </c>
      <c r="O78" s="2268" t="s">
        <v>1484</v>
      </c>
      <c r="P78" s="2286">
        <f>L78+N78</f>
        <v>-62665883</v>
      </c>
      <c r="Q78" s="3296" t="s">
        <v>1042</v>
      </c>
      <c r="AH78" s="3302"/>
      <c r="AI78" s="2267"/>
      <c r="AJ78" s="2267"/>
      <c r="AK78" s="3302"/>
      <c r="AL78" s="3302"/>
      <c r="AM78" s="2267"/>
      <c r="AN78" s="2267"/>
      <c r="AO78" s="3302"/>
      <c r="AP78" s="2267"/>
      <c r="AQ78" s="2267"/>
      <c r="AR78" s="2267"/>
      <c r="AS78" s="2267"/>
      <c r="AT78" s="2267"/>
      <c r="AU78" s="2267"/>
      <c r="AV78" s="2267"/>
      <c r="AW78" s="2267"/>
      <c r="AX78" s="2267"/>
      <c r="AY78" s="2267"/>
      <c r="AZ78" s="2267"/>
      <c r="BA78" s="2267"/>
      <c r="BB78" s="2267"/>
      <c r="BC78" s="2267"/>
      <c r="BD78" s="2267"/>
      <c r="BE78" s="2267"/>
      <c r="BF78" s="2267"/>
      <c r="BG78" s="2267"/>
      <c r="BH78" s="2267"/>
      <c r="BI78" s="2267"/>
      <c r="BJ78" s="2267"/>
      <c r="BK78" s="2267"/>
      <c r="BL78" s="2267"/>
      <c r="BM78" s="2267"/>
    </row>
    <row r="79" spans="1:65" ht="13.8" thickTop="1">
      <c r="A79" s="2268">
        <v>12</v>
      </c>
      <c r="C79" s="2268"/>
      <c r="E79" s="1616"/>
      <c r="F79" s="1616"/>
      <c r="G79" s="2336"/>
      <c r="H79" s="1603"/>
      <c r="L79" s="2336"/>
      <c r="N79" s="2336"/>
      <c r="P79" s="2336"/>
      <c r="AH79" s="2267"/>
      <c r="AI79" s="2267"/>
      <c r="AJ79" s="2267"/>
      <c r="AK79" s="2267"/>
      <c r="AL79" s="2267"/>
      <c r="AM79" s="2267"/>
      <c r="AN79" s="2267"/>
      <c r="AO79" s="2267"/>
      <c r="AP79" s="2267"/>
      <c r="AQ79" s="2267"/>
      <c r="AR79" s="2267"/>
      <c r="AS79" s="2267"/>
      <c r="AT79" s="2267"/>
      <c r="AU79" s="2267"/>
      <c r="AV79" s="2267"/>
      <c r="AW79" s="2267"/>
      <c r="AX79" s="2267"/>
      <c r="AY79" s="2267"/>
      <c r="AZ79" s="2267"/>
      <c r="BA79" s="2267"/>
      <c r="BB79" s="2267"/>
      <c r="BC79" s="2267"/>
      <c r="BD79" s="2267"/>
      <c r="BE79" s="2267"/>
      <c r="BF79" s="2267"/>
      <c r="BG79" s="2267"/>
      <c r="BH79" s="2267"/>
      <c r="BI79" s="2267"/>
      <c r="BJ79" s="2267"/>
      <c r="BK79" s="2267"/>
      <c r="BL79" s="2267"/>
      <c r="BM79" s="2267"/>
    </row>
    <row r="80" spans="1:65" ht="13.8" thickBot="1">
      <c r="A80" s="2268">
        <v>13</v>
      </c>
      <c r="C80" s="2268">
        <v>254</v>
      </c>
      <c r="E80" s="2262" t="s">
        <v>2554</v>
      </c>
      <c r="F80" s="1616"/>
      <c r="G80" s="2286">
        <f>'WPB-6''s'!T127</f>
        <v>-31662166</v>
      </c>
      <c r="H80" s="1603"/>
      <c r="I80" s="2283" t="s">
        <v>591</v>
      </c>
      <c r="J80" s="3288">
        <f>VLOOKUP(I80,ALLOCTABLE,2)</f>
        <v>100</v>
      </c>
      <c r="K80" s="2282"/>
      <c r="L80" s="2286">
        <f>ROUND(G80*(J80/100),0)</f>
        <v>-31662166</v>
      </c>
      <c r="N80" s="2286">
        <f>-'WPB-6''s'!AE234</f>
        <v>341951</v>
      </c>
      <c r="O80" s="2268" t="s">
        <v>1484</v>
      </c>
      <c r="P80" s="2286">
        <f>L80+N80</f>
        <v>-31320215</v>
      </c>
      <c r="Q80" s="2263" t="s">
        <v>718</v>
      </c>
      <c r="AH80" s="2267"/>
      <c r="AI80" s="2267"/>
      <c r="AJ80" s="2267"/>
      <c r="AK80" s="2267"/>
      <c r="AL80" s="2267"/>
      <c r="AM80" s="2267"/>
      <c r="AN80" s="2267"/>
      <c r="AO80" s="2267"/>
      <c r="AP80" s="2267"/>
      <c r="AQ80" s="2267"/>
      <c r="AR80" s="2267"/>
      <c r="AS80" s="2267"/>
      <c r="AT80" s="2267"/>
      <c r="AU80" s="2267"/>
      <c r="AV80" s="2267"/>
      <c r="AW80" s="2267"/>
      <c r="AX80" s="2267"/>
      <c r="AY80" s="2267"/>
      <c r="AZ80" s="2267"/>
      <c r="BA80" s="2267"/>
      <c r="BB80" s="2267"/>
      <c r="BC80" s="2267"/>
      <c r="BD80" s="2267"/>
      <c r="BE80" s="2267"/>
      <c r="BF80" s="2267"/>
      <c r="BG80" s="2267"/>
      <c r="BH80" s="2267"/>
      <c r="BI80" s="2267"/>
      <c r="BJ80" s="2267"/>
      <c r="BK80" s="2267"/>
      <c r="BL80" s="2267"/>
      <c r="BM80" s="2267"/>
    </row>
    <row r="81" spans="1:65" ht="13.8" thickTop="1">
      <c r="A81" s="2268"/>
      <c r="C81" s="2268"/>
      <c r="F81" s="1616"/>
      <c r="G81" s="2282"/>
      <c r="H81" s="1603"/>
      <c r="AH81" s="2267"/>
      <c r="AI81" s="2267"/>
      <c r="AJ81" s="2267"/>
      <c r="AK81" s="2267"/>
      <c r="AL81" s="2267"/>
      <c r="AM81" s="2267"/>
      <c r="AN81" s="2267"/>
      <c r="AO81" s="2267"/>
      <c r="AP81" s="2267"/>
      <c r="AQ81" s="2267"/>
      <c r="AR81" s="2267"/>
      <c r="AS81" s="2267"/>
      <c r="AT81" s="2267"/>
      <c r="AU81" s="2267"/>
      <c r="AV81" s="2267"/>
      <c r="AW81" s="2267"/>
      <c r="AX81" s="2267"/>
      <c r="AY81" s="2267"/>
      <c r="AZ81" s="2267"/>
      <c r="BA81" s="2267"/>
      <c r="BB81" s="2267"/>
      <c r="BC81" s="2267"/>
      <c r="BD81" s="2267"/>
      <c r="BE81" s="2267"/>
      <c r="BF81" s="2267"/>
      <c r="BG81" s="2267"/>
      <c r="BH81" s="2267"/>
      <c r="BI81" s="2267"/>
      <c r="BJ81" s="2267"/>
      <c r="BK81" s="2267"/>
      <c r="BL81" s="2267"/>
      <c r="BM81" s="2267"/>
    </row>
    <row r="82" spans="1:65">
      <c r="C82" s="2268"/>
      <c r="E82" s="1616"/>
      <c r="F82" s="1616"/>
      <c r="G82" s="2336"/>
      <c r="H82" s="1603"/>
      <c r="L82" s="2336"/>
      <c r="N82" s="2336"/>
      <c r="P82" s="2336"/>
      <c r="AH82" s="2267"/>
      <c r="AI82" s="2267"/>
      <c r="AJ82" s="2267"/>
      <c r="AK82" s="2267"/>
      <c r="AL82" s="2267"/>
      <c r="AM82" s="2267"/>
      <c r="AN82" s="2267"/>
      <c r="AO82" s="2267"/>
      <c r="AP82" s="2267"/>
      <c r="AQ82" s="2267"/>
      <c r="AR82" s="2267"/>
      <c r="AS82" s="2267"/>
      <c r="AT82" s="2267"/>
      <c r="AU82" s="2267"/>
      <c r="AV82" s="2267"/>
      <c r="AW82" s="2267"/>
      <c r="AX82" s="2267"/>
      <c r="AY82" s="2267"/>
      <c r="AZ82" s="2267"/>
      <c r="BA82" s="2267"/>
      <c r="BB82" s="2267"/>
      <c r="BC82" s="2267"/>
      <c r="BD82" s="2267"/>
      <c r="BE82" s="2267"/>
      <c r="BF82" s="2267"/>
      <c r="BG82" s="2267"/>
      <c r="BH82" s="2267"/>
      <c r="BI82" s="2267"/>
      <c r="BJ82" s="2267"/>
      <c r="BK82" s="2267"/>
      <c r="BL82" s="2267"/>
      <c r="BM82" s="2267"/>
    </row>
    <row r="83" spans="1:65">
      <c r="F83" s="1616"/>
      <c r="H83" s="1603"/>
      <c r="AH83" s="2267"/>
      <c r="AI83" s="2267"/>
      <c r="AJ83" s="2267"/>
      <c r="AK83" s="2267"/>
      <c r="AL83" s="2267"/>
      <c r="AM83" s="2267"/>
      <c r="AN83" s="2267"/>
      <c r="AO83" s="2267"/>
      <c r="AP83" s="2267"/>
      <c r="AQ83" s="2267"/>
      <c r="AR83" s="2267"/>
      <c r="AS83" s="2267"/>
      <c r="AT83" s="2267"/>
      <c r="AU83" s="2267"/>
      <c r="AV83" s="2267"/>
      <c r="AW83" s="2267"/>
      <c r="AX83" s="2267"/>
      <c r="AY83" s="2267"/>
      <c r="AZ83" s="2267"/>
      <c r="BA83" s="2267"/>
      <c r="BB83" s="2267"/>
      <c r="BC83" s="2267"/>
      <c r="BD83" s="2267"/>
      <c r="BE83" s="2267"/>
      <c r="BF83" s="2267"/>
      <c r="BG83" s="2267"/>
      <c r="BH83" s="2267"/>
      <c r="BI83" s="2267"/>
      <c r="BJ83" s="2267"/>
      <c r="BK83" s="2267"/>
      <c r="BL83" s="2267"/>
      <c r="BM83" s="2267"/>
    </row>
    <row r="84" spans="1:65">
      <c r="B84" s="3298" t="s">
        <v>719</v>
      </c>
      <c r="F84" s="1603"/>
      <c r="G84" s="1603"/>
      <c r="H84" s="1603"/>
      <c r="AH84" s="2267"/>
      <c r="AI84" s="2267"/>
      <c r="AJ84" s="2267"/>
      <c r="AK84" s="2267"/>
      <c r="AL84" s="2267"/>
      <c r="AM84" s="2267"/>
      <c r="AN84" s="2267"/>
      <c r="AO84" s="2267"/>
      <c r="AP84" s="2267"/>
      <c r="AQ84" s="2267"/>
      <c r="AR84" s="2267"/>
      <c r="AS84" s="2267"/>
      <c r="AT84" s="2267"/>
      <c r="AU84" s="2267"/>
      <c r="AV84" s="2267"/>
      <c r="AW84" s="2267"/>
      <c r="AX84" s="2267"/>
      <c r="AY84" s="2267"/>
      <c r="AZ84" s="2267"/>
      <c r="BA84" s="2267"/>
      <c r="BB84" s="2267"/>
      <c r="BC84" s="2267"/>
      <c r="BD84" s="2267"/>
      <c r="BE84" s="2267"/>
      <c r="BF84" s="2267"/>
      <c r="BG84" s="2267"/>
      <c r="BH84" s="2267"/>
      <c r="BI84" s="2267"/>
      <c r="BJ84" s="2267"/>
      <c r="BK84" s="2267"/>
      <c r="BL84" s="2267"/>
      <c r="BM84" s="2267"/>
    </row>
    <row r="85" spans="1:65">
      <c r="C85" s="3286" t="s">
        <v>784</v>
      </c>
      <c r="E85" s="2267"/>
      <c r="F85" s="1603"/>
      <c r="G85" s="3275"/>
      <c r="H85" s="1603"/>
      <c r="AH85" s="2267"/>
      <c r="AI85" s="2267"/>
      <c r="AJ85" s="2267"/>
      <c r="AK85" s="2267"/>
      <c r="AL85" s="2267"/>
      <c r="AM85" s="2267"/>
      <c r="AN85" s="2267"/>
      <c r="AO85" s="2267"/>
      <c r="AP85" s="2267"/>
      <c r="AQ85" s="2267"/>
      <c r="AR85" s="2267"/>
      <c r="AS85" s="2267"/>
      <c r="AT85" s="2267"/>
      <c r="AU85" s="2267"/>
      <c r="AV85" s="2267"/>
      <c r="AW85" s="2267"/>
      <c r="AX85" s="2267"/>
      <c r="AY85" s="2267"/>
      <c r="AZ85" s="2267"/>
      <c r="BA85" s="2267"/>
      <c r="BB85" s="2267"/>
      <c r="BC85" s="2267"/>
      <c r="BD85" s="2267"/>
      <c r="BE85" s="2267"/>
      <c r="BF85" s="2267"/>
      <c r="BG85" s="2267"/>
      <c r="BH85" s="2267"/>
      <c r="BI85" s="2267"/>
      <c r="BJ85" s="2267"/>
      <c r="BK85" s="2267"/>
      <c r="BL85" s="2267"/>
      <c r="BM85" s="2267"/>
    </row>
    <row r="86" spans="1:65">
      <c r="C86" s="3286" t="s">
        <v>2827</v>
      </c>
      <c r="E86" s="2267"/>
      <c r="F86" s="2267"/>
      <c r="AH86" s="2267"/>
      <c r="AI86" s="2267"/>
      <c r="AJ86" s="2267"/>
      <c r="AK86" s="2267"/>
      <c r="AL86" s="2267"/>
      <c r="AM86" s="2267"/>
      <c r="AN86" s="2267"/>
      <c r="AO86" s="2267"/>
      <c r="AP86" s="2267"/>
      <c r="AQ86" s="2267"/>
      <c r="AR86" s="2267"/>
      <c r="AS86" s="2267"/>
      <c r="AT86" s="2267"/>
      <c r="AU86" s="2267"/>
      <c r="AV86" s="2267"/>
      <c r="AW86" s="2267"/>
      <c r="AX86" s="2267"/>
      <c r="AY86" s="2267"/>
      <c r="AZ86" s="2267"/>
      <c r="BA86" s="2267"/>
      <c r="BB86" s="2267"/>
      <c r="BC86" s="2267"/>
      <c r="BD86" s="2267"/>
      <c r="BE86" s="2267"/>
      <c r="BF86" s="2267"/>
      <c r="BG86" s="2267"/>
      <c r="BH86" s="2267"/>
      <c r="BI86" s="2267"/>
      <c r="BJ86" s="2267"/>
      <c r="BK86" s="2267"/>
      <c r="BL86" s="2267"/>
      <c r="BM86" s="2267"/>
    </row>
    <row r="87" spans="1:65">
      <c r="C87" s="3286" t="s">
        <v>634</v>
      </c>
      <c r="E87" s="2267"/>
      <c r="F87" s="2267"/>
      <c r="G87" s="2267"/>
      <c r="H87" s="2267"/>
      <c r="I87" s="2269"/>
      <c r="J87" s="2267"/>
      <c r="K87" s="2267"/>
      <c r="L87" s="2267"/>
      <c r="AH87" s="2267"/>
      <c r="AI87" s="2267"/>
      <c r="AJ87" s="2267"/>
      <c r="AK87" s="2267"/>
      <c r="AL87" s="2267"/>
      <c r="AM87" s="2267"/>
      <c r="AN87" s="2267"/>
      <c r="AO87" s="2267"/>
      <c r="AP87" s="2267"/>
      <c r="AQ87" s="2267"/>
      <c r="AR87" s="2267"/>
      <c r="AS87" s="2267"/>
      <c r="AT87" s="2267"/>
      <c r="AU87" s="2267"/>
      <c r="AV87" s="2267"/>
      <c r="AW87" s="2267"/>
      <c r="AX87" s="2267"/>
      <c r="AY87" s="2267"/>
      <c r="AZ87" s="2267"/>
      <c r="BA87" s="2267"/>
      <c r="BB87" s="2267"/>
      <c r="BC87" s="2267"/>
      <c r="BD87" s="2267"/>
      <c r="BE87" s="2267"/>
      <c r="BF87" s="2267"/>
      <c r="BG87" s="2267"/>
      <c r="BH87" s="2267"/>
      <c r="BI87" s="2267"/>
      <c r="BJ87" s="2267"/>
      <c r="BK87" s="2267"/>
      <c r="BL87" s="2267"/>
      <c r="BM87" s="2267"/>
    </row>
    <row r="88" spans="1:65">
      <c r="C88" s="3286" t="s">
        <v>635</v>
      </c>
      <c r="E88" s="2267"/>
      <c r="F88" s="2267"/>
      <c r="G88" s="2267"/>
      <c r="H88" s="2267"/>
      <c r="I88" s="2269"/>
      <c r="J88" s="2267"/>
      <c r="K88" s="2267"/>
      <c r="L88" s="2267"/>
      <c r="AH88" s="2267"/>
      <c r="AI88" s="2267"/>
      <c r="AJ88" s="2267"/>
      <c r="AK88" s="2267"/>
      <c r="AL88" s="2267"/>
      <c r="AM88" s="2267"/>
      <c r="AN88" s="2267"/>
      <c r="AO88" s="2267"/>
      <c r="AP88" s="2267"/>
      <c r="AQ88" s="2267"/>
      <c r="AR88" s="2267"/>
      <c r="AS88" s="2267"/>
      <c r="AT88" s="2267"/>
      <c r="AU88" s="2267"/>
      <c r="AV88" s="2267"/>
      <c r="AW88" s="2267"/>
      <c r="AX88" s="2267"/>
      <c r="AY88" s="2267"/>
      <c r="AZ88" s="2267"/>
      <c r="BA88" s="2267"/>
      <c r="BB88" s="2267"/>
      <c r="BC88" s="2267"/>
      <c r="BD88" s="2267"/>
      <c r="BE88" s="2267"/>
      <c r="BF88" s="2267"/>
      <c r="BG88" s="2267"/>
      <c r="BH88" s="2267"/>
      <c r="BI88" s="2267"/>
      <c r="BJ88" s="2267"/>
      <c r="BK88" s="2267"/>
      <c r="BL88" s="2267"/>
      <c r="BM88" s="2267"/>
    </row>
    <row r="89" spans="1:65">
      <c r="C89" s="3303" t="s">
        <v>2828</v>
      </c>
      <c r="E89" s="2267"/>
      <c r="F89" s="2267"/>
      <c r="G89" s="2267"/>
      <c r="H89" s="2267"/>
      <c r="I89" s="2269"/>
      <c r="J89" s="2267"/>
      <c r="K89" s="2267"/>
      <c r="L89" s="2267"/>
      <c r="AH89" s="2267"/>
      <c r="AI89" s="2267"/>
      <c r="AJ89" s="2267"/>
      <c r="AK89" s="2267"/>
      <c r="AL89" s="2267"/>
      <c r="AM89" s="2267"/>
      <c r="AN89" s="2267"/>
      <c r="AO89" s="2267"/>
      <c r="AP89" s="2267"/>
      <c r="AQ89" s="2267"/>
      <c r="AR89" s="2267"/>
      <c r="AS89" s="2267"/>
      <c r="AT89" s="2267"/>
      <c r="AU89" s="2267"/>
      <c r="AV89" s="2267"/>
      <c r="AW89" s="2267"/>
      <c r="AX89" s="2267"/>
      <c r="AY89" s="2267"/>
      <c r="AZ89" s="2267"/>
      <c r="BA89" s="2267"/>
      <c r="BB89" s="2267"/>
      <c r="BC89" s="2267"/>
      <c r="BD89" s="2267"/>
      <c r="BE89" s="2267"/>
      <c r="BF89" s="2267"/>
      <c r="BG89" s="2267"/>
      <c r="BH89" s="2267"/>
      <c r="BI89" s="2267"/>
      <c r="BJ89" s="2267"/>
      <c r="BK89" s="2267"/>
      <c r="BL89" s="2267"/>
      <c r="BM89" s="2267"/>
    </row>
    <row r="90" spans="1:65">
      <c r="C90" s="3286" t="s">
        <v>1179</v>
      </c>
      <c r="E90" s="2267"/>
      <c r="F90" s="2267"/>
      <c r="G90" s="2267"/>
      <c r="H90" s="2267"/>
      <c r="I90" s="2269"/>
      <c r="J90" s="2267"/>
      <c r="K90" s="2267"/>
      <c r="L90" s="2267"/>
      <c r="AH90" s="2267"/>
      <c r="AI90" s="2267"/>
      <c r="AJ90" s="2267"/>
      <c r="AK90" s="2267"/>
      <c r="AL90" s="2267"/>
      <c r="AM90" s="2267"/>
      <c r="AN90" s="2267"/>
      <c r="AO90" s="2267"/>
      <c r="AP90" s="2267"/>
      <c r="AQ90" s="2267"/>
      <c r="AR90" s="2267"/>
      <c r="AS90" s="2267"/>
      <c r="AT90" s="2267"/>
      <c r="AU90" s="2267"/>
      <c r="AV90" s="2267"/>
      <c r="AW90" s="2267"/>
      <c r="AX90" s="2267"/>
      <c r="AY90" s="2267"/>
      <c r="AZ90" s="2267"/>
      <c r="BA90" s="2267"/>
      <c r="BB90" s="2267"/>
      <c r="BC90" s="2267"/>
      <c r="BD90" s="2267"/>
      <c r="BE90" s="2267"/>
      <c r="BF90" s="2267"/>
      <c r="BG90" s="2267"/>
      <c r="BH90" s="2267"/>
      <c r="BI90" s="2267"/>
      <c r="BJ90" s="2267"/>
      <c r="BK90" s="2267"/>
      <c r="BL90" s="2267"/>
      <c r="BM90" s="2267"/>
    </row>
    <row r="91" spans="1:65">
      <c r="C91" s="3286" t="s">
        <v>2833</v>
      </c>
      <c r="E91" s="2267"/>
      <c r="F91" s="2267"/>
      <c r="G91" s="2267"/>
      <c r="H91" s="2267"/>
      <c r="I91" s="2269"/>
      <c r="J91" s="2267"/>
      <c r="K91" s="2267"/>
      <c r="L91" s="2267"/>
      <c r="AH91" s="2267"/>
      <c r="AI91" s="2267"/>
      <c r="AJ91" s="2267"/>
      <c r="AK91" s="2267"/>
      <c r="AL91" s="2267"/>
      <c r="AM91" s="2267"/>
      <c r="AN91" s="2267"/>
      <c r="AO91" s="2267"/>
      <c r="AP91" s="2267"/>
      <c r="AQ91" s="2267"/>
      <c r="AR91" s="2267"/>
      <c r="AS91" s="2267"/>
      <c r="AT91" s="2267"/>
      <c r="AU91" s="2267"/>
      <c r="AV91" s="2267"/>
      <c r="AW91" s="2267"/>
      <c r="AX91" s="2267"/>
      <c r="AY91" s="2267"/>
      <c r="AZ91" s="2267"/>
      <c r="BA91" s="2267"/>
      <c r="BB91" s="2267"/>
      <c r="BC91" s="2267"/>
      <c r="BD91" s="2267"/>
      <c r="BE91" s="2267"/>
      <c r="BF91" s="2267"/>
      <c r="BG91" s="2267"/>
      <c r="BH91" s="2267"/>
      <c r="BI91" s="2267"/>
      <c r="BJ91" s="2267"/>
      <c r="BK91" s="2267"/>
      <c r="BL91" s="2267"/>
      <c r="BM91" s="2267"/>
    </row>
    <row r="92" spans="1:65">
      <c r="C92" s="3286" t="s">
        <v>3051</v>
      </c>
      <c r="E92" s="2267"/>
      <c r="F92" s="2267"/>
      <c r="G92" s="2267"/>
      <c r="H92" s="2267"/>
      <c r="I92" s="2269"/>
      <c r="J92" s="2267"/>
      <c r="K92" s="2267"/>
      <c r="L92" s="2267"/>
      <c r="AH92" s="2267"/>
      <c r="AI92" s="2267"/>
      <c r="AJ92" s="2267"/>
      <c r="AK92" s="2267"/>
      <c r="AL92" s="2267"/>
      <c r="AM92" s="2267"/>
      <c r="AN92" s="2267"/>
      <c r="AO92" s="2267"/>
      <c r="AP92" s="2267"/>
      <c r="AQ92" s="2267"/>
      <c r="AR92" s="2267"/>
      <c r="AS92" s="2267"/>
      <c r="AT92" s="2267"/>
      <c r="AU92" s="2267"/>
      <c r="AV92" s="2267"/>
      <c r="AW92" s="2267"/>
      <c r="AX92" s="2267"/>
      <c r="AY92" s="2267"/>
      <c r="AZ92" s="2267"/>
      <c r="BA92" s="2267"/>
      <c r="BB92" s="2267"/>
      <c r="BC92" s="2267"/>
      <c r="BD92" s="2267"/>
      <c r="BE92" s="2267"/>
      <c r="BF92" s="2267"/>
      <c r="BG92" s="2267"/>
      <c r="BH92" s="2267"/>
      <c r="BI92" s="2267"/>
      <c r="BJ92" s="2267"/>
      <c r="BK92" s="2267"/>
      <c r="BL92" s="2267"/>
      <c r="BM92" s="2267"/>
    </row>
    <row r="93" spans="1:65">
      <c r="C93" s="3286" t="s">
        <v>2269</v>
      </c>
      <c r="E93" s="2267"/>
      <c r="F93" s="2267"/>
      <c r="G93" s="2267"/>
      <c r="H93" s="2267"/>
      <c r="I93" s="2269"/>
      <c r="J93" s="2267"/>
      <c r="K93" s="2267"/>
      <c r="L93" s="2267"/>
      <c r="S93" s="2267"/>
      <c r="T93" s="2267"/>
      <c r="U93" s="2267"/>
      <c r="V93" s="2267"/>
      <c r="W93" s="2267"/>
      <c r="X93" s="2267"/>
      <c r="Y93" s="2269"/>
      <c r="Z93" s="2267"/>
      <c r="AA93" s="2281"/>
      <c r="AB93" s="3304"/>
      <c r="AC93" s="2267"/>
      <c r="AD93" s="2267"/>
      <c r="AE93" s="2269"/>
      <c r="AF93" s="2267"/>
      <c r="AG93" s="2269"/>
      <c r="AH93" s="2267"/>
      <c r="AI93" s="2267"/>
      <c r="AJ93" s="2267"/>
      <c r="AK93" s="2267"/>
      <c r="AL93" s="2267"/>
      <c r="AM93" s="2267"/>
      <c r="AN93" s="2267"/>
      <c r="AO93" s="2267"/>
      <c r="AP93" s="2267"/>
      <c r="AQ93" s="2267"/>
      <c r="AR93" s="2267"/>
      <c r="AS93" s="2267"/>
      <c r="AT93" s="2267"/>
      <c r="AU93" s="2267"/>
      <c r="AV93" s="2267"/>
      <c r="AW93" s="2267"/>
      <c r="AX93" s="2267"/>
      <c r="AY93" s="2267"/>
      <c r="AZ93" s="2267"/>
      <c r="BA93" s="2267"/>
      <c r="BB93" s="2267"/>
      <c r="BC93" s="2267"/>
      <c r="BD93" s="2267"/>
      <c r="BE93" s="2267"/>
      <c r="BF93" s="2267"/>
      <c r="BG93" s="2267"/>
      <c r="BH93" s="2267"/>
      <c r="BI93" s="2267"/>
      <c r="BJ93" s="2267"/>
      <c r="BK93" s="2267"/>
      <c r="BL93" s="2267"/>
      <c r="BM93" s="2267"/>
    </row>
    <row r="94" spans="1:65">
      <c r="B94" s="2267"/>
      <c r="C94" s="3305"/>
      <c r="D94" s="2267"/>
      <c r="E94" s="2267"/>
      <c r="F94" s="2267"/>
      <c r="G94" s="2267"/>
      <c r="H94" s="2267"/>
      <c r="I94" s="2269"/>
      <c r="J94" s="2267"/>
      <c r="K94" s="2267"/>
      <c r="L94" s="2267"/>
      <c r="S94" s="2267"/>
      <c r="T94" s="2267"/>
      <c r="U94" s="2267"/>
      <c r="V94" s="2267"/>
      <c r="W94" s="2267"/>
      <c r="X94" s="2267"/>
      <c r="Y94" s="2269"/>
      <c r="Z94" s="2267"/>
      <c r="AA94" s="2281"/>
      <c r="AB94" s="3304"/>
      <c r="AC94" s="3306"/>
      <c r="AD94" s="3306"/>
      <c r="AE94" s="3307"/>
      <c r="AF94" s="3306"/>
      <c r="AG94" s="3307"/>
      <c r="AH94" s="2267"/>
      <c r="AI94" s="2267"/>
      <c r="AJ94" s="2267"/>
      <c r="AK94" s="2267"/>
      <c r="AL94" s="2267"/>
      <c r="AM94" s="2267"/>
      <c r="AN94" s="2267"/>
      <c r="AO94" s="2267"/>
      <c r="AP94" s="2267"/>
      <c r="AQ94" s="2267"/>
      <c r="AR94" s="2267"/>
      <c r="AS94" s="2267"/>
      <c r="AT94" s="2267"/>
      <c r="AU94" s="2267"/>
      <c r="AV94" s="2267"/>
      <c r="AW94" s="2267"/>
      <c r="AX94" s="2267"/>
      <c r="AY94" s="2267"/>
      <c r="AZ94" s="2267"/>
      <c r="BA94" s="2267"/>
      <c r="BB94" s="2267"/>
      <c r="BC94" s="2267"/>
      <c r="BD94" s="2267"/>
      <c r="BE94" s="2267"/>
      <c r="BF94" s="2267"/>
      <c r="BG94" s="2267"/>
      <c r="BH94" s="2267"/>
      <c r="BI94" s="2267"/>
      <c r="BJ94" s="2267"/>
      <c r="BK94" s="2267"/>
      <c r="BL94" s="2267"/>
      <c r="BM94" s="2267"/>
    </row>
    <row r="95" spans="1:65">
      <c r="B95" s="2267"/>
      <c r="C95" s="3296"/>
      <c r="D95" s="2267"/>
      <c r="E95" s="2267"/>
      <c r="F95" s="2267"/>
      <c r="G95" s="2267"/>
      <c r="H95" s="2267"/>
      <c r="I95" s="2269"/>
      <c r="J95" s="2267"/>
      <c r="K95" s="2267"/>
      <c r="L95" s="2267"/>
      <c r="S95" s="2267"/>
      <c r="T95" s="2267"/>
      <c r="U95" s="2267"/>
      <c r="V95" s="2267"/>
      <c r="W95" s="2281"/>
      <c r="X95" s="2267"/>
      <c r="Y95" s="2281"/>
      <c r="Z95" s="2267"/>
      <c r="AA95" s="2281"/>
      <c r="AB95" s="3304"/>
      <c r="AC95" s="2281"/>
      <c r="AD95" s="2267"/>
      <c r="AE95" s="2281"/>
      <c r="AF95" s="2267"/>
      <c r="AG95" s="2269"/>
      <c r="AH95" s="2267"/>
      <c r="AI95" s="2267"/>
      <c r="AJ95" s="2267"/>
      <c r="AK95" s="2267"/>
      <c r="AL95" s="2267"/>
      <c r="AM95" s="2267"/>
      <c r="AN95" s="2267"/>
      <c r="AO95" s="2267"/>
      <c r="AP95" s="2267"/>
      <c r="AQ95" s="2267"/>
      <c r="AR95" s="2267"/>
      <c r="AS95" s="2267"/>
      <c r="AT95" s="2267"/>
      <c r="AU95" s="2267"/>
      <c r="AV95" s="2267"/>
      <c r="AW95" s="2267"/>
      <c r="AX95" s="2267"/>
      <c r="AY95" s="2267"/>
      <c r="AZ95" s="2267"/>
      <c r="BA95" s="2267"/>
      <c r="BB95" s="2267"/>
      <c r="BC95" s="2267"/>
      <c r="BD95" s="2267"/>
      <c r="BE95" s="2267"/>
      <c r="BF95" s="2267"/>
      <c r="BG95" s="2267"/>
      <c r="BH95" s="2267"/>
      <c r="BI95" s="2267"/>
      <c r="BJ95" s="2267"/>
      <c r="BK95" s="2267"/>
      <c r="BL95" s="2267"/>
      <c r="BM95" s="2267"/>
    </row>
    <row r="96" spans="1:65">
      <c r="C96" s="3296"/>
      <c r="M96" s="2267"/>
      <c r="N96" s="2267"/>
      <c r="O96" s="2269"/>
      <c r="P96" s="2267"/>
      <c r="Q96" s="2267"/>
      <c r="R96" s="2267"/>
      <c r="S96" s="2267"/>
      <c r="T96" s="2267"/>
      <c r="U96" s="2267"/>
      <c r="V96" s="2267"/>
      <c r="W96" s="2267"/>
      <c r="X96" s="2267"/>
      <c r="Y96" s="2269"/>
      <c r="Z96" s="2267"/>
      <c r="AA96" s="2267"/>
      <c r="AB96" s="2267"/>
      <c r="AC96" s="2267"/>
      <c r="AD96" s="2267"/>
      <c r="AE96" s="2269"/>
      <c r="AF96" s="2267"/>
      <c r="AG96" s="2269"/>
      <c r="AH96" s="2267"/>
      <c r="AI96" s="2267"/>
      <c r="AJ96" s="2267"/>
      <c r="AK96" s="2267"/>
      <c r="AL96" s="2267"/>
      <c r="AM96" s="2267"/>
      <c r="AN96" s="2267"/>
      <c r="AO96" s="2267"/>
      <c r="AP96" s="2267"/>
      <c r="AQ96" s="2267"/>
      <c r="AR96" s="2267"/>
      <c r="AS96" s="2267"/>
      <c r="AT96" s="2267"/>
      <c r="AU96" s="2267"/>
      <c r="AV96" s="2267"/>
      <c r="AW96" s="2267"/>
      <c r="AX96" s="2267"/>
      <c r="AY96" s="2267"/>
      <c r="AZ96" s="2267"/>
      <c r="BA96" s="2267"/>
      <c r="BB96" s="2267"/>
      <c r="BC96" s="2267"/>
      <c r="BD96" s="2267"/>
      <c r="BE96" s="2267"/>
      <c r="BF96" s="2267"/>
      <c r="BG96" s="2267"/>
      <c r="BH96" s="2267"/>
      <c r="BI96" s="2267"/>
      <c r="BJ96" s="2267"/>
      <c r="BK96" s="2267"/>
      <c r="BL96" s="2267"/>
      <c r="BM96" s="2267"/>
    </row>
    <row r="97" spans="13:65">
      <c r="M97" s="2267"/>
      <c r="N97" s="2267"/>
      <c r="O97" s="2269"/>
      <c r="P97" s="2267"/>
      <c r="Q97" s="2267"/>
      <c r="R97" s="2267"/>
      <c r="S97" s="2267"/>
      <c r="T97" s="2267"/>
      <c r="U97" s="2267"/>
      <c r="V97" s="2267"/>
      <c r="W97" s="2267"/>
      <c r="X97" s="2267"/>
      <c r="Y97" s="2269"/>
      <c r="Z97" s="2267"/>
      <c r="AA97" s="2267"/>
      <c r="AB97" s="2267"/>
      <c r="AC97" s="2267"/>
      <c r="AD97" s="2267"/>
      <c r="AE97" s="2269"/>
      <c r="AF97" s="2267"/>
      <c r="AG97" s="2269"/>
      <c r="AH97" s="2267"/>
      <c r="AI97" s="2267"/>
      <c r="AJ97" s="2267"/>
      <c r="AK97" s="2267"/>
      <c r="AL97" s="2267"/>
      <c r="AM97" s="2267"/>
      <c r="AN97" s="2267"/>
      <c r="AO97" s="2267"/>
      <c r="AP97" s="2267"/>
      <c r="AQ97" s="2267"/>
      <c r="AR97" s="2267"/>
      <c r="AS97" s="2267"/>
      <c r="AT97" s="2267"/>
      <c r="AU97" s="2267"/>
      <c r="AV97" s="2267"/>
      <c r="AW97" s="2267"/>
      <c r="AX97" s="2267"/>
      <c r="AY97" s="2267"/>
      <c r="AZ97" s="2267"/>
      <c r="BA97" s="2267"/>
      <c r="BB97" s="2267"/>
      <c r="BC97" s="2267"/>
      <c r="BD97" s="2267"/>
      <c r="BE97" s="2267"/>
      <c r="BF97" s="2267"/>
      <c r="BG97" s="2267"/>
      <c r="BH97" s="2267"/>
      <c r="BI97" s="2267"/>
      <c r="BJ97" s="2267"/>
      <c r="BK97" s="2267"/>
      <c r="BL97" s="2267"/>
      <c r="BM97" s="2267"/>
    </row>
    <row r="98" spans="13:65">
      <c r="M98" s="2267"/>
      <c r="N98" s="2267"/>
      <c r="O98" s="2269"/>
      <c r="P98" s="2267"/>
      <c r="Q98" s="2267"/>
      <c r="R98" s="2267"/>
      <c r="S98" s="2267"/>
      <c r="T98" s="2267"/>
      <c r="U98" s="2267"/>
      <c r="V98" s="2267"/>
      <c r="W98" s="2267"/>
      <c r="X98" s="2267"/>
      <c r="Y98" s="2269"/>
      <c r="Z98" s="2267"/>
      <c r="AA98" s="2267"/>
      <c r="AB98" s="2267"/>
      <c r="AC98" s="3306"/>
      <c r="AD98" s="3306"/>
      <c r="AE98" s="3307"/>
      <c r="AF98" s="3306"/>
      <c r="AG98" s="3307"/>
      <c r="AH98" s="2267"/>
      <c r="AI98" s="2267"/>
      <c r="AJ98" s="2267"/>
      <c r="AK98" s="2267"/>
      <c r="AL98" s="2267"/>
      <c r="AM98" s="2267"/>
      <c r="AN98" s="2267"/>
      <c r="AO98" s="2267"/>
      <c r="AP98" s="2267"/>
      <c r="AQ98" s="2267"/>
      <c r="AR98" s="2267"/>
      <c r="AS98" s="2267"/>
      <c r="AT98" s="2267"/>
      <c r="AU98" s="2267"/>
      <c r="AV98" s="2267"/>
      <c r="AW98" s="2267"/>
      <c r="AX98" s="2267"/>
      <c r="AY98" s="2267"/>
      <c r="AZ98" s="2267"/>
      <c r="BA98" s="2267"/>
      <c r="BB98" s="2267"/>
      <c r="BC98" s="2267"/>
      <c r="BD98" s="2267"/>
      <c r="BE98" s="2267"/>
      <c r="BF98" s="2267"/>
      <c r="BG98" s="2267"/>
      <c r="BH98" s="2267"/>
      <c r="BI98" s="2267"/>
      <c r="BJ98" s="2267"/>
      <c r="BK98" s="2267"/>
      <c r="BL98" s="2267"/>
      <c r="BM98" s="2267"/>
    </row>
    <row r="99" spans="13:65">
      <c r="M99" s="2267"/>
      <c r="N99" s="2267"/>
      <c r="O99" s="2269"/>
      <c r="P99" s="2267"/>
      <c r="Q99" s="2267"/>
      <c r="R99" s="2267"/>
      <c r="S99" s="2267"/>
      <c r="T99" s="2267"/>
      <c r="U99" s="2267"/>
      <c r="V99" s="2267"/>
      <c r="W99" s="2267"/>
      <c r="X99" s="2267"/>
      <c r="Y99" s="2269"/>
      <c r="Z99" s="2267"/>
      <c r="AA99" s="2267"/>
      <c r="AB99" s="2267"/>
      <c r="AC99" s="2267"/>
      <c r="AD99" s="2267"/>
      <c r="AE99" s="2269"/>
      <c r="AF99" s="2267"/>
      <c r="AG99" s="2269"/>
      <c r="AH99" s="2267"/>
      <c r="AI99" s="2267"/>
      <c r="AJ99" s="2267"/>
      <c r="AK99" s="2267"/>
      <c r="AL99" s="2267"/>
      <c r="AM99" s="2267"/>
      <c r="AN99" s="2267"/>
      <c r="AO99" s="2267"/>
      <c r="AP99" s="2267"/>
      <c r="AQ99" s="2267"/>
      <c r="AR99" s="2267"/>
      <c r="AS99" s="2267"/>
      <c r="AT99" s="2267"/>
      <c r="AU99" s="2267"/>
      <c r="AV99" s="2267"/>
      <c r="AW99" s="2267"/>
      <c r="AX99" s="2267"/>
      <c r="AY99" s="2267"/>
      <c r="AZ99" s="2267"/>
      <c r="BA99" s="2267"/>
      <c r="BB99" s="2267"/>
      <c r="BC99" s="2267"/>
      <c r="BD99" s="2267"/>
      <c r="BE99" s="2267"/>
      <c r="BF99" s="2267"/>
      <c r="BG99" s="2267"/>
      <c r="BH99" s="2267"/>
      <c r="BI99" s="2267"/>
      <c r="BJ99" s="2267"/>
      <c r="BK99" s="2267"/>
      <c r="BL99" s="2267"/>
      <c r="BM99" s="2267"/>
    </row>
    <row r="100" spans="13:65">
      <c r="M100" s="2267"/>
      <c r="N100" s="2267"/>
      <c r="O100" s="2269"/>
      <c r="P100" s="2267"/>
      <c r="Q100" s="2267"/>
      <c r="T100" s="2262"/>
      <c r="X100" s="2262"/>
      <c r="AC100" s="2267"/>
      <c r="AD100" s="2267"/>
      <c r="AE100" s="2269"/>
      <c r="AF100" s="2267"/>
      <c r="AG100" s="2269"/>
      <c r="AH100" s="2267"/>
      <c r="AI100" s="2267"/>
      <c r="AJ100" s="2267"/>
      <c r="AK100" s="2267"/>
      <c r="AL100" s="2267"/>
      <c r="AM100" s="2267"/>
      <c r="AN100" s="2267"/>
      <c r="AO100" s="2267"/>
      <c r="AP100" s="2267"/>
      <c r="AQ100" s="2267"/>
      <c r="AR100" s="2267"/>
      <c r="AS100" s="2267"/>
      <c r="AT100" s="2267"/>
      <c r="AU100" s="2267"/>
      <c r="AV100" s="2267"/>
      <c r="AW100" s="2267"/>
      <c r="AX100" s="2267"/>
      <c r="AY100" s="2267"/>
      <c r="AZ100" s="2267"/>
      <c r="BA100" s="2267"/>
      <c r="BB100" s="2267"/>
      <c r="BC100" s="2267"/>
      <c r="BD100" s="2267"/>
      <c r="BE100" s="2267"/>
      <c r="BF100" s="2267"/>
      <c r="BG100" s="2267"/>
      <c r="BH100" s="2267"/>
      <c r="BI100" s="2267"/>
      <c r="BJ100" s="2267"/>
      <c r="BK100" s="2267"/>
      <c r="BL100" s="2267"/>
      <c r="BM100" s="2267"/>
    </row>
    <row r="101" spans="13:65">
      <c r="M101" s="2267"/>
      <c r="N101" s="2267"/>
      <c r="O101" s="2269"/>
      <c r="P101" s="2267"/>
      <c r="Q101" s="2267"/>
      <c r="R101" s="2267"/>
      <c r="S101" s="2267"/>
      <c r="T101" s="2267"/>
      <c r="U101" s="2267"/>
      <c r="V101" s="2267"/>
      <c r="W101" s="2267"/>
      <c r="X101" s="2267"/>
      <c r="Y101" s="2269"/>
      <c r="Z101" s="2267"/>
      <c r="AA101" s="2267"/>
      <c r="AB101" s="2267"/>
      <c r="AC101" s="2267"/>
      <c r="AD101" s="2267"/>
      <c r="AE101" s="2269"/>
      <c r="AF101" s="2267"/>
      <c r="AG101" s="2269"/>
      <c r="AH101" s="2267"/>
      <c r="AI101" s="2267"/>
      <c r="AJ101" s="2267"/>
      <c r="AK101" s="2267"/>
      <c r="AL101" s="2267"/>
      <c r="AM101" s="2267"/>
      <c r="AN101" s="2267"/>
      <c r="AO101" s="2267"/>
      <c r="AP101" s="2267"/>
      <c r="AQ101" s="2267"/>
      <c r="AR101" s="2267"/>
      <c r="AS101" s="2267"/>
      <c r="AT101" s="2267"/>
      <c r="AU101" s="2267"/>
      <c r="AV101" s="2267"/>
      <c r="AW101" s="2267"/>
      <c r="AX101" s="2267"/>
      <c r="AY101" s="2267"/>
      <c r="AZ101" s="2267"/>
      <c r="BA101" s="2267"/>
      <c r="BB101" s="2267"/>
      <c r="BC101" s="2267"/>
      <c r="BD101" s="2267"/>
      <c r="BE101" s="2267"/>
      <c r="BF101" s="2267"/>
      <c r="BG101" s="2267"/>
      <c r="BH101" s="2267"/>
      <c r="BI101" s="2267"/>
      <c r="BJ101" s="2267"/>
      <c r="BK101" s="2267"/>
      <c r="BL101" s="2267"/>
      <c r="BM101" s="2267"/>
    </row>
    <row r="102" spans="13:65">
      <c r="M102" s="2267"/>
      <c r="N102" s="2267"/>
      <c r="O102" s="2269"/>
      <c r="P102" s="2267"/>
      <c r="Q102" s="2267"/>
      <c r="R102" s="2267"/>
      <c r="S102" s="2267"/>
      <c r="T102" s="2267"/>
      <c r="U102" s="2267"/>
      <c r="V102" s="2267"/>
      <c r="W102" s="2267"/>
      <c r="X102" s="2267"/>
      <c r="Y102" s="2269"/>
      <c r="Z102" s="2267"/>
      <c r="AA102" s="2267"/>
      <c r="AB102" s="2267"/>
      <c r="AC102" s="2267"/>
      <c r="AD102" s="2267"/>
      <c r="AE102" s="2269"/>
      <c r="AF102" s="2267"/>
      <c r="AG102" s="2269"/>
      <c r="AH102" s="2267"/>
      <c r="AI102" s="2267"/>
      <c r="AJ102" s="2267"/>
      <c r="AK102" s="2267"/>
      <c r="AL102" s="2267"/>
      <c r="AM102" s="2267"/>
      <c r="AN102" s="2267"/>
      <c r="AO102" s="2267"/>
      <c r="AP102" s="2267"/>
      <c r="AQ102" s="2267"/>
      <c r="AR102" s="2267"/>
      <c r="AS102" s="2267"/>
      <c r="AT102" s="2267"/>
      <c r="AU102" s="2267"/>
      <c r="AV102" s="2267"/>
      <c r="AW102" s="2267"/>
      <c r="AX102" s="2267"/>
      <c r="AY102" s="2267"/>
      <c r="AZ102" s="2267"/>
      <c r="BA102" s="2267"/>
      <c r="BB102" s="2267"/>
      <c r="BC102" s="2267"/>
      <c r="BD102" s="2267"/>
      <c r="BE102" s="2267"/>
      <c r="BF102" s="2267"/>
      <c r="BG102" s="2267"/>
      <c r="BH102" s="2267"/>
      <c r="BI102" s="2267"/>
      <c r="BJ102" s="2267"/>
      <c r="BK102" s="2267"/>
      <c r="BL102" s="2267"/>
      <c r="BM102" s="2267"/>
    </row>
    <row r="103" spans="13:65">
      <c r="M103" s="2267"/>
      <c r="N103" s="2267"/>
      <c r="O103" s="2269"/>
      <c r="P103" s="2267"/>
      <c r="Q103" s="2267"/>
      <c r="R103" s="2267"/>
      <c r="S103" s="2267"/>
      <c r="T103" s="2267"/>
      <c r="U103" s="2267"/>
      <c r="V103" s="2267"/>
      <c r="W103" s="2267"/>
      <c r="X103" s="2267"/>
      <c r="Y103" s="2269"/>
      <c r="Z103" s="2267"/>
      <c r="AA103" s="2267"/>
      <c r="AB103" s="2267"/>
      <c r="AC103" s="2267"/>
      <c r="AD103" s="2267"/>
      <c r="AE103" s="2269"/>
      <c r="AF103" s="2267"/>
      <c r="AG103" s="2269"/>
      <c r="AH103" s="2267"/>
      <c r="AI103" s="2267"/>
      <c r="AJ103" s="2267"/>
      <c r="AK103" s="2267"/>
      <c r="AL103" s="2267"/>
      <c r="AM103" s="2267"/>
      <c r="AN103" s="2267"/>
      <c r="AO103" s="2267"/>
      <c r="AP103" s="2267"/>
      <c r="AQ103" s="2267"/>
      <c r="AR103" s="2267"/>
      <c r="AS103" s="2267"/>
      <c r="AT103" s="2267"/>
      <c r="AU103" s="2267"/>
      <c r="AV103" s="2267"/>
      <c r="AW103" s="2267"/>
      <c r="AX103" s="2267"/>
      <c r="AY103" s="2267"/>
      <c r="AZ103" s="2267"/>
      <c r="BA103" s="2267"/>
      <c r="BB103" s="2267"/>
      <c r="BC103" s="2267"/>
      <c r="BD103" s="2267"/>
      <c r="BE103" s="2267"/>
      <c r="BF103" s="2267"/>
      <c r="BG103" s="2267"/>
      <c r="BH103" s="2267"/>
      <c r="BI103" s="2267"/>
      <c r="BJ103" s="2267"/>
      <c r="BK103" s="2267"/>
      <c r="BL103" s="2267"/>
      <c r="BM103" s="2267"/>
    </row>
    <row r="104" spans="13:65">
      <c r="M104" s="2267"/>
      <c r="N104" s="2267"/>
      <c r="O104" s="2269"/>
      <c r="P104" s="2267"/>
      <c r="Q104" s="2267"/>
      <c r="R104" s="2267"/>
      <c r="S104" s="2267"/>
      <c r="T104" s="2267"/>
      <c r="U104" s="2267"/>
      <c r="V104" s="2267"/>
      <c r="W104" s="2267"/>
      <c r="X104" s="2267"/>
      <c r="Y104" s="2269"/>
      <c r="Z104" s="2267"/>
      <c r="AA104" s="2267"/>
      <c r="AB104" s="2267"/>
      <c r="AC104" s="2267"/>
      <c r="AD104" s="2267"/>
      <c r="AE104" s="2269"/>
      <c r="AF104" s="2267"/>
      <c r="AG104" s="2269"/>
      <c r="AH104" s="2267"/>
      <c r="AI104" s="2267"/>
      <c r="AJ104" s="2267"/>
      <c r="AK104" s="2267"/>
      <c r="AL104" s="2267"/>
      <c r="AM104" s="2267"/>
      <c r="AN104" s="2267"/>
      <c r="AO104" s="2267"/>
      <c r="AP104" s="2267"/>
      <c r="AQ104" s="2267"/>
      <c r="AR104" s="2267"/>
      <c r="AS104" s="2267"/>
      <c r="AT104" s="2267"/>
      <c r="AU104" s="2267"/>
      <c r="AV104" s="2267"/>
      <c r="AW104" s="2267"/>
      <c r="AX104" s="2267"/>
      <c r="AY104" s="2267"/>
      <c r="AZ104" s="2267"/>
      <c r="BA104" s="2267"/>
      <c r="BB104" s="2267"/>
      <c r="BC104" s="2267"/>
      <c r="BD104" s="2267"/>
      <c r="BE104" s="2267"/>
      <c r="BF104" s="2267"/>
      <c r="BG104" s="2267"/>
      <c r="BH104" s="2267"/>
      <c r="BI104" s="2267"/>
      <c r="BJ104" s="2267"/>
      <c r="BK104" s="2267"/>
      <c r="BL104" s="2267"/>
      <c r="BM104" s="2267"/>
    </row>
    <row r="105" spans="13:65">
      <c r="M105" s="2267"/>
      <c r="N105" s="2267"/>
      <c r="O105" s="2269"/>
      <c r="P105" s="2267"/>
      <c r="Q105" s="2267"/>
      <c r="R105" s="2267"/>
      <c r="S105" s="2267"/>
      <c r="T105" s="2267"/>
      <c r="U105" s="2267"/>
      <c r="V105" s="2267"/>
      <c r="W105" s="2267"/>
      <c r="X105" s="2267"/>
      <c r="Y105" s="2269"/>
      <c r="Z105" s="2267"/>
      <c r="AA105" s="2267"/>
      <c r="AB105" s="2267"/>
      <c r="AC105" s="2267"/>
      <c r="AD105" s="2267"/>
      <c r="AE105" s="2269"/>
      <c r="AF105" s="2267"/>
      <c r="AG105" s="2269"/>
      <c r="AH105" s="2267"/>
      <c r="AI105" s="2267"/>
      <c r="AJ105" s="2267"/>
      <c r="AK105" s="2267"/>
      <c r="AL105" s="2267"/>
      <c r="AM105" s="2267"/>
      <c r="AN105" s="2267"/>
      <c r="AO105" s="2267"/>
      <c r="AP105" s="2267"/>
      <c r="AQ105" s="2267"/>
      <c r="AR105" s="2267"/>
      <c r="AS105" s="2267"/>
      <c r="AT105" s="2267"/>
      <c r="AU105" s="2267"/>
      <c r="AV105" s="2267"/>
      <c r="AW105" s="2267"/>
      <c r="AX105" s="2267"/>
      <c r="AY105" s="2267"/>
      <c r="AZ105" s="2267"/>
      <c r="BA105" s="2267"/>
      <c r="BB105" s="2267"/>
      <c r="BC105" s="2267"/>
      <c r="BD105" s="2267"/>
      <c r="BE105" s="2267"/>
      <c r="BF105" s="2267"/>
      <c r="BG105" s="2267"/>
      <c r="BH105" s="2267"/>
      <c r="BI105" s="2267"/>
      <c r="BJ105" s="2267"/>
      <c r="BK105" s="2267"/>
      <c r="BL105" s="2267"/>
      <c r="BM105" s="2267"/>
    </row>
    <row r="106" spans="13:65">
      <c r="M106" s="2267"/>
      <c r="N106" s="2267"/>
      <c r="O106" s="2269"/>
      <c r="P106" s="2267"/>
      <c r="Q106" s="2267"/>
      <c r="R106" s="2267"/>
      <c r="S106" s="2267"/>
      <c r="T106" s="2267"/>
      <c r="U106" s="2267"/>
      <c r="V106" s="2267"/>
      <c r="W106" s="2267"/>
      <c r="X106" s="2267"/>
      <c r="Y106" s="2269"/>
      <c r="Z106" s="2267"/>
      <c r="AA106" s="2267"/>
      <c r="AB106" s="2267"/>
      <c r="AC106" s="2267"/>
      <c r="AD106" s="2267"/>
      <c r="AE106" s="2269"/>
      <c r="AF106" s="2267"/>
      <c r="AG106" s="2269"/>
      <c r="AH106" s="2267"/>
      <c r="AI106" s="2267"/>
      <c r="AJ106" s="2267"/>
      <c r="AK106" s="2267"/>
      <c r="AL106" s="2267"/>
      <c r="AM106" s="2267"/>
      <c r="AN106" s="2267"/>
      <c r="AO106" s="2267"/>
      <c r="AP106" s="2267"/>
      <c r="AQ106" s="2267"/>
      <c r="AR106" s="2267"/>
      <c r="AS106" s="2267"/>
      <c r="AT106" s="2267"/>
      <c r="AU106" s="2267"/>
      <c r="AV106" s="2267"/>
      <c r="AW106" s="2267"/>
      <c r="AX106" s="2267"/>
      <c r="AY106" s="2267"/>
      <c r="AZ106" s="2267"/>
      <c r="BA106" s="2267"/>
      <c r="BB106" s="2267"/>
      <c r="BC106" s="2267"/>
      <c r="BD106" s="2267"/>
      <c r="BE106" s="2267"/>
      <c r="BF106" s="2267"/>
      <c r="BG106" s="2267"/>
      <c r="BH106" s="2267"/>
      <c r="BI106" s="2267"/>
      <c r="BJ106" s="2267"/>
      <c r="BK106" s="2267"/>
      <c r="BL106" s="2267"/>
      <c r="BM106" s="2267"/>
    </row>
    <row r="107" spans="13:65">
      <c r="M107" s="2267"/>
      <c r="N107" s="2267"/>
      <c r="O107" s="2269"/>
      <c r="P107" s="2267"/>
      <c r="Q107" s="2267"/>
      <c r="R107" s="2267"/>
      <c r="S107" s="2267"/>
      <c r="T107" s="2267"/>
      <c r="U107" s="2267"/>
      <c r="V107" s="2267"/>
      <c r="W107" s="2267"/>
      <c r="X107" s="2267"/>
      <c r="Y107" s="2269"/>
      <c r="Z107" s="2267"/>
      <c r="AA107" s="2267"/>
      <c r="AB107" s="2267"/>
      <c r="AC107" s="2267"/>
      <c r="AD107" s="2267"/>
      <c r="AE107" s="2269"/>
      <c r="AF107" s="2267"/>
      <c r="AG107" s="2269"/>
      <c r="AH107" s="2267"/>
      <c r="AI107" s="2267"/>
      <c r="AJ107" s="2267"/>
      <c r="AK107" s="2267"/>
      <c r="AL107" s="2267"/>
      <c r="AM107" s="2267"/>
      <c r="AN107" s="2267"/>
      <c r="AO107" s="2267"/>
      <c r="AP107" s="2267"/>
      <c r="AQ107" s="2267"/>
      <c r="AR107" s="2267"/>
      <c r="AS107" s="2267"/>
      <c r="AT107" s="2267"/>
      <c r="AU107" s="2267"/>
      <c r="AV107" s="2267"/>
      <c r="AW107" s="2267"/>
      <c r="AX107" s="2267"/>
      <c r="AY107" s="2267"/>
      <c r="AZ107" s="2267"/>
      <c r="BA107" s="2267"/>
      <c r="BB107" s="2267"/>
      <c r="BC107" s="2267"/>
      <c r="BD107" s="2267"/>
      <c r="BE107" s="2267"/>
      <c r="BF107" s="2267"/>
      <c r="BG107" s="2267"/>
      <c r="BH107" s="2267"/>
      <c r="BI107" s="2267"/>
      <c r="BJ107" s="2267"/>
      <c r="BK107" s="2267"/>
      <c r="BL107" s="2267"/>
      <c r="BM107" s="2267"/>
    </row>
    <row r="108" spans="13:65">
      <c r="M108" s="2267"/>
      <c r="N108" s="2267"/>
      <c r="O108" s="2269"/>
      <c r="P108" s="2267"/>
      <c r="Q108" s="2267"/>
      <c r="R108" s="2267"/>
      <c r="S108" s="2267"/>
      <c r="T108" s="2267"/>
      <c r="U108" s="2267"/>
      <c r="V108" s="2267"/>
      <c r="W108" s="2267"/>
      <c r="X108" s="2267"/>
      <c r="Y108" s="2269"/>
      <c r="Z108" s="2267"/>
      <c r="AA108" s="2267"/>
      <c r="AB108" s="2267"/>
      <c r="AC108" s="2267"/>
      <c r="AD108" s="2267"/>
      <c r="AE108" s="2269"/>
      <c r="AF108" s="2267"/>
      <c r="AG108" s="2269"/>
      <c r="AH108" s="2267"/>
      <c r="AI108" s="2267"/>
      <c r="AJ108" s="2267"/>
      <c r="AK108" s="2267"/>
      <c r="AL108" s="2267"/>
      <c r="AM108" s="2267"/>
      <c r="AN108" s="2267"/>
      <c r="AO108" s="2267"/>
      <c r="AP108" s="2267"/>
      <c r="AQ108" s="2267"/>
      <c r="AR108" s="2267"/>
      <c r="AS108" s="2267"/>
      <c r="AT108" s="2267"/>
      <c r="AU108" s="2267"/>
      <c r="AV108" s="2267"/>
      <c r="AW108" s="2267"/>
      <c r="AX108" s="2267"/>
      <c r="AY108" s="2267"/>
      <c r="AZ108" s="2267"/>
      <c r="BA108" s="2267"/>
      <c r="BB108" s="2267"/>
      <c r="BC108" s="2267"/>
      <c r="BD108" s="2267"/>
      <c r="BE108" s="2267"/>
      <c r="BF108" s="2267"/>
      <c r="BG108" s="2267"/>
      <c r="BH108" s="2267"/>
      <c r="BI108" s="2267"/>
      <c r="BJ108" s="2267"/>
      <c r="BK108" s="2267"/>
      <c r="BL108" s="2267"/>
      <c r="BM108" s="2267"/>
    </row>
    <row r="109" spans="13:65">
      <c r="M109" s="2267"/>
      <c r="N109" s="2267"/>
      <c r="O109" s="2269"/>
      <c r="P109" s="2267"/>
      <c r="Q109" s="2267"/>
      <c r="T109" s="2262"/>
      <c r="X109" s="2262"/>
      <c r="AC109" s="2267"/>
      <c r="AD109" s="2267"/>
      <c r="AE109" s="2269"/>
      <c r="AF109" s="2267"/>
      <c r="AG109" s="2269"/>
      <c r="AH109" s="2267"/>
      <c r="AI109" s="2267"/>
      <c r="AJ109" s="2267"/>
      <c r="AK109" s="2267"/>
      <c r="AL109" s="2267"/>
      <c r="AM109" s="2267"/>
      <c r="AN109" s="2267"/>
      <c r="AO109" s="2267"/>
      <c r="AP109" s="2267"/>
      <c r="AQ109" s="2267"/>
      <c r="AR109" s="2267"/>
      <c r="AS109" s="2267"/>
      <c r="AT109" s="2267"/>
      <c r="AU109" s="2267"/>
      <c r="AV109" s="2267"/>
      <c r="AW109" s="2267"/>
      <c r="AX109" s="2267"/>
      <c r="AY109" s="2267"/>
      <c r="AZ109" s="2267"/>
      <c r="BA109" s="2267"/>
      <c r="BB109" s="2267"/>
      <c r="BC109" s="2267"/>
      <c r="BD109" s="2267"/>
      <c r="BE109" s="2267"/>
      <c r="BF109" s="2267"/>
      <c r="BG109" s="2267"/>
      <c r="BH109" s="2267"/>
      <c r="BI109" s="2267"/>
      <c r="BJ109" s="2267"/>
      <c r="BK109" s="2267"/>
      <c r="BL109" s="2267"/>
      <c r="BM109" s="2267"/>
    </row>
    <row r="110" spans="13:65">
      <c r="M110" s="2267"/>
      <c r="N110" s="2267"/>
      <c r="O110" s="2269"/>
      <c r="P110" s="2267"/>
      <c r="Q110" s="2267"/>
      <c r="R110" s="2267"/>
      <c r="S110" s="2267"/>
      <c r="T110" s="2267"/>
      <c r="U110" s="2267"/>
      <c r="V110" s="2267"/>
      <c r="W110" s="2267"/>
      <c r="X110" s="2267"/>
      <c r="Y110" s="2269"/>
      <c r="Z110" s="2267"/>
      <c r="AA110" s="2267"/>
      <c r="AB110" s="2267"/>
      <c r="AC110" s="2267"/>
      <c r="AD110" s="2267"/>
      <c r="AE110" s="2269"/>
      <c r="AF110" s="2267"/>
      <c r="AG110" s="2269"/>
      <c r="AH110" s="2267"/>
      <c r="AI110" s="2267"/>
      <c r="AJ110" s="2267"/>
      <c r="AK110" s="2267"/>
      <c r="AL110" s="2267"/>
      <c r="AM110" s="2267"/>
      <c r="AN110" s="2267"/>
      <c r="AO110" s="2267"/>
      <c r="AP110" s="2267"/>
      <c r="AQ110" s="2267"/>
      <c r="AR110" s="2267"/>
      <c r="AS110" s="2267"/>
      <c r="AT110" s="2267"/>
      <c r="AU110" s="2267"/>
      <c r="AV110" s="2267"/>
      <c r="AW110" s="2267"/>
      <c r="AX110" s="2267"/>
      <c r="AY110" s="2267"/>
      <c r="AZ110" s="2267"/>
      <c r="BA110" s="2267"/>
      <c r="BB110" s="2267"/>
      <c r="BC110" s="2267"/>
      <c r="BD110" s="2267"/>
      <c r="BE110" s="2267"/>
      <c r="BF110" s="2267"/>
      <c r="BG110" s="2267"/>
      <c r="BH110" s="2267"/>
      <c r="BI110" s="2267"/>
      <c r="BJ110" s="2267"/>
      <c r="BK110" s="2267"/>
      <c r="BL110" s="2267"/>
      <c r="BM110" s="2267"/>
    </row>
    <row r="111" spans="13:65">
      <c r="M111" s="2267"/>
      <c r="N111" s="2267"/>
      <c r="O111" s="2269"/>
      <c r="P111" s="2267"/>
      <c r="Q111" s="2267"/>
      <c r="R111" s="2267"/>
      <c r="S111" s="2267"/>
      <c r="T111" s="2267"/>
      <c r="U111" s="2267"/>
      <c r="V111" s="2267"/>
      <c r="W111" s="2267"/>
      <c r="X111" s="2267"/>
      <c r="Y111" s="2269"/>
      <c r="Z111" s="2267"/>
      <c r="AA111" s="2267"/>
      <c r="AB111" s="2267"/>
      <c r="AC111" s="2267"/>
      <c r="AD111" s="2267"/>
      <c r="AE111" s="2269"/>
      <c r="AF111" s="2267"/>
      <c r="AG111" s="2269"/>
      <c r="AH111" s="2267"/>
      <c r="AI111" s="2267"/>
      <c r="AJ111" s="2267"/>
      <c r="AK111" s="2267"/>
      <c r="AL111" s="2267"/>
      <c r="AM111" s="2267"/>
      <c r="AN111" s="2267"/>
      <c r="AO111" s="2267"/>
      <c r="AP111" s="2267"/>
      <c r="AQ111" s="2267"/>
      <c r="AR111" s="2267"/>
      <c r="AS111" s="2267"/>
      <c r="AT111" s="2267"/>
      <c r="AU111" s="2267"/>
      <c r="AV111" s="2267"/>
      <c r="AW111" s="2267"/>
      <c r="AX111" s="2267"/>
      <c r="AY111" s="2267"/>
      <c r="AZ111" s="2267"/>
      <c r="BA111" s="2267"/>
      <c r="BB111" s="2267"/>
      <c r="BC111" s="2267"/>
      <c r="BD111" s="2267"/>
      <c r="BE111" s="2267"/>
      <c r="BF111" s="2267"/>
      <c r="BG111" s="2267"/>
      <c r="BH111" s="2267"/>
      <c r="BI111" s="2267"/>
      <c r="BJ111" s="2267"/>
      <c r="BK111" s="2267"/>
      <c r="BL111" s="2267"/>
      <c r="BM111" s="2267"/>
    </row>
    <row r="112" spans="13:65">
      <c r="M112" s="2267"/>
      <c r="N112" s="2267"/>
      <c r="O112" s="2269"/>
      <c r="P112" s="2267"/>
      <c r="Q112" s="2267"/>
      <c r="R112" s="2267"/>
      <c r="S112" s="2267"/>
      <c r="T112" s="2267"/>
      <c r="U112" s="2267"/>
      <c r="V112" s="2267"/>
      <c r="W112" s="2267"/>
      <c r="X112" s="2267"/>
      <c r="Y112" s="2269"/>
      <c r="Z112" s="2267"/>
      <c r="AA112" s="2267"/>
      <c r="AB112" s="2267"/>
      <c r="AC112" s="2267"/>
      <c r="AD112" s="2267"/>
      <c r="AE112" s="2269"/>
      <c r="AF112" s="2267"/>
      <c r="AG112" s="2269"/>
      <c r="AH112" s="2267"/>
      <c r="AI112" s="2267"/>
      <c r="AJ112" s="2267"/>
      <c r="AK112" s="2267"/>
      <c r="AL112" s="2267"/>
      <c r="AM112" s="2267"/>
      <c r="AN112" s="2267"/>
      <c r="AO112" s="2267"/>
      <c r="AP112" s="2267"/>
      <c r="AQ112" s="2267"/>
      <c r="AR112" s="2267"/>
      <c r="AS112" s="2267"/>
      <c r="AT112" s="2267"/>
      <c r="AU112" s="2267"/>
      <c r="AV112" s="2267"/>
      <c r="AW112" s="2267"/>
      <c r="AX112" s="2267"/>
      <c r="AY112" s="2267"/>
      <c r="AZ112" s="2267"/>
      <c r="BA112" s="2267"/>
      <c r="BB112" s="2267"/>
      <c r="BC112" s="2267"/>
      <c r="BD112" s="2267"/>
      <c r="BE112" s="2267"/>
      <c r="BF112" s="2267"/>
      <c r="BG112" s="2267"/>
      <c r="BH112" s="2267"/>
      <c r="BI112" s="2267"/>
      <c r="BJ112" s="2267"/>
      <c r="BK112" s="2267"/>
      <c r="BL112" s="2267"/>
      <c r="BM112" s="2267"/>
    </row>
    <row r="113" spans="13:65">
      <c r="M113" s="2267"/>
      <c r="N113" s="2267"/>
      <c r="O113" s="2269"/>
      <c r="P113" s="2267"/>
      <c r="Q113" s="2267"/>
      <c r="R113" s="2267"/>
      <c r="S113" s="2267"/>
      <c r="T113" s="2267"/>
      <c r="U113" s="2267"/>
      <c r="V113" s="2267"/>
      <c r="W113" s="2267"/>
      <c r="X113" s="2267"/>
      <c r="Y113" s="2269"/>
      <c r="Z113" s="2267"/>
      <c r="AA113" s="2267"/>
      <c r="AB113" s="2267"/>
      <c r="AC113" s="2267"/>
      <c r="AD113" s="2267"/>
      <c r="AE113" s="2269"/>
      <c r="AF113" s="2267"/>
      <c r="AG113" s="2269"/>
      <c r="AH113" s="2267"/>
      <c r="AI113" s="2267"/>
      <c r="AJ113" s="2267"/>
      <c r="AK113" s="2267"/>
      <c r="AL113" s="2267"/>
      <c r="AM113" s="2267"/>
      <c r="AN113" s="2267"/>
      <c r="AO113" s="2267"/>
      <c r="AP113" s="2267"/>
      <c r="AQ113" s="2267"/>
      <c r="AR113" s="2267"/>
      <c r="AS113" s="2267"/>
      <c r="AT113" s="2267"/>
      <c r="AU113" s="2267"/>
      <c r="AV113" s="2267"/>
      <c r="AW113" s="2267"/>
      <c r="AX113" s="2267"/>
      <c r="AY113" s="2267"/>
      <c r="AZ113" s="2267"/>
      <c r="BA113" s="2267"/>
      <c r="BB113" s="2267"/>
      <c r="BC113" s="2267"/>
      <c r="BD113" s="2267"/>
      <c r="BE113" s="2267"/>
      <c r="BF113" s="2267"/>
      <c r="BG113" s="2267"/>
      <c r="BH113" s="2267"/>
      <c r="BI113" s="2267"/>
      <c r="BJ113" s="2267"/>
      <c r="BK113" s="2267"/>
      <c r="BL113" s="2267"/>
      <c r="BM113" s="2267"/>
    </row>
    <row r="114" spans="13:65">
      <c r="M114" s="2267"/>
      <c r="N114" s="2267"/>
      <c r="O114" s="2269"/>
      <c r="P114" s="2267"/>
      <c r="Q114" s="2267"/>
      <c r="R114" s="2267"/>
      <c r="S114" s="2267"/>
      <c r="T114" s="2267"/>
      <c r="U114" s="2267"/>
      <c r="V114" s="2267"/>
      <c r="W114" s="2267"/>
      <c r="X114" s="2267"/>
      <c r="Y114" s="2269"/>
      <c r="Z114" s="2267"/>
      <c r="AA114" s="2267"/>
      <c r="AB114" s="2267"/>
      <c r="AC114" s="2267"/>
      <c r="AD114" s="2267"/>
      <c r="AE114" s="2269"/>
      <c r="AF114" s="2267"/>
      <c r="AG114" s="2269"/>
      <c r="AH114" s="2267"/>
      <c r="AI114" s="2267"/>
      <c r="AJ114" s="2267"/>
      <c r="AK114" s="2267"/>
      <c r="AL114" s="2267"/>
      <c r="AM114" s="2267"/>
      <c r="AN114" s="2267"/>
      <c r="AO114" s="2267"/>
      <c r="AP114" s="2267"/>
      <c r="AQ114" s="2267"/>
      <c r="AR114" s="2267"/>
      <c r="AS114" s="2267"/>
      <c r="AT114" s="2267"/>
      <c r="AU114" s="2267"/>
      <c r="AV114" s="2267"/>
      <c r="AW114" s="2267"/>
      <c r="AX114" s="2267"/>
      <c r="AY114" s="2267"/>
      <c r="AZ114" s="2267"/>
      <c r="BA114" s="2267"/>
      <c r="BB114" s="2267"/>
      <c r="BC114" s="2267"/>
      <c r="BD114" s="2267"/>
      <c r="BE114" s="2267"/>
      <c r="BF114" s="2267"/>
      <c r="BG114" s="2267"/>
      <c r="BH114" s="2267"/>
      <c r="BI114" s="2267"/>
      <c r="BJ114" s="2267"/>
      <c r="BK114" s="2267"/>
      <c r="BL114" s="2267"/>
      <c r="BM114" s="2267"/>
    </row>
    <row r="115" spans="13:65">
      <c r="M115" s="2267"/>
      <c r="N115" s="2267"/>
      <c r="O115" s="2269"/>
      <c r="P115" s="2267"/>
      <c r="Q115" s="2267"/>
      <c r="R115" s="2267"/>
      <c r="S115" s="2267"/>
      <c r="T115" s="2267"/>
      <c r="U115" s="2267"/>
      <c r="V115" s="2267"/>
      <c r="W115" s="2267"/>
      <c r="X115" s="2267"/>
      <c r="Y115" s="2269"/>
      <c r="Z115" s="2267"/>
      <c r="AA115" s="2267"/>
      <c r="AB115" s="2267"/>
      <c r="AC115" s="2267"/>
      <c r="AD115" s="2267"/>
      <c r="AE115" s="2269"/>
      <c r="AF115" s="2267"/>
      <c r="AG115" s="2269"/>
      <c r="AH115" s="2267"/>
      <c r="AI115" s="2267"/>
      <c r="AJ115" s="2267"/>
      <c r="AK115" s="2267"/>
      <c r="AL115" s="2267"/>
      <c r="AM115" s="2267"/>
      <c r="AN115" s="2267"/>
      <c r="AO115" s="2267"/>
      <c r="AP115" s="2267"/>
      <c r="AQ115" s="2267"/>
      <c r="AR115" s="2267"/>
      <c r="AS115" s="2267"/>
      <c r="AT115" s="2267"/>
      <c r="AU115" s="2267"/>
      <c r="AV115" s="2267"/>
      <c r="AW115" s="2267"/>
      <c r="AX115" s="2267"/>
      <c r="AY115" s="2267"/>
      <c r="AZ115" s="2267"/>
      <c r="BA115" s="2267"/>
      <c r="BB115" s="2267"/>
      <c r="BC115" s="2267"/>
      <c r="BD115" s="2267"/>
      <c r="BE115" s="2267"/>
      <c r="BF115" s="2267"/>
      <c r="BG115" s="2267"/>
      <c r="BH115" s="2267"/>
      <c r="BI115" s="2267"/>
      <c r="BJ115" s="2267"/>
      <c r="BK115" s="2267"/>
      <c r="BL115" s="2267"/>
      <c r="BM115" s="2267"/>
    </row>
    <row r="116" spans="13:65">
      <c r="M116" s="2267"/>
      <c r="N116" s="2267"/>
      <c r="O116" s="2269"/>
      <c r="P116" s="2267"/>
      <c r="Q116" s="2267"/>
      <c r="R116" s="2267"/>
      <c r="S116" s="2267"/>
      <c r="T116" s="2267"/>
      <c r="U116" s="2267"/>
      <c r="V116" s="2267"/>
      <c r="W116" s="2267"/>
      <c r="X116" s="2267"/>
      <c r="Y116" s="2269"/>
      <c r="Z116" s="2267"/>
      <c r="AA116" s="2267"/>
      <c r="AB116" s="2267"/>
      <c r="AC116" s="2267"/>
      <c r="AD116" s="2267"/>
      <c r="AE116" s="2269"/>
      <c r="AF116" s="2267"/>
      <c r="AG116" s="2269"/>
      <c r="AH116" s="2267"/>
      <c r="AI116" s="2267"/>
      <c r="AJ116" s="2267"/>
      <c r="AK116" s="2267"/>
      <c r="AL116" s="2267"/>
      <c r="AM116" s="2267"/>
      <c r="AN116" s="2267"/>
      <c r="AO116" s="2267"/>
      <c r="AP116" s="2267"/>
      <c r="AQ116" s="2267"/>
      <c r="AR116" s="2267"/>
      <c r="AS116" s="2267"/>
      <c r="AT116" s="2267"/>
      <c r="AU116" s="2267"/>
      <c r="AV116" s="2267"/>
      <c r="AW116" s="2267"/>
      <c r="AX116" s="2267"/>
      <c r="AY116" s="2267"/>
      <c r="AZ116" s="2267"/>
      <c r="BA116" s="2267"/>
      <c r="BB116" s="2267"/>
      <c r="BC116" s="2267"/>
      <c r="BD116" s="2267"/>
      <c r="BE116" s="2267"/>
      <c r="BF116" s="2267"/>
      <c r="BG116" s="2267"/>
      <c r="BH116" s="2267"/>
      <c r="BI116" s="2267"/>
      <c r="BJ116" s="2267"/>
      <c r="BK116" s="2267"/>
      <c r="BL116" s="2267"/>
      <c r="BM116" s="2267"/>
    </row>
    <row r="117" spans="13:65">
      <c r="M117" s="2267"/>
      <c r="N117" s="2267"/>
      <c r="O117" s="2269"/>
      <c r="P117" s="2267"/>
      <c r="Q117" s="2267"/>
      <c r="R117" s="2267"/>
      <c r="S117" s="2267"/>
      <c r="T117" s="2267"/>
      <c r="U117" s="2267"/>
      <c r="V117" s="2267"/>
      <c r="W117" s="2267"/>
      <c r="X117" s="2267"/>
      <c r="Y117" s="2269"/>
      <c r="Z117" s="2267"/>
      <c r="AA117" s="2267"/>
      <c r="AB117" s="2267"/>
      <c r="AC117" s="2267"/>
      <c r="AD117" s="2267"/>
      <c r="AE117" s="2269"/>
      <c r="AF117" s="2267"/>
      <c r="AG117" s="2269"/>
      <c r="AH117" s="2267"/>
      <c r="AI117" s="2267"/>
      <c r="AJ117" s="2267"/>
      <c r="AK117" s="2267"/>
      <c r="AL117" s="2267"/>
      <c r="AM117" s="2267"/>
      <c r="AN117" s="2267"/>
      <c r="AO117" s="2267"/>
      <c r="AP117" s="2267"/>
      <c r="AQ117" s="2267"/>
      <c r="AR117" s="2267"/>
      <c r="AS117" s="2267"/>
      <c r="AT117" s="2267"/>
      <c r="AU117" s="2267"/>
      <c r="AV117" s="2267"/>
      <c r="AW117" s="2267"/>
      <c r="AX117" s="2267"/>
      <c r="AY117" s="2267"/>
      <c r="AZ117" s="2267"/>
      <c r="BA117" s="2267"/>
      <c r="BB117" s="2267"/>
      <c r="BC117" s="2267"/>
      <c r="BD117" s="2267"/>
      <c r="BE117" s="2267"/>
      <c r="BF117" s="2267"/>
      <c r="BG117" s="2267"/>
      <c r="BH117" s="2267"/>
      <c r="BI117" s="2267"/>
      <c r="BJ117" s="2267"/>
      <c r="BK117" s="2267"/>
      <c r="BL117" s="2267"/>
      <c r="BM117" s="2267"/>
    </row>
    <row r="118" spans="13:65">
      <c r="M118" s="2267"/>
      <c r="N118" s="2267"/>
      <c r="O118" s="2269"/>
      <c r="P118" s="2267"/>
      <c r="Q118" s="2267"/>
      <c r="T118" s="2262"/>
      <c r="X118" s="2262"/>
      <c r="Y118" s="2268"/>
      <c r="AC118" s="2267"/>
      <c r="AD118" s="2267"/>
      <c r="AE118" s="2269"/>
      <c r="AF118" s="2267"/>
      <c r="AG118" s="2269"/>
      <c r="AH118" s="2267"/>
      <c r="AI118" s="2267"/>
      <c r="AJ118" s="2267"/>
      <c r="AK118" s="2267"/>
      <c r="AL118" s="2267"/>
      <c r="AM118" s="2267"/>
      <c r="AN118" s="2267"/>
      <c r="AO118" s="2267"/>
      <c r="AP118" s="2267"/>
      <c r="AQ118" s="2267"/>
      <c r="AR118" s="2267"/>
      <c r="AS118" s="2267"/>
      <c r="AT118" s="2267"/>
      <c r="AU118" s="2267"/>
      <c r="AV118" s="2267"/>
      <c r="AW118" s="2267"/>
      <c r="AX118" s="2267"/>
      <c r="AY118" s="2267"/>
      <c r="AZ118" s="2267"/>
      <c r="BA118" s="2267"/>
      <c r="BB118" s="2267"/>
      <c r="BC118" s="2267"/>
      <c r="BD118" s="2267"/>
      <c r="BE118" s="2267"/>
      <c r="BF118" s="2267"/>
      <c r="BG118" s="2267"/>
      <c r="BH118" s="2267"/>
      <c r="BI118" s="2267"/>
      <c r="BJ118" s="2267"/>
      <c r="BK118" s="2267"/>
      <c r="BL118" s="2267"/>
      <c r="BM118" s="2267"/>
    </row>
    <row r="119" spans="13:65">
      <c r="M119" s="2267"/>
      <c r="N119" s="2267"/>
      <c r="O119" s="2269"/>
      <c r="P119" s="2267"/>
      <c r="Q119" s="2267"/>
      <c r="R119" s="2267"/>
      <c r="S119" s="2267"/>
      <c r="T119" s="2267"/>
      <c r="U119" s="2267"/>
      <c r="V119" s="2267"/>
      <c r="W119" s="2267"/>
      <c r="X119" s="2267"/>
      <c r="Y119" s="2269"/>
      <c r="Z119" s="2267"/>
      <c r="AA119" s="2267"/>
      <c r="AB119" s="2267"/>
      <c r="AC119" s="2267"/>
      <c r="AD119" s="2267"/>
      <c r="AE119" s="2269"/>
      <c r="AF119" s="2267"/>
      <c r="AG119" s="2269"/>
      <c r="AH119" s="2267"/>
      <c r="AI119" s="2267"/>
      <c r="AJ119" s="2267"/>
      <c r="AK119" s="2267"/>
      <c r="AL119" s="2267"/>
      <c r="AM119" s="2267"/>
      <c r="AN119" s="2267"/>
      <c r="AO119" s="2267"/>
      <c r="AP119" s="2267"/>
      <c r="AQ119" s="2267"/>
      <c r="AR119" s="2267"/>
      <c r="AS119" s="2267"/>
      <c r="AT119" s="2267"/>
      <c r="AU119" s="2267"/>
      <c r="AV119" s="2267"/>
      <c r="AW119" s="2267"/>
      <c r="AX119" s="2267"/>
      <c r="AY119" s="2267"/>
      <c r="AZ119" s="2267"/>
      <c r="BA119" s="2267"/>
      <c r="BB119" s="2267"/>
      <c r="BC119" s="2267"/>
      <c r="BD119" s="2267"/>
      <c r="BE119" s="2267"/>
      <c r="BF119" s="2267"/>
      <c r="BG119" s="2267"/>
      <c r="BH119" s="2267"/>
      <c r="BI119" s="2267"/>
      <c r="BJ119" s="2267"/>
      <c r="BK119" s="2267"/>
      <c r="BL119" s="2267"/>
      <c r="BM119" s="2267"/>
    </row>
    <row r="120" spans="13:65">
      <c r="M120" s="2267"/>
      <c r="N120" s="2267"/>
      <c r="O120" s="2269"/>
      <c r="P120" s="2267"/>
      <c r="Q120" s="2267"/>
      <c r="R120" s="2267"/>
      <c r="S120" s="2267"/>
      <c r="T120" s="2267"/>
      <c r="U120" s="2267"/>
      <c r="V120" s="2267"/>
      <c r="W120" s="2267"/>
      <c r="X120" s="2267"/>
      <c r="Y120" s="2269"/>
      <c r="Z120" s="2267"/>
      <c r="AA120" s="2267"/>
      <c r="AB120" s="2267"/>
      <c r="AC120" s="2267"/>
      <c r="AD120" s="2267"/>
      <c r="AE120" s="2269"/>
      <c r="AF120" s="2267"/>
      <c r="AG120" s="2269"/>
      <c r="AH120" s="2267"/>
      <c r="AI120" s="2267"/>
      <c r="AJ120" s="2267"/>
      <c r="AK120" s="2267"/>
      <c r="AL120" s="2267"/>
      <c r="AM120" s="2267"/>
      <c r="AN120" s="2267"/>
      <c r="AO120" s="2267"/>
      <c r="AP120" s="2267"/>
      <c r="AQ120" s="2267"/>
      <c r="AR120" s="2267"/>
      <c r="AS120" s="2267"/>
      <c r="AT120" s="2267"/>
      <c r="AU120" s="2267"/>
      <c r="AV120" s="2267"/>
      <c r="AW120" s="2267"/>
      <c r="AX120" s="2267"/>
      <c r="AY120" s="2267"/>
      <c r="AZ120" s="2267"/>
      <c r="BA120" s="2267"/>
      <c r="BB120" s="2267"/>
      <c r="BC120" s="2267"/>
      <c r="BD120" s="2267"/>
      <c r="BE120" s="2267"/>
      <c r="BF120" s="2267"/>
      <c r="BG120" s="2267"/>
      <c r="BH120" s="2267"/>
      <c r="BI120" s="2267"/>
      <c r="BJ120" s="2267"/>
      <c r="BK120" s="2267"/>
      <c r="BL120" s="2267"/>
      <c r="BM120" s="2267"/>
    </row>
    <row r="121" spans="13:65">
      <c r="M121" s="2267"/>
      <c r="N121" s="2267"/>
      <c r="O121" s="2269"/>
      <c r="P121" s="2267"/>
      <c r="Q121" s="2267"/>
      <c r="R121" s="2267"/>
      <c r="S121" s="2267"/>
      <c r="T121" s="2281"/>
      <c r="U121" s="2267"/>
      <c r="V121" s="2267"/>
      <c r="W121" s="2267"/>
      <c r="X121" s="2281"/>
      <c r="Y121" s="2267"/>
      <c r="Z121" s="2267"/>
      <c r="AA121" s="2267"/>
      <c r="AB121" s="2267"/>
      <c r="AC121" s="2267"/>
      <c r="AD121" s="2267"/>
      <c r="AE121" s="2267"/>
      <c r="AF121" s="2267"/>
      <c r="AG121" s="2267"/>
      <c r="AH121" s="2267"/>
      <c r="AI121" s="2267"/>
      <c r="AJ121" s="2267"/>
      <c r="AK121" s="2267"/>
      <c r="AL121" s="2267"/>
      <c r="AM121" s="2267"/>
      <c r="AN121" s="2267"/>
      <c r="AO121" s="2267"/>
      <c r="AP121" s="2267"/>
      <c r="AQ121" s="2267"/>
      <c r="AR121" s="2267"/>
      <c r="AS121" s="2267"/>
      <c r="AT121" s="2267"/>
      <c r="AU121" s="2267"/>
      <c r="AV121" s="2267"/>
      <c r="AW121" s="2267"/>
      <c r="AX121" s="2267"/>
      <c r="AY121" s="2267"/>
      <c r="AZ121" s="2267"/>
      <c r="BA121" s="2267"/>
      <c r="BB121" s="2267"/>
      <c r="BC121" s="2267"/>
      <c r="BD121" s="2267"/>
      <c r="BE121" s="2267"/>
      <c r="BF121" s="2267"/>
      <c r="BG121" s="2267"/>
      <c r="BH121" s="2267"/>
      <c r="BI121" s="2267"/>
      <c r="BJ121" s="2267"/>
      <c r="BK121" s="2267"/>
      <c r="BL121" s="2267"/>
      <c r="BM121" s="2267"/>
    </row>
    <row r="122" spans="13:65">
      <c r="M122" s="2267"/>
      <c r="N122" s="2267"/>
      <c r="O122" s="2269"/>
      <c r="P122" s="2267"/>
      <c r="Q122" s="2267"/>
      <c r="R122" s="2267"/>
      <c r="S122" s="2267"/>
      <c r="T122" s="2281"/>
      <c r="U122" s="2267"/>
      <c r="V122" s="2267"/>
      <c r="W122" s="2267"/>
      <c r="X122" s="2281"/>
      <c r="Y122" s="2267"/>
      <c r="Z122" s="2267"/>
      <c r="AA122" s="2267"/>
      <c r="AB122" s="2267"/>
      <c r="AC122" s="2267"/>
      <c r="AD122" s="2267"/>
      <c r="AE122" s="2267"/>
      <c r="AF122" s="2267"/>
      <c r="AG122" s="2267"/>
      <c r="AH122" s="2267"/>
      <c r="AI122" s="2267"/>
      <c r="AJ122" s="2267"/>
      <c r="AK122" s="2267"/>
      <c r="AL122" s="2267"/>
      <c r="AM122" s="2267"/>
      <c r="AN122" s="2267"/>
      <c r="AO122" s="2267"/>
      <c r="AP122" s="2267"/>
      <c r="AQ122" s="2267"/>
      <c r="AR122" s="2267"/>
      <c r="AS122" s="2267"/>
      <c r="AT122" s="2267"/>
      <c r="AU122" s="2267"/>
      <c r="AV122" s="2267"/>
      <c r="AW122" s="2267"/>
      <c r="AX122" s="2267"/>
      <c r="AY122" s="2267"/>
      <c r="AZ122" s="2267"/>
      <c r="BA122" s="2267"/>
      <c r="BB122" s="2267"/>
      <c r="BC122" s="2267"/>
      <c r="BD122" s="2267"/>
      <c r="BE122" s="2267"/>
      <c r="BF122" s="2267"/>
      <c r="BG122" s="2267"/>
      <c r="BH122" s="2267"/>
      <c r="BI122" s="2267"/>
      <c r="BJ122" s="2267"/>
      <c r="BK122" s="2267"/>
      <c r="BL122" s="2267"/>
      <c r="BM122" s="2267"/>
    </row>
    <row r="123" spans="13:65">
      <c r="M123" s="2267"/>
      <c r="N123" s="2267"/>
      <c r="O123" s="2269"/>
      <c r="P123" s="2267"/>
      <c r="Q123" s="2267"/>
      <c r="R123" s="2267"/>
      <c r="S123" s="2267"/>
      <c r="T123" s="2281"/>
      <c r="U123" s="2267"/>
      <c r="V123" s="2267"/>
      <c r="W123" s="2267"/>
      <c r="X123" s="2281"/>
      <c r="Y123" s="2267"/>
      <c r="Z123" s="2267"/>
      <c r="AA123" s="2267"/>
      <c r="AB123" s="2267"/>
      <c r="AC123" s="2267"/>
      <c r="AD123" s="2267"/>
      <c r="AE123" s="2267"/>
      <c r="AF123" s="2267"/>
      <c r="AG123" s="2267"/>
      <c r="AH123" s="2267"/>
      <c r="AI123" s="2267"/>
      <c r="AJ123" s="2267"/>
      <c r="AK123" s="2267"/>
      <c r="AL123" s="2267"/>
      <c r="AM123" s="2267"/>
      <c r="AN123" s="2267"/>
      <c r="AO123" s="2267"/>
      <c r="AP123" s="2267"/>
      <c r="AQ123" s="2267"/>
      <c r="AR123" s="2267"/>
      <c r="AS123" s="2267"/>
      <c r="AT123" s="2267"/>
      <c r="AU123" s="2267"/>
      <c r="AV123" s="2267"/>
      <c r="AW123" s="2267"/>
      <c r="AX123" s="2267"/>
      <c r="AY123" s="2267"/>
      <c r="AZ123" s="2267"/>
      <c r="BA123" s="2267"/>
      <c r="BB123" s="2267"/>
      <c r="BC123" s="2267"/>
      <c r="BD123" s="2267"/>
      <c r="BE123" s="2267"/>
      <c r="BF123" s="2267"/>
      <c r="BG123" s="2267"/>
      <c r="BH123" s="2267"/>
      <c r="BI123" s="2267"/>
      <c r="BJ123" s="2267"/>
      <c r="BK123" s="2267"/>
      <c r="BL123" s="2267"/>
      <c r="BM123" s="2267"/>
    </row>
    <row r="124" spans="13:65">
      <c r="M124" s="2267"/>
      <c r="N124" s="2267"/>
      <c r="O124" s="2269"/>
      <c r="P124" s="2267"/>
      <c r="Q124" s="2267"/>
      <c r="R124" s="2267"/>
      <c r="S124" s="2267"/>
      <c r="T124" s="2281"/>
      <c r="U124" s="2267"/>
      <c r="V124" s="2267"/>
      <c r="W124" s="2267"/>
      <c r="X124" s="2281"/>
      <c r="Y124" s="2267"/>
      <c r="Z124" s="2267"/>
      <c r="AA124" s="2267"/>
      <c r="AB124" s="2267"/>
      <c r="AC124" s="2267"/>
      <c r="AD124" s="2267"/>
      <c r="AE124" s="2267"/>
      <c r="AF124" s="2267"/>
      <c r="AG124" s="2267"/>
      <c r="AH124" s="2267"/>
      <c r="AI124" s="2267"/>
      <c r="AJ124" s="2267"/>
      <c r="AK124" s="2267"/>
      <c r="AL124" s="2267"/>
      <c r="AM124" s="2267"/>
      <c r="AN124" s="2267"/>
      <c r="AO124" s="2267"/>
      <c r="AP124" s="2267"/>
      <c r="AQ124" s="2267"/>
      <c r="AR124" s="2267"/>
      <c r="AS124" s="2267"/>
      <c r="AT124" s="2267"/>
      <c r="AU124" s="2267"/>
      <c r="AV124" s="2267"/>
      <c r="AW124" s="2267"/>
      <c r="AX124" s="2267"/>
      <c r="AY124" s="2267"/>
      <c r="AZ124" s="2267"/>
      <c r="BA124" s="2267"/>
      <c r="BB124" s="2267"/>
      <c r="BC124" s="2267"/>
      <c r="BD124" s="2267"/>
      <c r="BE124" s="2267"/>
      <c r="BF124" s="2267"/>
      <c r="BG124" s="2267"/>
      <c r="BH124" s="2267"/>
      <c r="BI124" s="2267"/>
      <c r="BJ124" s="2267"/>
      <c r="BK124" s="2267"/>
      <c r="BL124" s="2267"/>
      <c r="BM124" s="2267"/>
    </row>
    <row r="125" spans="13:65">
      <c r="M125" s="2267"/>
      <c r="N125" s="2267"/>
      <c r="O125" s="2269"/>
      <c r="P125" s="2267"/>
      <c r="Q125" s="2267"/>
      <c r="R125" s="2267"/>
      <c r="S125" s="2267"/>
      <c r="T125" s="2281"/>
      <c r="U125" s="2267"/>
      <c r="V125" s="2267"/>
      <c r="W125" s="2267"/>
      <c r="X125" s="2281"/>
      <c r="Y125" s="2267"/>
      <c r="Z125" s="2267"/>
      <c r="AA125" s="2267"/>
      <c r="AB125" s="2267"/>
      <c r="AC125" s="2267"/>
      <c r="AD125" s="2267"/>
      <c r="AE125" s="2267"/>
      <c r="AF125" s="2267"/>
      <c r="AG125" s="2267"/>
      <c r="AH125" s="2267"/>
      <c r="AI125" s="2267"/>
      <c r="AJ125" s="2267"/>
      <c r="AK125" s="2267"/>
      <c r="AL125" s="2267"/>
      <c r="AM125" s="2267"/>
      <c r="AN125" s="2267"/>
      <c r="AO125" s="2267"/>
      <c r="AP125" s="2267"/>
      <c r="AQ125" s="2267"/>
      <c r="AR125" s="2267"/>
      <c r="AS125" s="2267"/>
      <c r="AT125" s="2267"/>
      <c r="AU125" s="2267"/>
      <c r="AV125" s="2267"/>
      <c r="AW125" s="2267"/>
      <c r="AX125" s="2267"/>
      <c r="AY125" s="2267"/>
      <c r="AZ125" s="2267"/>
      <c r="BA125" s="2267"/>
      <c r="BB125" s="2267"/>
      <c r="BC125" s="2267"/>
      <c r="BD125" s="2267"/>
      <c r="BE125" s="2267"/>
      <c r="BF125" s="2267"/>
      <c r="BG125" s="2267"/>
      <c r="BH125" s="2267"/>
      <c r="BI125" s="2267"/>
      <c r="BJ125" s="2267"/>
      <c r="BK125" s="2267"/>
      <c r="BL125" s="2267"/>
      <c r="BM125" s="2267"/>
    </row>
    <row r="126" spans="13:65">
      <c r="M126" s="2267"/>
      <c r="N126" s="2267"/>
      <c r="O126" s="2269"/>
      <c r="P126" s="2267"/>
      <c r="Q126" s="2267"/>
      <c r="R126" s="2267"/>
      <c r="S126" s="2267"/>
      <c r="T126" s="2281"/>
      <c r="U126" s="2267"/>
      <c r="V126" s="2267"/>
      <c r="W126" s="2267"/>
      <c r="X126" s="2281"/>
      <c r="Y126" s="2267"/>
      <c r="Z126" s="2267"/>
      <c r="AA126" s="2267"/>
      <c r="AB126" s="2267"/>
      <c r="AC126" s="2267"/>
      <c r="AD126" s="2267"/>
      <c r="AE126" s="2267"/>
      <c r="AF126" s="2267"/>
      <c r="AG126" s="2267"/>
      <c r="AH126" s="2267"/>
      <c r="AI126" s="2267"/>
      <c r="AJ126" s="2267"/>
      <c r="AK126" s="2267"/>
      <c r="AL126" s="2267"/>
      <c r="AM126" s="2267"/>
      <c r="AN126" s="2267"/>
      <c r="AO126" s="2267"/>
      <c r="AP126" s="2267"/>
      <c r="AQ126" s="2267"/>
      <c r="AR126" s="2267"/>
      <c r="AS126" s="2267"/>
      <c r="AT126" s="2267"/>
      <c r="AU126" s="2267"/>
      <c r="AV126" s="2267"/>
      <c r="AW126" s="2267"/>
      <c r="AX126" s="2267"/>
      <c r="AY126" s="2267"/>
      <c r="AZ126" s="2267"/>
      <c r="BA126" s="2267"/>
      <c r="BB126" s="2267"/>
      <c r="BC126" s="2267"/>
      <c r="BD126" s="2267"/>
      <c r="BE126" s="2267"/>
      <c r="BF126" s="2267"/>
      <c r="BG126" s="2267"/>
      <c r="BH126" s="2267"/>
      <c r="BI126" s="2267"/>
      <c r="BJ126" s="2267"/>
      <c r="BK126" s="2267"/>
      <c r="BL126" s="2267"/>
      <c r="BM126" s="2267"/>
    </row>
    <row r="127" spans="13:65">
      <c r="M127" s="2267"/>
      <c r="N127" s="2267"/>
      <c r="O127" s="2269"/>
      <c r="P127" s="2267"/>
      <c r="Q127" s="2267"/>
      <c r="R127" s="2267"/>
      <c r="S127" s="2267"/>
      <c r="T127" s="2281"/>
      <c r="U127" s="2267"/>
      <c r="V127" s="2267"/>
      <c r="W127" s="2267"/>
      <c r="X127" s="2281"/>
      <c r="Y127" s="2267"/>
      <c r="Z127" s="2267"/>
      <c r="AA127" s="2267"/>
      <c r="AB127" s="2267"/>
      <c r="AC127" s="2267"/>
      <c r="AD127" s="2267"/>
      <c r="AE127" s="2267"/>
      <c r="AF127" s="2267"/>
      <c r="AG127" s="2267"/>
      <c r="AH127" s="2267"/>
      <c r="AI127" s="2267"/>
      <c r="AJ127" s="2267"/>
      <c r="AK127" s="2267"/>
      <c r="AL127" s="2267"/>
      <c r="AM127" s="2267"/>
      <c r="AN127" s="2267"/>
      <c r="AO127" s="2267"/>
      <c r="AP127" s="2267"/>
      <c r="AQ127" s="2267"/>
      <c r="AR127" s="2267"/>
      <c r="AS127" s="2267"/>
      <c r="AT127" s="2267"/>
      <c r="AU127" s="2267"/>
      <c r="AV127" s="2267"/>
      <c r="AW127" s="2267"/>
      <c r="AX127" s="2267"/>
      <c r="AY127" s="2267"/>
      <c r="AZ127" s="2267"/>
      <c r="BA127" s="2267"/>
      <c r="BB127" s="2267"/>
      <c r="BC127" s="2267"/>
      <c r="BD127" s="2267"/>
      <c r="BE127" s="2267"/>
      <c r="BF127" s="2267"/>
      <c r="BG127" s="2267"/>
      <c r="BH127" s="2267"/>
      <c r="BI127" s="2267"/>
      <c r="BJ127" s="2267"/>
      <c r="BK127" s="2267"/>
      <c r="BL127" s="2267"/>
      <c r="BM127" s="2267"/>
    </row>
    <row r="128" spans="13:65">
      <c r="M128" s="2267"/>
      <c r="N128" s="2267"/>
      <c r="O128" s="2269"/>
      <c r="P128" s="2267"/>
      <c r="Q128" s="2267"/>
      <c r="R128" s="2267"/>
      <c r="S128" s="2267"/>
      <c r="T128" s="2281"/>
      <c r="U128" s="2267"/>
      <c r="V128" s="2267"/>
      <c r="W128" s="2267"/>
      <c r="X128" s="2281"/>
      <c r="Y128" s="2267"/>
      <c r="Z128" s="2267"/>
      <c r="AA128" s="2267"/>
      <c r="AB128" s="2267"/>
      <c r="AC128" s="2267"/>
      <c r="AD128" s="2267"/>
      <c r="AE128" s="2267"/>
      <c r="AF128" s="2267"/>
      <c r="AG128" s="2267"/>
      <c r="AH128" s="2267"/>
      <c r="AI128" s="2267"/>
      <c r="AJ128" s="2267"/>
      <c r="AK128" s="2267"/>
      <c r="AL128" s="2267"/>
      <c r="AM128" s="2267"/>
      <c r="AN128" s="2267"/>
      <c r="AO128" s="2267"/>
      <c r="AP128" s="2267"/>
      <c r="AQ128" s="2267"/>
      <c r="AR128" s="2267"/>
      <c r="AS128" s="2267"/>
      <c r="AT128" s="2267"/>
      <c r="AU128" s="2267"/>
      <c r="AV128" s="2267"/>
      <c r="AW128" s="2267"/>
      <c r="AX128" s="2267"/>
      <c r="AY128" s="2267"/>
      <c r="AZ128" s="2267"/>
      <c r="BA128" s="2267"/>
      <c r="BB128" s="2267"/>
      <c r="BC128" s="2267"/>
      <c r="BD128" s="2267"/>
      <c r="BE128" s="2267"/>
      <c r="BF128" s="2267"/>
      <c r="BG128" s="2267"/>
      <c r="BH128" s="2267"/>
      <c r="BI128" s="2267"/>
      <c r="BJ128" s="2267"/>
      <c r="BK128" s="2267"/>
      <c r="BL128" s="2267"/>
      <c r="BM128" s="2267"/>
    </row>
    <row r="129" spans="13:65">
      <c r="M129" s="2267"/>
      <c r="N129" s="2267"/>
      <c r="O129" s="2269"/>
      <c r="P129" s="2267"/>
      <c r="Q129" s="2267"/>
      <c r="R129" s="2267"/>
      <c r="S129" s="2267"/>
      <c r="T129" s="2281"/>
      <c r="U129" s="2267"/>
      <c r="V129" s="2267"/>
      <c r="W129" s="2267"/>
      <c r="X129" s="2281"/>
      <c r="Y129" s="2267"/>
      <c r="Z129" s="2267"/>
      <c r="AA129" s="2267"/>
      <c r="AB129" s="2267"/>
      <c r="AC129" s="2267"/>
      <c r="AD129" s="2267"/>
      <c r="AE129" s="2267"/>
      <c r="AF129" s="2267"/>
      <c r="AG129" s="2267"/>
      <c r="AH129" s="2267"/>
      <c r="AI129" s="2267"/>
      <c r="AJ129" s="2267"/>
      <c r="AK129" s="2267"/>
      <c r="AL129" s="2267"/>
      <c r="AM129" s="2267"/>
      <c r="AN129" s="2267"/>
      <c r="AO129" s="2267"/>
      <c r="AP129" s="2267"/>
      <c r="AQ129" s="2267"/>
      <c r="AR129" s="2267"/>
      <c r="AS129" s="2267"/>
      <c r="AT129" s="2267"/>
      <c r="AU129" s="2267"/>
      <c r="AV129" s="2267"/>
      <c r="AW129" s="2267"/>
      <c r="AX129" s="2267"/>
      <c r="AY129" s="2267"/>
      <c r="AZ129" s="2267"/>
      <c r="BA129" s="2267"/>
      <c r="BB129" s="2267"/>
      <c r="BC129" s="2267"/>
      <c r="BD129" s="2267"/>
      <c r="BE129" s="2267"/>
      <c r="BF129" s="2267"/>
      <c r="BG129" s="2267"/>
      <c r="BH129" s="2267"/>
      <c r="BI129" s="2267"/>
      <c r="BJ129" s="2267"/>
      <c r="BK129" s="2267"/>
      <c r="BL129" s="2267"/>
      <c r="BM129" s="2267"/>
    </row>
    <row r="130" spans="13:65">
      <c r="M130" s="2267"/>
      <c r="N130" s="2267"/>
      <c r="O130" s="2269"/>
      <c r="P130" s="2267"/>
      <c r="Q130" s="2267"/>
      <c r="R130" s="2267"/>
      <c r="S130" s="2267"/>
      <c r="T130" s="2281"/>
      <c r="U130" s="2267"/>
      <c r="V130" s="2267"/>
      <c r="W130" s="2267"/>
      <c r="X130" s="2281"/>
      <c r="Y130" s="2267"/>
      <c r="Z130" s="2267"/>
      <c r="AA130" s="2267"/>
      <c r="AB130" s="2267"/>
      <c r="AC130" s="2267"/>
      <c r="AD130" s="2267"/>
      <c r="AE130" s="2267"/>
      <c r="AF130" s="2267"/>
      <c r="AG130" s="2267"/>
      <c r="AH130" s="2267"/>
      <c r="AI130" s="2267"/>
      <c r="AJ130" s="2267"/>
      <c r="AK130" s="2267"/>
      <c r="AL130" s="2267"/>
      <c r="AM130" s="2267"/>
      <c r="AN130" s="2267"/>
      <c r="AO130" s="2267"/>
      <c r="AP130" s="2267"/>
      <c r="AQ130" s="2267"/>
      <c r="AR130" s="2267"/>
      <c r="AS130" s="2267"/>
      <c r="AT130" s="2267"/>
      <c r="AU130" s="2267"/>
      <c r="AV130" s="2267"/>
      <c r="AW130" s="2267"/>
      <c r="AX130" s="2267"/>
      <c r="AY130" s="2267"/>
      <c r="AZ130" s="2267"/>
      <c r="BA130" s="2267"/>
      <c r="BB130" s="2267"/>
      <c r="BC130" s="2267"/>
      <c r="BD130" s="2267"/>
      <c r="BE130" s="2267"/>
      <c r="BF130" s="2267"/>
      <c r="BG130" s="2267"/>
      <c r="BH130" s="2267"/>
      <c r="BI130" s="2267"/>
      <c r="BJ130" s="2267"/>
      <c r="BK130" s="2267"/>
      <c r="BL130" s="2267"/>
      <c r="BM130" s="2267"/>
    </row>
    <row r="157" spans="9:9">
      <c r="I157" s="2262"/>
    </row>
  </sheetData>
  <phoneticPr fontId="4" type="noConversion"/>
  <pageMargins left="1" right="0.75" top="0.98425196850393704" bottom="0" header="0" footer="0"/>
  <pageSetup scale="72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2" tint="-0.499984740745262"/>
  </sheetPr>
  <dimension ref="A1:Y311"/>
  <sheetViews>
    <sheetView zoomScale="80" zoomScaleNormal="80" workbookViewId="0">
      <pane xSplit="4" ySplit="11" topLeftCell="E12" activePane="bottomRight" state="frozen"/>
      <selection pane="topRight"/>
      <selection pane="bottomLeft"/>
      <selection pane="bottomRight"/>
    </sheetView>
  </sheetViews>
  <sheetFormatPr defaultColWidth="15.5546875" defaultRowHeight="13.2"/>
  <cols>
    <col min="1" max="1" width="9.88671875" style="577" customWidth="1"/>
    <col min="2" max="2" width="33.88671875" style="577" customWidth="1"/>
    <col min="3" max="3" width="7.44140625" style="577" customWidth="1"/>
    <col min="4" max="4" width="6.44140625" style="577" customWidth="1"/>
    <col min="5" max="5" width="13.33203125" style="539" customWidth="1"/>
    <col min="6" max="17" width="11.88671875" style="539" customWidth="1"/>
    <col min="18" max="18" width="12.6640625" style="539" customWidth="1"/>
    <col min="19" max="16384" width="15.5546875" style="539"/>
  </cols>
  <sheetData>
    <row r="1" spans="1:23">
      <c r="A1" s="576" t="str">
        <f>COMPANY</f>
        <v>DUKE ENERGY KENTUCKY, INC.</v>
      </c>
      <c r="B1" s="576"/>
      <c r="F1" s="1148">
        <v>3</v>
      </c>
      <c r="G1" s="1148">
        <v>4</v>
      </c>
      <c r="H1" s="1148">
        <v>5</v>
      </c>
      <c r="I1" s="1148">
        <v>6</v>
      </c>
      <c r="J1" s="1148">
        <v>7</v>
      </c>
      <c r="K1" s="1148">
        <v>8</v>
      </c>
      <c r="L1" s="1148">
        <v>9</v>
      </c>
      <c r="M1" s="1148">
        <v>10</v>
      </c>
      <c r="N1" s="1148">
        <v>11</v>
      </c>
      <c r="O1" s="1148">
        <v>12</v>
      </c>
      <c r="P1" s="1148">
        <v>13</v>
      </c>
      <c r="Q1" s="1148">
        <v>14</v>
      </c>
    </row>
    <row r="2" spans="1:23">
      <c r="A2" s="576" t="str">
        <f>CASE</f>
        <v>CASE NO. 2018-00261</v>
      </c>
      <c r="B2" s="576"/>
    </row>
    <row r="3" spans="1:23">
      <c r="A3" s="578" t="s">
        <v>929</v>
      </c>
      <c r="B3" s="578"/>
    </row>
    <row r="4" spans="1:23">
      <c r="A4" s="578" t="s">
        <v>1726</v>
      </c>
      <c r="B4" s="578"/>
    </row>
    <row r="5" spans="1:23">
      <c r="A5" s="576"/>
      <c r="B5" s="576"/>
      <c r="S5" s="940"/>
      <c r="T5" s="940"/>
      <c r="U5" s="940"/>
      <c r="V5" s="940"/>
      <c r="W5" s="940"/>
    </row>
    <row r="6" spans="1:23">
      <c r="A6" s="576" t="str">
        <f>Data</f>
        <v>DATA: "X" BASE PERIOD   FORECASTED PERIOD</v>
      </c>
      <c r="B6" s="576"/>
      <c r="F6" s="538"/>
      <c r="K6" s="538"/>
      <c r="L6" s="538"/>
      <c r="M6" s="538"/>
      <c r="N6" s="538"/>
      <c r="S6" s="940"/>
      <c r="T6" s="940"/>
      <c r="U6" s="940"/>
      <c r="V6" s="940"/>
      <c r="W6" s="940"/>
    </row>
    <row r="7" spans="1:23">
      <c r="A7" s="576" t="str">
        <f>Type</f>
        <v xml:space="preserve">TYPE OF FILING:  "X" ORIGINAL   UPDATED    REVISED  </v>
      </c>
      <c r="B7" s="576"/>
      <c r="F7" s="538"/>
      <c r="L7" s="538"/>
      <c r="M7" s="538"/>
      <c r="N7" s="538"/>
      <c r="S7" s="940"/>
      <c r="T7" s="940"/>
      <c r="U7" s="940"/>
      <c r="V7" s="940"/>
      <c r="W7" s="940"/>
    </row>
    <row r="8" spans="1:23">
      <c r="F8" s="538"/>
      <c r="G8" s="538"/>
      <c r="H8" s="538"/>
      <c r="I8" s="538"/>
      <c r="J8" s="538"/>
      <c r="K8" s="538"/>
      <c r="L8" s="538"/>
      <c r="M8" s="538"/>
      <c r="N8" s="538"/>
      <c r="O8" s="538"/>
      <c r="P8" s="538"/>
      <c r="Q8" s="538"/>
      <c r="S8" s="940"/>
      <c r="T8" s="940"/>
      <c r="U8" s="940"/>
      <c r="V8" s="940"/>
      <c r="W8" s="940"/>
    </row>
    <row r="9" spans="1:23">
      <c r="E9" s="538"/>
      <c r="S9" s="940"/>
      <c r="T9" s="940"/>
      <c r="U9" s="940"/>
      <c r="V9" s="940"/>
      <c r="W9" s="940"/>
    </row>
    <row r="10" spans="1:23" ht="13.8" thickBot="1">
      <c r="E10" s="579"/>
      <c r="F10" s="1591" t="s">
        <v>857</v>
      </c>
      <c r="G10" s="1591" t="s">
        <v>857</v>
      </c>
      <c r="H10" s="1591" t="s">
        <v>857</v>
      </c>
      <c r="I10" s="1591" t="s">
        <v>857</v>
      </c>
      <c r="J10" s="1591" t="s">
        <v>857</v>
      </c>
      <c r="K10" s="1591" t="s">
        <v>857</v>
      </c>
      <c r="L10" s="1592" t="s">
        <v>2358</v>
      </c>
      <c r="M10" s="1592" t="s">
        <v>2358</v>
      </c>
      <c r="N10" s="1592" t="s">
        <v>2358</v>
      </c>
      <c r="O10" s="1592" t="s">
        <v>2358</v>
      </c>
      <c r="P10" s="1592" t="s">
        <v>2358</v>
      </c>
      <c r="Q10" s="1592" t="s">
        <v>2358</v>
      </c>
      <c r="S10" s="940"/>
      <c r="T10" s="940"/>
      <c r="U10" s="940"/>
      <c r="V10" s="940"/>
      <c r="W10" s="940"/>
    </row>
    <row r="11" spans="1:23" ht="13.8" thickBot="1">
      <c r="A11" s="3557" t="s">
        <v>1987</v>
      </c>
      <c r="B11" s="3558" t="s">
        <v>1988</v>
      </c>
      <c r="C11" s="3557" t="s">
        <v>573</v>
      </c>
      <c r="D11" s="3557" t="s">
        <v>1041</v>
      </c>
      <c r="E11" s="3558" t="s">
        <v>2153</v>
      </c>
      <c r="F11" s="575">
        <f>LOGO!I7</f>
        <v>43100</v>
      </c>
      <c r="G11" s="575">
        <f>LOGO!I8</f>
        <v>43131</v>
      </c>
      <c r="H11" s="575">
        <f>LOGO!I9</f>
        <v>43159</v>
      </c>
      <c r="I11" s="575">
        <f>LOGO!I10</f>
        <v>43190</v>
      </c>
      <c r="J11" s="575">
        <f>LOGO!I11</f>
        <v>43220</v>
      </c>
      <c r="K11" s="575">
        <f>LOGO!I12</f>
        <v>43251</v>
      </c>
      <c r="L11" s="1174">
        <f>LOGO!I13</f>
        <v>43281</v>
      </c>
      <c r="M11" s="1174">
        <f>LOGO!I14</f>
        <v>43312</v>
      </c>
      <c r="N11" s="1174">
        <f>LOGO!I15</f>
        <v>43343</v>
      </c>
      <c r="O11" s="1174">
        <f>LOGO!I16</f>
        <v>43373</v>
      </c>
      <c r="P11" s="1174">
        <f>LOGO!I17</f>
        <v>43404</v>
      </c>
      <c r="Q11" s="1174">
        <f>LOGO!I18</f>
        <v>43434</v>
      </c>
      <c r="S11" s="940"/>
      <c r="T11" s="940"/>
      <c r="U11" s="940"/>
      <c r="V11" s="940"/>
      <c r="W11" s="940"/>
    </row>
    <row r="12" spans="1:23">
      <c r="A12" s="1722">
        <v>403002</v>
      </c>
      <c r="B12" s="1723" t="s">
        <v>1283</v>
      </c>
      <c r="C12" s="1722" t="s">
        <v>973</v>
      </c>
      <c r="D12" s="580">
        <f>VALUE(LEFT(A12,3))</f>
        <v>403</v>
      </c>
      <c r="E12" s="564">
        <f>SUM(F12:Q12)</f>
        <v>12841958</v>
      </c>
      <c r="F12" s="3600">
        <v>986181</v>
      </c>
      <c r="G12" s="3600">
        <v>986218</v>
      </c>
      <c r="H12" s="3600">
        <v>997759</v>
      </c>
      <c r="I12" s="3600">
        <v>1027026</v>
      </c>
      <c r="J12" s="3600">
        <v>1031788</v>
      </c>
      <c r="K12" s="3600">
        <v>1004652</v>
      </c>
      <c r="L12" s="3600">
        <v>1102838</v>
      </c>
      <c r="M12" s="3600">
        <v>1127013</v>
      </c>
      <c r="N12" s="3600">
        <v>1128511</v>
      </c>
      <c r="O12" s="3600">
        <v>1129212</v>
      </c>
      <c r="P12" s="3600">
        <v>1160524</v>
      </c>
      <c r="Q12" s="3600">
        <v>1160236</v>
      </c>
      <c r="S12" s="940"/>
      <c r="T12" s="941"/>
      <c r="U12" s="941"/>
      <c r="V12" s="941"/>
      <c r="W12" s="940"/>
    </row>
    <row r="13" spans="1:23">
      <c r="A13" s="1722">
        <v>403150</v>
      </c>
      <c r="B13" s="1723" t="s">
        <v>2361</v>
      </c>
      <c r="C13" s="1722" t="s">
        <v>973</v>
      </c>
      <c r="D13" s="580">
        <f t="shared" ref="D13" si="0">VALUE(LEFT(A13,3))</f>
        <v>403</v>
      </c>
      <c r="E13" s="564">
        <f t="shared" ref="E13" si="1">SUM(F13:Q13)</f>
        <v>0</v>
      </c>
      <c r="F13" s="3600">
        <v>0</v>
      </c>
      <c r="G13" s="3600">
        <v>6282</v>
      </c>
      <c r="H13" s="3600">
        <v>6282</v>
      </c>
      <c r="I13" s="3600">
        <v>-12564</v>
      </c>
      <c r="J13" s="3600">
        <v>0</v>
      </c>
      <c r="K13" s="3600">
        <v>0</v>
      </c>
      <c r="L13" s="3600">
        <v>0</v>
      </c>
      <c r="M13" s="3600">
        <v>0</v>
      </c>
      <c r="N13" s="3600">
        <v>0</v>
      </c>
      <c r="O13" s="3600">
        <v>0</v>
      </c>
      <c r="P13" s="3600">
        <v>0</v>
      </c>
      <c r="Q13" s="3600">
        <v>0</v>
      </c>
      <c r="S13" s="940"/>
      <c r="T13" s="941"/>
      <c r="U13" s="941"/>
      <c r="V13" s="941"/>
      <c r="W13" s="940"/>
    </row>
    <row r="14" spans="1:23">
      <c r="A14" s="1722">
        <v>404200</v>
      </c>
      <c r="B14" s="1723" t="s">
        <v>1193</v>
      </c>
      <c r="C14" s="1722" t="s">
        <v>973</v>
      </c>
      <c r="D14" s="580">
        <f t="shared" ref="D14:D82" si="2">VALUE(LEFT(A14,3))</f>
        <v>404</v>
      </c>
      <c r="E14" s="564">
        <f t="shared" ref="E14:E85" si="3">SUM(F14:Q14)</f>
        <v>1553689</v>
      </c>
      <c r="F14" s="3600">
        <v>147346</v>
      </c>
      <c r="G14" s="3600">
        <v>147251</v>
      </c>
      <c r="H14" s="3600">
        <v>154931</v>
      </c>
      <c r="I14" s="3600">
        <v>148629</v>
      </c>
      <c r="J14" s="3600">
        <v>148613</v>
      </c>
      <c r="K14" s="3600">
        <v>138341</v>
      </c>
      <c r="L14" s="3600">
        <v>111439</v>
      </c>
      <c r="M14" s="3600">
        <v>111439</v>
      </c>
      <c r="N14" s="3600">
        <v>111439</v>
      </c>
      <c r="O14" s="3600">
        <v>111439</v>
      </c>
      <c r="P14" s="3600">
        <v>111439</v>
      </c>
      <c r="Q14" s="3600">
        <v>111383</v>
      </c>
      <c r="S14" s="940"/>
      <c r="T14" s="941"/>
      <c r="U14" s="941"/>
      <c r="V14" s="941"/>
      <c r="W14" s="940"/>
    </row>
    <row r="15" spans="1:23">
      <c r="A15" s="1722">
        <v>407355</v>
      </c>
      <c r="B15" s="1723" t="s">
        <v>1194</v>
      </c>
      <c r="C15" s="1722" t="s">
        <v>967</v>
      </c>
      <c r="D15" s="580">
        <f t="shared" si="2"/>
        <v>407</v>
      </c>
      <c r="E15" s="564">
        <f t="shared" si="3"/>
        <v>-801635</v>
      </c>
      <c r="F15" s="3600">
        <v>561463</v>
      </c>
      <c r="G15" s="3600">
        <v>-233576</v>
      </c>
      <c r="H15" s="3600">
        <v>-329245</v>
      </c>
      <c r="I15" s="3600">
        <v>-355219</v>
      </c>
      <c r="J15" s="3600">
        <v>-402968</v>
      </c>
      <c r="K15" s="3600">
        <v>-42090</v>
      </c>
      <c r="L15" s="3600">
        <v>0</v>
      </c>
      <c r="M15" s="3600">
        <v>0</v>
      </c>
      <c r="N15" s="3600">
        <v>0</v>
      </c>
      <c r="O15" s="3600">
        <v>0</v>
      </c>
      <c r="P15" s="3600">
        <v>0</v>
      </c>
      <c r="Q15" s="3600">
        <v>0</v>
      </c>
      <c r="S15" s="940"/>
      <c r="T15" s="941"/>
      <c r="U15" s="941"/>
      <c r="V15" s="941"/>
      <c r="W15" s="940"/>
    </row>
    <row r="16" spans="1:23">
      <c r="A16" s="1722">
        <v>408000</v>
      </c>
      <c r="B16" s="1723" t="s">
        <v>1195</v>
      </c>
      <c r="C16" s="3116" t="s">
        <v>975</v>
      </c>
      <c r="D16" s="580">
        <f t="shared" si="2"/>
        <v>408</v>
      </c>
      <c r="E16" s="564">
        <f t="shared" si="3"/>
        <v>0</v>
      </c>
      <c r="F16" s="3600">
        <v>0</v>
      </c>
      <c r="G16" s="3600">
        <v>0</v>
      </c>
      <c r="H16" s="3600">
        <v>0</v>
      </c>
      <c r="I16" s="3600">
        <v>0</v>
      </c>
      <c r="J16" s="3600">
        <v>0</v>
      </c>
      <c r="K16" s="3600">
        <v>0</v>
      </c>
      <c r="L16" s="3600">
        <v>0</v>
      </c>
      <c r="M16" s="3600">
        <v>0</v>
      </c>
      <c r="N16" s="3600">
        <v>0</v>
      </c>
      <c r="O16" s="3600">
        <v>0</v>
      </c>
      <c r="P16" s="3600">
        <v>0</v>
      </c>
      <c r="Q16" s="3600">
        <v>0</v>
      </c>
      <c r="S16" s="940"/>
      <c r="T16" s="941"/>
      <c r="U16" s="941"/>
      <c r="V16" s="941"/>
      <c r="W16" s="940"/>
    </row>
    <row r="17" spans="1:23">
      <c r="A17" s="1722">
        <v>408015</v>
      </c>
      <c r="B17" s="1723" t="s">
        <v>199</v>
      </c>
      <c r="C17" s="3116" t="s">
        <v>975</v>
      </c>
      <c r="D17" s="580">
        <f t="shared" si="2"/>
        <v>408</v>
      </c>
      <c r="E17" s="564">
        <f t="shared" si="3"/>
        <v>0</v>
      </c>
      <c r="F17" s="3600">
        <v>0</v>
      </c>
      <c r="G17" s="3600">
        <v>0</v>
      </c>
      <c r="H17" s="3600">
        <v>0</v>
      </c>
      <c r="I17" s="3600">
        <v>0</v>
      </c>
      <c r="J17" s="3600">
        <v>0</v>
      </c>
      <c r="K17" s="3600">
        <v>0</v>
      </c>
      <c r="L17" s="3600">
        <v>0</v>
      </c>
      <c r="M17" s="3600">
        <v>0</v>
      </c>
      <c r="N17" s="3600">
        <v>0</v>
      </c>
      <c r="O17" s="3600">
        <v>0</v>
      </c>
      <c r="P17" s="3600">
        <v>0</v>
      </c>
      <c r="Q17" s="3600">
        <v>0</v>
      </c>
      <c r="S17" s="940"/>
      <c r="T17" s="940"/>
      <c r="U17" s="940"/>
      <c r="V17" s="940"/>
      <c r="W17" s="940"/>
    </row>
    <row r="18" spans="1:23">
      <c r="A18" s="1722">
        <v>408040</v>
      </c>
      <c r="B18" s="1723" t="s">
        <v>2769</v>
      </c>
      <c r="C18" s="3116" t="s">
        <v>975</v>
      </c>
      <c r="D18" s="580">
        <f t="shared" si="2"/>
        <v>408</v>
      </c>
      <c r="E18" s="564">
        <f t="shared" ref="E18" si="4">SUM(F18:Q18)</f>
        <v>0</v>
      </c>
      <c r="F18" s="3600">
        <v>0</v>
      </c>
      <c r="G18" s="3600">
        <v>0</v>
      </c>
      <c r="H18" s="3600">
        <v>0</v>
      </c>
      <c r="I18" s="3600">
        <v>0</v>
      </c>
      <c r="J18" s="3600">
        <v>0</v>
      </c>
      <c r="K18" s="3600">
        <v>0</v>
      </c>
      <c r="L18" s="3600">
        <v>0</v>
      </c>
      <c r="M18" s="3600">
        <v>0</v>
      </c>
      <c r="N18" s="3600">
        <v>0</v>
      </c>
      <c r="O18" s="3600">
        <v>0</v>
      </c>
      <c r="P18" s="3600">
        <v>0</v>
      </c>
      <c r="Q18" s="3600">
        <v>0</v>
      </c>
      <c r="S18" s="940"/>
      <c r="T18" s="940"/>
      <c r="U18" s="940"/>
      <c r="V18" s="940"/>
      <c r="W18" s="940"/>
    </row>
    <row r="19" spans="1:23">
      <c r="A19" s="1722">
        <v>408050</v>
      </c>
      <c r="B19" s="1723" t="s">
        <v>1196</v>
      </c>
      <c r="C19" s="3116" t="s">
        <v>975</v>
      </c>
      <c r="D19" s="580">
        <f t="shared" si="2"/>
        <v>408</v>
      </c>
      <c r="E19" s="564">
        <f t="shared" si="3"/>
        <v>0</v>
      </c>
      <c r="F19" s="3600">
        <v>0</v>
      </c>
      <c r="G19" s="3600">
        <v>0</v>
      </c>
      <c r="H19" s="3600">
        <v>0</v>
      </c>
      <c r="I19" s="3600">
        <v>0</v>
      </c>
      <c r="J19" s="3600">
        <v>0</v>
      </c>
      <c r="K19" s="3600">
        <v>0</v>
      </c>
      <c r="L19" s="3600">
        <v>0</v>
      </c>
      <c r="M19" s="3600">
        <v>0</v>
      </c>
      <c r="N19" s="3600">
        <v>0</v>
      </c>
      <c r="O19" s="3600">
        <v>0</v>
      </c>
      <c r="P19" s="3600">
        <v>0</v>
      </c>
      <c r="Q19" s="3600">
        <v>0</v>
      </c>
      <c r="S19" s="940"/>
      <c r="T19" s="941"/>
      <c r="U19" s="941"/>
      <c r="V19" s="941"/>
      <c r="W19" s="940"/>
    </row>
    <row r="20" spans="1:23">
      <c r="A20" s="1722">
        <v>408090</v>
      </c>
      <c r="B20" s="1723" t="s">
        <v>1197</v>
      </c>
      <c r="C20" s="3116" t="s">
        <v>975</v>
      </c>
      <c r="D20" s="580">
        <f t="shared" si="2"/>
        <v>408</v>
      </c>
      <c r="E20" s="564">
        <f t="shared" si="3"/>
        <v>0</v>
      </c>
      <c r="F20" s="3600">
        <v>0</v>
      </c>
      <c r="G20" s="3600">
        <v>0</v>
      </c>
      <c r="H20" s="3600">
        <v>0</v>
      </c>
      <c r="I20" s="3600">
        <v>0</v>
      </c>
      <c r="J20" s="3600">
        <v>0</v>
      </c>
      <c r="K20" s="3600">
        <v>0</v>
      </c>
      <c r="L20" s="3600">
        <v>0</v>
      </c>
      <c r="M20" s="3600">
        <v>0</v>
      </c>
      <c r="N20" s="3600">
        <v>0</v>
      </c>
      <c r="O20" s="3600">
        <v>0</v>
      </c>
      <c r="P20" s="3600">
        <v>0</v>
      </c>
      <c r="Q20" s="3600">
        <v>0</v>
      </c>
      <c r="S20" s="940"/>
      <c r="T20" s="941"/>
      <c r="U20" s="941"/>
      <c r="V20" s="941"/>
      <c r="W20" s="940"/>
    </row>
    <row r="21" spans="1:23">
      <c r="A21" s="1722">
        <v>408095</v>
      </c>
      <c r="B21" s="1723" t="s">
        <v>1198</v>
      </c>
      <c r="C21" s="3116" t="s">
        <v>975</v>
      </c>
      <c r="D21" s="580">
        <f t="shared" si="2"/>
        <v>408</v>
      </c>
      <c r="E21" s="564">
        <f t="shared" si="3"/>
        <v>0</v>
      </c>
      <c r="F21" s="3600">
        <v>0</v>
      </c>
      <c r="G21" s="3600">
        <v>0</v>
      </c>
      <c r="H21" s="3600">
        <v>0</v>
      </c>
      <c r="I21" s="3600">
        <v>0</v>
      </c>
      <c r="J21" s="3600">
        <v>0</v>
      </c>
      <c r="K21" s="3600">
        <v>0</v>
      </c>
      <c r="L21" s="3600">
        <v>0</v>
      </c>
      <c r="M21" s="3600">
        <v>0</v>
      </c>
      <c r="N21" s="3600">
        <v>0</v>
      </c>
      <c r="O21" s="3600">
        <v>0</v>
      </c>
      <c r="P21" s="3600">
        <v>0</v>
      </c>
      <c r="Q21" s="3600">
        <v>0</v>
      </c>
      <c r="S21" s="940"/>
      <c r="T21" s="941"/>
      <c r="U21" s="941"/>
      <c r="V21" s="941"/>
      <c r="W21" s="940"/>
    </row>
    <row r="22" spans="1:23">
      <c r="A22" s="1722">
        <v>408121</v>
      </c>
      <c r="B22" s="1723" t="s">
        <v>200</v>
      </c>
      <c r="C22" s="3116" t="s">
        <v>975</v>
      </c>
      <c r="D22" s="580">
        <f t="shared" si="2"/>
        <v>408</v>
      </c>
      <c r="E22" s="564">
        <f t="shared" si="3"/>
        <v>2921892</v>
      </c>
      <c r="F22" s="3600">
        <v>227667</v>
      </c>
      <c r="G22" s="3600">
        <v>242250</v>
      </c>
      <c r="H22" s="3600">
        <v>242250</v>
      </c>
      <c r="I22" s="3600">
        <v>242250</v>
      </c>
      <c r="J22" s="3600">
        <v>249945</v>
      </c>
      <c r="K22" s="3600">
        <v>242250</v>
      </c>
      <c r="L22" s="3600">
        <v>245880</v>
      </c>
      <c r="M22" s="3600">
        <v>245880</v>
      </c>
      <c r="N22" s="3600">
        <v>245880</v>
      </c>
      <c r="O22" s="3600">
        <v>245880</v>
      </c>
      <c r="P22" s="3600">
        <v>245880</v>
      </c>
      <c r="Q22" s="3600">
        <v>245880</v>
      </c>
      <c r="S22" s="940"/>
      <c r="T22" s="941"/>
      <c r="U22" s="941"/>
      <c r="V22" s="941"/>
      <c r="W22" s="940"/>
    </row>
    <row r="23" spans="1:23">
      <c r="A23" s="1722">
        <v>408150</v>
      </c>
      <c r="B23" s="1723" t="s">
        <v>201</v>
      </c>
      <c r="C23" s="3116" t="s">
        <v>975</v>
      </c>
      <c r="D23" s="580">
        <f t="shared" si="2"/>
        <v>408</v>
      </c>
      <c r="E23" s="564">
        <f t="shared" si="3"/>
        <v>2450</v>
      </c>
      <c r="F23" s="3600">
        <v>33</v>
      </c>
      <c r="G23" s="3600">
        <v>3915</v>
      </c>
      <c r="H23" s="3600">
        <v>771</v>
      </c>
      <c r="I23" s="3600">
        <v>-2341</v>
      </c>
      <c r="J23" s="3600">
        <v>15</v>
      </c>
      <c r="K23" s="3600">
        <v>57</v>
      </c>
      <c r="L23" s="3600">
        <v>0</v>
      </c>
      <c r="M23" s="3600">
        <v>0</v>
      </c>
      <c r="N23" s="3600">
        <v>0</v>
      </c>
      <c r="O23" s="3600">
        <v>0</v>
      </c>
      <c r="P23" s="3600">
        <v>0</v>
      </c>
      <c r="Q23" s="3600">
        <v>0</v>
      </c>
      <c r="S23" s="940"/>
      <c r="T23" s="941"/>
      <c r="U23" s="941"/>
      <c r="V23" s="941"/>
      <c r="W23" s="940"/>
    </row>
    <row r="24" spans="1:23">
      <c r="A24" s="1722">
        <v>408151</v>
      </c>
      <c r="B24" s="1723" t="s">
        <v>202</v>
      </c>
      <c r="C24" s="3116" t="s">
        <v>975</v>
      </c>
      <c r="D24" s="580">
        <f t="shared" si="2"/>
        <v>408</v>
      </c>
      <c r="E24" s="564">
        <f t="shared" si="3"/>
        <v>2430</v>
      </c>
      <c r="F24" s="3600">
        <v>334</v>
      </c>
      <c r="G24" s="3600">
        <v>1728</v>
      </c>
      <c r="H24" s="3600">
        <v>-50</v>
      </c>
      <c r="I24" s="3600">
        <v>-278</v>
      </c>
      <c r="J24" s="3600">
        <v>327</v>
      </c>
      <c r="K24" s="3600">
        <v>369</v>
      </c>
      <c r="L24" s="3600">
        <v>0</v>
      </c>
      <c r="M24" s="3600">
        <v>0</v>
      </c>
      <c r="N24" s="3600">
        <v>0</v>
      </c>
      <c r="O24" s="3600">
        <v>0</v>
      </c>
      <c r="P24" s="3600">
        <v>0</v>
      </c>
      <c r="Q24" s="3600">
        <v>0</v>
      </c>
      <c r="S24" s="940"/>
      <c r="T24" s="941"/>
      <c r="U24" s="941"/>
      <c r="V24" s="941"/>
      <c r="W24" s="940"/>
    </row>
    <row r="25" spans="1:23">
      <c r="A25" s="1722">
        <v>408152</v>
      </c>
      <c r="B25" s="3117" t="s">
        <v>203</v>
      </c>
      <c r="C25" s="3116" t="s">
        <v>975</v>
      </c>
      <c r="D25" s="580">
        <f t="shared" si="2"/>
        <v>408</v>
      </c>
      <c r="E25" s="564">
        <f t="shared" si="3"/>
        <v>203569</v>
      </c>
      <c r="F25" s="3600">
        <v>27658</v>
      </c>
      <c r="G25" s="3600">
        <v>33103</v>
      </c>
      <c r="H25" s="3600">
        <v>32164</v>
      </c>
      <c r="I25" s="3600">
        <v>45161</v>
      </c>
      <c r="J25" s="3600">
        <v>32183</v>
      </c>
      <c r="K25" s="3600">
        <v>33300</v>
      </c>
      <c r="L25" s="3600">
        <v>0</v>
      </c>
      <c r="M25" s="3600">
        <v>0</v>
      </c>
      <c r="N25" s="3600">
        <v>0</v>
      </c>
      <c r="O25" s="3600">
        <v>0</v>
      </c>
      <c r="P25" s="3600">
        <v>0</v>
      </c>
      <c r="Q25" s="3600">
        <v>0</v>
      </c>
      <c r="S25" s="940"/>
      <c r="T25" s="941"/>
      <c r="U25" s="941"/>
      <c r="V25" s="941"/>
      <c r="W25" s="940"/>
    </row>
    <row r="26" spans="1:23">
      <c r="A26" s="1722">
        <v>408205</v>
      </c>
      <c r="B26" s="3118" t="s">
        <v>2362</v>
      </c>
      <c r="C26" s="3116" t="s">
        <v>975</v>
      </c>
      <c r="D26" s="580">
        <f t="shared" ref="D26" si="5">VALUE(LEFT(A26,3))</f>
        <v>408</v>
      </c>
      <c r="E26" s="564">
        <f t="shared" ref="E26" si="6">SUM(F26:Q26)</f>
        <v>240</v>
      </c>
      <c r="F26" s="3600">
        <v>0</v>
      </c>
      <c r="G26" s="3600">
        <v>258</v>
      </c>
      <c r="H26" s="3600">
        <v>0</v>
      </c>
      <c r="I26" s="3600">
        <v>0</v>
      </c>
      <c r="J26" s="3600">
        <v>6</v>
      </c>
      <c r="K26" s="3600">
        <v>-24</v>
      </c>
      <c r="L26" s="3600">
        <v>0</v>
      </c>
      <c r="M26" s="3600">
        <v>0</v>
      </c>
      <c r="N26" s="3600">
        <v>0</v>
      </c>
      <c r="O26" s="3600">
        <v>0</v>
      </c>
      <c r="P26" s="3600">
        <v>0</v>
      </c>
      <c r="Q26" s="3600">
        <v>0</v>
      </c>
      <c r="S26" s="940"/>
      <c r="T26" s="941"/>
      <c r="U26" s="941"/>
      <c r="V26" s="941"/>
      <c r="W26" s="940"/>
    </row>
    <row r="27" spans="1:23">
      <c r="A27" s="1722">
        <v>408410</v>
      </c>
      <c r="B27" s="3118" t="s">
        <v>460</v>
      </c>
      <c r="C27" s="3116" t="s">
        <v>975</v>
      </c>
      <c r="D27" s="580">
        <f t="shared" si="2"/>
        <v>408</v>
      </c>
      <c r="E27" s="564">
        <f t="shared" si="3"/>
        <v>0</v>
      </c>
      <c r="F27" s="3600">
        <v>0</v>
      </c>
      <c r="G27" s="3600">
        <v>0</v>
      </c>
      <c r="H27" s="3600">
        <v>0</v>
      </c>
      <c r="I27" s="3600">
        <v>0</v>
      </c>
      <c r="J27" s="3600">
        <v>0</v>
      </c>
      <c r="K27" s="3600">
        <v>0</v>
      </c>
      <c r="L27" s="3600">
        <v>0</v>
      </c>
      <c r="M27" s="3600">
        <v>0</v>
      </c>
      <c r="N27" s="3600">
        <v>0</v>
      </c>
      <c r="O27" s="3600">
        <v>0</v>
      </c>
      <c r="P27" s="3600">
        <v>0</v>
      </c>
      <c r="Q27" s="3600">
        <v>0</v>
      </c>
      <c r="S27" s="940"/>
      <c r="T27" s="941"/>
      <c r="U27" s="941"/>
      <c r="V27" s="941"/>
      <c r="W27" s="940"/>
    </row>
    <row r="28" spans="1:23">
      <c r="A28" s="1722">
        <v>408490</v>
      </c>
      <c r="B28" s="3118" t="s">
        <v>1199</v>
      </c>
      <c r="C28" s="3116" t="s">
        <v>975</v>
      </c>
      <c r="D28" s="580">
        <f t="shared" si="2"/>
        <v>408</v>
      </c>
      <c r="E28" s="564">
        <f t="shared" si="3"/>
        <v>0</v>
      </c>
      <c r="F28" s="3600">
        <v>0</v>
      </c>
      <c r="G28" s="3600">
        <v>0</v>
      </c>
      <c r="H28" s="3600">
        <v>0</v>
      </c>
      <c r="I28" s="3600">
        <v>0</v>
      </c>
      <c r="J28" s="3600">
        <v>0</v>
      </c>
      <c r="K28" s="3600">
        <v>0</v>
      </c>
      <c r="L28" s="3600">
        <v>0</v>
      </c>
      <c r="M28" s="3600">
        <v>0</v>
      </c>
      <c r="N28" s="3600">
        <v>0</v>
      </c>
      <c r="O28" s="3600">
        <v>0</v>
      </c>
      <c r="P28" s="3600">
        <v>0</v>
      </c>
      <c r="Q28" s="3600">
        <v>0</v>
      </c>
      <c r="S28" s="940"/>
      <c r="T28" s="941"/>
      <c r="U28" s="941"/>
      <c r="V28" s="941"/>
      <c r="W28" s="940"/>
    </row>
    <row r="29" spans="1:23">
      <c r="A29" s="1722">
        <v>408470</v>
      </c>
      <c r="B29" s="3118" t="s">
        <v>2363</v>
      </c>
      <c r="C29" s="3116" t="s">
        <v>975</v>
      </c>
      <c r="D29" s="580">
        <f t="shared" ref="D29" si="7">VALUE(LEFT(A29,3))</f>
        <v>408</v>
      </c>
      <c r="E29" s="564">
        <f t="shared" ref="E29" si="8">SUM(F29:Q29)</f>
        <v>2197</v>
      </c>
      <c r="F29" s="3600">
        <v>0</v>
      </c>
      <c r="G29" s="3600">
        <v>0</v>
      </c>
      <c r="H29" s="3600">
        <v>0</v>
      </c>
      <c r="I29" s="3600">
        <v>1318</v>
      </c>
      <c r="J29" s="3600">
        <v>0</v>
      </c>
      <c r="K29" s="3600">
        <v>879</v>
      </c>
      <c r="L29" s="3600">
        <v>0</v>
      </c>
      <c r="M29" s="3600">
        <v>0</v>
      </c>
      <c r="N29" s="3600">
        <v>0</v>
      </c>
      <c r="O29" s="3600">
        <v>0</v>
      </c>
      <c r="P29" s="3600">
        <v>0</v>
      </c>
      <c r="Q29" s="3600">
        <v>0</v>
      </c>
      <c r="S29" s="940"/>
      <c r="T29" s="941"/>
      <c r="U29" s="941"/>
      <c r="V29" s="941"/>
      <c r="W29" s="940"/>
    </row>
    <row r="30" spans="1:23">
      <c r="A30" s="1722">
        <v>408530</v>
      </c>
      <c r="B30" s="3118" t="s">
        <v>1201</v>
      </c>
      <c r="C30" s="3116" t="s">
        <v>975</v>
      </c>
      <c r="D30" s="580">
        <f t="shared" si="2"/>
        <v>408</v>
      </c>
      <c r="E30" s="564">
        <f t="shared" si="3"/>
        <v>0</v>
      </c>
      <c r="F30" s="3600">
        <v>0</v>
      </c>
      <c r="G30" s="3600">
        <v>0</v>
      </c>
      <c r="H30" s="3600">
        <v>0</v>
      </c>
      <c r="I30" s="3600">
        <v>0</v>
      </c>
      <c r="J30" s="3600">
        <v>0</v>
      </c>
      <c r="K30" s="3600">
        <v>0</v>
      </c>
      <c r="L30" s="3600">
        <v>0</v>
      </c>
      <c r="M30" s="3600">
        <v>0</v>
      </c>
      <c r="N30" s="3600">
        <v>0</v>
      </c>
      <c r="O30" s="3600">
        <v>0</v>
      </c>
      <c r="P30" s="3600">
        <v>0</v>
      </c>
      <c r="Q30" s="3600">
        <v>0</v>
      </c>
      <c r="S30" s="940"/>
      <c r="T30" s="941"/>
      <c r="U30" s="941"/>
      <c r="V30" s="941"/>
      <c r="W30" s="940"/>
    </row>
    <row r="31" spans="1:23">
      <c r="A31" s="1722">
        <v>408550</v>
      </c>
      <c r="B31" s="3118" t="s">
        <v>1202</v>
      </c>
      <c r="C31" s="3116" t="s">
        <v>975</v>
      </c>
      <c r="D31" s="580">
        <f t="shared" si="2"/>
        <v>408</v>
      </c>
      <c r="E31" s="564">
        <f t="shared" si="3"/>
        <v>0</v>
      </c>
      <c r="F31" s="3600">
        <v>0</v>
      </c>
      <c r="G31" s="3600">
        <v>0</v>
      </c>
      <c r="H31" s="3600">
        <v>0</v>
      </c>
      <c r="I31" s="3600">
        <v>0</v>
      </c>
      <c r="J31" s="3600">
        <v>0</v>
      </c>
      <c r="K31" s="3600">
        <v>0</v>
      </c>
      <c r="L31" s="3600">
        <v>0</v>
      </c>
      <c r="M31" s="3600">
        <v>0</v>
      </c>
      <c r="N31" s="3600">
        <v>0</v>
      </c>
      <c r="O31" s="3600">
        <v>0</v>
      </c>
      <c r="P31" s="3600">
        <v>0</v>
      </c>
      <c r="Q31" s="3600">
        <v>0</v>
      </c>
      <c r="S31" s="940"/>
      <c r="T31" s="941"/>
      <c r="U31" s="941"/>
      <c r="V31" s="941"/>
      <c r="W31" s="940"/>
    </row>
    <row r="32" spans="1:23">
      <c r="A32" s="1722">
        <v>408700</v>
      </c>
      <c r="B32" s="3465" t="s">
        <v>204</v>
      </c>
      <c r="C32" s="3116" t="s">
        <v>975</v>
      </c>
      <c r="D32" s="580">
        <f t="shared" si="2"/>
        <v>408</v>
      </c>
      <c r="E32" s="564">
        <f t="shared" si="3"/>
        <v>0</v>
      </c>
      <c r="F32" s="3600">
        <v>7000</v>
      </c>
      <c r="G32" s="3600">
        <v>0</v>
      </c>
      <c r="H32" s="3600">
        <v>0</v>
      </c>
      <c r="I32" s="3600">
        <v>-7000</v>
      </c>
      <c r="J32" s="3600">
        <v>0</v>
      </c>
      <c r="K32" s="3600">
        <v>0</v>
      </c>
      <c r="L32" s="3600">
        <v>0</v>
      </c>
      <c r="M32" s="3600">
        <v>0</v>
      </c>
      <c r="N32" s="3600">
        <v>0</v>
      </c>
      <c r="O32" s="3600">
        <v>0</v>
      </c>
      <c r="P32" s="3600">
        <v>0</v>
      </c>
      <c r="Q32" s="3600">
        <v>0</v>
      </c>
      <c r="S32" s="940"/>
      <c r="T32" s="941"/>
      <c r="U32" s="941"/>
      <c r="V32" s="941"/>
      <c r="W32" s="940"/>
    </row>
    <row r="33" spans="1:23">
      <c r="A33" s="1722">
        <v>408800</v>
      </c>
      <c r="B33" s="3465" t="s">
        <v>1200</v>
      </c>
      <c r="C33" s="3116" t="s">
        <v>975</v>
      </c>
      <c r="D33" s="580">
        <f>VALUE(LEFT(A33,3))</f>
        <v>408</v>
      </c>
      <c r="E33" s="564">
        <f>SUM(F33:Q33)</f>
        <v>1</v>
      </c>
      <c r="F33" s="3600">
        <v>0</v>
      </c>
      <c r="G33" s="3600">
        <v>0</v>
      </c>
      <c r="H33" s="3600">
        <v>1</v>
      </c>
      <c r="I33" s="3600">
        <v>0</v>
      </c>
      <c r="J33" s="3600">
        <v>0</v>
      </c>
      <c r="K33" s="3600">
        <v>0</v>
      </c>
      <c r="L33" s="3600">
        <v>0</v>
      </c>
      <c r="M33" s="3600">
        <v>0</v>
      </c>
      <c r="N33" s="3600">
        <v>0</v>
      </c>
      <c r="O33" s="3600">
        <v>0</v>
      </c>
      <c r="P33" s="3600">
        <v>0</v>
      </c>
      <c r="Q33" s="3600">
        <v>0</v>
      </c>
      <c r="S33" s="940"/>
      <c r="T33" s="941"/>
      <c r="U33" s="941"/>
      <c r="V33" s="941"/>
      <c r="W33" s="940"/>
    </row>
    <row r="34" spans="1:23">
      <c r="A34" s="1722">
        <v>408851</v>
      </c>
      <c r="B34" s="3465" t="s">
        <v>1203</v>
      </c>
      <c r="C34" s="3116" t="s">
        <v>975</v>
      </c>
      <c r="D34" s="580">
        <f t="shared" si="2"/>
        <v>408</v>
      </c>
      <c r="E34" s="564">
        <f t="shared" si="3"/>
        <v>-239</v>
      </c>
      <c r="F34" s="3600">
        <v>0</v>
      </c>
      <c r="G34" s="3600">
        <v>-2</v>
      </c>
      <c r="H34" s="3600">
        <v>-243</v>
      </c>
      <c r="I34" s="3600">
        <v>0</v>
      </c>
      <c r="J34" s="3600">
        <v>5</v>
      </c>
      <c r="K34" s="3600">
        <v>1</v>
      </c>
      <c r="L34" s="3600">
        <v>0</v>
      </c>
      <c r="M34" s="3600">
        <v>0</v>
      </c>
      <c r="N34" s="3600">
        <v>0</v>
      </c>
      <c r="O34" s="3600">
        <v>0</v>
      </c>
      <c r="P34" s="3600">
        <v>0</v>
      </c>
      <c r="Q34" s="3600">
        <v>0</v>
      </c>
      <c r="S34" s="940"/>
      <c r="T34" s="941"/>
      <c r="U34" s="941"/>
      <c r="V34" s="941"/>
      <c r="W34" s="940"/>
    </row>
    <row r="35" spans="1:23">
      <c r="A35" s="1722">
        <v>408960</v>
      </c>
      <c r="B35" s="3465" t="s">
        <v>205</v>
      </c>
      <c r="C35" s="3116" t="s">
        <v>975</v>
      </c>
      <c r="D35" s="580">
        <f t="shared" si="2"/>
        <v>408</v>
      </c>
      <c r="E35" s="564">
        <f t="shared" si="3"/>
        <v>473789</v>
      </c>
      <c r="F35" s="3600">
        <v>69852</v>
      </c>
      <c r="G35" s="3600">
        <v>47279</v>
      </c>
      <c r="H35" s="3600">
        <v>24094</v>
      </c>
      <c r="I35" s="3600">
        <v>-7821</v>
      </c>
      <c r="J35" s="3600">
        <v>9795</v>
      </c>
      <c r="K35" s="3600">
        <v>3532</v>
      </c>
      <c r="L35" s="3600">
        <v>55497</v>
      </c>
      <c r="M35" s="3600">
        <v>51040</v>
      </c>
      <c r="N35" s="3600">
        <v>56751</v>
      </c>
      <c r="O35" s="3600">
        <v>59126</v>
      </c>
      <c r="P35" s="3600">
        <v>52300</v>
      </c>
      <c r="Q35" s="3600">
        <v>52344</v>
      </c>
      <c r="S35" s="940"/>
      <c r="T35" s="941"/>
      <c r="U35" s="941"/>
      <c r="V35" s="941"/>
      <c r="W35" s="940"/>
    </row>
    <row r="36" spans="1:23">
      <c r="A36" s="1722">
        <v>409060</v>
      </c>
      <c r="B36" s="3465" t="s">
        <v>1204</v>
      </c>
      <c r="C36" s="3116" t="s">
        <v>976</v>
      </c>
      <c r="D36" s="580">
        <f t="shared" si="2"/>
        <v>409</v>
      </c>
      <c r="E36" s="1226">
        <f t="shared" si="3"/>
        <v>3692225</v>
      </c>
      <c r="F36" s="1227">
        <f>ROUND(SCH_E1!$AK$261/12,0)</f>
        <v>307685</v>
      </c>
      <c r="G36" s="1227">
        <f>ROUND(SCH_E1!$AK$261/12,0)</f>
        <v>307685</v>
      </c>
      <c r="H36" s="1227">
        <f>ROUND(SCH_E1!$AK$261/12,0)</f>
        <v>307685</v>
      </c>
      <c r="I36" s="1227">
        <f>ROUND(SCH_E1!$AK$261/12,0)</f>
        <v>307685</v>
      </c>
      <c r="J36" s="1227">
        <f>ROUND(SCH_E1!$AK$261/12,0)</f>
        <v>307685</v>
      </c>
      <c r="K36" s="1227">
        <f>ROUND(SCH_E1!$AK$261/12,0)</f>
        <v>307685</v>
      </c>
      <c r="L36" s="1227">
        <f>ROUND(SCH_E1!$AK$261/12,0)</f>
        <v>307685</v>
      </c>
      <c r="M36" s="1227">
        <f>ROUND(SCH_E1!$AK$261/12,0)</f>
        <v>307685</v>
      </c>
      <c r="N36" s="1227">
        <f>ROUND(SCH_E1!$AK$261/12,0)</f>
        <v>307685</v>
      </c>
      <c r="O36" s="1227">
        <f>ROUND(SCH_E1!$AK$261/12,0)</f>
        <v>307685</v>
      </c>
      <c r="P36" s="1227">
        <f>ROUND(SCH_E1!$AK$261/12,0)</f>
        <v>307685</v>
      </c>
      <c r="Q36" s="1227">
        <f>ROUND(SCH_E1!$AK$261-SUM(F36:P36),0)</f>
        <v>307690</v>
      </c>
      <c r="S36" s="940"/>
      <c r="T36" s="941"/>
      <c r="U36" s="941"/>
      <c r="V36" s="941"/>
      <c r="W36" s="940"/>
    </row>
    <row r="37" spans="1:23">
      <c r="A37" s="1722">
        <v>409104</v>
      </c>
      <c r="B37" s="3465" t="s">
        <v>1205</v>
      </c>
      <c r="C37" s="3116" t="s">
        <v>976</v>
      </c>
      <c r="D37" s="580">
        <f t="shared" si="2"/>
        <v>409</v>
      </c>
      <c r="E37" s="564">
        <f t="shared" si="3"/>
        <v>258385</v>
      </c>
      <c r="F37" s="3600">
        <v>258385</v>
      </c>
      <c r="G37" s="3600">
        <v>0</v>
      </c>
      <c r="H37" s="3600">
        <v>0</v>
      </c>
      <c r="I37" s="3600">
        <v>0</v>
      </c>
      <c r="J37" s="3600">
        <v>0</v>
      </c>
      <c r="K37" s="3600">
        <v>0</v>
      </c>
      <c r="L37" s="3600">
        <v>0</v>
      </c>
      <c r="M37" s="3600">
        <v>0</v>
      </c>
      <c r="N37" s="3600">
        <v>0</v>
      </c>
      <c r="O37" s="3600">
        <v>0</v>
      </c>
      <c r="P37" s="3600">
        <v>0</v>
      </c>
      <c r="Q37" s="3600">
        <v>0</v>
      </c>
      <c r="S37" s="940"/>
      <c r="T37" s="941"/>
      <c r="U37" s="941"/>
      <c r="V37" s="941"/>
      <c r="W37" s="940"/>
    </row>
    <row r="38" spans="1:23">
      <c r="A38" s="1722">
        <v>409160</v>
      </c>
      <c r="B38" s="3119" t="s">
        <v>1206</v>
      </c>
      <c r="C38" s="1722" t="s">
        <v>976</v>
      </c>
      <c r="D38" s="580">
        <f t="shared" si="2"/>
        <v>409</v>
      </c>
      <c r="E38" s="1226">
        <f t="shared" si="3"/>
        <v>89034</v>
      </c>
      <c r="F38" s="1227">
        <f>ROUND(SCH_E1!$AK$254/12,0)</f>
        <v>7420</v>
      </c>
      <c r="G38" s="1227">
        <f>ROUND(SCH_E1!$AK$254/12,0)</f>
        <v>7420</v>
      </c>
      <c r="H38" s="1227">
        <f>ROUND(SCH_E1!$AK$254/12,0)</f>
        <v>7420</v>
      </c>
      <c r="I38" s="1227">
        <f>ROUND(SCH_E1!$AK$254/12,0)</f>
        <v>7420</v>
      </c>
      <c r="J38" s="1227">
        <f>ROUND(SCH_E1!$AK$254/12,0)</f>
        <v>7420</v>
      </c>
      <c r="K38" s="1227">
        <f>ROUND(SCH_E1!$AK$254/12,0)</f>
        <v>7420</v>
      </c>
      <c r="L38" s="1227">
        <f>ROUND(SCH_E1!$AK$254/12,0)</f>
        <v>7420</v>
      </c>
      <c r="M38" s="1227">
        <f>ROUND(SCH_E1!$AK$254/12,0)</f>
        <v>7420</v>
      </c>
      <c r="N38" s="1227">
        <f>ROUND(SCH_E1!$AK$254/12,0)</f>
        <v>7420</v>
      </c>
      <c r="O38" s="1227">
        <f>ROUND(SCH_E1!$AK$254/12,0)</f>
        <v>7420</v>
      </c>
      <c r="P38" s="1227">
        <f>ROUND(SCH_E1!$AK$254/12,0)</f>
        <v>7420</v>
      </c>
      <c r="Q38" s="1227">
        <f>ROUND(SCH_E1!$AK$254-SUM(F38:P38),0)</f>
        <v>7414</v>
      </c>
      <c r="S38" s="940"/>
      <c r="T38" s="941"/>
      <c r="U38" s="941"/>
      <c r="V38" s="941"/>
      <c r="W38" s="940"/>
    </row>
    <row r="39" spans="1:23">
      <c r="A39" s="1722">
        <v>409193</v>
      </c>
      <c r="B39" s="3119" t="s">
        <v>1207</v>
      </c>
      <c r="C39" s="1722" t="s">
        <v>976</v>
      </c>
      <c r="D39" s="580">
        <f t="shared" si="2"/>
        <v>409</v>
      </c>
      <c r="E39" s="564">
        <f t="shared" si="3"/>
        <v>0</v>
      </c>
      <c r="F39" s="3600">
        <v>0</v>
      </c>
      <c r="G39" s="3600">
        <v>0</v>
      </c>
      <c r="H39" s="3600">
        <v>0</v>
      </c>
      <c r="I39" s="3600">
        <v>0</v>
      </c>
      <c r="J39" s="3600">
        <v>0</v>
      </c>
      <c r="K39" s="3600">
        <v>0</v>
      </c>
      <c r="L39" s="3600">
        <v>0</v>
      </c>
      <c r="M39" s="3600">
        <v>0</v>
      </c>
      <c r="N39" s="3600">
        <v>0</v>
      </c>
      <c r="O39" s="3600">
        <v>0</v>
      </c>
      <c r="P39" s="3600">
        <v>0</v>
      </c>
      <c r="Q39" s="3600">
        <v>0</v>
      </c>
      <c r="S39" s="940"/>
      <c r="T39" s="941"/>
      <c r="U39" s="941"/>
      <c r="V39" s="941"/>
      <c r="W39" s="940"/>
    </row>
    <row r="40" spans="1:23">
      <c r="A40" s="1722">
        <v>409233</v>
      </c>
      <c r="B40" s="3119" t="s">
        <v>206</v>
      </c>
      <c r="C40" s="1722" t="s">
        <v>976</v>
      </c>
      <c r="D40" s="580">
        <f t="shared" si="2"/>
        <v>409</v>
      </c>
      <c r="E40" s="564">
        <f t="shared" si="3"/>
        <v>0</v>
      </c>
      <c r="F40" s="3600">
        <v>0</v>
      </c>
      <c r="G40" s="3600">
        <v>0</v>
      </c>
      <c r="H40" s="3600">
        <v>0</v>
      </c>
      <c r="I40" s="3600">
        <v>0</v>
      </c>
      <c r="J40" s="3600">
        <v>0</v>
      </c>
      <c r="K40" s="3600">
        <v>0</v>
      </c>
      <c r="L40" s="3600">
        <v>0</v>
      </c>
      <c r="M40" s="3600">
        <v>0</v>
      </c>
      <c r="N40" s="3600">
        <v>0</v>
      </c>
      <c r="O40" s="3600">
        <v>0</v>
      </c>
      <c r="P40" s="3600">
        <v>0</v>
      </c>
      <c r="Q40" s="3600">
        <v>0</v>
      </c>
      <c r="S40" s="940"/>
      <c r="T40" s="941"/>
      <c r="U40" s="941"/>
      <c r="V40" s="941"/>
      <c r="W40" s="940"/>
    </row>
    <row r="41" spans="1:23">
      <c r="A41" s="1722">
        <v>409980</v>
      </c>
      <c r="B41" s="3465" t="s">
        <v>1208</v>
      </c>
      <c r="C41" s="1722" t="s">
        <v>976</v>
      </c>
      <c r="D41" s="580">
        <f t="shared" si="2"/>
        <v>409</v>
      </c>
      <c r="E41" s="564">
        <f t="shared" si="3"/>
        <v>0</v>
      </c>
      <c r="F41" s="3600">
        <v>0</v>
      </c>
      <c r="G41" s="3600">
        <v>0</v>
      </c>
      <c r="H41" s="3600">
        <v>0</v>
      </c>
      <c r="I41" s="3600">
        <v>0</v>
      </c>
      <c r="J41" s="3600">
        <v>0</v>
      </c>
      <c r="K41" s="3600">
        <v>0</v>
      </c>
      <c r="L41" s="3600">
        <v>0</v>
      </c>
      <c r="M41" s="3600">
        <v>0</v>
      </c>
      <c r="N41" s="3600">
        <v>0</v>
      </c>
      <c r="O41" s="3600">
        <v>0</v>
      </c>
      <c r="P41" s="3600">
        <v>0</v>
      </c>
      <c r="Q41" s="3600">
        <v>0</v>
      </c>
      <c r="S41" s="940"/>
      <c r="T41" s="941"/>
      <c r="U41" s="941"/>
      <c r="V41" s="941"/>
      <c r="W41" s="940"/>
    </row>
    <row r="42" spans="1:23">
      <c r="A42" s="1722">
        <v>409985</v>
      </c>
      <c r="B42" s="1723" t="s">
        <v>1209</v>
      </c>
      <c r="C42" s="1722" t="s">
        <v>976</v>
      </c>
      <c r="D42" s="580">
        <f t="shared" si="2"/>
        <v>409</v>
      </c>
      <c r="E42" s="564">
        <f t="shared" si="3"/>
        <v>0</v>
      </c>
      <c r="F42" s="3600">
        <v>0</v>
      </c>
      <c r="G42" s="3600">
        <v>0</v>
      </c>
      <c r="H42" s="3600">
        <v>0</v>
      </c>
      <c r="I42" s="3600">
        <v>0</v>
      </c>
      <c r="J42" s="3600">
        <v>0</v>
      </c>
      <c r="K42" s="3600">
        <v>0</v>
      </c>
      <c r="L42" s="3600">
        <v>0</v>
      </c>
      <c r="M42" s="3600">
        <v>0</v>
      </c>
      <c r="N42" s="3600">
        <v>0</v>
      </c>
      <c r="O42" s="3600">
        <v>0</v>
      </c>
      <c r="P42" s="3600">
        <v>0</v>
      </c>
      <c r="Q42" s="3600">
        <v>0</v>
      </c>
      <c r="S42" s="940"/>
      <c r="T42" s="941"/>
      <c r="U42" s="941"/>
      <c r="V42" s="941"/>
      <c r="W42" s="940"/>
    </row>
    <row r="43" spans="1:23">
      <c r="A43" s="1722">
        <v>410060</v>
      </c>
      <c r="B43" s="1723" t="s">
        <v>1210</v>
      </c>
      <c r="C43" s="1722" t="s">
        <v>976</v>
      </c>
      <c r="D43" s="580">
        <f t="shared" si="2"/>
        <v>410</v>
      </c>
      <c r="E43" s="1226">
        <f t="shared" si="3"/>
        <v>-17062</v>
      </c>
      <c r="F43" s="1227">
        <f>ROUND((SCH_E1!$G$117+SCH_E1!$G$118)/12,0)</f>
        <v>-1422</v>
      </c>
      <c r="G43" s="1227">
        <f>ROUND((SCH_E1!$G$117+SCH_E1!$G$118)/12,0)</f>
        <v>-1422</v>
      </c>
      <c r="H43" s="1227">
        <f>ROUND((SCH_E1!$G$117+SCH_E1!$G$118)/12,0)</f>
        <v>-1422</v>
      </c>
      <c r="I43" s="1227">
        <f>ROUND((SCH_E1!$G$117+SCH_E1!$G$118)/12,0)</f>
        <v>-1422</v>
      </c>
      <c r="J43" s="1227">
        <f>ROUND((SCH_E1!$G$117+SCH_E1!$G$118)/12,0)</f>
        <v>-1422</v>
      </c>
      <c r="K43" s="1227">
        <f>ROUND((SCH_E1!$G$117+SCH_E1!$G$118)/12,0)</f>
        <v>-1422</v>
      </c>
      <c r="L43" s="1227">
        <f>ROUND((SCH_E1!$G$117+SCH_E1!$G$118)/12,0)</f>
        <v>-1422</v>
      </c>
      <c r="M43" s="1227">
        <f>ROUND((SCH_E1!$G$117+SCH_E1!$G$118)/12,0)</f>
        <v>-1422</v>
      </c>
      <c r="N43" s="1227">
        <f>ROUND((SCH_E1!$G$117+SCH_E1!$G$118)/12,0)</f>
        <v>-1422</v>
      </c>
      <c r="O43" s="1227">
        <f>ROUND((SCH_E1!$G$117+SCH_E1!$G$118)/12,0)</f>
        <v>-1422</v>
      </c>
      <c r="P43" s="1227">
        <f>ROUND((SCH_E1!$G$117+SCH_E1!$G$118)/12,0)</f>
        <v>-1422</v>
      </c>
      <c r="Q43" s="1227">
        <f>SCH_E1!$G$117+SCH_E1!$G$118-SUM(F43:P43)</f>
        <v>-1420</v>
      </c>
      <c r="S43" s="940"/>
      <c r="T43" s="941"/>
      <c r="U43" s="941"/>
      <c r="V43" s="941"/>
      <c r="W43" s="940"/>
    </row>
    <row r="44" spans="1:23">
      <c r="A44" s="1722">
        <v>410109</v>
      </c>
      <c r="B44" s="1723" t="s">
        <v>1211</v>
      </c>
      <c r="C44" s="1722" t="s">
        <v>976</v>
      </c>
      <c r="D44" s="580">
        <f t="shared" si="2"/>
        <v>410</v>
      </c>
      <c r="E44" s="564">
        <f t="shared" si="3"/>
        <v>0</v>
      </c>
      <c r="F44" s="3600">
        <v>0</v>
      </c>
      <c r="G44" s="3600">
        <v>0</v>
      </c>
      <c r="H44" s="3600">
        <v>0</v>
      </c>
      <c r="I44" s="3600">
        <v>0</v>
      </c>
      <c r="J44" s="3600">
        <v>0</v>
      </c>
      <c r="K44" s="3600">
        <v>0</v>
      </c>
      <c r="L44" s="3600">
        <v>0</v>
      </c>
      <c r="M44" s="3600">
        <v>0</v>
      </c>
      <c r="N44" s="3600">
        <v>0</v>
      </c>
      <c r="O44" s="3600">
        <v>0</v>
      </c>
      <c r="P44" s="3600">
        <v>0</v>
      </c>
      <c r="Q44" s="3600">
        <v>0</v>
      </c>
      <c r="S44" s="940"/>
      <c r="T44" s="941"/>
      <c r="U44" s="941"/>
      <c r="V44" s="941"/>
      <c r="W44" s="940"/>
    </row>
    <row r="45" spans="1:23">
      <c r="A45" s="1722">
        <v>410112</v>
      </c>
      <c r="B45" s="1723" t="s">
        <v>1212</v>
      </c>
      <c r="C45" s="1722" t="s">
        <v>976</v>
      </c>
      <c r="D45" s="580">
        <f t="shared" si="2"/>
        <v>410</v>
      </c>
      <c r="E45" s="564">
        <f t="shared" si="3"/>
        <v>0</v>
      </c>
      <c r="F45" s="3600">
        <v>0</v>
      </c>
      <c r="G45" s="3600">
        <v>0</v>
      </c>
      <c r="H45" s="3600">
        <v>0</v>
      </c>
      <c r="I45" s="3600">
        <v>0</v>
      </c>
      <c r="J45" s="3600">
        <v>0</v>
      </c>
      <c r="K45" s="3600">
        <v>0</v>
      </c>
      <c r="L45" s="3600">
        <v>0</v>
      </c>
      <c r="M45" s="3600">
        <v>0</v>
      </c>
      <c r="N45" s="3600">
        <v>0</v>
      </c>
      <c r="O45" s="3600">
        <v>0</v>
      </c>
      <c r="P45" s="3600">
        <v>0</v>
      </c>
      <c r="Q45" s="3600">
        <v>0</v>
      </c>
      <c r="S45" s="940"/>
      <c r="T45" s="941"/>
      <c r="U45" s="941"/>
      <c r="V45" s="941"/>
      <c r="W45" s="940"/>
    </row>
    <row r="46" spans="1:23">
      <c r="A46" s="1722">
        <v>410113</v>
      </c>
      <c r="B46" s="1723" t="s">
        <v>1213</v>
      </c>
      <c r="C46" s="1722" t="s">
        <v>976</v>
      </c>
      <c r="D46" s="580">
        <f t="shared" si="2"/>
        <v>410</v>
      </c>
      <c r="E46" s="564">
        <f t="shared" si="3"/>
        <v>0</v>
      </c>
      <c r="F46" s="3600">
        <v>0</v>
      </c>
      <c r="G46" s="3600">
        <v>0</v>
      </c>
      <c r="H46" s="3600">
        <v>0</v>
      </c>
      <c r="I46" s="3600">
        <v>0</v>
      </c>
      <c r="J46" s="3600">
        <v>0</v>
      </c>
      <c r="K46" s="3600">
        <v>0</v>
      </c>
      <c r="L46" s="3600">
        <v>0</v>
      </c>
      <c r="M46" s="3600">
        <v>0</v>
      </c>
      <c r="N46" s="3600">
        <v>0</v>
      </c>
      <c r="O46" s="3600">
        <v>0</v>
      </c>
      <c r="P46" s="3600">
        <v>0</v>
      </c>
      <c r="Q46" s="3600">
        <v>0</v>
      </c>
      <c r="S46" s="940"/>
      <c r="T46" s="941"/>
      <c r="U46" s="941"/>
      <c r="V46" s="941"/>
      <c r="W46" s="940"/>
    </row>
    <row r="47" spans="1:23">
      <c r="A47" s="1722">
        <v>410130</v>
      </c>
      <c r="B47" s="1723" t="s">
        <v>1214</v>
      </c>
      <c r="C47" s="1722" t="s">
        <v>976</v>
      </c>
      <c r="D47" s="580">
        <f t="shared" si="2"/>
        <v>410</v>
      </c>
      <c r="E47" s="564">
        <f t="shared" si="3"/>
        <v>0</v>
      </c>
      <c r="F47" s="3600">
        <v>0</v>
      </c>
      <c r="G47" s="3600">
        <v>0</v>
      </c>
      <c r="H47" s="3600">
        <v>0</v>
      </c>
      <c r="I47" s="3600">
        <v>0</v>
      </c>
      <c r="J47" s="3600">
        <v>0</v>
      </c>
      <c r="K47" s="3600">
        <v>0</v>
      </c>
      <c r="L47" s="3600">
        <v>0</v>
      </c>
      <c r="M47" s="3600">
        <v>0</v>
      </c>
      <c r="N47" s="3600">
        <v>0</v>
      </c>
      <c r="O47" s="3600">
        <v>0</v>
      </c>
      <c r="P47" s="3600">
        <v>0</v>
      </c>
      <c r="Q47" s="3600">
        <v>0</v>
      </c>
      <c r="S47" s="940"/>
      <c r="T47" s="941"/>
      <c r="U47" s="941"/>
      <c r="V47" s="941"/>
      <c r="W47" s="940"/>
    </row>
    <row r="48" spans="1:23">
      <c r="A48" s="1722">
        <v>410131</v>
      </c>
      <c r="B48" s="1723" t="s">
        <v>1215</v>
      </c>
      <c r="C48" s="1722" t="s">
        <v>976</v>
      </c>
      <c r="D48" s="580">
        <f t="shared" si="2"/>
        <v>410</v>
      </c>
      <c r="E48" s="564">
        <f t="shared" si="3"/>
        <v>0</v>
      </c>
      <c r="F48" s="3600">
        <v>0</v>
      </c>
      <c r="G48" s="3600">
        <v>0</v>
      </c>
      <c r="H48" s="3600">
        <v>0</v>
      </c>
      <c r="I48" s="3600">
        <v>0</v>
      </c>
      <c r="J48" s="3600">
        <v>0</v>
      </c>
      <c r="K48" s="3600">
        <v>0</v>
      </c>
      <c r="L48" s="3600">
        <v>0</v>
      </c>
      <c r="M48" s="3600">
        <v>0</v>
      </c>
      <c r="N48" s="3600">
        <v>0</v>
      </c>
      <c r="O48" s="3600">
        <v>0</v>
      </c>
      <c r="P48" s="3600">
        <v>0</v>
      </c>
      <c r="Q48" s="3600">
        <v>0</v>
      </c>
      <c r="S48" s="940"/>
      <c r="T48" s="941"/>
      <c r="U48" s="941"/>
      <c r="V48" s="941"/>
      <c r="W48" s="940"/>
    </row>
    <row r="49" spans="1:23">
      <c r="A49" s="1722">
        <v>410160</v>
      </c>
      <c r="B49" s="3118" t="s">
        <v>1216</v>
      </c>
      <c r="C49" s="1722" t="s">
        <v>976</v>
      </c>
      <c r="D49" s="580">
        <f t="shared" si="2"/>
        <v>410</v>
      </c>
      <c r="E49" s="1226">
        <f>SUM(F49:Q49)</f>
        <v>-92502</v>
      </c>
      <c r="F49" s="1227">
        <f>ROUND((SCH_E1!$G$98+SCH_E1!$G$99)/12,0)</f>
        <v>-7709</v>
      </c>
      <c r="G49" s="1227">
        <f>ROUND((SCH_E1!$G$98+SCH_E1!$G$99)/12,0)</f>
        <v>-7709</v>
      </c>
      <c r="H49" s="1227">
        <f>ROUND((SCH_E1!$G$98+SCH_E1!$G$99)/12,0)</f>
        <v>-7709</v>
      </c>
      <c r="I49" s="1227">
        <f>ROUND((SCH_E1!$G$98+SCH_E1!$G$99)/12,0)</f>
        <v>-7709</v>
      </c>
      <c r="J49" s="1227">
        <f>ROUND((SCH_E1!$G$98+SCH_E1!$G$99)/12,0)</f>
        <v>-7709</v>
      </c>
      <c r="K49" s="1227">
        <f>ROUND((SCH_E1!$G$98+SCH_E1!$G$99)/12,0)</f>
        <v>-7709</v>
      </c>
      <c r="L49" s="1227">
        <f>ROUND((SCH_E1!$G$98+SCH_E1!$G$99)/12,0)</f>
        <v>-7709</v>
      </c>
      <c r="M49" s="1227">
        <f>ROUND((SCH_E1!$G$98+SCH_E1!$G$99)/12,0)</f>
        <v>-7709</v>
      </c>
      <c r="N49" s="1227">
        <f>ROUND((SCH_E1!$G$98+SCH_E1!$G$99)/12,0)</f>
        <v>-7709</v>
      </c>
      <c r="O49" s="1227">
        <f>ROUND((SCH_E1!$G$98+SCH_E1!$G$99)/12,0)</f>
        <v>-7709</v>
      </c>
      <c r="P49" s="1227">
        <f>ROUND((SCH_E1!$G$98+SCH_E1!$G$99)/12,0)</f>
        <v>-7709</v>
      </c>
      <c r="Q49" s="1227">
        <f>SCH_E1!$G$98+SCH_E1!$G$99-SUM(F49:P49)</f>
        <v>-7703</v>
      </c>
      <c r="S49" s="940"/>
      <c r="T49" s="941"/>
      <c r="U49" s="941"/>
      <c r="V49" s="941"/>
      <c r="W49" s="940"/>
    </row>
    <row r="50" spans="1:23">
      <c r="A50" s="1722">
        <v>410195</v>
      </c>
      <c r="B50" s="1723" t="s">
        <v>1217</v>
      </c>
      <c r="C50" s="1722" t="s">
        <v>976</v>
      </c>
      <c r="D50" s="580">
        <f t="shared" si="2"/>
        <v>410</v>
      </c>
      <c r="E50" s="564">
        <f t="shared" si="3"/>
        <v>0</v>
      </c>
      <c r="F50" s="3600">
        <v>0</v>
      </c>
      <c r="G50" s="3600">
        <v>0</v>
      </c>
      <c r="H50" s="3600">
        <v>0</v>
      </c>
      <c r="I50" s="3600">
        <v>0</v>
      </c>
      <c r="J50" s="3600">
        <v>0</v>
      </c>
      <c r="K50" s="3600">
        <v>0</v>
      </c>
      <c r="L50" s="3600">
        <v>0</v>
      </c>
      <c r="M50" s="3600">
        <v>0</v>
      </c>
      <c r="N50" s="3600">
        <v>0</v>
      </c>
      <c r="O50" s="3600">
        <v>0</v>
      </c>
      <c r="P50" s="3600">
        <v>0</v>
      </c>
      <c r="Q50" s="3600">
        <v>0</v>
      </c>
      <c r="S50" s="940"/>
      <c r="T50" s="941"/>
      <c r="U50" s="941"/>
      <c r="V50" s="941"/>
      <c r="W50" s="940"/>
    </row>
    <row r="51" spans="1:23">
      <c r="A51" s="1722">
        <v>411060</v>
      </c>
      <c r="B51" s="1723" t="s">
        <v>1218</v>
      </c>
      <c r="C51" s="1722" t="s">
        <v>976</v>
      </c>
      <c r="D51" s="580">
        <f t="shared" si="2"/>
        <v>411</v>
      </c>
      <c r="E51" s="564">
        <f t="shared" si="3"/>
        <v>0</v>
      </c>
      <c r="F51" s="3600">
        <v>0</v>
      </c>
      <c r="G51" s="3600">
        <v>0</v>
      </c>
      <c r="H51" s="3600">
        <v>0</v>
      </c>
      <c r="I51" s="3600">
        <v>0</v>
      </c>
      <c r="J51" s="3600">
        <v>0</v>
      </c>
      <c r="K51" s="3600">
        <v>0</v>
      </c>
      <c r="L51" s="3600">
        <v>0</v>
      </c>
      <c r="M51" s="3600">
        <v>0</v>
      </c>
      <c r="N51" s="3600">
        <v>0</v>
      </c>
      <c r="O51" s="3600">
        <v>0</v>
      </c>
      <c r="P51" s="3600">
        <v>0</v>
      </c>
      <c r="Q51" s="3600">
        <v>0</v>
      </c>
      <c r="S51" s="940"/>
      <c r="T51" s="941"/>
      <c r="U51" s="941"/>
      <c r="V51" s="941"/>
      <c r="W51" s="940"/>
    </row>
    <row r="52" spans="1:23">
      <c r="A52" s="1722">
        <v>411065</v>
      </c>
      <c r="B52" s="3118" t="s">
        <v>1033</v>
      </c>
      <c r="C52" s="1722" t="s">
        <v>976</v>
      </c>
      <c r="D52" s="580">
        <f t="shared" si="2"/>
        <v>411</v>
      </c>
      <c r="E52" s="1226">
        <f t="shared" si="3"/>
        <v>-67241</v>
      </c>
      <c r="F52" s="1227">
        <f>ROUND((SCH_E1!$G$123)/12,0)</f>
        <v>-5603</v>
      </c>
      <c r="G52" s="1227">
        <f>ROUND((SCH_E1!$G$123)/12,0)</f>
        <v>-5603</v>
      </c>
      <c r="H52" s="1227">
        <f>ROUND((SCH_E1!$G$123)/12,0)</f>
        <v>-5603</v>
      </c>
      <c r="I52" s="1227">
        <f>ROUND((SCH_E1!$G$123)/12,0)</f>
        <v>-5603</v>
      </c>
      <c r="J52" s="1227">
        <f>ROUND((SCH_E1!$G$123)/12,0)</f>
        <v>-5603</v>
      </c>
      <c r="K52" s="1227">
        <f>ROUND((SCH_E1!$G$123)/12,0)</f>
        <v>-5603</v>
      </c>
      <c r="L52" s="1227">
        <f>ROUND((SCH_E1!$G$123)/12,0)</f>
        <v>-5603</v>
      </c>
      <c r="M52" s="1227">
        <f>ROUND((SCH_E1!$G$123)/12,0)</f>
        <v>-5603</v>
      </c>
      <c r="N52" s="1227">
        <f>ROUND((SCH_E1!$G$123)/12,0)</f>
        <v>-5603</v>
      </c>
      <c r="O52" s="1227">
        <f>ROUND((SCH_E1!$G$123)/12,0)</f>
        <v>-5603</v>
      </c>
      <c r="P52" s="1227">
        <f>ROUND((SCH_E1!$G$123)/12,0)</f>
        <v>-5603</v>
      </c>
      <c r="Q52" s="1227">
        <f>SCH_E1!$G$123-SUM(F52:P52)</f>
        <v>-5608</v>
      </c>
      <c r="S52" s="940"/>
      <c r="T52" s="941"/>
      <c r="U52" s="941"/>
      <c r="V52" s="941"/>
      <c r="W52" s="940"/>
    </row>
    <row r="53" spans="1:23">
      <c r="A53" s="1722">
        <v>411106</v>
      </c>
      <c r="B53" s="1723" t="s">
        <v>1219</v>
      </c>
      <c r="C53" s="1722" t="s">
        <v>976</v>
      </c>
      <c r="D53" s="580">
        <f t="shared" si="2"/>
        <v>411</v>
      </c>
      <c r="E53" s="564">
        <f t="shared" si="3"/>
        <v>0</v>
      </c>
      <c r="F53" s="3600">
        <v>0</v>
      </c>
      <c r="G53" s="3600">
        <v>0</v>
      </c>
      <c r="H53" s="3600">
        <v>0</v>
      </c>
      <c r="I53" s="3600">
        <v>0</v>
      </c>
      <c r="J53" s="3600">
        <v>0</v>
      </c>
      <c r="K53" s="3600">
        <v>0</v>
      </c>
      <c r="L53" s="3600">
        <v>0</v>
      </c>
      <c r="M53" s="3600">
        <v>0</v>
      </c>
      <c r="N53" s="3600">
        <v>0</v>
      </c>
      <c r="O53" s="3600">
        <v>0</v>
      </c>
      <c r="P53" s="3600">
        <v>0</v>
      </c>
      <c r="Q53" s="3600">
        <v>0</v>
      </c>
      <c r="S53" s="940"/>
      <c r="T53" s="941"/>
      <c r="U53" s="941"/>
      <c r="V53" s="941"/>
      <c r="W53" s="940"/>
    </row>
    <row r="54" spans="1:23">
      <c r="A54" s="1722">
        <v>411107</v>
      </c>
      <c r="B54" s="3118" t="s">
        <v>1220</v>
      </c>
      <c r="C54" s="1722" t="s">
        <v>976</v>
      </c>
      <c r="D54" s="580">
        <f t="shared" si="2"/>
        <v>411</v>
      </c>
      <c r="E54" s="564">
        <f t="shared" si="3"/>
        <v>0</v>
      </c>
      <c r="F54" s="3600">
        <v>0</v>
      </c>
      <c r="G54" s="3600">
        <v>0</v>
      </c>
      <c r="H54" s="3600">
        <v>0</v>
      </c>
      <c r="I54" s="3600">
        <v>0</v>
      </c>
      <c r="J54" s="3600">
        <v>0</v>
      </c>
      <c r="K54" s="3600">
        <v>0</v>
      </c>
      <c r="L54" s="3600">
        <v>0</v>
      </c>
      <c r="M54" s="3600">
        <v>0</v>
      </c>
      <c r="N54" s="3600">
        <v>0</v>
      </c>
      <c r="O54" s="3600">
        <v>0</v>
      </c>
      <c r="P54" s="3600">
        <v>0</v>
      </c>
      <c r="Q54" s="3600">
        <v>0</v>
      </c>
      <c r="S54" s="940"/>
      <c r="T54" s="941"/>
      <c r="U54" s="941"/>
      <c r="V54" s="941"/>
      <c r="W54" s="940"/>
    </row>
    <row r="55" spans="1:23">
      <c r="A55" s="1722">
        <v>411113</v>
      </c>
      <c r="B55" s="1723" t="s">
        <v>1213</v>
      </c>
      <c r="C55" s="1722" t="s">
        <v>976</v>
      </c>
      <c r="D55" s="580">
        <f t="shared" si="2"/>
        <v>411</v>
      </c>
      <c r="E55" s="564">
        <f t="shared" si="3"/>
        <v>0</v>
      </c>
      <c r="F55" s="3600">
        <v>0</v>
      </c>
      <c r="G55" s="3600">
        <v>0</v>
      </c>
      <c r="H55" s="3600">
        <v>0</v>
      </c>
      <c r="I55" s="3600">
        <v>0</v>
      </c>
      <c r="J55" s="3600">
        <v>0</v>
      </c>
      <c r="K55" s="3600">
        <v>0</v>
      </c>
      <c r="L55" s="3600">
        <v>0</v>
      </c>
      <c r="M55" s="3600">
        <v>0</v>
      </c>
      <c r="N55" s="3600">
        <v>0</v>
      </c>
      <c r="O55" s="3600">
        <v>0</v>
      </c>
      <c r="P55" s="3600">
        <v>0</v>
      </c>
      <c r="Q55" s="3600">
        <v>0</v>
      </c>
      <c r="S55" s="940"/>
      <c r="T55" s="941"/>
      <c r="U55" s="941"/>
      <c r="V55" s="941"/>
      <c r="W55" s="940"/>
    </row>
    <row r="56" spans="1:23">
      <c r="A56" s="1722">
        <v>411130</v>
      </c>
      <c r="B56" s="1723" t="s">
        <v>1214</v>
      </c>
      <c r="C56" s="1722" t="s">
        <v>976</v>
      </c>
      <c r="D56" s="580">
        <f t="shared" si="2"/>
        <v>411</v>
      </c>
      <c r="E56" s="564">
        <f t="shared" si="3"/>
        <v>0</v>
      </c>
      <c r="F56" s="3600">
        <v>0</v>
      </c>
      <c r="G56" s="3600">
        <v>0</v>
      </c>
      <c r="H56" s="3600">
        <v>0</v>
      </c>
      <c r="I56" s="3600">
        <v>0</v>
      </c>
      <c r="J56" s="3600">
        <v>0</v>
      </c>
      <c r="K56" s="3600">
        <v>0</v>
      </c>
      <c r="L56" s="3600">
        <v>0</v>
      </c>
      <c r="M56" s="3600">
        <v>0</v>
      </c>
      <c r="N56" s="3600">
        <v>0</v>
      </c>
      <c r="O56" s="3600">
        <v>0</v>
      </c>
      <c r="P56" s="3600">
        <v>0</v>
      </c>
      <c r="Q56" s="3600">
        <v>0</v>
      </c>
      <c r="S56" s="940"/>
      <c r="T56" s="941"/>
      <c r="U56" s="941"/>
      <c r="V56" s="941"/>
      <c r="W56" s="940"/>
    </row>
    <row r="57" spans="1:23">
      <c r="A57" s="1722">
        <v>411131</v>
      </c>
      <c r="B57" s="1723" t="s">
        <v>1215</v>
      </c>
      <c r="C57" s="1722" t="s">
        <v>976</v>
      </c>
      <c r="D57" s="580">
        <f t="shared" si="2"/>
        <v>411</v>
      </c>
      <c r="E57" s="564">
        <f t="shared" si="3"/>
        <v>0</v>
      </c>
      <c r="F57" s="3600">
        <v>0</v>
      </c>
      <c r="G57" s="3600">
        <v>0</v>
      </c>
      <c r="H57" s="3600">
        <v>0</v>
      </c>
      <c r="I57" s="3600">
        <v>0</v>
      </c>
      <c r="J57" s="3600">
        <v>0</v>
      </c>
      <c r="K57" s="3600">
        <v>0</v>
      </c>
      <c r="L57" s="3600">
        <v>0</v>
      </c>
      <c r="M57" s="3600">
        <v>0</v>
      </c>
      <c r="N57" s="3600">
        <v>0</v>
      </c>
      <c r="O57" s="3600">
        <v>0</v>
      </c>
      <c r="P57" s="3600">
        <v>0</v>
      </c>
      <c r="Q57" s="3600">
        <v>0</v>
      </c>
      <c r="S57" s="940"/>
      <c r="T57" s="941"/>
      <c r="U57" s="941"/>
      <c r="V57" s="941"/>
      <c r="W57" s="940"/>
    </row>
    <row r="58" spans="1:23">
      <c r="A58" s="1722">
        <v>411160</v>
      </c>
      <c r="B58" s="3118" t="s">
        <v>1221</v>
      </c>
      <c r="C58" s="1722" t="s">
        <v>976</v>
      </c>
      <c r="D58" s="580">
        <f t="shared" si="2"/>
        <v>411</v>
      </c>
      <c r="E58" s="564">
        <f t="shared" si="3"/>
        <v>0</v>
      </c>
      <c r="F58" s="3600">
        <v>0</v>
      </c>
      <c r="G58" s="3600">
        <v>0</v>
      </c>
      <c r="H58" s="3600">
        <v>0</v>
      </c>
      <c r="I58" s="3600">
        <v>0</v>
      </c>
      <c r="J58" s="3600">
        <v>0</v>
      </c>
      <c r="K58" s="3600">
        <v>0</v>
      </c>
      <c r="L58" s="3600">
        <v>0</v>
      </c>
      <c r="M58" s="3600">
        <v>0</v>
      </c>
      <c r="N58" s="3600">
        <v>0</v>
      </c>
      <c r="O58" s="3600">
        <v>0</v>
      </c>
      <c r="P58" s="3600">
        <v>0</v>
      </c>
      <c r="Q58" s="3600">
        <v>0</v>
      </c>
      <c r="S58" s="940"/>
      <c r="T58" s="941"/>
      <c r="U58" s="941"/>
      <c r="V58" s="941"/>
      <c r="W58" s="940"/>
    </row>
    <row r="59" spans="1:23">
      <c r="A59" s="1722">
        <v>411195</v>
      </c>
      <c r="B59" s="1723" t="s">
        <v>1217</v>
      </c>
      <c r="C59" s="1722" t="s">
        <v>976</v>
      </c>
      <c r="D59" s="580">
        <f t="shared" si="2"/>
        <v>411</v>
      </c>
      <c r="E59" s="564">
        <f t="shared" si="3"/>
        <v>0</v>
      </c>
      <c r="F59" s="3600">
        <v>0</v>
      </c>
      <c r="G59" s="3600">
        <v>0</v>
      </c>
      <c r="H59" s="3600">
        <v>0</v>
      </c>
      <c r="I59" s="3600">
        <v>0</v>
      </c>
      <c r="J59" s="3600">
        <v>0</v>
      </c>
      <c r="K59" s="3600">
        <v>0</v>
      </c>
      <c r="L59" s="3600">
        <v>0</v>
      </c>
      <c r="M59" s="3600">
        <v>0</v>
      </c>
      <c r="N59" s="3600">
        <v>0</v>
      </c>
      <c r="O59" s="3600">
        <v>0</v>
      </c>
      <c r="P59" s="3600">
        <v>0</v>
      </c>
      <c r="Q59" s="3600">
        <v>0</v>
      </c>
      <c r="S59" s="940"/>
      <c r="T59" s="941"/>
      <c r="U59" s="941"/>
      <c r="V59" s="941"/>
      <c r="W59" s="940"/>
    </row>
    <row r="60" spans="1:23">
      <c r="A60" s="1722">
        <v>426510</v>
      </c>
      <c r="B60" s="1723" t="s">
        <v>1559</v>
      </c>
      <c r="C60" s="1722" t="s">
        <v>2422</v>
      </c>
      <c r="D60" s="580">
        <f t="shared" si="2"/>
        <v>426</v>
      </c>
      <c r="E60" s="564">
        <f t="shared" ref="E60:E61" si="9">SUM(F60:Q60)</f>
        <v>0</v>
      </c>
      <c r="F60" s="3600">
        <v>0</v>
      </c>
      <c r="G60" s="3600">
        <v>0</v>
      </c>
      <c r="H60" s="3600">
        <v>0</v>
      </c>
      <c r="I60" s="3600">
        <v>0</v>
      </c>
      <c r="J60" s="3600">
        <v>0</v>
      </c>
      <c r="K60" s="3600">
        <v>0</v>
      </c>
      <c r="L60" s="3600">
        <v>0</v>
      </c>
      <c r="M60" s="3600">
        <v>0</v>
      </c>
      <c r="N60" s="3600">
        <v>0</v>
      </c>
      <c r="O60" s="3600">
        <v>0</v>
      </c>
      <c r="P60" s="3600">
        <v>0</v>
      </c>
      <c r="Q60" s="3600">
        <v>0</v>
      </c>
      <c r="S60" s="940"/>
      <c r="T60" s="941"/>
      <c r="U60" s="941"/>
      <c r="V60" s="941"/>
      <c r="W60" s="940"/>
    </row>
    <row r="61" spans="1:23">
      <c r="A61" s="1722">
        <v>426891</v>
      </c>
      <c r="B61" s="1723" t="s">
        <v>2423</v>
      </c>
      <c r="C61" s="1722" t="s">
        <v>2422</v>
      </c>
      <c r="D61" s="580">
        <f t="shared" si="2"/>
        <v>426</v>
      </c>
      <c r="E61" s="564">
        <f t="shared" si="9"/>
        <v>111507</v>
      </c>
      <c r="F61" s="3600">
        <v>10568</v>
      </c>
      <c r="G61" s="3600">
        <v>13129</v>
      </c>
      <c r="H61" s="3600">
        <v>14836</v>
      </c>
      <c r="I61" s="3600">
        <v>13448</v>
      </c>
      <c r="J61" s="3600">
        <v>15205</v>
      </c>
      <c r="K61" s="3600">
        <v>15508</v>
      </c>
      <c r="L61" s="3600">
        <v>3063</v>
      </c>
      <c r="M61" s="3600">
        <v>3369</v>
      </c>
      <c r="N61" s="3600">
        <v>3566</v>
      </c>
      <c r="O61" s="3600">
        <v>3692</v>
      </c>
      <c r="P61" s="3600">
        <v>5707</v>
      </c>
      <c r="Q61" s="3600">
        <v>9416</v>
      </c>
      <c r="S61" s="940"/>
      <c r="T61" s="941"/>
      <c r="U61" s="941"/>
      <c r="V61" s="941"/>
      <c r="W61" s="940"/>
    </row>
    <row r="62" spans="1:23">
      <c r="A62" s="1722">
        <v>480000</v>
      </c>
      <c r="B62" s="1723" t="s">
        <v>2400</v>
      </c>
      <c r="C62" s="1722" t="s">
        <v>957</v>
      </c>
      <c r="D62" s="580">
        <f t="shared" si="2"/>
        <v>480</v>
      </c>
      <c r="E62" s="564">
        <f t="shared" si="3"/>
        <v>67338429</v>
      </c>
      <c r="F62" s="3600">
        <v>8340117</v>
      </c>
      <c r="G62" s="3600">
        <v>13132271</v>
      </c>
      <c r="H62" s="3600">
        <v>10339872</v>
      </c>
      <c r="I62" s="3600">
        <v>7453246</v>
      </c>
      <c r="J62" s="3600">
        <v>7158228</v>
      </c>
      <c r="K62" s="3600">
        <v>3715099</v>
      </c>
      <c r="L62" s="3600">
        <v>2751087</v>
      </c>
      <c r="M62" s="3600">
        <v>2362306</v>
      </c>
      <c r="N62" s="3600">
        <v>2125455</v>
      </c>
      <c r="O62" s="3600">
        <v>2192689</v>
      </c>
      <c r="P62" s="3600">
        <v>2829703</v>
      </c>
      <c r="Q62" s="3600">
        <v>4938356</v>
      </c>
      <c r="S62" s="940"/>
      <c r="T62" s="941"/>
      <c r="U62" s="941"/>
      <c r="V62" s="941"/>
      <c r="W62" s="940"/>
    </row>
    <row r="63" spans="1:23">
      <c r="A63" s="1722">
        <v>480990</v>
      </c>
      <c r="B63" s="1723" t="s">
        <v>2401</v>
      </c>
      <c r="C63" s="1722" t="s">
        <v>957</v>
      </c>
      <c r="D63" s="580">
        <f t="shared" si="2"/>
        <v>480</v>
      </c>
      <c r="E63" s="564">
        <f t="shared" si="3"/>
        <v>1346262</v>
      </c>
      <c r="F63" s="3600">
        <v>2499849</v>
      </c>
      <c r="G63" s="3600">
        <v>-1045741</v>
      </c>
      <c r="H63" s="3600">
        <v>-1258027</v>
      </c>
      <c r="I63" s="3600">
        <v>159993</v>
      </c>
      <c r="J63" s="3600">
        <v>-1183928</v>
      </c>
      <c r="K63" s="3600">
        <v>-1489893</v>
      </c>
      <c r="L63" s="3600">
        <v>7</v>
      </c>
      <c r="M63" s="3600">
        <v>613752</v>
      </c>
      <c r="N63" s="3600">
        <v>26282</v>
      </c>
      <c r="O63" s="3600">
        <v>554106</v>
      </c>
      <c r="P63" s="3600">
        <v>575165</v>
      </c>
      <c r="Q63" s="3600">
        <v>1894697</v>
      </c>
      <c r="S63" s="940"/>
      <c r="T63" s="941"/>
      <c r="U63" s="941"/>
      <c r="V63" s="941"/>
      <c r="W63" s="940"/>
    </row>
    <row r="64" spans="1:23">
      <c r="A64" s="1722">
        <v>481000</v>
      </c>
      <c r="B64" s="1723" t="s">
        <v>2402</v>
      </c>
      <c r="C64" s="1722" t="s">
        <v>957</v>
      </c>
      <c r="D64" s="580">
        <f t="shared" si="2"/>
        <v>481</v>
      </c>
      <c r="E64" s="564">
        <f t="shared" si="3"/>
        <v>1653956</v>
      </c>
      <c r="F64" s="3600">
        <v>240524</v>
      </c>
      <c r="G64" s="3600">
        <v>386075</v>
      </c>
      <c r="H64" s="3600">
        <v>292172</v>
      </c>
      <c r="I64" s="3600">
        <v>203083</v>
      </c>
      <c r="J64" s="3600">
        <v>185536</v>
      </c>
      <c r="K64" s="3600">
        <v>75665</v>
      </c>
      <c r="L64" s="3600">
        <v>46440</v>
      </c>
      <c r="M64" s="3600">
        <v>28994</v>
      </c>
      <c r="N64" s="3600">
        <v>36678</v>
      </c>
      <c r="O64" s="3600">
        <v>42228</v>
      </c>
      <c r="P64" s="3600">
        <v>43092</v>
      </c>
      <c r="Q64" s="3600">
        <v>73469</v>
      </c>
      <c r="S64" s="940"/>
      <c r="T64" s="941"/>
      <c r="U64" s="941"/>
      <c r="V64" s="941"/>
      <c r="W64" s="940"/>
    </row>
    <row r="65" spans="1:23">
      <c r="A65" s="1722">
        <v>481090</v>
      </c>
      <c r="B65" s="1723" t="s">
        <v>2403</v>
      </c>
      <c r="C65" s="1722" t="s">
        <v>957</v>
      </c>
      <c r="D65" s="580">
        <f t="shared" si="2"/>
        <v>481</v>
      </c>
      <c r="E65" s="564">
        <f t="shared" si="3"/>
        <v>361</v>
      </c>
      <c r="F65" s="3600">
        <v>-4020</v>
      </c>
      <c r="G65" s="3600">
        <v>-18173</v>
      </c>
      <c r="H65" s="3600">
        <v>-25437</v>
      </c>
      <c r="I65" s="3600">
        <v>12904</v>
      </c>
      <c r="J65" s="3600">
        <v>-25972</v>
      </c>
      <c r="K65" s="3600">
        <v>-4562</v>
      </c>
      <c r="L65" s="3600">
        <v>6867</v>
      </c>
      <c r="M65" s="3600">
        <v>19528</v>
      </c>
      <c r="N65" s="3600">
        <v>1476</v>
      </c>
      <c r="O65" s="3600">
        <v>14979</v>
      </c>
      <c r="P65" s="3600">
        <v>596</v>
      </c>
      <c r="Q65" s="3600">
        <v>22175</v>
      </c>
      <c r="S65" s="940"/>
      <c r="T65" s="941"/>
      <c r="U65" s="941"/>
      <c r="V65" s="941"/>
      <c r="W65" s="940"/>
    </row>
    <row r="66" spans="1:23">
      <c r="A66" s="1722">
        <v>481200</v>
      </c>
      <c r="B66" s="1723" t="s">
        <v>2404</v>
      </c>
      <c r="C66" s="1722" t="s">
        <v>957</v>
      </c>
      <c r="D66" s="580">
        <f t="shared" si="2"/>
        <v>481</v>
      </c>
      <c r="E66" s="564">
        <f t="shared" si="3"/>
        <v>25288754</v>
      </c>
      <c r="F66" s="3600">
        <v>3005622</v>
      </c>
      <c r="G66" s="3600">
        <v>4843645</v>
      </c>
      <c r="H66" s="3600">
        <v>3728266</v>
      </c>
      <c r="I66" s="3600">
        <v>2809229</v>
      </c>
      <c r="J66" s="3600">
        <v>2721970</v>
      </c>
      <c r="K66" s="3600">
        <v>1309181</v>
      </c>
      <c r="L66" s="3600">
        <v>936120</v>
      </c>
      <c r="M66" s="3600">
        <v>886561</v>
      </c>
      <c r="N66" s="3600">
        <v>1009259</v>
      </c>
      <c r="O66" s="3600">
        <v>847241</v>
      </c>
      <c r="P66" s="3600">
        <v>1268913</v>
      </c>
      <c r="Q66" s="3600">
        <v>1922747</v>
      </c>
      <c r="S66" s="940"/>
      <c r="T66" s="941"/>
      <c r="U66" s="941"/>
      <c r="V66" s="941"/>
      <c r="W66" s="940"/>
    </row>
    <row r="67" spans="1:23">
      <c r="A67" s="1722">
        <v>481290</v>
      </c>
      <c r="B67" s="1723" t="s">
        <v>2405</v>
      </c>
      <c r="C67" s="1722" t="s">
        <v>957</v>
      </c>
      <c r="D67" s="580">
        <f t="shared" si="2"/>
        <v>481</v>
      </c>
      <c r="E67" s="564">
        <f t="shared" si="3"/>
        <v>457261</v>
      </c>
      <c r="F67" s="3600">
        <v>664424</v>
      </c>
      <c r="G67" s="3600">
        <v>-481813</v>
      </c>
      <c r="H67" s="3600">
        <v>-306544</v>
      </c>
      <c r="I67" s="3600">
        <v>-24421</v>
      </c>
      <c r="J67" s="3600">
        <v>-473678</v>
      </c>
      <c r="K67" s="3600">
        <v>-269300</v>
      </c>
      <c r="L67" s="3600">
        <v>11006</v>
      </c>
      <c r="M67" s="3600">
        <v>329850</v>
      </c>
      <c r="N67" s="3600">
        <v>-86278</v>
      </c>
      <c r="O67" s="3600">
        <v>303418</v>
      </c>
      <c r="P67" s="3600">
        <v>82884</v>
      </c>
      <c r="Q67" s="3600">
        <v>707713</v>
      </c>
      <c r="S67" s="940"/>
      <c r="T67" s="941"/>
      <c r="U67" s="941"/>
      <c r="V67" s="941"/>
      <c r="W67" s="940"/>
    </row>
    <row r="68" spans="1:23">
      <c r="A68" s="1722">
        <v>482000</v>
      </c>
      <c r="B68" s="1723" t="s">
        <v>2406</v>
      </c>
      <c r="C68" s="1722" t="s">
        <v>957</v>
      </c>
      <c r="D68" s="580">
        <f t="shared" si="2"/>
        <v>482</v>
      </c>
      <c r="E68" s="564">
        <f t="shared" si="3"/>
        <v>2431917</v>
      </c>
      <c r="F68" s="3600">
        <v>304155</v>
      </c>
      <c r="G68" s="3600">
        <v>529945</v>
      </c>
      <c r="H68" s="3600">
        <v>401649</v>
      </c>
      <c r="I68" s="3600">
        <v>292314</v>
      </c>
      <c r="J68" s="3600">
        <v>280594</v>
      </c>
      <c r="K68" s="3600">
        <v>113606</v>
      </c>
      <c r="L68" s="3600">
        <v>79630</v>
      </c>
      <c r="M68" s="3600">
        <v>53767</v>
      </c>
      <c r="N68" s="3600">
        <v>41598</v>
      </c>
      <c r="O68" s="3600">
        <v>57256</v>
      </c>
      <c r="P68" s="3600">
        <v>109247</v>
      </c>
      <c r="Q68" s="3600">
        <v>168156</v>
      </c>
      <c r="S68" s="940"/>
      <c r="T68" s="941"/>
      <c r="U68" s="941"/>
      <c r="V68" s="941"/>
      <c r="W68" s="940"/>
    </row>
    <row r="69" spans="1:23">
      <c r="A69" s="1722">
        <v>482090</v>
      </c>
      <c r="B69" s="1723" t="s">
        <v>2407</v>
      </c>
      <c r="C69" s="1722" t="s">
        <v>957</v>
      </c>
      <c r="D69" s="580">
        <f t="shared" si="2"/>
        <v>482</v>
      </c>
      <c r="E69" s="564">
        <f t="shared" si="3"/>
        <v>64744</v>
      </c>
      <c r="F69" s="3600">
        <v>69551</v>
      </c>
      <c r="G69" s="3600">
        <v>-116309</v>
      </c>
      <c r="H69" s="3600">
        <v>-64160</v>
      </c>
      <c r="I69" s="3600">
        <v>79980</v>
      </c>
      <c r="J69" s="3600">
        <v>-104376</v>
      </c>
      <c r="K69" s="3600">
        <v>-35969</v>
      </c>
      <c r="L69" s="3600">
        <v>-5599</v>
      </c>
      <c r="M69" s="3600">
        <v>47397</v>
      </c>
      <c r="N69" s="3600">
        <v>10251</v>
      </c>
      <c r="O69" s="3600">
        <v>46999</v>
      </c>
      <c r="P69" s="3600">
        <v>24277</v>
      </c>
      <c r="Q69" s="3600">
        <v>112702</v>
      </c>
      <c r="S69" s="940"/>
      <c r="T69" s="941"/>
      <c r="U69" s="941"/>
      <c r="V69" s="941"/>
      <c r="W69" s="940"/>
    </row>
    <row r="70" spans="1:23">
      <c r="A70" s="1722">
        <v>482200</v>
      </c>
      <c r="B70" s="1723" t="s">
        <v>2408</v>
      </c>
      <c r="C70" s="1722" t="s">
        <v>957</v>
      </c>
      <c r="D70" s="580">
        <f t="shared" si="2"/>
        <v>482</v>
      </c>
      <c r="E70" s="564">
        <f t="shared" si="3"/>
        <v>736</v>
      </c>
      <c r="F70" s="3600">
        <v>80</v>
      </c>
      <c r="G70" s="3600">
        <v>85</v>
      </c>
      <c r="H70" s="3600">
        <v>78</v>
      </c>
      <c r="I70" s="3600">
        <v>81</v>
      </c>
      <c r="J70" s="3600">
        <v>79</v>
      </c>
      <c r="K70" s="3600">
        <v>78</v>
      </c>
      <c r="L70" s="3600">
        <v>33</v>
      </c>
      <c r="M70" s="3600">
        <v>43</v>
      </c>
      <c r="N70" s="3600">
        <v>41</v>
      </c>
      <c r="O70" s="3600">
        <v>50</v>
      </c>
      <c r="P70" s="3600">
        <v>45</v>
      </c>
      <c r="Q70" s="3600">
        <v>43</v>
      </c>
      <c r="S70" s="940"/>
      <c r="T70" s="941"/>
      <c r="U70" s="941"/>
      <c r="V70" s="941"/>
      <c r="W70" s="940"/>
    </row>
    <row r="71" spans="1:23">
      <c r="A71" s="1722">
        <v>484000</v>
      </c>
      <c r="B71" s="1723" t="s">
        <v>1279</v>
      </c>
      <c r="C71" s="1722" t="s">
        <v>957</v>
      </c>
      <c r="D71" s="580">
        <f t="shared" si="2"/>
        <v>484</v>
      </c>
      <c r="E71" s="564">
        <f t="shared" si="3"/>
        <v>33586</v>
      </c>
      <c r="F71" s="3600">
        <v>4259</v>
      </c>
      <c r="G71" s="3600">
        <v>6726</v>
      </c>
      <c r="H71" s="3600">
        <v>8445</v>
      </c>
      <c r="I71" s="3600">
        <v>6070</v>
      </c>
      <c r="J71" s="3600">
        <v>5204</v>
      </c>
      <c r="K71" s="3600">
        <v>2882</v>
      </c>
      <c r="L71" s="3600">
        <v>0</v>
      </c>
      <c r="M71" s="3600">
        <v>0</v>
      </c>
      <c r="N71" s="3600">
        <v>0</v>
      </c>
      <c r="O71" s="3600">
        <v>0</v>
      </c>
      <c r="P71" s="3600">
        <v>0</v>
      </c>
      <c r="Q71" s="3600">
        <v>0</v>
      </c>
      <c r="S71" s="940"/>
      <c r="T71" s="941"/>
      <c r="U71" s="941"/>
      <c r="V71" s="941"/>
      <c r="W71" s="940"/>
    </row>
    <row r="72" spans="1:23">
      <c r="A72" s="1722">
        <v>487001</v>
      </c>
      <c r="B72" s="1723" t="s">
        <v>2409</v>
      </c>
      <c r="C72" s="1722" t="s">
        <v>957</v>
      </c>
      <c r="D72" s="580">
        <f t="shared" si="2"/>
        <v>487</v>
      </c>
      <c r="E72" s="564">
        <f t="shared" si="3"/>
        <v>0</v>
      </c>
      <c r="F72" s="3600">
        <v>0</v>
      </c>
      <c r="G72" s="3600">
        <v>0</v>
      </c>
      <c r="H72" s="3600">
        <v>0</v>
      </c>
      <c r="I72" s="3600">
        <v>0</v>
      </c>
      <c r="J72" s="3600">
        <v>0</v>
      </c>
      <c r="K72" s="3600">
        <v>0</v>
      </c>
      <c r="L72" s="3600">
        <v>0</v>
      </c>
      <c r="M72" s="3600">
        <v>0</v>
      </c>
      <c r="N72" s="3600">
        <v>0</v>
      </c>
      <c r="O72" s="3600">
        <v>0</v>
      </c>
      <c r="P72" s="3600">
        <v>0</v>
      </c>
      <c r="Q72" s="3600">
        <v>0</v>
      </c>
      <c r="S72" s="940"/>
      <c r="T72" s="941"/>
      <c r="U72" s="941"/>
      <c r="V72" s="941"/>
      <c r="W72" s="940"/>
    </row>
    <row r="73" spans="1:23">
      <c r="A73" s="1722">
        <v>488000</v>
      </c>
      <c r="B73" s="3118" t="s">
        <v>2410</v>
      </c>
      <c r="C73" s="1722" t="s">
        <v>957</v>
      </c>
      <c r="D73" s="580">
        <f t="shared" si="2"/>
        <v>488</v>
      </c>
      <c r="E73" s="564">
        <f t="shared" si="3"/>
        <v>38782</v>
      </c>
      <c r="F73" s="3600">
        <v>2422</v>
      </c>
      <c r="G73" s="3600">
        <v>2236</v>
      </c>
      <c r="H73" s="3600">
        <v>1976</v>
      </c>
      <c r="I73" s="3600">
        <v>2303</v>
      </c>
      <c r="J73" s="3600">
        <v>2041</v>
      </c>
      <c r="K73" s="3600">
        <v>1806</v>
      </c>
      <c r="L73" s="3600">
        <v>4333</v>
      </c>
      <c r="M73" s="3600">
        <v>4333</v>
      </c>
      <c r="N73" s="3600">
        <v>4333</v>
      </c>
      <c r="O73" s="3600">
        <v>4333</v>
      </c>
      <c r="P73" s="3600">
        <v>4333</v>
      </c>
      <c r="Q73" s="3600">
        <v>4333</v>
      </c>
      <c r="S73" s="940"/>
      <c r="T73" s="941"/>
      <c r="U73" s="941"/>
      <c r="V73" s="941"/>
      <c r="W73" s="940"/>
    </row>
    <row r="74" spans="1:23">
      <c r="A74" s="1722">
        <v>488100</v>
      </c>
      <c r="B74" s="1723" t="s">
        <v>2411</v>
      </c>
      <c r="C74" s="1722" t="s">
        <v>957</v>
      </c>
      <c r="D74" s="580">
        <f t="shared" si="2"/>
        <v>488</v>
      </c>
      <c r="E74" s="564">
        <f t="shared" si="3"/>
        <v>472796</v>
      </c>
      <c r="F74" s="3600">
        <v>2850</v>
      </c>
      <c r="G74" s="3600">
        <v>42580</v>
      </c>
      <c r="H74" s="3600">
        <v>42580</v>
      </c>
      <c r="I74" s="3600">
        <v>85160</v>
      </c>
      <c r="J74" s="3600">
        <v>0</v>
      </c>
      <c r="K74" s="3600">
        <v>42580</v>
      </c>
      <c r="L74" s="3600">
        <v>42841</v>
      </c>
      <c r="M74" s="3600">
        <v>42841</v>
      </c>
      <c r="N74" s="3600">
        <v>42841</v>
      </c>
      <c r="O74" s="3600">
        <v>42841</v>
      </c>
      <c r="P74" s="3600">
        <v>42841</v>
      </c>
      <c r="Q74" s="3600">
        <v>42841</v>
      </c>
      <c r="S74" s="940"/>
      <c r="T74" s="941"/>
      <c r="U74" s="941"/>
      <c r="V74" s="941"/>
      <c r="W74" s="940"/>
    </row>
    <row r="75" spans="1:23">
      <c r="A75" s="1722">
        <v>489000</v>
      </c>
      <c r="B75" s="1723" t="s">
        <v>2412</v>
      </c>
      <c r="C75" s="1722" t="s">
        <v>957</v>
      </c>
      <c r="D75" s="580">
        <f t="shared" si="2"/>
        <v>489</v>
      </c>
      <c r="E75" s="564">
        <f t="shared" si="3"/>
        <v>1500679</v>
      </c>
      <c r="F75" s="3600">
        <v>139934</v>
      </c>
      <c r="G75" s="3600">
        <v>147775</v>
      </c>
      <c r="H75" s="3600">
        <v>123614</v>
      </c>
      <c r="I75" s="3600">
        <v>138802</v>
      </c>
      <c r="J75" s="3600">
        <v>134169</v>
      </c>
      <c r="K75" s="3600">
        <v>116181</v>
      </c>
      <c r="L75" s="3600">
        <v>109121</v>
      </c>
      <c r="M75" s="3600">
        <v>108404</v>
      </c>
      <c r="N75" s="3600">
        <v>115576</v>
      </c>
      <c r="O75" s="3600">
        <v>110434</v>
      </c>
      <c r="P75" s="3600">
        <v>127165</v>
      </c>
      <c r="Q75" s="3600">
        <v>129504</v>
      </c>
      <c r="S75" s="940"/>
      <c r="T75" s="941"/>
      <c r="U75" s="941"/>
      <c r="V75" s="941"/>
      <c r="W75" s="940"/>
    </row>
    <row r="76" spans="1:23">
      <c r="A76" s="1722">
        <v>489010</v>
      </c>
      <c r="B76" s="1723" t="s">
        <v>2413</v>
      </c>
      <c r="C76" s="1722" t="s">
        <v>957</v>
      </c>
      <c r="D76" s="580">
        <f t="shared" si="2"/>
        <v>489</v>
      </c>
      <c r="E76" s="564">
        <f t="shared" si="3"/>
        <v>261036</v>
      </c>
      <c r="F76" s="3600">
        <v>43506</v>
      </c>
      <c r="G76" s="3600">
        <v>43506</v>
      </c>
      <c r="H76" s="3600">
        <v>43506</v>
      </c>
      <c r="I76" s="3600">
        <v>43506</v>
      </c>
      <c r="J76" s="3600">
        <v>43506</v>
      </c>
      <c r="K76" s="3600">
        <v>43506</v>
      </c>
      <c r="L76" s="3600">
        <v>0</v>
      </c>
      <c r="M76" s="3600">
        <v>0</v>
      </c>
      <c r="N76" s="3600">
        <v>0</v>
      </c>
      <c r="O76" s="3600">
        <v>0</v>
      </c>
      <c r="P76" s="3600">
        <v>0</v>
      </c>
      <c r="Q76" s="3600">
        <v>0</v>
      </c>
      <c r="S76" s="940"/>
      <c r="T76" s="941"/>
      <c r="U76" s="941"/>
      <c r="V76" s="941"/>
      <c r="W76" s="940"/>
    </row>
    <row r="77" spans="1:23">
      <c r="A77" s="1722">
        <v>489020</v>
      </c>
      <c r="B77" s="1723" t="s">
        <v>2414</v>
      </c>
      <c r="C77" s="1722" t="s">
        <v>957</v>
      </c>
      <c r="D77" s="580">
        <f t="shared" si="2"/>
        <v>489</v>
      </c>
      <c r="E77" s="564">
        <f t="shared" si="3"/>
        <v>1310216</v>
      </c>
      <c r="F77" s="3600">
        <v>151543</v>
      </c>
      <c r="G77" s="3600">
        <v>172211</v>
      </c>
      <c r="H77" s="3600">
        <v>120195</v>
      </c>
      <c r="I77" s="3600">
        <v>152563</v>
      </c>
      <c r="J77" s="3600">
        <v>104805</v>
      </c>
      <c r="K77" s="3600">
        <v>60321</v>
      </c>
      <c r="L77" s="3600">
        <v>81230</v>
      </c>
      <c r="M77" s="3600">
        <v>69396</v>
      </c>
      <c r="N77" s="3600">
        <v>85233</v>
      </c>
      <c r="O77" s="3600">
        <v>67251</v>
      </c>
      <c r="P77" s="3600">
        <v>108862</v>
      </c>
      <c r="Q77" s="3600">
        <v>136606</v>
      </c>
      <c r="S77" s="940"/>
      <c r="T77" s="941"/>
      <c r="U77" s="941"/>
      <c r="V77" s="941"/>
      <c r="W77" s="940"/>
    </row>
    <row r="78" spans="1:23">
      <c r="A78" s="1722">
        <v>489025</v>
      </c>
      <c r="B78" s="1723" t="s">
        <v>2415</v>
      </c>
      <c r="C78" s="1722" t="s">
        <v>957</v>
      </c>
      <c r="D78" s="580">
        <f t="shared" si="2"/>
        <v>489</v>
      </c>
      <c r="E78" s="564">
        <f t="shared" si="3"/>
        <v>15994</v>
      </c>
      <c r="F78" s="3600">
        <v>38494</v>
      </c>
      <c r="G78" s="3600">
        <v>-26085</v>
      </c>
      <c r="H78" s="3600">
        <v>-18288</v>
      </c>
      <c r="I78" s="3600">
        <v>-2731</v>
      </c>
      <c r="J78" s="3600">
        <v>-24163</v>
      </c>
      <c r="K78" s="3600">
        <v>-15445</v>
      </c>
      <c r="L78" s="3600">
        <v>-8454</v>
      </c>
      <c r="M78" s="3600">
        <v>4732</v>
      </c>
      <c r="N78" s="3600">
        <v>-6790</v>
      </c>
      <c r="O78" s="3600">
        <v>8122</v>
      </c>
      <c r="P78" s="3600">
        <v>13185</v>
      </c>
      <c r="Q78" s="3600">
        <v>53417</v>
      </c>
      <c r="S78" s="940"/>
      <c r="T78" s="941"/>
      <c r="U78" s="941"/>
      <c r="V78" s="941"/>
      <c r="W78" s="940"/>
    </row>
    <row r="79" spans="1:23">
      <c r="A79" s="1722">
        <v>489030</v>
      </c>
      <c r="B79" s="1723" t="s">
        <v>2416</v>
      </c>
      <c r="C79" s="1722" t="s">
        <v>957</v>
      </c>
      <c r="D79" s="580">
        <f t="shared" si="2"/>
        <v>489</v>
      </c>
      <c r="E79" s="564">
        <f t="shared" si="3"/>
        <v>2961469</v>
      </c>
      <c r="F79" s="3600">
        <v>301071</v>
      </c>
      <c r="G79" s="3600">
        <v>343666</v>
      </c>
      <c r="H79" s="3600">
        <v>281574</v>
      </c>
      <c r="I79" s="3600">
        <v>306852</v>
      </c>
      <c r="J79" s="3600">
        <v>253535</v>
      </c>
      <c r="K79" s="3600">
        <v>198410</v>
      </c>
      <c r="L79" s="3600">
        <v>209102</v>
      </c>
      <c r="M79" s="3600">
        <v>214672</v>
      </c>
      <c r="N79" s="3600">
        <v>201073</v>
      </c>
      <c r="O79" s="3600">
        <v>207869</v>
      </c>
      <c r="P79" s="3600">
        <v>223823</v>
      </c>
      <c r="Q79" s="3600">
        <v>219822</v>
      </c>
      <c r="S79" s="940"/>
      <c r="T79" s="941"/>
      <c r="U79" s="941"/>
      <c r="V79" s="941"/>
      <c r="W79" s="940"/>
    </row>
    <row r="80" spans="1:23">
      <c r="A80" s="1722">
        <v>489035</v>
      </c>
      <c r="B80" s="1723" t="s">
        <v>2417</v>
      </c>
      <c r="C80" s="1722" t="s">
        <v>957</v>
      </c>
      <c r="D80" s="580">
        <f t="shared" si="2"/>
        <v>489</v>
      </c>
      <c r="E80" s="564">
        <f t="shared" si="3"/>
        <v>-19962</v>
      </c>
      <c r="F80" s="3600">
        <v>-9303</v>
      </c>
      <c r="G80" s="3600">
        <v>-41236</v>
      </c>
      <c r="H80" s="3600">
        <v>-58273</v>
      </c>
      <c r="I80" s="3600">
        <v>21872</v>
      </c>
      <c r="J80" s="3600">
        <v>-48519</v>
      </c>
      <c r="K80" s="3600">
        <v>-14297</v>
      </c>
      <c r="L80" s="3600">
        <v>-5033</v>
      </c>
      <c r="M80" s="3600">
        <v>-4266</v>
      </c>
      <c r="N80" s="3600">
        <v>10708</v>
      </c>
      <c r="O80" s="3600">
        <v>2774</v>
      </c>
      <c r="P80" s="3600">
        <v>38001</v>
      </c>
      <c r="Q80" s="3600">
        <v>87610</v>
      </c>
      <c r="S80" s="940"/>
      <c r="T80" s="941"/>
      <c r="U80" s="941"/>
      <c r="V80" s="941"/>
      <c r="W80" s="940"/>
    </row>
    <row r="81" spans="1:23">
      <c r="A81" s="1722">
        <v>489040</v>
      </c>
      <c r="B81" s="1723" t="s">
        <v>2418</v>
      </c>
      <c r="C81" s="1722" t="s">
        <v>957</v>
      </c>
      <c r="D81" s="580">
        <f t="shared" si="2"/>
        <v>489</v>
      </c>
      <c r="E81" s="564">
        <f t="shared" si="3"/>
        <v>360956</v>
      </c>
      <c r="F81" s="3600">
        <v>59371</v>
      </c>
      <c r="G81" s="3600">
        <v>67643</v>
      </c>
      <c r="H81" s="3600">
        <v>45514</v>
      </c>
      <c r="I81" s="3600">
        <v>51699</v>
      </c>
      <c r="J81" s="3600">
        <v>37094</v>
      </c>
      <c r="K81" s="3600">
        <v>12770</v>
      </c>
      <c r="L81" s="3600">
        <v>9484</v>
      </c>
      <c r="M81" s="3600">
        <v>7319</v>
      </c>
      <c r="N81" s="3600">
        <v>7158</v>
      </c>
      <c r="O81" s="3600">
        <v>7842</v>
      </c>
      <c r="P81" s="3600">
        <v>19416</v>
      </c>
      <c r="Q81" s="3600">
        <v>35646</v>
      </c>
      <c r="S81" s="940"/>
      <c r="T81" s="941"/>
      <c r="U81" s="941"/>
      <c r="V81" s="941"/>
      <c r="W81" s="940"/>
    </row>
    <row r="82" spans="1:23">
      <c r="A82" s="1722">
        <v>489045</v>
      </c>
      <c r="B82" s="1723" t="s">
        <v>2419</v>
      </c>
      <c r="C82" s="1722" t="s">
        <v>957</v>
      </c>
      <c r="D82" s="580">
        <f t="shared" si="2"/>
        <v>489</v>
      </c>
      <c r="E82" s="564">
        <f t="shared" si="3"/>
        <v>5612</v>
      </c>
      <c r="F82" s="3600">
        <v>12663</v>
      </c>
      <c r="G82" s="3600">
        <v>-18991</v>
      </c>
      <c r="H82" s="3600">
        <v>-10592</v>
      </c>
      <c r="I82" s="3600">
        <v>12494</v>
      </c>
      <c r="J82" s="3600">
        <v>-16223</v>
      </c>
      <c r="K82" s="3600">
        <v>-5997</v>
      </c>
      <c r="L82" s="3600">
        <v>-1881</v>
      </c>
      <c r="M82" s="3600">
        <v>269</v>
      </c>
      <c r="N82" s="3600">
        <v>1004</v>
      </c>
      <c r="O82" s="3600">
        <v>1009</v>
      </c>
      <c r="P82" s="3600">
        <v>5978</v>
      </c>
      <c r="Q82" s="3600">
        <v>25879</v>
      </c>
      <c r="S82" s="940"/>
      <c r="T82" s="941"/>
      <c r="U82" s="941"/>
      <c r="V82" s="941"/>
      <c r="W82" s="940"/>
    </row>
    <row r="83" spans="1:23">
      <c r="A83" s="1722">
        <v>489200</v>
      </c>
      <c r="B83" s="1723" t="s">
        <v>2420</v>
      </c>
      <c r="C83" s="1722" t="s">
        <v>957</v>
      </c>
      <c r="D83" s="580">
        <f t="shared" ref="D83:D130" si="10">VALUE(LEFT(A83,3))</f>
        <v>489</v>
      </c>
      <c r="E83" s="564">
        <f t="shared" si="3"/>
        <v>0</v>
      </c>
      <c r="F83" s="3600">
        <v>0</v>
      </c>
      <c r="G83" s="3600">
        <v>-2</v>
      </c>
      <c r="H83" s="3600">
        <v>2</v>
      </c>
      <c r="I83" s="3600">
        <v>0</v>
      </c>
      <c r="J83" s="3600">
        <v>0</v>
      </c>
      <c r="K83" s="3600">
        <v>0</v>
      </c>
      <c r="L83" s="3600">
        <v>0</v>
      </c>
      <c r="M83" s="3600">
        <v>0</v>
      </c>
      <c r="N83" s="3600">
        <v>0</v>
      </c>
      <c r="O83" s="3600">
        <v>0</v>
      </c>
      <c r="P83" s="3600">
        <v>0</v>
      </c>
      <c r="Q83" s="3600">
        <v>0</v>
      </c>
      <c r="S83" s="940"/>
      <c r="T83" s="941"/>
      <c r="U83" s="941"/>
      <c r="V83" s="941"/>
      <c r="W83" s="940"/>
    </row>
    <row r="84" spans="1:23">
      <c r="A84" s="1722">
        <v>493010</v>
      </c>
      <c r="B84" s="1723" t="s">
        <v>2671</v>
      </c>
      <c r="C84" s="1722" t="s">
        <v>957</v>
      </c>
      <c r="D84" s="580">
        <f t="shared" ref="D84" si="11">VALUE(LEFT(A84,3))</f>
        <v>493</v>
      </c>
      <c r="E84" s="564">
        <f t="shared" ref="E84" si="12">SUM(F84:Q84)</f>
        <v>7248</v>
      </c>
      <c r="F84" s="3600">
        <v>0</v>
      </c>
      <c r="G84" s="3600">
        <v>0</v>
      </c>
      <c r="H84" s="3600">
        <v>0</v>
      </c>
      <c r="I84" s="3600">
        <v>0</v>
      </c>
      <c r="J84" s="3600">
        <v>0</v>
      </c>
      <c r="K84" s="3600">
        <v>0</v>
      </c>
      <c r="L84" s="3600">
        <v>1208</v>
      </c>
      <c r="M84" s="3600">
        <v>1208</v>
      </c>
      <c r="N84" s="3600">
        <v>1208</v>
      </c>
      <c r="O84" s="3600">
        <v>1208</v>
      </c>
      <c r="P84" s="3600">
        <v>1208</v>
      </c>
      <c r="Q84" s="3600">
        <v>1208</v>
      </c>
      <c r="S84" s="940"/>
      <c r="T84" s="941"/>
      <c r="U84" s="941"/>
      <c r="V84" s="941"/>
      <c r="W84" s="940"/>
    </row>
    <row r="85" spans="1:23">
      <c r="A85" s="1722">
        <v>495031</v>
      </c>
      <c r="B85" s="3120" t="s">
        <v>207</v>
      </c>
      <c r="C85" s="1722" t="s">
        <v>957</v>
      </c>
      <c r="D85" s="580">
        <f t="shared" si="10"/>
        <v>495</v>
      </c>
      <c r="E85" s="564">
        <f t="shared" si="3"/>
        <v>15019</v>
      </c>
      <c r="F85" s="3600">
        <v>218</v>
      </c>
      <c r="G85" s="3600">
        <v>117</v>
      </c>
      <c r="H85" s="3600">
        <v>13685</v>
      </c>
      <c r="I85" s="3600">
        <v>883</v>
      </c>
      <c r="J85" s="3600">
        <v>44</v>
      </c>
      <c r="K85" s="3600">
        <v>72</v>
      </c>
      <c r="L85" s="3600">
        <v>0</v>
      </c>
      <c r="M85" s="3600">
        <v>0</v>
      </c>
      <c r="N85" s="3600">
        <v>0</v>
      </c>
      <c r="O85" s="3600">
        <v>0</v>
      </c>
      <c r="P85" s="3600">
        <v>0</v>
      </c>
      <c r="Q85" s="3600">
        <v>0</v>
      </c>
      <c r="S85" s="940"/>
      <c r="T85" s="941"/>
      <c r="U85" s="941"/>
      <c r="V85" s="941"/>
      <c r="W85" s="940"/>
    </row>
    <row r="86" spans="1:23">
      <c r="A86" s="1722">
        <v>496020</v>
      </c>
      <c r="B86" s="3120" t="s">
        <v>2421</v>
      </c>
      <c r="C86" s="1722" t="s">
        <v>957</v>
      </c>
      <c r="D86" s="580">
        <f t="shared" ref="D86" si="13">VALUE(LEFT(A86,3))</f>
        <v>496</v>
      </c>
      <c r="E86" s="564">
        <f t="shared" ref="E86" si="14">SUM(F86:Q86)</f>
        <v>-3109032</v>
      </c>
      <c r="F86" s="3600">
        <v>0</v>
      </c>
      <c r="G86" s="3600">
        <v>-588711</v>
      </c>
      <c r="H86" s="3600">
        <v>-469319</v>
      </c>
      <c r="I86" s="3600">
        <v>-433381</v>
      </c>
      <c r="J86" s="3600">
        <v>-501976</v>
      </c>
      <c r="K86" s="3600">
        <v>-254099</v>
      </c>
      <c r="L86" s="3600">
        <v>-110426</v>
      </c>
      <c r="M86" s="3600">
        <v>-123971</v>
      </c>
      <c r="N86" s="3600">
        <v>-93858</v>
      </c>
      <c r="O86" s="3600">
        <v>-116771</v>
      </c>
      <c r="P86" s="3600">
        <v>-142812</v>
      </c>
      <c r="Q86" s="3600">
        <v>-273708</v>
      </c>
      <c r="S86" s="940"/>
      <c r="T86" s="941"/>
      <c r="U86" s="941"/>
      <c r="V86" s="941"/>
      <c r="W86" s="940"/>
    </row>
    <row r="87" spans="1:23">
      <c r="A87" s="1722">
        <v>711000</v>
      </c>
      <c r="B87" s="1723" t="s">
        <v>1298</v>
      </c>
      <c r="C87" s="1722" t="s">
        <v>961</v>
      </c>
      <c r="D87" s="580">
        <f t="shared" si="10"/>
        <v>711</v>
      </c>
      <c r="E87" s="564">
        <f t="shared" ref="E87:E139" si="15">SUM(F87:Q87)</f>
        <v>8534</v>
      </c>
      <c r="F87" s="3600">
        <v>407</v>
      </c>
      <c r="G87" s="3600">
        <v>828</v>
      </c>
      <c r="H87" s="3600">
        <v>6066</v>
      </c>
      <c r="I87" s="3600">
        <v>498</v>
      </c>
      <c r="J87" s="3600">
        <v>447</v>
      </c>
      <c r="K87" s="3600">
        <v>288</v>
      </c>
      <c r="L87" s="3600">
        <v>0</v>
      </c>
      <c r="M87" s="3600">
        <v>0</v>
      </c>
      <c r="N87" s="3600">
        <v>0</v>
      </c>
      <c r="O87" s="3600">
        <v>0</v>
      </c>
      <c r="P87" s="3600">
        <v>0</v>
      </c>
      <c r="Q87" s="3600">
        <v>0</v>
      </c>
      <c r="S87" s="940"/>
      <c r="T87" s="941"/>
      <c r="U87" s="941"/>
      <c r="V87" s="941"/>
      <c r="W87" s="940"/>
    </row>
    <row r="88" spans="1:23">
      <c r="A88" s="1722">
        <v>712000</v>
      </c>
      <c r="B88" s="1723" t="s">
        <v>2364</v>
      </c>
      <c r="C88" s="1722" t="s">
        <v>961</v>
      </c>
      <c r="D88" s="580">
        <f t="shared" si="10"/>
        <v>712</v>
      </c>
      <c r="E88" s="564">
        <f t="shared" si="15"/>
        <v>13405</v>
      </c>
      <c r="F88" s="3600">
        <v>10621</v>
      </c>
      <c r="G88" s="3600">
        <v>825</v>
      </c>
      <c r="H88" s="3600">
        <v>0</v>
      </c>
      <c r="I88" s="3600">
        <v>1042</v>
      </c>
      <c r="J88" s="3600">
        <v>555</v>
      </c>
      <c r="K88" s="3600">
        <v>362</v>
      </c>
      <c r="L88" s="3600">
        <v>0</v>
      </c>
      <c r="M88" s="3600">
        <v>0</v>
      </c>
      <c r="N88" s="3600">
        <v>0</v>
      </c>
      <c r="O88" s="3600">
        <v>0</v>
      </c>
      <c r="P88" s="3600">
        <v>0</v>
      </c>
      <c r="Q88" s="3600">
        <v>0</v>
      </c>
      <c r="S88" s="940"/>
      <c r="T88" s="941"/>
      <c r="U88" s="941"/>
      <c r="V88" s="941"/>
      <c r="W88" s="940"/>
    </row>
    <row r="89" spans="1:23">
      <c r="A89" s="1722">
        <v>717000</v>
      </c>
      <c r="B89" s="1723" t="s">
        <v>2052</v>
      </c>
      <c r="C89" s="1722" t="s">
        <v>961</v>
      </c>
      <c r="D89" s="580">
        <f t="shared" si="10"/>
        <v>717</v>
      </c>
      <c r="E89" s="564">
        <f t="shared" si="15"/>
        <v>116764</v>
      </c>
      <c r="F89" s="3600">
        <v>9373</v>
      </c>
      <c r="G89" s="3600">
        <v>5164</v>
      </c>
      <c r="H89" s="3600">
        <v>5467</v>
      </c>
      <c r="I89" s="3600">
        <v>8402</v>
      </c>
      <c r="J89" s="3600">
        <v>1920</v>
      </c>
      <c r="K89" s="3600">
        <v>10025</v>
      </c>
      <c r="L89" s="3600">
        <v>8138</v>
      </c>
      <c r="M89" s="3600">
        <v>12495</v>
      </c>
      <c r="N89" s="3600">
        <v>13741</v>
      </c>
      <c r="O89" s="3600">
        <v>14918</v>
      </c>
      <c r="P89" s="3600">
        <v>17194</v>
      </c>
      <c r="Q89" s="3600">
        <v>9927</v>
      </c>
      <c r="S89" s="940"/>
      <c r="T89" s="941"/>
      <c r="U89" s="941"/>
      <c r="V89" s="941"/>
      <c r="W89" s="940"/>
    </row>
    <row r="90" spans="1:23">
      <c r="A90" s="1722">
        <v>728000</v>
      </c>
      <c r="B90" s="3121" t="s">
        <v>1299</v>
      </c>
      <c r="C90" s="1722" t="s">
        <v>961</v>
      </c>
      <c r="D90" s="580">
        <f t="shared" si="10"/>
        <v>728</v>
      </c>
      <c r="E90" s="564">
        <f t="shared" si="15"/>
        <v>1677312</v>
      </c>
      <c r="F90" s="3600">
        <v>382448</v>
      </c>
      <c r="G90" s="3600">
        <v>1281656</v>
      </c>
      <c r="H90" s="3600">
        <v>0</v>
      </c>
      <c r="I90" s="3600">
        <v>0</v>
      </c>
      <c r="J90" s="3600">
        <v>633</v>
      </c>
      <c r="K90" s="3600">
        <v>0</v>
      </c>
      <c r="L90" s="3600">
        <v>0</v>
      </c>
      <c r="M90" s="3600">
        <v>0</v>
      </c>
      <c r="N90" s="3600">
        <v>0</v>
      </c>
      <c r="O90" s="3600">
        <v>0</v>
      </c>
      <c r="P90" s="3600">
        <v>0</v>
      </c>
      <c r="Q90" s="3600">
        <v>12575</v>
      </c>
      <c r="S90" s="940"/>
      <c r="T90" s="941"/>
      <c r="U90" s="941"/>
      <c r="V90" s="941"/>
      <c r="W90" s="940"/>
    </row>
    <row r="91" spans="1:23">
      <c r="A91" s="1722">
        <v>735000</v>
      </c>
      <c r="B91" s="3121" t="s">
        <v>2053</v>
      </c>
      <c r="C91" s="1722" t="s">
        <v>961</v>
      </c>
      <c r="D91" s="580">
        <f t="shared" si="10"/>
        <v>735</v>
      </c>
      <c r="E91" s="564">
        <f t="shared" si="15"/>
        <v>120585</v>
      </c>
      <c r="F91" s="3600">
        <v>3128</v>
      </c>
      <c r="G91" s="3600">
        <v>22325</v>
      </c>
      <c r="H91" s="3600">
        <v>10713</v>
      </c>
      <c r="I91" s="3600">
        <v>14193</v>
      </c>
      <c r="J91" s="3600">
        <v>564</v>
      </c>
      <c r="K91" s="3600">
        <v>193</v>
      </c>
      <c r="L91" s="3600">
        <v>7399</v>
      </c>
      <c r="M91" s="3600">
        <v>11360</v>
      </c>
      <c r="N91" s="3600">
        <v>12490</v>
      </c>
      <c r="O91" s="3600">
        <v>13563</v>
      </c>
      <c r="P91" s="3600">
        <v>15632</v>
      </c>
      <c r="Q91" s="3600">
        <v>9025</v>
      </c>
      <c r="S91" s="940"/>
      <c r="T91" s="941"/>
      <c r="U91" s="941"/>
      <c r="V91" s="941"/>
      <c r="W91" s="940"/>
    </row>
    <row r="92" spans="1:23">
      <c r="A92" s="1722">
        <v>742000</v>
      </c>
      <c r="B92" s="3122" t="s">
        <v>2054</v>
      </c>
      <c r="C92" s="1722" t="s">
        <v>968</v>
      </c>
      <c r="D92" s="580">
        <f t="shared" si="10"/>
        <v>742</v>
      </c>
      <c r="E92" s="564">
        <f t="shared" si="15"/>
        <v>111249</v>
      </c>
      <c r="F92" s="3600">
        <v>18522</v>
      </c>
      <c r="G92" s="3600">
        <v>21371</v>
      </c>
      <c r="H92" s="3600">
        <v>5900</v>
      </c>
      <c r="I92" s="3600">
        <v>3226</v>
      </c>
      <c r="J92" s="3600">
        <v>16962</v>
      </c>
      <c r="K92" s="3600">
        <v>4177</v>
      </c>
      <c r="L92" s="3600">
        <v>5864</v>
      </c>
      <c r="M92" s="3600">
        <v>5823</v>
      </c>
      <c r="N92" s="3600">
        <v>8266</v>
      </c>
      <c r="O92" s="3600">
        <v>5909</v>
      </c>
      <c r="P92" s="3600">
        <v>6379</v>
      </c>
      <c r="Q92" s="3600">
        <v>8850</v>
      </c>
      <c r="S92" s="940"/>
      <c r="T92" s="941"/>
      <c r="U92" s="941"/>
      <c r="V92" s="941"/>
      <c r="W92" s="940"/>
    </row>
    <row r="93" spans="1:23">
      <c r="A93" s="1722">
        <v>801000</v>
      </c>
      <c r="B93" s="3121" t="s">
        <v>2365</v>
      </c>
      <c r="C93" s="1722" t="s">
        <v>960</v>
      </c>
      <c r="D93" s="580">
        <f t="shared" si="10"/>
        <v>801</v>
      </c>
      <c r="E93" s="564">
        <f t="shared" si="15"/>
        <v>38380993</v>
      </c>
      <c r="F93" s="3600">
        <v>7380817</v>
      </c>
      <c r="G93" s="3600">
        <v>8676252</v>
      </c>
      <c r="H93" s="3600">
        <v>5531090</v>
      </c>
      <c r="I93" s="3600">
        <v>3653116</v>
      </c>
      <c r="J93" s="3600">
        <v>3024295</v>
      </c>
      <c r="K93" s="3600">
        <v>1325330</v>
      </c>
      <c r="L93" s="3600">
        <v>1070657</v>
      </c>
      <c r="M93" s="3600">
        <v>939038</v>
      </c>
      <c r="N93" s="3600">
        <v>879967</v>
      </c>
      <c r="O93" s="3600">
        <v>874332</v>
      </c>
      <c r="P93" s="3600">
        <v>1608957</v>
      </c>
      <c r="Q93" s="3600">
        <v>3417142</v>
      </c>
      <c r="S93" s="940"/>
      <c r="T93" s="941"/>
      <c r="U93" s="941"/>
      <c r="V93" s="941"/>
      <c r="W93" s="940"/>
    </row>
    <row r="94" spans="1:23">
      <c r="A94" s="1722">
        <v>801001</v>
      </c>
      <c r="B94" s="3121" t="s">
        <v>2366</v>
      </c>
      <c r="C94" s="1722" t="s">
        <v>960</v>
      </c>
      <c r="D94" s="580">
        <f t="shared" si="10"/>
        <v>801</v>
      </c>
      <c r="E94" s="564">
        <f t="shared" si="15"/>
        <v>1029149</v>
      </c>
      <c r="F94" s="3600">
        <v>174141</v>
      </c>
      <c r="G94" s="3600">
        <v>179009</v>
      </c>
      <c r="H94" s="3600">
        <v>174298</v>
      </c>
      <c r="I94" s="3600">
        <v>169936</v>
      </c>
      <c r="J94" s="3600">
        <v>165820</v>
      </c>
      <c r="K94" s="3600">
        <v>165945</v>
      </c>
      <c r="L94" s="3600">
        <v>0</v>
      </c>
      <c r="M94" s="3600">
        <v>0</v>
      </c>
      <c r="N94" s="3600">
        <v>0</v>
      </c>
      <c r="O94" s="3600">
        <v>0</v>
      </c>
      <c r="P94" s="3600">
        <v>0</v>
      </c>
      <c r="Q94" s="3600">
        <v>0</v>
      </c>
      <c r="S94" s="940"/>
      <c r="T94" s="941"/>
      <c r="U94" s="941"/>
      <c r="V94" s="941"/>
      <c r="W94" s="940"/>
    </row>
    <row r="95" spans="1:23">
      <c r="A95" s="1722">
        <v>805002</v>
      </c>
      <c r="B95" s="3121" t="s">
        <v>2367</v>
      </c>
      <c r="C95" s="1722" t="s">
        <v>960</v>
      </c>
      <c r="D95" s="580">
        <f t="shared" si="10"/>
        <v>805</v>
      </c>
      <c r="E95" s="564">
        <f t="shared" si="15"/>
        <v>2279145</v>
      </c>
      <c r="F95" s="3600">
        <v>-2127234</v>
      </c>
      <c r="G95" s="3600">
        <v>-505587</v>
      </c>
      <c r="H95" s="3600">
        <v>1626044</v>
      </c>
      <c r="I95" s="3600">
        <v>1296841</v>
      </c>
      <c r="J95" s="3600">
        <v>1533437</v>
      </c>
      <c r="K95" s="3600">
        <v>455644</v>
      </c>
      <c r="L95" s="3600">
        <v>0</v>
      </c>
      <c r="M95" s="3600">
        <v>0</v>
      </c>
      <c r="N95" s="3600">
        <v>0</v>
      </c>
      <c r="O95" s="3600">
        <v>0</v>
      </c>
      <c r="P95" s="3600">
        <v>0</v>
      </c>
      <c r="Q95" s="3600">
        <v>0</v>
      </c>
      <c r="S95" s="940"/>
      <c r="T95" s="941"/>
      <c r="U95" s="941"/>
      <c r="V95" s="941"/>
      <c r="W95" s="940"/>
    </row>
    <row r="96" spans="1:23">
      <c r="A96" s="1722">
        <v>805003</v>
      </c>
      <c r="B96" s="3353" t="s">
        <v>1300</v>
      </c>
      <c r="C96" s="1722" t="s">
        <v>960</v>
      </c>
      <c r="D96" s="580">
        <f t="shared" si="10"/>
        <v>805</v>
      </c>
      <c r="E96" s="564">
        <f>SUM(F96:Q96)</f>
        <v>2095556</v>
      </c>
      <c r="F96" s="3600">
        <v>1746593</v>
      </c>
      <c r="G96" s="3600">
        <v>-959758</v>
      </c>
      <c r="H96" s="3600">
        <v>-960929</v>
      </c>
      <c r="I96" s="3600">
        <v>125397</v>
      </c>
      <c r="J96" s="3600">
        <v>-994550</v>
      </c>
      <c r="K96" s="3600">
        <v>-988490</v>
      </c>
      <c r="L96" s="3600">
        <v>192706</v>
      </c>
      <c r="M96" s="3600">
        <v>1016854</v>
      </c>
      <c r="N96" s="3600">
        <v>-40680</v>
      </c>
      <c r="O96" s="3600">
        <v>865876</v>
      </c>
      <c r="P96" s="3600">
        <v>364192</v>
      </c>
      <c r="Q96" s="3600">
        <v>1728345</v>
      </c>
      <c r="S96" s="940"/>
      <c r="T96" s="941"/>
      <c r="U96" s="941"/>
      <c r="V96" s="941"/>
      <c r="W96" s="940"/>
    </row>
    <row r="97" spans="1:25">
      <c r="A97" s="1722">
        <v>807000</v>
      </c>
      <c r="B97" s="3121" t="s">
        <v>1301</v>
      </c>
      <c r="C97" s="1722" t="s">
        <v>961</v>
      </c>
      <c r="D97" s="580">
        <f t="shared" si="10"/>
        <v>807</v>
      </c>
      <c r="E97" s="564">
        <f t="shared" si="15"/>
        <v>494853</v>
      </c>
      <c r="F97" s="3600">
        <v>30966</v>
      </c>
      <c r="G97" s="3600">
        <v>70455</v>
      </c>
      <c r="H97" s="3600">
        <v>80390</v>
      </c>
      <c r="I97" s="3600">
        <v>73845</v>
      </c>
      <c r="J97" s="3600">
        <v>35524</v>
      </c>
      <c r="K97" s="3600">
        <v>34806</v>
      </c>
      <c r="L97" s="3600">
        <v>57382</v>
      </c>
      <c r="M97" s="3600">
        <v>22224</v>
      </c>
      <c r="N97" s="3600">
        <v>22322</v>
      </c>
      <c r="O97" s="3600">
        <v>22223</v>
      </c>
      <c r="P97" s="3600">
        <v>22315</v>
      </c>
      <c r="Q97" s="3600">
        <v>22401</v>
      </c>
      <c r="S97" s="940"/>
      <c r="T97" s="941"/>
      <c r="U97" s="941"/>
      <c r="V97" s="941"/>
      <c r="W97" s="940"/>
    </row>
    <row r="98" spans="1:25">
      <c r="A98" s="1722">
        <v>807100</v>
      </c>
      <c r="B98" s="3121" t="s">
        <v>2368</v>
      </c>
      <c r="C98" s="1722" t="s">
        <v>961</v>
      </c>
      <c r="D98" s="580">
        <f t="shared" si="10"/>
        <v>807</v>
      </c>
      <c r="E98" s="564">
        <f t="shared" si="15"/>
        <v>12365</v>
      </c>
      <c r="F98" s="3600">
        <v>1034</v>
      </c>
      <c r="G98" s="3600">
        <v>5053</v>
      </c>
      <c r="H98" s="3600">
        <v>3146</v>
      </c>
      <c r="I98" s="3600">
        <v>1433</v>
      </c>
      <c r="J98" s="3600">
        <v>690</v>
      </c>
      <c r="K98" s="3600">
        <v>1009</v>
      </c>
      <c r="L98" s="3600">
        <v>0</v>
      </c>
      <c r="M98" s="3600">
        <v>0</v>
      </c>
      <c r="N98" s="3600">
        <v>0</v>
      </c>
      <c r="O98" s="3600">
        <v>0</v>
      </c>
      <c r="P98" s="3600">
        <v>0</v>
      </c>
      <c r="Q98" s="3600">
        <v>0</v>
      </c>
      <c r="S98" s="940"/>
      <c r="T98" s="941"/>
      <c r="U98" s="941"/>
      <c r="V98" s="941"/>
      <c r="W98" s="941"/>
      <c r="X98"/>
      <c r="Y98"/>
    </row>
    <row r="99" spans="1:25">
      <c r="A99" s="1722">
        <v>813001</v>
      </c>
      <c r="B99" s="3121" t="s">
        <v>1270</v>
      </c>
      <c r="C99" s="1722" t="s">
        <v>961</v>
      </c>
      <c r="D99" s="580">
        <f t="shared" si="10"/>
        <v>813</v>
      </c>
      <c r="E99" s="564">
        <f t="shared" si="15"/>
        <v>163893</v>
      </c>
      <c r="F99" s="3600">
        <v>42857</v>
      </c>
      <c r="G99" s="3600">
        <v>23687</v>
      </c>
      <c r="H99" s="3600">
        <v>96461</v>
      </c>
      <c r="I99" s="3600">
        <v>-18736</v>
      </c>
      <c r="J99" s="3600">
        <v>15140</v>
      </c>
      <c r="K99" s="3600">
        <v>4484</v>
      </c>
      <c r="L99" s="3600">
        <v>0</v>
      </c>
      <c r="M99" s="3600">
        <v>0</v>
      </c>
      <c r="N99" s="3600">
        <v>0</v>
      </c>
      <c r="O99" s="3600">
        <v>0</v>
      </c>
      <c r="P99" s="3600">
        <v>0</v>
      </c>
      <c r="Q99" s="3600">
        <v>0</v>
      </c>
      <c r="S99" s="940"/>
      <c r="T99" s="941"/>
      <c r="U99" s="941"/>
      <c r="V99" s="941"/>
      <c r="W99" s="941"/>
      <c r="X99"/>
      <c r="Y99"/>
    </row>
    <row r="100" spans="1:25">
      <c r="A100" s="1722">
        <v>850001</v>
      </c>
      <c r="B100" s="3121" t="s">
        <v>2369</v>
      </c>
      <c r="C100" s="1722" t="s">
        <v>962</v>
      </c>
      <c r="D100" s="580">
        <f t="shared" si="10"/>
        <v>850</v>
      </c>
      <c r="E100" s="564">
        <f t="shared" si="15"/>
        <v>0</v>
      </c>
      <c r="F100" s="3600">
        <v>0</v>
      </c>
      <c r="G100" s="3600">
        <v>0</v>
      </c>
      <c r="H100" s="3600">
        <v>0</v>
      </c>
      <c r="I100" s="3600">
        <v>0</v>
      </c>
      <c r="J100" s="3600">
        <v>0</v>
      </c>
      <c r="K100" s="3600">
        <v>0</v>
      </c>
      <c r="L100" s="3600">
        <v>0</v>
      </c>
      <c r="M100" s="3600">
        <v>0</v>
      </c>
      <c r="N100" s="3600">
        <v>0</v>
      </c>
      <c r="O100" s="3600">
        <v>0</v>
      </c>
      <c r="P100" s="3600">
        <v>0</v>
      </c>
      <c r="Q100" s="3600">
        <v>0</v>
      </c>
      <c r="S100" s="940"/>
      <c r="T100" s="941"/>
      <c r="U100" s="941"/>
      <c r="V100" s="941"/>
      <c r="W100" s="941"/>
      <c r="X100"/>
      <c r="Y100"/>
    </row>
    <row r="101" spans="1:25">
      <c r="A101" s="1722">
        <v>863000</v>
      </c>
      <c r="B101" s="3121" t="s">
        <v>2669</v>
      </c>
      <c r="C101" s="1722" t="s">
        <v>969</v>
      </c>
      <c r="D101" s="580">
        <f t="shared" ref="D101" si="16">VALUE(LEFT(A101,3))</f>
        <v>863</v>
      </c>
      <c r="E101" s="564">
        <f t="shared" ref="E101" si="17">SUM(F101:Q101)</f>
        <v>0</v>
      </c>
      <c r="F101" s="3600">
        <v>0</v>
      </c>
      <c r="G101" s="3600">
        <v>0</v>
      </c>
      <c r="H101" s="3600">
        <v>0</v>
      </c>
      <c r="I101" s="3600">
        <v>0</v>
      </c>
      <c r="J101" s="3600">
        <v>0</v>
      </c>
      <c r="K101" s="3600">
        <v>0</v>
      </c>
      <c r="L101" s="3600">
        <v>0</v>
      </c>
      <c r="M101" s="3600">
        <v>0</v>
      </c>
      <c r="N101" s="3600">
        <v>0</v>
      </c>
      <c r="O101" s="3600">
        <v>0</v>
      </c>
      <c r="P101" s="3600">
        <v>0</v>
      </c>
      <c r="Q101" s="3600">
        <v>0</v>
      </c>
      <c r="S101" s="940"/>
      <c r="T101" s="941"/>
      <c r="U101" s="941"/>
      <c r="V101" s="941"/>
      <c r="W101" s="941"/>
      <c r="X101"/>
      <c r="Y101"/>
    </row>
    <row r="102" spans="1:25">
      <c r="A102" s="1722">
        <v>871000</v>
      </c>
      <c r="B102" s="3121" t="s">
        <v>1302</v>
      </c>
      <c r="C102" s="1722" t="s">
        <v>964</v>
      </c>
      <c r="D102" s="580">
        <f t="shared" si="10"/>
        <v>871</v>
      </c>
      <c r="E102" s="564">
        <f t="shared" si="15"/>
        <v>168926</v>
      </c>
      <c r="F102" s="3600">
        <v>11641</v>
      </c>
      <c r="G102" s="3600">
        <v>12759</v>
      </c>
      <c r="H102" s="3600">
        <v>11808</v>
      </c>
      <c r="I102" s="3600">
        <v>12416</v>
      </c>
      <c r="J102" s="3600">
        <v>10951</v>
      </c>
      <c r="K102" s="3600">
        <v>12096</v>
      </c>
      <c r="L102" s="3600">
        <v>10358</v>
      </c>
      <c r="M102" s="3600">
        <v>15904</v>
      </c>
      <c r="N102" s="3600">
        <v>17488</v>
      </c>
      <c r="O102" s="3600">
        <v>18986</v>
      </c>
      <c r="P102" s="3600">
        <v>21885</v>
      </c>
      <c r="Q102" s="3600">
        <v>12634</v>
      </c>
      <c r="S102" s="940"/>
      <c r="T102" s="941"/>
      <c r="U102" s="941"/>
      <c r="V102" s="941"/>
      <c r="W102" s="941"/>
      <c r="X102"/>
      <c r="Y102"/>
    </row>
    <row r="103" spans="1:25">
      <c r="A103" s="1722">
        <v>874000</v>
      </c>
      <c r="B103" s="3121" t="s">
        <v>1303</v>
      </c>
      <c r="C103" s="1722" t="s">
        <v>964</v>
      </c>
      <c r="D103" s="580">
        <f t="shared" si="10"/>
        <v>874</v>
      </c>
      <c r="E103" s="564">
        <f t="shared" si="15"/>
        <v>2353623</v>
      </c>
      <c r="F103" s="3600">
        <v>165233</v>
      </c>
      <c r="G103" s="3600">
        <v>140492</v>
      </c>
      <c r="H103" s="3600">
        <v>160380</v>
      </c>
      <c r="I103" s="3600">
        <v>126225</v>
      </c>
      <c r="J103" s="3600">
        <v>199889</v>
      </c>
      <c r="K103" s="3600">
        <v>108645</v>
      </c>
      <c r="L103" s="3600">
        <v>233983</v>
      </c>
      <c r="M103" s="3600">
        <v>258043</v>
      </c>
      <c r="N103" s="3600">
        <v>225494</v>
      </c>
      <c r="O103" s="3600">
        <v>273534</v>
      </c>
      <c r="P103" s="3600">
        <v>242758</v>
      </c>
      <c r="Q103" s="3600">
        <v>218947</v>
      </c>
      <c r="S103" s="940"/>
      <c r="T103" s="941"/>
      <c r="U103" s="941"/>
      <c r="V103" s="941"/>
      <c r="W103" s="941"/>
      <c r="X103"/>
      <c r="Y103"/>
    </row>
    <row r="104" spans="1:25">
      <c r="A104" s="1722">
        <v>875000</v>
      </c>
      <c r="B104" s="3121" t="s">
        <v>2055</v>
      </c>
      <c r="C104" s="1722" t="s">
        <v>964</v>
      </c>
      <c r="D104" s="580">
        <f t="shared" si="10"/>
        <v>875</v>
      </c>
      <c r="E104" s="564">
        <f t="shared" si="15"/>
        <v>6382</v>
      </c>
      <c r="F104" s="3600">
        <v>11</v>
      </c>
      <c r="G104" s="3600">
        <v>10</v>
      </c>
      <c r="H104" s="3600">
        <v>4525</v>
      </c>
      <c r="I104" s="3600">
        <v>425</v>
      </c>
      <c r="J104" s="3600">
        <v>49</v>
      </c>
      <c r="K104" s="3600">
        <v>1362</v>
      </c>
      <c r="L104" s="3600">
        <v>0</v>
      </c>
      <c r="M104" s="3600">
        <v>0</v>
      </c>
      <c r="N104" s="3600">
        <v>0</v>
      </c>
      <c r="O104" s="3600">
        <v>0</v>
      </c>
      <c r="P104" s="3600">
        <v>0</v>
      </c>
      <c r="Q104" s="3600">
        <v>0</v>
      </c>
      <c r="S104" s="940"/>
      <c r="T104" s="941"/>
      <c r="U104" s="941"/>
      <c r="V104" s="941"/>
      <c r="W104" s="941"/>
      <c r="X104"/>
      <c r="Y104"/>
    </row>
    <row r="105" spans="1:25">
      <c r="A105" s="1722">
        <v>876000</v>
      </c>
      <c r="B105" s="3121" t="s">
        <v>2056</v>
      </c>
      <c r="C105" s="1722" t="s">
        <v>964</v>
      </c>
      <c r="D105" s="580">
        <f t="shared" si="10"/>
        <v>876</v>
      </c>
      <c r="E105" s="564">
        <f t="shared" si="15"/>
        <v>4540</v>
      </c>
      <c r="F105" s="3600">
        <v>1856</v>
      </c>
      <c r="G105" s="3600">
        <v>129</v>
      </c>
      <c r="H105" s="3600">
        <v>0</v>
      </c>
      <c r="I105" s="3600">
        <v>1091</v>
      </c>
      <c r="J105" s="3600">
        <v>0</v>
      </c>
      <c r="K105" s="3600">
        <v>1464</v>
      </c>
      <c r="L105" s="3600">
        <v>0</v>
      </c>
      <c r="M105" s="3600">
        <v>0</v>
      </c>
      <c r="N105" s="3600">
        <v>0</v>
      </c>
      <c r="O105" s="3600">
        <v>0</v>
      </c>
      <c r="P105" s="3600">
        <v>0</v>
      </c>
      <c r="Q105" s="3600">
        <v>0</v>
      </c>
      <c r="S105" s="940"/>
      <c r="T105" s="941"/>
      <c r="U105" s="941"/>
      <c r="V105" s="941"/>
      <c r="W105" s="941"/>
      <c r="X105"/>
      <c r="Y105"/>
    </row>
    <row r="106" spans="1:25">
      <c r="A106" s="1722">
        <v>878000</v>
      </c>
      <c r="B106" s="3121" t="s">
        <v>2057</v>
      </c>
      <c r="C106" s="1722" t="s">
        <v>964</v>
      </c>
      <c r="D106" s="580">
        <f t="shared" si="10"/>
        <v>878</v>
      </c>
      <c r="E106" s="564">
        <f t="shared" si="15"/>
        <v>1681076</v>
      </c>
      <c r="F106" s="3600">
        <v>244899</v>
      </c>
      <c r="G106" s="3600">
        <v>64033</v>
      </c>
      <c r="H106" s="3600">
        <v>35615</v>
      </c>
      <c r="I106" s="3600">
        <v>33373</v>
      </c>
      <c r="J106" s="3600">
        <v>47594</v>
      </c>
      <c r="K106" s="3600">
        <v>18199</v>
      </c>
      <c r="L106" s="3600">
        <v>198354</v>
      </c>
      <c r="M106" s="3600">
        <v>225474</v>
      </c>
      <c r="N106" s="3600">
        <v>226099</v>
      </c>
      <c r="O106" s="3600">
        <v>208639</v>
      </c>
      <c r="P106" s="3600">
        <v>206305</v>
      </c>
      <c r="Q106" s="3600">
        <v>172492</v>
      </c>
      <c r="S106" s="940"/>
      <c r="T106" s="941"/>
      <c r="U106" s="941"/>
      <c r="V106" s="941"/>
      <c r="W106" s="941"/>
      <c r="X106"/>
      <c r="Y106"/>
    </row>
    <row r="107" spans="1:25">
      <c r="A107" s="1722">
        <v>879000</v>
      </c>
      <c r="B107" s="3121" t="s">
        <v>2058</v>
      </c>
      <c r="C107" s="1722" t="s">
        <v>964</v>
      </c>
      <c r="D107" s="580">
        <f t="shared" si="10"/>
        <v>879</v>
      </c>
      <c r="E107" s="564">
        <f t="shared" si="15"/>
        <v>1210113</v>
      </c>
      <c r="F107" s="3600">
        <v>85180</v>
      </c>
      <c r="G107" s="3600">
        <v>127001</v>
      </c>
      <c r="H107" s="3600">
        <v>140935</v>
      </c>
      <c r="I107" s="3600">
        <v>108167</v>
      </c>
      <c r="J107" s="3600">
        <v>59001</v>
      </c>
      <c r="K107" s="3600">
        <v>73796</v>
      </c>
      <c r="L107" s="3600">
        <v>108385</v>
      </c>
      <c r="M107" s="3600">
        <v>112236</v>
      </c>
      <c r="N107" s="3600">
        <v>100044</v>
      </c>
      <c r="O107" s="3600">
        <v>112453</v>
      </c>
      <c r="P107" s="3600">
        <v>90423</v>
      </c>
      <c r="Q107" s="3600">
        <v>92492</v>
      </c>
      <c r="S107" s="940"/>
      <c r="T107" s="941"/>
      <c r="U107" s="941"/>
      <c r="V107" s="941"/>
      <c r="W107" s="941"/>
      <c r="X107"/>
      <c r="Y107"/>
    </row>
    <row r="108" spans="1:25">
      <c r="A108" s="1722">
        <v>880000</v>
      </c>
      <c r="B108" s="3121" t="s">
        <v>2059</v>
      </c>
      <c r="C108" s="1722" t="s">
        <v>964</v>
      </c>
      <c r="D108" s="580">
        <f t="shared" si="10"/>
        <v>880</v>
      </c>
      <c r="E108" s="564">
        <f t="shared" si="15"/>
        <v>1987140</v>
      </c>
      <c r="F108" s="3600">
        <v>188819</v>
      </c>
      <c r="G108" s="3600">
        <v>166621</v>
      </c>
      <c r="H108" s="3600">
        <v>121759</v>
      </c>
      <c r="I108" s="3600">
        <v>192018</v>
      </c>
      <c r="J108" s="3600">
        <v>113930</v>
      </c>
      <c r="K108" s="3600">
        <v>82649</v>
      </c>
      <c r="L108" s="3600">
        <v>334067</v>
      </c>
      <c r="M108" s="3600">
        <v>197807</v>
      </c>
      <c r="N108" s="3600">
        <v>148502</v>
      </c>
      <c r="O108" s="3600">
        <v>146821</v>
      </c>
      <c r="P108" s="3600">
        <v>145338</v>
      </c>
      <c r="Q108" s="3600">
        <v>148809</v>
      </c>
      <c r="S108" s="940"/>
      <c r="T108" s="941"/>
      <c r="U108" s="941"/>
      <c r="V108" s="941"/>
      <c r="W108" s="941"/>
      <c r="X108"/>
      <c r="Y108"/>
    </row>
    <row r="109" spans="1:25">
      <c r="A109" s="1722">
        <v>887000</v>
      </c>
      <c r="B109" s="3121" t="s">
        <v>2060</v>
      </c>
      <c r="C109" s="1722" t="s">
        <v>970</v>
      </c>
      <c r="D109" s="580">
        <f t="shared" si="10"/>
        <v>887</v>
      </c>
      <c r="E109" s="564">
        <f t="shared" si="15"/>
        <v>1679396</v>
      </c>
      <c r="F109" s="3600">
        <v>73442</v>
      </c>
      <c r="G109" s="3600">
        <v>109971</v>
      </c>
      <c r="H109" s="3600">
        <v>92696</v>
      </c>
      <c r="I109" s="3600">
        <v>264147</v>
      </c>
      <c r="J109" s="3600">
        <v>175126</v>
      </c>
      <c r="K109" s="3600">
        <v>133653</v>
      </c>
      <c r="L109" s="3600">
        <v>101816</v>
      </c>
      <c r="M109" s="3600">
        <v>133920</v>
      </c>
      <c r="N109" s="3600">
        <v>141243</v>
      </c>
      <c r="O109" s="3600">
        <v>164182</v>
      </c>
      <c r="P109" s="3600">
        <v>172939</v>
      </c>
      <c r="Q109" s="3600">
        <v>116261</v>
      </c>
      <c r="S109" s="940"/>
      <c r="T109" s="940"/>
      <c r="U109" s="940"/>
      <c r="V109" s="940"/>
      <c r="W109" s="940"/>
    </row>
    <row r="110" spans="1:25">
      <c r="A110" s="1722">
        <v>889000</v>
      </c>
      <c r="B110" s="3121" t="s">
        <v>2061</v>
      </c>
      <c r="C110" s="1722" t="s">
        <v>970</v>
      </c>
      <c r="D110" s="580">
        <f t="shared" si="10"/>
        <v>889</v>
      </c>
      <c r="E110" s="564">
        <f t="shared" si="15"/>
        <v>46829</v>
      </c>
      <c r="F110" s="3600">
        <v>3548</v>
      </c>
      <c r="G110" s="3600">
        <v>314</v>
      </c>
      <c r="H110" s="3600">
        <v>1670</v>
      </c>
      <c r="I110" s="3600">
        <v>4869</v>
      </c>
      <c r="J110" s="3600">
        <v>1692</v>
      </c>
      <c r="K110" s="3600">
        <v>0</v>
      </c>
      <c r="L110" s="3600">
        <v>3699</v>
      </c>
      <c r="M110" s="3600">
        <v>5681</v>
      </c>
      <c r="N110" s="3600">
        <v>6245</v>
      </c>
      <c r="O110" s="3600">
        <v>6781</v>
      </c>
      <c r="P110" s="3600">
        <v>7817</v>
      </c>
      <c r="Q110" s="3600">
        <v>4513</v>
      </c>
      <c r="S110" s="940"/>
      <c r="T110" s="941"/>
      <c r="U110" s="941"/>
      <c r="V110" s="941"/>
      <c r="W110" s="940"/>
    </row>
    <row r="111" spans="1:25">
      <c r="A111" s="1722">
        <v>892000</v>
      </c>
      <c r="B111" s="3121" t="s">
        <v>2370</v>
      </c>
      <c r="C111" s="1722" t="s">
        <v>970</v>
      </c>
      <c r="D111" s="580">
        <f t="shared" si="10"/>
        <v>892</v>
      </c>
      <c r="E111" s="564">
        <f t="shared" si="15"/>
        <v>542588</v>
      </c>
      <c r="F111" s="3600">
        <v>109962</v>
      </c>
      <c r="G111" s="3600">
        <v>7046</v>
      </c>
      <c r="H111" s="3600">
        <v>3374</v>
      </c>
      <c r="I111" s="3600">
        <v>16258</v>
      </c>
      <c r="J111" s="3600">
        <v>23539</v>
      </c>
      <c r="K111" s="3600">
        <v>87762</v>
      </c>
      <c r="L111" s="3600">
        <v>42484</v>
      </c>
      <c r="M111" s="3600">
        <v>47303</v>
      </c>
      <c r="N111" s="3600">
        <v>47840</v>
      </c>
      <c r="O111" s="3600">
        <v>49170</v>
      </c>
      <c r="P111" s="3600">
        <v>57123</v>
      </c>
      <c r="Q111" s="3600">
        <v>50727</v>
      </c>
      <c r="S111" s="940"/>
      <c r="T111" s="941"/>
      <c r="U111" s="941"/>
      <c r="V111" s="941"/>
      <c r="W111" s="940"/>
    </row>
    <row r="112" spans="1:25">
      <c r="A112" s="1722">
        <v>893000</v>
      </c>
      <c r="B112" s="3122" t="s">
        <v>2371</v>
      </c>
      <c r="C112" s="1722" t="s">
        <v>970</v>
      </c>
      <c r="D112" s="580">
        <f t="shared" si="10"/>
        <v>893</v>
      </c>
      <c r="E112" s="564">
        <f t="shared" si="15"/>
        <v>341546</v>
      </c>
      <c r="F112" s="3600">
        <v>35205</v>
      </c>
      <c r="G112" s="3600">
        <v>44902</v>
      </c>
      <c r="H112" s="3600">
        <v>17293</v>
      </c>
      <c r="I112" s="3600">
        <v>30061</v>
      </c>
      <c r="J112" s="3600">
        <v>23726</v>
      </c>
      <c r="K112" s="3600">
        <v>44478</v>
      </c>
      <c r="L112" s="3600">
        <v>15537</v>
      </c>
      <c r="M112" s="3600">
        <v>23855</v>
      </c>
      <c r="N112" s="3600">
        <v>26230</v>
      </c>
      <c r="O112" s="3600">
        <v>28479</v>
      </c>
      <c r="P112" s="3600">
        <v>32827</v>
      </c>
      <c r="Q112" s="3600">
        <v>18953</v>
      </c>
      <c r="S112" s="940"/>
      <c r="T112" s="941"/>
      <c r="U112" s="941"/>
      <c r="V112" s="941"/>
      <c r="W112" s="940"/>
    </row>
    <row r="113" spans="1:23">
      <c r="A113" s="1722">
        <v>894000</v>
      </c>
      <c r="B113" s="3122" t="s">
        <v>2062</v>
      </c>
      <c r="C113" s="1722" t="s">
        <v>970</v>
      </c>
      <c r="D113" s="580">
        <f t="shared" si="10"/>
        <v>894</v>
      </c>
      <c r="E113" s="564">
        <f t="shared" si="15"/>
        <v>-50557</v>
      </c>
      <c r="F113" s="3600">
        <v>-46691</v>
      </c>
      <c r="G113" s="3600">
        <v>-7168</v>
      </c>
      <c r="H113" s="3600">
        <v>-14731</v>
      </c>
      <c r="I113" s="3600">
        <v>-7724</v>
      </c>
      <c r="J113" s="3600">
        <v>2054</v>
      </c>
      <c r="K113" s="3600">
        <v>-4085</v>
      </c>
      <c r="L113" s="3600">
        <v>2959</v>
      </c>
      <c r="M113" s="3600">
        <v>4544</v>
      </c>
      <c r="N113" s="3600">
        <v>4997</v>
      </c>
      <c r="O113" s="3600">
        <v>5425</v>
      </c>
      <c r="P113" s="3600">
        <v>6253</v>
      </c>
      <c r="Q113" s="3600">
        <v>3610</v>
      </c>
      <c r="S113" s="940"/>
      <c r="T113" s="941"/>
      <c r="U113" s="941"/>
      <c r="V113" s="941"/>
      <c r="W113" s="940"/>
    </row>
    <row r="114" spans="1:23">
      <c r="A114" s="1722">
        <v>901000</v>
      </c>
      <c r="B114" s="3122" t="s">
        <v>2372</v>
      </c>
      <c r="C114" s="1722" t="s">
        <v>2422</v>
      </c>
      <c r="D114" s="580">
        <f t="shared" si="10"/>
        <v>901</v>
      </c>
      <c r="E114" s="564">
        <f t="shared" si="15"/>
        <v>367778</v>
      </c>
      <c r="F114" s="3600">
        <v>61958</v>
      </c>
      <c r="G114" s="3600">
        <v>45049</v>
      </c>
      <c r="H114" s="3600">
        <v>42255</v>
      </c>
      <c r="I114" s="3600">
        <v>36449</v>
      </c>
      <c r="J114" s="3600">
        <v>52074</v>
      </c>
      <c r="K114" s="3600">
        <v>37806</v>
      </c>
      <c r="L114" s="3600">
        <v>14561</v>
      </c>
      <c r="M114" s="3600">
        <v>14561</v>
      </c>
      <c r="N114" s="3600">
        <v>19376</v>
      </c>
      <c r="O114" s="3600">
        <v>14563</v>
      </c>
      <c r="P114" s="3600">
        <v>14563</v>
      </c>
      <c r="Q114" s="3600">
        <v>14563</v>
      </c>
      <c r="S114" s="940"/>
      <c r="T114" s="941"/>
      <c r="U114" s="941"/>
      <c r="V114" s="941"/>
      <c r="W114" s="940"/>
    </row>
    <row r="115" spans="1:23">
      <c r="A115" s="1722">
        <v>902000</v>
      </c>
      <c r="B115" s="3122" t="s">
        <v>2063</v>
      </c>
      <c r="C115" s="1722" t="s">
        <v>2422</v>
      </c>
      <c r="D115" s="580">
        <f t="shared" si="10"/>
        <v>902</v>
      </c>
      <c r="E115" s="564">
        <f t="shared" si="15"/>
        <v>206301</v>
      </c>
      <c r="F115" s="3600">
        <v>35301</v>
      </c>
      <c r="G115" s="3600">
        <v>28767</v>
      </c>
      <c r="H115" s="3600">
        <v>39983</v>
      </c>
      <c r="I115" s="3600">
        <v>32366</v>
      </c>
      <c r="J115" s="3600">
        <v>25221</v>
      </c>
      <c r="K115" s="3600">
        <v>36830</v>
      </c>
      <c r="L115" s="3600">
        <v>1205</v>
      </c>
      <c r="M115" s="3600">
        <v>1205</v>
      </c>
      <c r="N115" s="3600">
        <v>1808</v>
      </c>
      <c r="O115" s="3600">
        <v>1205</v>
      </c>
      <c r="P115" s="3600">
        <v>1205</v>
      </c>
      <c r="Q115" s="3600">
        <v>1205</v>
      </c>
      <c r="S115" s="940"/>
      <c r="T115" s="941"/>
      <c r="U115" s="941"/>
      <c r="V115" s="941"/>
      <c r="W115" s="940"/>
    </row>
    <row r="116" spans="1:23">
      <c r="A116" s="1722">
        <v>903000</v>
      </c>
      <c r="B116" s="3122" t="s">
        <v>2064</v>
      </c>
      <c r="C116" s="1722" t="s">
        <v>2422</v>
      </c>
      <c r="D116" s="580">
        <f t="shared" si="10"/>
        <v>903</v>
      </c>
      <c r="E116" s="564">
        <f t="shared" si="15"/>
        <v>1437567</v>
      </c>
      <c r="F116" s="3600">
        <v>94661</v>
      </c>
      <c r="G116" s="3600">
        <v>268404</v>
      </c>
      <c r="H116" s="3600">
        <v>52240</v>
      </c>
      <c r="I116" s="3600">
        <v>151571</v>
      </c>
      <c r="J116" s="3600">
        <v>188525</v>
      </c>
      <c r="K116" s="3600">
        <v>172513</v>
      </c>
      <c r="L116" s="3600">
        <v>91896</v>
      </c>
      <c r="M116" s="3600">
        <v>85644</v>
      </c>
      <c r="N116" s="3600">
        <v>84298</v>
      </c>
      <c r="O116" s="3600">
        <v>80074</v>
      </c>
      <c r="P116" s="3600">
        <v>87911</v>
      </c>
      <c r="Q116" s="3600">
        <v>79830</v>
      </c>
      <c r="S116" s="940"/>
      <c r="T116" s="941"/>
      <c r="U116" s="941"/>
      <c r="V116" s="941"/>
      <c r="W116" s="940"/>
    </row>
    <row r="117" spans="1:23">
      <c r="A117" s="1722">
        <v>903100</v>
      </c>
      <c r="B117" s="3122" t="s">
        <v>2065</v>
      </c>
      <c r="C117" s="1722" t="s">
        <v>2422</v>
      </c>
      <c r="D117" s="580">
        <f t="shared" si="10"/>
        <v>903</v>
      </c>
      <c r="E117" s="564">
        <f t="shared" si="15"/>
        <v>301955</v>
      </c>
      <c r="F117" s="3600">
        <v>15089</v>
      </c>
      <c r="G117" s="3600">
        <v>6912</v>
      </c>
      <c r="H117" s="3600">
        <v>10221</v>
      </c>
      <c r="I117" s="3600">
        <v>29270</v>
      </c>
      <c r="J117" s="3600">
        <v>8672</v>
      </c>
      <c r="K117" s="3600">
        <v>8522</v>
      </c>
      <c r="L117" s="3600">
        <v>36538</v>
      </c>
      <c r="M117" s="3600">
        <v>36291</v>
      </c>
      <c r="N117" s="3600">
        <v>43356</v>
      </c>
      <c r="O117" s="3600">
        <v>36707</v>
      </c>
      <c r="P117" s="3600">
        <v>35835</v>
      </c>
      <c r="Q117" s="3600">
        <v>34542</v>
      </c>
      <c r="S117" s="940"/>
      <c r="T117" s="940"/>
      <c r="U117" s="940"/>
      <c r="V117" s="940"/>
      <c r="W117" s="940"/>
    </row>
    <row r="118" spans="1:23">
      <c r="A118" s="1722">
        <v>903200</v>
      </c>
      <c r="B118" s="3122" t="s">
        <v>2066</v>
      </c>
      <c r="C118" s="1722" t="s">
        <v>2422</v>
      </c>
      <c r="D118" s="580">
        <f t="shared" si="10"/>
        <v>903</v>
      </c>
      <c r="E118" s="564">
        <f t="shared" si="15"/>
        <v>789965</v>
      </c>
      <c r="F118" s="3600">
        <v>52646</v>
      </c>
      <c r="G118" s="3600">
        <v>58631</v>
      </c>
      <c r="H118" s="3600">
        <v>132827</v>
      </c>
      <c r="I118" s="3600">
        <v>80200</v>
      </c>
      <c r="J118" s="3600">
        <v>49451</v>
      </c>
      <c r="K118" s="3600">
        <v>61230</v>
      </c>
      <c r="L118" s="3600">
        <v>57222</v>
      </c>
      <c r="M118" s="3600">
        <v>57074</v>
      </c>
      <c r="N118" s="3600">
        <v>71821</v>
      </c>
      <c r="O118" s="3600">
        <v>57246</v>
      </c>
      <c r="P118" s="3600">
        <v>56529</v>
      </c>
      <c r="Q118" s="3600">
        <v>55088</v>
      </c>
    </row>
    <row r="119" spans="1:23">
      <c r="A119" s="1722">
        <v>903250</v>
      </c>
      <c r="B119" s="3122" t="s">
        <v>2493</v>
      </c>
      <c r="C119" s="1722" t="s">
        <v>2422</v>
      </c>
      <c r="D119" s="580">
        <f t="shared" ref="D119" si="18">VALUE(LEFT(A119,3))</f>
        <v>903</v>
      </c>
      <c r="E119" s="564">
        <f t="shared" ref="E119" si="19">SUM(F119:Q119)</f>
        <v>0</v>
      </c>
      <c r="F119" s="3600">
        <v>0</v>
      </c>
      <c r="G119" s="3600">
        <v>0</v>
      </c>
      <c r="H119" s="3600">
        <v>0</v>
      </c>
      <c r="I119" s="3600">
        <v>0</v>
      </c>
      <c r="J119" s="3600">
        <v>0</v>
      </c>
      <c r="K119" s="3600">
        <v>0</v>
      </c>
      <c r="L119" s="3600">
        <v>0</v>
      </c>
      <c r="M119" s="3600">
        <v>0</v>
      </c>
      <c r="N119" s="3600">
        <v>0</v>
      </c>
      <c r="O119" s="3600">
        <v>0</v>
      </c>
      <c r="P119" s="3600">
        <v>0</v>
      </c>
      <c r="Q119" s="3600">
        <v>0</v>
      </c>
    </row>
    <row r="120" spans="1:23">
      <c r="A120" s="1722">
        <v>903300</v>
      </c>
      <c r="B120" s="3122" t="s">
        <v>2067</v>
      </c>
      <c r="C120" s="1722" t="s">
        <v>2422</v>
      </c>
      <c r="D120" s="580">
        <f t="shared" si="10"/>
        <v>903</v>
      </c>
      <c r="E120" s="564">
        <f t="shared" si="15"/>
        <v>258508</v>
      </c>
      <c r="F120" s="3600">
        <v>12626</v>
      </c>
      <c r="G120" s="3600">
        <v>8900</v>
      </c>
      <c r="H120" s="3600">
        <v>10373</v>
      </c>
      <c r="I120" s="3600">
        <v>25158</v>
      </c>
      <c r="J120" s="3600">
        <v>8810</v>
      </c>
      <c r="K120" s="3600">
        <v>9695</v>
      </c>
      <c r="L120" s="3600">
        <v>29856</v>
      </c>
      <c r="M120" s="3600">
        <v>29687</v>
      </c>
      <c r="N120" s="3600">
        <v>35733</v>
      </c>
      <c r="O120" s="3600">
        <v>29983</v>
      </c>
      <c r="P120" s="3600">
        <v>29342</v>
      </c>
      <c r="Q120" s="3600">
        <v>28345</v>
      </c>
    </row>
    <row r="121" spans="1:23">
      <c r="A121" s="1722">
        <v>903400</v>
      </c>
      <c r="B121" s="3122" t="s">
        <v>617</v>
      </c>
      <c r="C121" s="1722" t="s">
        <v>2422</v>
      </c>
      <c r="D121" s="580">
        <f t="shared" si="10"/>
        <v>903</v>
      </c>
      <c r="E121" s="564">
        <f t="shared" si="15"/>
        <v>41020</v>
      </c>
      <c r="F121" s="3600">
        <v>2457</v>
      </c>
      <c r="G121" s="3600">
        <v>2293</v>
      </c>
      <c r="H121" s="3600">
        <v>2070</v>
      </c>
      <c r="I121" s="3600">
        <v>2205</v>
      </c>
      <c r="J121" s="3600">
        <v>2648</v>
      </c>
      <c r="K121" s="3600">
        <v>2458</v>
      </c>
      <c r="L121" s="3600">
        <v>4809</v>
      </c>
      <c r="M121" s="3600">
        <v>4260</v>
      </c>
      <c r="N121" s="3600">
        <v>4316</v>
      </c>
      <c r="O121" s="3600">
        <v>4862</v>
      </c>
      <c r="P121" s="3600">
        <v>4312</v>
      </c>
      <c r="Q121" s="3600">
        <v>4330</v>
      </c>
    </row>
    <row r="122" spans="1:23">
      <c r="A122" s="1722">
        <v>903891</v>
      </c>
      <c r="B122" s="3122" t="s">
        <v>2373</v>
      </c>
      <c r="C122" s="1722" t="s">
        <v>2422</v>
      </c>
      <c r="D122" s="580">
        <f t="shared" si="10"/>
        <v>903</v>
      </c>
      <c r="E122" s="564">
        <f t="shared" si="15"/>
        <v>-25079</v>
      </c>
      <c r="F122" s="3600">
        <v>-4482</v>
      </c>
      <c r="G122" s="3600">
        <v>-5074</v>
      </c>
      <c r="H122" s="3600">
        <v>-4344</v>
      </c>
      <c r="I122" s="3600">
        <v>-3924</v>
      </c>
      <c r="J122" s="3600">
        <v>-3670</v>
      </c>
      <c r="K122" s="3600">
        <v>-3585</v>
      </c>
      <c r="L122" s="3600">
        <v>0</v>
      </c>
      <c r="M122" s="3600">
        <v>0</v>
      </c>
      <c r="N122" s="3600">
        <v>0</v>
      </c>
      <c r="O122" s="3600">
        <v>0</v>
      </c>
      <c r="P122" s="3600">
        <v>0</v>
      </c>
      <c r="Q122" s="3600">
        <v>0</v>
      </c>
    </row>
    <row r="123" spans="1:23">
      <c r="A123" s="1722">
        <v>904001</v>
      </c>
      <c r="B123" s="3122" t="s">
        <v>2374</v>
      </c>
      <c r="C123" s="1722" t="s">
        <v>2422</v>
      </c>
      <c r="D123" s="580">
        <f t="shared" si="10"/>
        <v>904</v>
      </c>
      <c r="E123" s="564">
        <f t="shared" si="15"/>
        <v>7713</v>
      </c>
      <c r="F123" s="3600">
        <v>-398</v>
      </c>
      <c r="G123" s="3600">
        <v>4427</v>
      </c>
      <c r="H123" s="3600">
        <v>0</v>
      </c>
      <c r="I123" s="3600">
        <v>0</v>
      </c>
      <c r="J123" s="3600">
        <v>3159</v>
      </c>
      <c r="K123" s="3600">
        <v>525</v>
      </c>
      <c r="L123" s="3600">
        <v>0</v>
      </c>
      <c r="M123" s="3600">
        <v>0</v>
      </c>
      <c r="N123" s="3600">
        <v>0</v>
      </c>
      <c r="O123" s="3600">
        <v>0</v>
      </c>
      <c r="P123" s="3600">
        <v>0</v>
      </c>
      <c r="Q123" s="3600">
        <v>0</v>
      </c>
    </row>
    <row r="124" spans="1:23">
      <c r="A124" s="1722">
        <v>904003</v>
      </c>
      <c r="B124" s="3122" t="s">
        <v>2670</v>
      </c>
      <c r="C124" s="1722" t="s">
        <v>2422</v>
      </c>
      <c r="D124" s="580">
        <f t="shared" ref="D124" si="20">VALUE(LEFT(A124,3))</f>
        <v>904</v>
      </c>
      <c r="E124" s="564">
        <f t="shared" ref="E124" si="21">SUM(F124:Q124)</f>
        <v>281649</v>
      </c>
      <c r="F124" s="3600">
        <v>0</v>
      </c>
      <c r="G124" s="3600">
        <v>0</v>
      </c>
      <c r="H124" s="3600">
        <v>0</v>
      </c>
      <c r="I124" s="3600">
        <v>0</v>
      </c>
      <c r="J124" s="3600">
        <v>0</v>
      </c>
      <c r="K124" s="3600">
        <v>0</v>
      </c>
      <c r="L124" s="3600">
        <v>42298</v>
      </c>
      <c r="M124" s="3600">
        <v>49869</v>
      </c>
      <c r="N124" s="3600">
        <v>52936</v>
      </c>
      <c r="O124" s="3600">
        <v>40020</v>
      </c>
      <c r="P124" s="3600">
        <v>48483</v>
      </c>
      <c r="Q124" s="3600">
        <v>48043</v>
      </c>
    </row>
    <row r="125" spans="1:23">
      <c r="A125" s="1722">
        <v>905000</v>
      </c>
      <c r="B125" s="3122" t="s">
        <v>2375</v>
      </c>
      <c r="C125" s="1722" t="s">
        <v>2422</v>
      </c>
      <c r="D125" s="580">
        <f t="shared" si="10"/>
        <v>905</v>
      </c>
      <c r="E125" s="564">
        <f t="shared" si="15"/>
        <v>152</v>
      </c>
      <c r="F125" s="3600">
        <v>23</v>
      </c>
      <c r="G125" s="3600">
        <v>0</v>
      </c>
      <c r="H125" s="3600">
        <v>21</v>
      </c>
      <c r="I125" s="3600">
        <v>39</v>
      </c>
      <c r="J125" s="3600">
        <v>28</v>
      </c>
      <c r="K125" s="3600">
        <v>41</v>
      </c>
      <c r="L125" s="3600">
        <v>0</v>
      </c>
      <c r="M125" s="3600">
        <v>0</v>
      </c>
      <c r="N125" s="3600">
        <v>0</v>
      </c>
      <c r="O125" s="3600">
        <v>0</v>
      </c>
      <c r="P125" s="3600">
        <v>0</v>
      </c>
      <c r="Q125" s="3600">
        <v>0</v>
      </c>
    </row>
    <row r="126" spans="1:23">
      <c r="A126" s="1722">
        <v>908000</v>
      </c>
      <c r="B126" s="3122" t="s">
        <v>2376</v>
      </c>
      <c r="C126" s="1722" t="s">
        <v>395</v>
      </c>
      <c r="D126" s="580">
        <f t="shared" si="10"/>
        <v>908</v>
      </c>
      <c r="E126" s="564">
        <f t="shared" si="15"/>
        <v>8</v>
      </c>
      <c r="F126" s="3600">
        <v>0</v>
      </c>
      <c r="G126" s="3600">
        <v>3</v>
      </c>
      <c r="H126" s="3600">
        <v>0</v>
      </c>
      <c r="I126" s="3600">
        <v>2</v>
      </c>
      <c r="J126" s="3600">
        <v>0</v>
      </c>
      <c r="K126" s="3600">
        <v>3</v>
      </c>
      <c r="L126" s="3600">
        <v>0</v>
      </c>
      <c r="M126" s="3600">
        <v>0</v>
      </c>
      <c r="N126" s="3600">
        <v>0</v>
      </c>
      <c r="O126" s="3600">
        <v>0</v>
      </c>
      <c r="P126" s="3600">
        <v>0</v>
      </c>
      <c r="Q126" s="3600">
        <v>0</v>
      </c>
    </row>
    <row r="127" spans="1:23">
      <c r="A127" s="1722">
        <v>908150</v>
      </c>
      <c r="B127" s="3122" t="s">
        <v>2377</v>
      </c>
      <c r="C127" s="1722" t="s">
        <v>395</v>
      </c>
      <c r="D127" s="580">
        <f t="shared" si="10"/>
        <v>908</v>
      </c>
      <c r="E127" s="564">
        <f t="shared" si="15"/>
        <v>0</v>
      </c>
      <c r="F127" s="3600">
        <v>0</v>
      </c>
      <c r="G127" s="3600">
        <v>0</v>
      </c>
      <c r="H127" s="3600">
        <v>0</v>
      </c>
      <c r="I127" s="3600">
        <v>0</v>
      </c>
      <c r="J127" s="3600">
        <v>0</v>
      </c>
      <c r="K127" s="3600">
        <v>0</v>
      </c>
      <c r="L127" s="3600">
        <v>0</v>
      </c>
      <c r="M127" s="3600">
        <v>0</v>
      </c>
      <c r="N127" s="3600">
        <v>0</v>
      </c>
      <c r="O127" s="3600">
        <v>0</v>
      </c>
      <c r="P127" s="3600">
        <v>0</v>
      </c>
      <c r="Q127" s="3600">
        <v>0</v>
      </c>
    </row>
    <row r="128" spans="1:23">
      <c r="A128" s="1722">
        <v>908160</v>
      </c>
      <c r="B128" s="3122" t="s">
        <v>2068</v>
      </c>
      <c r="C128" s="1722" t="s">
        <v>395</v>
      </c>
      <c r="D128" s="580">
        <f t="shared" si="10"/>
        <v>908</v>
      </c>
      <c r="E128" s="564">
        <f t="shared" si="15"/>
        <v>132034</v>
      </c>
      <c r="F128" s="3600">
        <v>9828</v>
      </c>
      <c r="G128" s="3600">
        <v>13638</v>
      </c>
      <c r="H128" s="3600">
        <v>12948</v>
      </c>
      <c r="I128" s="3600">
        <v>13568</v>
      </c>
      <c r="J128" s="3600">
        <v>12632</v>
      </c>
      <c r="K128" s="3600">
        <v>13845</v>
      </c>
      <c r="L128" s="3600">
        <v>5919</v>
      </c>
      <c r="M128" s="3600">
        <v>9088</v>
      </c>
      <c r="N128" s="3600">
        <v>9993</v>
      </c>
      <c r="O128" s="3600">
        <v>10849</v>
      </c>
      <c r="P128" s="3600">
        <v>12506</v>
      </c>
      <c r="Q128" s="3600">
        <v>7220</v>
      </c>
    </row>
    <row r="129" spans="1:17">
      <c r="A129" s="1722">
        <v>909650</v>
      </c>
      <c r="B129" s="3122" t="s">
        <v>2378</v>
      </c>
      <c r="C129" s="1722" t="s">
        <v>395</v>
      </c>
      <c r="D129" s="580">
        <f t="shared" si="10"/>
        <v>909</v>
      </c>
      <c r="E129" s="564">
        <f t="shared" si="15"/>
        <v>575</v>
      </c>
      <c r="F129" s="3600">
        <v>0</v>
      </c>
      <c r="G129" s="3600">
        <v>437</v>
      </c>
      <c r="H129" s="3600">
        <v>138</v>
      </c>
      <c r="I129" s="3600">
        <v>0</v>
      </c>
      <c r="J129" s="3600">
        <v>0</v>
      </c>
      <c r="K129" s="3600">
        <v>0</v>
      </c>
      <c r="L129" s="3600">
        <v>0</v>
      </c>
      <c r="M129" s="3600">
        <v>0</v>
      </c>
      <c r="N129" s="3600">
        <v>0</v>
      </c>
      <c r="O129" s="3600">
        <v>0</v>
      </c>
      <c r="P129" s="3600">
        <v>0</v>
      </c>
      <c r="Q129" s="3600">
        <v>0</v>
      </c>
    </row>
    <row r="130" spans="1:17">
      <c r="A130" s="1722">
        <v>910000</v>
      </c>
      <c r="B130" s="3122" t="s">
        <v>2069</v>
      </c>
      <c r="C130" s="1722" t="s">
        <v>395</v>
      </c>
      <c r="D130" s="580">
        <f t="shared" si="10"/>
        <v>910</v>
      </c>
      <c r="E130" s="564">
        <f t="shared" si="15"/>
        <v>185469</v>
      </c>
      <c r="F130" s="3600">
        <v>22954</v>
      </c>
      <c r="G130" s="3600">
        <v>13229</v>
      </c>
      <c r="H130" s="3600">
        <v>13933</v>
      </c>
      <c r="I130" s="3600">
        <v>14932</v>
      </c>
      <c r="J130" s="3600">
        <v>15496</v>
      </c>
      <c r="K130" s="3600">
        <v>15432</v>
      </c>
      <c r="L130" s="3600">
        <v>14540</v>
      </c>
      <c r="M130" s="3600">
        <v>15676</v>
      </c>
      <c r="N130" s="3600">
        <v>13925</v>
      </c>
      <c r="O130" s="3600">
        <v>16351</v>
      </c>
      <c r="P130" s="3600">
        <v>15049</v>
      </c>
      <c r="Q130" s="3600">
        <v>13952</v>
      </c>
    </row>
    <row r="131" spans="1:17">
      <c r="A131" s="1722">
        <v>910100</v>
      </c>
      <c r="B131" s="3122" t="s">
        <v>2070</v>
      </c>
      <c r="C131" s="1722" t="s">
        <v>395</v>
      </c>
      <c r="D131" s="580">
        <f t="shared" ref="D131:D139" si="22">VALUE(LEFT(A131,3))</f>
        <v>910</v>
      </c>
      <c r="E131" s="564">
        <f t="shared" si="15"/>
        <v>116713</v>
      </c>
      <c r="F131" s="3600">
        <v>16178</v>
      </c>
      <c r="G131" s="3600">
        <v>13415</v>
      </c>
      <c r="H131" s="3600">
        <v>3512</v>
      </c>
      <c r="I131" s="3600">
        <v>1185</v>
      </c>
      <c r="J131" s="3600">
        <v>7173</v>
      </c>
      <c r="K131" s="3600">
        <v>3954</v>
      </c>
      <c r="L131" s="3600">
        <v>11862</v>
      </c>
      <c r="M131" s="3600">
        <v>11862</v>
      </c>
      <c r="N131" s="3600">
        <v>11986</v>
      </c>
      <c r="O131" s="3600">
        <v>11862</v>
      </c>
      <c r="P131" s="3600">
        <v>11862</v>
      </c>
      <c r="Q131" s="3600">
        <v>11862</v>
      </c>
    </row>
    <row r="132" spans="1:17">
      <c r="A132" s="1722">
        <v>911000</v>
      </c>
      <c r="B132" s="3122" t="s">
        <v>1615</v>
      </c>
      <c r="C132" s="1722" t="s">
        <v>395</v>
      </c>
      <c r="D132" s="580">
        <f t="shared" si="22"/>
        <v>911</v>
      </c>
      <c r="E132" s="564">
        <f>SUM(F132:Q132)</f>
        <v>10459</v>
      </c>
      <c r="F132" s="3600">
        <v>19</v>
      </c>
      <c r="G132" s="3600">
        <v>0</v>
      </c>
      <c r="H132" s="3600">
        <v>26</v>
      </c>
      <c r="I132" s="3600">
        <v>45</v>
      </c>
      <c r="J132" s="3600">
        <v>73</v>
      </c>
      <c r="K132" s="3600">
        <v>0</v>
      </c>
      <c r="L132" s="3600">
        <v>1716</v>
      </c>
      <c r="M132" s="3600">
        <v>1716</v>
      </c>
      <c r="N132" s="3600">
        <v>1716</v>
      </c>
      <c r="O132" s="3600">
        <v>1716</v>
      </c>
      <c r="P132" s="3600">
        <v>1716</v>
      </c>
      <c r="Q132" s="3600">
        <v>1716</v>
      </c>
    </row>
    <row r="133" spans="1:17">
      <c r="A133" s="1722">
        <v>912000</v>
      </c>
      <c r="B133" s="3122" t="s">
        <v>2379</v>
      </c>
      <c r="C133" s="1722" t="s">
        <v>2426</v>
      </c>
      <c r="D133" s="580">
        <f t="shared" si="22"/>
        <v>912</v>
      </c>
      <c r="E133" s="564">
        <f t="shared" si="15"/>
        <v>152353</v>
      </c>
      <c r="F133" s="3600">
        <v>7489</v>
      </c>
      <c r="G133" s="3600">
        <v>8361</v>
      </c>
      <c r="H133" s="3600">
        <v>10759</v>
      </c>
      <c r="I133" s="3600">
        <v>8901</v>
      </c>
      <c r="J133" s="3600">
        <v>10479</v>
      </c>
      <c r="K133" s="3600">
        <v>15954</v>
      </c>
      <c r="L133" s="3600">
        <v>14854</v>
      </c>
      <c r="M133" s="3600">
        <v>15100</v>
      </c>
      <c r="N133" s="3600">
        <v>15102</v>
      </c>
      <c r="O133" s="3600">
        <v>15100</v>
      </c>
      <c r="P133" s="3600">
        <v>15103</v>
      </c>
      <c r="Q133" s="3600">
        <v>15151</v>
      </c>
    </row>
    <row r="134" spans="1:17">
      <c r="A134" s="1722">
        <v>913001</v>
      </c>
      <c r="B134" s="3122" t="s">
        <v>2380</v>
      </c>
      <c r="C134" s="1722" t="s">
        <v>2426</v>
      </c>
      <c r="D134" s="580">
        <f t="shared" si="22"/>
        <v>913</v>
      </c>
      <c r="E134" s="564">
        <f t="shared" si="15"/>
        <v>5418</v>
      </c>
      <c r="F134" s="3600">
        <v>1747</v>
      </c>
      <c r="G134" s="3600">
        <v>0</v>
      </c>
      <c r="H134" s="3600">
        <v>522</v>
      </c>
      <c r="I134" s="3600">
        <v>1660</v>
      </c>
      <c r="J134" s="3600">
        <v>500</v>
      </c>
      <c r="K134" s="3600">
        <v>989</v>
      </c>
      <c r="L134" s="3600">
        <v>0</v>
      </c>
      <c r="M134" s="3600">
        <v>0</v>
      </c>
      <c r="N134" s="3600">
        <v>0</v>
      </c>
      <c r="O134" s="3600">
        <v>0</v>
      </c>
      <c r="P134" s="3600">
        <v>0</v>
      </c>
      <c r="Q134" s="3600">
        <v>0</v>
      </c>
    </row>
    <row r="135" spans="1:17">
      <c r="A135" s="1722">
        <v>920000</v>
      </c>
      <c r="B135" s="3122" t="s">
        <v>2071</v>
      </c>
      <c r="C135" s="1722" t="s">
        <v>966</v>
      </c>
      <c r="D135" s="580">
        <f t="shared" si="22"/>
        <v>920</v>
      </c>
      <c r="E135" s="564">
        <f t="shared" si="15"/>
        <v>2105665</v>
      </c>
      <c r="F135" s="3600">
        <v>183696</v>
      </c>
      <c r="G135" s="3600">
        <v>171446</v>
      </c>
      <c r="H135" s="3600">
        <v>171897</v>
      </c>
      <c r="I135" s="3600">
        <v>124598</v>
      </c>
      <c r="J135" s="3600">
        <v>189431</v>
      </c>
      <c r="K135" s="3600">
        <v>188496</v>
      </c>
      <c r="L135" s="3600">
        <v>224708</v>
      </c>
      <c r="M135" s="3600">
        <v>180230</v>
      </c>
      <c r="N135" s="3600">
        <v>184165</v>
      </c>
      <c r="O135" s="3600">
        <v>135786</v>
      </c>
      <c r="P135" s="3600">
        <v>180304</v>
      </c>
      <c r="Q135" s="3600">
        <v>170908</v>
      </c>
    </row>
    <row r="136" spans="1:17">
      <c r="A136" s="1722">
        <v>921100</v>
      </c>
      <c r="B136" s="3122" t="s">
        <v>2072</v>
      </c>
      <c r="C136" s="1722" t="s">
        <v>966</v>
      </c>
      <c r="D136" s="580">
        <f t="shared" si="22"/>
        <v>921</v>
      </c>
      <c r="E136" s="564">
        <f t="shared" si="15"/>
        <v>118635</v>
      </c>
      <c r="F136" s="3600">
        <v>3076</v>
      </c>
      <c r="G136" s="3600">
        <v>14946</v>
      </c>
      <c r="H136" s="3600">
        <v>25711</v>
      </c>
      <c r="I136" s="3600">
        <v>12216</v>
      </c>
      <c r="J136" s="3600">
        <v>8722</v>
      </c>
      <c r="K136" s="3600">
        <v>10380</v>
      </c>
      <c r="L136" s="3600">
        <v>6368</v>
      </c>
      <c r="M136" s="3600">
        <v>5550</v>
      </c>
      <c r="N136" s="3600">
        <v>5697</v>
      </c>
      <c r="O136" s="3600">
        <v>6326</v>
      </c>
      <c r="P136" s="3600">
        <v>6548</v>
      </c>
      <c r="Q136" s="3600">
        <v>13095</v>
      </c>
    </row>
    <row r="137" spans="1:17">
      <c r="A137" s="1722">
        <v>921101</v>
      </c>
      <c r="B137" s="3122" t="s">
        <v>2381</v>
      </c>
      <c r="C137" s="1722" t="s">
        <v>966</v>
      </c>
      <c r="D137" s="580">
        <f t="shared" si="22"/>
        <v>921</v>
      </c>
      <c r="E137" s="564">
        <f t="shared" si="15"/>
        <v>14</v>
      </c>
      <c r="F137" s="3600">
        <v>0</v>
      </c>
      <c r="G137" s="3600">
        <v>2</v>
      </c>
      <c r="H137" s="3600">
        <v>0</v>
      </c>
      <c r="I137" s="3600">
        <v>0</v>
      </c>
      <c r="J137" s="3600">
        <v>0</v>
      </c>
      <c r="K137" s="3600">
        <v>12</v>
      </c>
      <c r="L137" s="3600">
        <v>0</v>
      </c>
      <c r="M137" s="3600">
        <v>0</v>
      </c>
      <c r="N137" s="3600">
        <v>0</v>
      </c>
      <c r="O137" s="3600">
        <v>0</v>
      </c>
      <c r="P137" s="3600">
        <v>0</v>
      </c>
      <c r="Q137" s="3600">
        <v>0</v>
      </c>
    </row>
    <row r="138" spans="1:17">
      <c r="A138" s="1722">
        <v>921110</v>
      </c>
      <c r="B138" s="3122" t="s">
        <v>2382</v>
      </c>
      <c r="C138" s="1722" t="s">
        <v>966</v>
      </c>
      <c r="D138" s="580">
        <f t="shared" si="22"/>
        <v>921</v>
      </c>
      <c r="E138" s="564">
        <f t="shared" si="15"/>
        <v>385</v>
      </c>
      <c r="F138" s="3600">
        <v>5</v>
      </c>
      <c r="G138" s="3600">
        <v>373</v>
      </c>
      <c r="H138" s="3600">
        <v>0</v>
      </c>
      <c r="I138" s="3600">
        <v>7</v>
      </c>
      <c r="J138" s="3600">
        <v>0</v>
      </c>
      <c r="K138" s="3600">
        <v>0</v>
      </c>
      <c r="L138" s="3600">
        <v>0</v>
      </c>
      <c r="M138" s="3600">
        <v>0</v>
      </c>
      <c r="N138" s="3600">
        <v>0</v>
      </c>
      <c r="O138" s="3600">
        <v>0</v>
      </c>
      <c r="P138" s="3600">
        <v>0</v>
      </c>
      <c r="Q138" s="3600">
        <v>0</v>
      </c>
    </row>
    <row r="139" spans="1:17">
      <c r="A139" s="1722">
        <v>921200</v>
      </c>
      <c r="B139" s="3122" t="s">
        <v>2073</v>
      </c>
      <c r="C139" s="1722" t="s">
        <v>966</v>
      </c>
      <c r="D139" s="580">
        <f t="shared" si="22"/>
        <v>921</v>
      </c>
      <c r="E139" s="564">
        <f t="shared" si="15"/>
        <v>224858</v>
      </c>
      <c r="F139" s="3600">
        <v>34661</v>
      </c>
      <c r="G139" s="3600">
        <v>1660</v>
      </c>
      <c r="H139" s="3600">
        <v>17305</v>
      </c>
      <c r="I139" s="3600">
        <v>-32915</v>
      </c>
      <c r="J139" s="3600">
        <v>77041</v>
      </c>
      <c r="K139" s="3600">
        <v>10061</v>
      </c>
      <c r="L139" s="3600">
        <v>19441</v>
      </c>
      <c r="M139" s="3600">
        <v>18668</v>
      </c>
      <c r="N139" s="3600">
        <v>18998</v>
      </c>
      <c r="O139" s="3600">
        <v>19916</v>
      </c>
      <c r="P139" s="3600">
        <v>19664</v>
      </c>
      <c r="Q139" s="3600">
        <v>20358</v>
      </c>
    </row>
    <row r="140" spans="1:17">
      <c r="A140" s="1722">
        <v>921300</v>
      </c>
      <c r="B140" s="3122" t="s">
        <v>2383</v>
      </c>
      <c r="C140" s="1722" t="s">
        <v>966</v>
      </c>
      <c r="D140" s="580">
        <f t="shared" ref="D140:D178" si="23">VALUE(LEFT(A140,3))</f>
        <v>921</v>
      </c>
      <c r="E140" s="564">
        <f t="shared" ref="E140:E179" si="24">SUM(F140:Q140)</f>
        <v>12</v>
      </c>
      <c r="F140" s="3600">
        <v>0</v>
      </c>
      <c r="G140" s="3600">
        <v>2</v>
      </c>
      <c r="H140" s="3600">
        <v>0</v>
      </c>
      <c r="I140" s="3600">
        <v>3</v>
      </c>
      <c r="J140" s="3600">
        <v>2</v>
      </c>
      <c r="K140" s="3600">
        <v>5</v>
      </c>
      <c r="L140" s="3600">
        <v>0</v>
      </c>
      <c r="M140" s="3600">
        <v>0</v>
      </c>
      <c r="N140" s="3600">
        <v>0</v>
      </c>
      <c r="O140" s="3600">
        <v>0</v>
      </c>
      <c r="P140" s="3600">
        <v>0</v>
      </c>
      <c r="Q140" s="3600">
        <v>0</v>
      </c>
    </row>
    <row r="141" spans="1:17">
      <c r="A141" s="1722">
        <v>921400</v>
      </c>
      <c r="B141" s="3122" t="s">
        <v>2074</v>
      </c>
      <c r="C141" s="1722" t="s">
        <v>966</v>
      </c>
      <c r="D141" s="580">
        <f t="shared" si="23"/>
        <v>921</v>
      </c>
      <c r="E141" s="564">
        <f t="shared" si="24"/>
        <v>225746</v>
      </c>
      <c r="F141" s="3600">
        <v>20048</v>
      </c>
      <c r="G141" s="3600">
        <v>7492</v>
      </c>
      <c r="H141" s="3600">
        <v>13663</v>
      </c>
      <c r="I141" s="3600">
        <v>65269</v>
      </c>
      <c r="J141" s="3600">
        <v>-25545</v>
      </c>
      <c r="K141" s="3600">
        <v>19697</v>
      </c>
      <c r="L141" s="3600">
        <v>21007</v>
      </c>
      <c r="M141" s="3600">
        <v>23146</v>
      </c>
      <c r="N141" s="3600">
        <v>20014</v>
      </c>
      <c r="O141" s="3600">
        <v>19267</v>
      </c>
      <c r="P141" s="3600">
        <v>18546</v>
      </c>
      <c r="Q141" s="3600">
        <v>23142</v>
      </c>
    </row>
    <row r="142" spans="1:17">
      <c r="A142" s="1722">
        <v>921540</v>
      </c>
      <c r="B142" s="3122" t="s">
        <v>2075</v>
      </c>
      <c r="C142" s="1722" t="s">
        <v>966</v>
      </c>
      <c r="D142" s="580">
        <f t="shared" si="23"/>
        <v>921</v>
      </c>
      <c r="E142" s="564">
        <f t="shared" si="24"/>
        <v>91917</v>
      </c>
      <c r="F142" s="3600">
        <v>14004</v>
      </c>
      <c r="G142" s="3600">
        <v>16396</v>
      </c>
      <c r="H142" s="3600">
        <v>16270</v>
      </c>
      <c r="I142" s="3600">
        <v>15624</v>
      </c>
      <c r="J142" s="3600">
        <v>15127</v>
      </c>
      <c r="K142" s="3600">
        <v>13098</v>
      </c>
      <c r="L142" s="3600">
        <v>1263</v>
      </c>
      <c r="M142" s="3600">
        <v>27</v>
      </c>
      <c r="N142" s="3600">
        <v>27</v>
      </c>
      <c r="O142" s="3600">
        <v>27</v>
      </c>
      <c r="P142" s="3600">
        <v>27</v>
      </c>
      <c r="Q142" s="3600">
        <v>27</v>
      </c>
    </row>
    <row r="143" spans="1:17">
      <c r="A143" s="1722">
        <v>921600</v>
      </c>
      <c r="B143" s="3122" t="s">
        <v>1559</v>
      </c>
      <c r="C143" s="1722" t="s">
        <v>966</v>
      </c>
      <c r="D143" s="580">
        <f t="shared" si="23"/>
        <v>921</v>
      </c>
      <c r="E143" s="564">
        <f t="shared" si="24"/>
        <v>598</v>
      </c>
      <c r="F143" s="3600">
        <v>11</v>
      </c>
      <c r="G143" s="3600">
        <v>126</v>
      </c>
      <c r="H143" s="3600">
        <v>52</v>
      </c>
      <c r="I143" s="3600">
        <v>187</v>
      </c>
      <c r="J143" s="3600">
        <v>16</v>
      </c>
      <c r="K143" s="3600">
        <v>86</v>
      </c>
      <c r="L143" s="3600">
        <v>20</v>
      </c>
      <c r="M143" s="3600">
        <v>20</v>
      </c>
      <c r="N143" s="3600">
        <v>20</v>
      </c>
      <c r="O143" s="3600">
        <v>20</v>
      </c>
      <c r="P143" s="3600">
        <v>20</v>
      </c>
      <c r="Q143" s="3600">
        <v>20</v>
      </c>
    </row>
    <row r="144" spans="1:17">
      <c r="A144" s="1722">
        <v>921980</v>
      </c>
      <c r="B144" s="3122" t="s">
        <v>2076</v>
      </c>
      <c r="C144" s="1722" t="s">
        <v>966</v>
      </c>
      <c r="D144" s="580">
        <f t="shared" si="23"/>
        <v>921</v>
      </c>
      <c r="E144" s="564">
        <f t="shared" si="24"/>
        <v>420661</v>
      </c>
      <c r="F144" s="3600">
        <v>37765</v>
      </c>
      <c r="G144" s="3600">
        <v>30742</v>
      </c>
      <c r="H144" s="3600">
        <v>34496</v>
      </c>
      <c r="I144" s="3600">
        <v>39228</v>
      </c>
      <c r="J144" s="3600">
        <v>33288</v>
      </c>
      <c r="K144" s="3600">
        <v>51264</v>
      </c>
      <c r="L144" s="3600">
        <v>32379</v>
      </c>
      <c r="M144" s="3600">
        <v>32362</v>
      </c>
      <c r="N144" s="3600">
        <v>32206</v>
      </c>
      <c r="O144" s="3600">
        <v>32322</v>
      </c>
      <c r="P144" s="3600">
        <v>32290</v>
      </c>
      <c r="Q144" s="3600">
        <v>32319</v>
      </c>
    </row>
    <row r="145" spans="1:17">
      <c r="A145" s="1722">
        <v>922000</v>
      </c>
      <c r="B145" s="3122" t="s">
        <v>2384</v>
      </c>
      <c r="C145" s="1722" t="s">
        <v>966</v>
      </c>
      <c r="D145" s="580">
        <f t="shared" si="23"/>
        <v>922</v>
      </c>
      <c r="E145" s="564">
        <f t="shared" si="24"/>
        <v>287</v>
      </c>
      <c r="F145" s="3600">
        <v>287</v>
      </c>
      <c r="G145" s="3600">
        <v>0</v>
      </c>
      <c r="H145" s="3600">
        <v>0</v>
      </c>
      <c r="I145" s="3600">
        <v>0</v>
      </c>
      <c r="J145" s="3600">
        <v>0</v>
      </c>
      <c r="K145" s="3600">
        <v>0</v>
      </c>
      <c r="L145" s="3600">
        <v>0</v>
      </c>
      <c r="M145" s="3600">
        <v>0</v>
      </c>
      <c r="N145" s="3600">
        <v>0</v>
      </c>
      <c r="O145" s="3600">
        <v>0</v>
      </c>
      <c r="P145" s="3600">
        <v>0</v>
      </c>
      <c r="Q145" s="3600">
        <v>0</v>
      </c>
    </row>
    <row r="146" spans="1:17">
      <c r="A146" s="1722">
        <v>923000</v>
      </c>
      <c r="B146" s="3122" t="s">
        <v>208</v>
      </c>
      <c r="C146" s="1722" t="s">
        <v>966</v>
      </c>
      <c r="D146" s="580">
        <f t="shared" si="23"/>
        <v>923</v>
      </c>
      <c r="E146" s="564">
        <f t="shared" si="24"/>
        <v>921783</v>
      </c>
      <c r="F146" s="3600">
        <v>103817</v>
      </c>
      <c r="G146" s="3600">
        <v>69414</v>
      </c>
      <c r="H146" s="3600">
        <v>120884</v>
      </c>
      <c r="I146" s="3600">
        <v>138779</v>
      </c>
      <c r="J146" s="3600">
        <v>81423</v>
      </c>
      <c r="K146" s="3600">
        <v>158852</v>
      </c>
      <c r="L146" s="3600">
        <v>43769</v>
      </c>
      <c r="M146" s="3600">
        <v>36034</v>
      </c>
      <c r="N146" s="3600">
        <v>43055</v>
      </c>
      <c r="O146" s="3600">
        <v>40398</v>
      </c>
      <c r="P146" s="3600">
        <v>36507</v>
      </c>
      <c r="Q146" s="3600">
        <v>48851</v>
      </c>
    </row>
    <row r="147" spans="1:17">
      <c r="A147" s="1722">
        <v>923980</v>
      </c>
      <c r="B147" s="3122" t="s">
        <v>2385</v>
      </c>
      <c r="C147" s="1722" t="s">
        <v>966</v>
      </c>
      <c r="D147" s="580">
        <f t="shared" si="23"/>
        <v>923</v>
      </c>
      <c r="E147" s="564">
        <f t="shared" si="24"/>
        <v>-285</v>
      </c>
      <c r="F147" s="3600">
        <v>661</v>
      </c>
      <c r="G147" s="3600">
        <v>-1640</v>
      </c>
      <c r="H147" s="3600">
        <v>-1461</v>
      </c>
      <c r="I147" s="3600">
        <v>2581</v>
      </c>
      <c r="J147" s="3600">
        <v>-3304</v>
      </c>
      <c r="K147" s="3600">
        <v>2365</v>
      </c>
      <c r="L147" s="3600">
        <v>78</v>
      </c>
      <c r="M147" s="3600">
        <v>115</v>
      </c>
      <c r="N147" s="3600">
        <v>80</v>
      </c>
      <c r="O147" s="3600">
        <v>80</v>
      </c>
      <c r="P147" s="3600">
        <v>80</v>
      </c>
      <c r="Q147" s="3600">
        <v>80</v>
      </c>
    </row>
    <row r="148" spans="1:17">
      <c r="A148" s="1722">
        <v>924000</v>
      </c>
      <c r="B148" s="3122" t="s">
        <v>1304</v>
      </c>
      <c r="C148" s="1722" t="s">
        <v>966</v>
      </c>
      <c r="D148" s="580">
        <f t="shared" si="23"/>
        <v>924</v>
      </c>
      <c r="E148" s="564">
        <f t="shared" si="24"/>
        <v>771</v>
      </c>
      <c r="F148" s="3600">
        <v>-82</v>
      </c>
      <c r="G148" s="3600">
        <v>19</v>
      </c>
      <c r="H148" s="3600">
        <v>80</v>
      </c>
      <c r="I148" s="3600">
        <v>-78</v>
      </c>
      <c r="J148" s="3600">
        <v>48</v>
      </c>
      <c r="K148" s="3600">
        <v>1</v>
      </c>
      <c r="L148" s="3600">
        <v>0</v>
      </c>
      <c r="M148" s="3600">
        <v>783</v>
      </c>
      <c r="N148" s="3600">
        <v>0</v>
      </c>
      <c r="O148" s="3600">
        <v>0</v>
      </c>
      <c r="P148" s="3600">
        <v>0</v>
      </c>
      <c r="Q148" s="3600">
        <v>0</v>
      </c>
    </row>
    <row r="149" spans="1:17">
      <c r="A149" s="1722">
        <v>924050</v>
      </c>
      <c r="B149" s="3122" t="s">
        <v>2386</v>
      </c>
      <c r="C149" s="1722" t="s">
        <v>966</v>
      </c>
      <c r="D149" s="580">
        <f t="shared" si="23"/>
        <v>924</v>
      </c>
      <c r="E149" s="564">
        <f t="shared" si="24"/>
        <v>8937</v>
      </c>
      <c r="F149" s="3600">
        <v>5977</v>
      </c>
      <c r="G149" s="3600">
        <v>292</v>
      </c>
      <c r="H149" s="3600">
        <v>292</v>
      </c>
      <c r="I149" s="3600">
        <v>292</v>
      </c>
      <c r="J149" s="3600">
        <v>292</v>
      </c>
      <c r="K149" s="3600">
        <v>292</v>
      </c>
      <c r="L149" s="3600">
        <v>250</v>
      </c>
      <c r="M149" s="3600">
        <v>250</v>
      </c>
      <c r="N149" s="3600">
        <v>250</v>
      </c>
      <c r="O149" s="3600">
        <v>250</v>
      </c>
      <c r="P149" s="3600">
        <v>250</v>
      </c>
      <c r="Q149" s="3600">
        <v>250</v>
      </c>
    </row>
    <row r="150" spans="1:17">
      <c r="A150" s="1722">
        <v>924980</v>
      </c>
      <c r="B150" s="3122" t="s">
        <v>2387</v>
      </c>
      <c r="C150" s="1722" t="s">
        <v>966</v>
      </c>
      <c r="D150" s="580">
        <f t="shared" si="23"/>
        <v>924</v>
      </c>
      <c r="E150" s="564">
        <f t="shared" si="24"/>
        <v>55355</v>
      </c>
      <c r="F150" s="3600">
        <v>4605</v>
      </c>
      <c r="G150" s="3600">
        <v>4390</v>
      </c>
      <c r="H150" s="3600">
        <v>4390</v>
      </c>
      <c r="I150" s="3600">
        <v>4390</v>
      </c>
      <c r="J150" s="3600">
        <v>4390</v>
      </c>
      <c r="K150" s="3600">
        <v>4390</v>
      </c>
      <c r="L150" s="3600">
        <v>4800</v>
      </c>
      <c r="M150" s="3600">
        <v>4800</v>
      </c>
      <c r="N150" s="3600">
        <v>4800</v>
      </c>
      <c r="O150" s="3600">
        <v>4800</v>
      </c>
      <c r="P150" s="3600">
        <v>4800</v>
      </c>
      <c r="Q150" s="3600">
        <v>4800</v>
      </c>
    </row>
    <row r="151" spans="1:17">
      <c r="A151" s="1722">
        <v>925000</v>
      </c>
      <c r="B151" s="3122" t="s">
        <v>667</v>
      </c>
      <c r="C151" s="1722" t="s">
        <v>966</v>
      </c>
      <c r="D151" s="580">
        <f t="shared" si="23"/>
        <v>925</v>
      </c>
      <c r="E151" s="564">
        <f t="shared" si="24"/>
        <v>18572</v>
      </c>
      <c r="F151" s="3600">
        <v>6827</v>
      </c>
      <c r="G151" s="3600">
        <v>1471</v>
      </c>
      <c r="H151" s="3600">
        <v>1476</v>
      </c>
      <c r="I151" s="3600">
        <v>1506</v>
      </c>
      <c r="J151" s="3600">
        <v>907</v>
      </c>
      <c r="K151" s="3600">
        <v>1183</v>
      </c>
      <c r="L151" s="3600">
        <v>728</v>
      </c>
      <c r="M151" s="3600">
        <v>1145</v>
      </c>
      <c r="N151" s="3600">
        <v>1145</v>
      </c>
      <c r="O151" s="3600">
        <v>728</v>
      </c>
      <c r="P151" s="3600">
        <v>728</v>
      </c>
      <c r="Q151" s="3600">
        <v>728</v>
      </c>
    </row>
    <row r="152" spans="1:17">
      <c r="A152" s="1722">
        <v>925050</v>
      </c>
      <c r="B152" s="3122" t="s">
        <v>2672</v>
      </c>
      <c r="C152" s="1722" t="s">
        <v>966</v>
      </c>
      <c r="D152" s="580">
        <f t="shared" ref="D152" si="25">VALUE(LEFT(A152,3))</f>
        <v>925</v>
      </c>
      <c r="E152" s="564">
        <f t="shared" ref="E152" si="26">SUM(F152:Q152)</f>
        <v>1668</v>
      </c>
      <c r="F152" s="3600">
        <v>0</v>
      </c>
      <c r="G152" s="3600">
        <v>0</v>
      </c>
      <c r="H152" s="3600">
        <v>0</v>
      </c>
      <c r="I152" s="3600">
        <v>0</v>
      </c>
      <c r="J152" s="3600">
        <v>0</v>
      </c>
      <c r="K152" s="3600">
        <v>0</v>
      </c>
      <c r="L152" s="3600">
        <v>417</v>
      </c>
      <c r="M152" s="3600">
        <v>0</v>
      </c>
      <c r="N152" s="3600">
        <v>0</v>
      </c>
      <c r="O152" s="3600">
        <v>417</v>
      </c>
      <c r="P152" s="3600">
        <v>417</v>
      </c>
      <c r="Q152" s="3600">
        <v>417</v>
      </c>
    </row>
    <row r="153" spans="1:17">
      <c r="A153" s="1722">
        <v>925051</v>
      </c>
      <c r="B153" s="3122" t="s">
        <v>2388</v>
      </c>
      <c r="C153" s="1722" t="s">
        <v>966</v>
      </c>
      <c r="D153" s="580">
        <f t="shared" si="23"/>
        <v>925</v>
      </c>
      <c r="E153" s="564">
        <f t="shared" si="24"/>
        <v>83323</v>
      </c>
      <c r="F153" s="3600">
        <v>22825</v>
      </c>
      <c r="G153" s="3600">
        <v>5100</v>
      </c>
      <c r="H153" s="3600">
        <v>5100</v>
      </c>
      <c r="I153" s="3600">
        <v>5100</v>
      </c>
      <c r="J153" s="3600">
        <v>5100</v>
      </c>
      <c r="K153" s="3600">
        <v>5100</v>
      </c>
      <c r="L153" s="3600">
        <v>5833</v>
      </c>
      <c r="M153" s="3600">
        <v>5833</v>
      </c>
      <c r="N153" s="3600">
        <v>5833</v>
      </c>
      <c r="O153" s="3600">
        <v>5833</v>
      </c>
      <c r="P153" s="3600">
        <v>5833</v>
      </c>
      <c r="Q153" s="3600">
        <v>5833</v>
      </c>
    </row>
    <row r="154" spans="1:17">
      <c r="A154" s="1722">
        <v>925200</v>
      </c>
      <c r="B154" s="3122" t="s">
        <v>2077</v>
      </c>
      <c r="C154" s="1722" t="s">
        <v>966</v>
      </c>
      <c r="D154" s="580">
        <f t="shared" si="23"/>
        <v>925</v>
      </c>
      <c r="E154" s="564">
        <f t="shared" si="24"/>
        <v>1211</v>
      </c>
      <c r="F154" s="3600">
        <v>170</v>
      </c>
      <c r="G154" s="3600">
        <v>189</v>
      </c>
      <c r="H154" s="3600">
        <v>217</v>
      </c>
      <c r="I154" s="3600">
        <v>186</v>
      </c>
      <c r="J154" s="3600">
        <v>222</v>
      </c>
      <c r="K154" s="3600">
        <v>227</v>
      </c>
      <c r="L154" s="3600">
        <v>0</v>
      </c>
      <c r="M154" s="3600">
        <v>0</v>
      </c>
      <c r="N154" s="3600">
        <v>0</v>
      </c>
      <c r="O154" s="3600">
        <v>0</v>
      </c>
      <c r="P154" s="3600">
        <v>0</v>
      </c>
      <c r="Q154" s="3600">
        <v>0</v>
      </c>
    </row>
    <row r="155" spans="1:17">
      <c r="A155" s="1722">
        <v>925300</v>
      </c>
      <c r="B155" s="3122" t="s">
        <v>2389</v>
      </c>
      <c r="C155" s="1722" t="s">
        <v>966</v>
      </c>
      <c r="D155" s="580">
        <f t="shared" si="23"/>
        <v>925</v>
      </c>
      <c r="E155" s="564">
        <f t="shared" si="24"/>
        <v>14007</v>
      </c>
      <c r="F155" s="3600">
        <v>439</v>
      </c>
      <c r="G155" s="3600">
        <v>0</v>
      </c>
      <c r="H155" s="3600">
        <v>0</v>
      </c>
      <c r="I155" s="3600">
        <v>13568</v>
      </c>
      <c r="J155" s="3600">
        <v>0</v>
      </c>
      <c r="K155" s="3600">
        <v>0</v>
      </c>
      <c r="L155" s="3600">
        <v>0</v>
      </c>
      <c r="M155" s="3600">
        <v>0</v>
      </c>
      <c r="N155" s="3600">
        <v>0</v>
      </c>
      <c r="O155" s="3600">
        <v>0</v>
      </c>
      <c r="P155" s="3600">
        <v>0</v>
      </c>
      <c r="Q155" s="3600">
        <v>0</v>
      </c>
    </row>
    <row r="156" spans="1:17">
      <c r="A156" s="1722">
        <v>925980</v>
      </c>
      <c r="B156" s="3122" t="s">
        <v>2390</v>
      </c>
      <c r="C156" s="1722" t="s">
        <v>966</v>
      </c>
      <c r="D156" s="580">
        <f t="shared" si="23"/>
        <v>925</v>
      </c>
      <c r="E156" s="564">
        <f t="shared" si="24"/>
        <v>3109</v>
      </c>
      <c r="F156" s="3600">
        <v>358</v>
      </c>
      <c r="G156" s="3600">
        <v>363</v>
      </c>
      <c r="H156" s="3600">
        <v>363</v>
      </c>
      <c r="I156" s="3600">
        <v>363</v>
      </c>
      <c r="J156" s="3600">
        <v>363</v>
      </c>
      <c r="K156" s="3600">
        <v>363</v>
      </c>
      <c r="L156" s="3600">
        <v>36</v>
      </c>
      <c r="M156" s="3600">
        <v>396</v>
      </c>
      <c r="N156" s="3600">
        <v>396</v>
      </c>
      <c r="O156" s="3600">
        <v>36</v>
      </c>
      <c r="P156" s="3600">
        <v>36</v>
      </c>
      <c r="Q156" s="3600">
        <v>36</v>
      </c>
    </row>
    <row r="157" spans="1:17">
      <c r="A157" s="1722">
        <v>926000</v>
      </c>
      <c r="B157" s="3122" t="s">
        <v>2078</v>
      </c>
      <c r="C157" s="1722" t="s">
        <v>966</v>
      </c>
      <c r="D157" s="580">
        <f t="shared" si="23"/>
        <v>926</v>
      </c>
      <c r="E157" s="564">
        <f t="shared" si="24"/>
        <v>1995019</v>
      </c>
      <c r="F157" s="3600">
        <v>605558</v>
      </c>
      <c r="G157" s="3600">
        <v>138845</v>
      </c>
      <c r="H157" s="3600">
        <v>125945</v>
      </c>
      <c r="I157" s="3600">
        <v>150301</v>
      </c>
      <c r="J157" s="3600">
        <v>136037</v>
      </c>
      <c r="K157" s="3600">
        <v>126568</v>
      </c>
      <c r="L157" s="3600">
        <v>136711</v>
      </c>
      <c r="M157" s="3600">
        <v>118733</v>
      </c>
      <c r="N157" s="3600">
        <v>118538</v>
      </c>
      <c r="O157" s="3600">
        <v>101113</v>
      </c>
      <c r="P157" s="3600">
        <v>118310</v>
      </c>
      <c r="Q157" s="3600">
        <v>118360</v>
      </c>
    </row>
    <row r="158" spans="1:17">
      <c r="A158" s="1722">
        <v>926430</v>
      </c>
      <c r="B158" s="3122" t="s">
        <v>2391</v>
      </c>
      <c r="C158" s="1722" t="s">
        <v>966</v>
      </c>
      <c r="D158" s="580">
        <f t="shared" si="23"/>
        <v>926</v>
      </c>
      <c r="E158" s="564">
        <f t="shared" si="24"/>
        <v>656</v>
      </c>
      <c r="F158" s="3600">
        <v>23</v>
      </c>
      <c r="G158" s="3600">
        <v>0</v>
      </c>
      <c r="H158" s="3600">
        <v>0</v>
      </c>
      <c r="I158" s="3600">
        <v>10</v>
      </c>
      <c r="J158" s="3600">
        <v>0</v>
      </c>
      <c r="K158" s="3600">
        <v>31</v>
      </c>
      <c r="L158" s="3600">
        <v>98</v>
      </c>
      <c r="M158" s="3600">
        <v>98</v>
      </c>
      <c r="N158" s="3600">
        <v>99</v>
      </c>
      <c r="O158" s="3600">
        <v>99</v>
      </c>
      <c r="P158" s="3600">
        <v>99</v>
      </c>
      <c r="Q158" s="3600">
        <v>99</v>
      </c>
    </row>
    <row r="159" spans="1:17">
      <c r="A159" s="1722">
        <v>926600</v>
      </c>
      <c r="B159" s="3122" t="s">
        <v>2079</v>
      </c>
      <c r="C159" s="1722" t="s">
        <v>966</v>
      </c>
      <c r="D159" s="580">
        <f t="shared" si="23"/>
        <v>926</v>
      </c>
      <c r="E159" s="564">
        <f t="shared" si="24"/>
        <v>774312</v>
      </c>
      <c r="F159" s="3600">
        <v>164772</v>
      </c>
      <c r="G159" s="3600">
        <v>119296</v>
      </c>
      <c r="H159" s="3600">
        <v>85252</v>
      </c>
      <c r="I159" s="3600">
        <v>71508</v>
      </c>
      <c r="J159" s="3600">
        <v>52263</v>
      </c>
      <c r="K159" s="3600">
        <v>63893</v>
      </c>
      <c r="L159" s="3600">
        <v>49871</v>
      </c>
      <c r="M159" s="3600">
        <v>24737</v>
      </c>
      <c r="N159" s="3600">
        <v>16592</v>
      </c>
      <c r="O159" s="3600">
        <v>39842</v>
      </c>
      <c r="P159" s="3600">
        <v>32174</v>
      </c>
      <c r="Q159" s="3600">
        <v>54112</v>
      </c>
    </row>
    <row r="160" spans="1:17">
      <c r="A160" s="1722">
        <v>926999</v>
      </c>
      <c r="B160" s="3122" t="s">
        <v>2392</v>
      </c>
      <c r="C160" s="1722" t="s">
        <v>966</v>
      </c>
      <c r="D160" s="580">
        <f t="shared" si="23"/>
        <v>926</v>
      </c>
      <c r="E160" s="564">
        <f t="shared" si="24"/>
        <v>-160040</v>
      </c>
      <c r="F160" s="3600">
        <v>0</v>
      </c>
      <c r="G160" s="3600">
        <v>260</v>
      </c>
      <c r="H160" s="3600">
        <v>-44677</v>
      </c>
      <c r="I160" s="3600">
        <v>-22209</v>
      </c>
      <c r="J160" s="3600">
        <v>-38064</v>
      </c>
      <c r="K160" s="3600">
        <v>-26172</v>
      </c>
      <c r="L160" s="3600">
        <v>-4863</v>
      </c>
      <c r="M160" s="3600">
        <v>-4863</v>
      </c>
      <c r="N160" s="3600">
        <v>-4863</v>
      </c>
      <c r="O160" s="3600">
        <v>-4863</v>
      </c>
      <c r="P160" s="3600">
        <v>-4863</v>
      </c>
      <c r="Q160" s="3600">
        <v>-4863</v>
      </c>
    </row>
    <row r="161" spans="1:17">
      <c r="A161" s="1722">
        <v>928006</v>
      </c>
      <c r="B161" s="3122" t="s">
        <v>1720</v>
      </c>
      <c r="C161" s="1722" t="s">
        <v>966</v>
      </c>
      <c r="D161" s="580">
        <f t="shared" si="23"/>
        <v>928</v>
      </c>
      <c r="E161" s="564">
        <f t="shared" si="24"/>
        <v>194196</v>
      </c>
      <c r="F161" s="3600">
        <v>15471</v>
      </c>
      <c r="G161" s="3600">
        <v>15471</v>
      </c>
      <c r="H161" s="3600">
        <v>15471</v>
      </c>
      <c r="I161" s="3600">
        <v>15471</v>
      </c>
      <c r="J161" s="3600">
        <v>15471</v>
      </c>
      <c r="K161" s="3600">
        <v>15471</v>
      </c>
      <c r="L161" s="3600">
        <v>16895</v>
      </c>
      <c r="M161" s="3600">
        <v>16895</v>
      </c>
      <c r="N161" s="3600">
        <v>16895</v>
      </c>
      <c r="O161" s="3600">
        <v>16895</v>
      </c>
      <c r="P161" s="3600">
        <v>16895</v>
      </c>
      <c r="Q161" s="3600">
        <v>16895</v>
      </c>
    </row>
    <row r="162" spans="1:17">
      <c r="A162" s="1722">
        <v>928053</v>
      </c>
      <c r="B162" s="3122" t="s">
        <v>2427</v>
      </c>
      <c r="C162" s="1722" t="s">
        <v>966</v>
      </c>
      <c r="D162" s="580">
        <f t="shared" si="23"/>
        <v>928</v>
      </c>
      <c r="E162" s="564">
        <f t="shared" ref="E162" si="27">SUM(F162:Q162)</f>
        <v>0</v>
      </c>
      <c r="F162" s="3600">
        <v>0</v>
      </c>
      <c r="G162" s="3600">
        <v>0</v>
      </c>
      <c r="H162" s="3600">
        <v>93</v>
      </c>
      <c r="I162" s="3600">
        <v>-93</v>
      </c>
      <c r="J162" s="3600">
        <v>0</v>
      </c>
      <c r="K162" s="3600">
        <v>0</v>
      </c>
      <c r="L162" s="3600">
        <v>0</v>
      </c>
      <c r="M162" s="3600">
        <v>0</v>
      </c>
      <c r="N162" s="3600">
        <v>0</v>
      </c>
      <c r="O162" s="3600">
        <v>0</v>
      </c>
      <c r="P162" s="3600">
        <v>0</v>
      </c>
      <c r="Q162" s="3600">
        <v>0</v>
      </c>
    </row>
    <row r="163" spans="1:17">
      <c r="A163" s="1722">
        <v>929000</v>
      </c>
      <c r="B163" s="3122" t="s">
        <v>2393</v>
      </c>
      <c r="C163" s="1722" t="s">
        <v>966</v>
      </c>
      <c r="D163" s="580">
        <f t="shared" si="23"/>
        <v>929</v>
      </c>
      <c r="E163" s="564">
        <f t="shared" si="24"/>
        <v>-52074</v>
      </c>
      <c r="F163" s="3600">
        <v>-4156</v>
      </c>
      <c r="G163" s="3600">
        <v>-7693</v>
      </c>
      <c r="H163" s="3600">
        <v>-24497</v>
      </c>
      <c r="I163" s="3600">
        <v>-6867</v>
      </c>
      <c r="J163" s="3600">
        <v>-5679</v>
      </c>
      <c r="K163" s="3600">
        <v>-3182</v>
      </c>
      <c r="L163" s="3600">
        <v>0</v>
      </c>
      <c r="M163" s="3600">
        <v>0</v>
      </c>
      <c r="N163" s="3600">
        <v>0</v>
      </c>
      <c r="O163" s="3600">
        <v>0</v>
      </c>
      <c r="P163" s="3600">
        <v>0</v>
      </c>
      <c r="Q163" s="3600">
        <v>0</v>
      </c>
    </row>
    <row r="164" spans="1:17">
      <c r="A164" s="1722">
        <v>929500</v>
      </c>
      <c r="B164" s="3122" t="s">
        <v>2394</v>
      </c>
      <c r="C164" s="1722" t="s">
        <v>966</v>
      </c>
      <c r="D164" s="580">
        <f t="shared" si="23"/>
        <v>929</v>
      </c>
      <c r="E164" s="564">
        <f t="shared" si="24"/>
        <v>-95997</v>
      </c>
      <c r="F164" s="3600">
        <v>-15871</v>
      </c>
      <c r="G164" s="3600">
        <v>-10299</v>
      </c>
      <c r="H164" s="3600">
        <v>-17912</v>
      </c>
      <c r="I164" s="3600">
        <v>-17369</v>
      </c>
      <c r="J164" s="3600">
        <v>-12376</v>
      </c>
      <c r="K164" s="3600">
        <v>-16312</v>
      </c>
      <c r="L164" s="3600">
        <v>-502</v>
      </c>
      <c r="M164" s="3600">
        <v>-502</v>
      </c>
      <c r="N164" s="3600">
        <v>-502</v>
      </c>
      <c r="O164" s="3600">
        <v>-3348</v>
      </c>
      <c r="P164" s="3600">
        <v>-502</v>
      </c>
      <c r="Q164" s="3600">
        <v>-502</v>
      </c>
    </row>
    <row r="165" spans="1:17">
      <c r="A165" s="1722">
        <v>930150</v>
      </c>
      <c r="B165" s="3122" t="s">
        <v>2395</v>
      </c>
      <c r="C165" s="1722" t="s">
        <v>966</v>
      </c>
      <c r="D165" s="580">
        <f t="shared" si="23"/>
        <v>930</v>
      </c>
      <c r="E165" s="564">
        <f t="shared" si="24"/>
        <v>34145</v>
      </c>
      <c r="F165" s="3600">
        <v>2504</v>
      </c>
      <c r="G165" s="3600">
        <v>-814</v>
      </c>
      <c r="H165" s="3600">
        <v>462</v>
      </c>
      <c r="I165" s="3600">
        <v>7742</v>
      </c>
      <c r="J165" s="3600">
        <v>2801</v>
      </c>
      <c r="K165" s="3600">
        <v>2654</v>
      </c>
      <c r="L165" s="3600">
        <v>3184</v>
      </c>
      <c r="M165" s="3600">
        <v>3107</v>
      </c>
      <c r="N165" s="3600">
        <v>3107</v>
      </c>
      <c r="O165" s="3600">
        <v>3184</v>
      </c>
      <c r="P165" s="3600">
        <v>3107</v>
      </c>
      <c r="Q165" s="3600">
        <v>3107</v>
      </c>
    </row>
    <row r="166" spans="1:17">
      <c r="A166" s="1722">
        <v>930200</v>
      </c>
      <c r="B166" s="3122" t="s">
        <v>2080</v>
      </c>
      <c r="C166" s="1722" t="s">
        <v>966</v>
      </c>
      <c r="D166" s="580">
        <f t="shared" si="23"/>
        <v>930</v>
      </c>
      <c r="E166" s="564">
        <f t="shared" si="24"/>
        <v>169088</v>
      </c>
      <c r="F166" s="3600">
        <v>5225</v>
      </c>
      <c r="G166" s="3600">
        <v>108492</v>
      </c>
      <c r="H166" s="3600">
        <v>-11176</v>
      </c>
      <c r="I166" s="3600">
        <v>38364</v>
      </c>
      <c r="J166" s="3600">
        <v>11534</v>
      </c>
      <c r="K166" s="3600">
        <v>-8392</v>
      </c>
      <c r="L166" s="3600">
        <v>4669</v>
      </c>
      <c r="M166" s="3600">
        <v>4385</v>
      </c>
      <c r="N166" s="3600">
        <v>3563</v>
      </c>
      <c r="O166" s="3600">
        <v>4155</v>
      </c>
      <c r="P166" s="3600">
        <v>3987</v>
      </c>
      <c r="Q166" s="3600">
        <v>4282</v>
      </c>
    </row>
    <row r="167" spans="1:17">
      <c r="A167" s="1722">
        <v>930210</v>
      </c>
      <c r="B167" s="3122" t="s">
        <v>2081</v>
      </c>
      <c r="C167" s="1722" t="s">
        <v>966</v>
      </c>
      <c r="D167" s="580">
        <f t="shared" si="23"/>
        <v>930</v>
      </c>
      <c r="E167" s="564">
        <f t="shared" si="24"/>
        <v>19329</v>
      </c>
      <c r="F167" s="3600">
        <v>0</v>
      </c>
      <c r="G167" s="3600">
        <v>19308</v>
      </c>
      <c r="H167" s="3600">
        <v>0</v>
      </c>
      <c r="I167" s="3600">
        <v>21</v>
      </c>
      <c r="J167" s="3600">
        <v>0</v>
      </c>
      <c r="K167" s="3600">
        <v>0</v>
      </c>
      <c r="L167" s="3600">
        <v>0</v>
      </c>
      <c r="M167" s="3600">
        <v>0</v>
      </c>
      <c r="N167" s="3600">
        <v>0</v>
      </c>
      <c r="O167" s="3600">
        <v>0</v>
      </c>
      <c r="P167" s="3600">
        <v>0</v>
      </c>
      <c r="Q167" s="3600">
        <v>0</v>
      </c>
    </row>
    <row r="168" spans="1:17">
      <c r="A168" s="1722">
        <v>930220</v>
      </c>
      <c r="B168" s="3122" t="s">
        <v>2082</v>
      </c>
      <c r="C168" s="1722" t="s">
        <v>966</v>
      </c>
      <c r="D168" s="580">
        <f t="shared" si="23"/>
        <v>930</v>
      </c>
      <c r="E168" s="564">
        <f t="shared" si="24"/>
        <v>158</v>
      </c>
      <c r="F168" s="3600">
        <v>-23</v>
      </c>
      <c r="G168" s="3600">
        <v>-9</v>
      </c>
      <c r="H168" s="3600">
        <v>-20</v>
      </c>
      <c r="I168" s="3600">
        <v>-16</v>
      </c>
      <c r="J168" s="3600">
        <v>-17</v>
      </c>
      <c r="K168" s="3600">
        <v>243</v>
      </c>
      <c r="L168" s="3600">
        <v>0</v>
      </c>
      <c r="M168" s="3600">
        <v>0</v>
      </c>
      <c r="N168" s="3600">
        <v>0</v>
      </c>
      <c r="O168" s="3600">
        <v>0</v>
      </c>
      <c r="P168" s="3600">
        <v>0</v>
      </c>
      <c r="Q168" s="3600">
        <v>0</v>
      </c>
    </row>
    <row r="169" spans="1:17">
      <c r="A169" s="1722">
        <v>930230</v>
      </c>
      <c r="B169" s="3122" t="s">
        <v>2396</v>
      </c>
      <c r="C169" s="1722" t="s">
        <v>966</v>
      </c>
      <c r="D169" s="580">
        <f t="shared" si="23"/>
        <v>930</v>
      </c>
      <c r="E169" s="564">
        <f t="shared" si="24"/>
        <v>23628</v>
      </c>
      <c r="F169" s="3600">
        <v>4670</v>
      </c>
      <c r="G169" s="3600">
        <v>1923</v>
      </c>
      <c r="H169" s="3600">
        <v>8209</v>
      </c>
      <c r="I169" s="3600">
        <v>175</v>
      </c>
      <c r="J169" s="3600">
        <v>0</v>
      </c>
      <c r="K169" s="3600">
        <v>-81</v>
      </c>
      <c r="L169" s="3600">
        <v>454</v>
      </c>
      <c r="M169" s="3600">
        <v>574</v>
      </c>
      <c r="N169" s="3600">
        <v>2366</v>
      </c>
      <c r="O169" s="3600">
        <v>2658</v>
      </c>
      <c r="P169" s="3600">
        <v>1327</v>
      </c>
      <c r="Q169" s="3600">
        <v>1353</v>
      </c>
    </row>
    <row r="170" spans="1:17">
      <c r="A170" s="1722">
        <v>930240</v>
      </c>
      <c r="B170" s="3122" t="s">
        <v>2083</v>
      </c>
      <c r="C170" s="1722" t="s">
        <v>966</v>
      </c>
      <c r="D170" s="580">
        <f t="shared" si="23"/>
        <v>930</v>
      </c>
      <c r="E170" s="564">
        <f t="shared" si="24"/>
        <v>13572</v>
      </c>
      <c r="F170" s="3600">
        <v>1972</v>
      </c>
      <c r="G170" s="3600">
        <v>2066</v>
      </c>
      <c r="H170" s="3600">
        <v>81</v>
      </c>
      <c r="I170" s="3600">
        <v>203</v>
      </c>
      <c r="J170" s="3600">
        <v>1618</v>
      </c>
      <c r="K170" s="3600">
        <v>7632</v>
      </c>
      <c r="L170" s="3600">
        <v>0</v>
      </c>
      <c r="M170" s="3600">
        <v>0</v>
      </c>
      <c r="N170" s="3600">
        <v>0</v>
      </c>
      <c r="O170" s="3600">
        <v>0</v>
      </c>
      <c r="P170" s="3600">
        <v>0</v>
      </c>
      <c r="Q170" s="3600">
        <v>0</v>
      </c>
    </row>
    <row r="171" spans="1:17">
      <c r="A171" s="1722">
        <v>930250</v>
      </c>
      <c r="B171" s="3122" t="s">
        <v>2397</v>
      </c>
      <c r="C171" s="1722" t="s">
        <v>966</v>
      </c>
      <c r="D171" s="580">
        <f t="shared" si="23"/>
        <v>930</v>
      </c>
      <c r="E171" s="564">
        <f t="shared" si="24"/>
        <v>1924</v>
      </c>
      <c r="F171" s="3600">
        <v>587</v>
      </c>
      <c r="G171" s="3600">
        <v>305</v>
      </c>
      <c r="H171" s="3600">
        <v>131</v>
      </c>
      <c r="I171" s="3600">
        <v>596</v>
      </c>
      <c r="J171" s="3600">
        <v>116</v>
      </c>
      <c r="K171" s="3600">
        <v>-87</v>
      </c>
      <c r="L171" s="3600">
        <v>46</v>
      </c>
      <c r="M171" s="3600">
        <v>46</v>
      </c>
      <c r="N171" s="3600">
        <v>46</v>
      </c>
      <c r="O171" s="3600">
        <v>46</v>
      </c>
      <c r="P171" s="3600">
        <v>46</v>
      </c>
      <c r="Q171" s="3600">
        <v>46</v>
      </c>
    </row>
    <row r="172" spans="1:17">
      <c r="A172" s="1722">
        <v>930700</v>
      </c>
      <c r="B172" s="3122" t="s">
        <v>2398</v>
      </c>
      <c r="C172" s="1722" t="s">
        <v>966</v>
      </c>
      <c r="D172" s="580">
        <f t="shared" si="23"/>
        <v>930</v>
      </c>
      <c r="E172" s="564">
        <f t="shared" si="24"/>
        <v>367</v>
      </c>
      <c r="F172" s="3600">
        <v>367</v>
      </c>
      <c r="G172" s="3600">
        <v>143</v>
      </c>
      <c r="H172" s="3600">
        <v>-279</v>
      </c>
      <c r="I172" s="3600">
        <v>38</v>
      </c>
      <c r="J172" s="3600">
        <v>5</v>
      </c>
      <c r="K172" s="3600">
        <v>93</v>
      </c>
      <c r="L172" s="3600">
        <v>0</v>
      </c>
      <c r="M172" s="3600">
        <v>0</v>
      </c>
      <c r="N172" s="3600">
        <v>0</v>
      </c>
      <c r="O172" s="3600">
        <v>0</v>
      </c>
      <c r="P172" s="3600">
        <v>0</v>
      </c>
      <c r="Q172" s="3600">
        <v>0</v>
      </c>
    </row>
    <row r="173" spans="1:17">
      <c r="A173" s="1722">
        <v>930940</v>
      </c>
      <c r="B173" s="3122" t="s">
        <v>2084</v>
      </c>
      <c r="C173" s="1722" t="s">
        <v>966</v>
      </c>
      <c r="D173" s="580">
        <f t="shared" si="23"/>
        <v>930</v>
      </c>
      <c r="E173" s="564">
        <f t="shared" si="24"/>
        <v>401</v>
      </c>
      <c r="F173" s="3600">
        <v>96</v>
      </c>
      <c r="G173" s="3600">
        <v>51</v>
      </c>
      <c r="H173" s="3600">
        <v>78</v>
      </c>
      <c r="I173" s="3600">
        <v>92</v>
      </c>
      <c r="J173" s="3600">
        <v>35</v>
      </c>
      <c r="K173" s="3600">
        <v>49</v>
      </c>
      <c r="L173" s="3600">
        <v>0</v>
      </c>
      <c r="M173" s="3600">
        <v>0</v>
      </c>
      <c r="N173" s="3600">
        <v>0</v>
      </c>
      <c r="O173" s="3600">
        <v>0</v>
      </c>
      <c r="P173" s="3600">
        <v>0</v>
      </c>
      <c r="Q173" s="3600">
        <v>0</v>
      </c>
    </row>
    <row r="174" spans="1:17">
      <c r="A174" s="1722">
        <v>931001</v>
      </c>
      <c r="B174" s="3122" t="s">
        <v>2085</v>
      </c>
      <c r="C174" s="1722" t="s">
        <v>966</v>
      </c>
      <c r="D174" s="580">
        <f t="shared" si="23"/>
        <v>931</v>
      </c>
      <c r="E174" s="564">
        <f t="shared" si="24"/>
        <v>60599</v>
      </c>
      <c r="F174" s="3600">
        <v>5868</v>
      </c>
      <c r="G174" s="3600">
        <v>5603</v>
      </c>
      <c r="H174" s="3600">
        <v>11773</v>
      </c>
      <c r="I174" s="3600">
        <v>8997</v>
      </c>
      <c r="J174" s="3600">
        <v>5045</v>
      </c>
      <c r="K174" s="3600">
        <v>5239</v>
      </c>
      <c r="L174" s="3600">
        <v>2754</v>
      </c>
      <c r="M174" s="3600">
        <v>3518</v>
      </c>
      <c r="N174" s="3600">
        <v>2745</v>
      </c>
      <c r="O174" s="3600">
        <v>2758</v>
      </c>
      <c r="P174" s="3600">
        <v>3541</v>
      </c>
      <c r="Q174" s="3600">
        <v>2758</v>
      </c>
    </row>
    <row r="175" spans="1:17">
      <c r="A175" s="1722">
        <v>931008</v>
      </c>
      <c r="B175" s="3122" t="s">
        <v>2399</v>
      </c>
      <c r="C175" s="1722" t="s">
        <v>966</v>
      </c>
      <c r="D175" s="580">
        <f t="shared" si="23"/>
        <v>931</v>
      </c>
      <c r="E175" s="564">
        <f t="shared" si="24"/>
        <v>270999</v>
      </c>
      <c r="F175" s="3600">
        <v>20943</v>
      </c>
      <c r="G175" s="3600">
        <v>26072</v>
      </c>
      <c r="H175" s="3600">
        <v>18525</v>
      </c>
      <c r="I175" s="3600">
        <v>22333</v>
      </c>
      <c r="J175" s="3600">
        <v>22834</v>
      </c>
      <c r="K175" s="3600">
        <v>22454</v>
      </c>
      <c r="L175" s="3600">
        <v>22973</v>
      </c>
      <c r="M175" s="3600">
        <v>22973</v>
      </c>
      <c r="N175" s="3600">
        <v>22973</v>
      </c>
      <c r="O175" s="3600">
        <v>22973</v>
      </c>
      <c r="P175" s="3600">
        <v>22973</v>
      </c>
      <c r="Q175" s="3600">
        <v>22973</v>
      </c>
    </row>
    <row r="176" spans="1:17">
      <c r="A176" s="1722">
        <v>932000</v>
      </c>
      <c r="B176" s="3122" t="s">
        <v>2086</v>
      </c>
      <c r="C176" s="1722" t="s">
        <v>966</v>
      </c>
      <c r="D176" s="580">
        <f t="shared" si="23"/>
        <v>932</v>
      </c>
      <c r="E176" s="564">
        <f t="shared" si="24"/>
        <v>4204</v>
      </c>
      <c r="F176" s="3600">
        <v>502</v>
      </c>
      <c r="G176" s="3600">
        <v>0</v>
      </c>
      <c r="H176" s="3600">
        <v>0</v>
      </c>
      <c r="I176" s="3600">
        <v>3658</v>
      </c>
      <c r="J176" s="3600">
        <v>0</v>
      </c>
      <c r="K176" s="3600">
        <v>44</v>
      </c>
      <c r="L176" s="3600">
        <v>0</v>
      </c>
      <c r="M176" s="3600">
        <v>0</v>
      </c>
      <c r="N176" s="3600">
        <v>0</v>
      </c>
      <c r="O176" s="3600">
        <v>0</v>
      </c>
      <c r="P176" s="3600">
        <v>0</v>
      </c>
      <c r="Q176" s="3600">
        <v>0</v>
      </c>
    </row>
    <row r="177" spans="1:17">
      <c r="A177" s="1722">
        <v>935001</v>
      </c>
      <c r="B177" s="3122" t="s">
        <v>2673</v>
      </c>
      <c r="C177" s="1722" t="s">
        <v>966</v>
      </c>
      <c r="D177" s="580">
        <f t="shared" ref="D177" si="28">VALUE(LEFT(A177,3))</f>
        <v>935</v>
      </c>
      <c r="E177" s="564">
        <f t="shared" ref="E177" si="29">SUM(F177:Q177)</f>
        <v>1440</v>
      </c>
      <c r="F177" s="3600">
        <v>0</v>
      </c>
      <c r="G177" s="3600">
        <v>0</v>
      </c>
      <c r="H177" s="3600">
        <v>0</v>
      </c>
      <c r="I177" s="3600">
        <v>0</v>
      </c>
      <c r="J177" s="3600">
        <v>0</v>
      </c>
      <c r="K177" s="3600">
        <v>0</v>
      </c>
      <c r="L177" s="3600">
        <v>360</v>
      </c>
      <c r="M177" s="3600">
        <v>0</v>
      </c>
      <c r="N177" s="3600">
        <v>0</v>
      </c>
      <c r="O177" s="3600">
        <v>360</v>
      </c>
      <c r="P177" s="3600">
        <v>360</v>
      </c>
      <c r="Q177" s="3600">
        <v>360</v>
      </c>
    </row>
    <row r="178" spans="1:17">
      <c r="A178" s="1722">
        <v>935100</v>
      </c>
      <c r="B178" s="3122" t="s">
        <v>2087</v>
      </c>
      <c r="C178" s="1722" t="s">
        <v>971</v>
      </c>
      <c r="D178" s="580">
        <f t="shared" si="23"/>
        <v>935</v>
      </c>
      <c r="E178" s="564">
        <f t="shared" si="24"/>
        <v>2907</v>
      </c>
      <c r="F178" s="3600">
        <v>-366</v>
      </c>
      <c r="G178" s="3600">
        <v>-766</v>
      </c>
      <c r="H178" s="3600">
        <v>28</v>
      </c>
      <c r="I178" s="3600">
        <v>738</v>
      </c>
      <c r="J178" s="3600">
        <v>3144</v>
      </c>
      <c r="K178" s="3600">
        <v>51</v>
      </c>
      <c r="L178" s="3600">
        <v>13</v>
      </c>
      <c r="M178" s="3600">
        <v>13</v>
      </c>
      <c r="N178" s="3600">
        <v>13</v>
      </c>
      <c r="O178" s="3600">
        <v>13</v>
      </c>
      <c r="P178" s="3600">
        <v>13</v>
      </c>
      <c r="Q178" s="3600">
        <v>13</v>
      </c>
    </row>
    <row r="179" spans="1:17">
      <c r="A179" s="1722">
        <v>935200</v>
      </c>
      <c r="B179" s="3122" t="s">
        <v>2088</v>
      </c>
      <c r="C179" s="1722" t="s">
        <v>971</v>
      </c>
      <c r="D179" s="580">
        <f t="shared" ref="D179" si="30">VALUE(LEFT(A179,3))</f>
        <v>935</v>
      </c>
      <c r="E179" s="564">
        <f t="shared" si="24"/>
        <v>1541</v>
      </c>
      <c r="F179" s="3600">
        <v>43</v>
      </c>
      <c r="G179" s="3600">
        <v>1</v>
      </c>
      <c r="H179" s="3600">
        <v>136</v>
      </c>
      <c r="I179" s="3600">
        <v>845</v>
      </c>
      <c r="J179" s="3600">
        <v>342</v>
      </c>
      <c r="K179" s="3600">
        <v>174</v>
      </c>
      <c r="L179" s="3600">
        <v>0</v>
      </c>
      <c r="M179" s="3600">
        <v>0</v>
      </c>
      <c r="N179" s="3600">
        <v>0</v>
      </c>
      <c r="O179" s="3600">
        <v>0</v>
      </c>
      <c r="P179" s="3600">
        <v>0</v>
      </c>
      <c r="Q179" s="3600">
        <v>0</v>
      </c>
    </row>
    <row r="180" spans="1:17">
      <c r="A180" s="583"/>
      <c r="B180" s="583"/>
      <c r="C180" s="583"/>
      <c r="D180" s="583"/>
      <c r="E180" s="538">
        <f t="shared" ref="E180:Q180" si="31">SUM(E12:E179)</f>
        <v>191915072</v>
      </c>
      <c r="F180" s="538">
        <f t="shared" si="31"/>
        <v>28586397</v>
      </c>
      <c r="G180" s="538">
        <f t="shared" si="31"/>
        <v>29625446</v>
      </c>
      <c r="H180" s="538">
        <f t="shared" si="31"/>
        <v>22736221</v>
      </c>
      <c r="I180" s="538">
        <f t="shared" si="31"/>
        <v>19935069</v>
      </c>
      <c r="J180" s="538">
        <f t="shared" si="31"/>
        <v>15356146</v>
      </c>
      <c r="K180" s="538">
        <f t="shared" si="31"/>
        <v>7905987</v>
      </c>
      <c r="L180" s="538">
        <f t="shared" si="31"/>
        <v>9291028</v>
      </c>
      <c r="M180" s="538">
        <f t="shared" si="31"/>
        <v>10369914</v>
      </c>
      <c r="N180" s="538">
        <f t="shared" si="31"/>
        <v>8084678</v>
      </c>
      <c r="O180" s="538">
        <f t="shared" si="31"/>
        <v>9829518</v>
      </c>
      <c r="P180" s="538">
        <f t="shared" si="31"/>
        <v>11108413</v>
      </c>
      <c r="Q180" s="538">
        <f t="shared" si="31"/>
        <v>19086255</v>
      </c>
    </row>
    <row r="181" spans="1:17">
      <c r="A181" s="583"/>
      <c r="B181" s="585"/>
      <c r="C181" s="583"/>
      <c r="D181" s="583"/>
      <c r="E181" s="544"/>
      <c r="F181" s="544"/>
      <c r="G181" s="538"/>
      <c r="H181" s="538"/>
      <c r="I181" s="538"/>
      <c r="J181" s="538"/>
      <c r="K181" s="538"/>
      <c r="L181" s="538"/>
      <c r="M181" s="538"/>
      <c r="N181" s="538"/>
      <c r="O181" s="538"/>
      <c r="P181" s="538"/>
      <c r="Q181" s="538"/>
    </row>
    <row r="182" spans="1:17">
      <c r="A182" s="580"/>
      <c r="B182" s="540" t="s">
        <v>958</v>
      </c>
      <c r="C182" s="580" t="s">
        <v>957</v>
      </c>
      <c r="D182" s="580"/>
      <c r="E182" s="564">
        <f t="shared" ref="E182" si="32">SUM(F182:Q182)</f>
        <v>102436819</v>
      </c>
      <c r="F182" s="564">
        <f>SUMIF(CODE,C182,Base1)</f>
        <v>15867330</v>
      </c>
      <c r="G182" s="564">
        <f>SUMIF(CODE,C182,Base2)</f>
        <v>17381420</v>
      </c>
      <c r="H182" s="564">
        <f>SUMIF(CODE,C182,Base3)</f>
        <v>13232488</v>
      </c>
      <c r="I182" s="564">
        <f>SUMIF(CODE,C182,Base4)</f>
        <v>11372501</v>
      </c>
      <c r="J182" s="564">
        <f>SUMIF(CODE,C182,Base5)</f>
        <v>8547970</v>
      </c>
      <c r="K182" s="564">
        <f>SUMIF(CODE,C182,Base6)</f>
        <v>3602595</v>
      </c>
      <c r="L182" s="564">
        <f>SUMIF(CODE,C182,Base7)</f>
        <v>4157116</v>
      </c>
      <c r="M182" s="564">
        <f>SUMIF(CODE,C182,Base8)</f>
        <v>4667135</v>
      </c>
      <c r="N182" s="564">
        <f>SUMIF(CODE,C182,Base9)</f>
        <v>3533248</v>
      </c>
      <c r="O182" s="564">
        <f>SUMIF(CODE,C182,Base10)</f>
        <v>4395878</v>
      </c>
      <c r="P182" s="564">
        <f>SUMIF(CODE,C182,Base11)</f>
        <v>5375922</v>
      </c>
      <c r="Q182" s="564">
        <f>SUMIF(CODE,C182,Base12)</f>
        <v>10303216</v>
      </c>
    </row>
    <row r="183" spans="1:17">
      <c r="A183" s="580"/>
      <c r="B183" s="541" t="s">
        <v>959</v>
      </c>
      <c r="C183" s="580"/>
      <c r="D183" s="580"/>
      <c r="E183" s="564"/>
      <c r="F183" s="564"/>
      <c r="G183" s="564"/>
      <c r="H183" s="564"/>
      <c r="I183" s="564"/>
      <c r="J183" s="564"/>
      <c r="K183" s="564"/>
      <c r="L183" s="564"/>
      <c r="M183" s="564"/>
      <c r="N183" s="564"/>
      <c r="O183" s="564"/>
      <c r="P183" s="564"/>
      <c r="Q183" s="564"/>
    </row>
    <row r="184" spans="1:17">
      <c r="A184" s="580"/>
      <c r="B184" s="1598" t="s">
        <v>443</v>
      </c>
      <c r="C184" s="580" t="s">
        <v>960</v>
      </c>
      <c r="D184" s="580"/>
      <c r="E184" s="564">
        <f>SUM(F184:Q184)</f>
        <v>43784843</v>
      </c>
      <c r="F184" s="564">
        <f>SUMIF(CODE,C184,Base1)</f>
        <v>7174317</v>
      </c>
      <c r="G184" s="564">
        <f>SUMIF(CODE,C184,Base2)</f>
        <v>7389916</v>
      </c>
      <c r="H184" s="564">
        <f>SUMIF(CODE,C184,Base3)</f>
        <v>6370503</v>
      </c>
      <c r="I184" s="564">
        <f>SUMIF(CODE,C184,Base4)</f>
        <v>5245290</v>
      </c>
      <c r="J184" s="564">
        <f>SUMIF(CODE,C184,Base5)</f>
        <v>3729002</v>
      </c>
      <c r="K184" s="564">
        <f>SUMIF(CODE,C184,Base6)</f>
        <v>958429</v>
      </c>
      <c r="L184" s="564">
        <f>SUMIF(CODE,C184,Base7)</f>
        <v>1263363</v>
      </c>
      <c r="M184" s="564">
        <f>SUMIF(CODE,C184,Base8)</f>
        <v>1955892</v>
      </c>
      <c r="N184" s="564">
        <f>SUMIF(CODE,C184,Base9)</f>
        <v>839287</v>
      </c>
      <c r="O184" s="564">
        <f>SUMIF(CODE,C184,Base10)</f>
        <v>1740208</v>
      </c>
      <c r="P184" s="564">
        <f>SUMIF(CODE,C184,Base11)</f>
        <v>1973149</v>
      </c>
      <c r="Q184" s="564">
        <f>SUMIF(CODE,C184,Base12)</f>
        <v>5145487</v>
      </c>
    </row>
    <row r="185" spans="1:17">
      <c r="A185" s="580"/>
      <c r="B185" s="542"/>
      <c r="C185" s="580"/>
      <c r="D185" s="580"/>
      <c r="E185" s="564"/>
      <c r="F185" s="564"/>
      <c r="G185" s="564"/>
      <c r="H185" s="564"/>
      <c r="I185" s="564"/>
      <c r="J185" s="564"/>
      <c r="K185" s="564"/>
      <c r="L185" s="564"/>
      <c r="M185" s="564"/>
      <c r="N185" s="564"/>
      <c r="O185" s="564"/>
      <c r="P185" s="564"/>
      <c r="Q185" s="564"/>
    </row>
    <row r="186" spans="1:17">
      <c r="A186" s="580"/>
      <c r="B186" s="541" t="s">
        <v>530</v>
      </c>
      <c r="C186" s="580"/>
      <c r="D186" s="580"/>
      <c r="E186" s="564"/>
      <c r="F186" s="564"/>
      <c r="G186" s="564"/>
      <c r="H186" s="564"/>
      <c r="I186" s="564"/>
      <c r="J186" s="564"/>
      <c r="K186" s="564"/>
      <c r="L186" s="564"/>
      <c r="M186" s="564"/>
      <c r="N186" s="564"/>
      <c r="O186" s="564"/>
      <c r="P186" s="564"/>
      <c r="Q186" s="564"/>
    </row>
    <row r="187" spans="1:17">
      <c r="A187" s="580"/>
      <c r="B187" s="542" t="s">
        <v>1840</v>
      </c>
      <c r="C187" s="580" t="s">
        <v>961</v>
      </c>
      <c r="D187" s="580"/>
      <c r="E187" s="564">
        <f>SUM(F187:Q187)</f>
        <v>2607711</v>
      </c>
      <c r="F187" s="564">
        <f t="shared" ref="F187:F194" si="33">SUMIF(CODE,C187,Base1)</f>
        <v>480834</v>
      </c>
      <c r="G187" s="564">
        <f t="shared" ref="G187:G194" si="34">SUMIF(CODE,C187,Base2)</f>
        <v>1409993</v>
      </c>
      <c r="H187" s="564">
        <f t="shared" ref="H187:H194" si="35">SUMIF(CODE,C187,Base3)</f>
        <v>202243</v>
      </c>
      <c r="I187" s="564">
        <f t="shared" ref="I187:I194" si="36">SUMIF(CODE,C187,Base4)</f>
        <v>80677</v>
      </c>
      <c r="J187" s="564">
        <f t="shared" ref="J187:J194" si="37">SUMIF(CODE,C187,Base5)</f>
        <v>55473</v>
      </c>
      <c r="K187" s="564">
        <f t="shared" ref="K187:K194" si="38">SUMIF(CODE,C187,Base6)</f>
        <v>51167</v>
      </c>
      <c r="L187" s="564">
        <f t="shared" ref="L187:L194" si="39">SUMIF(CODE,C187,Base7)</f>
        <v>72919</v>
      </c>
      <c r="M187" s="564">
        <f t="shared" ref="M187:M194" si="40">SUMIF(CODE,C187,Base8)</f>
        <v>46079</v>
      </c>
      <c r="N187" s="564">
        <f t="shared" ref="N187:N194" si="41">SUMIF(CODE,C187,Base9)</f>
        <v>48553</v>
      </c>
      <c r="O187" s="564">
        <f t="shared" ref="O187:O194" si="42">SUMIF(CODE,C187,Base10)</f>
        <v>50704</v>
      </c>
      <c r="P187" s="564">
        <f t="shared" ref="P187:P194" si="43">SUMIF(CODE,C187,Base11)</f>
        <v>55141</v>
      </c>
      <c r="Q187" s="564">
        <f t="shared" ref="Q187:Q194" si="44">SUMIF(CODE,C187,Base12)</f>
        <v>53928</v>
      </c>
    </row>
    <row r="188" spans="1:17">
      <c r="A188" s="580"/>
      <c r="B188" s="542" t="s">
        <v>2424</v>
      </c>
      <c r="C188" s="1182" t="s">
        <v>2422</v>
      </c>
      <c r="D188" s="580"/>
      <c r="E188" s="564">
        <f t="shared" ref="E188:E190" si="45">SUM(F188:Q188)</f>
        <v>3779036</v>
      </c>
      <c r="F188" s="564">
        <f t="shared" si="33"/>
        <v>280449</v>
      </c>
      <c r="G188" s="564">
        <f t="shared" si="34"/>
        <v>431438</v>
      </c>
      <c r="H188" s="564">
        <f t="shared" si="35"/>
        <v>300482</v>
      </c>
      <c r="I188" s="564">
        <f t="shared" si="36"/>
        <v>366782</v>
      </c>
      <c r="J188" s="564">
        <f t="shared" si="37"/>
        <v>350123</v>
      </c>
      <c r="K188" s="564">
        <f t="shared" si="38"/>
        <v>341543</v>
      </c>
      <c r="L188" s="564">
        <f t="shared" si="39"/>
        <v>281448</v>
      </c>
      <c r="M188" s="564">
        <f t="shared" si="40"/>
        <v>281960</v>
      </c>
      <c r="N188" s="564">
        <f t="shared" si="41"/>
        <v>317210</v>
      </c>
      <c r="O188" s="564">
        <f t="shared" si="42"/>
        <v>268352</v>
      </c>
      <c r="P188" s="564">
        <f t="shared" si="43"/>
        <v>283887</v>
      </c>
      <c r="Q188" s="564">
        <f t="shared" si="44"/>
        <v>275362</v>
      </c>
    </row>
    <row r="189" spans="1:17">
      <c r="A189" s="580"/>
      <c r="B189" s="542" t="s">
        <v>2425</v>
      </c>
      <c r="C189" s="1182" t="s">
        <v>395</v>
      </c>
      <c r="D189" s="580"/>
      <c r="E189" s="564">
        <f t="shared" si="45"/>
        <v>445258</v>
      </c>
      <c r="F189" s="564">
        <f t="shared" si="33"/>
        <v>48979</v>
      </c>
      <c r="G189" s="564">
        <f t="shared" si="34"/>
        <v>40722</v>
      </c>
      <c r="H189" s="564">
        <f t="shared" si="35"/>
        <v>30557</v>
      </c>
      <c r="I189" s="564">
        <f t="shared" si="36"/>
        <v>29732</v>
      </c>
      <c r="J189" s="564">
        <f t="shared" si="37"/>
        <v>35374</v>
      </c>
      <c r="K189" s="564">
        <f t="shared" si="38"/>
        <v>33234</v>
      </c>
      <c r="L189" s="564">
        <f t="shared" si="39"/>
        <v>34037</v>
      </c>
      <c r="M189" s="564">
        <f t="shared" si="40"/>
        <v>38342</v>
      </c>
      <c r="N189" s="564">
        <f t="shared" si="41"/>
        <v>37620</v>
      </c>
      <c r="O189" s="564">
        <f t="shared" si="42"/>
        <v>40778</v>
      </c>
      <c r="P189" s="564">
        <f t="shared" si="43"/>
        <v>41133</v>
      </c>
      <c r="Q189" s="564">
        <f t="shared" si="44"/>
        <v>34750</v>
      </c>
    </row>
    <row r="190" spans="1:17">
      <c r="A190" s="580"/>
      <c r="B190" s="542" t="s">
        <v>1278</v>
      </c>
      <c r="C190" s="1182" t="s">
        <v>2426</v>
      </c>
      <c r="D190" s="580"/>
      <c r="E190" s="564">
        <f t="shared" si="45"/>
        <v>157771</v>
      </c>
      <c r="F190" s="564">
        <f t="shared" si="33"/>
        <v>9236</v>
      </c>
      <c r="G190" s="564">
        <f t="shared" si="34"/>
        <v>8361</v>
      </c>
      <c r="H190" s="564">
        <f t="shared" si="35"/>
        <v>11281</v>
      </c>
      <c r="I190" s="564">
        <f t="shared" si="36"/>
        <v>10561</v>
      </c>
      <c r="J190" s="564">
        <f t="shared" si="37"/>
        <v>10979</v>
      </c>
      <c r="K190" s="564">
        <f t="shared" si="38"/>
        <v>16943</v>
      </c>
      <c r="L190" s="564">
        <f t="shared" si="39"/>
        <v>14854</v>
      </c>
      <c r="M190" s="564">
        <f t="shared" si="40"/>
        <v>15100</v>
      </c>
      <c r="N190" s="564">
        <f t="shared" si="41"/>
        <v>15102</v>
      </c>
      <c r="O190" s="564">
        <f t="shared" si="42"/>
        <v>15100</v>
      </c>
      <c r="P190" s="564">
        <f t="shared" si="43"/>
        <v>15103</v>
      </c>
      <c r="Q190" s="564">
        <f t="shared" si="44"/>
        <v>15151</v>
      </c>
    </row>
    <row r="191" spans="1:17">
      <c r="A191" s="580"/>
      <c r="B191" s="542" t="s">
        <v>963</v>
      </c>
      <c r="C191" s="580" t="s">
        <v>962</v>
      </c>
      <c r="D191" s="580"/>
      <c r="E191" s="564">
        <f>SUM(F191:Q191)</f>
        <v>0</v>
      </c>
      <c r="F191" s="564">
        <f t="shared" si="33"/>
        <v>0</v>
      </c>
      <c r="G191" s="564">
        <f t="shared" si="34"/>
        <v>0</v>
      </c>
      <c r="H191" s="564">
        <f t="shared" si="35"/>
        <v>0</v>
      </c>
      <c r="I191" s="564">
        <f t="shared" si="36"/>
        <v>0</v>
      </c>
      <c r="J191" s="564">
        <f t="shared" si="37"/>
        <v>0</v>
      </c>
      <c r="K191" s="564">
        <f t="shared" si="38"/>
        <v>0</v>
      </c>
      <c r="L191" s="564">
        <f t="shared" si="39"/>
        <v>0</v>
      </c>
      <c r="M191" s="564">
        <f t="shared" si="40"/>
        <v>0</v>
      </c>
      <c r="N191" s="564">
        <f t="shared" si="41"/>
        <v>0</v>
      </c>
      <c r="O191" s="564">
        <f t="shared" si="42"/>
        <v>0</v>
      </c>
      <c r="P191" s="564">
        <f t="shared" si="43"/>
        <v>0</v>
      </c>
      <c r="Q191" s="564">
        <f t="shared" si="44"/>
        <v>0</v>
      </c>
    </row>
    <row r="192" spans="1:17">
      <c r="A192" s="580"/>
      <c r="B192" s="542" t="s">
        <v>965</v>
      </c>
      <c r="C192" s="580" t="s">
        <v>964</v>
      </c>
      <c r="D192" s="580"/>
      <c r="E192" s="564">
        <f>SUM(F192:Q192)</f>
        <v>7411800</v>
      </c>
      <c r="F192" s="564">
        <f t="shared" si="33"/>
        <v>697639</v>
      </c>
      <c r="G192" s="564">
        <f t="shared" si="34"/>
        <v>511045</v>
      </c>
      <c r="H192" s="564">
        <f t="shared" si="35"/>
        <v>475022</v>
      </c>
      <c r="I192" s="564">
        <f t="shared" si="36"/>
        <v>473715</v>
      </c>
      <c r="J192" s="564">
        <f t="shared" si="37"/>
        <v>431414</v>
      </c>
      <c r="K192" s="564">
        <f t="shared" si="38"/>
        <v>298211</v>
      </c>
      <c r="L192" s="564">
        <f t="shared" si="39"/>
        <v>885147</v>
      </c>
      <c r="M192" s="564">
        <f t="shared" si="40"/>
        <v>809464</v>
      </c>
      <c r="N192" s="564">
        <f t="shared" si="41"/>
        <v>717627</v>
      </c>
      <c r="O192" s="564">
        <f t="shared" si="42"/>
        <v>760433</v>
      </c>
      <c r="P192" s="564">
        <f t="shared" si="43"/>
        <v>706709</v>
      </c>
      <c r="Q192" s="564">
        <f t="shared" si="44"/>
        <v>645374</v>
      </c>
    </row>
    <row r="193" spans="1:17">
      <c r="A193" s="580"/>
      <c r="B193" s="542" t="s">
        <v>331</v>
      </c>
      <c r="C193" s="580" t="s">
        <v>966</v>
      </c>
      <c r="D193" s="580"/>
      <c r="E193" s="564">
        <f>SUM(F193:Q193)</f>
        <v>7553155</v>
      </c>
      <c r="F193" s="564">
        <f t="shared" si="33"/>
        <v>1247658</v>
      </c>
      <c r="G193" s="564">
        <f t="shared" si="34"/>
        <v>741803</v>
      </c>
      <c r="H193" s="564">
        <f t="shared" si="35"/>
        <v>578194</v>
      </c>
      <c r="I193" s="564">
        <f t="shared" si="36"/>
        <v>663859</v>
      </c>
      <c r="J193" s="564">
        <f t="shared" si="37"/>
        <v>579146</v>
      </c>
      <c r="K193" s="564">
        <f t="shared" si="38"/>
        <v>656017</v>
      </c>
      <c r="L193" s="564">
        <f t="shared" si="39"/>
        <v>593747</v>
      </c>
      <c r="M193" s="564">
        <f t="shared" si="40"/>
        <v>499060</v>
      </c>
      <c r="N193" s="564">
        <f t="shared" si="41"/>
        <v>498245</v>
      </c>
      <c r="O193" s="564">
        <f t="shared" si="42"/>
        <v>452078</v>
      </c>
      <c r="P193" s="564">
        <f t="shared" si="43"/>
        <v>503504</v>
      </c>
      <c r="Q193" s="564">
        <f t="shared" si="44"/>
        <v>539844</v>
      </c>
    </row>
    <row r="194" spans="1:17">
      <c r="A194" s="580"/>
      <c r="B194" s="542" t="s">
        <v>1559</v>
      </c>
      <c r="C194" s="580" t="s">
        <v>967</v>
      </c>
      <c r="D194" s="580"/>
      <c r="E194" s="564">
        <f>SUM(F194:Q194)</f>
        <v>-801635</v>
      </c>
      <c r="F194" s="564">
        <f t="shared" si="33"/>
        <v>561463</v>
      </c>
      <c r="G194" s="564">
        <f t="shared" si="34"/>
        <v>-233576</v>
      </c>
      <c r="H194" s="564">
        <f t="shared" si="35"/>
        <v>-329245</v>
      </c>
      <c r="I194" s="564">
        <f t="shared" si="36"/>
        <v>-355219</v>
      </c>
      <c r="J194" s="564">
        <f t="shared" si="37"/>
        <v>-402968</v>
      </c>
      <c r="K194" s="564">
        <f t="shared" si="38"/>
        <v>-42090</v>
      </c>
      <c r="L194" s="564">
        <f t="shared" si="39"/>
        <v>0</v>
      </c>
      <c r="M194" s="564">
        <f t="shared" si="40"/>
        <v>0</v>
      </c>
      <c r="N194" s="564">
        <f t="shared" si="41"/>
        <v>0</v>
      </c>
      <c r="O194" s="564">
        <f t="shared" si="42"/>
        <v>0</v>
      </c>
      <c r="P194" s="564">
        <f t="shared" si="43"/>
        <v>0</v>
      </c>
      <c r="Q194" s="564">
        <f t="shared" si="44"/>
        <v>0</v>
      </c>
    </row>
    <row r="195" spans="1:17">
      <c r="A195" s="580"/>
      <c r="B195" s="541" t="s">
        <v>537</v>
      </c>
      <c r="C195" s="580"/>
      <c r="D195" s="580"/>
      <c r="E195" s="564"/>
      <c r="F195" s="564"/>
      <c r="G195" s="564"/>
      <c r="H195" s="564"/>
      <c r="I195" s="564"/>
      <c r="J195" s="564"/>
      <c r="K195" s="564"/>
      <c r="L195" s="564"/>
      <c r="M195" s="564"/>
      <c r="N195" s="564"/>
      <c r="O195" s="564"/>
      <c r="P195" s="564"/>
      <c r="Q195" s="564"/>
    </row>
    <row r="196" spans="1:17">
      <c r="A196" s="583"/>
      <c r="B196" s="542" t="s">
        <v>1840</v>
      </c>
      <c r="C196" s="583" t="s">
        <v>968</v>
      </c>
      <c r="D196" s="583"/>
      <c r="E196" s="544">
        <f>SUM(F196:Q196)</f>
        <v>111249</v>
      </c>
      <c r="F196" s="544">
        <f>SUMIF(CODE,C196,Base1)</f>
        <v>18522</v>
      </c>
      <c r="G196" s="538">
        <f>SUMIF(CODE,C196,Base2)</f>
        <v>21371</v>
      </c>
      <c r="H196" s="538">
        <f>SUMIF(CODE,C196,Base3)</f>
        <v>5900</v>
      </c>
      <c r="I196" s="538">
        <f>SUMIF(CODE,C196,Base4)</f>
        <v>3226</v>
      </c>
      <c r="J196" s="538">
        <f>SUMIF(CODE,C196,Base5)</f>
        <v>16962</v>
      </c>
      <c r="K196" s="538">
        <f>SUMIF(CODE,C196,Base6)</f>
        <v>4177</v>
      </c>
      <c r="L196" s="538">
        <f>SUMIF(CODE,C196,Base7)</f>
        <v>5864</v>
      </c>
      <c r="M196" s="538">
        <f>SUMIF(CODE,C196,Base8)</f>
        <v>5823</v>
      </c>
      <c r="N196" s="538">
        <f>SUMIF(CODE,C196,Base9)</f>
        <v>8266</v>
      </c>
      <c r="O196" s="538">
        <f>SUMIF(CODE,C196,Base10)</f>
        <v>5909</v>
      </c>
      <c r="P196" s="538">
        <f>SUMIF(CODE,C196,Base11)</f>
        <v>6379</v>
      </c>
      <c r="Q196" s="538">
        <f>SUMIF(CODE,C196,Base12)</f>
        <v>8850</v>
      </c>
    </row>
    <row r="197" spans="1:17">
      <c r="A197" s="583"/>
      <c r="B197" s="542" t="s">
        <v>963</v>
      </c>
      <c r="C197" s="583" t="s">
        <v>969</v>
      </c>
      <c r="D197" s="583"/>
      <c r="E197" s="544">
        <f>SUM(F197:Q197)</f>
        <v>0</v>
      </c>
      <c r="F197" s="544">
        <f>SUMIF(CODE,C197,Base1)</f>
        <v>0</v>
      </c>
      <c r="G197" s="538">
        <f>SUMIF(CODE,C197,Base2)</f>
        <v>0</v>
      </c>
      <c r="H197" s="538">
        <f>SUMIF(CODE,C197,Base3)</f>
        <v>0</v>
      </c>
      <c r="I197" s="538">
        <f>SUMIF(CODE,C197,Base4)</f>
        <v>0</v>
      </c>
      <c r="J197" s="538">
        <f>SUMIF(CODE,C197,Base5)</f>
        <v>0</v>
      </c>
      <c r="K197" s="538">
        <f>SUMIF(CODE,C197,Base6)</f>
        <v>0</v>
      </c>
      <c r="L197" s="538">
        <f>SUMIF(CODE,C197,Base7)</f>
        <v>0</v>
      </c>
      <c r="M197" s="538">
        <f>SUMIF(CODE,C197,Base8)</f>
        <v>0</v>
      </c>
      <c r="N197" s="538">
        <f>SUMIF(CODE,C197,Base9)</f>
        <v>0</v>
      </c>
      <c r="O197" s="538">
        <f>SUMIF(CODE,C197,Base10)</f>
        <v>0</v>
      </c>
      <c r="P197" s="538">
        <f>SUMIF(CODE,C197,Base11)</f>
        <v>0</v>
      </c>
      <c r="Q197" s="538">
        <f>SUMIF(CODE,C197,Base12)</f>
        <v>0</v>
      </c>
    </row>
    <row r="198" spans="1:17">
      <c r="A198" s="583"/>
      <c r="B198" s="542" t="s">
        <v>965</v>
      </c>
      <c r="C198" s="583" t="s">
        <v>970</v>
      </c>
      <c r="D198" s="583"/>
      <c r="E198" s="544">
        <f>SUM(F198:Q198)</f>
        <v>2559802</v>
      </c>
      <c r="F198" s="544">
        <f>SUMIF(CODE,C198,Base1)</f>
        <v>175466</v>
      </c>
      <c r="G198" s="538">
        <f>SUMIF(CODE,C198,Base2)</f>
        <v>155065</v>
      </c>
      <c r="H198" s="538">
        <f>SUMIF(CODE,C198,Base3)</f>
        <v>100302</v>
      </c>
      <c r="I198" s="538">
        <f>SUMIF(CODE,C198,Base4)</f>
        <v>307611</v>
      </c>
      <c r="J198" s="538">
        <f>SUMIF(CODE,C198,Base5)</f>
        <v>226137</v>
      </c>
      <c r="K198" s="538">
        <f>SUMIF(CODE,C198,Base6)</f>
        <v>261808</v>
      </c>
      <c r="L198" s="538">
        <f>SUMIF(CODE,C198,Base7)</f>
        <v>166495</v>
      </c>
      <c r="M198" s="538">
        <f>SUMIF(CODE,C198,Base8)</f>
        <v>215303</v>
      </c>
      <c r="N198" s="538">
        <f>SUMIF(CODE,C198,Base9)</f>
        <v>226555</v>
      </c>
      <c r="O198" s="538">
        <f>SUMIF(CODE,C198,Base10)</f>
        <v>254037</v>
      </c>
      <c r="P198" s="538">
        <f>SUMIF(CODE,C198,Base11)</f>
        <v>276959</v>
      </c>
      <c r="Q198" s="538">
        <f>SUMIF(CODE,C198,Base12)</f>
        <v>194064</v>
      </c>
    </row>
    <row r="199" spans="1:17">
      <c r="A199" s="583"/>
      <c r="B199" s="542" t="s">
        <v>331</v>
      </c>
      <c r="C199" s="583" t="s">
        <v>971</v>
      </c>
      <c r="D199" s="583"/>
      <c r="E199" s="544">
        <f>SUM(F199:Q199)</f>
        <v>4448</v>
      </c>
      <c r="F199" s="544">
        <f>SUMIF(CODE,C199,Base1)</f>
        <v>-323</v>
      </c>
      <c r="G199" s="538">
        <f>SUMIF(CODE,C199,Base2)</f>
        <v>-765</v>
      </c>
      <c r="H199" s="538">
        <f>SUMIF(CODE,C199,Base3)</f>
        <v>164</v>
      </c>
      <c r="I199" s="538">
        <f>SUMIF(CODE,C199,Base4)</f>
        <v>1583</v>
      </c>
      <c r="J199" s="538">
        <f>SUMIF(CODE,C199,Base5)</f>
        <v>3486</v>
      </c>
      <c r="K199" s="538">
        <f>SUMIF(CODE,C199,Base6)</f>
        <v>225</v>
      </c>
      <c r="L199" s="538">
        <f>SUMIF(CODE,C199,Base7)</f>
        <v>13</v>
      </c>
      <c r="M199" s="538">
        <f>SUMIF(CODE,C199,Base8)</f>
        <v>13</v>
      </c>
      <c r="N199" s="538">
        <f>SUMIF(CODE,C199,Base9)</f>
        <v>13</v>
      </c>
      <c r="O199" s="538">
        <f>SUMIF(CODE,C199,Base10)</f>
        <v>13</v>
      </c>
      <c r="P199" s="538">
        <f>SUMIF(CODE,C199,Base11)</f>
        <v>13</v>
      </c>
      <c r="Q199" s="538">
        <f>SUMIF(CODE,C199,Base12)</f>
        <v>13</v>
      </c>
    </row>
    <row r="200" spans="1:17">
      <c r="A200" s="583"/>
      <c r="B200" s="543" t="s">
        <v>972</v>
      </c>
      <c r="C200" s="583"/>
      <c r="D200" s="583"/>
      <c r="E200" s="544">
        <f>SUM(E187:E194)+SUM(E196:E199)</f>
        <v>23828595</v>
      </c>
      <c r="F200" s="544">
        <f>SUM(F187:F194)+SUM(F196:F199)</f>
        <v>3519923</v>
      </c>
      <c r="G200" s="538">
        <f>SUM(G187:G194)+SUM(G196:G199)</f>
        <v>3085457</v>
      </c>
      <c r="H200" s="538">
        <f t="shared" ref="H200:Q200" si="46">SUM(H187:H194)+SUM(H196:H199)</f>
        <v>1374900</v>
      </c>
      <c r="I200" s="538">
        <f t="shared" si="46"/>
        <v>1582527</v>
      </c>
      <c r="J200" s="538">
        <f t="shared" si="46"/>
        <v>1306126</v>
      </c>
      <c r="K200" s="538">
        <f t="shared" si="46"/>
        <v>1621235</v>
      </c>
      <c r="L200" s="538">
        <f t="shared" si="46"/>
        <v>2054524</v>
      </c>
      <c r="M200" s="538">
        <f t="shared" si="46"/>
        <v>1911144</v>
      </c>
      <c r="N200" s="538">
        <f t="shared" si="46"/>
        <v>1869191</v>
      </c>
      <c r="O200" s="538">
        <f t="shared" si="46"/>
        <v>1847404</v>
      </c>
      <c r="P200" s="538">
        <f t="shared" si="46"/>
        <v>1888828</v>
      </c>
      <c r="Q200" s="538">
        <f t="shared" si="46"/>
        <v>1767336</v>
      </c>
    </row>
    <row r="201" spans="1:17">
      <c r="A201" s="583"/>
      <c r="B201" s="540" t="s">
        <v>1283</v>
      </c>
      <c r="C201" s="583" t="s">
        <v>973</v>
      </c>
      <c r="D201" s="583"/>
      <c r="E201" s="544">
        <f>SUM(F201:Q201)</f>
        <v>14395647</v>
      </c>
      <c r="F201" s="544">
        <f>SUMIF(CODE,C201,Base1)</f>
        <v>1133527</v>
      </c>
      <c r="G201" s="538">
        <f>SUMIF(CODE,C201,Base2)</f>
        <v>1139751</v>
      </c>
      <c r="H201" s="538">
        <f>SUMIF(CODE,C201,Base3)</f>
        <v>1158972</v>
      </c>
      <c r="I201" s="538">
        <f>SUMIF(CODE,C201,Base4)</f>
        <v>1163091</v>
      </c>
      <c r="J201" s="538">
        <f>SUMIF(CODE,C201,Base5)</f>
        <v>1180401</v>
      </c>
      <c r="K201" s="538">
        <f>SUMIF(CODE,C201,Base6)</f>
        <v>1142993</v>
      </c>
      <c r="L201" s="538">
        <f>SUMIF(CODE,C201,Base7)</f>
        <v>1214277</v>
      </c>
      <c r="M201" s="538">
        <f>SUMIF(CODE,C201,Base8)</f>
        <v>1238452</v>
      </c>
      <c r="N201" s="538">
        <f>SUMIF(CODE,C201,Base9)</f>
        <v>1239950</v>
      </c>
      <c r="O201" s="538">
        <f>SUMIF(CODE,C201,Base10)</f>
        <v>1240651</v>
      </c>
      <c r="P201" s="538">
        <f>SUMIF(CODE,C201,Base11)</f>
        <v>1271963</v>
      </c>
      <c r="Q201" s="538">
        <f>SUMIF(CODE,C201,Base12)</f>
        <v>1271619</v>
      </c>
    </row>
    <row r="202" spans="1:17">
      <c r="A202" s="583"/>
      <c r="B202" s="540" t="s">
        <v>974</v>
      </c>
      <c r="C202" s="583"/>
      <c r="D202" s="583"/>
      <c r="E202" s="544"/>
      <c r="F202" s="544"/>
      <c r="G202" s="538"/>
      <c r="H202" s="538"/>
      <c r="I202" s="538"/>
      <c r="J202" s="538"/>
      <c r="K202" s="538"/>
      <c r="L202" s="538"/>
      <c r="M202" s="538"/>
      <c r="N202" s="538"/>
      <c r="O202" s="538"/>
      <c r="P202" s="538"/>
      <c r="Q202" s="538"/>
    </row>
    <row r="203" spans="1:17">
      <c r="A203" s="583"/>
      <c r="B203" s="540" t="s">
        <v>1049</v>
      </c>
      <c r="C203" s="583" t="s">
        <v>975</v>
      </c>
      <c r="D203" s="583"/>
      <c r="E203" s="544">
        <f>SUM(F203:Q203)</f>
        <v>3606329</v>
      </c>
      <c r="F203" s="544">
        <f>SUMIF(CODE,C203,Base1)</f>
        <v>332544</v>
      </c>
      <c r="G203" s="538">
        <f>SUMIF(CODE,C203,Base2)</f>
        <v>328531</v>
      </c>
      <c r="H203" s="538">
        <f>SUMIF(CODE,C203,Base3)</f>
        <v>298987</v>
      </c>
      <c r="I203" s="538">
        <f>SUMIF(CODE,C203,Base4)</f>
        <v>271289</v>
      </c>
      <c r="J203" s="538">
        <f>SUMIF(CODE,C203,Base5)</f>
        <v>292276</v>
      </c>
      <c r="K203" s="538">
        <f>SUMIF(CODE,C203,Base6)</f>
        <v>280364</v>
      </c>
      <c r="L203" s="538">
        <f>SUMIF(CODE,C203,Base7)</f>
        <v>301377</v>
      </c>
      <c r="M203" s="538">
        <f>SUMIF(CODE,C203,Base8)</f>
        <v>296920</v>
      </c>
      <c r="N203" s="538">
        <f>SUMIF(CODE,C203,Base9)</f>
        <v>302631</v>
      </c>
      <c r="O203" s="538">
        <f>SUMIF(CODE,C203,Base10)</f>
        <v>305006</v>
      </c>
      <c r="P203" s="538">
        <f>SUMIF(CODE,C203,Base11)</f>
        <v>298180</v>
      </c>
      <c r="Q203" s="538">
        <f>SUMIF(CODE,C203,Base12)</f>
        <v>298224</v>
      </c>
    </row>
    <row r="204" spans="1:17">
      <c r="A204" s="583"/>
      <c r="B204" s="540" t="s">
        <v>977</v>
      </c>
      <c r="C204" s="583" t="s">
        <v>976</v>
      </c>
      <c r="D204" s="583"/>
      <c r="E204" s="544">
        <f>SUM(F204:Q204)</f>
        <v>3862839</v>
      </c>
      <c r="F204" s="544">
        <f>SUMIF(CODE,C204,Base1)</f>
        <v>558756</v>
      </c>
      <c r="G204" s="538">
        <f>SUMIF(CODE,C204,Base2)</f>
        <v>300371</v>
      </c>
      <c r="H204" s="538">
        <f>SUMIF(CODE,C204,Base3)</f>
        <v>300371</v>
      </c>
      <c r="I204" s="538">
        <f>SUMIF(CODE,C204,Base4)</f>
        <v>300371</v>
      </c>
      <c r="J204" s="538">
        <f>SUMIF(CODE,C204,Base5)</f>
        <v>300371</v>
      </c>
      <c r="K204" s="538">
        <f>SUMIF(CODE,C204,Base6)</f>
        <v>300371</v>
      </c>
      <c r="L204" s="538">
        <f>SUMIF(CODE,C204,Base7)</f>
        <v>300371</v>
      </c>
      <c r="M204" s="538">
        <f>SUMIF(CODE,C204,Base8)</f>
        <v>300371</v>
      </c>
      <c r="N204" s="538">
        <f>SUMIF(CODE,C204,Base9)</f>
        <v>300371</v>
      </c>
      <c r="O204" s="538">
        <f>SUMIF(CODE,C204,Base10)</f>
        <v>300371</v>
      </c>
      <c r="P204" s="538">
        <f>SUMIF(CODE,C204,Base11)</f>
        <v>300371</v>
      </c>
      <c r="Q204" s="538">
        <f>SUMIF(CODE,C204,Base12)</f>
        <v>300373</v>
      </c>
    </row>
    <row r="205" spans="1:17">
      <c r="A205" s="583"/>
      <c r="B205" s="540"/>
      <c r="C205" s="583"/>
      <c r="D205" s="583"/>
      <c r="E205" s="544"/>
      <c r="F205" s="544"/>
      <c r="G205" s="538"/>
      <c r="H205" s="538"/>
      <c r="I205" s="538"/>
      <c r="J205" s="538"/>
      <c r="K205" s="538"/>
      <c r="L205" s="538"/>
      <c r="M205" s="538"/>
      <c r="N205" s="538"/>
      <c r="O205" s="538"/>
      <c r="P205" s="538"/>
      <c r="Q205" s="538"/>
    </row>
    <row r="206" spans="1:17">
      <c r="A206" s="583"/>
      <c r="B206" s="540" t="s">
        <v>744</v>
      </c>
      <c r="C206" s="583"/>
      <c r="D206" s="583"/>
      <c r="E206" s="544">
        <f t="shared" ref="E206:Q206" si="47">E182-E184-E185-E200-E201-E202-E203-E204</f>
        <v>12958566</v>
      </c>
      <c r="F206" s="544">
        <f t="shared" si="47"/>
        <v>3148263</v>
      </c>
      <c r="G206" s="538">
        <f t="shared" si="47"/>
        <v>5137394</v>
      </c>
      <c r="H206" s="538">
        <f t="shared" si="47"/>
        <v>3728755</v>
      </c>
      <c r="I206" s="538">
        <f t="shared" si="47"/>
        <v>2809933</v>
      </c>
      <c r="J206" s="538">
        <f t="shared" si="47"/>
        <v>1739794</v>
      </c>
      <c r="K206" s="538">
        <f t="shared" si="47"/>
        <v>-700797</v>
      </c>
      <c r="L206" s="538">
        <f t="shared" si="47"/>
        <v>-976796</v>
      </c>
      <c r="M206" s="538">
        <f t="shared" si="47"/>
        <v>-1035644</v>
      </c>
      <c r="N206" s="538">
        <f t="shared" si="47"/>
        <v>-1018182</v>
      </c>
      <c r="O206" s="538">
        <f t="shared" si="47"/>
        <v>-1037762</v>
      </c>
      <c r="P206" s="538">
        <f t="shared" si="47"/>
        <v>-356569</v>
      </c>
      <c r="Q206" s="538">
        <f t="shared" si="47"/>
        <v>1520177</v>
      </c>
    </row>
    <row r="207" spans="1:17">
      <c r="A207" s="583"/>
      <c r="B207" s="540"/>
      <c r="C207" s="583"/>
      <c r="D207" s="583"/>
      <c r="E207" s="544"/>
      <c r="F207" s="544"/>
      <c r="G207" s="538"/>
      <c r="H207" s="538"/>
      <c r="I207" s="538"/>
      <c r="J207" s="538"/>
      <c r="K207" s="538"/>
      <c r="L207" s="538"/>
      <c r="M207" s="538"/>
      <c r="N207" s="538"/>
      <c r="O207" s="538"/>
      <c r="P207" s="538"/>
      <c r="Q207" s="538"/>
    </row>
    <row r="208" spans="1:17">
      <c r="A208" s="583"/>
      <c r="B208" s="540" t="s">
        <v>1040</v>
      </c>
      <c r="C208" s="583"/>
      <c r="D208" s="583"/>
      <c r="E208" s="544">
        <f t="shared" ref="E208:Q208" si="48">E182-E184-E185-E200-E201-E202-E203</f>
        <v>16821405</v>
      </c>
      <c r="F208" s="544">
        <f t="shared" si="48"/>
        <v>3707019</v>
      </c>
      <c r="G208" s="544">
        <f t="shared" si="48"/>
        <v>5437765</v>
      </c>
      <c r="H208" s="544">
        <f t="shared" si="48"/>
        <v>4029126</v>
      </c>
      <c r="I208" s="544">
        <f t="shared" si="48"/>
        <v>3110304</v>
      </c>
      <c r="J208" s="544">
        <f t="shared" si="48"/>
        <v>2040165</v>
      </c>
      <c r="K208" s="544">
        <f t="shared" si="48"/>
        <v>-400426</v>
      </c>
      <c r="L208" s="544">
        <f t="shared" si="48"/>
        <v>-676425</v>
      </c>
      <c r="M208" s="544">
        <f t="shared" si="48"/>
        <v>-735273</v>
      </c>
      <c r="N208" s="544">
        <f t="shared" si="48"/>
        <v>-717811</v>
      </c>
      <c r="O208" s="544">
        <f t="shared" si="48"/>
        <v>-737391</v>
      </c>
      <c r="P208" s="544">
        <f t="shared" si="48"/>
        <v>-56198</v>
      </c>
      <c r="Q208" s="544">
        <f t="shared" si="48"/>
        <v>1820550</v>
      </c>
    </row>
    <row r="209" spans="1:17">
      <c r="A209" s="583"/>
      <c r="B209" s="584"/>
      <c r="C209" s="583"/>
      <c r="D209" s="583"/>
      <c r="E209" s="544"/>
      <c r="F209" s="544"/>
      <c r="G209" s="538"/>
      <c r="H209" s="538"/>
      <c r="I209" s="538"/>
      <c r="J209" s="538"/>
      <c r="K209" s="538"/>
      <c r="L209" s="538"/>
      <c r="M209" s="538"/>
      <c r="N209" s="538"/>
      <c r="O209" s="538"/>
      <c r="P209" s="538"/>
      <c r="Q209" s="538"/>
    </row>
    <row r="210" spans="1:17">
      <c r="A210" s="583"/>
      <c r="B210" s="583"/>
      <c r="C210" s="583"/>
      <c r="D210" s="583"/>
      <c r="E210" s="544"/>
      <c r="F210" s="544"/>
      <c r="G210" s="538"/>
      <c r="H210" s="538"/>
      <c r="I210" s="538"/>
      <c r="J210" s="538"/>
      <c r="K210" s="538"/>
      <c r="L210" s="538"/>
      <c r="M210" s="538"/>
      <c r="N210" s="538"/>
      <c r="O210" s="538"/>
      <c r="P210" s="538"/>
      <c r="Q210" s="538"/>
    </row>
    <row r="211" spans="1:17">
      <c r="A211" s="583"/>
      <c r="B211" s="583"/>
      <c r="C211" s="583"/>
      <c r="D211" s="583"/>
      <c r="E211" s="544"/>
      <c r="F211" s="544"/>
    </row>
    <row r="212" spans="1:17">
      <c r="A212" s="583"/>
      <c r="B212" s="583"/>
      <c r="C212" s="583"/>
      <c r="D212" s="583"/>
      <c r="E212" s="544"/>
      <c r="F212" s="544"/>
    </row>
    <row r="213" spans="1:17">
      <c r="A213" s="583"/>
      <c r="B213" s="583"/>
      <c r="C213" s="583"/>
      <c r="D213" s="583"/>
      <c r="E213" s="544"/>
      <c r="F213" s="544"/>
    </row>
    <row r="214" spans="1:17">
      <c r="A214" s="583"/>
      <c r="B214" s="583"/>
      <c r="C214" s="583"/>
      <c r="D214" s="583"/>
      <c r="E214" s="544"/>
      <c r="F214" s="544"/>
    </row>
    <row r="215" spans="1:17">
      <c r="A215" s="583"/>
      <c r="B215" s="583"/>
      <c r="C215" s="583"/>
      <c r="D215" s="583"/>
      <c r="E215" s="544"/>
      <c r="F215" s="544"/>
    </row>
    <row r="216" spans="1:17">
      <c r="A216" s="583"/>
      <c r="B216" s="583"/>
      <c r="C216" s="583"/>
      <c r="D216" s="583"/>
      <c r="E216" s="544"/>
      <c r="F216" s="544"/>
    </row>
    <row r="217" spans="1:17">
      <c r="A217" s="583"/>
      <c r="B217" s="583"/>
      <c r="C217" s="583"/>
      <c r="D217" s="583"/>
      <c r="E217" s="544"/>
      <c r="F217" s="544"/>
    </row>
    <row r="218" spans="1:17">
      <c r="A218" s="583"/>
      <c r="B218" s="583"/>
      <c r="C218" s="583"/>
      <c r="D218" s="583"/>
      <c r="E218" s="544"/>
      <c r="F218" s="544"/>
    </row>
    <row r="219" spans="1:17">
      <c r="A219" s="583"/>
      <c r="B219" s="583"/>
      <c r="C219" s="583"/>
      <c r="D219" s="583"/>
      <c r="E219" s="544"/>
      <c r="F219" s="544"/>
    </row>
    <row r="220" spans="1:17">
      <c r="A220" s="583"/>
      <c r="B220" s="583"/>
      <c r="C220" s="583"/>
      <c r="D220" s="583"/>
      <c r="E220" s="544"/>
      <c r="F220" s="544"/>
    </row>
    <row r="221" spans="1:17">
      <c r="A221" s="583"/>
      <c r="B221" s="583"/>
      <c r="C221" s="583"/>
      <c r="D221" s="583"/>
      <c r="E221" s="544"/>
      <c r="F221" s="544"/>
    </row>
    <row r="222" spans="1:17">
      <c r="A222" s="583"/>
      <c r="B222" s="583"/>
      <c r="C222" s="583"/>
      <c r="D222" s="583"/>
      <c r="E222" s="544"/>
      <c r="F222" s="544"/>
    </row>
    <row r="223" spans="1:17">
      <c r="A223" s="583"/>
      <c r="B223" s="583"/>
      <c r="C223" s="583"/>
      <c r="D223" s="583"/>
      <c r="E223" s="544"/>
      <c r="F223" s="544"/>
    </row>
    <row r="224" spans="1:17">
      <c r="A224" s="583"/>
      <c r="B224" s="583"/>
      <c r="C224" s="583"/>
      <c r="D224" s="583"/>
      <c r="E224" s="544"/>
      <c r="F224" s="544"/>
    </row>
    <row r="225" spans="1:6">
      <c r="A225" s="583"/>
      <c r="B225" s="583"/>
      <c r="C225" s="583"/>
      <c r="D225" s="583"/>
      <c r="E225" s="544"/>
      <c r="F225" s="544"/>
    </row>
    <row r="226" spans="1:6">
      <c r="A226" s="583"/>
      <c r="B226" s="583"/>
      <c r="C226" s="583"/>
      <c r="D226" s="583"/>
      <c r="E226" s="544"/>
      <c r="F226" s="544"/>
    </row>
    <row r="227" spans="1:6">
      <c r="A227" s="583"/>
      <c r="B227" s="583"/>
      <c r="C227" s="583"/>
      <c r="D227" s="583"/>
      <c r="E227" s="544"/>
      <c r="F227" s="544"/>
    </row>
    <row r="228" spans="1:6">
      <c r="A228" s="583"/>
      <c r="B228" s="583"/>
      <c r="C228" s="583"/>
      <c r="D228" s="583"/>
      <c r="E228" s="544"/>
      <c r="F228" s="544"/>
    </row>
    <row r="229" spans="1:6">
      <c r="A229" s="583"/>
      <c r="B229" s="583"/>
      <c r="C229" s="583"/>
      <c r="D229" s="583"/>
      <c r="E229" s="544"/>
      <c r="F229" s="544"/>
    </row>
    <row r="230" spans="1:6">
      <c r="A230" s="583"/>
      <c r="B230" s="583"/>
      <c r="C230" s="583"/>
      <c r="D230" s="583"/>
      <c r="E230" s="544"/>
      <c r="F230" s="544"/>
    </row>
    <row r="231" spans="1:6">
      <c r="A231" s="583"/>
      <c r="B231" s="583"/>
      <c r="C231" s="583"/>
      <c r="D231" s="583"/>
      <c r="E231" s="544"/>
      <c r="F231" s="544"/>
    </row>
    <row r="232" spans="1:6">
      <c r="A232" s="583"/>
      <c r="B232" s="583"/>
      <c r="C232" s="583"/>
      <c r="D232" s="583"/>
      <c r="E232" s="544"/>
      <c r="F232" s="544"/>
    </row>
    <row r="233" spans="1:6">
      <c r="A233" s="583"/>
      <c r="B233" s="583"/>
      <c r="C233" s="583"/>
      <c r="D233" s="583"/>
      <c r="E233" s="544"/>
      <c r="F233" s="544"/>
    </row>
    <row r="234" spans="1:6">
      <c r="A234" s="583"/>
      <c r="B234" s="583"/>
      <c r="C234" s="583"/>
      <c r="D234" s="583"/>
      <c r="E234" s="544"/>
      <c r="F234" s="544"/>
    </row>
    <row r="235" spans="1:6">
      <c r="A235" s="583"/>
      <c r="B235" s="583"/>
      <c r="C235" s="583"/>
      <c r="D235" s="583"/>
      <c r="E235" s="544"/>
      <c r="F235" s="544"/>
    </row>
    <row r="236" spans="1:6">
      <c r="A236" s="583"/>
      <c r="B236" s="583"/>
      <c r="C236" s="583"/>
      <c r="D236" s="583"/>
      <c r="E236" s="544"/>
      <c r="F236" s="544"/>
    </row>
    <row r="237" spans="1:6">
      <c r="A237" s="583"/>
      <c r="B237" s="583"/>
      <c r="C237" s="583"/>
      <c r="D237" s="583"/>
      <c r="E237" s="544"/>
      <c r="F237" s="544"/>
    </row>
    <row r="238" spans="1:6">
      <c r="A238" s="583"/>
      <c r="B238" s="583"/>
      <c r="C238" s="583"/>
      <c r="D238" s="583"/>
      <c r="E238" s="544"/>
      <c r="F238" s="544"/>
    </row>
    <row r="239" spans="1:6">
      <c r="A239" s="583"/>
      <c r="B239" s="583"/>
      <c r="C239" s="583"/>
      <c r="D239" s="583"/>
      <c r="E239" s="544"/>
      <c r="F239" s="544"/>
    </row>
    <row r="240" spans="1:6">
      <c r="A240" s="583"/>
      <c r="B240" s="583"/>
      <c r="C240" s="583"/>
      <c r="D240" s="583"/>
      <c r="E240" s="544"/>
      <c r="F240" s="544"/>
    </row>
    <row r="241" spans="1:6">
      <c r="A241" s="583"/>
      <c r="B241" s="583"/>
      <c r="C241" s="583"/>
      <c r="D241" s="583"/>
      <c r="E241" s="544"/>
      <c r="F241" s="544"/>
    </row>
    <row r="242" spans="1:6">
      <c r="A242" s="583"/>
      <c r="B242" s="583"/>
      <c r="C242" s="583"/>
      <c r="D242" s="583"/>
      <c r="E242" s="544"/>
      <c r="F242" s="544"/>
    </row>
    <row r="243" spans="1:6">
      <c r="A243" s="583"/>
      <c r="B243" s="583"/>
      <c r="C243" s="583"/>
      <c r="D243" s="583"/>
      <c r="E243" s="544"/>
      <c r="F243" s="544"/>
    </row>
    <row r="244" spans="1:6">
      <c r="A244" s="583"/>
      <c r="B244" s="583"/>
      <c r="C244" s="583"/>
      <c r="D244" s="583"/>
      <c r="E244" s="544"/>
      <c r="F244" s="544"/>
    </row>
    <row r="245" spans="1:6">
      <c r="A245" s="583"/>
      <c r="B245" s="583"/>
      <c r="C245" s="583"/>
      <c r="D245" s="583"/>
      <c r="E245" s="544"/>
      <c r="F245" s="544"/>
    </row>
    <row r="246" spans="1:6">
      <c r="A246" s="583"/>
      <c r="B246" s="583"/>
      <c r="C246" s="583"/>
      <c r="D246" s="583"/>
      <c r="E246" s="544"/>
      <c r="F246" s="544"/>
    </row>
    <row r="247" spans="1:6">
      <c r="A247" s="583"/>
      <c r="B247" s="583"/>
      <c r="C247" s="583"/>
      <c r="D247" s="583"/>
      <c r="E247" s="544"/>
      <c r="F247" s="544"/>
    </row>
    <row r="248" spans="1:6">
      <c r="A248" s="583"/>
      <c r="B248" s="583"/>
      <c r="C248" s="583"/>
      <c r="D248" s="583"/>
      <c r="E248" s="544"/>
      <c r="F248" s="544"/>
    </row>
    <row r="249" spans="1:6">
      <c r="A249" s="583"/>
      <c r="B249" s="583"/>
      <c r="C249" s="583"/>
      <c r="D249" s="583"/>
      <c r="E249" s="544"/>
      <c r="F249" s="544"/>
    </row>
    <row r="250" spans="1:6">
      <c r="A250" s="583"/>
      <c r="B250" s="583"/>
      <c r="C250" s="583"/>
      <c r="D250" s="583"/>
      <c r="E250" s="544"/>
      <c r="F250" s="544"/>
    </row>
    <row r="251" spans="1:6">
      <c r="A251" s="583"/>
      <c r="B251" s="583"/>
      <c r="C251" s="583"/>
      <c r="D251" s="583"/>
      <c r="E251" s="544"/>
      <c r="F251" s="544"/>
    </row>
    <row r="252" spans="1:6">
      <c r="A252" s="583"/>
      <c r="B252" s="583"/>
      <c r="C252" s="583"/>
      <c r="D252" s="583"/>
      <c r="E252" s="544"/>
      <c r="F252" s="544"/>
    </row>
    <row r="253" spans="1:6">
      <c r="A253" s="583"/>
      <c r="B253" s="583"/>
      <c r="C253" s="583"/>
      <c r="D253" s="583"/>
      <c r="E253" s="544"/>
      <c r="F253" s="544"/>
    </row>
    <row r="254" spans="1:6">
      <c r="A254" s="583"/>
      <c r="B254" s="583"/>
      <c r="C254" s="583"/>
      <c r="D254" s="583"/>
      <c r="E254" s="544"/>
      <c r="F254" s="544"/>
    </row>
    <row r="255" spans="1:6">
      <c r="A255" s="583"/>
      <c r="B255" s="583"/>
      <c r="C255" s="583"/>
      <c r="D255" s="583"/>
      <c r="E255" s="544"/>
      <c r="F255" s="544"/>
    </row>
    <row r="256" spans="1:6">
      <c r="A256" s="583"/>
      <c r="B256" s="583"/>
      <c r="C256" s="583"/>
      <c r="D256" s="583"/>
      <c r="E256" s="544"/>
      <c r="F256" s="544"/>
    </row>
    <row r="257" spans="1:6">
      <c r="A257" s="583"/>
      <c r="B257" s="583"/>
      <c r="C257" s="583"/>
      <c r="D257" s="583"/>
      <c r="E257" s="544"/>
      <c r="F257" s="544"/>
    </row>
    <row r="258" spans="1:6">
      <c r="A258" s="583"/>
      <c r="B258" s="583"/>
      <c r="C258" s="583"/>
      <c r="D258" s="583"/>
      <c r="E258" s="544"/>
      <c r="F258" s="544"/>
    </row>
    <row r="259" spans="1:6">
      <c r="A259" s="583"/>
      <c r="B259" s="583"/>
      <c r="C259" s="583"/>
      <c r="D259" s="583"/>
      <c r="E259" s="544"/>
      <c r="F259" s="544"/>
    </row>
    <row r="260" spans="1:6">
      <c r="A260" s="583"/>
      <c r="B260" s="583"/>
      <c r="C260" s="583"/>
      <c r="D260" s="583"/>
      <c r="E260" s="544"/>
      <c r="F260" s="544"/>
    </row>
    <row r="261" spans="1:6">
      <c r="A261" s="583"/>
      <c r="B261" s="583"/>
      <c r="C261" s="583"/>
      <c r="D261" s="583"/>
      <c r="E261" s="544"/>
      <c r="F261" s="544"/>
    </row>
    <row r="262" spans="1:6">
      <c r="A262" s="583"/>
      <c r="B262" s="583"/>
      <c r="C262" s="583"/>
      <c r="D262" s="583"/>
      <c r="E262" s="544"/>
      <c r="F262" s="544"/>
    </row>
    <row r="263" spans="1:6">
      <c r="A263" s="583"/>
      <c r="B263" s="583"/>
      <c r="C263" s="583"/>
      <c r="D263" s="583"/>
      <c r="E263" s="544"/>
      <c r="F263" s="544"/>
    </row>
    <row r="264" spans="1:6">
      <c r="A264" s="583"/>
      <c r="B264" s="583"/>
      <c r="C264" s="583"/>
      <c r="D264" s="583"/>
      <c r="E264" s="544"/>
      <c r="F264" s="544"/>
    </row>
    <row r="265" spans="1:6">
      <c r="A265" s="583"/>
      <c r="B265" s="583"/>
      <c r="C265" s="583"/>
      <c r="D265" s="583"/>
      <c r="E265" s="544"/>
      <c r="F265" s="544"/>
    </row>
    <row r="266" spans="1:6">
      <c r="A266" s="583"/>
      <c r="B266" s="583"/>
      <c r="C266" s="583"/>
      <c r="D266" s="583"/>
      <c r="E266" s="544"/>
      <c r="F266" s="544"/>
    </row>
    <row r="267" spans="1:6">
      <c r="A267" s="583"/>
      <c r="B267" s="583"/>
      <c r="C267" s="583"/>
      <c r="D267" s="583"/>
      <c r="E267" s="544"/>
      <c r="F267" s="544"/>
    </row>
    <row r="268" spans="1:6">
      <c r="A268" s="583"/>
      <c r="B268" s="583"/>
      <c r="C268" s="583"/>
      <c r="D268" s="583"/>
      <c r="E268" s="544"/>
      <c r="F268" s="544"/>
    </row>
    <row r="269" spans="1:6">
      <c r="A269" s="583"/>
      <c r="B269" s="583"/>
      <c r="C269" s="583"/>
      <c r="D269" s="583"/>
      <c r="E269" s="544"/>
      <c r="F269" s="544"/>
    </row>
    <row r="270" spans="1:6">
      <c r="A270" s="583"/>
      <c r="B270" s="583"/>
      <c r="C270" s="583"/>
      <c r="D270" s="583"/>
      <c r="E270" s="544"/>
      <c r="F270" s="544"/>
    </row>
    <row r="271" spans="1:6">
      <c r="A271" s="583"/>
      <c r="B271" s="583"/>
      <c r="C271" s="583"/>
      <c r="D271" s="583"/>
      <c r="E271" s="544"/>
      <c r="F271" s="544"/>
    </row>
    <row r="272" spans="1:6">
      <c r="A272" s="583"/>
      <c r="B272" s="583"/>
      <c r="C272" s="583"/>
      <c r="D272" s="583"/>
      <c r="E272" s="544"/>
      <c r="F272" s="544"/>
    </row>
    <row r="273" spans="1:6">
      <c r="A273" s="583"/>
      <c r="B273" s="583"/>
      <c r="C273" s="583"/>
      <c r="D273" s="583"/>
      <c r="E273" s="544"/>
      <c r="F273" s="544"/>
    </row>
    <row r="274" spans="1:6">
      <c r="A274" s="583"/>
      <c r="B274" s="583"/>
      <c r="C274" s="583"/>
      <c r="D274" s="583"/>
      <c r="E274" s="544"/>
      <c r="F274" s="544"/>
    </row>
    <row r="275" spans="1:6">
      <c r="A275" s="583"/>
      <c r="B275" s="583"/>
      <c r="C275" s="583"/>
      <c r="D275" s="583"/>
      <c r="E275" s="544"/>
      <c r="F275" s="544"/>
    </row>
    <row r="276" spans="1:6">
      <c r="A276" s="583"/>
      <c r="B276" s="583"/>
      <c r="C276" s="583"/>
      <c r="D276" s="583"/>
      <c r="E276" s="544"/>
      <c r="F276" s="544"/>
    </row>
    <row r="277" spans="1:6">
      <c r="A277" s="583"/>
      <c r="B277" s="583"/>
      <c r="C277" s="583"/>
      <c r="D277" s="583"/>
      <c r="E277" s="544"/>
      <c r="F277" s="544"/>
    </row>
    <row r="278" spans="1:6">
      <c r="A278" s="583"/>
      <c r="B278" s="583"/>
      <c r="C278" s="583"/>
      <c r="D278" s="583"/>
      <c r="E278" s="544"/>
      <c r="F278" s="544"/>
    </row>
    <row r="279" spans="1:6">
      <c r="A279" s="583"/>
      <c r="B279" s="583"/>
      <c r="C279" s="583"/>
      <c r="D279" s="583"/>
      <c r="E279" s="544"/>
      <c r="F279" s="544"/>
    </row>
    <row r="280" spans="1:6">
      <c r="A280" s="583"/>
      <c r="B280" s="583"/>
      <c r="C280" s="583"/>
      <c r="D280" s="583"/>
      <c r="E280" s="544"/>
      <c r="F280" s="544"/>
    </row>
    <row r="281" spans="1:6">
      <c r="A281" s="583"/>
      <c r="B281" s="583"/>
      <c r="C281" s="583"/>
      <c r="D281" s="583"/>
      <c r="E281" s="544"/>
      <c r="F281" s="544"/>
    </row>
    <row r="282" spans="1:6">
      <c r="A282" s="583"/>
      <c r="B282" s="583"/>
      <c r="C282" s="583"/>
      <c r="D282" s="583"/>
      <c r="E282" s="544"/>
      <c r="F282" s="544"/>
    </row>
    <row r="283" spans="1:6">
      <c r="A283" s="583"/>
      <c r="B283" s="583"/>
      <c r="C283" s="583"/>
      <c r="D283" s="583"/>
      <c r="E283" s="544"/>
      <c r="F283" s="544"/>
    </row>
    <row r="284" spans="1:6">
      <c r="A284" s="583"/>
      <c r="B284" s="583"/>
      <c r="C284" s="583"/>
      <c r="D284" s="583"/>
      <c r="E284" s="544"/>
      <c r="F284" s="544"/>
    </row>
    <row r="285" spans="1:6">
      <c r="A285" s="583"/>
      <c r="B285" s="583"/>
      <c r="C285" s="583"/>
      <c r="D285" s="583"/>
      <c r="E285" s="544"/>
      <c r="F285" s="544"/>
    </row>
    <row r="286" spans="1:6">
      <c r="A286" s="583"/>
      <c r="B286" s="583"/>
      <c r="C286" s="583"/>
      <c r="D286" s="583"/>
      <c r="E286" s="544"/>
      <c r="F286" s="544"/>
    </row>
    <row r="287" spans="1:6">
      <c r="A287" s="583"/>
      <c r="B287" s="583"/>
      <c r="C287" s="583"/>
      <c r="D287" s="583"/>
      <c r="E287" s="544"/>
      <c r="F287" s="544"/>
    </row>
    <row r="288" spans="1:6">
      <c r="A288" s="583"/>
      <c r="B288" s="583"/>
      <c r="C288" s="583"/>
      <c r="D288" s="583"/>
      <c r="E288" s="544"/>
      <c r="F288" s="544"/>
    </row>
    <row r="289" spans="1:6">
      <c r="A289" s="583"/>
      <c r="B289" s="583"/>
      <c r="C289" s="583"/>
      <c r="D289" s="583"/>
      <c r="E289" s="544"/>
      <c r="F289" s="544"/>
    </row>
    <row r="290" spans="1:6">
      <c r="A290" s="583"/>
      <c r="B290" s="583"/>
      <c r="C290" s="583"/>
      <c r="D290" s="583"/>
      <c r="E290" s="544"/>
      <c r="F290" s="544"/>
    </row>
    <row r="291" spans="1:6">
      <c r="A291" s="583"/>
      <c r="B291" s="583"/>
      <c r="C291" s="583"/>
      <c r="D291" s="583"/>
      <c r="E291" s="544"/>
      <c r="F291" s="544"/>
    </row>
    <row r="292" spans="1:6">
      <c r="A292" s="583"/>
      <c r="B292" s="583"/>
      <c r="C292" s="583"/>
      <c r="D292" s="583"/>
      <c r="E292" s="544"/>
      <c r="F292" s="544"/>
    </row>
    <row r="293" spans="1:6">
      <c r="A293" s="583"/>
      <c r="B293" s="583"/>
      <c r="C293" s="583"/>
      <c r="D293" s="583"/>
      <c r="E293" s="544"/>
      <c r="F293" s="544"/>
    </row>
    <row r="294" spans="1:6">
      <c r="A294" s="583"/>
      <c r="B294" s="583"/>
      <c r="C294" s="583"/>
      <c r="D294" s="583"/>
      <c r="E294" s="544"/>
      <c r="F294" s="544"/>
    </row>
    <row r="295" spans="1:6">
      <c r="A295" s="583"/>
      <c r="B295" s="583"/>
      <c r="C295" s="583"/>
      <c r="D295" s="583"/>
      <c r="E295" s="544"/>
      <c r="F295" s="544"/>
    </row>
    <row r="296" spans="1:6">
      <c r="A296" s="583"/>
      <c r="B296" s="583"/>
      <c r="C296" s="583"/>
      <c r="D296" s="583"/>
      <c r="E296" s="544"/>
      <c r="F296" s="544"/>
    </row>
    <row r="297" spans="1:6">
      <c r="A297" s="583"/>
      <c r="B297" s="583"/>
      <c r="C297" s="583"/>
      <c r="D297" s="583"/>
      <c r="E297" s="544"/>
      <c r="F297" s="544"/>
    </row>
    <row r="298" spans="1:6">
      <c r="A298" s="583"/>
      <c r="B298" s="583"/>
      <c r="C298" s="583"/>
      <c r="D298" s="583"/>
      <c r="E298" s="544"/>
      <c r="F298" s="544"/>
    </row>
    <row r="299" spans="1:6">
      <c r="A299" s="583"/>
      <c r="B299" s="583"/>
      <c r="C299" s="583"/>
      <c r="D299" s="583"/>
      <c r="E299" s="544"/>
      <c r="F299" s="544"/>
    </row>
    <row r="300" spans="1:6">
      <c r="A300" s="583"/>
      <c r="B300" s="583"/>
      <c r="C300" s="583"/>
      <c r="D300" s="583"/>
      <c r="E300" s="544"/>
      <c r="F300" s="544"/>
    </row>
    <row r="301" spans="1:6">
      <c r="A301" s="583"/>
      <c r="B301" s="583"/>
      <c r="C301" s="583"/>
      <c r="D301" s="583"/>
      <c r="E301" s="544"/>
      <c r="F301" s="544"/>
    </row>
    <row r="302" spans="1:6">
      <c r="A302" s="583"/>
      <c r="B302" s="583"/>
      <c r="C302" s="583"/>
      <c r="D302" s="583"/>
      <c r="E302" s="544"/>
      <c r="F302" s="544"/>
    </row>
    <row r="303" spans="1:6">
      <c r="A303" s="583"/>
      <c r="B303" s="583"/>
      <c r="C303" s="583"/>
      <c r="D303" s="583"/>
      <c r="E303" s="544"/>
      <c r="F303" s="544"/>
    </row>
    <row r="304" spans="1:6">
      <c r="A304" s="583"/>
      <c r="B304" s="583"/>
      <c r="C304" s="583"/>
      <c r="D304" s="583"/>
      <c r="E304" s="544"/>
      <c r="F304" s="544"/>
    </row>
    <row r="305" spans="1:6">
      <c r="A305" s="583"/>
      <c r="B305" s="583"/>
      <c r="C305" s="583"/>
      <c r="D305" s="583"/>
      <c r="E305" s="544"/>
      <c r="F305" s="544"/>
    </row>
    <row r="306" spans="1:6">
      <c r="A306" s="583"/>
      <c r="B306" s="583"/>
      <c r="C306" s="583"/>
      <c r="D306" s="583"/>
      <c r="E306" s="544"/>
      <c r="F306" s="544"/>
    </row>
    <row r="307" spans="1:6">
      <c r="A307" s="583"/>
      <c r="B307" s="583"/>
      <c r="C307" s="583"/>
      <c r="D307" s="583"/>
      <c r="E307" s="544"/>
      <c r="F307" s="544"/>
    </row>
    <row r="308" spans="1:6">
      <c r="A308" s="583"/>
      <c r="B308" s="583"/>
      <c r="C308" s="583"/>
      <c r="D308" s="583"/>
      <c r="E308" s="544"/>
      <c r="F308" s="544"/>
    </row>
    <row r="309" spans="1:6">
      <c r="A309" s="583"/>
      <c r="B309" s="583"/>
      <c r="C309" s="583"/>
      <c r="D309" s="583"/>
      <c r="E309" s="544"/>
      <c r="F309" s="544"/>
    </row>
    <row r="310" spans="1:6">
      <c r="A310" s="583"/>
      <c r="B310" s="583"/>
      <c r="C310" s="583"/>
      <c r="D310" s="583"/>
      <c r="E310" s="544"/>
      <c r="F310" s="544"/>
    </row>
    <row r="311" spans="1:6">
      <c r="A311" s="583"/>
      <c r="B311" s="583"/>
      <c r="C311" s="583"/>
      <c r="D311" s="583"/>
      <c r="E311" s="544"/>
      <c r="F311" s="544"/>
    </row>
  </sheetData>
  <phoneticPr fontId="4" type="noConversion"/>
  <pageMargins left="0.26" right="0.24" top="0.56999999999999995" bottom="0.62" header="0.16" footer="0.28000000000000003"/>
  <pageSetup scale="55" orientation="landscape" blackAndWhite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8" tint="0.59999389629810485"/>
    <pageSetUpPr fitToPage="1"/>
  </sheetPr>
  <dimension ref="A1:AP277"/>
  <sheetViews>
    <sheetView topLeftCell="K182" zoomScale="80" zoomScaleNormal="80" workbookViewId="0"/>
  </sheetViews>
  <sheetFormatPr defaultColWidth="8" defaultRowHeight="13.2"/>
  <cols>
    <col min="1" max="1" width="7.5546875" style="1603" customWidth="1"/>
    <col min="2" max="2" width="1.5546875" style="1603" customWidth="1"/>
    <col min="3" max="3" width="12.6640625" style="1603" customWidth="1"/>
    <col min="4" max="4" width="2.88671875" style="1603" customWidth="1"/>
    <col min="5" max="5" width="44.44140625" style="1603" customWidth="1"/>
    <col min="6" max="6" width="15.6640625" style="1603" customWidth="1"/>
    <col min="7" max="9" width="15.5546875" style="1603" customWidth="1"/>
    <col min="10" max="13" width="16" style="1603" customWidth="1"/>
    <col min="14" max="14" width="15.6640625" style="1603" customWidth="1"/>
    <col min="15" max="15" width="16" style="1603" customWidth="1"/>
    <col min="16" max="16" width="16.44140625" style="1603" customWidth="1"/>
    <col min="17" max="17" width="16.33203125" style="1603" customWidth="1"/>
    <col min="18" max="18" width="15.6640625" style="1603" customWidth="1"/>
    <col min="19" max="19" width="18" style="1603" customWidth="1"/>
    <col min="20" max="21" width="19.109375" style="1603" customWidth="1"/>
    <col min="22" max="22" width="1.44140625" style="1603" customWidth="1"/>
    <col min="23" max="23" width="19.109375" style="1610" customWidth="1"/>
    <col min="24" max="24" width="8" style="1603" customWidth="1"/>
    <col min="25" max="25" width="6.33203125" style="1603" customWidth="1"/>
    <col min="26" max="26" width="1.6640625" style="1603" customWidth="1"/>
    <col min="27" max="27" width="30" style="1603" customWidth="1"/>
    <col min="28" max="28" width="8" style="1603" customWidth="1"/>
    <col min="29" max="29" width="15.33203125" style="1603" customWidth="1"/>
    <col min="30" max="30" width="16.33203125" style="1603" customWidth="1"/>
    <col min="31" max="31" width="16.109375" style="1603" customWidth="1"/>
    <col min="32" max="32" width="17.33203125" style="1603" customWidth="1"/>
    <col min="33" max="33" width="8" style="1603" customWidth="1"/>
    <col min="34" max="34" width="5.5546875" style="1603" customWidth="1"/>
    <col min="35" max="35" width="2" style="1603" customWidth="1"/>
    <col min="36" max="36" width="25.88671875" style="1603" customWidth="1"/>
    <col min="37" max="37" width="17.109375" style="1603" customWidth="1"/>
    <col min="38" max="39" width="8" style="1603" customWidth="1"/>
    <col min="40" max="40" width="14.44140625" style="1603" customWidth="1"/>
    <col min="41" max="41" width="18.33203125" style="1603" customWidth="1"/>
    <col min="42" max="16384" width="8" style="1603"/>
  </cols>
  <sheetData>
    <row r="1" spans="1:23">
      <c r="A1" s="2260" t="str">
        <f>COMPANY</f>
        <v>DUKE ENERGY KENTUCKY, INC.</v>
      </c>
      <c r="B1" s="2261"/>
      <c r="C1" s="2262"/>
      <c r="D1" s="2261"/>
      <c r="E1" s="2261"/>
      <c r="F1" s="2261"/>
      <c r="G1" s="2261"/>
      <c r="H1" s="2261"/>
      <c r="I1" s="2261"/>
      <c r="J1" s="2261"/>
      <c r="K1" s="2263" t="s">
        <v>636</v>
      </c>
      <c r="L1" s="2263"/>
      <c r="M1" s="2261"/>
      <c r="N1" s="2261"/>
      <c r="O1" s="2261"/>
      <c r="P1" s="2261"/>
      <c r="Q1" s="2261"/>
      <c r="S1" s="2261"/>
      <c r="V1" s="2261"/>
      <c r="W1" s="2264"/>
    </row>
    <row r="2" spans="1:23">
      <c r="A2" s="2260" t="str">
        <f>CASE</f>
        <v>CASE NO. 2018-00261</v>
      </c>
      <c r="B2" s="2261"/>
      <c r="C2" s="2262"/>
      <c r="D2" s="2261"/>
      <c r="E2" s="2261"/>
      <c r="F2" s="2261"/>
      <c r="G2" s="2261"/>
      <c r="H2" s="2261"/>
      <c r="I2" s="2261"/>
      <c r="J2" s="2261"/>
      <c r="K2" s="2263" t="s">
        <v>566</v>
      </c>
      <c r="L2" s="2263"/>
      <c r="M2" s="2261"/>
      <c r="N2" s="2261"/>
      <c r="O2" s="2261"/>
      <c r="P2" s="2261"/>
      <c r="Q2" s="2261"/>
      <c r="S2" s="2261"/>
      <c r="V2" s="2261"/>
      <c r="W2" s="2264"/>
    </row>
    <row r="3" spans="1:23">
      <c r="A3" s="2260" t="s">
        <v>814</v>
      </c>
      <c r="B3" s="2261"/>
      <c r="C3" s="2262"/>
      <c r="D3" s="2261"/>
      <c r="E3" s="2261"/>
      <c r="F3" s="2261"/>
      <c r="G3" s="2261"/>
      <c r="H3" s="2261"/>
      <c r="I3" s="2261"/>
      <c r="J3" s="2261"/>
      <c r="K3" s="2263" t="str">
        <f>_WIT3</f>
        <v>J. R. PANIZZA</v>
      </c>
      <c r="L3" s="2263"/>
      <c r="M3" s="2261"/>
      <c r="N3" s="2261"/>
      <c r="O3" s="2261"/>
      <c r="P3" s="2261"/>
      <c r="Q3" s="2261"/>
      <c r="S3" s="2261"/>
      <c r="V3" s="2261"/>
      <c r="W3" s="2264"/>
    </row>
    <row r="4" spans="1:23">
      <c r="A4" s="2260" t="str">
        <f>Data</f>
        <v>DATA: "X" BASE PERIOD   FORECASTED PERIOD</v>
      </c>
      <c r="B4" s="2261"/>
      <c r="C4" s="2262"/>
      <c r="D4" s="2261"/>
      <c r="E4" s="2261"/>
      <c r="F4" s="2261"/>
      <c r="G4" s="2261"/>
      <c r="H4" s="2261"/>
      <c r="I4" s="2261"/>
      <c r="J4" s="2261"/>
      <c r="K4" s="2261"/>
      <c r="L4" s="2261"/>
      <c r="M4" s="2261"/>
      <c r="N4" s="2261"/>
      <c r="O4" s="2261"/>
      <c r="P4" s="2261"/>
      <c r="Q4" s="2261"/>
      <c r="R4" s="2261"/>
      <c r="S4" s="2261"/>
      <c r="T4" s="2261"/>
      <c r="U4" s="2262"/>
      <c r="V4" s="2261"/>
      <c r="W4" s="2264"/>
    </row>
    <row r="5" spans="1:23">
      <c r="A5" s="2265" t="s">
        <v>689</v>
      </c>
      <c r="B5" s="2261"/>
      <c r="C5" s="2261"/>
      <c r="D5" s="2261"/>
      <c r="E5" s="2261"/>
      <c r="F5" s="2261"/>
      <c r="G5" s="2261"/>
      <c r="H5" s="2261"/>
      <c r="I5" s="2261"/>
      <c r="J5" s="2261"/>
      <c r="K5" s="2261"/>
      <c r="L5" s="2261"/>
      <c r="M5" s="2261"/>
      <c r="N5" s="2261"/>
      <c r="O5" s="2261"/>
      <c r="P5" s="2261"/>
      <c r="Q5" s="2261"/>
      <c r="R5" s="2261"/>
      <c r="S5" s="2261"/>
      <c r="T5" s="2261"/>
      <c r="U5" s="2261"/>
      <c r="V5" s="2261"/>
      <c r="W5" s="2264"/>
    </row>
    <row r="6" spans="1:23">
      <c r="A6" s="2266"/>
      <c r="B6" s="2261"/>
      <c r="C6" s="2261"/>
      <c r="D6" s="2261"/>
      <c r="E6" s="2261"/>
      <c r="F6" s="2261"/>
      <c r="G6" s="2261"/>
      <c r="H6" s="2261"/>
      <c r="I6" s="2261"/>
      <c r="J6" s="2261"/>
      <c r="K6" s="2261"/>
      <c r="L6" s="2261"/>
      <c r="M6" s="2261"/>
      <c r="N6" s="2261"/>
      <c r="O6" s="2261"/>
      <c r="P6" s="2261"/>
      <c r="Q6" s="2261"/>
      <c r="R6" s="2261"/>
      <c r="S6" s="2261"/>
      <c r="T6" s="2261"/>
      <c r="U6" s="2261"/>
      <c r="V6" s="2261"/>
      <c r="W6" s="2264"/>
    </row>
    <row r="7" spans="1:23">
      <c r="A7" s="2262"/>
      <c r="B7" s="2262"/>
      <c r="C7" s="2262"/>
      <c r="D7" s="2262"/>
      <c r="E7" s="2262"/>
      <c r="F7" s="2261"/>
      <c r="G7" s="2261"/>
      <c r="H7" s="2261"/>
      <c r="I7" s="2261"/>
      <c r="J7" s="2261"/>
      <c r="K7" s="2261"/>
      <c r="L7" s="2262"/>
      <c r="M7" s="2262"/>
      <c r="N7" s="2262"/>
      <c r="O7" s="2262"/>
      <c r="P7" s="2262"/>
      <c r="Q7" s="2262"/>
      <c r="R7" s="2262"/>
      <c r="S7" s="2262"/>
      <c r="T7" s="2267"/>
      <c r="U7" s="2268"/>
      <c r="V7" s="2262"/>
      <c r="W7" s="2269"/>
    </row>
    <row r="8" spans="1:23">
      <c r="A8" s="2262"/>
      <c r="B8" s="2262"/>
      <c r="C8" s="2262"/>
      <c r="D8" s="2262"/>
      <c r="E8" s="2262"/>
      <c r="F8" s="2261"/>
      <c r="G8" s="2261"/>
      <c r="H8" s="2261"/>
      <c r="I8" s="2261"/>
      <c r="J8" s="2261"/>
      <c r="K8" s="2261"/>
      <c r="L8" s="2262"/>
      <c r="M8" s="2262"/>
      <c r="N8" s="2262"/>
      <c r="O8" s="2262"/>
      <c r="P8" s="2262"/>
      <c r="Q8" s="2262"/>
      <c r="R8" s="2262"/>
      <c r="S8" s="2262"/>
      <c r="T8" s="2267"/>
      <c r="U8" s="2268"/>
      <c r="V8" s="2262"/>
      <c r="W8" s="2269"/>
    </row>
    <row r="9" spans="1:23">
      <c r="A9" s="2262"/>
      <c r="B9" s="2262"/>
      <c r="C9" s="2262"/>
      <c r="D9" s="2262"/>
      <c r="E9" s="2262"/>
      <c r="F9" s="2261"/>
      <c r="G9" s="2261"/>
      <c r="H9" s="2261"/>
      <c r="I9" s="2261"/>
      <c r="J9" s="2261"/>
      <c r="K9" s="2261"/>
      <c r="L9" s="2262"/>
      <c r="M9" s="2262"/>
      <c r="N9" s="2262"/>
      <c r="O9" s="2262"/>
      <c r="P9" s="2262"/>
      <c r="Q9" s="2262"/>
      <c r="R9" s="2262"/>
      <c r="S9" s="2262"/>
      <c r="T9" s="2267"/>
      <c r="U9" s="2268"/>
      <c r="V9" s="2262"/>
      <c r="W9" s="2269"/>
    </row>
    <row r="10" spans="1:23">
      <c r="A10" s="2270"/>
      <c r="B10" s="2270"/>
      <c r="C10" s="2270"/>
      <c r="D10" s="2270"/>
      <c r="E10" s="2270"/>
      <c r="F10" s="2270"/>
      <c r="G10" s="2270"/>
      <c r="H10" s="2270"/>
      <c r="I10" s="2270"/>
      <c r="J10" s="2270"/>
      <c r="K10" s="2270"/>
      <c r="L10" s="2270"/>
      <c r="M10" s="2271"/>
      <c r="N10" s="2262"/>
      <c r="O10" s="2262"/>
      <c r="P10" s="2262"/>
      <c r="Q10" s="2262"/>
      <c r="R10" s="2262"/>
      <c r="S10" s="2262"/>
      <c r="T10" s="2267"/>
      <c r="U10" s="2269"/>
      <c r="V10" s="2267"/>
      <c r="W10" s="2269"/>
    </row>
    <row r="11" spans="1:23">
      <c r="A11" s="2262"/>
      <c r="B11" s="2262"/>
      <c r="C11" s="2262"/>
      <c r="D11" s="2262"/>
      <c r="E11" s="2262"/>
      <c r="F11" s="2268"/>
      <c r="G11" s="2268"/>
      <c r="H11" s="2268"/>
      <c r="I11" s="2268"/>
      <c r="J11" s="2268"/>
      <c r="K11" s="2268"/>
      <c r="L11" s="2268"/>
      <c r="M11" s="2262"/>
      <c r="N11" s="3132"/>
      <c r="O11" s="3132"/>
      <c r="P11" s="3132"/>
      <c r="Q11" s="3132"/>
      <c r="R11" s="2262"/>
      <c r="S11" s="2262"/>
      <c r="T11" s="2267"/>
      <c r="U11" s="2269"/>
      <c r="V11" s="2269"/>
      <c r="W11" s="2269"/>
    </row>
    <row r="12" spans="1:23">
      <c r="A12" s="2272" t="s">
        <v>567</v>
      </c>
      <c r="B12" s="2262"/>
      <c r="C12" s="2272" t="s">
        <v>2160</v>
      </c>
      <c r="D12" s="2261"/>
      <c r="E12" s="2262"/>
      <c r="F12" s="2273" t="s">
        <v>2002</v>
      </c>
      <c r="G12" s="2274" t="s">
        <v>2003</v>
      </c>
      <c r="H12" s="2273" t="s">
        <v>2004</v>
      </c>
      <c r="I12" s="2273" t="s">
        <v>2005</v>
      </c>
      <c r="J12" s="2273" t="s">
        <v>2006</v>
      </c>
      <c r="K12" s="2273" t="s">
        <v>463</v>
      </c>
      <c r="L12" s="2274" t="s">
        <v>464</v>
      </c>
      <c r="M12" s="2221"/>
      <c r="N12" s="2274" t="s">
        <v>465</v>
      </c>
      <c r="O12" s="2274" t="s">
        <v>1955</v>
      </c>
      <c r="P12" s="2274" t="s">
        <v>466</v>
      </c>
      <c r="Q12" s="2274" t="s">
        <v>467</v>
      </c>
      <c r="T12" s="2269"/>
      <c r="U12" s="2269"/>
      <c r="V12" s="2269"/>
      <c r="W12" s="2269"/>
    </row>
    <row r="13" spans="1:23">
      <c r="A13" s="2272" t="s">
        <v>2169</v>
      </c>
      <c r="B13" s="2262"/>
      <c r="C13" s="2272" t="s">
        <v>693</v>
      </c>
      <c r="D13" s="2261"/>
      <c r="E13" s="2261" t="s">
        <v>741</v>
      </c>
      <c r="F13" s="2321">
        <v>2018</v>
      </c>
      <c r="G13" s="2320">
        <f>$F$13</f>
        <v>2018</v>
      </c>
      <c r="H13" s="2320">
        <f t="shared" ref="H13:L13" si="0">$F$13</f>
        <v>2018</v>
      </c>
      <c r="I13" s="2320">
        <f t="shared" si="0"/>
        <v>2018</v>
      </c>
      <c r="J13" s="2320">
        <f t="shared" si="0"/>
        <v>2018</v>
      </c>
      <c r="K13" s="2320">
        <f t="shared" si="0"/>
        <v>2018</v>
      </c>
      <c r="L13" s="2320">
        <f t="shared" si="0"/>
        <v>2018</v>
      </c>
      <c r="N13" s="2328">
        <f>$F$13</f>
        <v>2018</v>
      </c>
      <c r="O13" s="2328">
        <f>$F$13+1</f>
        <v>2019</v>
      </c>
      <c r="P13" s="2328">
        <f>O13</f>
        <v>2019</v>
      </c>
      <c r="Q13" s="2328">
        <f>O13</f>
        <v>2019</v>
      </c>
      <c r="T13" s="2276"/>
      <c r="U13" s="2269"/>
      <c r="V13" s="2269"/>
      <c r="W13" s="2269"/>
    </row>
    <row r="14" spans="1:23">
      <c r="A14" s="2270"/>
      <c r="B14" s="2270"/>
      <c r="C14" s="2270"/>
      <c r="D14" s="2270"/>
      <c r="E14" s="2270"/>
      <c r="F14" s="2277"/>
      <c r="G14" s="2277"/>
      <c r="H14" s="2277"/>
      <c r="I14" s="2277"/>
      <c r="J14" s="2270"/>
      <c r="K14" s="2270"/>
      <c r="L14" s="2270"/>
      <c r="N14" s="1643"/>
      <c r="O14" s="1643"/>
      <c r="P14" s="1643"/>
      <c r="Q14" s="1643"/>
      <c r="T14" s="2267"/>
      <c r="U14" s="2269"/>
      <c r="V14" s="2267"/>
      <c r="W14" s="2269"/>
    </row>
    <row r="15" spans="1:23">
      <c r="A15" s="2262"/>
      <c r="B15" s="2262"/>
      <c r="C15" s="2262"/>
      <c r="D15" s="2262"/>
      <c r="E15" s="2262"/>
      <c r="F15" s="2278"/>
      <c r="G15" s="2278"/>
      <c r="H15" s="2279"/>
      <c r="I15" s="2279"/>
      <c r="J15" s="2267"/>
      <c r="K15" s="2267"/>
      <c r="L15" s="2267"/>
      <c r="T15" s="2267"/>
      <c r="U15" s="2269"/>
      <c r="V15" s="2269"/>
      <c r="W15" s="2269"/>
    </row>
    <row r="16" spans="1:23">
      <c r="A16" s="2268">
        <v>1</v>
      </c>
      <c r="B16" s="2262"/>
      <c r="C16" s="2280" t="s">
        <v>637</v>
      </c>
      <c r="D16" s="2267"/>
      <c r="E16" s="2262"/>
      <c r="F16" s="2281"/>
      <c r="G16" s="2282"/>
      <c r="H16" s="2283"/>
      <c r="I16" s="2283"/>
      <c r="J16" s="2282"/>
      <c r="K16" s="2282"/>
      <c r="M16" s="582"/>
      <c r="T16" s="2267"/>
      <c r="U16" s="2269"/>
      <c r="V16" s="2267"/>
      <c r="W16" s="2269"/>
    </row>
    <row r="17" spans="1:23" ht="13.8" thickBot="1">
      <c r="A17" s="2268">
        <v>2</v>
      </c>
      <c r="B17" s="2262"/>
      <c r="C17" s="2268">
        <v>252050</v>
      </c>
      <c r="D17" s="2267"/>
      <c r="E17" s="2262" t="s">
        <v>818</v>
      </c>
      <c r="F17" s="2299">
        <v>-1579329</v>
      </c>
      <c r="G17" s="2286">
        <f t="shared" ref="G17:L17" si="1">F17</f>
        <v>-1579329</v>
      </c>
      <c r="H17" s="2286">
        <f t="shared" si="1"/>
        <v>-1579329</v>
      </c>
      <c r="I17" s="2286">
        <f t="shared" si="1"/>
        <v>-1579329</v>
      </c>
      <c r="J17" s="2286">
        <f t="shared" si="1"/>
        <v>-1579329</v>
      </c>
      <c r="K17" s="2286">
        <f t="shared" si="1"/>
        <v>-1579329</v>
      </c>
      <c r="L17" s="2286">
        <f t="shared" si="1"/>
        <v>-1579329</v>
      </c>
      <c r="M17" s="582"/>
      <c r="N17" s="2286">
        <f>L17</f>
        <v>-1579329</v>
      </c>
      <c r="O17" s="2286">
        <f>N17</f>
        <v>-1579329</v>
      </c>
      <c r="P17" s="2286">
        <f>O17</f>
        <v>-1579329</v>
      </c>
      <c r="Q17" s="2286">
        <f>P17</f>
        <v>-1579329</v>
      </c>
      <c r="T17" s="2281"/>
      <c r="U17" s="2281"/>
      <c r="V17" s="2284"/>
      <c r="W17" s="2281"/>
    </row>
    <row r="18" spans="1:23" ht="13.8" thickTop="1">
      <c r="A18" s="2268">
        <v>3</v>
      </c>
      <c r="B18" s="2262"/>
      <c r="C18" s="2268"/>
      <c r="D18" s="2267"/>
      <c r="E18" s="2262"/>
      <c r="F18" s="2281"/>
      <c r="G18" s="2282"/>
      <c r="H18" s="2283"/>
      <c r="I18" s="2283"/>
      <c r="J18" s="2282"/>
      <c r="K18" s="2282"/>
      <c r="M18" s="582"/>
      <c r="T18" s="2281"/>
      <c r="U18" s="2281"/>
      <c r="V18" s="2262"/>
      <c r="W18" s="2281"/>
    </row>
    <row r="19" spans="1:23">
      <c r="A19" s="2268">
        <v>4</v>
      </c>
      <c r="B19" s="2262"/>
      <c r="C19" s="2268">
        <v>255</v>
      </c>
      <c r="D19" s="2267"/>
      <c r="E19" s="2262" t="s">
        <v>1733</v>
      </c>
      <c r="F19" s="1610"/>
      <c r="M19" s="582"/>
      <c r="T19" s="1610"/>
      <c r="U19" s="1610"/>
      <c r="V19" s="2262"/>
      <c r="W19" s="2281"/>
    </row>
    <row r="20" spans="1:23">
      <c r="A20" s="2268">
        <v>5</v>
      </c>
      <c r="B20" s="2262"/>
      <c r="C20" s="2268"/>
      <c r="D20" s="2262"/>
      <c r="E20" s="2285" t="s">
        <v>839</v>
      </c>
      <c r="F20" s="2322">
        <v>0</v>
      </c>
      <c r="G20" s="2322">
        <v>0</v>
      </c>
      <c r="H20" s="2322">
        <v>0</v>
      </c>
      <c r="I20" s="2322">
        <v>0</v>
      </c>
      <c r="J20" s="2322">
        <v>0</v>
      </c>
      <c r="K20" s="2322">
        <v>0</v>
      </c>
      <c r="L20" s="2322">
        <v>0</v>
      </c>
      <c r="M20" s="582"/>
      <c r="N20" s="2322">
        <v>0</v>
      </c>
      <c r="O20" s="2322">
        <v>0</v>
      </c>
      <c r="P20" s="2322">
        <v>0</v>
      </c>
      <c r="Q20" s="2322">
        <v>0</v>
      </c>
      <c r="T20" s="2281"/>
      <c r="U20" s="2281"/>
      <c r="V20" s="2262"/>
      <c r="W20" s="2281"/>
    </row>
    <row r="21" spans="1:23">
      <c r="A21" s="2268">
        <v>6</v>
      </c>
      <c r="B21" s="2262"/>
      <c r="C21" s="2268"/>
      <c r="D21" s="2262"/>
      <c r="E21" s="2285" t="s">
        <v>841</v>
      </c>
      <c r="F21" s="2322">
        <v>-8514</v>
      </c>
      <c r="G21" s="2322">
        <v>-8241</v>
      </c>
      <c r="H21" s="2322">
        <v>-7967</v>
      </c>
      <c r="I21" s="2322">
        <v>-7694</v>
      </c>
      <c r="J21" s="2322">
        <v>-7421</v>
      </c>
      <c r="K21" s="2322">
        <v>-7147</v>
      </c>
      <c r="L21" s="2322">
        <v>-6874</v>
      </c>
      <c r="M21" s="582"/>
      <c r="N21" s="2322">
        <v>-6600</v>
      </c>
      <c r="O21" s="2322">
        <v>-6425</v>
      </c>
      <c r="P21" s="2322">
        <v>-6249</v>
      </c>
      <c r="Q21" s="2322">
        <v>-6074</v>
      </c>
      <c r="T21" s="2281"/>
      <c r="U21" s="2281"/>
      <c r="V21" s="2262"/>
      <c r="W21" s="2281"/>
    </row>
    <row r="22" spans="1:23">
      <c r="A22" s="2268">
        <v>7</v>
      </c>
      <c r="B22" s="2262"/>
      <c r="C22" s="2268"/>
      <c r="D22" s="2262"/>
      <c r="E22" s="2285" t="s">
        <v>843</v>
      </c>
      <c r="F22" s="2322">
        <v>-534303</v>
      </c>
      <c r="G22" s="2322">
        <v>-528974</v>
      </c>
      <c r="H22" s="2322">
        <v>-523645</v>
      </c>
      <c r="I22" s="2322">
        <v>-518316</v>
      </c>
      <c r="J22" s="2322">
        <v>-512987</v>
      </c>
      <c r="K22" s="2322">
        <v>-507658</v>
      </c>
      <c r="L22" s="2322">
        <v>-502329</v>
      </c>
      <c r="M22" s="582"/>
      <c r="N22" s="2322">
        <v>-497000</v>
      </c>
      <c r="O22" s="2322">
        <v>-491671</v>
      </c>
      <c r="P22" s="2322">
        <v>-486342</v>
      </c>
      <c r="Q22" s="2322">
        <v>-481012</v>
      </c>
      <c r="T22" s="2281"/>
      <c r="U22" s="2281"/>
      <c r="V22" s="2262"/>
      <c r="W22" s="2281"/>
    </row>
    <row r="23" spans="1:23">
      <c r="A23" s="2268">
        <v>8</v>
      </c>
      <c r="B23" s="2262"/>
      <c r="C23" s="2268"/>
      <c r="D23" s="2262"/>
      <c r="E23" s="2323" t="s">
        <v>2550</v>
      </c>
      <c r="F23" s="2324">
        <v>0</v>
      </c>
      <c r="G23" s="2324">
        <v>0</v>
      </c>
      <c r="H23" s="2324">
        <v>0</v>
      </c>
      <c r="I23" s="2324">
        <v>0</v>
      </c>
      <c r="J23" s="2324">
        <v>0</v>
      </c>
      <c r="K23" s="2324">
        <v>0</v>
      </c>
      <c r="L23" s="2324">
        <v>0</v>
      </c>
      <c r="M23" s="582"/>
      <c r="N23" s="2324">
        <v>0</v>
      </c>
      <c r="O23" s="2324">
        <v>0</v>
      </c>
      <c r="P23" s="2324">
        <v>0</v>
      </c>
      <c r="Q23" s="2324">
        <v>0</v>
      </c>
      <c r="T23" s="2281"/>
      <c r="U23" s="2281"/>
      <c r="V23" s="2262"/>
      <c r="W23" s="2281"/>
    </row>
    <row r="24" spans="1:23" ht="13.8" thickBot="1">
      <c r="A24" s="2268">
        <v>9</v>
      </c>
      <c r="B24" s="2262"/>
      <c r="C24" s="2268"/>
      <c r="E24" s="2262" t="s">
        <v>844</v>
      </c>
      <c r="F24" s="2286">
        <f>SUM(F20:F23)</f>
        <v>-542817</v>
      </c>
      <c r="G24" s="2286">
        <f t="shared" ref="G24:Q24" si="2">SUM(G20:G23)</f>
        <v>-537215</v>
      </c>
      <c r="H24" s="2286">
        <f t="shared" si="2"/>
        <v>-531612</v>
      </c>
      <c r="I24" s="2286">
        <f t="shared" si="2"/>
        <v>-526010</v>
      </c>
      <c r="J24" s="2286">
        <f t="shared" si="2"/>
        <v>-520408</v>
      </c>
      <c r="K24" s="2286">
        <f t="shared" si="2"/>
        <v>-514805</v>
      </c>
      <c r="L24" s="2286">
        <f t="shared" si="2"/>
        <v>-509203</v>
      </c>
      <c r="M24" s="582"/>
      <c r="N24" s="2286">
        <f t="shared" si="2"/>
        <v>-503600</v>
      </c>
      <c r="O24" s="2286">
        <f t="shared" si="2"/>
        <v>-498096</v>
      </c>
      <c r="P24" s="2286">
        <f t="shared" si="2"/>
        <v>-492591</v>
      </c>
      <c r="Q24" s="2286">
        <f t="shared" si="2"/>
        <v>-487086</v>
      </c>
      <c r="T24" s="2281"/>
      <c r="U24" s="2281"/>
      <c r="V24" s="2262"/>
      <c r="W24" s="2281"/>
    </row>
    <row r="25" spans="1:23" ht="13.8" thickTop="1">
      <c r="A25" s="2268">
        <v>10</v>
      </c>
      <c r="B25" s="2262"/>
      <c r="C25" s="2268"/>
      <c r="E25" s="2262"/>
      <c r="F25" s="2281"/>
      <c r="G25" s="2282"/>
      <c r="H25" s="2283"/>
      <c r="I25" s="2283"/>
      <c r="J25" s="2282"/>
      <c r="K25" s="2282"/>
      <c r="M25" s="582"/>
      <c r="T25" s="2281"/>
      <c r="U25" s="2281"/>
      <c r="V25" s="2262"/>
      <c r="W25" s="2281"/>
    </row>
    <row r="26" spans="1:23">
      <c r="A26" s="2268">
        <v>11</v>
      </c>
      <c r="B26" s="2262"/>
      <c r="C26" s="2268"/>
      <c r="D26" s="2267"/>
      <c r="E26" s="2262" t="s">
        <v>2001</v>
      </c>
      <c r="F26" s="2287"/>
      <c r="G26" s="2288"/>
      <c r="H26" s="2283"/>
      <c r="I26" s="2283"/>
      <c r="J26" s="2282"/>
      <c r="K26" s="2282"/>
      <c r="M26" s="582"/>
      <c r="T26" s="2281"/>
      <c r="U26" s="2281"/>
      <c r="V26" s="2262"/>
      <c r="W26" s="2281"/>
    </row>
    <row r="27" spans="1:23">
      <c r="A27" s="2268">
        <v>12</v>
      </c>
      <c r="B27" s="2262"/>
      <c r="C27" s="2268">
        <v>190</v>
      </c>
      <c r="D27" s="2262"/>
      <c r="E27" s="2289" t="s">
        <v>668</v>
      </c>
      <c r="F27" s="2291">
        <v>2752004</v>
      </c>
      <c r="G27" s="2291">
        <v>2752004</v>
      </c>
      <c r="H27" s="2291">
        <v>2752004</v>
      </c>
      <c r="I27" s="2291">
        <v>2752004</v>
      </c>
      <c r="J27" s="2291">
        <v>2752004</v>
      </c>
      <c r="K27" s="2291">
        <v>2752004</v>
      </c>
      <c r="L27" s="2291">
        <v>2752004</v>
      </c>
      <c r="M27" s="582"/>
      <c r="N27" s="2325">
        <v>2520450</v>
      </c>
      <c r="O27" s="2325">
        <v>2520450</v>
      </c>
      <c r="P27" s="2325">
        <v>2520450</v>
      </c>
      <c r="Q27" s="2325">
        <v>2520450</v>
      </c>
      <c r="T27" s="2281"/>
      <c r="U27" s="2281"/>
      <c r="V27" s="2282"/>
      <c r="W27" s="2281"/>
    </row>
    <row r="28" spans="1:23">
      <c r="A28" s="2268">
        <v>13</v>
      </c>
      <c r="B28" s="2262"/>
      <c r="C28" s="2268"/>
      <c r="D28" s="2262"/>
      <c r="E28" s="2289"/>
      <c r="F28" s="2291"/>
      <c r="G28" s="2325"/>
      <c r="H28" s="2325"/>
      <c r="I28" s="2325"/>
      <c r="J28" s="2325"/>
      <c r="K28" s="2325"/>
      <c r="L28" s="2325"/>
      <c r="M28" s="582"/>
      <c r="N28" s="2325"/>
      <c r="O28" s="2325"/>
      <c r="P28" s="2325"/>
      <c r="Q28" s="2325"/>
      <c r="T28" s="2281"/>
      <c r="U28" s="2281"/>
      <c r="V28" s="2282"/>
      <c r="W28" s="2281"/>
    </row>
    <row r="29" spans="1:23">
      <c r="A29" s="2268">
        <v>14</v>
      </c>
      <c r="B29" s="2262"/>
      <c r="C29" s="2268">
        <v>282</v>
      </c>
      <c r="D29" s="2262"/>
      <c r="E29" s="2289" t="s">
        <v>1957</v>
      </c>
      <c r="F29" s="2291">
        <v>-9423131</v>
      </c>
      <c r="G29" s="2325">
        <v>-9439621</v>
      </c>
      <c r="H29" s="2325">
        <v>-9455862</v>
      </c>
      <c r="I29" s="2325">
        <v>-9470109</v>
      </c>
      <c r="J29" s="2325">
        <v>-9486101</v>
      </c>
      <c r="K29" s="2325">
        <v>-9501844</v>
      </c>
      <c r="L29" s="2325">
        <v>-9515592</v>
      </c>
      <c r="M29" s="582"/>
      <c r="N29" s="2325">
        <v>-9531335</v>
      </c>
      <c r="O29" s="2325">
        <v>-9554109</v>
      </c>
      <c r="P29" s="2325">
        <v>-9576635</v>
      </c>
      <c r="Q29" s="2325">
        <v>-9598911</v>
      </c>
      <c r="T29" s="2281"/>
      <c r="U29" s="2281"/>
      <c r="V29" s="2282"/>
      <c r="W29" s="2281"/>
    </row>
    <row r="30" spans="1:23">
      <c r="A30" s="2268">
        <v>15</v>
      </c>
      <c r="B30" s="2262"/>
      <c r="C30" s="2268">
        <v>282</v>
      </c>
      <c r="D30" s="2262"/>
      <c r="E30" s="2289" t="s">
        <v>669</v>
      </c>
      <c r="F30" s="2291">
        <v>-50719508</v>
      </c>
      <c r="G30" s="2325">
        <v>-50857344</v>
      </c>
      <c r="H30" s="2325">
        <v>-50989198</v>
      </c>
      <c r="I30" s="2325">
        <v>-51120553</v>
      </c>
      <c r="J30" s="2325">
        <v>-51251659</v>
      </c>
      <c r="K30" s="2325">
        <v>-51375039</v>
      </c>
      <c r="L30" s="2325">
        <v>-51498418</v>
      </c>
      <c r="M30" s="582"/>
      <c r="N30" s="2325">
        <v>-51621797</v>
      </c>
      <c r="O30" s="2325">
        <v>-51752824</v>
      </c>
      <c r="P30" s="2325">
        <v>-51883737</v>
      </c>
      <c r="Q30" s="2325">
        <v>-52014660</v>
      </c>
      <c r="T30" s="2281"/>
      <c r="U30" s="2281"/>
      <c r="V30" s="2282"/>
      <c r="W30" s="2281"/>
    </row>
    <row r="31" spans="1:23">
      <c r="A31" s="2268">
        <v>16</v>
      </c>
      <c r="B31" s="2262"/>
      <c r="C31" s="2268">
        <v>283</v>
      </c>
      <c r="D31" s="2262"/>
      <c r="E31" s="2289" t="s">
        <v>1958</v>
      </c>
      <c r="F31" s="2291">
        <v>-2443537</v>
      </c>
      <c r="G31" s="2325">
        <v>-2441792</v>
      </c>
      <c r="H31" s="2325">
        <v>-2440047</v>
      </c>
      <c r="I31" s="2325">
        <v>-2438303</v>
      </c>
      <c r="J31" s="2325">
        <v>-2436558</v>
      </c>
      <c r="K31" s="2325">
        <v>-2434813</v>
      </c>
      <c r="L31" s="2325">
        <v>-2433068</v>
      </c>
      <c r="M31" s="582"/>
      <c r="N31" s="2325">
        <v>-2431324</v>
      </c>
      <c r="O31" s="2325">
        <v>-2429579</v>
      </c>
      <c r="P31" s="2325">
        <v>-2427834</v>
      </c>
      <c r="Q31" s="2325">
        <v>-2426089</v>
      </c>
      <c r="T31" s="2281"/>
      <c r="U31" s="2281"/>
      <c r="V31" s="2282"/>
      <c r="W31" s="2281"/>
    </row>
    <row r="32" spans="1:23">
      <c r="A32" s="2268">
        <v>17</v>
      </c>
      <c r="B32" s="2262"/>
      <c r="C32" s="2268">
        <v>283</v>
      </c>
      <c r="D32" s="2262"/>
      <c r="E32" s="2289" t="s">
        <v>671</v>
      </c>
      <c r="F32" s="2326">
        <v>-20028</v>
      </c>
      <c r="G32" s="2326">
        <v>-20028</v>
      </c>
      <c r="H32" s="2326">
        <v>-20028</v>
      </c>
      <c r="I32" s="2326">
        <v>-20028</v>
      </c>
      <c r="J32" s="2326">
        <v>-20028</v>
      </c>
      <c r="K32" s="2326">
        <v>-20028</v>
      </c>
      <c r="L32" s="2326">
        <v>-20028</v>
      </c>
      <c r="M32" s="582"/>
      <c r="N32" s="2326">
        <v>-20028</v>
      </c>
      <c r="O32" s="2326">
        <v>-20028</v>
      </c>
      <c r="P32" s="2326">
        <v>-20028</v>
      </c>
      <c r="Q32" s="2326">
        <v>-20028</v>
      </c>
      <c r="T32" s="2281"/>
      <c r="U32" s="2281"/>
      <c r="V32" s="2282"/>
      <c r="W32" s="2281"/>
    </row>
    <row r="33" spans="1:42" ht="13.8" thickBot="1">
      <c r="A33" s="2268">
        <v>18</v>
      </c>
      <c r="B33" s="2262"/>
      <c r="C33" s="2268"/>
      <c r="D33" s="2262"/>
      <c r="E33" s="2262" t="s">
        <v>673</v>
      </c>
      <c r="F33" s="2290">
        <f t="shared" ref="F33:L33" si="3">SUM(F27:F32)</f>
        <v>-59854200</v>
      </c>
      <c r="G33" s="2290">
        <f t="shared" si="3"/>
        <v>-60006781</v>
      </c>
      <c r="H33" s="2290">
        <f t="shared" si="3"/>
        <v>-60153131</v>
      </c>
      <c r="I33" s="2290">
        <f t="shared" si="3"/>
        <v>-60296989</v>
      </c>
      <c r="J33" s="2290">
        <f t="shared" si="3"/>
        <v>-60442342</v>
      </c>
      <c r="K33" s="2290">
        <f t="shared" si="3"/>
        <v>-60579720</v>
      </c>
      <c r="L33" s="2290">
        <f t="shared" si="3"/>
        <v>-60715102</v>
      </c>
      <c r="M33" s="582"/>
      <c r="N33" s="2290">
        <f>SUM(N27:N32)</f>
        <v>-61084034</v>
      </c>
      <c r="O33" s="2290">
        <f>SUM(O27:O32)</f>
        <v>-61236090</v>
      </c>
      <c r="P33" s="2290">
        <f>SUM(P27:P32)</f>
        <v>-61387784</v>
      </c>
      <c r="Q33" s="2290">
        <f>SUM(Q27:Q32)</f>
        <v>-61539238</v>
      </c>
      <c r="T33" s="2287"/>
      <c r="U33" s="2287"/>
      <c r="V33" s="2282"/>
      <c r="W33" s="2281"/>
    </row>
    <row r="34" spans="1:42" ht="13.8" thickTop="1">
      <c r="A34" s="2268">
        <v>19</v>
      </c>
      <c r="B34" s="2262"/>
      <c r="C34" s="2268"/>
      <c r="D34" s="2262"/>
      <c r="E34" s="2262"/>
      <c r="F34" s="2287"/>
      <c r="G34" s="2287"/>
      <c r="H34" s="2287"/>
      <c r="I34" s="2287"/>
      <c r="J34" s="2287"/>
      <c r="K34" s="2287"/>
      <c r="L34" s="2287"/>
      <c r="M34" s="582"/>
      <c r="N34" s="2287"/>
      <c r="O34" s="2287"/>
      <c r="P34" s="2287"/>
      <c r="Q34" s="2287"/>
      <c r="T34" s="2291"/>
      <c r="U34" s="2291"/>
      <c r="V34" s="2282"/>
      <c r="W34" s="2281"/>
    </row>
    <row r="35" spans="1:42">
      <c r="A35" s="2268">
        <v>20</v>
      </c>
      <c r="B35" s="2262"/>
      <c r="C35" s="1601"/>
      <c r="D35" s="1594"/>
      <c r="E35" s="1594" t="s">
        <v>2551</v>
      </c>
      <c r="F35" s="2333"/>
      <c r="G35" s="2333"/>
      <c r="H35" s="2333"/>
      <c r="I35" s="2333"/>
      <c r="J35" s="2333"/>
      <c r="K35" s="2333"/>
      <c r="L35" s="2333"/>
      <c r="M35" s="582"/>
      <c r="N35" s="2333"/>
      <c r="O35" s="2333"/>
      <c r="P35" s="2333"/>
      <c r="Q35" s="2333"/>
      <c r="T35" s="2291"/>
      <c r="U35" s="2291"/>
      <c r="V35" s="2282"/>
      <c r="W35" s="2281"/>
    </row>
    <row r="36" spans="1:42">
      <c r="A36" s="2268">
        <v>21</v>
      </c>
      <c r="B36" s="2262"/>
      <c r="C36" s="1601">
        <v>254</v>
      </c>
      <c r="D36" s="1594"/>
      <c r="E36" s="2334" t="s">
        <v>2552</v>
      </c>
      <c r="F36" s="2291">
        <v>-31271875</v>
      </c>
      <c r="G36" s="2325">
        <v>-31271875</v>
      </c>
      <c r="H36" s="2325">
        <v>-31271875</v>
      </c>
      <c r="I36" s="2325">
        <v>-31271875</v>
      </c>
      <c r="J36" s="2325">
        <v>-31271875</v>
      </c>
      <c r="K36" s="2325">
        <v>-31271875</v>
      </c>
      <c r="L36" s="2325">
        <v>-31271875</v>
      </c>
      <c r="M36" s="582"/>
      <c r="N36" s="2325">
        <v>-31271875</v>
      </c>
      <c r="O36" s="2325">
        <v>-31271875</v>
      </c>
      <c r="P36" s="2325">
        <v>-31271875</v>
      </c>
      <c r="Q36" s="2325">
        <v>-31271875</v>
      </c>
      <c r="T36" s="2291"/>
      <c r="U36" s="2291"/>
      <c r="V36" s="2282"/>
      <c r="W36" s="2281"/>
    </row>
    <row r="37" spans="1:42">
      <c r="A37" s="2268">
        <v>22</v>
      </c>
      <c r="B37" s="2262"/>
      <c r="C37" s="1601">
        <v>254</v>
      </c>
      <c r="D37" s="1594"/>
      <c r="E37" s="2334" t="s">
        <v>2553</v>
      </c>
      <c r="F37" s="2326">
        <v>-1050832</v>
      </c>
      <c r="G37" s="2326">
        <v>-1050832</v>
      </c>
      <c r="H37" s="2326">
        <v>-1050832</v>
      </c>
      <c r="I37" s="2326">
        <v>-1050832</v>
      </c>
      <c r="J37" s="2326">
        <v>-1050832</v>
      </c>
      <c r="K37" s="2326">
        <v>-1050832</v>
      </c>
      <c r="L37" s="2326">
        <v>-1050832</v>
      </c>
      <c r="M37" s="582"/>
      <c r="N37" s="2326">
        <v>-1050832</v>
      </c>
      <c r="O37" s="2326">
        <v>-1050832</v>
      </c>
      <c r="P37" s="2326">
        <v>-1050832</v>
      </c>
      <c r="Q37" s="2326">
        <v>-1050832</v>
      </c>
      <c r="T37" s="2291"/>
      <c r="U37" s="2291"/>
      <c r="V37" s="2282"/>
      <c r="W37" s="2281"/>
    </row>
    <row r="38" spans="1:42" ht="13.8" thickBot="1">
      <c r="A38" s="2268">
        <v>23</v>
      </c>
      <c r="B38" s="2262"/>
      <c r="C38" s="1601"/>
      <c r="D38" s="1594"/>
      <c r="E38" s="1594" t="s">
        <v>2554</v>
      </c>
      <c r="F38" s="2332">
        <f>SUM(F36:F37)</f>
        <v>-32322707</v>
      </c>
      <c r="G38" s="2332">
        <f t="shared" ref="G38:L38" si="4">SUM(G36:G37)</f>
        <v>-32322707</v>
      </c>
      <c r="H38" s="2332">
        <f t="shared" si="4"/>
        <v>-32322707</v>
      </c>
      <c r="I38" s="2332">
        <f t="shared" si="4"/>
        <v>-32322707</v>
      </c>
      <c r="J38" s="2332">
        <f t="shared" si="4"/>
        <v>-32322707</v>
      </c>
      <c r="K38" s="2332">
        <f t="shared" si="4"/>
        <v>-32322707</v>
      </c>
      <c r="L38" s="2332">
        <f t="shared" si="4"/>
        <v>-32322707</v>
      </c>
      <c r="M38" s="582"/>
      <c r="N38" s="2332">
        <f>SUM(N36:N37)</f>
        <v>-32322707</v>
      </c>
      <c r="O38" s="2332">
        <f>SUM(O36:O37)</f>
        <v>-32322707</v>
      </c>
      <c r="P38" s="2332">
        <f>SUM(P36:P37)</f>
        <v>-32322707</v>
      </c>
      <c r="Q38" s="2332">
        <f>SUM(Q36:Q37)</f>
        <v>-32322707</v>
      </c>
      <c r="T38" s="2291"/>
      <c r="U38" s="2291"/>
      <c r="V38" s="2282"/>
      <c r="W38" s="2281"/>
    </row>
    <row r="39" spans="1:42" ht="13.8" thickTop="1">
      <c r="A39" s="2268">
        <v>24</v>
      </c>
      <c r="B39" s="2262"/>
      <c r="C39" s="2268"/>
      <c r="D39" s="2262"/>
      <c r="E39" s="2262"/>
      <c r="F39" s="2291"/>
      <c r="G39" s="2291"/>
      <c r="H39" s="2291"/>
      <c r="I39" s="2291"/>
      <c r="J39" s="2291"/>
      <c r="K39" s="2291"/>
      <c r="M39" s="582"/>
      <c r="T39" s="2291"/>
      <c r="U39" s="2291"/>
      <c r="V39" s="2282"/>
      <c r="W39" s="2281"/>
    </row>
    <row r="40" spans="1:42">
      <c r="A40" s="2268">
        <v>25</v>
      </c>
      <c r="C40" s="2280" t="s">
        <v>639</v>
      </c>
      <c r="D40" s="2267"/>
      <c r="E40" s="2262"/>
      <c r="F40" s="2281"/>
      <c r="G40" s="2281"/>
      <c r="H40" s="2281"/>
      <c r="I40" s="2281"/>
      <c r="J40" s="2281"/>
      <c r="K40" s="2281"/>
      <c r="L40" s="2281"/>
      <c r="M40" s="582"/>
      <c r="N40" s="2281"/>
      <c r="O40" s="2281"/>
      <c r="P40" s="2281"/>
      <c r="Q40" s="2281"/>
      <c r="T40" s="2267"/>
      <c r="U40" s="2269"/>
      <c r="Y40" s="1616"/>
      <c r="AL40" s="1610"/>
      <c r="AM40" s="1610"/>
      <c r="AN40" s="1610"/>
      <c r="AO40" s="1610"/>
      <c r="AP40" s="1610"/>
    </row>
    <row r="41" spans="1:42" ht="13.8" thickBot="1">
      <c r="A41" s="2268">
        <v>26</v>
      </c>
      <c r="C41" s="2268">
        <v>252</v>
      </c>
      <c r="D41" s="2267"/>
      <c r="E41" s="2262" t="s">
        <v>818</v>
      </c>
      <c r="F41" s="2299">
        <v>0</v>
      </c>
      <c r="G41" s="2299">
        <v>0</v>
      </c>
      <c r="H41" s="2299">
        <v>0</v>
      </c>
      <c r="I41" s="2299">
        <v>0</v>
      </c>
      <c r="J41" s="2299">
        <v>0</v>
      </c>
      <c r="K41" s="2299">
        <v>0</v>
      </c>
      <c r="L41" s="2299">
        <v>0</v>
      </c>
      <c r="M41" s="582"/>
      <c r="N41" s="2299">
        <v>0</v>
      </c>
      <c r="O41" s="2299">
        <v>0</v>
      </c>
      <c r="P41" s="2299">
        <v>0</v>
      </c>
      <c r="Q41" s="2299">
        <v>0</v>
      </c>
      <c r="T41" s="2281"/>
      <c r="U41" s="2281"/>
      <c r="Y41" s="1616"/>
      <c r="AL41" s="1610"/>
      <c r="AM41" s="1610"/>
      <c r="AN41" s="1610"/>
      <c r="AO41" s="1610"/>
      <c r="AP41" s="1610"/>
    </row>
    <row r="42" spans="1:42" ht="13.8" thickTop="1">
      <c r="A42" s="2268">
        <v>27</v>
      </c>
      <c r="C42" s="2268"/>
      <c r="D42" s="2267"/>
      <c r="E42" s="2262"/>
      <c r="F42" s="2281"/>
      <c r="G42" s="2282"/>
      <c r="H42" s="2283"/>
      <c r="I42" s="2283"/>
      <c r="J42" s="2282"/>
      <c r="K42" s="2282"/>
      <c r="M42" s="582"/>
      <c r="T42" s="2281"/>
      <c r="U42" s="2281"/>
      <c r="Y42" s="1616"/>
      <c r="AL42" s="1610"/>
      <c r="AM42" s="1610"/>
      <c r="AN42" s="1610"/>
      <c r="AO42" s="1610"/>
      <c r="AP42" s="1610"/>
    </row>
    <row r="43" spans="1:42">
      <c r="A43" s="2268">
        <v>28</v>
      </c>
      <c r="C43" s="2268">
        <v>255</v>
      </c>
      <c r="D43" s="2267"/>
      <c r="E43" s="2262" t="s">
        <v>1733</v>
      </c>
      <c r="M43" s="582"/>
      <c r="T43" s="2281"/>
      <c r="U43" s="2281"/>
      <c r="Y43" s="1616"/>
      <c r="AL43" s="1610"/>
      <c r="AM43" s="1610"/>
      <c r="AN43" s="1610"/>
      <c r="AO43" s="1610"/>
      <c r="AP43" s="1610"/>
    </row>
    <row r="44" spans="1:42">
      <c r="A44" s="2268">
        <v>29</v>
      </c>
      <c r="C44" s="2268"/>
      <c r="D44" s="2267"/>
      <c r="E44" s="2285" t="s">
        <v>839</v>
      </c>
      <c r="F44" s="2322">
        <v>0</v>
      </c>
      <c r="G44" s="2322">
        <v>0</v>
      </c>
      <c r="H44" s="2322">
        <v>0</v>
      </c>
      <c r="I44" s="2322">
        <v>0</v>
      </c>
      <c r="J44" s="2322">
        <v>0</v>
      </c>
      <c r="K44" s="2322">
        <v>0</v>
      </c>
      <c r="L44" s="2322">
        <v>0</v>
      </c>
      <c r="M44" s="582"/>
      <c r="N44" s="2322">
        <v>0</v>
      </c>
      <c r="O44" s="2322">
        <v>0</v>
      </c>
      <c r="P44" s="2322">
        <v>0</v>
      </c>
      <c r="Q44" s="2322">
        <v>0</v>
      </c>
      <c r="T44" s="2281"/>
      <c r="U44" s="2281"/>
      <c r="Y44" s="1616"/>
      <c r="AL44" s="1610"/>
      <c r="AM44" s="1610"/>
      <c r="AN44" s="1610"/>
      <c r="AO44" s="1610"/>
      <c r="AP44" s="1610"/>
    </row>
    <row r="45" spans="1:42">
      <c r="A45" s="2268">
        <v>30</v>
      </c>
      <c r="C45" s="2268"/>
      <c r="D45" s="2267"/>
      <c r="E45" s="2285" t="s">
        <v>841</v>
      </c>
      <c r="F45" s="2322">
        <v>0</v>
      </c>
      <c r="G45" s="2322">
        <v>0</v>
      </c>
      <c r="H45" s="2322">
        <v>0</v>
      </c>
      <c r="I45" s="2322">
        <v>0</v>
      </c>
      <c r="J45" s="2322">
        <v>0</v>
      </c>
      <c r="K45" s="2322">
        <v>0</v>
      </c>
      <c r="L45" s="2322">
        <v>0</v>
      </c>
      <c r="M45" s="582"/>
      <c r="N45" s="2322">
        <v>0</v>
      </c>
      <c r="O45" s="2322">
        <v>0</v>
      </c>
      <c r="P45" s="2322">
        <v>0</v>
      </c>
      <c r="Q45" s="2322">
        <v>0</v>
      </c>
      <c r="T45" s="2281"/>
      <c r="U45" s="2281"/>
      <c r="Y45" s="1616"/>
      <c r="AL45" s="1610"/>
      <c r="AM45" s="1610"/>
      <c r="AN45" s="1610"/>
      <c r="AO45" s="1610"/>
      <c r="AP45" s="1610"/>
    </row>
    <row r="46" spans="1:42">
      <c r="A46" s="2268">
        <v>31</v>
      </c>
      <c r="C46" s="2268"/>
      <c r="D46" s="2267"/>
      <c r="E46" s="2285" t="s">
        <v>843</v>
      </c>
      <c r="F46" s="2322">
        <v>-7823</v>
      </c>
      <c r="G46" s="2322">
        <v>-6880</v>
      </c>
      <c r="H46" s="2322">
        <v>-5936</v>
      </c>
      <c r="I46" s="2322">
        <v>-4992</v>
      </c>
      <c r="J46" s="2322">
        <v>-4048</v>
      </c>
      <c r="K46" s="2322">
        <v>-3104</v>
      </c>
      <c r="L46" s="2322">
        <v>-2161</v>
      </c>
      <c r="M46" s="941"/>
      <c r="N46" s="2322">
        <v>-1217</v>
      </c>
      <c r="O46" s="2322">
        <v>-1182</v>
      </c>
      <c r="P46" s="2322">
        <v>-1147</v>
      </c>
      <c r="Q46" s="2322">
        <v>-1113</v>
      </c>
      <c r="T46" s="2281"/>
      <c r="U46" s="2281"/>
      <c r="Y46" s="1616"/>
      <c r="AL46" s="1610"/>
      <c r="AM46" s="1610"/>
      <c r="AN46" s="1610"/>
      <c r="AO46" s="1610"/>
      <c r="AP46" s="1610"/>
    </row>
    <row r="47" spans="1:42">
      <c r="A47" s="2268">
        <v>32</v>
      </c>
      <c r="C47" s="2268"/>
      <c r="D47" s="2267"/>
      <c r="E47" s="2323" t="s">
        <v>2550</v>
      </c>
      <c r="F47" s="2324">
        <v>-3253589</v>
      </c>
      <c r="G47" s="2324">
        <v>-3253589</v>
      </c>
      <c r="H47" s="2324">
        <v>-3253589</v>
      </c>
      <c r="I47" s="2324">
        <v>-3253589</v>
      </c>
      <c r="J47" s="2324">
        <v>-3253589</v>
      </c>
      <c r="K47" s="2324">
        <v>-3253589</v>
      </c>
      <c r="L47" s="2324">
        <v>-3253589</v>
      </c>
      <c r="M47" s="582"/>
      <c r="N47" s="2324">
        <v>-3253589</v>
      </c>
      <c r="O47" s="2324">
        <v>-3253589</v>
      </c>
      <c r="P47" s="2324">
        <v>-3253589</v>
      </c>
      <c r="Q47" s="2324">
        <v>-3253589</v>
      </c>
      <c r="T47" s="2281"/>
      <c r="U47" s="2281"/>
      <c r="Y47" s="1616"/>
      <c r="AL47" s="1610"/>
      <c r="AM47" s="1610"/>
      <c r="AN47" s="1610"/>
      <c r="AO47" s="1610"/>
      <c r="AP47" s="1610"/>
    </row>
    <row r="48" spans="1:42" ht="13.8" thickBot="1">
      <c r="A48" s="2268">
        <v>33</v>
      </c>
      <c r="C48" s="2268"/>
      <c r="D48" s="2267"/>
      <c r="E48" s="2262" t="s">
        <v>844</v>
      </c>
      <c r="F48" s="2286">
        <f>SUM(F44:F47)</f>
        <v>-3261412</v>
      </c>
      <c r="G48" s="2286">
        <f t="shared" ref="G48:Q48" si="5">SUM(G44:G47)</f>
        <v>-3260469</v>
      </c>
      <c r="H48" s="2286">
        <f t="shared" si="5"/>
        <v>-3259525</v>
      </c>
      <c r="I48" s="2286">
        <f t="shared" si="5"/>
        <v>-3258581</v>
      </c>
      <c r="J48" s="2286">
        <f t="shared" si="5"/>
        <v>-3257637</v>
      </c>
      <c r="K48" s="2286">
        <f t="shared" si="5"/>
        <v>-3256693</v>
      </c>
      <c r="L48" s="2286">
        <f t="shared" si="5"/>
        <v>-3255750</v>
      </c>
      <c r="M48" s="582"/>
      <c r="N48" s="2286">
        <f t="shared" si="5"/>
        <v>-3254806</v>
      </c>
      <c r="O48" s="2286">
        <f t="shared" si="5"/>
        <v>-3254771</v>
      </c>
      <c r="P48" s="2286">
        <f t="shared" si="5"/>
        <v>-3254736</v>
      </c>
      <c r="Q48" s="2286">
        <f t="shared" si="5"/>
        <v>-3254702</v>
      </c>
      <c r="T48" s="2281"/>
      <c r="U48" s="2281"/>
      <c r="Y48" s="1616"/>
      <c r="AL48" s="1610"/>
      <c r="AM48" s="1610"/>
      <c r="AN48" s="1610"/>
      <c r="AO48" s="1610"/>
      <c r="AP48" s="1610"/>
    </row>
    <row r="49" spans="1:42" ht="13.8" thickTop="1">
      <c r="A49" s="2268">
        <v>34</v>
      </c>
      <c r="C49" s="2268"/>
      <c r="D49" s="2267"/>
      <c r="E49" s="2262"/>
      <c r="F49" s="2281"/>
      <c r="G49" s="2282"/>
      <c r="H49" s="2283"/>
      <c r="I49" s="2283"/>
      <c r="J49" s="2282"/>
      <c r="K49" s="2282"/>
      <c r="M49" s="582"/>
      <c r="T49" s="2291"/>
      <c r="U49" s="2291"/>
      <c r="Y49" s="1616"/>
      <c r="AL49" s="1610"/>
      <c r="AM49" s="1610"/>
      <c r="AN49" s="1610"/>
      <c r="AO49" s="1610"/>
      <c r="AP49" s="1610"/>
    </row>
    <row r="50" spans="1:42">
      <c r="A50" s="2268">
        <v>35</v>
      </c>
      <c r="C50" s="2268"/>
      <c r="D50" s="2267"/>
      <c r="E50" s="2262" t="s">
        <v>2001</v>
      </c>
      <c r="F50" s="2287"/>
      <c r="G50" s="2288"/>
      <c r="H50" s="2283"/>
      <c r="I50" s="2283"/>
      <c r="J50" s="2282"/>
      <c r="K50" s="2282"/>
      <c r="M50" s="582"/>
      <c r="T50" s="2291"/>
      <c r="U50" s="2291"/>
      <c r="Y50" s="1616"/>
      <c r="AL50" s="1610"/>
      <c r="AM50" s="1610"/>
      <c r="AN50" s="1610"/>
      <c r="AO50" s="1610"/>
      <c r="AP50" s="1610"/>
    </row>
    <row r="51" spans="1:42">
      <c r="A51" s="2268">
        <v>36</v>
      </c>
      <c r="C51" s="2268">
        <v>190</v>
      </c>
      <c r="D51" s="2262"/>
      <c r="E51" s="2289" t="s">
        <v>668</v>
      </c>
      <c r="F51" s="2291">
        <v>9312728</v>
      </c>
      <c r="G51" s="2325">
        <v>9319686</v>
      </c>
      <c r="H51" s="2325">
        <v>9326644</v>
      </c>
      <c r="I51" s="2325">
        <v>9333602</v>
      </c>
      <c r="J51" s="2325">
        <v>9340560</v>
      </c>
      <c r="K51" s="2325">
        <v>9347518</v>
      </c>
      <c r="L51" s="2325">
        <v>9354476</v>
      </c>
      <c r="M51" s="582"/>
      <c r="N51" s="2325">
        <v>8821307</v>
      </c>
      <c r="O51" s="2325">
        <v>8814059</v>
      </c>
      <c r="P51" s="2325">
        <v>8806936</v>
      </c>
      <c r="Q51" s="2325">
        <v>8799812</v>
      </c>
      <c r="T51" s="2291"/>
      <c r="U51" s="2291"/>
      <c r="Y51" s="1616"/>
      <c r="AL51" s="1610"/>
      <c r="AM51" s="1610"/>
      <c r="AN51" s="1610"/>
      <c r="AO51" s="1610"/>
      <c r="AP51" s="1610"/>
    </row>
    <row r="52" spans="1:42">
      <c r="A52" s="2268">
        <v>37</v>
      </c>
      <c r="C52" s="2268">
        <v>281</v>
      </c>
      <c r="D52" s="2262"/>
      <c r="E52" s="2289" t="s">
        <v>2555</v>
      </c>
      <c r="F52" s="2291">
        <v>0</v>
      </c>
      <c r="G52" s="2325">
        <v>0</v>
      </c>
      <c r="H52" s="2325">
        <v>0</v>
      </c>
      <c r="I52" s="2325">
        <v>0</v>
      </c>
      <c r="J52" s="2325">
        <v>0</v>
      </c>
      <c r="K52" s="2325">
        <v>0</v>
      </c>
      <c r="L52" s="2325">
        <v>0</v>
      </c>
      <c r="M52" s="582"/>
      <c r="N52" s="2325">
        <v>0</v>
      </c>
      <c r="O52" s="2325">
        <v>0</v>
      </c>
      <c r="P52" s="2325">
        <v>0</v>
      </c>
      <c r="Q52" s="2325">
        <v>0</v>
      </c>
      <c r="T52" s="2291"/>
      <c r="U52" s="2291"/>
      <c r="Y52" s="1616"/>
      <c r="AL52" s="1610"/>
      <c r="AM52" s="1610"/>
      <c r="AN52" s="1610"/>
      <c r="AO52" s="1610"/>
      <c r="AP52" s="1610"/>
    </row>
    <row r="53" spans="1:42">
      <c r="A53" s="2268">
        <v>38</v>
      </c>
      <c r="C53" s="2268">
        <v>282</v>
      </c>
      <c r="D53" s="2262"/>
      <c r="E53" s="2289" t="s">
        <v>1957</v>
      </c>
      <c r="F53" s="2291">
        <v>-58601888</v>
      </c>
      <c r="G53" s="2325">
        <v>-59421885</v>
      </c>
      <c r="H53" s="2325">
        <v>-60275530</v>
      </c>
      <c r="I53" s="2325">
        <v>-61134908</v>
      </c>
      <c r="J53" s="2325">
        <v>-61960139</v>
      </c>
      <c r="K53" s="2325">
        <v>-62791850</v>
      </c>
      <c r="L53" s="2325">
        <v>-63614339</v>
      </c>
      <c r="M53" s="582"/>
      <c r="N53" s="2325">
        <v>-65207264</v>
      </c>
      <c r="O53" s="2325">
        <v>-65803730</v>
      </c>
      <c r="P53" s="2325">
        <v>-66451043</v>
      </c>
      <c r="Q53" s="2325">
        <v>-67050749</v>
      </c>
      <c r="T53" s="2291"/>
      <c r="U53" s="2291"/>
      <c r="Y53" s="1616"/>
      <c r="AL53" s="1610"/>
      <c r="AM53" s="1610"/>
      <c r="AN53" s="1610"/>
      <c r="AO53" s="1610"/>
      <c r="AP53" s="1610"/>
    </row>
    <row r="54" spans="1:42">
      <c r="A54" s="2268">
        <v>39</v>
      </c>
      <c r="C54" s="2268">
        <v>282</v>
      </c>
      <c r="D54" s="2262"/>
      <c r="E54" s="2289" t="s">
        <v>669</v>
      </c>
      <c r="F54" s="2291">
        <v>-59980370</v>
      </c>
      <c r="G54" s="2325">
        <v>-60075672</v>
      </c>
      <c r="H54" s="2325">
        <v>-60161005</v>
      </c>
      <c r="I54" s="2325">
        <v>-60233127</v>
      </c>
      <c r="J54" s="2325">
        <v>-60301759</v>
      </c>
      <c r="K54" s="2325">
        <v>-60364409</v>
      </c>
      <c r="L54" s="2325">
        <v>-60425066</v>
      </c>
      <c r="M54" s="582"/>
      <c r="N54" s="2325">
        <v>-60484725</v>
      </c>
      <c r="O54" s="2325">
        <v>-60555586</v>
      </c>
      <c r="P54" s="2325">
        <v>-60624702</v>
      </c>
      <c r="Q54" s="2325">
        <v>-60696061</v>
      </c>
      <c r="T54" s="2291"/>
      <c r="U54" s="2291"/>
      <c r="Y54" s="1616"/>
      <c r="AL54" s="1610"/>
      <c r="AM54" s="1610"/>
      <c r="AN54" s="1610"/>
      <c r="AO54" s="1610"/>
      <c r="AP54" s="1610"/>
    </row>
    <row r="55" spans="1:42">
      <c r="A55" s="2268">
        <v>40</v>
      </c>
      <c r="C55" s="2268">
        <v>283</v>
      </c>
      <c r="D55" s="2262"/>
      <c r="E55" s="2289" t="s">
        <v>672</v>
      </c>
      <c r="F55" s="2326">
        <v>-19699002</v>
      </c>
      <c r="G55" s="2326">
        <v>-19566899</v>
      </c>
      <c r="H55" s="2326">
        <v>-19434796</v>
      </c>
      <c r="I55" s="2326">
        <v>-19302693</v>
      </c>
      <c r="J55" s="2326">
        <v>-19170590</v>
      </c>
      <c r="K55" s="2326">
        <v>-19038486</v>
      </c>
      <c r="L55" s="2326">
        <v>-18906383</v>
      </c>
      <c r="M55" s="582"/>
      <c r="N55" s="2326">
        <v>-18774280</v>
      </c>
      <c r="O55" s="2326">
        <v>-18651815</v>
      </c>
      <c r="P55" s="2326">
        <v>-18529349</v>
      </c>
      <c r="Q55" s="2326">
        <v>-18406884</v>
      </c>
      <c r="T55" s="2291"/>
      <c r="U55" s="2291"/>
      <c r="Y55" s="1616"/>
      <c r="AL55" s="1610"/>
      <c r="AM55" s="1610"/>
      <c r="AN55" s="1610"/>
      <c r="AO55" s="1610"/>
      <c r="AP55" s="1610"/>
    </row>
    <row r="56" spans="1:42" ht="13.8" thickBot="1">
      <c r="A56" s="2268">
        <v>41</v>
      </c>
      <c r="C56" s="2268"/>
      <c r="D56" s="2262"/>
      <c r="E56" s="2262" t="s">
        <v>673</v>
      </c>
      <c r="F56" s="2290">
        <f t="shared" ref="F56:Q56" si="6">SUM(F51:F55)</f>
        <v>-128968532</v>
      </c>
      <c r="G56" s="2290">
        <f t="shared" si="6"/>
        <v>-129744770</v>
      </c>
      <c r="H56" s="2290">
        <f t="shared" si="6"/>
        <v>-130544687</v>
      </c>
      <c r="I56" s="2290">
        <f t="shared" si="6"/>
        <v>-131337126</v>
      </c>
      <c r="J56" s="2290">
        <f t="shared" si="6"/>
        <v>-132091928</v>
      </c>
      <c r="K56" s="2290">
        <f t="shared" si="6"/>
        <v>-132847227</v>
      </c>
      <c r="L56" s="2290">
        <f t="shared" si="6"/>
        <v>-133591312</v>
      </c>
      <c r="M56" s="582"/>
      <c r="N56" s="2290">
        <f t="shared" si="6"/>
        <v>-135644962</v>
      </c>
      <c r="O56" s="2290">
        <f t="shared" si="6"/>
        <v>-136197072</v>
      </c>
      <c r="P56" s="2290">
        <f t="shared" si="6"/>
        <v>-136798158</v>
      </c>
      <c r="Q56" s="2290">
        <f t="shared" si="6"/>
        <v>-137353882</v>
      </c>
      <c r="T56" s="2291"/>
      <c r="U56" s="2291"/>
      <c r="Y56" s="1616"/>
      <c r="AL56" s="1610"/>
      <c r="AM56" s="1610"/>
      <c r="AN56" s="1610"/>
      <c r="AO56" s="1610"/>
      <c r="AP56" s="1610"/>
    </row>
    <row r="57" spans="1:42" ht="13.8" thickTop="1">
      <c r="A57" s="2268">
        <v>42</v>
      </c>
      <c r="C57" s="2268"/>
      <c r="D57" s="2262"/>
      <c r="E57" s="2262"/>
      <c r="F57" s="2291"/>
      <c r="G57" s="2291"/>
      <c r="H57" s="2291"/>
      <c r="I57" s="2291"/>
      <c r="J57" s="2291"/>
      <c r="K57" s="2291"/>
      <c r="M57" s="582"/>
      <c r="T57" s="2291"/>
      <c r="U57" s="2291"/>
      <c r="Y57" s="1616"/>
      <c r="AL57" s="1610"/>
      <c r="AM57" s="1610"/>
      <c r="AN57" s="1610"/>
      <c r="AO57" s="1610"/>
      <c r="AP57" s="1610"/>
    </row>
    <row r="58" spans="1:42">
      <c r="A58" s="2268">
        <v>43</v>
      </c>
      <c r="C58" s="1601"/>
      <c r="D58" s="1594"/>
      <c r="E58" s="1594" t="s">
        <v>2551</v>
      </c>
      <c r="F58" s="2333"/>
      <c r="G58" s="2333"/>
      <c r="H58" s="2333"/>
      <c r="I58" s="2333"/>
      <c r="J58" s="2333"/>
      <c r="K58" s="2333"/>
      <c r="L58" s="2333"/>
      <c r="M58" s="582"/>
      <c r="N58" s="2333"/>
      <c r="O58" s="2333"/>
      <c r="P58" s="2333"/>
      <c r="Q58" s="2333"/>
      <c r="T58" s="2291"/>
      <c r="U58" s="2291"/>
      <c r="Y58" s="1616"/>
      <c r="AL58" s="1610"/>
      <c r="AM58" s="1610"/>
      <c r="AN58" s="1610"/>
      <c r="AO58" s="1610"/>
      <c r="AP58" s="1610"/>
    </row>
    <row r="59" spans="1:42" ht="14.4">
      <c r="A59" s="2268">
        <v>44</v>
      </c>
      <c r="C59" s="1601">
        <v>254</v>
      </c>
      <c r="D59" s="1594"/>
      <c r="E59" s="2334" t="s">
        <v>2552</v>
      </c>
      <c r="F59" s="3001">
        <v>-34838776</v>
      </c>
      <c r="G59" s="3001">
        <v>-34746859</v>
      </c>
      <c r="H59" s="3001">
        <v>-34654942</v>
      </c>
      <c r="I59" s="3001">
        <v>-34563026</v>
      </c>
      <c r="J59" s="3001">
        <v>-34471109</v>
      </c>
      <c r="K59" s="3001">
        <v>-34379192</v>
      </c>
      <c r="L59" s="3001">
        <v>-34287275</v>
      </c>
      <c r="M59" s="3004"/>
      <c r="N59" s="3001">
        <v>-34195359</v>
      </c>
      <c r="O59" s="3001">
        <v>-34080640</v>
      </c>
      <c r="P59" s="3001">
        <v>-33965922</v>
      </c>
      <c r="Q59" s="3001">
        <v>-33851204</v>
      </c>
      <c r="T59" s="2291"/>
      <c r="U59" s="2291"/>
      <c r="Y59" s="1616"/>
      <c r="AL59" s="1610"/>
      <c r="AM59" s="1610"/>
      <c r="AN59" s="1610"/>
      <c r="AO59" s="1610"/>
      <c r="AP59" s="1610"/>
    </row>
    <row r="60" spans="1:42" ht="14.4">
      <c r="A60" s="2268">
        <v>45</v>
      </c>
      <c r="C60" s="1601">
        <v>254</v>
      </c>
      <c r="D60" s="1594"/>
      <c r="E60" s="2334" t="s">
        <v>2553</v>
      </c>
      <c r="F60" s="3005">
        <v>-34066917</v>
      </c>
      <c r="G60" s="3005">
        <v>-33791793</v>
      </c>
      <c r="H60" s="3005">
        <v>-33516669</v>
      </c>
      <c r="I60" s="3005">
        <v>-33241545</v>
      </c>
      <c r="J60" s="3005">
        <v>-32966421</v>
      </c>
      <c r="K60" s="3005">
        <v>-32691297</v>
      </c>
      <c r="L60" s="3005">
        <v>-32416173</v>
      </c>
      <c r="M60" s="3004"/>
      <c r="N60" s="3005">
        <v>-32141048</v>
      </c>
      <c r="O60" s="3005">
        <v>-31865924</v>
      </c>
      <c r="P60" s="3005">
        <v>-31590800</v>
      </c>
      <c r="Q60" s="3005">
        <v>-31315676</v>
      </c>
      <c r="T60" s="2291"/>
      <c r="U60" s="2291"/>
      <c r="Y60" s="1616"/>
      <c r="AL60" s="1610"/>
      <c r="AM60" s="1610"/>
      <c r="AN60" s="1610"/>
      <c r="AO60" s="1610"/>
      <c r="AP60" s="1610"/>
    </row>
    <row r="61" spans="1:42" ht="13.8" thickBot="1">
      <c r="A61" s="2268">
        <v>46</v>
      </c>
      <c r="C61" s="1601"/>
      <c r="D61" s="1594"/>
      <c r="E61" s="1594" t="s">
        <v>2554</v>
      </c>
      <c r="F61" s="2332">
        <f>SUM(F59:F60)</f>
        <v>-68905693</v>
      </c>
      <c r="G61" s="2332">
        <f t="shared" ref="G61:L61" si="7">SUM(G59:G60)</f>
        <v>-68538652</v>
      </c>
      <c r="H61" s="2332">
        <f t="shared" si="7"/>
        <v>-68171611</v>
      </c>
      <c r="I61" s="2332">
        <f t="shared" si="7"/>
        <v>-67804571</v>
      </c>
      <c r="J61" s="2332">
        <f t="shared" si="7"/>
        <v>-67437530</v>
      </c>
      <c r="K61" s="2332">
        <f t="shared" si="7"/>
        <v>-67070489</v>
      </c>
      <c r="L61" s="2332">
        <f t="shared" si="7"/>
        <v>-66703448</v>
      </c>
      <c r="M61" s="582"/>
      <c r="N61" s="2332">
        <f>SUM(N59:N60)</f>
        <v>-66336407</v>
      </c>
      <c r="O61" s="2332">
        <f>SUM(O59:O60)</f>
        <v>-65946564</v>
      </c>
      <c r="P61" s="2332">
        <f>SUM(P59:P60)</f>
        <v>-65556722</v>
      </c>
      <c r="Q61" s="2332">
        <f>SUM(Q59:Q60)</f>
        <v>-65166880</v>
      </c>
      <c r="T61" s="2291"/>
      <c r="U61" s="2291"/>
      <c r="Y61" s="1616"/>
      <c r="AL61" s="1610"/>
      <c r="AM61" s="1610"/>
      <c r="AN61" s="1610"/>
      <c r="AO61" s="1610"/>
      <c r="AP61" s="1610"/>
    </row>
    <row r="62" spans="1:42" ht="13.8" thickTop="1">
      <c r="A62" s="2268">
        <v>47</v>
      </c>
      <c r="C62" s="2268"/>
      <c r="D62" s="2262"/>
      <c r="E62" s="2262"/>
      <c r="F62" s="2291"/>
      <c r="G62" s="2291"/>
      <c r="H62" s="2291"/>
      <c r="I62" s="2291"/>
      <c r="J62" s="2291"/>
      <c r="K62" s="2291"/>
      <c r="M62" s="582"/>
      <c r="T62" s="2291"/>
      <c r="U62" s="2291"/>
      <c r="Y62" s="1616"/>
      <c r="AL62" s="1610"/>
      <c r="AM62" s="1610"/>
      <c r="AN62" s="1610"/>
      <c r="AO62" s="1610"/>
      <c r="AP62" s="1610"/>
    </row>
    <row r="63" spans="1:42">
      <c r="A63" s="2268">
        <v>48</v>
      </c>
      <c r="C63" s="2292" t="s">
        <v>2008</v>
      </c>
      <c r="D63" s="2267"/>
      <c r="E63" s="2267"/>
      <c r="F63" s="2281"/>
      <c r="G63" s="2281"/>
      <c r="H63" s="2281"/>
      <c r="I63" s="2281"/>
      <c r="J63" s="2281"/>
      <c r="K63" s="2281"/>
      <c r="L63" s="2281"/>
      <c r="M63" s="582"/>
      <c r="N63" s="2281"/>
      <c r="O63" s="2281"/>
      <c r="P63" s="2281"/>
      <c r="Q63" s="2281"/>
      <c r="T63" s="2281"/>
      <c r="U63" s="2281"/>
      <c r="Y63" s="1616"/>
      <c r="AL63" s="1610"/>
      <c r="AM63" s="1610"/>
      <c r="AN63" s="1610"/>
      <c r="AO63" s="1610"/>
      <c r="AP63" s="1610"/>
    </row>
    <row r="64" spans="1:42">
      <c r="A64" s="2268">
        <v>49</v>
      </c>
      <c r="C64" s="2267"/>
      <c r="D64" s="2267"/>
      <c r="E64" s="2267"/>
      <c r="F64" s="2281"/>
      <c r="G64" s="2281"/>
      <c r="H64" s="2281"/>
      <c r="I64" s="2281"/>
      <c r="J64" s="2281"/>
      <c r="K64" s="2281"/>
      <c r="L64" s="2281"/>
      <c r="M64" s="582"/>
      <c r="N64" s="2281"/>
      <c r="O64" s="2281"/>
      <c r="P64" s="2281"/>
      <c r="Q64" s="2281"/>
      <c r="T64" s="2281"/>
      <c r="U64" s="2281"/>
      <c r="Y64" s="1616"/>
      <c r="AL64" s="1610"/>
      <c r="AM64" s="1610"/>
      <c r="AN64" s="1610"/>
      <c r="AO64" s="1610"/>
      <c r="AP64" s="1610"/>
    </row>
    <row r="65" spans="1:42">
      <c r="A65" s="2268">
        <v>50</v>
      </c>
      <c r="C65" s="2268">
        <v>255</v>
      </c>
      <c r="D65" s="2267"/>
      <c r="E65" s="2262" t="s">
        <v>1733</v>
      </c>
      <c r="F65" s="2322"/>
      <c r="G65" s="2322"/>
      <c r="H65" s="2322"/>
      <c r="I65" s="2322"/>
      <c r="J65" s="2322"/>
      <c r="K65" s="2322"/>
      <c r="L65" s="2322"/>
      <c r="M65" s="582"/>
      <c r="N65" s="2322"/>
      <c r="O65" s="2322"/>
      <c r="P65" s="2322"/>
      <c r="Q65" s="2322"/>
      <c r="T65" s="2281"/>
      <c r="U65" s="2281"/>
      <c r="Y65" s="1616"/>
      <c r="AL65" s="1610"/>
      <c r="AM65" s="1610"/>
      <c r="AN65" s="1610"/>
      <c r="AO65" s="1610"/>
      <c r="AP65" s="1610"/>
    </row>
    <row r="66" spans="1:42">
      <c r="A66" s="2268">
        <v>51</v>
      </c>
      <c r="C66" s="2268"/>
      <c r="D66" s="2267"/>
      <c r="E66" s="2285" t="s">
        <v>839</v>
      </c>
      <c r="F66" s="2322">
        <v>0</v>
      </c>
      <c r="G66" s="2322">
        <v>0</v>
      </c>
      <c r="H66" s="2322">
        <v>0</v>
      </c>
      <c r="I66" s="2322">
        <v>0</v>
      </c>
      <c r="J66" s="2322">
        <v>0</v>
      </c>
      <c r="K66" s="2322">
        <v>0</v>
      </c>
      <c r="L66" s="2322">
        <v>0</v>
      </c>
      <c r="M66" s="582"/>
      <c r="N66" s="2322">
        <v>0</v>
      </c>
      <c r="O66" s="2322">
        <v>0</v>
      </c>
      <c r="P66" s="2322">
        <v>0</v>
      </c>
      <c r="Q66" s="2322">
        <v>0</v>
      </c>
      <c r="T66" s="2281"/>
      <c r="U66" s="2281"/>
      <c r="Y66" s="1616"/>
      <c r="AL66" s="1610"/>
      <c r="AM66" s="1610"/>
      <c r="AN66" s="1610"/>
      <c r="AO66" s="1610"/>
      <c r="AP66" s="1610"/>
    </row>
    <row r="67" spans="1:42">
      <c r="A67" s="2268">
        <v>52</v>
      </c>
      <c r="C67" s="2268"/>
      <c r="D67" s="2267"/>
      <c r="E67" s="2285" t="s">
        <v>841</v>
      </c>
      <c r="F67" s="2322">
        <v>0</v>
      </c>
      <c r="G67" s="2322">
        <v>0</v>
      </c>
      <c r="H67" s="2322">
        <v>0</v>
      </c>
      <c r="I67" s="2322">
        <v>0</v>
      </c>
      <c r="J67" s="2322">
        <v>0</v>
      </c>
      <c r="K67" s="2322">
        <v>0</v>
      </c>
      <c r="L67" s="2322">
        <v>0</v>
      </c>
      <c r="M67" s="582"/>
      <c r="N67" s="2322">
        <v>0</v>
      </c>
      <c r="O67" s="2322">
        <v>0</v>
      </c>
      <c r="P67" s="2322">
        <v>0</v>
      </c>
      <c r="Q67" s="2322">
        <v>0</v>
      </c>
      <c r="T67" s="2281"/>
      <c r="U67" s="2281"/>
      <c r="Y67" s="1616"/>
      <c r="AL67" s="1610"/>
      <c r="AM67" s="1610"/>
      <c r="AN67" s="1610"/>
      <c r="AO67" s="1610"/>
      <c r="AP67" s="1610"/>
    </row>
    <row r="68" spans="1:42">
      <c r="A68" s="2268">
        <v>53</v>
      </c>
      <c r="C68" s="2268"/>
      <c r="D68" s="2267"/>
      <c r="E68" s="2285" t="s">
        <v>843</v>
      </c>
      <c r="F68" s="2324">
        <v>0</v>
      </c>
      <c r="G68" s="2324">
        <v>0</v>
      </c>
      <c r="H68" s="2324">
        <v>0</v>
      </c>
      <c r="I68" s="2324">
        <v>0</v>
      </c>
      <c r="J68" s="2324">
        <v>0</v>
      </c>
      <c r="K68" s="2324">
        <v>0</v>
      </c>
      <c r="L68" s="2324">
        <v>0</v>
      </c>
      <c r="M68" s="582"/>
      <c r="N68" s="2324">
        <v>0</v>
      </c>
      <c r="O68" s="2324">
        <v>0</v>
      </c>
      <c r="P68" s="2324">
        <v>0</v>
      </c>
      <c r="Q68" s="2324">
        <v>0</v>
      </c>
      <c r="T68" s="2281"/>
      <c r="U68" s="2281"/>
      <c r="Y68" s="1616"/>
      <c r="AL68" s="1610"/>
      <c r="AM68" s="1610"/>
      <c r="AN68" s="1610"/>
      <c r="AO68" s="1610"/>
      <c r="AP68" s="1610"/>
    </row>
    <row r="69" spans="1:42" ht="13.8" thickBot="1">
      <c r="A69" s="2268">
        <v>54</v>
      </c>
      <c r="C69" s="2268"/>
      <c r="D69" s="2267"/>
      <c r="E69" s="2262" t="s">
        <v>844</v>
      </c>
      <c r="F69" s="2327">
        <f t="shared" ref="F69:L69" si="8">SUM(F67:F68)</f>
        <v>0</v>
      </c>
      <c r="G69" s="2286">
        <f t="shared" si="8"/>
        <v>0</v>
      </c>
      <c r="H69" s="2286">
        <f t="shared" si="8"/>
        <v>0</v>
      </c>
      <c r="I69" s="2286">
        <f t="shared" si="8"/>
        <v>0</v>
      </c>
      <c r="J69" s="2286">
        <f t="shared" si="8"/>
        <v>0</v>
      </c>
      <c r="K69" s="2286">
        <f t="shared" si="8"/>
        <v>0</v>
      </c>
      <c r="L69" s="2286">
        <f t="shared" si="8"/>
        <v>0</v>
      </c>
      <c r="M69" s="582"/>
      <c r="N69" s="2286">
        <f>SUM(N67:N68)</f>
        <v>0</v>
      </c>
      <c r="O69" s="2286">
        <f>SUM(O67:O68)</f>
        <v>0</v>
      </c>
      <c r="P69" s="2286">
        <f>SUM(P67:P68)</f>
        <v>0</v>
      </c>
      <c r="Q69" s="2286">
        <f>SUM(Q67:Q68)</f>
        <v>0</v>
      </c>
      <c r="T69" s="2281"/>
      <c r="U69" s="2281"/>
      <c r="Y69" s="1616"/>
      <c r="AL69" s="1610"/>
      <c r="AM69" s="1610"/>
      <c r="AN69" s="1610"/>
      <c r="AO69" s="1610"/>
      <c r="AP69" s="1610"/>
    </row>
    <row r="70" spans="1:42" ht="13.8" thickTop="1">
      <c r="A70" s="2268">
        <v>55</v>
      </c>
      <c r="C70" s="2268"/>
      <c r="D70" s="2267"/>
      <c r="E70" s="2262"/>
      <c r="F70" s="2281"/>
      <c r="G70" s="2282"/>
      <c r="H70" s="2283"/>
      <c r="I70" s="2283"/>
      <c r="J70" s="2282"/>
      <c r="K70" s="2282"/>
      <c r="M70" s="582"/>
      <c r="T70" s="2281"/>
      <c r="U70" s="2281"/>
      <c r="Y70" s="1616"/>
      <c r="AL70" s="1610"/>
      <c r="AM70" s="1610"/>
      <c r="AN70" s="1610"/>
      <c r="AO70" s="1610"/>
      <c r="AP70" s="1610"/>
    </row>
    <row r="71" spans="1:42">
      <c r="A71" s="2268">
        <v>56</v>
      </c>
      <c r="C71" s="2268"/>
      <c r="D71" s="2267"/>
      <c r="E71" s="2262" t="s">
        <v>2001</v>
      </c>
      <c r="F71" s="2287"/>
      <c r="G71" s="2288"/>
      <c r="H71" s="2283"/>
      <c r="I71" s="2283"/>
      <c r="J71" s="2282"/>
      <c r="K71" s="2282"/>
      <c r="M71" s="582"/>
      <c r="T71" s="1610"/>
      <c r="U71" s="1610"/>
      <c r="Y71" s="1616"/>
      <c r="AL71" s="1610"/>
      <c r="AM71" s="1610"/>
      <c r="AN71" s="1610"/>
      <c r="AO71" s="1610"/>
      <c r="AP71" s="1610"/>
    </row>
    <row r="72" spans="1:42">
      <c r="A72" s="2268">
        <v>57</v>
      </c>
      <c r="C72" s="2268">
        <v>190</v>
      </c>
      <c r="D72" s="2262"/>
      <c r="E72" s="2289" t="s">
        <v>668</v>
      </c>
      <c r="F72" s="2291">
        <v>-301041</v>
      </c>
      <c r="G72" s="2325">
        <v>-301041</v>
      </c>
      <c r="H72" s="2325">
        <v>-301041</v>
      </c>
      <c r="I72" s="2325">
        <v>-301041</v>
      </c>
      <c r="J72" s="2325">
        <v>-301041</v>
      </c>
      <c r="K72" s="2325">
        <v>-301041</v>
      </c>
      <c r="L72" s="2325">
        <v>-301041</v>
      </c>
      <c r="M72" s="582"/>
      <c r="N72" s="2325">
        <v>-301041</v>
      </c>
      <c r="O72" s="2325">
        <v>-301041</v>
      </c>
      <c r="P72" s="2325">
        <v>-301041</v>
      </c>
      <c r="Q72" s="2325">
        <v>-301041</v>
      </c>
      <c r="T72" s="1610"/>
      <c r="U72" s="1610"/>
      <c r="Y72" s="1616"/>
      <c r="AL72" s="1610"/>
      <c r="AM72" s="1610"/>
      <c r="AN72" s="1610"/>
      <c r="AO72" s="1610"/>
      <c r="AP72" s="1610"/>
    </row>
    <row r="73" spans="1:42">
      <c r="A73" s="2268">
        <v>58</v>
      </c>
      <c r="C73" s="2268">
        <v>282</v>
      </c>
      <c r="D73" s="2262"/>
      <c r="E73" s="2289" t="s">
        <v>1957</v>
      </c>
      <c r="F73" s="2291">
        <v>2934961</v>
      </c>
      <c r="G73" s="2325">
        <v>2911282</v>
      </c>
      <c r="H73" s="2325">
        <v>2889597</v>
      </c>
      <c r="I73" s="2325">
        <v>2869657</v>
      </c>
      <c r="J73" s="2325">
        <v>2849468</v>
      </c>
      <c r="K73" s="2325">
        <v>2827783</v>
      </c>
      <c r="L73" s="2325">
        <v>2803356</v>
      </c>
      <c r="M73" s="582"/>
      <c r="N73" s="2325">
        <v>2784164</v>
      </c>
      <c r="O73" s="2325">
        <v>2769458</v>
      </c>
      <c r="P73" s="2325">
        <v>2754005</v>
      </c>
      <c r="Q73" s="2325">
        <v>2738302</v>
      </c>
      <c r="S73" s="1610"/>
      <c r="T73" s="1610"/>
      <c r="U73" s="1610"/>
      <c r="Y73" s="1616"/>
      <c r="AL73" s="1610"/>
      <c r="AM73" s="1610"/>
      <c r="AN73" s="1610"/>
      <c r="AO73" s="1610"/>
      <c r="AP73" s="1610"/>
    </row>
    <row r="74" spans="1:42">
      <c r="A74" s="2268">
        <v>59</v>
      </c>
      <c r="C74" s="2268">
        <v>282</v>
      </c>
      <c r="D74" s="2262"/>
      <c r="E74" s="2289" t="s">
        <v>669</v>
      </c>
      <c r="F74" s="2291">
        <v>-30898800</v>
      </c>
      <c r="G74" s="2325">
        <v>-30734936</v>
      </c>
      <c r="H74" s="2325">
        <v>-30571073</v>
      </c>
      <c r="I74" s="2325">
        <v>-30407209</v>
      </c>
      <c r="J74" s="2325">
        <v>-30243346</v>
      </c>
      <c r="K74" s="2325">
        <v>-30079482</v>
      </c>
      <c r="L74" s="2325">
        <v>-29915618</v>
      </c>
      <c r="M74" s="582"/>
      <c r="N74" s="2325">
        <v>-29751755</v>
      </c>
      <c r="O74" s="2325">
        <v>-29587891</v>
      </c>
      <c r="P74" s="2325">
        <v>-29424028</v>
      </c>
      <c r="Q74" s="2325">
        <v>-29260164</v>
      </c>
      <c r="S74" s="1610"/>
      <c r="T74" s="1610"/>
      <c r="U74" s="1610"/>
      <c r="Y74" s="1616"/>
      <c r="AL74" s="1610"/>
      <c r="AM74" s="1610"/>
      <c r="AN74" s="1610"/>
      <c r="AO74" s="1610"/>
      <c r="AP74" s="1610"/>
    </row>
    <row r="75" spans="1:42">
      <c r="A75" s="2268">
        <v>60</v>
      </c>
      <c r="C75" s="2268">
        <v>283</v>
      </c>
      <c r="D75" s="2262"/>
      <c r="E75" s="2289" t="s">
        <v>672</v>
      </c>
      <c r="F75" s="2291">
        <v>0</v>
      </c>
      <c r="G75" s="2291">
        <v>0</v>
      </c>
      <c r="H75" s="2291">
        <v>0</v>
      </c>
      <c r="I75" s="2291">
        <v>0</v>
      </c>
      <c r="J75" s="2291">
        <v>0</v>
      </c>
      <c r="K75" s="2291">
        <v>0</v>
      </c>
      <c r="L75" s="2291">
        <v>0</v>
      </c>
      <c r="M75" s="941"/>
      <c r="N75" s="2291">
        <v>0</v>
      </c>
      <c r="O75" s="2291">
        <v>0</v>
      </c>
      <c r="P75" s="2291">
        <v>0</v>
      </c>
      <c r="Q75" s="2291">
        <v>0</v>
      </c>
      <c r="S75" s="1610"/>
      <c r="T75" s="1610"/>
      <c r="U75" s="1610"/>
      <c r="Y75" s="1616"/>
      <c r="AL75" s="1610"/>
      <c r="AM75" s="1610"/>
      <c r="AN75" s="1610"/>
      <c r="AO75" s="1610"/>
      <c r="AP75" s="1610"/>
    </row>
    <row r="76" spans="1:42">
      <c r="A76" s="2268">
        <v>60</v>
      </c>
      <c r="C76" s="2268">
        <v>283</v>
      </c>
      <c r="D76" s="2262"/>
      <c r="E76" s="2289" t="s">
        <v>2771</v>
      </c>
      <c r="F76" s="2324">
        <v>-5060</v>
      </c>
      <c r="G76" s="2324">
        <v>-5060</v>
      </c>
      <c r="H76" s="2324">
        <v>-5060</v>
      </c>
      <c r="I76" s="2324">
        <v>-5060</v>
      </c>
      <c r="J76" s="2324">
        <v>-5060</v>
      </c>
      <c r="K76" s="2324">
        <v>-5060</v>
      </c>
      <c r="L76" s="2324">
        <v>-5060</v>
      </c>
      <c r="M76" s="582"/>
      <c r="N76" s="2324">
        <v>-5060</v>
      </c>
      <c r="O76" s="2324">
        <v>-5060</v>
      </c>
      <c r="P76" s="2324">
        <v>-5060</v>
      </c>
      <c r="Q76" s="2324">
        <v>-5060</v>
      </c>
      <c r="S76" s="1610"/>
      <c r="T76" s="1610"/>
      <c r="U76" s="1610"/>
      <c r="Y76" s="1616"/>
      <c r="AL76" s="1610"/>
      <c r="AM76" s="1610"/>
      <c r="AN76" s="1610"/>
      <c r="AO76" s="1610"/>
      <c r="AP76" s="1610"/>
    </row>
    <row r="77" spans="1:42" ht="13.8" thickBot="1">
      <c r="A77" s="2268">
        <v>61</v>
      </c>
      <c r="C77" s="2268"/>
      <c r="D77" s="2262"/>
      <c r="E77" s="2262" t="s">
        <v>673</v>
      </c>
      <c r="F77" s="2327">
        <f t="shared" ref="F77:L77" si="9">SUM(F72:F76)</f>
        <v>-28269940</v>
      </c>
      <c r="G77" s="2327">
        <f t="shared" si="9"/>
        <v>-28129755</v>
      </c>
      <c r="H77" s="2327">
        <f t="shared" si="9"/>
        <v>-27987577</v>
      </c>
      <c r="I77" s="2327">
        <f t="shared" si="9"/>
        <v>-27843653</v>
      </c>
      <c r="J77" s="2327">
        <f t="shared" si="9"/>
        <v>-27699979</v>
      </c>
      <c r="K77" s="2327">
        <f t="shared" si="9"/>
        <v>-27557800</v>
      </c>
      <c r="L77" s="2327">
        <f t="shared" si="9"/>
        <v>-27418363</v>
      </c>
      <c r="M77" s="582"/>
      <c r="N77" s="2327">
        <f>SUM(N72:N76)</f>
        <v>-27273692</v>
      </c>
      <c r="O77" s="2327">
        <f>SUM(O72:O76)</f>
        <v>-27124534</v>
      </c>
      <c r="P77" s="2327">
        <f>SUM(P72:P76)</f>
        <v>-26976124</v>
      </c>
      <c r="Q77" s="2327">
        <f>SUM(Q72:Q76)</f>
        <v>-26827963</v>
      </c>
      <c r="S77" s="1610"/>
      <c r="T77" s="1610"/>
      <c r="U77" s="1610"/>
      <c r="Y77" s="1616"/>
      <c r="AL77" s="1610"/>
      <c r="AM77" s="1610"/>
      <c r="AN77" s="1610"/>
      <c r="AO77" s="1610"/>
      <c r="AP77" s="1610"/>
    </row>
    <row r="78" spans="1:42" ht="13.8" thickTop="1">
      <c r="A78" s="2268">
        <v>62</v>
      </c>
      <c r="C78" s="2268"/>
      <c r="D78" s="2262"/>
      <c r="E78" s="2262"/>
      <c r="F78" s="2287"/>
      <c r="G78" s="2287"/>
      <c r="H78" s="2287"/>
      <c r="I78" s="2287"/>
      <c r="J78" s="2287"/>
      <c r="K78" s="2287"/>
      <c r="S78" s="1610"/>
      <c r="T78" s="1610"/>
      <c r="U78" s="1610"/>
      <c r="Y78" s="1616"/>
      <c r="AL78" s="1610"/>
      <c r="AM78" s="1610"/>
      <c r="AN78" s="1610"/>
      <c r="AO78" s="1610"/>
      <c r="AP78" s="1610"/>
    </row>
    <row r="79" spans="1:42">
      <c r="A79" s="2268">
        <v>63</v>
      </c>
      <c r="B79" s="2267"/>
      <c r="C79" s="1601"/>
      <c r="D79" s="1594"/>
      <c r="E79" s="1594" t="s">
        <v>2551</v>
      </c>
      <c r="F79" s="2333"/>
      <c r="G79" s="2333"/>
      <c r="H79" s="2333"/>
      <c r="I79" s="2333"/>
      <c r="J79" s="2333"/>
      <c r="K79" s="2333"/>
      <c r="L79" s="2333"/>
      <c r="M79" s="582"/>
      <c r="N79" s="2333"/>
      <c r="O79" s="2333"/>
      <c r="P79" s="2333"/>
      <c r="Q79" s="2333"/>
      <c r="R79" s="2267"/>
      <c r="S79" s="1610"/>
      <c r="T79" s="1610"/>
      <c r="U79" s="1610"/>
      <c r="Y79" s="1616"/>
      <c r="AL79" s="1610"/>
      <c r="AM79" s="1610"/>
      <c r="AN79" s="1610"/>
      <c r="AO79" s="1610"/>
      <c r="AP79" s="1610"/>
    </row>
    <row r="80" spans="1:42">
      <c r="A80" s="2268">
        <v>64</v>
      </c>
      <c r="B80" s="2267"/>
      <c r="C80" s="1601">
        <v>254</v>
      </c>
      <c r="D80" s="1594"/>
      <c r="E80" s="2334" t="s">
        <v>2552</v>
      </c>
      <c r="F80" s="2333"/>
      <c r="G80" s="2333"/>
      <c r="H80" s="2333"/>
      <c r="I80" s="2333"/>
      <c r="J80" s="2333"/>
      <c r="K80" s="2333"/>
      <c r="L80" s="2333"/>
      <c r="M80" s="582"/>
      <c r="N80" s="2333"/>
      <c r="O80" s="2333"/>
      <c r="P80" s="2333"/>
      <c r="Q80" s="2333"/>
      <c r="R80" s="2267"/>
      <c r="S80" s="1610"/>
      <c r="T80" s="1610"/>
      <c r="U80" s="1610"/>
      <c r="Y80" s="1616"/>
      <c r="AL80" s="1610"/>
      <c r="AM80" s="1610"/>
      <c r="AN80" s="1610"/>
      <c r="AO80" s="1610"/>
      <c r="AP80" s="1610"/>
    </row>
    <row r="81" spans="1:42">
      <c r="A81" s="2268">
        <v>65</v>
      </c>
      <c r="B81" s="2267"/>
      <c r="C81" s="1601">
        <v>254</v>
      </c>
      <c r="D81" s="1594"/>
      <c r="E81" s="2334" t="s">
        <v>2553</v>
      </c>
      <c r="F81" s="3002"/>
      <c r="G81" s="3002"/>
      <c r="H81" s="3002"/>
      <c r="I81" s="3002"/>
      <c r="J81" s="3002"/>
      <c r="K81" s="3002"/>
      <c r="L81" s="3002"/>
      <c r="M81" s="582"/>
      <c r="N81" s="3002"/>
      <c r="O81" s="3002"/>
      <c r="P81" s="3002"/>
      <c r="Q81" s="3002"/>
      <c r="R81" s="2267"/>
      <c r="S81" s="1610"/>
      <c r="T81" s="1610"/>
      <c r="U81" s="1610"/>
      <c r="Y81" s="1616"/>
      <c r="AL81" s="1610"/>
      <c r="AM81" s="1610"/>
      <c r="AN81" s="1610"/>
      <c r="AO81" s="1610"/>
      <c r="AP81" s="1610"/>
    </row>
    <row r="82" spans="1:42" ht="13.8" thickBot="1">
      <c r="A82" s="2268">
        <v>66</v>
      </c>
      <c r="B82" s="2267"/>
      <c r="C82" s="1601"/>
      <c r="D82" s="1594"/>
      <c r="E82" s="1594" t="s">
        <v>2554</v>
      </c>
      <c r="F82" s="2332"/>
      <c r="G82" s="2332"/>
      <c r="H82" s="2332"/>
      <c r="I82" s="2332"/>
      <c r="J82" s="2332"/>
      <c r="K82" s="2332"/>
      <c r="L82" s="2332"/>
      <c r="M82" s="582"/>
      <c r="N82" s="2332"/>
      <c r="O82" s="2332"/>
      <c r="P82" s="2332"/>
      <c r="Q82" s="2332"/>
      <c r="R82" s="2267"/>
      <c r="S82" s="1610"/>
      <c r="T82" s="1610"/>
      <c r="U82" s="1610"/>
      <c r="Y82" s="1616"/>
      <c r="AL82" s="1610"/>
      <c r="AM82" s="1610"/>
      <c r="AN82" s="1610"/>
      <c r="AO82" s="1610"/>
      <c r="AP82" s="1610"/>
    </row>
    <row r="83" spans="1:42" ht="13.8" thickTop="1">
      <c r="A83" s="1610"/>
      <c r="B83" s="1610"/>
      <c r="C83" s="1610"/>
      <c r="D83" s="1610"/>
      <c r="E83" s="1610"/>
      <c r="F83" s="1610"/>
      <c r="G83" s="1610"/>
      <c r="H83" s="1610"/>
      <c r="I83" s="1610"/>
      <c r="J83" s="1610"/>
      <c r="K83" s="1610"/>
      <c r="L83" s="1610"/>
      <c r="M83" s="1610"/>
      <c r="N83" s="1610"/>
      <c r="O83" s="1610"/>
      <c r="P83" s="1610"/>
      <c r="Q83" s="1610"/>
      <c r="R83" s="1610"/>
      <c r="S83" s="1610"/>
      <c r="T83" s="1610"/>
      <c r="U83" s="1610"/>
      <c r="Y83" s="1616"/>
      <c r="AL83" s="1610"/>
      <c r="AM83" s="1610"/>
      <c r="AN83" s="1610"/>
      <c r="AO83" s="1610"/>
      <c r="AP83" s="1610"/>
    </row>
    <row r="84" spans="1:42">
      <c r="A84" s="1610"/>
      <c r="B84" s="1610"/>
      <c r="C84" s="1610"/>
      <c r="D84" s="1610"/>
      <c r="E84" s="1610"/>
      <c r="F84" s="1610"/>
      <c r="G84" s="1610"/>
      <c r="H84" s="1610"/>
      <c r="I84" s="1610"/>
      <c r="J84" s="1610"/>
      <c r="K84" s="1610"/>
      <c r="L84" s="1610"/>
      <c r="M84" s="1610"/>
      <c r="N84" s="1610"/>
      <c r="O84" s="1610"/>
      <c r="P84" s="1610"/>
      <c r="Q84" s="1610"/>
      <c r="R84" s="1610"/>
      <c r="S84" s="1610"/>
      <c r="T84" s="1610"/>
      <c r="U84" s="1610"/>
      <c r="Y84" s="1616"/>
      <c r="AL84" s="1610"/>
      <c r="AM84" s="1610"/>
      <c r="AN84" s="1610"/>
      <c r="AO84" s="1610"/>
      <c r="AP84" s="1610"/>
    </row>
    <row r="85" spans="1:42">
      <c r="A85" s="1610"/>
      <c r="B85" s="1610"/>
      <c r="C85" s="1610"/>
      <c r="D85" s="1610"/>
      <c r="E85" s="1610"/>
      <c r="F85" s="1610"/>
      <c r="G85" s="1610"/>
      <c r="H85" s="1610"/>
      <c r="I85" s="1610"/>
      <c r="J85" s="1610"/>
      <c r="K85" s="1610"/>
      <c r="L85" s="1610"/>
      <c r="M85" s="1610"/>
      <c r="N85" s="1610"/>
      <c r="O85" s="1610"/>
      <c r="P85" s="1610"/>
      <c r="Q85" s="1610"/>
      <c r="R85" s="1610"/>
      <c r="S85" s="1610"/>
      <c r="T85" s="1610"/>
      <c r="U85" s="1610"/>
      <c r="Y85" s="1616"/>
      <c r="AL85" s="1610"/>
      <c r="AM85" s="1610"/>
      <c r="AN85" s="1610"/>
      <c r="AO85" s="1610"/>
      <c r="AP85" s="1610"/>
    </row>
    <row r="86" spans="1:42">
      <c r="A86" s="1610"/>
      <c r="B86" s="1610"/>
      <c r="C86" s="1610"/>
      <c r="D86" s="1610"/>
      <c r="E86" s="1610"/>
      <c r="F86" s="1610"/>
      <c r="G86" s="1610"/>
      <c r="H86" s="1610"/>
      <c r="I86" s="1610"/>
      <c r="J86" s="1610"/>
      <c r="K86" s="1610"/>
      <c r="L86" s="1610"/>
      <c r="M86" s="1610"/>
      <c r="N86" s="1610"/>
      <c r="O86" s="1610"/>
      <c r="P86" s="1610"/>
      <c r="Q86" s="1610"/>
      <c r="R86" s="1610"/>
      <c r="S86" s="1610"/>
      <c r="T86" s="1610"/>
      <c r="U86" s="1610"/>
      <c r="Y86" s="1616"/>
      <c r="AL86" s="1610"/>
      <c r="AM86" s="1610"/>
      <c r="AN86" s="1610"/>
      <c r="AO86" s="1610"/>
      <c r="AP86" s="1610"/>
    </row>
    <row r="87" spans="1:42">
      <c r="A87" s="2260" t="str">
        <f>COMPANY</f>
        <v>DUKE ENERGY KENTUCKY, INC.</v>
      </c>
      <c r="B87" s="2261"/>
      <c r="C87" s="2262"/>
      <c r="D87" s="2261"/>
      <c r="E87" s="2261"/>
      <c r="F87" s="2261"/>
      <c r="G87" s="2261"/>
      <c r="H87" s="2261"/>
      <c r="I87" s="2261"/>
      <c r="J87" s="2261"/>
      <c r="K87" s="2261"/>
      <c r="L87" s="2261"/>
      <c r="M87" s="2261"/>
      <c r="N87" s="2261"/>
      <c r="O87" s="2261"/>
      <c r="P87" s="2261"/>
      <c r="Q87" s="2261"/>
      <c r="R87" s="2261"/>
      <c r="S87" s="2263" t="s">
        <v>643</v>
      </c>
      <c r="Y87" s="1616"/>
      <c r="AL87" s="1610"/>
      <c r="AM87" s="1610"/>
      <c r="AN87" s="1610"/>
      <c r="AO87" s="1610"/>
      <c r="AP87" s="1610"/>
    </row>
    <row r="88" spans="1:42">
      <c r="A88" s="2260" t="str">
        <f>CASE</f>
        <v>CASE NO. 2018-00261</v>
      </c>
      <c r="B88" s="2261"/>
      <c r="C88" s="2262"/>
      <c r="D88" s="2261"/>
      <c r="E88" s="2261"/>
      <c r="F88" s="2261"/>
      <c r="G88" s="2261"/>
      <c r="H88" s="2261"/>
      <c r="I88" s="2261"/>
      <c r="J88" s="2261"/>
      <c r="K88" s="2261"/>
      <c r="L88" s="2261"/>
      <c r="M88" s="2261"/>
      <c r="N88" s="2261"/>
      <c r="O88" s="2261"/>
      <c r="P88" s="2261"/>
      <c r="Q88" s="2261"/>
      <c r="R88" s="2261"/>
      <c r="S88" s="2263" t="s">
        <v>566</v>
      </c>
      <c r="Y88" s="1616"/>
      <c r="AL88" s="1610"/>
      <c r="AM88" s="1610"/>
      <c r="AN88" s="1610"/>
      <c r="AO88" s="1610"/>
      <c r="AP88" s="1610"/>
    </row>
    <row r="89" spans="1:42">
      <c r="A89" s="2260" t="str">
        <f>A3</f>
        <v>CERTAIN DEFERRED CREDITS AND ACCUMULATED DEFERRED INCOME TAXES</v>
      </c>
      <c r="B89" s="2261"/>
      <c r="C89" s="2262"/>
      <c r="D89" s="2261"/>
      <c r="E89" s="2261"/>
      <c r="F89" s="2261"/>
      <c r="G89" s="2261"/>
      <c r="H89" s="2261"/>
      <c r="I89" s="2261"/>
      <c r="J89" s="2261"/>
      <c r="K89" s="2261"/>
      <c r="L89" s="2261"/>
      <c r="M89" s="2261"/>
      <c r="N89" s="2261"/>
      <c r="O89" s="2261"/>
      <c r="P89" s="2261"/>
      <c r="Q89" s="2261"/>
      <c r="R89" s="2261"/>
      <c r="S89" s="2263" t="str">
        <f>_WIT3</f>
        <v>J. R. PANIZZA</v>
      </c>
      <c r="Y89" s="1616"/>
      <c r="AL89" s="1610"/>
      <c r="AM89" s="1610"/>
      <c r="AN89" s="1610"/>
      <c r="AO89" s="1610"/>
      <c r="AP89" s="1610"/>
    </row>
    <row r="90" spans="1:42">
      <c r="A90" s="2260" t="str">
        <f>DataF</f>
        <v>DATA:  BASE PERIOD  "X" FORECASTED PERIOD</v>
      </c>
      <c r="B90" s="2261"/>
      <c r="C90" s="2262"/>
      <c r="D90" s="2261"/>
      <c r="E90" s="2261"/>
      <c r="F90" s="2261"/>
      <c r="G90" s="2261"/>
      <c r="H90" s="2261"/>
      <c r="I90" s="2261"/>
      <c r="J90" s="2261"/>
      <c r="K90" s="2261"/>
      <c r="L90" s="2261"/>
      <c r="M90" s="2261"/>
      <c r="N90" s="2261"/>
      <c r="O90" s="2261"/>
      <c r="P90" s="2261"/>
      <c r="Q90" s="2261"/>
      <c r="R90" s="2261"/>
      <c r="S90" s="2261"/>
      <c r="T90" s="2262"/>
      <c r="Y90" s="1616"/>
      <c r="AL90" s="1610"/>
      <c r="AM90" s="1610"/>
      <c r="AN90" s="1610"/>
      <c r="AO90" s="1610"/>
      <c r="AP90" s="1610"/>
    </row>
    <row r="91" spans="1:42">
      <c r="A91" s="2265" t="s">
        <v>1710</v>
      </c>
      <c r="B91" s="2261"/>
      <c r="C91" s="2261"/>
      <c r="D91" s="2261"/>
      <c r="E91" s="2261"/>
      <c r="F91" s="2261"/>
      <c r="G91" s="2261"/>
      <c r="H91" s="2261"/>
      <c r="I91" s="2261"/>
      <c r="J91" s="2261"/>
      <c r="K91" s="2261"/>
      <c r="L91" s="2261"/>
      <c r="M91" s="2261"/>
      <c r="N91" s="2261"/>
      <c r="O91" s="2261"/>
      <c r="P91" s="2261"/>
      <c r="Q91" s="2261"/>
      <c r="R91" s="2261"/>
      <c r="S91" s="2261"/>
      <c r="T91" s="2261"/>
      <c r="Y91" s="1616"/>
      <c r="AL91" s="1610"/>
      <c r="AM91" s="1610"/>
      <c r="AN91" s="1610"/>
      <c r="AO91" s="1610"/>
      <c r="AP91" s="1610"/>
    </row>
    <row r="92" spans="1:42">
      <c r="A92" s="2266"/>
      <c r="B92" s="2261"/>
      <c r="C92" s="2261"/>
      <c r="D92" s="2261"/>
      <c r="E92" s="2261"/>
      <c r="F92" s="2261"/>
      <c r="G92" s="2261"/>
      <c r="H92" s="2261"/>
      <c r="I92" s="2261"/>
      <c r="J92" s="2261"/>
      <c r="K92" s="2261"/>
      <c r="L92" s="2261"/>
      <c r="M92" s="2261"/>
      <c r="N92" s="2261"/>
      <c r="O92" s="2261"/>
      <c r="P92" s="2261"/>
      <c r="Q92" s="2261"/>
      <c r="R92" s="2261"/>
      <c r="S92" s="2261"/>
      <c r="T92" s="2261"/>
      <c r="Y92" s="1616"/>
      <c r="AL92" s="1610"/>
      <c r="AM92" s="1610"/>
      <c r="AN92" s="1610"/>
      <c r="AO92" s="1610"/>
      <c r="AP92" s="1610"/>
    </row>
    <row r="93" spans="1:42">
      <c r="A93" s="2262"/>
      <c r="B93" s="2262"/>
      <c r="C93" s="2262"/>
      <c r="D93" s="2262"/>
      <c r="E93" s="2262"/>
      <c r="F93" s="2262"/>
      <c r="G93" s="2262"/>
      <c r="H93" s="2262"/>
      <c r="I93" s="2262"/>
      <c r="J93" s="2262"/>
      <c r="K93" s="2262"/>
      <c r="L93" s="2262"/>
      <c r="M93" s="2262"/>
      <c r="N93" s="2262"/>
      <c r="O93" s="2262"/>
      <c r="P93" s="2262"/>
      <c r="Q93" s="2262"/>
      <c r="R93" s="2262"/>
      <c r="S93" s="2262"/>
      <c r="T93" s="2268"/>
      <c r="Y93" s="1616"/>
      <c r="AL93" s="1610"/>
      <c r="AM93" s="1610"/>
      <c r="AN93" s="1610"/>
      <c r="AO93" s="1610"/>
      <c r="AP93" s="1610"/>
    </row>
    <row r="94" spans="1:42">
      <c r="A94" s="2270"/>
      <c r="B94" s="2270"/>
      <c r="C94" s="2270"/>
      <c r="D94" s="2270"/>
      <c r="E94" s="2270"/>
      <c r="F94" s="2270"/>
      <c r="G94" s="2270"/>
      <c r="H94" s="2270"/>
      <c r="I94" s="2270"/>
      <c r="J94" s="2270"/>
      <c r="K94" s="2270"/>
      <c r="L94" s="2270"/>
      <c r="M94" s="2270"/>
      <c r="N94" s="2270"/>
      <c r="O94" s="2270"/>
      <c r="P94" s="2293"/>
      <c r="Q94" s="2293"/>
      <c r="R94" s="2270"/>
      <c r="S94" s="2262"/>
      <c r="T94" s="2268"/>
      <c r="Y94" s="1616"/>
      <c r="AL94" s="1610"/>
      <c r="AM94" s="1610"/>
      <c r="AN94" s="1610"/>
      <c r="AO94" s="1610"/>
      <c r="AP94" s="1610"/>
    </row>
    <row r="95" spans="1:42">
      <c r="A95" s="2262"/>
      <c r="B95" s="2262"/>
      <c r="C95" s="2262"/>
      <c r="D95" s="2262"/>
      <c r="E95" s="2262"/>
      <c r="F95" s="2268"/>
      <c r="G95" s="2268"/>
      <c r="H95" s="2268"/>
      <c r="I95" s="2268"/>
      <c r="J95" s="2268"/>
      <c r="K95" s="2268"/>
      <c r="L95" s="2268"/>
      <c r="M95" s="2268"/>
      <c r="N95" s="2268"/>
      <c r="O95" s="2268"/>
      <c r="P95" s="2268"/>
      <c r="Q95" s="2268"/>
      <c r="R95" s="2262"/>
      <c r="S95" s="2294"/>
      <c r="T95" s="2295"/>
      <c r="Y95" s="1616"/>
      <c r="AL95" s="1610"/>
      <c r="AM95" s="1610"/>
      <c r="AN95" s="1610"/>
      <c r="AO95" s="1610"/>
      <c r="AP95" s="1610"/>
    </row>
    <row r="96" spans="1:42">
      <c r="A96" s="2272" t="s">
        <v>567</v>
      </c>
      <c r="B96" s="2262"/>
      <c r="C96" s="2272" t="s">
        <v>2160</v>
      </c>
      <c r="D96" s="2261"/>
      <c r="E96" s="2262"/>
      <c r="F96" s="2274" t="s">
        <v>467</v>
      </c>
      <c r="G96" s="2275" t="s">
        <v>468</v>
      </c>
      <c r="H96" s="2274" t="s">
        <v>2002</v>
      </c>
      <c r="I96" s="2275" t="s">
        <v>2003</v>
      </c>
      <c r="J96" s="2274" t="s">
        <v>2004</v>
      </c>
      <c r="K96" s="2275" t="s">
        <v>2005</v>
      </c>
      <c r="L96" s="2274" t="s">
        <v>2006</v>
      </c>
      <c r="M96" s="2275" t="s">
        <v>463</v>
      </c>
      <c r="N96" s="2274" t="s">
        <v>464</v>
      </c>
      <c r="O96" s="2275" t="s">
        <v>465</v>
      </c>
      <c r="P96" s="2274" t="s">
        <v>1955</v>
      </c>
      <c r="Q96" s="2275" t="s">
        <v>466</v>
      </c>
      <c r="R96" s="2274" t="s">
        <v>467</v>
      </c>
      <c r="S96" s="2268"/>
      <c r="T96" s="2268" t="s">
        <v>2559</v>
      </c>
      <c r="Y96" s="1616"/>
      <c r="AL96" s="1610"/>
      <c r="AM96" s="1610"/>
      <c r="AN96" s="1610"/>
      <c r="AO96" s="1610"/>
      <c r="AP96" s="1610"/>
    </row>
    <row r="97" spans="1:42">
      <c r="A97" s="2272" t="s">
        <v>2169</v>
      </c>
      <c r="B97" s="2262"/>
      <c r="C97" s="2272" t="s">
        <v>693</v>
      </c>
      <c r="D97" s="2261"/>
      <c r="E97" s="2261" t="s">
        <v>741</v>
      </c>
      <c r="F97" s="2296">
        <f>F13+1</f>
        <v>2019</v>
      </c>
      <c r="G97" s="2296">
        <f>$F$13+1</f>
        <v>2019</v>
      </c>
      <c r="H97" s="2296">
        <f t="shared" ref="H97:P97" si="10">$F$13+1</f>
        <v>2019</v>
      </c>
      <c r="I97" s="2296">
        <f t="shared" si="10"/>
        <v>2019</v>
      </c>
      <c r="J97" s="2296">
        <f t="shared" si="10"/>
        <v>2019</v>
      </c>
      <c r="K97" s="2296">
        <f t="shared" si="10"/>
        <v>2019</v>
      </c>
      <c r="L97" s="2296">
        <f t="shared" si="10"/>
        <v>2019</v>
      </c>
      <c r="M97" s="2296">
        <f t="shared" si="10"/>
        <v>2019</v>
      </c>
      <c r="N97" s="2296">
        <f t="shared" si="10"/>
        <v>2019</v>
      </c>
      <c r="O97" s="2296">
        <f>$F$13+2</f>
        <v>2020</v>
      </c>
      <c r="P97" s="2296">
        <f t="shared" si="10"/>
        <v>2019</v>
      </c>
      <c r="Q97" s="2296">
        <f>$F$13+2</f>
        <v>2020</v>
      </c>
      <c r="R97" s="2296">
        <f>$F$13+2</f>
        <v>2020</v>
      </c>
      <c r="S97" s="2297" t="s">
        <v>884</v>
      </c>
      <c r="T97" s="2268" t="s">
        <v>2560</v>
      </c>
      <c r="Y97" s="1616"/>
      <c r="AL97" s="1610"/>
      <c r="AM97" s="1610"/>
      <c r="AN97" s="1610"/>
      <c r="AO97" s="1610"/>
      <c r="AP97" s="1610"/>
    </row>
    <row r="98" spans="1:42">
      <c r="A98" s="2270"/>
      <c r="B98" s="2270"/>
      <c r="C98" s="2270"/>
      <c r="D98" s="2270"/>
      <c r="E98" s="2270"/>
      <c r="F98" s="2277"/>
      <c r="G98" s="3284">
        <v>30</v>
      </c>
      <c r="H98" s="3284">
        <v>31</v>
      </c>
      <c r="I98" s="3284">
        <v>30</v>
      </c>
      <c r="J98" s="3284">
        <v>31</v>
      </c>
      <c r="K98" s="3284">
        <v>31</v>
      </c>
      <c r="L98" s="3284">
        <v>30</v>
      </c>
      <c r="M98" s="3284">
        <v>31</v>
      </c>
      <c r="N98" s="3284">
        <v>30</v>
      </c>
      <c r="O98" s="3284">
        <v>31</v>
      </c>
      <c r="P98" s="3284">
        <v>31</v>
      </c>
      <c r="Q98" s="3284">
        <v>28</v>
      </c>
      <c r="R98" s="3284">
        <v>31</v>
      </c>
      <c r="S98" s="3284">
        <f>SUM(F98:R98)</f>
        <v>365</v>
      </c>
      <c r="T98" s="2268"/>
      <c r="Y98" s="1616"/>
      <c r="AL98" s="1610"/>
      <c r="AM98" s="1610"/>
      <c r="AN98" s="1610"/>
      <c r="AO98" s="1610"/>
      <c r="AP98" s="1610"/>
    </row>
    <row r="99" spans="1:42">
      <c r="A99" s="2262"/>
      <c r="B99" s="2262"/>
      <c r="C99" s="2262"/>
      <c r="D99" s="2262"/>
      <c r="E99" s="2262"/>
      <c r="F99" s="2278"/>
      <c r="G99" s="2278"/>
      <c r="H99" s="2278"/>
      <c r="I99" s="2278"/>
      <c r="J99" s="2278"/>
      <c r="K99" s="2278"/>
      <c r="L99" s="2278"/>
      <c r="M99" s="2278"/>
      <c r="N99" s="2278"/>
      <c r="O99" s="2278"/>
      <c r="P99" s="2279"/>
      <c r="Q99" s="2279"/>
      <c r="R99" s="2267"/>
      <c r="S99" s="2294"/>
      <c r="T99" s="2295"/>
      <c r="Y99" s="1616"/>
      <c r="AL99" s="1610"/>
      <c r="AM99" s="1610"/>
      <c r="AN99" s="1610"/>
      <c r="AO99" s="1610"/>
      <c r="AP99" s="1610"/>
    </row>
    <row r="100" spans="1:42">
      <c r="A100" s="2268">
        <v>1</v>
      </c>
      <c r="B100" s="2262"/>
      <c r="C100" s="2280" t="s">
        <v>637</v>
      </c>
      <c r="D100" s="2267"/>
      <c r="E100" s="2262"/>
      <c r="F100" s="2282"/>
      <c r="G100" s="2282"/>
      <c r="H100" s="2282"/>
      <c r="I100" s="2282"/>
      <c r="J100" s="2282"/>
      <c r="K100" s="2282"/>
      <c r="L100" s="2282"/>
      <c r="M100" s="2282"/>
      <c r="N100" s="2282"/>
      <c r="O100" s="2282"/>
      <c r="P100" s="2283"/>
      <c r="Q100" s="2283"/>
      <c r="R100" s="2282"/>
      <c r="S100" s="2262"/>
      <c r="T100" s="2268"/>
      <c r="Y100" s="1616"/>
      <c r="AL100" s="1610"/>
      <c r="AM100" s="1610"/>
      <c r="AN100" s="1610"/>
      <c r="AO100" s="1610"/>
      <c r="AP100" s="1610"/>
    </row>
    <row r="101" spans="1:42" ht="13.8" thickBot="1">
      <c r="A101" s="2268">
        <v>2</v>
      </c>
      <c r="B101" s="2262"/>
      <c r="C101" s="2268">
        <v>252050</v>
      </c>
      <c r="D101" s="2267"/>
      <c r="E101" s="2262" t="s">
        <v>818</v>
      </c>
      <c r="F101" s="2286">
        <f>Q17</f>
        <v>-1579329</v>
      </c>
      <c r="G101" s="2286">
        <f>F101</f>
        <v>-1579329</v>
      </c>
      <c r="H101" s="2286">
        <f t="shared" ref="H101:R101" si="11">G101</f>
        <v>-1579329</v>
      </c>
      <c r="I101" s="2286">
        <f t="shared" si="11"/>
        <v>-1579329</v>
      </c>
      <c r="J101" s="2286">
        <f t="shared" si="11"/>
        <v>-1579329</v>
      </c>
      <c r="K101" s="2286">
        <f t="shared" si="11"/>
        <v>-1579329</v>
      </c>
      <c r="L101" s="2286">
        <f t="shared" si="11"/>
        <v>-1579329</v>
      </c>
      <c r="M101" s="2286">
        <f t="shared" si="11"/>
        <v>-1579329</v>
      </c>
      <c r="N101" s="2286">
        <f t="shared" si="11"/>
        <v>-1579329</v>
      </c>
      <c r="O101" s="2286">
        <f t="shared" si="11"/>
        <v>-1579329</v>
      </c>
      <c r="P101" s="2286">
        <f t="shared" si="11"/>
        <v>-1579329</v>
      </c>
      <c r="Q101" s="2286">
        <f t="shared" si="11"/>
        <v>-1579329</v>
      </c>
      <c r="R101" s="2286">
        <f t="shared" si="11"/>
        <v>-1579329</v>
      </c>
      <c r="S101" s="2286">
        <f>SUM(F101:R101)</f>
        <v>-20531277</v>
      </c>
      <c r="T101" s="2286">
        <f>ROUND(S101/13,0)</f>
        <v>-1579329</v>
      </c>
      <c r="Y101" s="1616"/>
      <c r="AL101" s="1610"/>
      <c r="AM101" s="1610"/>
      <c r="AN101" s="1610"/>
      <c r="AO101" s="1610"/>
      <c r="AP101" s="1610"/>
    </row>
    <row r="102" spans="1:42" ht="13.8" thickTop="1">
      <c r="A102" s="2268">
        <v>3</v>
      </c>
      <c r="B102" s="2262"/>
      <c r="C102" s="2268"/>
      <c r="D102" s="2267"/>
      <c r="E102" s="2262"/>
      <c r="F102" s="2282"/>
      <c r="G102" s="2282"/>
      <c r="H102" s="2282"/>
      <c r="I102" s="2282"/>
      <c r="J102" s="2282"/>
      <c r="K102" s="2282"/>
      <c r="L102" s="2282"/>
      <c r="M102" s="2282"/>
      <c r="N102" s="2282"/>
      <c r="O102" s="2282"/>
      <c r="P102" s="2283"/>
      <c r="Q102" s="2283"/>
      <c r="R102" s="2282"/>
      <c r="S102" s="2282"/>
      <c r="T102" s="2282"/>
      <c r="Y102" s="1616"/>
      <c r="AL102" s="1610"/>
      <c r="AM102" s="1610"/>
      <c r="AN102" s="1610"/>
      <c r="AO102" s="1610"/>
      <c r="AP102" s="1610"/>
    </row>
    <row r="103" spans="1:42">
      <c r="A103" s="2268">
        <v>4</v>
      </c>
      <c r="B103" s="2262"/>
      <c r="C103" s="2268">
        <v>255</v>
      </c>
      <c r="D103" s="2267"/>
      <c r="E103" s="2262" t="s">
        <v>1733</v>
      </c>
      <c r="F103" s="2282"/>
      <c r="G103" s="2282"/>
      <c r="H103" s="2282"/>
      <c r="I103" s="2282"/>
      <c r="J103" s="2282"/>
      <c r="K103" s="2282"/>
      <c r="L103" s="2282"/>
      <c r="M103" s="2282"/>
      <c r="N103" s="2282"/>
      <c r="O103" s="2282"/>
      <c r="P103" s="2283"/>
      <c r="Q103" s="2283"/>
      <c r="R103" s="2282"/>
      <c r="S103" s="2282"/>
      <c r="T103" s="2282"/>
      <c r="Y103" s="1616"/>
      <c r="AL103" s="1610"/>
      <c r="AM103" s="1610"/>
      <c r="AN103" s="1610"/>
      <c r="AO103" s="1610"/>
      <c r="AP103" s="1610"/>
    </row>
    <row r="104" spans="1:42">
      <c r="A104" s="2268">
        <v>5</v>
      </c>
      <c r="B104" s="2262"/>
      <c r="D104" s="2267"/>
      <c r="E104" s="2285" t="s">
        <v>839</v>
      </c>
      <c r="F104" s="2281">
        <f>Q20</f>
        <v>0</v>
      </c>
      <c r="G104" s="2322">
        <v>0</v>
      </c>
      <c r="H104" s="2322">
        <v>0</v>
      </c>
      <c r="I104" s="2322">
        <v>0</v>
      </c>
      <c r="J104" s="2322">
        <v>0</v>
      </c>
      <c r="K104" s="2322">
        <v>0</v>
      </c>
      <c r="L104" s="2322">
        <v>0</v>
      </c>
      <c r="M104" s="2322">
        <v>0</v>
      </c>
      <c r="N104" s="2322">
        <v>0</v>
      </c>
      <c r="O104" s="2322">
        <v>0</v>
      </c>
      <c r="P104" s="2322">
        <v>0</v>
      </c>
      <c r="Q104" s="2322">
        <v>0</v>
      </c>
      <c r="R104" s="2322">
        <v>0</v>
      </c>
      <c r="S104" s="2282">
        <f>SUM(F104:R104)</f>
        <v>0</v>
      </c>
      <c r="T104" s="2282">
        <f>ROUND(S104/13,0)</f>
        <v>0</v>
      </c>
      <c r="Y104" s="1616"/>
      <c r="AL104" s="1610"/>
      <c r="AM104" s="1610"/>
      <c r="AN104" s="1610"/>
      <c r="AO104" s="1610"/>
      <c r="AP104" s="1610"/>
    </row>
    <row r="105" spans="1:42">
      <c r="A105" s="2268">
        <v>6</v>
      </c>
      <c r="B105" s="2262"/>
      <c r="C105" s="2268"/>
      <c r="D105" s="2267"/>
      <c r="E105" s="2285" t="s">
        <v>841</v>
      </c>
      <c r="F105" s="2281">
        <f>Q21</f>
        <v>-6074</v>
      </c>
      <c r="G105" s="2322">
        <v>-5898</v>
      </c>
      <c r="H105" s="2322">
        <v>-5723</v>
      </c>
      <c r="I105" s="2322">
        <v>-5547</v>
      </c>
      <c r="J105" s="2322">
        <v>-5372</v>
      </c>
      <c r="K105" s="2322">
        <v>-5196</v>
      </c>
      <c r="L105" s="2322">
        <v>-5020</v>
      </c>
      <c r="M105" s="2322">
        <v>-4845</v>
      </c>
      <c r="N105" s="2322">
        <v>-4669</v>
      </c>
      <c r="O105" s="2322">
        <v>-4494</v>
      </c>
      <c r="P105" s="2322">
        <v>-4318</v>
      </c>
      <c r="Q105" s="2322">
        <v>-4143</v>
      </c>
      <c r="R105" s="2322">
        <v>-3967</v>
      </c>
      <c r="S105" s="2282">
        <f>SUM(F105:R105)</f>
        <v>-65266</v>
      </c>
      <c r="T105" s="2282">
        <f>ROUND(S105/13,0)</f>
        <v>-5020</v>
      </c>
      <c r="Y105" s="1616"/>
      <c r="AL105" s="1610"/>
      <c r="AM105" s="1610"/>
      <c r="AN105" s="1610"/>
      <c r="AO105" s="1610"/>
      <c r="AP105" s="1610"/>
    </row>
    <row r="106" spans="1:42">
      <c r="A106" s="2268">
        <v>7</v>
      </c>
      <c r="B106" s="2262"/>
      <c r="C106" s="2268"/>
      <c r="D106" s="2267"/>
      <c r="E106" s="2285" t="s">
        <v>843</v>
      </c>
      <c r="F106" s="2281">
        <f>Q22</f>
        <v>-481012</v>
      </c>
      <c r="G106" s="2322">
        <v>-475683</v>
      </c>
      <c r="H106" s="2322">
        <v>-470354</v>
      </c>
      <c r="I106" s="2322">
        <v>-465025</v>
      </c>
      <c r="J106" s="2322">
        <v>-459696</v>
      </c>
      <c r="K106" s="2322">
        <v>-454367</v>
      </c>
      <c r="L106" s="2322">
        <v>-449038</v>
      </c>
      <c r="M106" s="2322">
        <v>-443709</v>
      </c>
      <c r="N106" s="2322">
        <v>-438380</v>
      </c>
      <c r="O106" s="2322">
        <v>-433051</v>
      </c>
      <c r="P106" s="2322">
        <v>-427722</v>
      </c>
      <c r="Q106" s="2322">
        <v>-422393</v>
      </c>
      <c r="R106" s="2322">
        <v>-417064</v>
      </c>
      <c r="S106" s="2281">
        <f>SUM(F106:R106)</f>
        <v>-5837494</v>
      </c>
      <c r="T106" s="2281">
        <f>ROUND(S106/13,0)</f>
        <v>-449038</v>
      </c>
      <c r="Y106" s="1616"/>
      <c r="AL106" s="1610"/>
      <c r="AM106" s="1610"/>
      <c r="AN106" s="1610"/>
      <c r="AO106" s="1610"/>
      <c r="AP106" s="1610"/>
    </row>
    <row r="107" spans="1:42">
      <c r="A107" s="2268">
        <v>8</v>
      </c>
      <c r="B107" s="2262"/>
      <c r="C107" s="2268"/>
      <c r="D107" s="2267"/>
      <c r="E107" s="2323" t="s">
        <v>2550</v>
      </c>
      <c r="F107" s="2298">
        <f>Q23</f>
        <v>0</v>
      </c>
      <c r="G107" s="2324">
        <v>0</v>
      </c>
      <c r="H107" s="2324">
        <v>0</v>
      </c>
      <c r="I107" s="2324">
        <v>0</v>
      </c>
      <c r="J107" s="2324">
        <v>0</v>
      </c>
      <c r="K107" s="2324">
        <v>0</v>
      </c>
      <c r="L107" s="2324">
        <v>0</v>
      </c>
      <c r="M107" s="2324">
        <v>0</v>
      </c>
      <c r="N107" s="2324">
        <v>0</v>
      </c>
      <c r="O107" s="2324">
        <v>0</v>
      </c>
      <c r="P107" s="2324">
        <v>0</v>
      </c>
      <c r="Q107" s="2324">
        <v>0</v>
      </c>
      <c r="R107" s="2324">
        <v>0</v>
      </c>
      <c r="S107" s="2298">
        <f>SUM(F107:R107)</f>
        <v>0</v>
      </c>
      <c r="T107" s="2298">
        <f>ROUND(S107/13,0)</f>
        <v>0</v>
      </c>
      <c r="Y107" s="1616"/>
      <c r="AL107" s="1610"/>
      <c r="AM107" s="1610"/>
      <c r="AN107" s="1610"/>
      <c r="AO107" s="1610"/>
      <c r="AP107" s="1610"/>
    </row>
    <row r="108" spans="1:42" ht="13.8" thickBot="1">
      <c r="A108" s="2268">
        <v>9</v>
      </c>
      <c r="B108" s="2262"/>
      <c r="C108" s="2268"/>
      <c r="D108" s="2267"/>
      <c r="E108" s="2262" t="s">
        <v>844</v>
      </c>
      <c r="F108" s="2286">
        <f>SUM(F104:F107)</f>
        <v>-487086</v>
      </c>
      <c r="G108" s="2286">
        <f t="shared" ref="G108:T108" si="12">SUM(G104:G107)</f>
        <v>-481581</v>
      </c>
      <c r="H108" s="2286">
        <f t="shared" si="12"/>
        <v>-476077</v>
      </c>
      <c r="I108" s="2286">
        <f t="shared" si="12"/>
        <v>-470572</v>
      </c>
      <c r="J108" s="2286">
        <f t="shared" si="12"/>
        <v>-465068</v>
      </c>
      <c r="K108" s="2286">
        <f t="shared" si="12"/>
        <v>-459563</v>
      </c>
      <c r="L108" s="2286">
        <f t="shared" si="12"/>
        <v>-454058</v>
      </c>
      <c r="M108" s="2286">
        <f t="shared" si="12"/>
        <v>-448554</v>
      </c>
      <c r="N108" s="2286">
        <f t="shared" si="12"/>
        <v>-443049</v>
      </c>
      <c r="O108" s="2286">
        <f t="shared" si="12"/>
        <v>-437545</v>
      </c>
      <c r="P108" s="2286">
        <f t="shared" si="12"/>
        <v>-432040</v>
      </c>
      <c r="Q108" s="2286">
        <f t="shared" si="12"/>
        <v>-426536</v>
      </c>
      <c r="R108" s="2286">
        <f t="shared" si="12"/>
        <v>-421031</v>
      </c>
      <c r="S108" s="2286">
        <f t="shared" si="12"/>
        <v>-5902760</v>
      </c>
      <c r="T108" s="2286">
        <f t="shared" si="12"/>
        <v>-454058</v>
      </c>
      <c r="Y108" s="1616"/>
      <c r="AL108" s="1610"/>
      <c r="AM108" s="1610"/>
      <c r="AN108" s="1610"/>
      <c r="AO108" s="1610"/>
      <c r="AP108" s="1610"/>
    </row>
    <row r="109" spans="1:42" ht="13.8" thickTop="1">
      <c r="A109" s="2268">
        <v>10</v>
      </c>
      <c r="B109" s="2262"/>
      <c r="C109" s="2268"/>
      <c r="D109" s="2267"/>
      <c r="E109" s="2262"/>
      <c r="F109" s="2282"/>
      <c r="G109" s="2282"/>
      <c r="H109" s="2282"/>
      <c r="I109" s="2282"/>
      <c r="J109" s="2282"/>
      <c r="K109" s="2282"/>
      <c r="L109" s="2282"/>
      <c r="M109" s="2282"/>
      <c r="N109" s="2282"/>
      <c r="O109" s="2282"/>
      <c r="P109" s="2283"/>
      <c r="Q109" s="2283"/>
      <c r="R109" s="2282"/>
      <c r="S109" s="2282"/>
      <c r="T109" s="2282"/>
      <c r="Y109" s="1616"/>
      <c r="AL109" s="1610"/>
      <c r="AM109" s="1610"/>
      <c r="AN109" s="1610"/>
      <c r="AO109" s="1610"/>
      <c r="AP109" s="1610"/>
    </row>
    <row r="110" spans="1:42">
      <c r="A110" s="2268">
        <v>11</v>
      </c>
      <c r="B110" s="2262"/>
      <c r="C110" s="2268"/>
      <c r="D110" s="2267"/>
      <c r="E110" s="2262" t="s">
        <v>2001</v>
      </c>
      <c r="F110" s="2288"/>
      <c r="G110" s="2288"/>
      <c r="H110" s="2288"/>
      <c r="I110" s="2288"/>
      <c r="J110" s="2288"/>
      <c r="K110" s="2288"/>
      <c r="L110" s="2288"/>
      <c r="M110" s="2288"/>
      <c r="N110" s="2288"/>
      <c r="O110" s="2288"/>
      <c r="P110" s="2283"/>
      <c r="Q110" s="2283"/>
      <c r="R110" s="2282"/>
      <c r="S110" s="2282"/>
      <c r="T110" s="2282"/>
      <c r="Y110" s="1616"/>
      <c r="AL110" s="1610"/>
      <c r="AM110" s="1610"/>
      <c r="AN110" s="1610"/>
      <c r="AO110" s="1610"/>
      <c r="AP110" s="1610"/>
    </row>
    <row r="111" spans="1:42">
      <c r="A111" s="2268">
        <v>12</v>
      </c>
      <c r="B111" s="2262"/>
      <c r="C111" s="2268">
        <v>190</v>
      </c>
      <c r="D111" s="2262"/>
      <c r="E111" s="2289" t="s">
        <v>668</v>
      </c>
      <c r="F111" s="2288">
        <f>Q27</f>
        <v>2520450</v>
      </c>
      <c r="G111" s="2325">
        <v>2520450</v>
      </c>
      <c r="H111" s="2325">
        <v>2520450</v>
      </c>
      <c r="I111" s="2325">
        <v>2520450</v>
      </c>
      <c r="J111" s="2325">
        <v>2520450</v>
      </c>
      <c r="K111" s="2325">
        <v>2520450</v>
      </c>
      <c r="L111" s="2325">
        <v>2520450</v>
      </c>
      <c r="M111" s="2325">
        <v>2520450</v>
      </c>
      <c r="N111" s="2325">
        <v>2520450</v>
      </c>
      <c r="O111" s="2325">
        <v>2316562</v>
      </c>
      <c r="P111" s="2325">
        <v>2316562</v>
      </c>
      <c r="Q111" s="2325">
        <v>2316562</v>
      </c>
      <c r="R111" s="2325">
        <v>2316562</v>
      </c>
      <c r="S111" s="2282">
        <f>SUM(F111:R111)</f>
        <v>31950298</v>
      </c>
      <c r="T111" s="2282"/>
      <c r="Y111" s="1616"/>
      <c r="AL111" s="1610"/>
      <c r="AM111" s="1610"/>
      <c r="AN111" s="1610"/>
      <c r="AO111" s="1610"/>
      <c r="AP111" s="1610"/>
    </row>
    <row r="112" spans="1:42">
      <c r="A112" s="2268">
        <v>13</v>
      </c>
      <c r="B112" s="2262"/>
      <c r="C112" s="2268"/>
      <c r="D112" s="2262"/>
      <c r="E112" s="2289"/>
      <c r="F112" s="2288"/>
      <c r="G112" s="2325"/>
      <c r="H112" s="2325"/>
      <c r="I112" s="2325"/>
      <c r="J112" s="2325"/>
      <c r="K112" s="2325"/>
      <c r="L112" s="2325"/>
      <c r="M112" s="2325"/>
      <c r="N112" s="2325"/>
      <c r="O112" s="2325"/>
      <c r="P112" s="2325"/>
      <c r="Q112" s="2325"/>
      <c r="R112" s="2325"/>
      <c r="S112" s="2282"/>
      <c r="T112" s="2282"/>
      <c r="Y112" s="1616"/>
      <c r="AL112" s="1610"/>
      <c r="AM112" s="1610"/>
      <c r="AN112" s="1610"/>
      <c r="AO112" s="1610"/>
      <c r="AP112" s="1610"/>
    </row>
    <row r="113" spans="1:42">
      <c r="A113" s="2268">
        <v>14</v>
      </c>
      <c r="B113" s="2262"/>
      <c r="C113" s="2268">
        <v>282</v>
      </c>
      <c r="D113" s="2262"/>
      <c r="E113" s="2289" t="s">
        <v>1957</v>
      </c>
      <c r="F113" s="2288">
        <f>Q29</f>
        <v>-9598911</v>
      </c>
      <c r="G113" s="2325">
        <v>-9620689</v>
      </c>
      <c r="H113" s="2325">
        <v>-9641470</v>
      </c>
      <c r="I113" s="2325">
        <v>-9662250</v>
      </c>
      <c r="J113" s="2325">
        <v>-9682533</v>
      </c>
      <c r="K113" s="2325">
        <v>-9701319</v>
      </c>
      <c r="L113" s="2325">
        <v>-9720605</v>
      </c>
      <c r="M113" s="2325">
        <v>-9739142</v>
      </c>
      <c r="N113" s="2325">
        <v>-9756184</v>
      </c>
      <c r="O113" s="2325">
        <v>-9776716</v>
      </c>
      <c r="P113" s="2325">
        <v>-9798489</v>
      </c>
      <c r="Q113" s="2325">
        <v>-9819016</v>
      </c>
      <c r="R113" s="2325">
        <v>-9838297</v>
      </c>
      <c r="S113" s="2282">
        <f>SUM(F113:R113)</f>
        <v>-126355621</v>
      </c>
      <c r="T113" s="2282"/>
      <c r="Y113" s="1616"/>
      <c r="AL113" s="1610"/>
      <c r="AM113" s="1610"/>
      <c r="AN113" s="1610"/>
      <c r="AO113" s="1610"/>
      <c r="AP113" s="1610"/>
    </row>
    <row r="114" spans="1:42">
      <c r="A114" s="2268">
        <v>15</v>
      </c>
      <c r="B114" s="2262"/>
      <c r="C114" s="2268">
        <v>282</v>
      </c>
      <c r="D114" s="2262"/>
      <c r="E114" s="2289" t="s">
        <v>669</v>
      </c>
      <c r="F114" s="2288">
        <f>Q30</f>
        <v>-52014660</v>
      </c>
      <c r="G114" s="2325">
        <v>-52144371</v>
      </c>
      <c r="H114" s="2325">
        <v>-52274096</v>
      </c>
      <c r="I114" s="2325">
        <v>-52404835</v>
      </c>
      <c r="J114" s="2325">
        <v>-52533379</v>
      </c>
      <c r="K114" s="2325">
        <v>-52662068</v>
      </c>
      <c r="L114" s="2325">
        <v>-52790827</v>
      </c>
      <c r="M114" s="2325">
        <v>-52915868</v>
      </c>
      <c r="N114" s="2325">
        <v>-53040902</v>
      </c>
      <c r="O114" s="2325">
        <v>-53166113</v>
      </c>
      <c r="P114" s="2325">
        <v>-53248117</v>
      </c>
      <c r="Q114" s="2325">
        <v>-53330370</v>
      </c>
      <c r="R114" s="2325">
        <v>-53412872</v>
      </c>
      <c r="S114" s="2282">
        <f>SUM(F114:R114)</f>
        <v>-685938478</v>
      </c>
      <c r="T114" s="2282"/>
      <c r="Y114" s="1616"/>
      <c r="AL114" s="1610"/>
      <c r="AM114" s="1610"/>
      <c r="AN114" s="1610"/>
      <c r="AO114" s="1610"/>
      <c r="AP114" s="1610"/>
    </row>
    <row r="115" spans="1:42">
      <c r="A115" s="2268">
        <v>16</v>
      </c>
      <c r="B115" s="2262"/>
      <c r="C115" s="2268">
        <v>283</v>
      </c>
      <c r="D115" s="2262"/>
      <c r="E115" s="2289" t="s">
        <v>1958</v>
      </c>
      <c r="F115" s="2288">
        <f>Q31</f>
        <v>-2426089</v>
      </c>
      <c r="G115" s="2325">
        <v>-2424345</v>
      </c>
      <c r="H115" s="2325">
        <v>-2422600</v>
      </c>
      <c r="I115" s="2325">
        <v>-2420855</v>
      </c>
      <c r="J115" s="2325">
        <v>-2419609</v>
      </c>
      <c r="K115" s="2325">
        <v>-2418363</v>
      </c>
      <c r="L115" s="2325">
        <v>-2417116</v>
      </c>
      <c r="M115" s="2325">
        <v>-2415870</v>
      </c>
      <c r="N115" s="2325">
        <v>-2414624</v>
      </c>
      <c r="O115" s="2325">
        <v>-2413378</v>
      </c>
      <c r="P115" s="2325">
        <v>-2412131</v>
      </c>
      <c r="Q115" s="2325">
        <v>-2410885</v>
      </c>
      <c r="R115" s="2325">
        <v>-2409639</v>
      </c>
      <c r="S115" s="2282">
        <f>SUM(F115:R115)</f>
        <v>-31425504</v>
      </c>
      <c r="T115" s="2282"/>
      <c r="Y115" s="1616"/>
      <c r="AL115" s="1610"/>
      <c r="AM115" s="1610"/>
      <c r="AN115" s="1610"/>
      <c r="AO115" s="1610"/>
      <c r="AP115" s="1610"/>
    </row>
    <row r="116" spans="1:42">
      <c r="A116" s="2268">
        <v>17</v>
      </c>
      <c r="B116" s="2262"/>
      <c r="C116" s="2268">
        <v>283</v>
      </c>
      <c r="D116" s="2262"/>
      <c r="E116" s="2289" t="s">
        <v>671</v>
      </c>
      <c r="F116" s="2329">
        <f>Q32</f>
        <v>-20028</v>
      </c>
      <c r="G116" s="2326">
        <v>-20028</v>
      </c>
      <c r="H116" s="2326">
        <v>-20028</v>
      </c>
      <c r="I116" s="2326">
        <v>-20028</v>
      </c>
      <c r="J116" s="2326">
        <v>-20028</v>
      </c>
      <c r="K116" s="2326">
        <v>-20028</v>
      </c>
      <c r="L116" s="2326">
        <v>-20028</v>
      </c>
      <c r="M116" s="2326">
        <v>-20028</v>
      </c>
      <c r="N116" s="2326">
        <v>-20028</v>
      </c>
      <c r="O116" s="2326">
        <v>-20028</v>
      </c>
      <c r="P116" s="2326">
        <v>-20028</v>
      </c>
      <c r="Q116" s="2326">
        <v>-20028</v>
      </c>
      <c r="R116" s="2326">
        <v>-20028</v>
      </c>
      <c r="S116" s="2298">
        <f>SUM(F116:R116)</f>
        <v>-260364</v>
      </c>
      <c r="T116" s="2298"/>
      <c r="Y116" s="1616"/>
      <c r="AL116" s="1610"/>
      <c r="AM116" s="1610"/>
      <c r="AN116" s="1610"/>
      <c r="AO116" s="1610"/>
      <c r="AP116" s="1610"/>
    </row>
    <row r="117" spans="1:42" ht="13.8" thickBot="1">
      <c r="A117" s="2268">
        <v>18</v>
      </c>
      <c r="B117" s="2262"/>
      <c r="C117" s="2268"/>
      <c r="D117" s="2262"/>
      <c r="E117" s="2262" t="s">
        <v>673</v>
      </c>
      <c r="F117" s="2290">
        <f t="shared" ref="F117:T117" si="13">SUM(F111:F116)</f>
        <v>-61539238</v>
      </c>
      <c r="G117" s="2290">
        <f t="shared" si="13"/>
        <v>-61688983</v>
      </c>
      <c r="H117" s="2290">
        <f t="shared" si="13"/>
        <v>-61837744</v>
      </c>
      <c r="I117" s="2290">
        <f t="shared" si="13"/>
        <v>-61987518</v>
      </c>
      <c r="J117" s="2290">
        <f t="shared" si="13"/>
        <v>-62135099</v>
      </c>
      <c r="K117" s="2290">
        <f t="shared" si="13"/>
        <v>-62281328</v>
      </c>
      <c r="L117" s="2290">
        <f t="shared" si="13"/>
        <v>-62428126</v>
      </c>
      <c r="M117" s="2290">
        <f t="shared" si="13"/>
        <v>-62570458</v>
      </c>
      <c r="N117" s="2290">
        <f t="shared" si="13"/>
        <v>-62711288</v>
      </c>
      <c r="O117" s="2290">
        <f t="shared" si="13"/>
        <v>-63059673</v>
      </c>
      <c r="P117" s="2290">
        <f t="shared" si="13"/>
        <v>-63162203</v>
      </c>
      <c r="Q117" s="2290">
        <f t="shared" si="13"/>
        <v>-63263737</v>
      </c>
      <c r="R117" s="2290">
        <f t="shared" si="13"/>
        <v>-63364274</v>
      </c>
      <c r="S117" s="2290">
        <f t="shared" si="13"/>
        <v>-812029669</v>
      </c>
      <c r="T117" s="2286">
        <f t="shared" si="13"/>
        <v>0</v>
      </c>
      <c r="Y117" s="1616"/>
      <c r="AL117" s="1610"/>
      <c r="AM117" s="1610"/>
      <c r="AN117" s="1610"/>
      <c r="AO117" s="1610"/>
      <c r="AP117" s="1610"/>
    </row>
    <row r="118" spans="1:42" ht="13.8" thickTop="1">
      <c r="A118" s="2268">
        <v>19</v>
      </c>
      <c r="B118" s="2262"/>
      <c r="C118" s="2268"/>
      <c r="D118" s="2262"/>
      <c r="E118" s="2262"/>
      <c r="F118" s="2287"/>
      <c r="G118" s="2291"/>
      <c r="H118" s="2291"/>
      <c r="I118" s="2291"/>
      <c r="J118" s="2291"/>
      <c r="K118" s="2291"/>
      <c r="L118" s="2291"/>
      <c r="M118" s="2291"/>
      <c r="N118" s="2291"/>
      <c r="O118" s="2291"/>
      <c r="P118" s="2291"/>
      <c r="Q118" s="2291"/>
      <c r="R118" s="2291"/>
      <c r="S118" s="2291"/>
      <c r="T118" s="2291"/>
      <c r="Y118" s="1616"/>
      <c r="AL118" s="1610"/>
      <c r="AM118" s="1610"/>
      <c r="AN118" s="1610"/>
      <c r="AO118" s="1610"/>
      <c r="AP118" s="1610"/>
    </row>
    <row r="119" spans="1:42">
      <c r="A119" s="2268">
        <v>20</v>
      </c>
      <c r="B119" s="2262"/>
      <c r="C119" s="1601"/>
      <c r="D119" s="1594"/>
      <c r="E119" s="1594" t="s">
        <v>2772</v>
      </c>
      <c r="F119" s="2333"/>
      <c r="G119" s="3009">
        <f>(G113+G114)-(F113+F114)</f>
        <v>-151489</v>
      </c>
      <c r="H119" s="3009">
        <f>(H113+H114)-(G113+G114)</f>
        <v>-150506</v>
      </c>
      <c r="I119" s="3009">
        <f>(I113+I114)-(H113+H114)</f>
        <v>-151519</v>
      </c>
      <c r="J119" s="3009">
        <f>(J113+J114)-(I113+I114)</f>
        <v>-148827</v>
      </c>
      <c r="K119" s="3009">
        <f t="shared" ref="K119:R119" si="14">(K113+K114)-(J113+J114)</f>
        <v>-147475</v>
      </c>
      <c r="L119" s="3009">
        <f t="shared" si="14"/>
        <v>-148045</v>
      </c>
      <c r="M119" s="3009">
        <f t="shared" si="14"/>
        <v>-143578</v>
      </c>
      <c r="N119" s="3009">
        <f t="shared" si="14"/>
        <v>-142076</v>
      </c>
      <c r="O119" s="3009">
        <f t="shared" si="14"/>
        <v>-145743</v>
      </c>
      <c r="P119" s="3009">
        <f t="shared" si="14"/>
        <v>-103777</v>
      </c>
      <c r="Q119" s="3009">
        <f t="shared" si="14"/>
        <v>-102780</v>
      </c>
      <c r="R119" s="3009">
        <f t="shared" si="14"/>
        <v>-101783</v>
      </c>
      <c r="S119" s="3007"/>
      <c r="T119" s="2330"/>
      <c r="Y119" s="1616"/>
      <c r="AL119" s="1610"/>
      <c r="AM119" s="1610"/>
      <c r="AN119" s="1610"/>
      <c r="AO119" s="1610"/>
      <c r="AP119" s="1610"/>
    </row>
    <row r="120" spans="1:42">
      <c r="A120" s="2268">
        <v>21</v>
      </c>
      <c r="B120" s="2262"/>
      <c r="C120" s="1601"/>
      <c r="D120" s="1594"/>
      <c r="E120" s="1594" t="s">
        <v>2557</v>
      </c>
      <c r="F120" s="3002"/>
      <c r="G120" s="3009">
        <f>$S$98-SUM(G98)+1</f>
        <v>336</v>
      </c>
      <c r="H120" s="3009">
        <f>$S$98-SUM(G98:H98)+1</f>
        <v>305</v>
      </c>
      <c r="I120" s="3009">
        <f>$S$98-SUM(G98:I98)+1</f>
        <v>275</v>
      </c>
      <c r="J120" s="3009">
        <f>$S$98-SUM(G98:J98)+1</f>
        <v>244</v>
      </c>
      <c r="K120" s="3009">
        <f>$S$98-SUM(G98:K98)+1</f>
        <v>213</v>
      </c>
      <c r="L120" s="3009">
        <f>$S$98-SUM(G98:L98)+1</f>
        <v>183</v>
      </c>
      <c r="M120" s="3009">
        <f>$S$98-SUM(G98:M98)+1</f>
        <v>152</v>
      </c>
      <c r="N120" s="3009">
        <f>$S$98-SUM(G98:N98)+1</f>
        <v>122</v>
      </c>
      <c r="O120" s="3009">
        <f>$S$98-SUM(G98:O98)+1</f>
        <v>91</v>
      </c>
      <c r="P120" s="3009">
        <f>$S$98-SUM(G98:P98)+1</f>
        <v>60</v>
      </c>
      <c r="Q120" s="3009">
        <f>$S$98-SUM(G98:Q98)+1</f>
        <v>32</v>
      </c>
      <c r="R120" s="3009">
        <f>$S$98-SUM(G98:R98)+1</f>
        <v>1</v>
      </c>
      <c r="S120" s="3010"/>
      <c r="T120" s="3003"/>
      <c r="Y120" s="1616"/>
      <c r="AL120" s="1610"/>
      <c r="AM120" s="1610"/>
      <c r="AN120" s="1610"/>
      <c r="AO120" s="1610"/>
      <c r="AP120" s="1610"/>
    </row>
    <row r="121" spans="1:42">
      <c r="A121" s="2268">
        <v>22</v>
      </c>
      <c r="B121" s="2262"/>
      <c r="C121" s="1601"/>
      <c r="D121" s="1594"/>
      <c r="E121" s="1594" t="s">
        <v>2558</v>
      </c>
      <c r="F121" s="3002"/>
      <c r="G121" s="3006">
        <f>G119*(G120/$S$98)</f>
        <v>-139452.88767123286</v>
      </c>
      <c r="H121" s="3006">
        <f t="shared" ref="H121:R121" si="15">H119*(H120/$S$98)</f>
        <v>-125765.28767123287</v>
      </c>
      <c r="I121" s="3006">
        <f t="shared" si="15"/>
        <v>-114158.1506849315</v>
      </c>
      <c r="J121" s="3006">
        <f t="shared" si="15"/>
        <v>-99489.830136986304</v>
      </c>
      <c r="K121" s="3006">
        <f t="shared" si="15"/>
        <v>-86060.753424657538</v>
      </c>
      <c r="L121" s="3006">
        <f t="shared" si="15"/>
        <v>-74225.301369863024</v>
      </c>
      <c r="M121" s="3006">
        <f t="shared" si="15"/>
        <v>-59791.386301369865</v>
      </c>
      <c r="N121" s="3006">
        <f t="shared" si="15"/>
        <v>-47488.416438356166</v>
      </c>
      <c r="O121" s="3006">
        <f t="shared" si="15"/>
        <v>-36335.926027397261</v>
      </c>
      <c r="P121" s="3006">
        <f t="shared" si="15"/>
        <v>-17059.232876712329</v>
      </c>
      <c r="Q121" s="3006">
        <f t="shared" si="15"/>
        <v>-9010.8493150684935</v>
      </c>
      <c r="R121" s="3006">
        <f t="shared" si="15"/>
        <v>-278.85753424657537</v>
      </c>
      <c r="S121" s="2331"/>
      <c r="T121" s="3007">
        <f>R121</f>
        <v>-278.85753424657537</v>
      </c>
      <c r="Y121" s="1616"/>
      <c r="AL121" s="1610"/>
      <c r="AM121" s="1610"/>
      <c r="AN121" s="1610"/>
      <c r="AO121" s="1610"/>
      <c r="AP121" s="1610"/>
    </row>
    <row r="122" spans="1:42" ht="13.8" thickBot="1">
      <c r="A122" s="2268">
        <v>23</v>
      </c>
      <c r="B122" s="2262"/>
      <c r="C122" s="1601"/>
      <c r="D122" s="1594"/>
      <c r="E122" s="1594" t="s">
        <v>2773</v>
      </c>
      <c r="F122" s="2332">
        <f>F117</f>
        <v>-61539238</v>
      </c>
      <c r="G122" s="3011">
        <f>G117-(G119-G121)</f>
        <v>-61676946.887671232</v>
      </c>
      <c r="H122" s="3011">
        <f t="shared" ref="H122:R122" si="16">H117-(H119-H121)</f>
        <v>-61813003.287671231</v>
      </c>
      <c r="I122" s="3011">
        <f t="shared" si="16"/>
        <v>-61950157.15068493</v>
      </c>
      <c r="J122" s="3011">
        <f t="shared" si="16"/>
        <v>-62085761.830136985</v>
      </c>
      <c r="K122" s="3011">
        <f t="shared" si="16"/>
        <v>-62219913.753424659</v>
      </c>
      <c r="L122" s="3011">
        <f t="shared" si="16"/>
        <v>-62354306.301369861</v>
      </c>
      <c r="M122" s="3011">
        <f t="shared" si="16"/>
        <v>-62486671.386301368</v>
      </c>
      <c r="N122" s="3011">
        <f t="shared" si="16"/>
        <v>-62616700.416438356</v>
      </c>
      <c r="O122" s="3011">
        <f t="shared" si="16"/>
        <v>-62950265.926027395</v>
      </c>
      <c r="P122" s="3011">
        <f t="shared" si="16"/>
        <v>-63075485.232876711</v>
      </c>
      <c r="Q122" s="3011">
        <f t="shared" si="16"/>
        <v>-63169967.84931507</v>
      </c>
      <c r="R122" s="3011">
        <f t="shared" si="16"/>
        <v>-63262769.857534245</v>
      </c>
      <c r="S122" s="2332"/>
      <c r="T122" s="3008">
        <f>R122</f>
        <v>-63262769.857534245</v>
      </c>
      <c r="Y122" s="1616"/>
      <c r="AL122" s="1610"/>
      <c r="AM122" s="1610"/>
      <c r="AN122" s="1610"/>
      <c r="AO122" s="1610"/>
      <c r="AP122" s="1610"/>
    </row>
    <row r="123" spans="1:42" ht="13.8" thickTop="1">
      <c r="A123" s="2268">
        <v>24</v>
      </c>
      <c r="B123" s="2262"/>
      <c r="C123" s="1601"/>
      <c r="D123" s="1594"/>
      <c r="E123" s="1594"/>
      <c r="F123" s="2333"/>
      <c r="G123" s="2330"/>
      <c r="H123" s="2330"/>
      <c r="I123" s="2330"/>
      <c r="J123" s="2330"/>
      <c r="K123" s="2330"/>
      <c r="L123" s="2330"/>
      <c r="M123" s="2330"/>
      <c r="N123" s="2330"/>
      <c r="O123" s="2330"/>
      <c r="P123" s="2330"/>
      <c r="Q123" s="2330"/>
      <c r="R123" s="2330"/>
      <c r="S123" s="2330"/>
      <c r="T123" s="2330"/>
      <c r="Y123" s="1616"/>
      <c r="AL123" s="1610"/>
      <c r="AM123" s="1610"/>
      <c r="AN123" s="1610"/>
      <c r="AO123" s="1610"/>
      <c r="AP123" s="1610"/>
    </row>
    <row r="124" spans="1:42">
      <c r="A124" s="2268">
        <v>25</v>
      </c>
      <c r="B124" s="2262"/>
      <c r="C124" s="1601"/>
      <c r="D124" s="1594"/>
      <c r="E124" s="1594" t="s">
        <v>2551</v>
      </c>
      <c r="F124" s="2333"/>
      <c r="G124" s="2333"/>
      <c r="H124" s="2333"/>
      <c r="I124" s="2333"/>
      <c r="J124" s="2333"/>
      <c r="K124" s="2333"/>
      <c r="L124" s="2333"/>
      <c r="M124" s="582"/>
      <c r="N124" s="2333"/>
      <c r="O124" s="2333"/>
      <c r="P124" s="2333"/>
      <c r="Q124" s="2333"/>
      <c r="R124" s="1594"/>
      <c r="S124" s="1594"/>
      <c r="T124" s="2333"/>
      <c r="Y124" s="1616"/>
      <c r="AL124" s="1610"/>
      <c r="AM124" s="1610"/>
      <c r="AN124" s="1610"/>
      <c r="AO124" s="1610"/>
      <c r="AP124" s="1610"/>
    </row>
    <row r="125" spans="1:42">
      <c r="A125" s="2268">
        <v>26</v>
      </c>
      <c r="B125" s="2262"/>
      <c r="C125" s="1601">
        <v>254</v>
      </c>
      <c r="D125" s="1594"/>
      <c r="E125" s="2334" t="s">
        <v>2552</v>
      </c>
      <c r="F125" s="2333">
        <f>Q36</f>
        <v>-31271875</v>
      </c>
      <c r="G125" s="2325">
        <v>-31225304</v>
      </c>
      <c r="H125" s="2325">
        <v>-31178734</v>
      </c>
      <c r="I125" s="2325">
        <v>-31132164</v>
      </c>
      <c r="J125" s="2325">
        <v>-31085594</v>
      </c>
      <c r="K125" s="2325">
        <v>-31039024</v>
      </c>
      <c r="L125" s="2325">
        <v>-30992454</v>
      </c>
      <c r="M125" s="2325">
        <v>-30945884</v>
      </c>
      <c r="N125" s="2325">
        <v>-30899314</v>
      </c>
      <c r="O125" s="2325">
        <v>-30852743</v>
      </c>
      <c r="P125" s="2325">
        <v>-30807301</v>
      </c>
      <c r="Q125" s="2325">
        <v>-30761859</v>
      </c>
      <c r="R125" s="2325">
        <v>-30716417</v>
      </c>
      <c r="S125" s="1595"/>
      <c r="T125" s="1595">
        <f>R125+S125</f>
        <v>-30716417</v>
      </c>
      <c r="Y125" s="1616"/>
      <c r="AL125" s="1610"/>
      <c r="AM125" s="1610"/>
      <c r="AN125" s="1610"/>
      <c r="AO125" s="1610"/>
      <c r="AP125" s="1610"/>
    </row>
    <row r="126" spans="1:42">
      <c r="A126" s="2268">
        <v>27</v>
      </c>
      <c r="B126" s="2262"/>
      <c r="C126" s="1601">
        <v>254</v>
      </c>
      <c r="D126" s="1594"/>
      <c r="E126" s="2334" t="s">
        <v>2553</v>
      </c>
      <c r="F126" s="3002">
        <f>Q37</f>
        <v>-1050832</v>
      </c>
      <c r="G126" s="2326">
        <v>-1042075</v>
      </c>
      <c r="H126" s="2326">
        <v>-1033319</v>
      </c>
      <c r="I126" s="2326">
        <v>-1024562</v>
      </c>
      <c r="J126" s="2326">
        <v>-1015805</v>
      </c>
      <c r="K126" s="2326">
        <v>-1007048</v>
      </c>
      <c r="L126" s="2326">
        <v>-998291</v>
      </c>
      <c r="M126" s="2326">
        <v>-989534</v>
      </c>
      <c r="N126" s="2326">
        <v>-980777</v>
      </c>
      <c r="O126" s="2326">
        <v>-972020</v>
      </c>
      <c r="P126" s="2326">
        <v>-963263</v>
      </c>
      <c r="Q126" s="2326">
        <v>-954506</v>
      </c>
      <c r="R126" s="2326">
        <v>-945749</v>
      </c>
      <c r="S126" s="3002"/>
      <c r="T126" s="2331">
        <f>R126+S126</f>
        <v>-945749</v>
      </c>
      <c r="Y126" s="1616"/>
      <c r="AL126" s="1610"/>
      <c r="AM126" s="1610"/>
      <c r="AN126" s="1610"/>
      <c r="AO126" s="1610"/>
      <c r="AP126" s="1610"/>
    </row>
    <row r="127" spans="1:42" ht="13.8" thickBot="1">
      <c r="A127" s="2268">
        <v>28</v>
      </c>
      <c r="B127" s="2262"/>
      <c r="C127" s="1601"/>
      <c r="D127" s="1594"/>
      <c r="E127" s="1594" t="s">
        <v>2554</v>
      </c>
      <c r="F127" s="2332">
        <f>SUM(F125:F126)</f>
        <v>-32322707</v>
      </c>
      <c r="G127" s="2332">
        <f t="shared" ref="G127:S127" si="17">SUM(G125:G126)</f>
        <v>-32267379</v>
      </c>
      <c r="H127" s="2332">
        <f t="shared" si="17"/>
        <v>-32212053</v>
      </c>
      <c r="I127" s="2332">
        <f t="shared" si="17"/>
        <v>-32156726</v>
      </c>
      <c r="J127" s="2332">
        <f t="shared" si="17"/>
        <v>-32101399</v>
      </c>
      <c r="K127" s="2332">
        <f t="shared" si="17"/>
        <v>-32046072</v>
      </c>
      <c r="L127" s="2332">
        <f t="shared" si="17"/>
        <v>-31990745</v>
      </c>
      <c r="M127" s="2332">
        <f t="shared" si="17"/>
        <v>-31935418</v>
      </c>
      <c r="N127" s="2332">
        <f t="shared" si="17"/>
        <v>-31880091</v>
      </c>
      <c r="O127" s="2332">
        <f t="shared" si="17"/>
        <v>-31824763</v>
      </c>
      <c r="P127" s="2332">
        <f t="shared" si="17"/>
        <v>-31770564</v>
      </c>
      <c r="Q127" s="2332">
        <f t="shared" si="17"/>
        <v>-31716365</v>
      </c>
      <c r="R127" s="2332">
        <f t="shared" si="17"/>
        <v>-31662166</v>
      </c>
      <c r="S127" s="2332">
        <f t="shared" si="17"/>
        <v>0</v>
      </c>
      <c r="T127" s="2332">
        <f>SUM(T125:T126)</f>
        <v>-31662166</v>
      </c>
      <c r="Y127" s="1616"/>
      <c r="AL127" s="1610"/>
      <c r="AM127" s="1610"/>
      <c r="AN127" s="1610"/>
      <c r="AO127" s="1610"/>
      <c r="AP127" s="1610"/>
    </row>
    <row r="128" spans="1:42" ht="13.8" thickTop="1">
      <c r="A128" s="2268">
        <v>29</v>
      </c>
      <c r="B128" s="2262"/>
      <c r="C128" s="2268"/>
      <c r="D128" s="2262"/>
      <c r="E128" s="2262"/>
      <c r="F128" s="2287"/>
      <c r="G128" s="2291"/>
      <c r="H128" s="2291"/>
      <c r="I128" s="2291"/>
      <c r="J128" s="2291"/>
      <c r="K128" s="2291"/>
      <c r="L128" s="2291"/>
      <c r="M128" s="2291"/>
      <c r="N128" s="2291"/>
      <c r="O128" s="2291"/>
      <c r="P128" s="2291"/>
      <c r="Q128" s="2291"/>
      <c r="R128" s="2291"/>
      <c r="S128" s="2291"/>
      <c r="T128" s="2291"/>
      <c r="Y128" s="1616"/>
      <c r="AL128" s="1610"/>
      <c r="AM128" s="1610"/>
      <c r="AN128" s="1610"/>
      <c r="AO128" s="1610"/>
      <c r="AP128" s="1610"/>
    </row>
    <row r="129" spans="1:42">
      <c r="A129" s="2268">
        <v>30</v>
      </c>
      <c r="C129" s="2280" t="s">
        <v>639</v>
      </c>
      <c r="D129" s="2267"/>
      <c r="E129" s="2262"/>
      <c r="F129" s="2282"/>
      <c r="G129" s="2282"/>
      <c r="H129" s="2282"/>
      <c r="I129" s="2282"/>
      <c r="J129" s="2282"/>
      <c r="K129" s="2282"/>
      <c r="L129" s="2282"/>
      <c r="M129" s="2282"/>
      <c r="N129" s="2282"/>
      <c r="O129" s="2282"/>
      <c r="P129" s="2282"/>
      <c r="Q129" s="2282"/>
      <c r="R129" s="2282"/>
      <c r="S129" s="2262"/>
      <c r="T129" s="2268"/>
      <c r="Y129" s="1616"/>
      <c r="AL129" s="1610"/>
      <c r="AM129" s="1610"/>
      <c r="AN129" s="1610"/>
      <c r="AO129" s="1610"/>
      <c r="AP129" s="1610"/>
    </row>
    <row r="130" spans="1:42" ht="13.8" thickBot="1">
      <c r="A130" s="2268">
        <v>31</v>
      </c>
      <c r="C130" s="2268">
        <v>252</v>
      </c>
      <c r="D130" s="2267"/>
      <c r="E130" s="2262" t="s">
        <v>818</v>
      </c>
      <c r="F130" s="2286">
        <v>0</v>
      </c>
      <c r="G130" s="2299">
        <v>0</v>
      </c>
      <c r="H130" s="2299">
        <v>0</v>
      </c>
      <c r="I130" s="2299">
        <v>0</v>
      </c>
      <c r="J130" s="2299">
        <v>0</v>
      </c>
      <c r="K130" s="2299">
        <v>0</v>
      </c>
      <c r="L130" s="2299">
        <v>0</v>
      </c>
      <c r="M130" s="2299">
        <v>0</v>
      </c>
      <c r="N130" s="2299">
        <v>0</v>
      </c>
      <c r="O130" s="2299">
        <v>0</v>
      </c>
      <c r="P130" s="2299">
        <v>0</v>
      </c>
      <c r="Q130" s="2299">
        <v>0</v>
      </c>
      <c r="R130" s="2299">
        <v>0</v>
      </c>
      <c r="S130" s="2286">
        <f>SUM(F130:R130)</f>
        <v>0</v>
      </c>
      <c r="T130" s="2286">
        <f>ROUND(S130/13,0)</f>
        <v>0</v>
      </c>
      <c r="Y130" s="1616"/>
      <c r="AL130" s="1610"/>
      <c r="AM130" s="1610"/>
      <c r="AN130" s="1610"/>
      <c r="AO130" s="1610"/>
      <c r="AP130" s="1610"/>
    </row>
    <row r="131" spans="1:42" ht="13.8" thickTop="1">
      <c r="A131" s="2268">
        <v>32</v>
      </c>
      <c r="C131" s="2268"/>
      <c r="D131" s="2267"/>
      <c r="E131" s="2262"/>
      <c r="F131" s="2282"/>
      <c r="G131" s="2282"/>
      <c r="H131" s="2282"/>
      <c r="I131" s="2282"/>
      <c r="J131" s="2282"/>
      <c r="K131" s="2282"/>
      <c r="L131" s="2282"/>
      <c r="M131" s="2282"/>
      <c r="N131" s="2282"/>
      <c r="O131" s="2282"/>
      <c r="P131" s="2283"/>
      <c r="Q131" s="2283"/>
      <c r="R131" s="2282"/>
      <c r="S131" s="2282"/>
      <c r="T131" s="2282"/>
      <c r="Y131" s="1616"/>
      <c r="AL131" s="1610"/>
      <c r="AM131" s="1610"/>
      <c r="AN131" s="1610"/>
      <c r="AO131" s="1610"/>
      <c r="AP131" s="1610"/>
    </row>
    <row r="132" spans="1:42">
      <c r="A132" s="2268">
        <v>33</v>
      </c>
      <c r="C132" s="2268">
        <v>255</v>
      </c>
      <c r="D132" s="2267"/>
      <c r="E132" s="2262" t="s">
        <v>1733</v>
      </c>
      <c r="F132" s="2282"/>
      <c r="G132" s="2282"/>
      <c r="H132" s="2282"/>
      <c r="I132" s="2282"/>
      <c r="J132" s="2282"/>
      <c r="K132" s="2282"/>
      <c r="L132" s="2282"/>
      <c r="M132" s="2282"/>
      <c r="N132" s="2282"/>
      <c r="O132" s="2282"/>
      <c r="P132" s="2283"/>
      <c r="Q132" s="2283"/>
      <c r="R132" s="2282"/>
      <c r="S132" s="2282"/>
      <c r="T132" s="2282"/>
      <c r="Y132" s="1616"/>
      <c r="AL132" s="1610"/>
      <c r="AM132" s="1610"/>
      <c r="AN132" s="1610"/>
      <c r="AO132" s="1610"/>
      <c r="AP132" s="1610"/>
    </row>
    <row r="133" spans="1:42">
      <c r="A133" s="2268">
        <v>34</v>
      </c>
      <c r="C133" s="2268"/>
      <c r="D133" s="2267"/>
      <c r="E133" s="2285" t="s">
        <v>839</v>
      </c>
      <c r="F133" s="2281">
        <f>Q44</f>
        <v>0</v>
      </c>
      <c r="G133" s="2322">
        <v>0</v>
      </c>
      <c r="H133" s="2322">
        <v>0</v>
      </c>
      <c r="I133" s="2322">
        <v>0</v>
      </c>
      <c r="J133" s="2322">
        <v>0</v>
      </c>
      <c r="K133" s="2322">
        <v>0</v>
      </c>
      <c r="L133" s="2322">
        <v>0</v>
      </c>
      <c r="M133" s="2322">
        <v>0</v>
      </c>
      <c r="N133" s="2322">
        <v>0</v>
      </c>
      <c r="O133" s="2322">
        <v>0</v>
      </c>
      <c r="P133" s="2322">
        <v>0</v>
      </c>
      <c r="Q133" s="2322">
        <v>0</v>
      </c>
      <c r="R133" s="2322">
        <v>0</v>
      </c>
      <c r="S133" s="2282">
        <f>SUM(F133:R133)</f>
        <v>0</v>
      </c>
      <c r="T133" s="2282">
        <f>ROUND(S133/13,0)</f>
        <v>0</v>
      </c>
      <c r="Y133" s="1616"/>
      <c r="AL133" s="1610"/>
      <c r="AM133" s="1610"/>
      <c r="AN133" s="1610"/>
      <c r="AO133" s="1610"/>
      <c r="AP133" s="1610"/>
    </row>
    <row r="134" spans="1:42">
      <c r="A134" s="2268">
        <v>35</v>
      </c>
      <c r="C134" s="2268"/>
      <c r="D134" s="2267"/>
      <c r="E134" s="2285" t="s">
        <v>841</v>
      </c>
      <c r="F134" s="2281">
        <f>Q45</f>
        <v>0</v>
      </c>
      <c r="G134" s="2322">
        <v>0</v>
      </c>
      <c r="H134" s="2322">
        <v>0</v>
      </c>
      <c r="I134" s="2322">
        <v>0</v>
      </c>
      <c r="J134" s="2322">
        <v>0</v>
      </c>
      <c r="K134" s="2322">
        <v>0</v>
      </c>
      <c r="L134" s="2322">
        <v>0</v>
      </c>
      <c r="M134" s="2322">
        <v>0</v>
      </c>
      <c r="N134" s="2322">
        <v>0</v>
      </c>
      <c r="O134" s="2322">
        <v>0</v>
      </c>
      <c r="P134" s="2322">
        <v>0</v>
      </c>
      <c r="Q134" s="2322">
        <v>0</v>
      </c>
      <c r="R134" s="2322">
        <v>0</v>
      </c>
      <c r="S134" s="2282">
        <f>SUM(F134:R134)</f>
        <v>0</v>
      </c>
      <c r="T134" s="2282">
        <f>ROUND(S134/13,0)</f>
        <v>0</v>
      </c>
      <c r="Y134" s="1616"/>
      <c r="AL134" s="1610"/>
      <c r="AM134" s="1610"/>
      <c r="AN134" s="1610"/>
      <c r="AO134" s="1610"/>
      <c r="AP134" s="1610"/>
    </row>
    <row r="135" spans="1:42">
      <c r="A135" s="2268">
        <v>36</v>
      </c>
      <c r="C135" s="2268"/>
      <c r="D135" s="2267"/>
      <c r="E135" s="2285" t="s">
        <v>843</v>
      </c>
      <c r="F135" s="2281">
        <f>Q46</f>
        <v>-1113</v>
      </c>
      <c r="G135" s="2322">
        <v>-1078</v>
      </c>
      <c r="H135" s="2322">
        <v>-1043</v>
      </c>
      <c r="I135" s="2322">
        <v>-1009</v>
      </c>
      <c r="J135" s="2322">
        <v>-974</v>
      </c>
      <c r="K135" s="2322">
        <v>-939</v>
      </c>
      <c r="L135" s="2322">
        <v>-904</v>
      </c>
      <c r="M135" s="2322">
        <v>-870</v>
      </c>
      <c r="N135" s="2322">
        <v>-835</v>
      </c>
      <c r="O135" s="2322">
        <v>-800</v>
      </c>
      <c r="P135" s="2322">
        <v>-766</v>
      </c>
      <c r="Q135" s="2322">
        <v>-731</v>
      </c>
      <c r="R135" s="2322">
        <v>-696</v>
      </c>
      <c r="S135" s="2281">
        <f>SUM(F135:R135)</f>
        <v>-11758</v>
      </c>
      <c r="T135" s="2281">
        <f>ROUND(S135/13,0)</f>
        <v>-904</v>
      </c>
      <c r="Y135" s="1616"/>
      <c r="AL135" s="1610"/>
      <c r="AM135" s="1610"/>
      <c r="AN135" s="1610"/>
      <c r="AO135" s="1610"/>
      <c r="AP135" s="1610"/>
    </row>
    <row r="136" spans="1:42">
      <c r="A136" s="2268">
        <v>37</v>
      </c>
      <c r="C136" s="2268"/>
      <c r="D136" s="2267"/>
      <c r="E136" s="2323" t="s">
        <v>2550</v>
      </c>
      <c r="F136" s="2281">
        <f>Q47</f>
        <v>-3253589</v>
      </c>
      <c r="G136" s="2322">
        <v>-3253589</v>
      </c>
      <c r="H136" s="2322">
        <v>-3253589</v>
      </c>
      <c r="I136" s="2322">
        <v>-3253589</v>
      </c>
      <c r="J136" s="2322">
        <v>-3253589</v>
      </c>
      <c r="K136" s="2322">
        <v>-3253589</v>
      </c>
      <c r="L136" s="2322">
        <v>-3253589</v>
      </c>
      <c r="M136" s="2322">
        <v>-3253589</v>
      </c>
      <c r="N136" s="2322">
        <v>-3253589</v>
      </c>
      <c r="O136" s="2322">
        <v>-3253589</v>
      </c>
      <c r="P136" s="2322">
        <v>-3253589</v>
      </c>
      <c r="Q136" s="2322">
        <v>-3253589</v>
      </c>
      <c r="R136" s="2322">
        <v>-3253589</v>
      </c>
      <c r="S136" s="2281">
        <f>SUM(F136:R136)</f>
        <v>-42296657</v>
      </c>
      <c r="T136" s="2281">
        <f>ROUND(S136/13,0)</f>
        <v>-3253589</v>
      </c>
      <c r="Y136" s="1616"/>
      <c r="AL136" s="1610"/>
      <c r="AM136" s="1610"/>
      <c r="AN136" s="1610"/>
      <c r="AO136" s="1610"/>
      <c r="AP136" s="1610"/>
    </row>
    <row r="137" spans="1:42" ht="13.8" thickBot="1">
      <c r="A137" s="2268">
        <v>38</v>
      </c>
      <c r="C137" s="2268"/>
      <c r="D137" s="2267"/>
      <c r="E137" s="2262" t="s">
        <v>844</v>
      </c>
      <c r="F137" s="2327">
        <f>SUM(F133:F136)</f>
        <v>-3254702</v>
      </c>
      <c r="G137" s="2327">
        <f t="shared" ref="G137:T137" si="18">SUM(G133:G136)</f>
        <v>-3254667</v>
      </c>
      <c r="H137" s="2327">
        <f t="shared" si="18"/>
        <v>-3254632</v>
      </c>
      <c r="I137" s="2327">
        <f t="shared" si="18"/>
        <v>-3254598</v>
      </c>
      <c r="J137" s="2327">
        <f t="shared" si="18"/>
        <v>-3254563</v>
      </c>
      <c r="K137" s="2327">
        <f t="shared" si="18"/>
        <v>-3254528</v>
      </c>
      <c r="L137" s="2327">
        <f t="shared" si="18"/>
        <v>-3254493</v>
      </c>
      <c r="M137" s="2327">
        <f t="shared" si="18"/>
        <v>-3254459</v>
      </c>
      <c r="N137" s="2327">
        <f t="shared" si="18"/>
        <v>-3254424</v>
      </c>
      <c r="O137" s="2327">
        <f t="shared" si="18"/>
        <v>-3254389</v>
      </c>
      <c r="P137" s="2327">
        <f t="shared" si="18"/>
        <v>-3254355</v>
      </c>
      <c r="Q137" s="2327">
        <f t="shared" si="18"/>
        <v>-3254320</v>
      </c>
      <c r="R137" s="2327">
        <f t="shared" si="18"/>
        <v>-3254285</v>
      </c>
      <c r="S137" s="2327">
        <f t="shared" si="18"/>
        <v>-42308415</v>
      </c>
      <c r="T137" s="2327">
        <f t="shared" si="18"/>
        <v>-3254493</v>
      </c>
      <c r="Y137" s="1616"/>
      <c r="AL137" s="1610"/>
      <c r="AM137" s="1610"/>
      <c r="AN137" s="1610"/>
      <c r="AO137" s="1610"/>
      <c r="AP137" s="1610"/>
    </row>
    <row r="138" spans="1:42" ht="13.8" thickTop="1">
      <c r="A138" s="2268">
        <v>39</v>
      </c>
      <c r="C138" s="2268"/>
      <c r="D138" s="2267"/>
      <c r="E138" s="2262"/>
      <c r="F138" s="2282"/>
      <c r="G138" s="2282"/>
      <c r="H138" s="2282"/>
      <c r="I138" s="2282"/>
      <c r="J138" s="2282"/>
      <c r="K138" s="2282"/>
      <c r="L138" s="2282"/>
      <c r="M138" s="2282"/>
      <c r="N138" s="2282"/>
      <c r="O138" s="2282"/>
      <c r="P138" s="2282"/>
      <c r="Q138" s="2282"/>
      <c r="R138" s="2282"/>
      <c r="S138" s="2282"/>
      <c r="T138" s="2282"/>
      <c r="Y138" s="1616"/>
      <c r="AL138" s="1610"/>
      <c r="AM138" s="1610"/>
      <c r="AN138" s="1610"/>
      <c r="AO138" s="1610"/>
      <c r="AP138" s="1610"/>
    </row>
    <row r="139" spans="1:42">
      <c r="A139" s="2268">
        <v>40</v>
      </c>
      <c r="C139" s="2268"/>
      <c r="D139" s="2267"/>
      <c r="E139" s="2262" t="s">
        <v>2001</v>
      </c>
      <c r="F139" s="2288"/>
      <c r="G139" s="2288"/>
      <c r="H139" s="2288"/>
      <c r="I139" s="2288"/>
      <c r="J139" s="2288"/>
      <c r="K139" s="2288"/>
      <c r="L139" s="2288"/>
      <c r="M139" s="2288"/>
      <c r="N139" s="2288"/>
      <c r="O139" s="2288"/>
      <c r="P139" s="2283"/>
      <c r="Q139" s="2283"/>
      <c r="R139" s="2282"/>
      <c r="S139" s="2282"/>
      <c r="T139" s="2282"/>
      <c r="Y139" s="1616"/>
      <c r="AL139" s="1610"/>
      <c r="AM139" s="1610"/>
      <c r="AN139" s="1610"/>
      <c r="AO139" s="1610"/>
      <c r="AP139" s="1610"/>
    </row>
    <row r="140" spans="1:42">
      <c r="A140" s="2268">
        <v>41</v>
      </c>
      <c r="C140" s="2268">
        <v>190</v>
      </c>
      <c r="D140" s="2262"/>
      <c r="E140" s="2289" t="s">
        <v>668</v>
      </c>
      <c r="F140" s="2288">
        <f>Q51</f>
        <v>8799812</v>
      </c>
      <c r="G140" s="2325">
        <v>8792688</v>
      </c>
      <c r="H140" s="2325">
        <v>8785565</v>
      </c>
      <c r="I140" s="2325">
        <v>8778441</v>
      </c>
      <c r="J140" s="2325">
        <v>8771318</v>
      </c>
      <c r="K140" s="2325">
        <v>8764194</v>
      </c>
      <c r="L140" s="2325">
        <v>8757071</v>
      </c>
      <c r="M140" s="2325">
        <v>8749947</v>
      </c>
      <c r="N140" s="2325">
        <v>8742824</v>
      </c>
      <c r="O140" s="2325">
        <v>8259880</v>
      </c>
      <c r="P140" s="2325">
        <v>8255385</v>
      </c>
      <c r="Q140" s="2325">
        <v>8250890</v>
      </c>
      <c r="R140" s="2325">
        <v>8246396</v>
      </c>
      <c r="S140" s="2282"/>
      <c r="T140" s="2282">
        <f>ROUND(S140/13,0)</f>
        <v>0</v>
      </c>
      <c r="Y140" s="1616"/>
      <c r="AL140" s="1610"/>
      <c r="AM140" s="1610"/>
      <c r="AN140" s="1610"/>
      <c r="AO140" s="1610"/>
      <c r="AP140" s="1610"/>
    </row>
    <row r="141" spans="1:42">
      <c r="A141" s="2268">
        <v>42</v>
      </c>
      <c r="C141" s="2268">
        <v>281</v>
      </c>
      <c r="D141" s="2262"/>
      <c r="E141" s="2289" t="s">
        <v>2555</v>
      </c>
      <c r="F141" s="2288">
        <f>Q52</f>
        <v>0</v>
      </c>
      <c r="G141" s="2325">
        <v>0</v>
      </c>
      <c r="H141" s="2325">
        <v>0</v>
      </c>
      <c r="I141" s="2325">
        <v>0</v>
      </c>
      <c r="J141" s="2325">
        <v>0</v>
      </c>
      <c r="K141" s="2325">
        <v>0</v>
      </c>
      <c r="L141" s="2325">
        <v>0</v>
      </c>
      <c r="M141" s="2325">
        <v>0</v>
      </c>
      <c r="N141" s="2325">
        <v>0</v>
      </c>
      <c r="O141" s="2325">
        <v>0</v>
      </c>
      <c r="P141" s="2325">
        <v>0</v>
      </c>
      <c r="Q141" s="2325">
        <v>0</v>
      </c>
      <c r="R141" s="2325">
        <v>0</v>
      </c>
      <c r="S141" s="2282"/>
      <c r="T141" s="2282">
        <f>ROUND(S141/13,0)</f>
        <v>0</v>
      </c>
      <c r="Y141" s="1616"/>
      <c r="AL141" s="1610"/>
      <c r="AM141" s="1610"/>
      <c r="AN141" s="1610"/>
      <c r="AO141" s="1610"/>
      <c r="AP141" s="1610"/>
    </row>
    <row r="142" spans="1:42">
      <c r="A142" s="2268">
        <v>43</v>
      </c>
      <c r="C142" s="2268">
        <v>282</v>
      </c>
      <c r="D142" s="2262"/>
      <c r="E142" s="2289" t="s">
        <v>670</v>
      </c>
      <c r="F142" s="2288">
        <f>Q53</f>
        <v>-67050749</v>
      </c>
      <c r="G142" s="2325">
        <v>-67665660</v>
      </c>
      <c r="H142" s="2325">
        <v>-68264618</v>
      </c>
      <c r="I142" s="2325">
        <v>-68902709</v>
      </c>
      <c r="J142" s="2325">
        <v>-69520112</v>
      </c>
      <c r="K142" s="2325">
        <v>-70139010</v>
      </c>
      <c r="L142" s="2325">
        <v>-70767131</v>
      </c>
      <c r="M142" s="2325">
        <v>-71385033</v>
      </c>
      <c r="N142" s="2325">
        <v>-72000442</v>
      </c>
      <c r="O142" s="2325">
        <v>-72618343</v>
      </c>
      <c r="P142" s="2325">
        <v>-73272540</v>
      </c>
      <c r="Q142" s="2325">
        <v>-73924992</v>
      </c>
      <c r="R142" s="2325">
        <v>-74576197</v>
      </c>
      <c r="S142" s="2282"/>
      <c r="T142" s="2282">
        <f>ROUND(S142/13,0)</f>
        <v>0</v>
      </c>
      <c r="Y142" s="1616"/>
      <c r="AL142" s="1610"/>
      <c r="AM142" s="1610"/>
      <c r="AN142" s="1610"/>
      <c r="AO142" s="1610"/>
      <c r="AP142" s="1610"/>
    </row>
    <row r="143" spans="1:42">
      <c r="A143" s="2268">
        <v>44</v>
      </c>
      <c r="C143" s="2268">
        <v>282</v>
      </c>
      <c r="D143" s="2262"/>
      <c r="E143" s="2289" t="s">
        <v>669</v>
      </c>
      <c r="F143" s="2288">
        <f>Q54</f>
        <v>-60696061</v>
      </c>
      <c r="G143" s="2325">
        <v>-60764927</v>
      </c>
      <c r="H143" s="2325">
        <v>-60823076</v>
      </c>
      <c r="I143" s="2325">
        <v>-60878234</v>
      </c>
      <c r="J143" s="2325">
        <v>-60928656</v>
      </c>
      <c r="K143" s="2325">
        <v>-60976087</v>
      </c>
      <c r="L143" s="2325">
        <v>-61020776</v>
      </c>
      <c r="M143" s="2325">
        <v>-61063970</v>
      </c>
      <c r="N143" s="2325">
        <v>-61104671</v>
      </c>
      <c r="O143" s="2325">
        <v>-61148612</v>
      </c>
      <c r="P143" s="2325">
        <v>-61231718</v>
      </c>
      <c r="Q143" s="2325">
        <v>-61311834</v>
      </c>
      <c r="R143" s="2325">
        <v>-61389456</v>
      </c>
      <c r="S143" s="2282"/>
      <c r="T143" s="2282">
        <f>ROUND(S143/13,0)</f>
        <v>0</v>
      </c>
      <c r="Y143" s="1616"/>
      <c r="AL143" s="1610"/>
      <c r="AM143" s="1610"/>
      <c r="AN143" s="1610"/>
      <c r="AO143" s="1610"/>
      <c r="AP143" s="1610"/>
    </row>
    <row r="144" spans="1:42">
      <c r="A144" s="2268">
        <v>45</v>
      </c>
      <c r="C144" s="2268">
        <v>283</v>
      </c>
      <c r="D144" s="2262"/>
      <c r="E144" s="2289" t="s">
        <v>672</v>
      </c>
      <c r="F144" s="2329">
        <f>Q55</f>
        <v>-18406884</v>
      </c>
      <c r="G144" s="2326">
        <v>-18271568</v>
      </c>
      <c r="H144" s="2326">
        <v>-18136253</v>
      </c>
      <c r="I144" s="2326">
        <v>-18000937</v>
      </c>
      <c r="J144" s="2326">
        <v>-17866618</v>
      </c>
      <c r="K144" s="2326">
        <v>-17732300</v>
      </c>
      <c r="L144" s="2326">
        <v>-17597981</v>
      </c>
      <c r="M144" s="2326">
        <v>-17463662</v>
      </c>
      <c r="N144" s="2326">
        <v>-17329344</v>
      </c>
      <c r="O144" s="2326">
        <v>-17195025</v>
      </c>
      <c r="P144" s="2326">
        <v>-17073640</v>
      </c>
      <c r="Q144" s="2326">
        <v>-16952254</v>
      </c>
      <c r="R144" s="2326">
        <v>-16830869</v>
      </c>
      <c r="S144" s="2298"/>
      <c r="T144" s="2298">
        <f>ROUND(S144/13,0)</f>
        <v>0</v>
      </c>
      <c r="Y144" s="1616"/>
      <c r="AL144" s="1610"/>
      <c r="AM144" s="1610"/>
      <c r="AN144" s="1610"/>
      <c r="AO144" s="1610"/>
      <c r="AP144" s="1610"/>
    </row>
    <row r="145" spans="1:42" ht="13.8" thickBot="1">
      <c r="A145" s="2268">
        <v>46</v>
      </c>
      <c r="C145" s="2268"/>
      <c r="D145" s="2262"/>
      <c r="E145" s="2262" t="s">
        <v>673</v>
      </c>
      <c r="F145" s="2290">
        <f>SUM(F140:F144)</f>
        <v>-137353882</v>
      </c>
      <c r="G145" s="2290">
        <f t="shared" ref="G145:R145" si="19">SUM(G140:G144)</f>
        <v>-137909467</v>
      </c>
      <c r="H145" s="2290">
        <f t="shared" si="19"/>
        <v>-138438382</v>
      </c>
      <c r="I145" s="2290">
        <f t="shared" si="19"/>
        <v>-139003439</v>
      </c>
      <c r="J145" s="2290">
        <f t="shared" si="19"/>
        <v>-139544068</v>
      </c>
      <c r="K145" s="2290">
        <f t="shared" si="19"/>
        <v>-140083203</v>
      </c>
      <c r="L145" s="2290">
        <f t="shared" si="19"/>
        <v>-140628817</v>
      </c>
      <c r="M145" s="2290">
        <f t="shared" si="19"/>
        <v>-141162718</v>
      </c>
      <c r="N145" s="2290">
        <f t="shared" si="19"/>
        <v>-141691633</v>
      </c>
      <c r="O145" s="2290">
        <f t="shared" si="19"/>
        <v>-142702100</v>
      </c>
      <c r="P145" s="2290">
        <f t="shared" si="19"/>
        <v>-143322513</v>
      </c>
      <c r="Q145" s="2290">
        <f t="shared" si="19"/>
        <v>-143938190</v>
      </c>
      <c r="R145" s="2290">
        <f t="shared" si="19"/>
        <v>-144550126</v>
      </c>
      <c r="S145" s="2290">
        <f>SUM(S140:S144)</f>
        <v>0</v>
      </c>
      <c r="T145" s="2286">
        <f>SUM(T140:T144)</f>
        <v>0</v>
      </c>
      <c r="Y145" s="1616"/>
      <c r="AL145" s="1610"/>
      <c r="AM145" s="1610"/>
      <c r="AN145" s="1610"/>
      <c r="AO145" s="1610"/>
      <c r="AP145" s="1610"/>
    </row>
    <row r="146" spans="1:42" ht="13.8" thickTop="1">
      <c r="A146" s="2268">
        <v>47</v>
      </c>
      <c r="C146" s="2268"/>
      <c r="D146" s="2262"/>
      <c r="E146" s="2262"/>
      <c r="F146" s="2287"/>
      <c r="G146" s="2291"/>
      <c r="H146" s="2291"/>
      <c r="I146" s="2291"/>
      <c r="J146" s="2291"/>
      <c r="K146" s="2291"/>
      <c r="L146" s="2291"/>
      <c r="M146" s="2291"/>
      <c r="N146" s="2291"/>
      <c r="O146" s="2291"/>
      <c r="P146" s="2291"/>
      <c r="Q146" s="2291"/>
      <c r="R146" s="2291"/>
      <c r="S146" s="2291"/>
      <c r="T146" s="2291"/>
      <c r="Y146" s="1616"/>
      <c r="AL146" s="1610"/>
      <c r="AM146" s="1610"/>
      <c r="AN146" s="1610"/>
      <c r="AO146" s="1610"/>
      <c r="AP146" s="1610"/>
    </row>
    <row r="147" spans="1:42">
      <c r="A147" s="2268">
        <v>48</v>
      </c>
      <c r="C147" s="1601"/>
      <c r="D147" s="1594"/>
      <c r="E147" s="1594" t="s">
        <v>2556</v>
      </c>
      <c r="F147" s="2333"/>
      <c r="G147" s="3009">
        <f>(G142+G143)-(F142+F143)</f>
        <v>-683777</v>
      </c>
      <c r="H147" s="3009">
        <f t="shared" ref="H147:R147" si="20">(H142+H143)-(G142+G143)</f>
        <v>-657107</v>
      </c>
      <c r="I147" s="3009">
        <f t="shared" si="20"/>
        <v>-693249</v>
      </c>
      <c r="J147" s="3009">
        <f t="shared" si="20"/>
        <v>-667825</v>
      </c>
      <c r="K147" s="3009">
        <f t="shared" si="20"/>
        <v>-666329</v>
      </c>
      <c r="L147" s="3009">
        <f t="shared" si="20"/>
        <v>-672810</v>
      </c>
      <c r="M147" s="3009">
        <f t="shared" si="20"/>
        <v>-661096</v>
      </c>
      <c r="N147" s="3009">
        <f t="shared" si="20"/>
        <v>-656110</v>
      </c>
      <c r="O147" s="3009">
        <f t="shared" si="20"/>
        <v>-661842</v>
      </c>
      <c r="P147" s="3009">
        <f t="shared" si="20"/>
        <v>-737303</v>
      </c>
      <c r="Q147" s="3009">
        <f t="shared" si="20"/>
        <v>-732568</v>
      </c>
      <c r="R147" s="3009">
        <f t="shared" si="20"/>
        <v>-728827</v>
      </c>
      <c r="S147" s="2330"/>
      <c r="T147" s="2330"/>
      <c r="Y147" s="1616"/>
      <c r="AL147" s="1610"/>
      <c r="AM147" s="1610"/>
      <c r="AN147" s="1610"/>
      <c r="AO147" s="1610"/>
      <c r="AP147" s="1610"/>
    </row>
    <row r="148" spans="1:42">
      <c r="A148" s="2268">
        <v>49</v>
      </c>
      <c r="C148" s="1601"/>
      <c r="D148" s="1594"/>
      <c r="E148" s="1594" t="s">
        <v>2557</v>
      </c>
      <c r="F148" s="2333"/>
      <c r="G148" s="3007">
        <f>G120</f>
        <v>336</v>
      </c>
      <c r="H148" s="3007">
        <f t="shared" ref="H148:R148" si="21">H120</f>
        <v>305</v>
      </c>
      <c r="I148" s="3007">
        <f t="shared" si="21"/>
        <v>275</v>
      </c>
      <c r="J148" s="3007">
        <f t="shared" si="21"/>
        <v>244</v>
      </c>
      <c r="K148" s="3007">
        <f t="shared" si="21"/>
        <v>213</v>
      </c>
      <c r="L148" s="3007">
        <f t="shared" si="21"/>
        <v>183</v>
      </c>
      <c r="M148" s="3007">
        <f t="shared" si="21"/>
        <v>152</v>
      </c>
      <c r="N148" s="3007">
        <f t="shared" si="21"/>
        <v>122</v>
      </c>
      <c r="O148" s="3007">
        <f t="shared" si="21"/>
        <v>91</v>
      </c>
      <c r="P148" s="3007">
        <f t="shared" si="21"/>
        <v>60</v>
      </c>
      <c r="Q148" s="3007">
        <f t="shared" si="21"/>
        <v>32</v>
      </c>
      <c r="R148" s="3007">
        <f t="shared" si="21"/>
        <v>1</v>
      </c>
      <c r="S148" s="2330"/>
      <c r="T148" s="2330"/>
      <c r="Y148" s="1616"/>
      <c r="AL148" s="1610"/>
      <c r="AM148" s="1610"/>
      <c r="AN148" s="1610"/>
      <c r="AO148" s="1610"/>
      <c r="AP148" s="1610"/>
    </row>
    <row r="149" spans="1:42">
      <c r="A149" s="2268">
        <v>50</v>
      </c>
      <c r="C149" s="1601"/>
      <c r="D149" s="1594"/>
      <c r="E149" s="1594" t="s">
        <v>2774</v>
      </c>
      <c r="F149" s="3012"/>
      <c r="G149" s="3012">
        <f>G147*(G148/$S$98)</f>
        <v>-629449.5123287671</v>
      </c>
      <c r="H149" s="3012">
        <f>H147*(H148/$S$98)</f>
        <v>-549089.41095890407</v>
      </c>
      <c r="I149" s="3012">
        <f t="shared" ref="I149:R149" si="22">I147*(I148/$S$98)</f>
        <v>-522310.89041095891</v>
      </c>
      <c r="J149" s="3012">
        <f t="shared" si="22"/>
        <v>-446436.43835616438</v>
      </c>
      <c r="K149" s="3012">
        <f t="shared" si="22"/>
        <v>-388844.04657534248</v>
      </c>
      <c r="L149" s="3012">
        <f t="shared" si="22"/>
        <v>-337326.65753424662</v>
      </c>
      <c r="M149" s="3012">
        <f t="shared" si="22"/>
        <v>-275305.73150684935</v>
      </c>
      <c r="N149" s="3012">
        <f t="shared" si="22"/>
        <v>-219302.52054794523</v>
      </c>
      <c r="O149" s="3012">
        <f t="shared" si="22"/>
        <v>-165007.18356164385</v>
      </c>
      <c r="P149" s="3012">
        <f t="shared" si="22"/>
        <v>-121200.49315068492</v>
      </c>
      <c r="Q149" s="3012">
        <f t="shared" si="22"/>
        <v>-64225.139726027395</v>
      </c>
      <c r="R149" s="3012">
        <f t="shared" si="22"/>
        <v>-1996.7863013698629</v>
      </c>
      <c r="S149" s="3012"/>
      <c r="T149" s="3012"/>
      <c r="Y149" s="1616"/>
      <c r="AL149" s="1610"/>
      <c r="AM149" s="1610"/>
      <c r="AN149" s="1610"/>
      <c r="AO149" s="1610"/>
      <c r="AP149" s="1610"/>
    </row>
    <row r="150" spans="1:42" ht="13.8" thickBot="1">
      <c r="A150" s="2268">
        <v>51</v>
      </c>
      <c r="C150" s="1601"/>
      <c r="D150" s="1594"/>
      <c r="E150" s="1594" t="s">
        <v>2558</v>
      </c>
      <c r="F150" s="3013">
        <f>F145</f>
        <v>-137353882</v>
      </c>
      <c r="G150" s="3014">
        <f>G145-(G147-G149)</f>
        <v>-137855139.51232877</v>
      </c>
      <c r="H150" s="3014">
        <f>H145-(H147-H149)</f>
        <v>-138330364.41095892</v>
      </c>
      <c r="I150" s="3014">
        <f t="shared" ref="I150:R150" si="23">I145-(I147-I149)</f>
        <v>-138832500.89041096</v>
      </c>
      <c r="J150" s="3014">
        <f t="shared" si="23"/>
        <v>-139322679.43835616</v>
      </c>
      <c r="K150" s="3014">
        <f t="shared" si="23"/>
        <v>-139805718.04657534</v>
      </c>
      <c r="L150" s="3014">
        <f t="shared" si="23"/>
        <v>-140293333.65753424</v>
      </c>
      <c r="M150" s="3014">
        <f t="shared" si="23"/>
        <v>-140776927.73150685</v>
      </c>
      <c r="N150" s="3014">
        <f t="shared" si="23"/>
        <v>-141254825.52054796</v>
      </c>
      <c r="O150" s="3014">
        <f t="shared" si="23"/>
        <v>-142205265.18356165</v>
      </c>
      <c r="P150" s="3014">
        <f t="shared" si="23"/>
        <v>-142706410.49315068</v>
      </c>
      <c r="Q150" s="3014">
        <f t="shared" si="23"/>
        <v>-143269847.13972601</v>
      </c>
      <c r="R150" s="3014">
        <f t="shared" si="23"/>
        <v>-143823295.78630137</v>
      </c>
      <c r="S150" s="3014"/>
      <c r="T150" s="3014">
        <f>R150</f>
        <v>-143823295.78630137</v>
      </c>
      <c r="Y150" s="1616"/>
      <c r="AL150" s="1610"/>
      <c r="AM150" s="1610"/>
      <c r="AN150" s="1610"/>
      <c r="AO150" s="1610"/>
      <c r="AP150" s="1610"/>
    </row>
    <row r="151" spans="1:42" ht="13.8" thickTop="1">
      <c r="A151" s="2268">
        <v>52</v>
      </c>
      <c r="C151" s="1601"/>
      <c r="D151" s="1594"/>
      <c r="E151" s="1594"/>
      <c r="F151" s="2333"/>
      <c r="G151" s="2330"/>
      <c r="H151" s="2330"/>
      <c r="I151" s="2330"/>
      <c r="J151" s="2330"/>
      <c r="K151" s="2330"/>
      <c r="L151" s="2330"/>
      <c r="M151" s="2330"/>
      <c r="N151" s="2330"/>
      <c r="O151" s="2330"/>
      <c r="P151" s="2330"/>
      <c r="Q151" s="2330"/>
      <c r="R151" s="2330"/>
      <c r="S151" s="2330"/>
      <c r="T151" s="2330"/>
      <c r="Y151" s="1616"/>
      <c r="AL151" s="1610"/>
      <c r="AM151" s="1610"/>
      <c r="AN151" s="1610"/>
      <c r="AO151" s="1610"/>
      <c r="AP151" s="1610"/>
    </row>
    <row r="152" spans="1:42">
      <c r="A152" s="2268">
        <v>53</v>
      </c>
      <c r="C152" s="1601"/>
      <c r="D152" s="1594"/>
      <c r="E152" s="1594" t="s">
        <v>2551</v>
      </c>
      <c r="F152" s="2333"/>
      <c r="G152" s="2333"/>
      <c r="H152" s="2333"/>
      <c r="I152" s="2333"/>
      <c r="J152" s="2333"/>
      <c r="K152" s="2333"/>
      <c r="L152" s="2333"/>
      <c r="M152" s="582"/>
      <c r="N152" s="2333"/>
      <c r="O152" s="2333"/>
      <c r="P152" s="2333"/>
      <c r="Q152" s="2333"/>
      <c r="R152" s="1594"/>
      <c r="S152" s="1594"/>
      <c r="T152" s="2333"/>
      <c r="Y152" s="1616"/>
      <c r="AL152" s="1610"/>
      <c r="AM152" s="1610"/>
      <c r="AN152" s="1610"/>
      <c r="AO152" s="1610"/>
      <c r="AP152" s="1610"/>
    </row>
    <row r="153" spans="1:42">
      <c r="A153" s="2268">
        <v>54</v>
      </c>
      <c r="C153" s="1601">
        <v>254</v>
      </c>
      <c r="D153" s="1594"/>
      <c r="E153" s="2334" t="s">
        <v>2552</v>
      </c>
      <c r="F153" s="2333">
        <f>Q59</f>
        <v>-33851204</v>
      </c>
      <c r="G153" s="3015">
        <v>-33736486</v>
      </c>
      <c r="H153" s="3015">
        <v>-33621767</v>
      </c>
      <c r="I153" s="3015">
        <v>-33507049</v>
      </c>
      <c r="J153" s="3015">
        <v>-33392331</v>
      </c>
      <c r="K153" s="3015">
        <v>-33277612</v>
      </c>
      <c r="L153" s="3015">
        <v>-33162894</v>
      </c>
      <c r="M153" s="3015">
        <v>-33048176</v>
      </c>
      <c r="N153" s="3015">
        <v>-32933458</v>
      </c>
      <c r="O153" s="3015">
        <v>-32818739</v>
      </c>
      <c r="P153" s="3015">
        <v>-32720959</v>
      </c>
      <c r="Q153" s="3015">
        <v>-32623179</v>
      </c>
      <c r="R153" s="3015">
        <v>-32525400</v>
      </c>
      <c r="S153" s="1595"/>
      <c r="T153" s="1595">
        <f>R153+S153</f>
        <v>-32525400</v>
      </c>
      <c r="Y153" s="1616"/>
      <c r="AL153" s="1610"/>
      <c r="AM153" s="1610"/>
      <c r="AN153" s="1610"/>
      <c r="AO153" s="1610"/>
      <c r="AP153" s="1610"/>
    </row>
    <row r="154" spans="1:42">
      <c r="A154" s="2268">
        <v>55</v>
      </c>
      <c r="C154" s="1601">
        <v>254</v>
      </c>
      <c r="D154" s="1594"/>
      <c r="E154" s="2334" t="s">
        <v>2553</v>
      </c>
      <c r="F154" s="3002">
        <f>Q60</f>
        <v>-31315676</v>
      </c>
      <c r="G154" s="3016">
        <v>-31040552</v>
      </c>
      <c r="H154" s="3016">
        <v>-30765428</v>
      </c>
      <c r="I154" s="3016">
        <v>-30490304</v>
      </c>
      <c r="J154" s="3016">
        <v>-30215180</v>
      </c>
      <c r="K154" s="3016">
        <v>-29940056</v>
      </c>
      <c r="L154" s="3016">
        <v>-29664932</v>
      </c>
      <c r="M154" s="3016">
        <v>-29389808</v>
      </c>
      <c r="N154" s="3016">
        <v>-29114684</v>
      </c>
      <c r="O154" s="3016">
        <v>-28839559</v>
      </c>
      <c r="P154" s="3016">
        <v>-28564435</v>
      </c>
      <c r="Q154" s="3016">
        <v>-28289311</v>
      </c>
      <c r="R154" s="3016">
        <v>-28014187</v>
      </c>
      <c r="S154" s="2331"/>
      <c r="T154" s="2331">
        <f>R154+S154</f>
        <v>-28014187</v>
      </c>
      <c r="Y154" s="1616"/>
      <c r="AL154" s="1610"/>
      <c r="AM154" s="1610"/>
      <c r="AN154" s="1610"/>
      <c r="AO154" s="1610"/>
      <c r="AP154" s="1610"/>
    </row>
    <row r="155" spans="1:42" ht="13.8" thickBot="1">
      <c r="A155" s="2268">
        <v>56</v>
      </c>
      <c r="C155" s="1601"/>
      <c r="D155" s="1594"/>
      <c r="E155" s="1594" t="s">
        <v>2554</v>
      </c>
      <c r="F155" s="2332">
        <f>SUM(F153:F154)</f>
        <v>-65166880</v>
      </c>
      <c r="G155" s="2332">
        <f t="shared" ref="G155:S155" si="24">SUM(G153:G154)</f>
        <v>-64777038</v>
      </c>
      <c r="H155" s="2332">
        <f t="shared" si="24"/>
        <v>-64387195</v>
      </c>
      <c r="I155" s="2332">
        <f t="shared" si="24"/>
        <v>-63997353</v>
      </c>
      <c r="J155" s="2332">
        <f t="shared" si="24"/>
        <v>-63607511</v>
      </c>
      <c r="K155" s="2332">
        <f t="shared" si="24"/>
        <v>-63217668</v>
      </c>
      <c r="L155" s="2332">
        <f t="shared" si="24"/>
        <v>-62827826</v>
      </c>
      <c r="M155" s="2332">
        <f t="shared" si="24"/>
        <v>-62437984</v>
      </c>
      <c r="N155" s="2332">
        <f t="shared" si="24"/>
        <v>-62048142</v>
      </c>
      <c r="O155" s="2332">
        <f t="shared" si="24"/>
        <v>-61658298</v>
      </c>
      <c r="P155" s="2332">
        <f t="shared" si="24"/>
        <v>-61285394</v>
      </c>
      <c r="Q155" s="2332">
        <f t="shared" si="24"/>
        <v>-60912490</v>
      </c>
      <c r="R155" s="2332">
        <f t="shared" si="24"/>
        <v>-60539587</v>
      </c>
      <c r="S155" s="2332">
        <f t="shared" si="24"/>
        <v>0</v>
      </c>
      <c r="T155" s="2332">
        <f>SUM(T153:T154)</f>
        <v>-60539587</v>
      </c>
      <c r="Y155" s="1616"/>
      <c r="AL155" s="1610"/>
      <c r="AM155" s="1610"/>
      <c r="AN155" s="1610"/>
      <c r="AO155" s="1610"/>
      <c r="AP155" s="1610"/>
    </row>
    <row r="156" spans="1:42" ht="13.8" thickTop="1">
      <c r="A156" s="2268">
        <v>57</v>
      </c>
      <c r="C156" s="2268"/>
      <c r="D156" s="2262"/>
      <c r="E156" s="2262"/>
      <c r="F156" s="2287"/>
      <c r="G156" s="2291"/>
      <c r="H156" s="2291"/>
      <c r="I156" s="2291"/>
      <c r="J156" s="2291"/>
      <c r="K156" s="2291"/>
      <c r="L156" s="2291"/>
      <c r="M156" s="2291"/>
      <c r="N156" s="2291"/>
      <c r="O156" s="2291"/>
      <c r="P156" s="2291"/>
      <c r="Q156" s="2291"/>
      <c r="R156" s="2291"/>
      <c r="S156" s="2291"/>
      <c r="T156" s="2291"/>
      <c r="Y156" s="1616"/>
      <c r="AL156" s="1610"/>
      <c r="AM156" s="1610"/>
      <c r="AN156" s="1610"/>
      <c r="AO156" s="1610"/>
      <c r="AP156" s="1610"/>
    </row>
    <row r="157" spans="1:42">
      <c r="A157" s="2268">
        <v>58</v>
      </c>
      <c r="C157" s="2292" t="s">
        <v>2008</v>
      </c>
      <c r="D157" s="2267"/>
      <c r="E157" s="2267"/>
      <c r="F157" s="1891"/>
      <c r="G157" s="1891"/>
      <c r="H157" s="1891"/>
      <c r="I157" s="1891"/>
      <c r="J157" s="1891"/>
      <c r="K157" s="1891"/>
      <c r="L157" s="1891"/>
      <c r="M157" s="1891"/>
      <c r="N157" s="1891"/>
      <c r="O157" s="1891"/>
      <c r="P157" s="1891"/>
      <c r="Q157" s="1891"/>
      <c r="R157" s="1891"/>
      <c r="Y157" s="1616"/>
      <c r="AL157" s="1610"/>
      <c r="AM157" s="1610"/>
      <c r="AN157" s="1610"/>
      <c r="AO157" s="1610"/>
      <c r="AP157" s="1610"/>
    </row>
    <row r="158" spans="1:42">
      <c r="A158" s="2268">
        <v>59</v>
      </c>
      <c r="C158" s="2267"/>
      <c r="D158" s="2267"/>
      <c r="E158" s="2267"/>
      <c r="F158" s="1891"/>
      <c r="G158" s="1891"/>
      <c r="H158" s="1891"/>
      <c r="I158" s="1891"/>
      <c r="J158" s="1891"/>
      <c r="K158" s="1891"/>
      <c r="L158" s="1891"/>
      <c r="M158" s="1891"/>
      <c r="N158" s="1891"/>
      <c r="O158" s="1891"/>
      <c r="P158" s="1891"/>
      <c r="Q158" s="1891"/>
      <c r="R158" s="1891"/>
      <c r="Y158" s="1616"/>
      <c r="AL158" s="1610"/>
      <c r="AM158" s="1610"/>
      <c r="AN158" s="1610"/>
      <c r="AO158" s="1610"/>
      <c r="AP158" s="1610"/>
    </row>
    <row r="159" spans="1:42">
      <c r="A159" s="2268">
        <v>60</v>
      </c>
      <c r="C159" s="2268">
        <v>255</v>
      </c>
      <c r="D159" s="2267"/>
      <c r="E159" s="2262" t="s">
        <v>1733</v>
      </c>
      <c r="F159" s="2281"/>
      <c r="G159" s="2322"/>
      <c r="H159" s="2322"/>
      <c r="I159" s="2322"/>
      <c r="J159" s="2322"/>
      <c r="K159" s="2322"/>
      <c r="L159" s="2322"/>
      <c r="M159" s="2322"/>
      <c r="N159" s="2322"/>
      <c r="O159" s="2322"/>
      <c r="P159" s="2322"/>
      <c r="Q159" s="2322"/>
      <c r="R159" s="2322"/>
      <c r="S159" s="2281"/>
      <c r="T159" s="2281"/>
      <c r="X159" s="2300"/>
      <c r="AL159" s="1610"/>
      <c r="AM159" s="1610"/>
      <c r="AN159" s="1610"/>
      <c r="AO159" s="1610"/>
      <c r="AP159" s="1610"/>
    </row>
    <row r="160" spans="1:42">
      <c r="A160" s="2268">
        <v>61</v>
      </c>
      <c r="C160" s="2268"/>
      <c r="D160" s="2267"/>
      <c r="E160" s="2285" t="s">
        <v>839</v>
      </c>
      <c r="F160" s="2288">
        <f>Q66</f>
        <v>0</v>
      </c>
      <c r="G160" s="2322">
        <v>0</v>
      </c>
      <c r="H160" s="2322">
        <v>0</v>
      </c>
      <c r="I160" s="2322">
        <v>0</v>
      </c>
      <c r="J160" s="2322">
        <v>0</v>
      </c>
      <c r="K160" s="2322">
        <v>0</v>
      </c>
      <c r="L160" s="2322">
        <v>0</v>
      </c>
      <c r="M160" s="2322">
        <v>0</v>
      </c>
      <c r="N160" s="2322">
        <v>0</v>
      </c>
      <c r="O160" s="2322">
        <v>0</v>
      </c>
      <c r="P160" s="2322">
        <v>0</v>
      </c>
      <c r="Q160" s="2322">
        <v>0</v>
      </c>
      <c r="R160" s="2322">
        <v>0</v>
      </c>
      <c r="S160" s="2282">
        <f>SUM(F160:R160)</f>
        <v>0</v>
      </c>
      <c r="T160" s="2282">
        <f>ROUND(S160/13,0)</f>
        <v>0</v>
      </c>
      <c r="X160" s="2300"/>
      <c r="AL160" s="1610"/>
      <c r="AM160" s="1610"/>
      <c r="AN160" s="1610"/>
      <c r="AO160" s="1610"/>
      <c r="AP160" s="1610"/>
    </row>
    <row r="161" spans="1:42">
      <c r="A161" s="2268">
        <v>62</v>
      </c>
      <c r="C161" s="2268"/>
      <c r="D161" s="2267"/>
      <c r="E161" s="2285" t="s">
        <v>841</v>
      </c>
      <c r="F161" s="2288">
        <f>Q67</f>
        <v>0</v>
      </c>
      <c r="G161" s="2322">
        <v>0</v>
      </c>
      <c r="H161" s="2322">
        <v>0</v>
      </c>
      <c r="I161" s="2322">
        <v>0</v>
      </c>
      <c r="J161" s="2322">
        <v>0</v>
      </c>
      <c r="K161" s="2322">
        <v>0</v>
      </c>
      <c r="L161" s="2322">
        <v>0</v>
      </c>
      <c r="M161" s="2322">
        <v>0</v>
      </c>
      <c r="N161" s="2322">
        <v>0</v>
      </c>
      <c r="O161" s="2322">
        <v>0</v>
      </c>
      <c r="P161" s="2322">
        <v>0</v>
      </c>
      <c r="Q161" s="2322">
        <v>0</v>
      </c>
      <c r="R161" s="2322">
        <v>0</v>
      </c>
      <c r="S161" s="2282">
        <f>SUM(F161:R161)</f>
        <v>0</v>
      </c>
      <c r="T161" s="2282">
        <f>ROUND(S161/13,0)</f>
        <v>0</v>
      </c>
      <c r="X161" s="2300"/>
      <c r="AL161" s="1610"/>
      <c r="AM161" s="1610"/>
      <c r="AN161" s="1610"/>
      <c r="AO161" s="1610"/>
      <c r="AP161" s="1610"/>
    </row>
    <row r="162" spans="1:42">
      <c r="A162" s="2268">
        <v>63</v>
      </c>
      <c r="C162" s="2268"/>
      <c r="D162" s="2267"/>
      <c r="E162" s="2285" t="s">
        <v>843</v>
      </c>
      <c r="F162" s="2329">
        <f>Q68</f>
        <v>0</v>
      </c>
      <c r="G162" s="2324">
        <v>0</v>
      </c>
      <c r="H162" s="2324">
        <v>0</v>
      </c>
      <c r="I162" s="2324">
        <v>0</v>
      </c>
      <c r="J162" s="2324">
        <v>0</v>
      </c>
      <c r="K162" s="2324">
        <v>0</v>
      </c>
      <c r="L162" s="2324">
        <v>0</v>
      </c>
      <c r="M162" s="2324">
        <v>0</v>
      </c>
      <c r="N162" s="2324">
        <v>0</v>
      </c>
      <c r="O162" s="2324">
        <v>0</v>
      </c>
      <c r="P162" s="2324">
        <v>0</v>
      </c>
      <c r="Q162" s="2324">
        <v>0</v>
      </c>
      <c r="R162" s="2324">
        <v>0</v>
      </c>
      <c r="S162" s="2298">
        <f>SUM(F162:R162)</f>
        <v>0</v>
      </c>
      <c r="T162" s="2298">
        <f>ROUND(S162/13,0)</f>
        <v>0</v>
      </c>
      <c r="X162" s="2300"/>
    </row>
    <row r="163" spans="1:42" ht="13.8" thickBot="1">
      <c r="A163" s="2268">
        <v>64</v>
      </c>
      <c r="C163" s="2268"/>
      <c r="D163" s="2267"/>
      <c r="E163" s="2262" t="s">
        <v>844</v>
      </c>
      <c r="F163" s="2327">
        <f>SUM(F161:F162)</f>
        <v>0</v>
      </c>
      <c r="G163" s="2286">
        <f>SUM(G161:G162)</f>
        <v>0</v>
      </c>
      <c r="H163" s="2286">
        <f t="shared" ref="H163:R163" si="25">SUM(H161:H162)</f>
        <v>0</v>
      </c>
      <c r="I163" s="2286">
        <f t="shared" si="25"/>
        <v>0</v>
      </c>
      <c r="J163" s="2286">
        <f t="shared" si="25"/>
        <v>0</v>
      </c>
      <c r="K163" s="2286">
        <f t="shared" si="25"/>
        <v>0</v>
      </c>
      <c r="L163" s="2286">
        <f t="shared" si="25"/>
        <v>0</v>
      </c>
      <c r="M163" s="2286">
        <f t="shared" si="25"/>
        <v>0</v>
      </c>
      <c r="N163" s="2286">
        <f t="shared" si="25"/>
        <v>0</v>
      </c>
      <c r="O163" s="2286">
        <f t="shared" si="25"/>
        <v>0</v>
      </c>
      <c r="P163" s="2286">
        <f t="shared" si="25"/>
        <v>0</v>
      </c>
      <c r="Q163" s="2286">
        <f t="shared" si="25"/>
        <v>0</v>
      </c>
      <c r="R163" s="2286">
        <f t="shared" si="25"/>
        <v>0</v>
      </c>
      <c r="S163" s="2290">
        <f>SUM(S159:S162)</f>
        <v>0</v>
      </c>
      <c r="T163" s="2286">
        <f>SUM(T159:T162)</f>
        <v>0</v>
      </c>
      <c r="X163" s="2300"/>
      <c r="AH163" s="2217"/>
      <c r="AI163" s="1610"/>
      <c r="AJ163" s="1610"/>
      <c r="AK163" s="1610"/>
      <c r="AL163" s="1610"/>
      <c r="AM163" s="1610"/>
      <c r="AN163" s="2304"/>
      <c r="AO163" s="1610"/>
      <c r="AP163" s="1610"/>
    </row>
    <row r="164" spans="1:42" ht="13.8" thickTop="1">
      <c r="A164" s="2268">
        <v>65</v>
      </c>
      <c r="C164" s="2268"/>
      <c r="D164" s="2267"/>
      <c r="E164" s="2262"/>
      <c r="F164" s="1891"/>
      <c r="X164" s="2300"/>
      <c r="AH164" s="2217"/>
      <c r="AI164" s="1610"/>
      <c r="AJ164" s="1610"/>
      <c r="AK164" s="1610"/>
      <c r="AL164" s="1610"/>
      <c r="AM164" s="1610"/>
      <c r="AN164" s="2216"/>
      <c r="AO164" s="1610"/>
      <c r="AP164" s="1610"/>
    </row>
    <row r="165" spans="1:42">
      <c r="A165" s="2268">
        <v>66</v>
      </c>
      <c r="C165" s="2268"/>
      <c r="D165" s="2267"/>
      <c r="E165" s="2262" t="s">
        <v>2001</v>
      </c>
      <c r="F165" s="2287"/>
      <c r="G165" s="2288"/>
      <c r="H165" s="2283"/>
      <c r="I165" s="2283"/>
      <c r="J165" s="2283"/>
      <c r="K165" s="2283"/>
      <c r="L165" s="2283"/>
      <c r="M165" s="2283"/>
      <c r="N165" s="2283"/>
      <c r="O165" s="2283"/>
      <c r="P165" s="2283"/>
      <c r="Q165" s="2283"/>
      <c r="R165" s="2283"/>
      <c r="S165" s="2283"/>
      <c r="T165" s="2283"/>
      <c r="X165" s="2300"/>
      <c r="AH165" s="2217"/>
      <c r="AI165" s="1610"/>
      <c r="AJ165" s="1610"/>
      <c r="AK165" s="1610"/>
      <c r="AL165" s="1610"/>
      <c r="AM165" s="1610"/>
      <c r="AN165" s="2216"/>
      <c r="AO165" s="1610"/>
      <c r="AP165" s="1610"/>
    </row>
    <row r="166" spans="1:42">
      <c r="A166" s="2268">
        <v>67</v>
      </c>
      <c r="C166" s="2268">
        <v>190</v>
      </c>
      <c r="D166" s="2262"/>
      <c r="E166" s="2289" t="s">
        <v>668</v>
      </c>
      <c r="F166" s="2291">
        <f>Q72</f>
        <v>-301041</v>
      </c>
      <c r="G166" s="2325">
        <v>-301041</v>
      </c>
      <c r="H166" s="2325">
        <v>-301041</v>
      </c>
      <c r="I166" s="2325">
        <v>-301041</v>
      </c>
      <c r="J166" s="2325">
        <v>-301041</v>
      </c>
      <c r="K166" s="2325">
        <v>-301041</v>
      </c>
      <c r="L166" s="2325">
        <v>-301041</v>
      </c>
      <c r="M166" s="2325">
        <v>-301041</v>
      </c>
      <c r="N166" s="2325">
        <v>-301041</v>
      </c>
      <c r="O166" s="2325">
        <v>-301041</v>
      </c>
      <c r="P166" s="2325">
        <v>-301041</v>
      </c>
      <c r="Q166" s="2325">
        <v>-301041</v>
      </c>
      <c r="R166" s="2325">
        <v>-301041</v>
      </c>
      <c r="S166" s="2325"/>
      <c r="T166" s="2325">
        <f>ROUND(S166/13,0)</f>
        <v>0</v>
      </c>
      <c r="AH166" s="2217"/>
      <c r="AI166" s="1610"/>
      <c r="AJ166" s="1610"/>
      <c r="AK166" s="1610"/>
      <c r="AL166" s="1610"/>
      <c r="AM166" s="1610"/>
      <c r="AN166" s="1610"/>
      <c r="AO166" s="1610"/>
      <c r="AP166" s="1610"/>
    </row>
    <row r="167" spans="1:42">
      <c r="A167" s="2268">
        <v>68</v>
      </c>
      <c r="C167" s="2268">
        <v>282</v>
      </c>
      <c r="D167" s="2262"/>
      <c r="E167" s="2289" t="s">
        <v>670</v>
      </c>
      <c r="F167" s="2291">
        <f>Q73</f>
        <v>2738302</v>
      </c>
      <c r="G167" s="2325">
        <v>2722848</v>
      </c>
      <c r="H167" s="2325">
        <v>2706647</v>
      </c>
      <c r="I167" s="2325">
        <v>2690695</v>
      </c>
      <c r="J167" s="2325">
        <v>2674494</v>
      </c>
      <c r="K167" s="2325">
        <v>2657046</v>
      </c>
      <c r="L167" s="2325">
        <v>2639848</v>
      </c>
      <c r="M167" s="2325">
        <v>2621902</v>
      </c>
      <c r="N167" s="2325">
        <v>2602958</v>
      </c>
      <c r="O167" s="2325">
        <v>2585012</v>
      </c>
      <c r="P167" s="2325">
        <v>2567814</v>
      </c>
      <c r="Q167" s="2325">
        <v>2549619</v>
      </c>
      <c r="R167" s="2325">
        <v>2531174</v>
      </c>
      <c r="S167" s="2325"/>
      <c r="T167" s="2325">
        <f>ROUND(S167/13,0)</f>
        <v>0</v>
      </c>
      <c r="AH167" s="2305"/>
      <c r="AI167" s="1610"/>
      <c r="AJ167" s="1610"/>
      <c r="AK167" s="1610"/>
      <c r="AL167" s="1610"/>
      <c r="AM167" s="1610"/>
      <c r="AN167" s="1610"/>
      <c r="AO167" s="1610"/>
      <c r="AP167" s="1610"/>
    </row>
    <row r="168" spans="1:42">
      <c r="A168" s="2268">
        <v>69</v>
      </c>
      <c r="C168" s="2268">
        <v>282</v>
      </c>
      <c r="D168" s="2262"/>
      <c r="E168" s="2289" t="s">
        <v>669</v>
      </c>
      <c r="F168" s="2291">
        <f t="shared" ref="F168:F170" si="26">Q74</f>
        <v>-29260164</v>
      </c>
      <c r="G168" s="2325">
        <v>-29096300</v>
      </c>
      <c r="H168" s="2325">
        <v>-28932437</v>
      </c>
      <c r="I168" s="2325">
        <v>-28768573</v>
      </c>
      <c r="J168" s="2325">
        <v>-28604709</v>
      </c>
      <c r="K168" s="2325">
        <v>-28440846</v>
      </c>
      <c r="L168" s="2325">
        <v>-28276982</v>
      </c>
      <c r="M168" s="2325">
        <v>-28113119</v>
      </c>
      <c r="N168" s="2325">
        <v>-27949255</v>
      </c>
      <c r="O168" s="2325">
        <v>-27785391</v>
      </c>
      <c r="P168" s="2325">
        <v>-27621528</v>
      </c>
      <c r="Q168" s="2325">
        <v>-27457664</v>
      </c>
      <c r="R168" s="2325">
        <v>-27293801</v>
      </c>
      <c r="S168" s="2325"/>
      <c r="T168" s="2325">
        <f>ROUND(S168/13,0)</f>
        <v>0</v>
      </c>
      <c r="AH168" s="1610"/>
      <c r="AI168" s="1610"/>
      <c r="AJ168" s="1610"/>
      <c r="AK168" s="1610"/>
      <c r="AL168" s="1610"/>
      <c r="AM168" s="1610"/>
      <c r="AN168" s="1610"/>
      <c r="AO168" s="2216"/>
      <c r="AP168" s="1610"/>
    </row>
    <row r="169" spans="1:42">
      <c r="A169" s="2268">
        <v>70</v>
      </c>
      <c r="C169" s="2268">
        <v>283</v>
      </c>
      <c r="D169" s="2262"/>
      <c r="E169" s="2289" t="s">
        <v>672</v>
      </c>
      <c r="F169" s="2291">
        <f t="shared" si="26"/>
        <v>0</v>
      </c>
      <c r="G169" s="2291">
        <v>0</v>
      </c>
      <c r="H169" s="2291">
        <v>0</v>
      </c>
      <c r="I169" s="2291">
        <v>0</v>
      </c>
      <c r="J169" s="2291">
        <v>0</v>
      </c>
      <c r="K169" s="2291">
        <v>0</v>
      </c>
      <c r="L169" s="2291">
        <v>0</v>
      </c>
      <c r="M169" s="2291">
        <v>0</v>
      </c>
      <c r="N169" s="2291">
        <v>0</v>
      </c>
      <c r="O169" s="2291">
        <v>0</v>
      </c>
      <c r="P169" s="2291">
        <v>0</v>
      </c>
      <c r="Q169" s="2291">
        <v>0</v>
      </c>
      <c r="R169" s="2291">
        <v>0</v>
      </c>
      <c r="S169" s="2291"/>
      <c r="T169" s="2291">
        <f>ROUND(S169/13,0)</f>
        <v>0</v>
      </c>
      <c r="AH169" s="1610"/>
      <c r="AI169" s="1610"/>
      <c r="AJ169" s="1610"/>
      <c r="AK169" s="1610"/>
      <c r="AL169" s="1610"/>
      <c r="AM169" s="1610"/>
      <c r="AN169" s="1610"/>
      <c r="AO169" s="1610"/>
      <c r="AP169" s="1610"/>
    </row>
    <row r="170" spans="1:42">
      <c r="A170" s="2268">
        <v>70</v>
      </c>
      <c r="C170" s="2268">
        <v>283</v>
      </c>
      <c r="D170" s="2262"/>
      <c r="E170" s="2289" t="s">
        <v>2771</v>
      </c>
      <c r="F170" s="2291">
        <f t="shared" si="26"/>
        <v>-5060</v>
      </c>
      <c r="G170" s="2324">
        <v>-5060</v>
      </c>
      <c r="H170" s="2324">
        <v>-5060</v>
      </c>
      <c r="I170" s="2324">
        <v>-5060</v>
      </c>
      <c r="J170" s="2324">
        <v>-5060</v>
      </c>
      <c r="K170" s="2324">
        <v>-5060</v>
      </c>
      <c r="L170" s="2324">
        <v>-5060</v>
      </c>
      <c r="M170" s="2324">
        <v>-5060</v>
      </c>
      <c r="N170" s="2324">
        <v>-5060</v>
      </c>
      <c r="O170" s="2324">
        <v>-5060</v>
      </c>
      <c r="P170" s="2324">
        <v>-5060</v>
      </c>
      <c r="Q170" s="2324">
        <v>-5060</v>
      </c>
      <c r="R170" s="2324">
        <v>-5060</v>
      </c>
      <c r="S170" s="2291"/>
      <c r="T170" s="2324"/>
      <c r="AH170" s="1610"/>
      <c r="AI170" s="1610"/>
      <c r="AJ170" s="1610"/>
      <c r="AK170" s="1610"/>
      <c r="AL170" s="1610"/>
      <c r="AM170" s="1610"/>
      <c r="AN170" s="1610"/>
      <c r="AO170" s="1610"/>
      <c r="AP170" s="1610"/>
    </row>
    <row r="171" spans="1:42" ht="13.8" thickBot="1">
      <c r="A171" s="2268">
        <v>71</v>
      </c>
      <c r="C171" s="2268"/>
      <c r="D171" s="2262"/>
      <c r="E171" s="2262" t="s">
        <v>673</v>
      </c>
      <c r="F171" s="2327">
        <f t="shared" ref="F171:Q171" si="27">SUM(F166:F170)</f>
        <v>-26827963</v>
      </c>
      <c r="G171" s="2327">
        <f t="shared" si="27"/>
        <v>-26679553</v>
      </c>
      <c r="H171" s="2327">
        <f t="shared" si="27"/>
        <v>-26531891</v>
      </c>
      <c r="I171" s="2327">
        <f t="shared" si="27"/>
        <v>-26383979</v>
      </c>
      <c r="J171" s="2327">
        <f t="shared" si="27"/>
        <v>-26236316</v>
      </c>
      <c r="K171" s="2327">
        <f t="shared" si="27"/>
        <v>-26089901</v>
      </c>
      <c r="L171" s="2327">
        <f t="shared" si="27"/>
        <v>-25943235</v>
      </c>
      <c r="M171" s="2327">
        <f t="shared" si="27"/>
        <v>-25797318</v>
      </c>
      <c r="N171" s="2327">
        <f t="shared" si="27"/>
        <v>-25652398</v>
      </c>
      <c r="O171" s="2327">
        <f t="shared" si="27"/>
        <v>-25506480</v>
      </c>
      <c r="P171" s="2327">
        <f t="shared" si="27"/>
        <v>-25359815</v>
      </c>
      <c r="Q171" s="2327">
        <f t="shared" si="27"/>
        <v>-25214146</v>
      </c>
      <c r="R171" s="2327">
        <f>SUM(R166:R170)</f>
        <v>-25068728</v>
      </c>
      <c r="S171" s="2327">
        <f>SUM(S166:S170)</f>
        <v>0</v>
      </c>
      <c r="T171" s="2327">
        <f>SUM(T166:T169)</f>
        <v>0</v>
      </c>
      <c r="AH171" s="1610"/>
      <c r="AI171" s="1610"/>
      <c r="AJ171" s="1610"/>
      <c r="AK171" s="1610"/>
      <c r="AL171" s="1610"/>
      <c r="AM171" s="1610"/>
      <c r="AN171" s="1610"/>
      <c r="AO171" s="1610"/>
      <c r="AP171" s="1610"/>
    </row>
    <row r="172" spans="1:42" ht="13.8" thickTop="1">
      <c r="A172" s="2268">
        <v>72</v>
      </c>
      <c r="F172" s="1891"/>
      <c r="AH172" s="1610"/>
      <c r="AI172" s="1610"/>
      <c r="AJ172" s="1610"/>
      <c r="AK172" s="1610"/>
      <c r="AL172" s="1610"/>
      <c r="AM172" s="1610"/>
      <c r="AN172" s="1610"/>
      <c r="AO172" s="1610"/>
      <c r="AP172" s="1610"/>
    </row>
    <row r="173" spans="1:42">
      <c r="A173" s="2268">
        <v>73</v>
      </c>
      <c r="C173" s="1601"/>
      <c r="D173" s="1594"/>
      <c r="E173" s="1594" t="s">
        <v>2556</v>
      </c>
      <c r="F173" s="2333"/>
      <c r="G173" s="3017">
        <f>(G167+G168)-(F167+F168)</f>
        <v>148410</v>
      </c>
      <c r="H173" s="3017">
        <f t="shared" ref="H173:R173" si="28">(H167+H168)-(G167+G168)</f>
        <v>147662</v>
      </c>
      <c r="I173" s="3017">
        <f t="shared" si="28"/>
        <v>147912</v>
      </c>
      <c r="J173" s="3017">
        <f t="shared" si="28"/>
        <v>147663</v>
      </c>
      <c r="K173" s="3017">
        <f t="shared" si="28"/>
        <v>146415</v>
      </c>
      <c r="L173" s="3017">
        <f t="shared" si="28"/>
        <v>146666</v>
      </c>
      <c r="M173" s="3017">
        <f t="shared" si="28"/>
        <v>145917</v>
      </c>
      <c r="N173" s="3017">
        <f t="shared" si="28"/>
        <v>144920</v>
      </c>
      <c r="O173" s="3017">
        <f t="shared" si="28"/>
        <v>145918</v>
      </c>
      <c r="P173" s="3017">
        <f t="shared" si="28"/>
        <v>146665</v>
      </c>
      <c r="Q173" s="3017">
        <f t="shared" si="28"/>
        <v>145669</v>
      </c>
      <c r="R173" s="3017">
        <f t="shared" si="28"/>
        <v>145418</v>
      </c>
      <c r="S173" s="3007"/>
      <c r="T173" s="2330"/>
      <c r="AH173" s="1901"/>
      <c r="AI173" s="1610"/>
      <c r="AJ173" s="1610"/>
      <c r="AK173" s="1610"/>
      <c r="AL173" s="1610"/>
      <c r="AM173" s="1610"/>
      <c r="AN173" s="2028"/>
      <c r="AO173" s="1610"/>
      <c r="AP173" s="1610"/>
    </row>
    <row r="174" spans="1:42">
      <c r="A174" s="2268">
        <v>74</v>
      </c>
      <c r="C174" s="1601"/>
      <c r="D174" s="1594"/>
      <c r="E174" s="1594" t="s">
        <v>2557</v>
      </c>
      <c r="F174" s="3002"/>
      <c r="G174" s="3009">
        <f>G148</f>
        <v>336</v>
      </c>
      <c r="H174" s="3009">
        <f t="shared" ref="H174:R174" si="29">H148</f>
        <v>305</v>
      </c>
      <c r="I174" s="3009">
        <f t="shared" si="29"/>
        <v>275</v>
      </c>
      <c r="J174" s="3009">
        <f t="shared" si="29"/>
        <v>244</v>
      </c>
      <c r="K174" s="3009">
        <f t="shared" si="29"/>
        <v>213</v>
      </c>
      <c r="L174" s="3009">
        <f t="shared" si="29"/>
        <v>183</v>
      </c>
      <c r="M174" s="3009">
        <f t="shared" si="29"/>
        <v>152</v>
      </c>
      <c r="N174" s="3009">
        <f t="shared" si="29"/>
        <v>122</v>
      </c>
      <c r="O174" s="3009">
        <f t="shared" si="29"/>
        <v>91</v>
      </c>
      <c r="P174" s="3009">
        <f t="shared" si="29"/>
        <v>60</v>
      </c>
      <c r="Q174" s="3009">
        <f t="shared" si="29"/>
        <v>32</v>
      </c>
      <c r="R174" s="3009">
        <f t="shared" si="29"/>
        <v>1</v>
      </c>
      <c r="S174" s="3010"/>
      <c r="T174" s="3003"/>
      <c r="AH174" s="1901"/>
      <c r="AI174" s="1610"/>
      <c r="AJ174" s="1901"/>
      <c r="AK174" s="1610"/>
      <c r="AL174" s="1610"/>
      <c r="AM174" s="1610"/>
      <c r="AN174" s="1901"/>
      <c r="AO174" s="1901"/>
      <c r="AP174" s="1610"/>
    </row>
    <row r="175" spans="1:42">
      <c r="A175" s="2268">
        <v>75</v>
      </c>
      <c r="C175" s="1601"/>
      <c r="D175" s="1594"/>
      <c r="E175" s="1594" t="s">
        <v>2774</v>
      </c>
      <c r="F175" s="3002"/>
      <c r="G175" s="3006">
        <f>G173*(G174/$S$98)</f>
        <v>136618.5205479452</v>
      </c>
      <c r="H175" s="3006">
        <f t="shared" ref="H175:R175" si="30">H173*(H174/$S$98)</f>
        <v>123388.79452054795</v>
      </c>
      <c r="I175" s="3006">
        <f t="shared" si="30"/>
        <v>111440.54794520549</v>
      </c>
      <c r="J175" s="3006">
        <f t="shared" si="30"/>
        <v>98711.704109589045</v>
      </c>
      <c r="K175" s="3006">
        <f t="shared" si="30"/>
        <v>85442.178082191793</v>
      </c>
      <c r="L175" s="3006">
        <f t="shared" si="30"/>
        <v>73533.912328767125</v>
      </c>
      <c r="M175" s="3006">
        <f t="shared" si="30"/>
        <v>60765.435616438357</v>
      </c>
      <c r="N175" s="3006">
        <f t="shared" si="30"/>
        <v>48439.013698630137</v>
      </c>
      <c r="O175" s="3006">
        <f t="shared" si="30"/>
        <v>36379.556164383561</v>
      </c>
      <c r="P175" s="3006">
        <f t="shared" si="30"/>
        <v>24109.31506849315</v>
      </c>
      <c r="Q175" s="3006">
        <f t="shared" si="30"/>
        <v>12770.980821917808</v>
      </c>
      <c r="R175" s="3006">
        <f t="shared" si="30"/>
        <v>398.40547945205481</v>
      </c>
      <c r="S175" s="2331"/>
      <c r="T175" s="3007"/>
      <c r="AH175" s="1901"/>
      <c r="AI175" s="1610"/>
      <c r="AJ175" s="1610"/>
      <c r="AK175" s="1610"/>
      <c r="AL175" s="1610"/>
      <c r="AM175" s="1610"/>
      <c r="AN175" s="1901"/>
      <c r="AO175" s="1901"/>
      <c r="AP175" s="1610"/>
    </row>
    <row r="176" spans="1:42" ht="13.8" thickBot="1">
      <c r="A176" s="2268">
        <v>76</v>
      </c>
      <c r="C176" s="1601"/>
      <c r="D176" s="1594"/>
      <c r="E176" s="1594" t="s">
        <v>2558</v>
      </c>
      <c r="F176" s="2332">
        <f>F171</f>
        <v>-26827963</v>
      </c>
      <c r="G176" s="3013">
        <f>G171-(G173-G175)</f>
        <v>-26691344.479452055</v>
      </c>
      <c r="H176" s="3013">
        <f t="shared" ref="H176:R176" si="31">H171-(H173-H175)</f>
        <v>-26556164.205479451</v>
      </c>
      <c r="I176" s="3013">
        <f t="shared" si="31"/>
        <v>-26420450.452054795</v>
      </c>
      <c r="J176" s="3013">
        <f t="shared" si="31"/>
        <v>-26285267.295890409</v>
      </c>
      <c r="K176" s="3013">
        <f t="shared" si="31"/>
        <v>-26150873.82191781</v>
      </c>
      <c r="L176" s="3013">
        <f t="shared" si="31"/>
        <v>-26016367.087671231</v>
      </c>
      <c r="M176" s="3013">
        <f t="shared" si="31"/>
        <v>-25882469.564383563</v>
      </c>
      <c r="N176" s="3013">
        <f t="shared" si="31"/>
        <v>-25748878.98630137</v>
      </c>
      <c r="O176" s="3013">
        <f t="shared" si="31"/>
        <v>-25616018.443835616</v>
      </c>
      <c r="P176" s="3013">
        <f t="shared" si="31"/>
        <v>-25482370.684931505</v>
      </c>
      <c r="Q176" s="3013">
        <f t="shared" si="31"/>
        <v>-25347044.019178081</v>
      </c>
      <c r="R176" s="3013">
        <f t="shared" si="31"/>
        <v>-25213747.594520546</v>
      </c>
      <c r="S176" s="2332"/>
      <c r="T176" s="3008">
        <f>R176</f>
        <v>-25213747.594520546</v>
      </c>
      <c r="AH176" s="1901"/>
      <c r="AI176" s="1610"/>
      <c r="AJ176" s="2216"/>
      <c r="AK176" s="1610"/>
      <c r="AL176" s="1610"/>
      <c r="AM176" s="1610"/>
      <c r="AN176" s="2259"/>
      <c r="AO176" s="2259"/>
      <c r="AP176" s="1610"/>
    </row>
    <row r="177" spans="1:42" ht="13.8" thickTop="1">
      <c r="A177" s="2268">
        <v>77</v>
      </c>
      <c r="C177" s="1601"/>
      <c r="D177" s="1594"/>
      <c r="E177" s="1594"/>
      <c r="F177" s="2333"/>
      <c r="G177" s="2330"/>
      <c r="H177" s="2330"/>
      <c r="I177" s="2330"/>
      <c r="J177" s="2330"/>
      <c r="K177" s="2330"/>
      <c r="L177" s="2330"/>
      <c r="M177" s="2330"/>
      <c r="N177" s="2330"/>
      <c r="O177" s="2330"/>
      <c r="P177" s="2330"/>
      <c r="Q177" s="2330"/>
      <c r="R177" s="2330"/>
      <c r="S177" s="2330"/>
      <c r="T177" s="2330"/>
      <c r="AH177" s="1901"/>
      <c r="AI177" s="1610"/>
      <c r="AJ177" s="2315"/>
      <c r="AK177" s="1610"/>
      <c r="AL177" s="1610"/>
      <c r="AM177" s="1610"/>
      <c r="AN177" s="1610"/>
      <c r="AO177" s="1610"/>
      <c r="AP177" s="1610"/>
    </row>
    <row r="178" spans="1:42">
      <c r="A178" s="2268">
        <v>78</v>
      </c>
      <c r="C178" s="1601"/>
      <c r="D178" s="1594"/>
      <c r="E178" s="1594" t="s">
        <v>2551</v>
      </c>
      <c r="F178" s="2333"/>
      <c r="G178" s="2333"/>
      <c r="H178" s="2333"/>
      <c r="I178" s="2333"/>
      <c r="J178" s="2333"/>
      <c r="K178" s="2333"/>
      <c r="L178" s="2333"/>
      <c r="M178" s="582"/>
      <c r="N178" s="2333"/>
      <c r="O178" s="2333"/>
      <c r="P178" s="2333"/>
      <c r="Q178" s="2333"/>
      <c r="R178" s="1594"/>
      <c r="S178" s="1594"/>
      <c r="T178" s="2333"/>
      <c r="AH178" s="1901"/>
      <c r="AI178" s="1610"/>
      <c r="AJ178" s="2216"/>
      <c r="AK178" s="1610"/>
      <c r="AL178" s="1610"/>
      <c r="AM178" s="1610"/>
      <c r="AN178" s="1610"/>
      <c r="AO178" s="1619"/>
      <c r="AP178" s="1610"/>
    </row>
    <row r="179" spans="1:42">
      <c r="A179" s="2268">
        <v>79</v>
      </c>
      <c r="C179" s="1601">
        <v>254</v>
      </c>
      <c r="D179" s="1594"/>
      <c r="E179" s="2334" t="s">
        <v>2552</v>
      </c>
      <c r="F179" s="2333"/>
      <c r="G179" s="2333"/>
      <c r="H179" s="2333"/>
      <c r="I179" s="2333"/>
      <c r="J179" s="2333"/>
      <c r="K179" s="2333"/>
      <c r="L179" s="2333"/>
      <c r="M179" s="582"/>
      <c r="N179" s="2333"/>
      <c r="O179" s="2333"/>
      <c r="P179" s="2333"/>
      <c r="Q179" s="2333"/>
      <c r="R179" s="1594"/>
      <c r="S179" s="1594"/>
      <c r="T179" s="2333"/>
      <c r="AH179" s="1901"/>
      <c r="AI179" s="1610"/>
      <c r="AJ179" s="2316"/>
      <c r="AK179" s="1610"/>
      <c r="AL179" s="1610"/>
      <c r="AM179" s="1610"/>
      <c r="AN179" s="1610"/>
      <c r="AO179" s="1619"/>
      <c r="AP179" s="1610"/>
    </row>
    <row r="180" spans="1:42">
      <c r="A180" s="2268">
        <v>80</v>
      </c>
      <c r="C180" s="1601">
        <v>254</v>
      </c>
      <c r="D180" s="1594"/>
      <c r="E180" s="2334" t="s">
        <v>2553</v>
      </c>
      <c r="F180" s="3002"/>
      <c r="G180" s="3002"/>
      <c r="H180" s="3002"/>
      <c r="I180" s="3002"/>
      <c r="J180" s="3002"/>
      <c r="K180" s="3002"/>
      <c r="L180" s="3002"/>
      <c r="M180" s="3002"/>
      <c r="N180" s="3002"/>
      <c r="O180" s="3002"/>
      <c r="P180" s="3002"/>
      <c r="Q180" s="3002"/>
      <c r="R180" s="3002"/>
      <c r="S180" s="3002"/>
      <c r="T180" s="3002"/>
      <c r="AH180" s="1901"/>
      <c r="AI180" s="1610"/>
      <c r="AJ180" s="2316"/>
      <c r="AK180" s="1610"/>
      <c r="AL180" s="1610"/>
      <c r="AM180" s="1610"/>
      <c r="AN180" s="1610"/>
      <c r="AO180" s="1619"/>
      <c r="AP180" s="1610"/>
    </row>
    <row r="181" spans="1:42" ht="13.8" thickBot="1">
      <c r="A181" s="2268">
        <v>81</v>
      </c>
      <c r="C181" s="1601"/>
      <c r="D181" s="1594"/>
      <c r="E181" s="1594" t="s">
        <v>2554</v>
      </c>
      <c r="F181" s="2332"/>
      <c r="G181" s="2332"/>
      <c r="H181" s="2332"/>
      <c r="I181" s="2332"/>
      <c r="J181" s="2332"/>
      <c r="K181" s="2332"/>
      <c r="L181" s="2332"/>
      <c r="M181" s="2332"/>
      <c r="N181" s="2332"/>
      <c r="O181" s="2332"/>
      <c r="P181" s="2332"/>
      <c r="Q181" s="2332"/>
      <c r="R181" s="2332"/>
      <c r="S181" s="2332"/>
      <c r="T181" s="2332"/>
      <c r="AH181" s="1901"/>
      <c r="AI181" s="1610"/>
      <c r="AJ181" s="2316"/>
      <c r="AK181" s="2304"/>
      <c r="AL181" s="1610"/>
      <c r="AM181" s="1610"/>
      <c r="AN181" s="1619"/>
      <c r="AO181" s="1619"/>
      <c r="AP181" s="1619"/>
    </row>
    <row r="182" spans="1:42" ht="13.8" thickTop="1">
      <c r="F182" s="1891"/>
      <c r="G182" s="1891"/>
      <c r="H182" s="1891"/>
      <c r="I182" s="1891"/>
      <c r="J182" s="1891"/>
      <c r="K182" s="1891"/>
      <c r="L182" s="1891"/>
      <c r="M182" s="1891"/>
      <c r="N182" s="1891"/>
      <c r="O182" s="1891"/>
      <c r="P182" s="1891"/>
      <c r="Q182" s="1891"/>
      <c r="R182" s="1891"/>
      <c r="S182" s="1891"/>
      <c r="AH182" s="1901"/>
      <c r="AI182" s="1610"/>
      <c r="AJ182" s="2316"/>
      <c r="AK182" s="2304"/>
      <c r="AL182" s="1610"/>
      <c r="AM182" s="1610"/>
      <c r="AN182" s="1619"/>
      <c r="AO182" s="1619"/>
      <c r="AP182" s="1619"/>
    </row>
    <row r="183" spans="1:42">
      <c r="F183" s="1891"/>
      <c r="G183" s="1891"/>
      <c r="H183" s="1891"/>
      <c r="I183" s="1891"/>
      <c r="J183" s="1891"/>
      <c r="K183" s="1891"/>
      <c r="L183" s="1891"/>
      <c r="M183" s="1891"/>
      <c r="N183" s="1891"/>
      <c r="O183" s="1891"/>
      <c r="P183" s="1891"/>
      <c r="Q183" s="1891"/>
      <c r="R183" s="1891"/>
      <c r="S183" s="1891"/>
      <c r="AH183" s="1901"/>
      <c r="AI183" s="1610"/>
      <c r="AJ183" s="2316"/>
      <c r="AK183" s="2304"/>
      <c r="AL183" s="1610"/>
      <c r="AM183" s="1610"/>
      <c r="AN183" s="1619"/>
      <c r="AO183" s="1619"/>
      <c r="AP183" s="1619"/>
    </row>
    <row r="184" spans="1:42">
      <c r="F184" s="1891"/>
      <c r="G184" s="1891"/>
      <c r="H184" s="1891"/>
      <c r="I184" s="1891"/>
      <c r="J184" s="1891"/>
      <c r="K184" s="1891"/>
      <c r="L184" s="1891"/>
      <c r="M184" s="1891"/>
      <c r="N184" s="1891"/>
      <c r="O184" s="1891"/>
      <c r="P184" s="1891"/>
      <c r="Q184" s="1891"/>
      <c r="R184" s="1891"/>
      <c r="S184" s="1891"/>
      <c r="AH184" s="1901"/>
      <c r="AI184" s="1610"/>
      <c r="AJ184" s="2316"/>
      <c r="AK184" s="2304"/>
      <c r="AL184" s="1610"/>
      <c r="AM184" s="1610"/>
      <c r="AN184" s="1619"/>
      <c r="AO184" s="1619"/>
      <c r="AP184" s="1619"/>
    </row>
    <row r="185" spans="1:42">
      <c r="F185" s="1891">
        <f t="shared" ref="F185:R185" si="32">F171+F145+F117</f>
        <v>-225721083</v>
      </c>
      <c r="G185" s="1891">
        <f t="shared" si="32"/>
        <v>-226278003</v>
      </c>
      <c r="H185" s="1891">
        <f t="shared" si="32"/>
        <v>-226808017</v>
      </c>
      <c r="I185" s="1891">
        <f t="shared" si="32"/>
        <v>-227374936</v>
      </c>
      <c r="J185" s="1891">
        <f t="shared" si="32"/>
        <v>-227915483</v>
      </c>
      <c r="K185" s="1891">
        <f t="shared" si="32"/>
        <v>-228454432</v>
      </c>
      <c r="L185" s="1891">
        <f t="shared" si="32"/>
        <v>-229000178</v>
      </c>
      <c r="M185" s="1891">
        <f t="shared" si="32"/>
        <v>-229530494</v>
      </c>
      <c r="N185" s="1891">
        <f t="shared" si="32"/>
        <v>-230055319</v>
      </c>
      <c r="O185" s="1891">
        <f t="shared" si="32"/>
        <v>-231268253</v>
      </c>
      <c r="P185" s="1891">
        <f t="shared" si="32"/>
        <v>-231844531</v>
      </c>
      <c r="Q185" s="1891">
        <f t="shared" si="32"/>
        <v>-232416073</v>
      </c>
      <c r="R185" s="1891">
        <f t="shared" si="32"/>
        <v>-232983128</v>
      </c>
      <c r="S185" s="1891"/>
      <c r="T185" s="1891">
        <f>T171+T145+T117</f>
        <v>0</v>
      </c>
      <c r="AH185" s="1901"/>
      <c r="AI185" s="1610"/>
      <c r="AJ185" s="2316"/>
      <c r="AK185" s="2304"/>
      <c r="AL185" s="1610"/>
      <c r="AM185" s="1610"/>
      <c r="AN185" s="1619"/>
      <c r="AO185" s="1619"/>
      <c r="AP185" s="1619"/>
    </row>
    <row r="186" spans="1:42">
      <c r="F186" s="1891"/>
      <c r="G186" s="1891"/>
      <c r="H186" s="1891"/>
      <c r="I186" s="1891"/>
      <c r="J186" s="1891"/>
      <c r="K186" s="1891"/>
      <c r="L186" s="1891"/>
      <c r="M186" s="1891"/>
      <c r="N186" s="1891"/>
      <c r="O186" s="1891"/>
      <c r="P186" s="1891"/>
      <c r="Q186" s="1891"/>
      <c r="R186" s="1891"/>
      <c r="AH186" s="1901"/>
      <c r="AI186" s="1610"/>
      <c r="AJ186" s="2316"/>
      <c r="AK186" s="2304"/>
      <c r="AL186" s="1610"/>
      <c r="AM186" s="1610"/>
      <c r="AN186" s="1619"/>
      <c r="AO186" s="1619"/>
      <c r="AP186" s="1619"/>
    </row>
    <row r="187" spans="1:42">
      <c r="AH187" s="1901"/>
      <c r="AI187" s="1610"/>
      <c r="AJ187" s="2316"/>
      <c r="AK187" s="2304"/>
      <c r="AL187" s="1610"/>
      <c r="AM187" s="1610"/>
      <c r="AN187" s="1619"/>
      <c r="AO187" s="1619"/>
      <c r="AP187" s="1619"/>
    </row>
    <row r="188" spans="1:42">
      <c r="P188" s="2262" t="s">
        <v>2001</v>
      </c>
      <c r="R188" s="1910" t="s">
        <v>2998</v>
      </c>
      <c r="S188" s="1910" t="s">
        <v>2999</v>
      </c>
      <c r="AH188" s="1901"/>
      <c r="AI188" s="1610"/>
      <c r="AJ188" s="2316"/>
      <c r="AK188" s="2304"/>
      <c r="AL188" s="1610"/>
      <c r="AM188" s="1610"/>
      <c r="AN188" s="1619"/>
      <c r="AO188" s="1619"/>
      <c r="AP188" s="1619"/>
    </row>
    <row r="189" spans="1:42">
      <c r="P189" s="2289" t="s">
        <v>668</v>
      </c>
      <c r="R189" s="1891">
        <f>R111+R140+R166</f>
        <v>10261917</v>
      </c>
      <c r="S189" s="1891">
        <f>L27+L51+L72</f>
        <v>11805439</v>
      </c>
      <c r="AH189" s="1901"/>
      <c r="AI189" s="1610"/>
      <c r="AJ189" s="2316"/>
      <c r="AK189" s="2304"/>
      <c r="AL189" s="1610"/>
      <c r="AM189" s="1610"/>
      <c r="AN189" s="1619"/>
      <c r="AO189" s="1619"/>
      <c r="AP189" s="1619"/>
    </row>
    <row r="190" spans="1:42">
      <c r="P190" s="2289" t="s">
        <v>670</v>
      </c>
      <c r="R190" s="1891">
        <f>R113+R142+R167</f>
        <v>-81883320</v>
      </c>
      <c r="S190" s="1891">
        <f>L29+L53+L73</f>
        <v>-70326575</v>
      </c>
      <c r="AH190" s="1901"/>
      <c r="AI190" s="1610"/>
      <c r="AJ190" s="2316"/>
      <c r="AK190" s="2304"/>
      <c r="AL190" s="1610"/>
      <c r="AM190" s="1610"/>
      <c r="AN190" s="1619"/>
      <c r="AO190" s="1619"/>
      <c r="AP190" s="1619"/>
    </row>
    <row r="191" spans="1:42">
      <c r="P191" s="2289" t="s">
        <v>669</v>
      </c>
      <c r="R191" s="1891">
        <f>R114+R143+R168</f>
        <v>-142096129</v>
      </c>
      <c r="S191" s="1891">
        <f>L30+L54+L74</f>
        <v>-141839102</v>
      </c>
      <c r="Y191" s="2301" t="str">
        <f>COMPANY</f>
        <v>DUKE ENERGY KENTUCKY, INC.</v>
      </c>
      <c r="Z191" s="1594"/>
      <c r="AA191" s="1594"/>
      <c r="AB191" s="1594"/>
      <c r="AC191" s="1594"/>
      <c r="AD191" s="1594"/>
      <c r="AE191" s="2302" t="s">
        <v>1956</v>
      </c>
      <c r="AF191" s="1594"/>
      <c r="AH191" s="1901"/>
      <c r="AI191" s="1610"/>
      <c r="AJ191" s="2316"/>
      <c r="AK191" s="2304"/>
      <c r="AL191" s="1610"/>
      <c r="AM191" s="1610"/>
      <c r="AN191" s="1619"/>
      <c r="AO191" s="1619"/>
      <c r="AP191" s="1619"/>
    </row>
    <row r="192" spans="1:42">
      <c r="P192" s="2289" t="s">
        <v>672</v>
      </c>
      <c r="R192" s="1891">
        <f>R115+R144+R169</f>
        <v>-19240508</v>
      </c>
      <c r="S192" s="1891">
        <f>L31+L55+L75</f>
        <v>-21339451</v>
      </c>
      <c r="Y192" s="2301" t="str">
        <f>DEPT</f>
        <v>GAS DEPARTMENT</v>
      </c>
      <c r="Z192" s="1594"/>
      <c r="AA192" s="1594"/>
      <c r="AB192" s="1594"/>
      <c r="AC192" s="1594"/>
      <c r="AD192" s="1594"/>
      <c r="AE192" s="2301" t="s">
        <v>566</v>
      </c>
      <c r="AF192" s="1594"/>
      <c r="AH192" s="1901"/>
      <c r="AI192" s="1610"/>
      <c r="AJ192" s="2316"/>
      <c r="AK192" s="2304"/>
      <c r="AL192" s="1610"/>
      <c r="AM192" s="1610"/>
      <c r="AN192" s="1619"/>
      <c r="AO192" s="1619"/>
      <c r="AP192" s="1619"/>
    </row>
    <row r="193" spans="16:42">
      <c r="P193" s="2289" t="s">
        <v>2771</v>
      </c>
      <c r="R193" s="1891">
        <f>R116+R170</f>
        <v>-25088</v>
      </c>
      <c r="S193" s="1891">
        <f>L32+L76</f>
        <v>-25088</v>
      </c>
      <c r="Y193" s="2301" t="str">
        <f>CASE</f>
        <v>CASE NO. 2018-00261</v>
      </c>
      <c r="Z193" s="1594"/>
      <c r="AA193" s="1594"/>
      <c r="AB193" s="1594"/>
      <c r="AC193" s="1594"/>
      <c r="AD193" s="1594"/>
      <c r="AE193" s="1594" t="str">
        <f>_WIT3</f>
        <v>J. R. PANIZZA</v>
      </c>
      <c r="AF193" s="1594"/>
      <c r="AH193" s="1901"/>
      <c r="AI193" s="1610"/>
      <c r="AJ193" s="2316"/>
      <c r="AK193" s="2304"/>
      <c r="AL193" s="1610"/>
      <c r="AM193" s="1610"/>
      <c r="AN193" s="1619"/>
      <c r="AO193" s="1619"/>
      <c r="AP193" s="1619"/>
    </row>
    <row r="194" spans="16:42" ht="13.8" thickBot="1">
      <c r="P194" s="2262" t="s">
        <v>673</v>
      </c>
      <c r="R194" s="3496">
        <f>SUM(R189:R193)</f>
        <v>-232983128</v>
      </c>
      <c r="S194" s="3496">
        <f>SUM(S189:S193)</f>
        <v>-221724777</v>
      </c>
      <c r="Y194" s="2303" t="s">
        <v>644</v>
      </c>
      <c r="Z194" s="1300"/>
      <c r="AA194" s="1594"/>
      <c r="AB194" s="1594"/>
      <c r="AC194" s="1594"/>
      <c r="AD194" s="1594"/>
      <c r="AE194" s="1594"/>
      <c r="AF194" s="1594"/>
      <c r="AH194" s="1901"/>
      <c r="AI194" s="1610"/>
      <c r="AJ194" s="2316"/>
      <c r="AK194" s="2304"/>
      <c r="AL194" s="1610"/>
      <c r="AM194" s="1610"/>
      <c r="AN194" s="1619"/>
      <c r="AO194" s="1619"/>
      <c r="AP194" s="1619"/>
    </row>
    <row r="195" spans="16:42" ht="13.8" thickTop="1">
      <c r="Y195" s="2303" t="s">
        <v>1230</v>
      </c>
      <c r="Z195" s="1300"/>
      <c r="AA195" s="1594"/>
      <c r="AB195" s="1594"/>
      <c r="AC195" s="1594"/>
      <c r="AD195" s="1594"/>
      <c r="AE195" s="2301" t="s">
        <v>641</v>
      </c>
      <c r="AF195" s="1594"/>
      <c r="AH195" s="1901"/>
      <c r="AI195" s="1610"/>
      <c r="AJ195" s="2316"/>
      <c r="AK195" s="2304"/>
      <c r="AL195" s="1610"/>
      <c r="AM195" s="1610"/>
      <c r="AN195" s="1619"/>
      <c r="AO195" s="1619"/>
      <c r="AP195" s="1619"/>
    </row>
    <row r="196" spans="16:42">
      <c r="Y196" s="2301" t="str">
        <f>Data</f>
        <v>DATA: "X" BASE PERIOD   FORECASTED PERIOD</v>
      </c>
      <c r="Z196" s="1594"/>
      <c r="AA196" s="1594"/>
      <c r="AB196" s="1594"/>
      <c r="AC196" s="1594"/>
      <c r="AD196" s="1594"/>
      <c r="AE196" s="2301"/>
      <c r="AF196" s="1594"/>
      <c r="AH196" s="1901"/>
      <c r="AI196" s="1610"/>
      <c r="AJ196" s="2316"/>
      <c r="AK196" s="2304"/>
      <c r="AL196" s="1610"/>
      <c r="AM196" s="1610"/>
      <c r="AN196" s="1619"/>
      <c r="AO196" s="1619"/>
      <c r="AP196" s="1619"/>
    </row>
    <row r="197" spans="16:42">
      <c r="Y197" s="1635" t="str">
        <f>"AS OF " &amp;RIGHT(TESTYR,(LEN(TESTYR)-16))</f>
        <v>AS OF NOVEMBER 30, 2018</v>
      </c>
      <c r="Z197" s="1594"/>
      <c r="AA197" s="1594"/>
      <c r="AB197" s="1594"/>
      <c r="AC197" s="1594"/>
      <c r="AD197" s="1594"/>
      <c r="AE197" s="1594"/>
      <c r="AF197" s="1594"/>
      <c r="AH197" s="1901"/>
      <c r="AI197" s="1610"/>
      <c r="AJ197" s="2316"/>
      <c r="AK197" s="2304"/>
      <c r="AL197" s="1610"/>
      <c r="AM197" s="1610"/>
      <c r="AN197" s="1619"/>
      <c r="AO197" s="1619"/>
      <c r="AP197" s="1619"/>
    </row>
    <row r="198" spans="16:42">
      <c r="Y198" s="1594"/>
      <c r="Z198" s="1594"/>
      <c r="AA198" s="1594"/>
      <c r="AB198" s="1594"/>
      <c r="AC198" s="1594"/>
      <c r="AD198" s="1594"/>
      <c r="AE198" s="1594"/>
      <c r="AF198" s="1594"/>
      <c r="AH198" s="1901"/>
      <c r="AI198" s="1610"/>
      <c r="AJ198" s="2316"/>
      <c r="AK198" s="2304"/>
      <c r="AL198" s="1610"/>
      <c r="AM198" s="1610"/>
      <c r="AN198" s="1619"/>
      <c r="AO198" s="1619"/>
      <c r="AP198" s="1619"/>
    </row>
    <row r="199" spans="16:42">
      <c r="Y199" s="1594"/>
      <c r="Z199" s="1594"/>
      <c r="AA199" s="1594"/>
      <c r="AB199" s="1594"/>
      <c r="AC199" s="1594"/>
      <c r="AD199" s="1594"/>
      <c r="AE199" s="1594"/>
      <c r="AF199" s="1594"/>
      <c r="AH199" s="1901"/>
      <c r="AI199" s="1610"/>
      <c r="AJ199" s="2316"/>
      <c r="AK199" s="2304"/>
      <c r="AL199" s="1610"/>
      <c r="AM199" s="1610"/>
      <c r="AN199" s="1619"/>
      <c r="AO199" s="1619"/>
      <c r="AP199" s="1619"/>
    </row>
    <row r="200" spans="16:42">
      <c r="Y200" s="1594"/>
      <c r="Z200" s="1594"/>
      <c r="AA200" s="1594"/>
      <c r="AB200" s="1594"/>
      <c r="AC200" s="1594"/>
      <c r="AD200" s="1594"/>
      <c r="AE200" s="1642" t="s">
        <v>645</v>
      </c>
      <c r="AF200" s="1594"/>
      <c r="AH200" s="1901"/>
      <c r="AI200" s="1610"/>
      <c r="AJ200" s="2316"/>
      <c r="AK200" s="2304"/>
      <c r="AL200" s="1610"/>
      <c r="AM200" s="1610"/>
      <c r="AN200" s="1619"/>
      <c r="AO200" s="1619"/>
      <c r="AP200" s="1619"/>
    </row>
    <row r="201" spans="16:42">
      <c r="Y201" s="1642" t="s">
        <v>567</v>
      </c>
      <c r="Z201" s="1594"/>
      <c r="AA201" s="1594"/>
      <c r="AB201" s="1594"/>
      <c r="AC201" s="1594"/>
      <c r="AD201" s="2306" t="s">
        <v>646</v>
      </c>
      <c r="AE201" s="1642" t="s">
        <v>647</v>
      </c>
      <c r="AF201" s="2307"/>
      <c r="AH201" s="1901"/>
      <c r="AI201" s="1610"/>
      <c r="AJ201" s="2315"/>
      <c r="AK201" s="1610"/>
      <c r="AL201" s="1610"/>
      <c r="AM201" s="1610"/>
      <c r="AN201" s="1610"/>
      <c r="AO201" s="1619"/>
      <c r="AP201" s="1610"/>
    </row>
    <row r="202" spans="16:42">
      <c r="Y202" s="1645" t="s">
        <v>766</v>
      </c>
      <c r="Z202" s="2308"/>
      <c r="AA202" s="2309" t="s">
        <v>1988</v>
      </c>
      <c r="AB202" s="2308"/>
      <c r="AC202" s="1645" t="s">
        <v>636</v>
      </c>
      <c r="AD202" s="1645" t="s">
        <v>837</v>
      </c>
      <c r="AE202" s="1645" t="s">
        <v>648</v>
      </c>
      <c r="AF202" s="1594"/>
      <c r="AH202" s="1901"/>
      <c r="AI202" s="1610"/>
      <c r="AJ202" s="2316"/>
      <c r="AK202" s="1610"/>
      <c r="AL202" s="1610"/>
      <c r="AM202" s="1610"/>
      <c r="AN202" s="1610"/>
      <c r="AO202" s="1610"/>
      <c r="AP202" s="1610"/>
    </row>
    <row r="203" spans="16:42">
      <c r="Y203" s="1594"/>
      <c r="Z203" s="1594"/>
      <c r="AA203" s="1594"/>
      <c r="AB203" s="1594"/>
      <c r="AC203" s="1642" t="s">
        <v>2099</v>
      </c>
      <c r="AD203" s="2310" t="s">
        <v>649</v>
      </c>
      <c r="AE203" s="2310" t="s">
        <v>650</v>
      </c>
      <c r="AF203" s="1594"/>
      <c r="AH203" s="1901"/>
      <c r="AI203" s="1610"/>
      <c r="AJ203" s="2316"/>
      <c r="AK203" s="1901"/>
      <c r="AL203" s="1610"/>
      <c r="AM203" s="1610"/>
      <c r="AN203" s="1610"/>
      <c r="AO203" s="2317"/>
      <c r="AP203" s="2318"/>
    </row>
    <row r="204" spans="16:42">
      <c r="Y204" s="1594"/>
      <c r="Z204" s="1594"/>
      <c r="AA204" s="2311"/>
      <c r="AB204" s="1594"/>
      <c r="AC204" s="1594"/>
      <c r="AD204" s="1594"/>
      <c r="AE204" s="1594"/>
      <c r="AF204" s="1594"/>
      <c r="AH204" s="1901"/>
      <c r="AI204" s="1610"/>
      <c r="AJ204" s="2316"/>
      <c r="AK204" s="1610"/>
      <c r="AL204" s="1610"/>
      <c r="AM204" s="1610"/>
      <c r="AN204" s="1610"/>
      <c r="AO204" s="2319"/>
      <c r="AP204" s="1610"/>
    </row>
    <row r="205" spans="16:42">
      <c r="Y205" s="1642">
        <v>1</v>
      </c>
      <c r="Z205" s="1594"/>
      <c r="AA205" s="2301" t="s">
        <v>651</v>
      </c>
      <c r="AB205" s="1594"/>
      <c r="AC205" s="2118">
        <f>L20</f>
        <v>0</v>
      </c>
      <c r="AD205" s="2312">
        <f>SCH_D2.19!$BO$289</f>
        <v>1.0800000000000001E-2</v>
      </c>
      <c r="AE205" s="2118">
        <f>ROUND(AD205*AC205,0)</f>
        <v>0</v>
      </c>
      <c r="AF205" s="2313" t="s">
        <v>1959</v>
      </c>
      <c r="AH205" s="1901"/>
      <c r="AI205" s="1610"/>
      <c r="AJ205" s="2316"/>
      <c r="AK205" s="1610"/>
      <c r="AL205" s="1610"/>
      <c r="AM205" s="1610"/>
      <c r="AN205" s="1610"/>
      <c r="AO205" s="1610"/>
      <c r="AP205" s="1610"/>
    </row>
    <row r="206" spans="16:42">
      <c r="Y206" s="1642">
        <v>2</v>
      </c>
      <c r="Z206" s="1594"/>
      <c r="AA206" s="2314"/>
      <c r="AB206" s="1594"/>
      <c r="AC206" s="1594"/>
      <c r="AD206" s="1594"/>
      <c r="AE206" s="1594"/>
      <c r="AF206" s="1594"/>
      <c r="AH206" s="1901"/>
      <c r="AI206" s="1610"/>
      <c r="AJ206" s="2316"/>
      <c r="AK206" s="1610"/>
      <c r="AL206" s="1610"/>
      <c r="AM206" s="1610"/>
      <c r="AN206" s="1610"/>
      <c r="AO206" s="1610"/>
      <c r="AP206" s="1610"/>
    </row>
    <row r="207" spans="16:42">
      <c r="Y207" s="1642">
        <f>Y206+1</f>
        <v>3</v>
      </c>
      <c r="Z207" s="1594"/>
      <c r="AA207" s="2301" t="s">
        <v>669</v>
      </c>
      <c r="AB207" s="1594"/>
      <c r="AC207" s="2118">
        <f>L30</f>
        <v>-51498418</v>
      </c>
      <c r="AD207" s="2312">
        <f>SCH_D2.19!$BO$289</f>
        <v>1.0800000000000001E-2</v>
      </c>
      <c r="AE207" s="2118">
        <f>ROUND(AD207*AC207,0)</f>
        <v>-556183</v>
      </c>
      <c r="AF207" s="2313" t="s">
        <v>1959</v>
      </c>
      <c r="AH207" s="1901"/>
      <c r="AI207" s="1610"/>
      <c r="AJ207" s="2316"/>
      <c r="AK207" s="1610"/>
      <c r="AL207" s="1610"/>
      <c r="AM207" s="1610"/>
      <c r="AN207" s="1610"/>
      <c r="AO207" s="1610"/>
      <c r="AP207" s="1610"/>
    </row>
    <row r="208" spans="16:42">
      <c r="Y208" s="1642">
        <f t="shared" ref="Y208:Y209" si="33">Y207+1</f>
        <v>4</v>
      </c>
      <c r="Z208" s="1594"/>
      <c r="AA208" s="2301"/>
      <c r="AB208" s="1594"/>
      <c r="AC208" s="2118"/>
      <c r="AD208" s="2312"/>
      <c r="AE208" s="2118"/>
      <c r="AF208" s="2313"/>
      <c r="AH208" s="1901"/>
      <c r="AI208" s="1610"/>
      <c r="AJ208" s="2316"/>
      <c r="AK208" s="1610"/>
      <c r="AL208" s="1610"/>
      <c r="AM208" s="1610"/>
      <c r="AN208" s="1610"/>
      <c r="AO208" s="1610"/>
      <c r="AP208" s="1610"/>
    </row>
    <row r="209" spans="25:42">
      <c r="Y209" s="1642">
        <f t="shared" si="33"/>
        <v>5</v>
      </c>
      <c r="Z209" s="1594"/>
      <c r="AA209" s="2301" t="s">
        <v>2898</v>
      </c>
      <c r="AB209" s="1594"/>
      <c r="AC209" s="2118">
        <f>L38</f>
        <v>-32322707</v>
      </c>
      <c r="AD209" s="2312">
        <f>SCH_D2.19!$BO$289</f>
        <v>1.0800000000000001E-2</v>
      </c>
      <c r="AE209" s="2118">
        <f>ROUND(AD209*AC209,0)</f>
        <v>-349085</v>
      </c>
      <c r="AF209" s="2313" t="s">
        <v>1959</v>
      </c>
      <c r="AH209" s="1901"/>
      <c r="AI209" s="1610"/>
      <c r="AJ209" s="2316"/>
      <c r="AK209" s="1610"/>
      <c r="AL209" s="1610"/>
      <c r="AM209" s="1610"/>
      <c r="AN209" s="1610"/>
      <c r="AO209" s="1610"/>
      <c r="AP209" s="1610"/>
    </row>
    <row r="210" spans="25:42">
      <c r="Y210" s="1642"/>
      <c r="Z210" s="1594"/>
      <c r="AA210" s="2314"/>
      <c r="AB210" s="1594"/>
      <c r="AC210" s="1594"/>
      <c r="AD210" s="1594"/>
      <c r="AE210" s="1594"/>
      <c r="AF210" s="1594"/>
      <c r="AH210" s="1901"/>
      <c r="AI210" s="1610"/>
      <c r="AJ210" s="2216"/>
      <c r="AK210" s="1610"/>
      <c r="AL210" s="1610"/>
      <c r="AM210" s="1610"/>
      <c r="AN210" s="1610"/>
      <c r="AO210" s="1610"/>
      <c r="AP210" s="1610"/>
    </row>
    <row r="211" spans="25:42">
      <c r="Y211" s="1642"/>
      <c r="Z211" s="1594"/>
      <c r="AA211" s="2314"/>
      <c r="AB211" s="1594"/>
      <c r="AC211" s="1594"/>
      <c r="AD211" s="1594"/>
      <c r="AE211" s="1594"/>
      <c r="AF211" s="1594"/>
      <c r="AH211" s="2217"/>
      <c r="AI211" s="1610"/>
      <c r="AJ211" s="2316"/>
      <c r="AK211" s="1610"/>
      <c r="AL211" s="1610"/>
      <c r="AM211" s="1610"/>
      <c r="AN211" s="1610"/>
      <c r="AO211" s="1610"/>
      <c r="AP211" s="1610"/>
    </row>
    <row r="212" spans="25:42">
      <c r="Y212" s="1642"/>
      <c r="Z212" s="1594"/>
      <c r="AA212" s="2301" t="s">
        <v>3057</v>
      </c>
      <c r="AB212" s="1594"/>
      <c r="AC212" s="1594"/>
      <c r="AD212" s="1594"/>
      <c r="AE212" s="1594"/>
      <c r="AF212" s="1594"/>
      <c r="AH212" s="2216"/>
      <c r="AI212" s="1610"/>
      <c r="AJ212" s="2316"/>
      <c r="AK212" s="1610"/>
      <c r="AL212" s="1610"/>
      <c r="AM212" s="1610"/>
      <c r="AN212" s="1610"/>
      <c r="AO212" s="1610"/>
      <c r="AP212" s="1610"/>
    </row>
    <row r="213" spans="25:42">
      <c r="Y213" s="1642"/>
      <c r="Z213" s="1594"/>
      <c r="AA213" s="2301" t="s">
        <v>2978</v>
      </c>
      <c r="AB213" s="1594"/>
      <c r="AC213" s="1594"/>
      <c r="AD213" s="1594"/>
      <c r="AE213" s="1594"/>
      <c r="AF213" s="1594"/>
      <c r="AH213" s="1610"/>
      <c r="AI213" s="1610"/>
      <c r="AJ213" s="2316"/>
      <c r="AK213" s="1610"/>
      <c r="AL213" s="1610"/>
      <c r="AM213" s="1610"/>
      <c r="AN213" s="1610"/>
      <c r="AO213" s="1610"/>
      <c r="AP213" s="1610"/>
    </row>
    <row r="214" spans="25:42">
      <c r="AH214" s="1610"/>
      <c r="AI214" s="1610"/>
      <c r="AJ214" s="2316"/>
      <c r="AK214" s="1610"/>
      <c r="AL214" s="1610"/>
      <c r="AM214" s="1610"/>
      <c r="AN214" s="1610"/>
      <c r="AO214" s="1610"/>
      <c r="AP214" s="1610"/>
    </row>
    <row r="215" spans="25:42">
      <c r="AH215" s="1610"/>
      <c r="AI215" s="1610"/>
      <c r="AJ215" s="2316"/>
      <c r="AK215" s="1610"/>
      <c r="AL215" s="1610"/>
      <c r="AM215" s="1610"/>
      <c r="AN215" s="1610"/>
      <c r="AO215" s="1610"/>
      <c r="AP215" s="1610"/>
    </row>
    <row r="216" spans="25:42">
      <c r="Y216" s="2301" t="str">
        <f>COMPANY</f>
        <v>DUKE ENERGY KENTUCKY, INC.</v>
      </c>
      <c r="Z216" s="1594"/>
      <c r="AA216" s="1594"/>
      <c r="AB216" s="1594"/>
      <c r="AC216" s="1594"/>
      <c r="AD216" s="1594"/>
      <c r="AE216" s="2302" t="s">
        <v>1961</v>
      </c>
      <c r="AF216" s="1594"/>
      <c r="AH216" s="1610"/>
      <c r="AI216" s="1610"/>
      <c r="AJ216" s="2316"/>
      <c r="AK216" s="1610"/>
      <c r="AL216" s="1610"/>
      <c r="AM216" s="1610"/>
      <c r="AN216" s="1610"/>
      <c r="AO216" s="1610"/>
      <c r="AP216" s="1610"/>
    </row>
    <row r="217" spans="25:42">
      <c r="Y217" s="2301" t="str">
        <f>DEPT</f>
        <v>GAS DEPARTMENT</v>
      </c>
      <c r="Z217" s="1594"/>
      <c r="AA217" s="1594"/>
      <c r="AB217" s="1594"/>
      <c r="AC217" s="1594"/>
      <c r="AD217" s="1594"/>
      <c r="AE217" s="2301" t="s">
        <v>566</v>
      </c>
      <c r="AF217" s="1594"/>
      <c r="AH217" s="1610"/>
      <c r="AI217" s="1610"/>
      <c r="AJ217" s="2316"/>
      <c r="AK217" s="1610"/>
      <c r="AL217" s="1610"/>
      <c r="AM217" s="1610"/>
      <c r="AN217" s="1610"/>
      <c r="AO217" s="1610"/>
      <c r="AP217" s="1610"/>
    </row>
    <row r="218" spans="25:42">
      <c r="Y218" s="2301" t="str">
        <f>CASE</f>
        <v>CASE NO. 2018-00261</v>
      </c>
      <c r="Z218" s="1594"/>
      <c r="AA218" s="1594"/>
      <c r="AB218" s="1594"/>
      <c r="AC218" s="1594"/>
      <c r="AD218" s="1594"/>
      <c r="AE218" s="1594" t="str">
        <f>_WIT3</f>
        <v>J. R. PANIZZA</v>
      </c>
      <c r="AF218" s="1594"/>
      <c r="AH218" s="1610"/>
      <c r="AI218" s="1610"/>
      <c r="AJ218" s="2316"/>
      <c r="AK218" s="1610"/>
      <c r="AL218" s="1610"/>
      <c r="AM218" s="1610"/>
      <c r="AN218" s="1610"/>
      <c r="AO218" s="1610"/>
      <c r="AP218" s="1610"/>
    </row>
    <row r="219" spans="25:42">
      <c r="Y219" s="2303" t="s">
        <v>644</v>
      </c>
      <c r="Z219" s="1594"/>
      <c r="AA219" s="1594"/>
      <c r="AB219" s="1594"/>
      <c r="AC219" s="1594"/>
      <c r="AD219" s="1594"/>
      <c r="AE219" s="1594"/>
      <c r="AF219" s="1594"/>
      <c r="AH219" s="1610"/>
      <c r="AI219" s="1610"/>
      <c r="AJ219" s="2316"/>
      <c r="AK219" s="1610"/>
      <c r="AL219" s="1610"/>
      <c r="AM219" s="1610"/>
      <c r="AN219" s="1610"/>
      <c r="AO219" s="1610"/>
      <c r="AP219" s="1610"/>
    </row>
    <row r="220" spans="25:42">
      <c r="Y220" s="2303" t="s">
        <v>1230</v>
      </c>
      <c r="Z220" s="1594"/>
      <c r="AA220" s="1594"/>
      <c r="AB220" s="1594"/>
      <c r="AC220" s="1594"/>
      <c r="AD220" s="1594"/>
      <c r="AE220" s="2301" t="s">
        <v>641</v>
      </c>
      <c r="AF220" s="1594"/>
      <c r="AH220" s="1610"/>
      <c r="AI220" s="1610"/>
      <c r="AJ220" s="2316"/>
      <c r="AK220" s="1610"/>
      <c r="AL220" s="1610"/>
      <c r="AM220" s="1610"/>
      <c r="AN220" s="1610"/>
      <c r="AO220" s="1610"/>
      <c r="AP220" s="1610"/>
    </row>
    <row r="221" spans="25:42">
      <c r="Y221" s="2301" t="str">
        <f>DataF</f>
        <v>DATA:  BASE PERIOD  "X" FORECASTED PERIOD</v>
      </c>
      <c r="Z221" s="1594"/>
      <c r="AA221" s="1594"/>
      <c r="AB221" s="1594"/>
      <c r="AC221" s="1594"/>
      <c r="AD221" s="1594"/>
      <c r="AE221" s="2301"/>
      <c r="AF221" s="1594"/>
      <c r="AH221" s="1610"/>
      <c r="AI221" s="1610"/>
      <c r="AJ221" s="2316"/>
      <c r="AK221" s="1610"/>
      <c r="AL221" s="1610"/>
      <c r="AM221" s="1610"/>
      <c r="AN221" s="1610"/>
      <c r="AO221" s="1610"/>
      <c r="AP221" s="1610"/>
    </row>
    <row r="222" spans="25:42">
      <c r="Y222" s="1635" t="str">
        <f>"AS OF " &amp;RIGHT(Forecast,(LEN(Forecast)-16))</f>
        <v>AS OF MARCH 31, 2020</v>
      </c>
      <c r="Z222" s="1594"/>
      <c r="AA222" s="1594"/>
      <c r="AB222" s="1594"/>
      <c r="AC222" s="1594"/>
      <c r="AD222" s="1594"/>
      <c r="AE222" s="1594"/>
      <c r="AF222" s="1594"/>
      <c r="AH222" s="1610"/>
      <c r="AI222" s="1610"/>
      <c r="AJ222" s="2316"/>
      <c r="AK222" s="1610"/>
      <c r="AL222" s="1610"/>
      <c r="AM222" s="1610"/>
      <c r="AN222" s="1610"/>
      <c r="AO222" s="1610"/>
      <c r="AP222" s="1610"/>
    </row>
    <row r="223" spans="25:42">
      <c r="Y223" s="1594"/>
      <c r="Z223" s="1594"/>
      <c r="AA223" s="1594"/>
      <c r="AB223" s="1594"/>
      <c r="AC223" s="1594"/>
      <c r="AD223" s="1594"/>
      <c r="AE223" s="1594"/>
      <c r="AF223" s="1594"/>
      <c r="AH223" s="1610"/>
      <c r="AI223" s="1610"/>
      <c r="AJ223" s="2316"/>
      <c r="AK223" s="1610"/>
      <c r="AL223" s="1610"/>
      <c r="AM223" s="1610"/>
      <c r="AN223" s="1610"/>
      <c r="AO223" s="1610"/>
      <c r="AP223" s="1610"/>
    </row>
    <row r="224" spans="25:42">
      <c r="Y224" s="1594"/>
      <c r="Z224" s="1594"/>
      <c r="AA224" s="1594"/>
      <c r="AB224" s="1594"/>
      <c r="AC224" s="1594"/>
      <c r="AD224" s="1594"/>
      <c r="AE224" s="1594"/>
      <c r="AF224" s="1594"/>
      <c r="AH224" s="1610"/>
      <c r="AI224" s="1610"/>
      <c r="AJ224" s="2316"/>
      <c r="AK224" s="1610"/>
      <c r="AL224" s="1610"/>
      <c r="AM224" s="1610"/>
      <c r="AN224" s="1610"/>
      <c r="AO224" s="1610"/>
      <c r="AP224" s="1610"/>
    </row>
    <row r="225" spans="25:42">
      <c r="Y225" s="1594"/>
      <c r="Z225" s="1594"/>
      <c r="AA225" s="1594"/>
      <c r="AB225" s="1594"/>
      <c r="AC225" s="1594"/>
      <c r="AD225" s="1594"/>
      <c r="AE225" s="1642" t="s">
        <v>645</v>
      </c>
      <c r="AF225" s="1594"/>
      <c r="AH225" s="1610"/>
      <c r="AI225" s="1610"/>
      <c r="AJ225" s="2316"/>
      <c r="AK225" s="1610"/>
      <c r="AL225" s="1610"/>
      <c r="AM225" s="1610"/>
      <c r="AN225" s="1610"/>
      <c r="AO225" s="1610"/>
      <c r="AP225" s="1610"/>
    </row>
    <row r="226" spans="25:42">
      <c r="Y226" s="1642" t="s">
        <v>567</v>
      </c>
      <c r="Z226" s="1594"/>
      <c r="AA226" s="1594"/>
      <c r="AB226" s="1594"/>
      <c r="AC226" s="1594"/>
      <c r="AD226" s="2306" t="s">
        <v>646</v>
      </c>
      <c r="AE226" s="1642" t="s">
        <v>647</v>
      </c>
      <c r="AF226" s="2307"/>
      <c r="AH226" s="1610"/>
      <c r="AI226" s="1610"/>
      <c r="AJ226" s="2316"/>
      <c r="AK226" s="1610"/>
      <c r="AL226" s="1610"/>
      <c r="AM226" s="1610"/>
      <c r="AN226" s="1610"/>
      <c r="AO226" s="1610"/>
      <c r="AP226" s="1610"/>
    </row>
    <row r="227" spans="25:42">
      <c r="Y227" s="1645" t="s">
        <v>766</v>
      </c>
      <c r="Z227" s="2308"/>
      <c r="AA227" s="2309" t="s">
        <v>1988</v>
      </c>
      <c r="AB227" s="2308"/>
      <c r="AC227" s="1645" t="s">
        <v>643</v>
      </c>
      <c r="AD227" s="1645" t="s">
        <v>837</v>
      </c>
      <c r="AE227" s="1645" t="s">
        <v>648</v>
      </c>
      <c r="AF227" s="1594"/>
      <c r="AH227" s="1610"/>
      <c r="AI227" s="1610"/>
      <c r="AJ227" s="2316"/>
      <c r="AK227" s="1610"/>
      <c r="AL227" s="1610"/>
      <c r="AM227" s="1610"/>
      <c r="AN227" s="1610"/>
      <c r="AO227" s="1610"/>
      <c r="AP227" s="1610"/>
    </row>
    <row r="228" spans="25:42">
      <c r="Y228" s="1594"/>
      <c r="Z228" s="1594"/>
      <c r="AA228" s="1594"/>
      <c r="AB228" s="1594"/>
      <c r="AC228" s="1642" t="s">
        <v>2099</v>
      </c>
      <c r="AD228" s="2310" t="s">
        <v>649</v>
      </c>
      <c r="AE228" s="2310" t="s">
        <v>650</v>
      </c>
      <c r="AF228" s="1594"/>
      <c r="AH228" s="1610"/>
      <c r="AI228" s="1610"/>
      <c r="AJ228" s="2316"/>
      <c r="AK228" s="1610"/>
      <c r="AL228" s="1610"/>
      <c r="AM228" s="1610"/>
      <c r="AN228" s="1610"/>
      <c r="AO228" s="1610"/>
      <c r="AP228" s="1610"/>
    </row>
    <row r="229" spans="25:42">
      <c r="Y229" s="1594"/>
      <c r="Z229" s="1594"/>
      <c r="AA229" s="2311"/>
      <c r="AB229" s="1594"/>
      <c r="AC229" s="1594"/>
      <c r="AD229" s="1594"/>
      <c r="AE229" s="1594"/>
      <c r="AF229" s="1594"/>
      <c r="AH229" s="1610"/>
      <c r="AI229" s="1610"/>
      <c r="AJ229" s="2316"/>
      <c r="AK229" s="1610"/>
      <c r="AL229" s="1610"/>
      <c r="AM229" s="1610"/>
      <c r="AN229" s="1610"/>
      <c r="AO229" s="1610"/>
      <c r="AP229" s="1610"/>
    </row>
    <row r="230" spans="25:42">
      <c r="Y230" s="1642">
        <v>1</v>
      </c>
      <c r="Z230" s="1594"/>
      <c r="AA230" s="2301" t="s">
        <v>651</v>
      </c>
      <c r="AB230" s="1594"/>
      <c r="AC230" s="2118">
        <f>T104</f>
        <v>0</v>
      </c>
      <c r="AD230" s="2312">
        <f>SCH_D2.19!$BO$289</f>
        <v>1.0800000000000001E-2</v>
      </c>
      <c r="AE230" s="2118">
        <f>ROUND(AD230*AC230,0)</f>
        <v>0</v>
      </c>
      <c r="AF230" s="2313" t="s">
        <v>1960</v>
      </c>
      <c r="AH230" s="1610"/>
      <c r="AI230" s="1610"/>
      <c r="AJ230" s="2316"/>
      <c r="AK230" s="1610"/>
      <c r="AL230" s="1610"/>
      <c r="AM230" s="1610"/>
      <c r="AN230" s="1610"/>
      <c r="AO230" s="1610"/>
      <c r="AP230" s="1610"/>
    </row>
    <row r="231" spans="25:42">
      <c r="Y231" s="1642">
        <v>2</v>
      </c>
      <c r="Z231" s="1594"/>
      <c r="AA231" s="2314"/>
      <c r="AB231" s="1594"/>
      <c r="AC231" s="1594"/>
      <c r="AD231" s="1594"/>
      <c r="AE231" s="1594"/>
      <c r="AF231" s="1594"/>
      <c r="AH231" s="1610"/>
      <c r="AI231" s="1610"/>
      <c r="AJ231" s="2316"/>
      <c r="AK231" s="1610"/>
      <c r="AL231" s="1610"/>
      <c r="AM231" s="1610"/>
      <c r="AN231" s="1610"/>
      <c r="AO231" s="1610"/>
      <c r="AP231" s="1610"/>
    </row>
    <row r="232" spans="25:42">
      <c r="Y232" s="1642">
        <f>Y231+1</f>
        <v>3</v>
      </c>
      <c r="Z232" s="1594"/>
      <c r="AA232" s="2301" t="s">
        <v>669</v>
      </c>
      <c r="AB232" s="1594"/>
      <c r="AC232" s="2118">
        <f>R114</f>
        <v>-53412872</v>
      </c>
      <c r="AD232" s="2312">
        <f>SCH_D2.19!$BO$289</f>
        <v>1.0800000000000001E-2</v>
      </c>
      <c r="AE232" s="2118">
        <f>ROUND(AD232*AC232,0)</f>
        <v>-576859</v>
      </c>
      <c r="AF232" s="2313" t="s">
        <v>1960</v>
      </c>
      <c r="AH232" s="1610"/>
      <c r="AI232" s="1610"/>
      <c r="AJ232" s="2316"/>
      <c r="AK232" s="1610"/>
      <c r="AL232" s="1610"/>
      <c r="AM232" s="1610"/>
      <c r="AN232" s="1610"/>
      <c r="AO232" s="1610"/>
      <c r="AP232" s="1610"/>
    </row>
    <row r="233" spans="25:42">
      <c r="Y233" s="1642">
        <f t="shared" ref="Y233:Y234" si="34">Y232+1</f>
        <v>4</v>
      </c>
      <c r="Z233" s="1594"/>
      <c r="AA233" s="2301"/>
      <c r="AB233" s="1594"/>
      <c r="AC233" s="2118"/>
      <c r="AD233" s="2312"/>
      <c r="AE233" s="2118"/>
      <c r="AF233" s="2313"/>
      <c r="AH233" s="1610"/>
      <c r="AI233" s="1610"/>
      <c r="AJ233" s="2316"/>
      <c r="AK233" s="1610"/>
      <c r="AL233" s="1610"/>
      <c r="AM233" s="1610"/>
      <c r="AN233" s="1610"/>
      <c r="AO233" s="1610"/>
      <c r="AP233" s="1610"/>
    </row>
    <row r="234" spans="25:42">
      <c r="Y234" s="1642">
        <f t="shared" si="34"/>
        <v>5</v>
      </c>
      <c r="Z234" s="1594"/>
      <c r="AA234" s="2301" t="s">
        <v>2898</v>
      </c>
      <c r="AB234" s="1594"/>
      <c r="AC234" s="2118">
        <f>T127</f>
        <v>-31662166</v>
      </c>
      <c r="AD234" s="2312">
        <f>SCH_D2.19!$BO$289</f>
        <v>1.0800000000000001E-2</v>
      </c>
      <c r="AE234" s="2118">
        <f>ROUND(AD234*AC234,0)</f>
        <v>-341951</v>
      </c>
      <c r="AF234" s="2313" t="s">
        <v>1960</v>
      </c>
      <c r="AH234" s="1610"/>
      <c r="AI234" s="1610"/>
      <c r="AJ234" s="2316"/>
      <c r="AK234" s="1610"/>
      <c r="AL234" s="1610"/>
      <c r="AM234" s="1610"/>
      <c r="AN234" s="1610"/>
      <c r="AO234" s="1610"/>
      <c r="AP234" s="1610"/>
    </row>
    <row r="235" spans="25:42">
      <c r="Y235" s="1642"/>
      <c r="Z235" s="1594"/>
      <c r="AA235" s="2314"/>
      <c r="AB235" s="1594"/>
      <c r="AC235" s="1594"/>
      <c r="AD235" s="1594"/>
      <c r="AE235" s="1594"/>
      <c r="AF235" s="1594"/>
      <c r="AH235" s="1610"/>
      <c r="AI235" s="1610"/>
      <c r="AJ235" s="2316"/>
      <c r="AK235" s="1610"/>
      <c r="AL235" s="1610"/>
      <c r="AM235" s="1610"/>
      <c r="AN235" s="1610"/>
      <c r="AO235" s="1610"/>
      <c r="AP235" s="1610"/>
    </row>
    <row r="236" spans="25:42">
      <c r="Y236" s="1642"/>
      <c r="Z236" s="1594"/>
      <c r="AA236" s="2314"/>
      <c r="AB236" s="1594"/>
      <c r="AC236" s="1594"/>
      <c r="AD236" s="1594"/>
      <c r="AE236" s="1594"/>
      <c r="AF236" s="1594"/>
      <c r="AH236" s="1610"/>
      <c r="AI236" s="1610"/>
      <c r="AJ236" s="2316"/>
      <c r="AK236" s="1610"/>
      <c r="AL236" s="1610"/>
      <c r="AM236" s="1610"/>
      <c r="AN236" s="1610"/>
      <c r="AO236" s="1610"/>
      <c r="AP236" s="1610"/>
    </row>
    <row r="237" spans="25:42">
      <c r="Y237" s="1642"/>
      <c r="Z237" s="1594"/>
      <c r="AA237" s="2301" t="s">
        <v>3057</v>
      </c>
      <c r="AB237" s="1594"/>
      <c r="AC237" s="1594"/>
      <c r="AD237" s="1594"/>
      <c r="AE237" s="1594"/>
      <c r="AF237" s="1594"/>
      <c r="AH237" s="1610"/>
      <c r="AI237" s="1610"/>
      <c r="AJ237" s="1610"/>
      <c r="AK237" s="1610"/>
      <c r="AL237" s="1610"/>
      <c r="AM237" s="1610"/>
      <c r="AN237" s="1610"/>
      <c r="AO237" s="1610"/>
      <c r="AP237" s="1610"/>
    </row>
    <row r="238" spans="25:42">
      <c r="Y238" s="1642"/>
      <c r="Z238" s="1594"/>
      <c r="AA238" s="2301" t="s">
        <v>2978</v>
      </c>
      <c r="AB238" s="1594"/>
      <c r="AC238" s="1594"/>
      <c r="AD238" s="1594"/>
      <c r="AE238" s="1594"/>
      <c r="AF238" s="1594"/>
      <c r="AH238" s="1610"/>
      <c r="AI238" s="1610"/>
      <c r="AJ238" s="1610"/>
      <c r="AK238" s="1610"/>
      <c r="AL238" s="1610"/>
      <c r="AM238" s="1610"/>
      <c r="AN238" s="1610"/>
      <c r="AO238" s="1610"/>
      <c r="AP238" s="1610"/>
    </row>
    <row r="239" spans="25:42">
      <c r="AH239" s="1610"/>
      <c r="AI239" s="1610"/>
      <c r="AJ239" s="1610"/>
      <c r="AK239" s="1610"/>
      <c r="AL239" s="1610"/>
      <c r="AM239" s="1610"/>
      <c r="AN239" s="1610"/>
      <c r="AO239" s="1610"/>
      <c r="AP239" s="1610"/>
    </row>
    <row r="240" spans="25:42">
      <c r="AH240" s="1610"/>
      <c r="AI240" s="1610"/>
      <c r="AJ240" s="1610"/>
      <c r="AK240" s="1610"/>
      <c r="AL240" s="1610"/>
      <c r="AM240" s="1610"/>
      <c r="AN240" s="1610"/>
      <c r="AO240" s="1610"/>
      <c r="AP240" s="1610"/>
    </row>
    <row r="241" spans="34:42">
      <c r="AH241" s="1610"/>
      <c r="AI241" s="1610"/>
      <c r="AJ241" s="1610"/>
      <c r="AK241" s="1610"/>
      <c r="AL241" s="1610"/>
      <c r="AM241" s="1610"/>
      <c r="AN241" s="1610"/>
      <c r="AO241" s="1610"/>
      <c r="AP241" s="1610"/>
    </row>
    <row r="242" spans="34:42">
      <c r="AH242" s="1610"/>
      <c r="AI242" s="1610"/>
      <c r="AJ242" s="1610"/>
      <c r="AK242" s="1610"/>
      <c r="AL242" s="1610"/>
      <c r="AM242" s="1610"/>
      <c r="AN242" s="1610"/>
      <c r="AO242" s="1610"/>
      <c r="AP242" s="1610"/>
    </row>
    <row r="243" spans="34:42">
      <c r="AH243" s="1610"/>
      <c r="AI243" s="1610"/>
      <c r="AJ243" s="1610"/>
      <c r="AK243" s="1610"/>
      <c r="AL243" s="1610"/>
      <c r="AM243" s="1610"/>
      <c r="AN243" s="1610"/>
      <c r="AO243" s="1610"/>
      <c r="AP243" s="1610"/>
    </row>
    <row r="244" spans="34:42">
      <c r="AH244" s="1610"/>
      <c r="AI244" s="1610"/>
      <c r="AJ244" s="1610"/>
      <c r="AK244" s="1610"/>
      <c r="AL244" s="1610"/>
      <c r="AM244" s="1610"/>
      <c r="AN244" s="1610"/>
      <c r="AO244" s="1610"/>
      <c r="AP244" s="1610"/>
    </row>
    <row r="245" spans="34:42">
      <c r="AH245" s="1610"/>
      <c r="AI245" s="1610"/>
      <c r="AJ245" s="1610"/>
      <c r="AK245" s="1610"/>
      <c r="AL245" s="1610"/>
      <c r="AM245" s="1610"/>
      <c r="AN245" s="1610"/>
      <c r="AO245" s="1610"/>
      <c r="AP245" s="1610"/>
    </row>
    <row r="246" spans="34:42">
      <c r="AH246" s="1610"/>
      <c r="AI246" s="1610"/>
      <c r="AJ246" s="1610"/>
      <c r="AK246" s="1610"/>
      <c r="AL246" s="1610"/>
      <c r="AM246" s="1610"/>
      <c r="AN246" s="1610"/>
      <c r="AO246" s="1610"/>
      <c r="AP246" s="1610"/>
    </row>
    <row r="247" spans="34:42">
      <c r="AH247" s="1610"/>
      <c r="AI247" s="1610"/>
      <c r="AJ247" s="1610"/>
      <c r="AK247" s="1610"/>
      <c r="AL247" s="1610"/>
      <c r="AM247" s="1610"/>
      <c r="AN247" s="1610"/>
      <c r="AO247" s="1610"/>
      <c r="AP247" s="1610"/>
    </row>
    <row r="248" spans="34:42">
      <c r="AH248" s="1610"/>
      <c r="AI248" s="1610"/>
      <c r="AJ248" s="1610"/>
      <c r="AK248" s="1610"/>
      <c r="AL248" s="1610"/>
      <c r="AM248" s="1610"/>
      <c r="AN248" s="1610"/>
      <c r="AO248" s="1610"/>
      <c r="AP248" s="1610"/>
    </row>
    <row r="249" spans="34:42">
      <c r="AH249" s="1610"/>
      <c r="AI249" s="1610"/>
      <c r="AJ249" s="1610"/>
      <c r="AK249" s="1610"/>
      <c r="AL249" s="1610"/>
      <c r="AM249" s="1610"/>
      <c r="AN249" s="1610"/>
      <c r="AO249" s="1610"/>
      <c r="AP249" s="1610"/>
    </row>
    <row r="250" spans="34:42">
      <c r="AH250" s="1610"/>
      <c r="AI250" s="1610"/>
      <c r="AJ250" s="1610"/>
      <c r="AK250" s="1610"/>
      <c r="AL250" s="1610"/>
      <c r="AM250" s="1610"/>
      <c r="AN250" s="1610"/>
      <c r="AO250" s="1610"/>
      <c r="AP250" s="1610"/>
    </row>
    <row r="251" spans="34:42">
      <c r="AH251" s="1610"/>
      <c r="AI251" s="1610"/>
      <c r="AJ251" s="1610"/>
      <c r="AK251" s="1610"/>
      <c r="AL251" s="1610"/>
      <c r="AM251" s="1610"/>
      <c r="AN251" s="1610"/>
      <c r="AO251" s="1610"/>
      <c r="AP251" s="1610"/>
    </row>
    <row r="252" spans="34:42">
      <c r="AH252" s="1610"/>
      <c r="AI252" s="1610"/>
      <c r="AJ252" s="1610"/>
      <c r="AK252" s="1610"/>
      <c r="AL252" s="1610"/>
      <c r="AM252" s="1610"/>
      <c r="AN252" s="1610"/>
      <c r="AO252" s="1610"/>
      <c r="AP252" s="1610"/>
    </row>
    <row r="253" spans="34:42">
      <c r="AH253" s="1610"/>
      <c r="AI253" s="1610"/>
      <c r="AJ253" s="1610"/>
      <c r="AK253" s="1610"/>
      <c r="AL253" s="1610"/>
      <c r="AM253" s="1610"/>
      <c r="AN253" s="1610"/>
      <c r="AO253" s="1610"/>
      <c r="AP253" s="1610"/>
    </row>
    <row r="254" spans="34:42">
      <c r="AH254" s="1610"/>
      <c r="AI254" s="1610"/>
      <c r="AJ254" s="1610"/>
      <c r="AK254" s="1610"/>
      <c r="AL254" s="1610"/>
      <c r="AM254" s="1610"/>
      <c r="AN254" s="1610"/>
      <c r="AO254" s="1610"/>
      <c r="AP254" s="1610"/>
    </row>
    <row r="255" spans="34:42">
      <c r="AH255" s="1610"/>
      <c r="AI255" s="1610"/>
      <c r="AJ255" s="1610"/>
      <c r="AK255" s="1610"/>
      <c r="AL255" s="1610"/>
      <c r="AM255" s="1610"/>
      <c r="AN255" s="1610"/>
      <c r="AO255" s="1610"/>
      <c r="AP255" s="1610"/>
    </row>
    <row r="256" spans="34:42">
      <c r="AH256" s="1610"/>
      <c r="AI256" s="1610"/>
      <c r="AJ256" s="1610"/>
      <c r="AK256" s="1610"/>
      <c r="AL256" s="1610"/>
      <c r="AM256" s="1610"/>
      <c r="AN256" s="1610"/>
      <c r="AO256" s="1610"/>
      <c r="AP256" s="1610"/>
    </row>
    <row r="257" spans="34:42">
      <c r="AH257" s="1610"/>
      <c r="AI257" s="1610"/>
      <c r="AJ257" s="1610"/>
      <c r="AK257" s="1610"/>
      <c r="AL257" s="1610"/>
      <c r="AM257" s="1610"/>
      <c r="AN257" s="1610"/>
      <c r="AO257" s="1610"/>
      <c r="AP257" s="1610"/>
    </row>
    <row r="258" spans="34:42">
      <c r="AH258" s="1610"/>
      <c r="AI258" s="1610"/>
      <c r="AJ258" s="1610"/>
      <c r="AK258" s="1610"/>
      <c r="AL258" s="1610"/>
      <c r="AM258" s="1610"/>
      <c r="AN258" s="1610"/>
      <c r="AO258" s="1610"/>
      <c r="AP258" s="1610"/>
    </row>
    <row r="259" spans="34:42">
      <c r="AH259" s="1610"/>
      <c r="AI259" s="1610"/>
      <c r="AJ259" s="1610"/>
      <c r="AK259" s="1610"/>
      <c r="AL259" s="1610"/>
      <c r="AM259" s="1610"/>
      <c r="AN259" s="1610"/>
      <c r="AO259" s="1610"/>
      <c r="AP259" s="1610"/>
    </row>
    <row r="260" spans="34:42">
      <c r="AH260" s="1610"/>
      <c r="AI260" s="1610"/>
      <c r="AJ260" s="1610"/>
      <c r="AK260" s="1610"/>
      <c r="AL260" s="1610"/>
      <c r="AM260" s="1610"/>
      <c r="AN260" s="1610"/>
      <c r="AO260" s="1610"/>
      <c r="AP260" s="1610"/>
    </row>
    <row r="261" spans="34:42">
      <c r="AH261" s="1610"/>
      <c r="AI261" s="1610"/>
      <c r="AJ261" s="1610"/>
      <c r="AK261" s="1610"/>
      <c r="AL261" s="1610"/>
      <c r="AM261" s="1610"/>
      <c r="AN261" s="1610"/>
      <c r="AO261" s="1610"/>
      <c r="AP261" s="1610"/>
    </row>
    <row r="262" spans="34:42">
      <c r="AH262" s="1610"/>
      <c r="AI262" s="1610"/>
      <c r="AJ262" s="1610"/>
      <c r="AK262" s="1610"/>
      <c r="AL262" s="1610"/>
      <c r="AM262" s="1610"/>
      <c r="AN262" s="1610"/>
      <c r="AO262" s="1610"/>
      <c r="AP262" s="1610"/>
    </row>
    <row r="263" spans="34:42">
      <c r="AH263" s="1610"/>
      <c r="AI263" s="1610"/>
      <c r="AJ263" s="1610"/>
      <c r="AK263" s="1610"/>
      <c r="AL263" s="1610"/>
      <c r="AM263" s="1610"/>
      <c r="AN263" s="1610"/>
      <c r="AO263" s="1610"/>
      <c r="AP263" s="1610"/>
    </row>
    <row r="264" spans="34:42">
      <c r="AH264" s="1610"/>
      <c r="AI264" s="1610"/>
      <c r="AJ264" s="1610"/>
      <c r="AK264" s="1610"/>
      <c r="AL264" s="1610"/>
      <c r="AM264" s="1610"/>
      <c r="AN264" s="1610"/>
      <c r="AO264" s="1610"/>
      <c r="AP264" s="1610"/>
    </row>
    <row r="265" spans="34:42">
      <c r="AH265" s="1610"/>
      <c r="AI265" s="1610"/>
      <c r="AJ265" s="1610"/>
      <c r="AK265" s="1610"/>
      <c r="AL265" s="1610"/>
      <c r="AM265" s="1610"/>
      <c r="AN265" s="1610"/>
      <c r="AO265" s="1610"/>
      <c r="AP265" s="1610"/>
    </row>
    <row r="266" spans="34:42">
      <c r="AH266" s="1610"/>
      <c r="AI266" s="1610"/>
      <c r="AJ266" s="1610"/>
      <c r="AK266" s="1610"/>
      <c r="AL266" s="1610"/>
      <c r="AM266" s="1610"/>
      <c r="AN266" s="1610"/>
      <c r="AO266" s="1610"/>
      <c r="AP266" s="1610"/>
    </row>
    <row r="267" spans="34:42">
      <c r="AH267" s="1610"/>
      <c r="AI267" s="1610"/>
      <c r="AJ267" s="1610"/>
      <c r="AK267" s="1610"/>
      <c r="AL267" s="1610"/>
      <c r="AM267" s="1610"/>
      <c r="AN267" s="1610"/>
      <c r="AO267" s="1610"/>
      <c r="AP267" s="1610"/>
    </row>
    <row r="268" spans="34:42">
      <c r="AH268" s="1610"/>
      <c r="AI268" s="1610"/>
      <c r="AJ268" s="1610"/>
      <c r="AK268" s="1610"/>
      <c r="AL268" s="1610"/>
      <c r="AM268" s="1610"/>
      <c r="AN268" s="1610"/>
      <c r="AO268" s="1610"/>
      <c r="AP268" s="1610"/>
    </row>
    <row r="269" spans="34:42">
      <c r="AH269" s="1610"/>
      <c r="AI269" s="1610"/>
      <c r="AJ269" s="1610"/>
      <c r="AK269" s="1610"/>
      <c r="AL269" s="1610"/>
      <c r="AM269" s="1610"/>
      <c r="AN269" s="1610"/>
      <c r="AO269" s="1610"/>
      <c r="AP269" s="1610"/>
    </row>
    <row r="270" spans="34:42">
      <c r="AH270" s="1610"/>
      <c r="AI270" s="1610"/>
      <c r="AJ270" s="1610"/>
      <c r="AK270" s="1610"/>
      <c r="AL270" s="1610"/>
      <c r="AM270" s="1610"/>
      <c r="AN270" s="1610"/>
      <c r="AO270" s="1610"/>
      <c r="AP270" s="1610"/>
    </row>
    <row r="271" spans="34:42">
      <c r="AH271" s="1610"/>
      <c r="AI271" s="1610"/>
      <c r="AJ271" s="1610"/>
      <c r="AK271" s="1610"/>
      <c r="AL271" s="1610"/>
      <c r="AM271" s="1610"/>
      <c r="AN271" s="1610"/>
      <c r="AO271" s="1610"/>
      <c r="AP271" s="1610"/>
    </row>
    <row r="272" spans="34:42">
      <c r="AH272" s="1610"/>
      <c r="AI272" s="1610"/>
      <c r="AJ272" s="1610"/>
      <c r="AK272" s="1610"/>
      <c r="AL272" s="1610"/>
      <c r="AM272" s="1610"/>
      <c r="AN272" s="1610"/>
      <c r="AO272" s="1610"/>
      <c r="AP272" s="1610"/>
    </row>
    <row r="273" spans="34:42">
      <c r="AH273" s="1610"/>
      <c r="AI273" s="1610"/>
      <c r="AJ273" s="1610"/>
      <c r="AK273" s="1610"/>
      <c r="AL273" s="1610"/>
      <c r="AM273" s="1610"/>
      <c r="AN273" s="1610"/>
      <c r="AO273" s="1610"/>
      <c r="AP273" s="1610"/>
    </row>
    <row r="274" spans="34:42">
      <c r="AH274" s="1610"/>
      <c r="AI274" s="1610"/>
      <c r="AJ274" s="1610"/>
      <c r="AK274" s="1610"/>
      <c r="AL274" s="1610"/>
      <c r="AM274" s="1610"/>
      <c r="AN274" s="1610"/>
      <c r="AO274" s="1610"/>
      <c r="AP274" s="1610"/>
    </row>
    <row r="275" spans="34:42">
      <c r="AH275" s="1610"/>
      <c r="AI275" s="1610"/>
      <c r="AJ275" s="1610"/>
      <c r="AK275" s="1610"/>
      <c r="AL275" s="1610"/>
      <c r="AM275" s="1610"/>
      <c r="AN275" s="1610"/>
      <c r="AO275" s="1610"/>
      <c r="AP275" s="1610"/>
    </row>
    <row r="276" spans="34:42">
      <c r="AH276" s="1610"/>
      <c r="AI276" s="1610"/>
      <c r="AJ276" s="1610"/>
      <c r="AK276" s="1610"/>
      <c r="AL276" s="1610"/>
      <c r="AM276" s="1610"/>
      <c r="AN276" s="1610"/>
      <c r="AO276" s="1610"/>
      <c r="AP276" s="1610"/>
    </row>
    <row r="277" spans="34:42">
      <c r="AH277" s="1610"/>
      <c r="AI277" s="1610"/>
      <c r="AJ277" s="1610"/>
      <c r="AK277" s="1610"/>
      <c r="AL277" s="1610"/>
      <c r="AM277" s="1610"/>
      <c r="AN277" s="1610"/>
      <c r="AO277" s="1610"/>
      <c r="AP277" s="1610"/>
    </row>
  </sheetData>
  <phoneticPr fontId="4" type="noConversion"/>
  <pageMargins left="1" right="0.75" top="1" bottom="1" header="0.5" footer="0.5"/>
  <pageSetup scale="72" orientation="portrait" horizontalDpi="300" verticalDpi="3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AC104"/>
  <sheetViews>
    <sheetView zoomScale="90" zoomScaleNormal="90" workbookViewId="0"/>
  </sheetViews>
  <sheetFormatPr defaultColWidth="8" defaultRowHeight="13.2"/>
  <cols>
    <col min="1" max="1" width="7.109375" style="2833" customWidth="1"/>
    <col min="2" max="2" width="1" style="2833" customWidth="1"/>
    <col min="3" max="3" width="11.88671875" style="2833" customWidth="1"/>
    <col min="4" max="4" width="1" style="2833" customWidth="1"/>
    <col min="5" max="5" width="49" style="2833" customWidth="1"/>
    <col min="6" max="6" width="2.88671875" style="2833" customWidth="1"/>
    <col min="7" max="7" width="16.33203125" style="2833" customWidth="1"/>
    <col min="8" max="8" width="0.88671875" style="2833" customWidth="1"/>
    <col min="9" max="9" width="16" style="2833" customWidth="1"/>
    <col min="10" max="10" width="0.5546875" style="2833" customWidth="1"/>
    <col min="11" max="11" width="57.88671875" style="2833" customWidth="1"/>
    <col min="12" max="12" width="7.88671875" style="2833" customWidth="1"/>
    <col min="13" max="13" width="1.109375" style="2833" customWidth="1"/>
    <col min="14" max="14" width="33.5546875" style="2833" customWidth="1"/>
    <col min="15" max="15" width="17.5546875" style="2833" customWidth="1"/>
    <col min="16" max="16" width="17.33203125" style="2833" customWidth="1"/>
    <col min="17" max="17" width="17.44140625" style="2833" customWidth="1"/>
    <col min="18" max="18" width="18.88671875" style="2833" customWidth="1"/>
    <col min="19" max="19" width="5.109375" style="2833" customWidth="1"/>
    <col min="20" max="20" width="19.44140625" style="2833" customWidth="1"/>
    <col min="21" max="21" width="16.6640625" style="2833" customWidth="1"/>
    <col min="22" max="22" width="8.33203125" style="2833" customWidth="1"/>
    <col min="23" max="23" width="1.109375" style="2833" customWidth="1"/>
    <col min="24" max="24" width="11.44140625" style="2833" customWidth="1"/>
    <col min="25" max="25" width="0.5546875" style="2833" customWidth="1"/>
    <col min="26" max="26" width="40.44140625" style="2833" customWidth="1"/>
    <col min="27" max="27" width="52.109375" style="2833" customWidth="1"/>
    <col min="28" max="28" width="1.44140625" style="2833" customWidth="1"/>
    <col min="29" max="29" width="44.44140625" style="2833" customWidth="1"/>
    <col min="30" max="16384" width="8" style="2833"/>
  </cols>
  <sheetData>
    <row r="1" spans="1:12">
      <c r="A1" s="2831" t="str">
        <f>COMPANY</f>
        <v>DUKE ENERGY KENTUCKY, INC.</v>
      </c>
      <c r="B1" s="2832"/>
      <c r="C1" s="2832"/>
      <c r="D1" s="2832"/>
      <c r="E1" s="2832"/>
      <c r="F1" s="2832"/>
      <c r="G1" s="2832"/>
      <c r="H1" s="2832"/>
      <c r="I1" s="2832"/>
      <c r="J1" s="2832"/>
      <c r="K1" s="2832"/>
    </row>
    <row r="2" spans="1:12">
      <c r="A2" s="2831" t="str">
        <f>CASE</f>
        <v>CASE NO. 2018-00261</v>
      </c>
      <c r="B2" s="2832"/>
      <c r="C2" s="2832"/>
      <c r="D2" s="2832"/>
      <c r="E2" s="2832"/>
      <c r="F2" s="2832"/>
      <c r="G2" s="2832"/>
      <c r="H2" s="2832"/>
      <c r="I2" s="2832"/>
      <c r="J2" s="2832"/>
      <c r="K2" s="2832"/>
    </row>
    <row r="3" spans="1:12">
      <c r="A3" s="2831" t="s">
        <v>652</v>
      </c>
      <c r="B3" s="2832"/>
      <c r="C3" s="2832"/>
      <c r="D3" s="2832"/>
      <c r="E3" s="2832"/>
      <c r="F3" s="2832"/>
      <c r="G3" s="2832"/>
      <c r="H3" s="2832"/>
      <c r="I3" s="2832"/>
      <c r="J3" s="2832"/>
      <c r="K3" s="2832"/>
    </row>
    <row r="4" spans="1:12">
      <c r="A4" s="2832" t="str">
        <f>PeriodF</f>
        <v>FOR THE TWELVE MONTHS ENDED MARCH 31, 2020</v>
      </c>
      <c r="B4" s="2832"/>
      <c r="C4" s="2832"/>
      <c r="D4" s="2832"/>
      <c r="E4" s="2832"/>
      <c r="F4" s="2832"/>
      <c r="G4" s="2832"/>
      <c r="H4" s="2832"/>
      <c r="I4" s="2832"/>
      <c r="J4" s="2832"/>
      <c r="K4" s="2832"/>
    </row>
    <row r="6" spans="1:12">
      <c r="A6" s="2834" t="str">
        <f>DataF</f>
        <v>DATA:  BASE PERIOD  "X" FORECASTED PERIOD</v>
      </c>
      <c r="K6" s="2835" t="s">
        <v>653</v>
      </c>
    </row>
    <row r="7" spans="1:12">
      <c r="A7" s="2834" t="str">
        <f>Type</f>
        <v xml:space="preserve">TYPE OF FILING:  "X" ORIGINAL   UPDATED    REVISED  </v>
      </c>
      <c r="K7" s="2835" t="s">
        <v>654</v>
      </c>
    </row>
    <row r="8" spans="1:12">
      <c r="A8" s="2835" t="s">
        <v>655</v>
      </c>
      <c r="K8" s="2835" t="s">
        <v>656</v>
      </c>
    </row>
    <row r="9" spans="1:12">
      <c r="K9" s="2835" t="str">
        <f>"                "&amp;_WIT2</f>
        <v xml:space="preserve">                J. E. ZIOLKOWSKI</v>
      </c>
    </row>
    <row r="10" spans="1:12">
      <c r="A10" s="2836"/>
      <c r="B10" s="2836"/>
      <c r="C10" s="2836"/>
      <c r="D10" s="2836"/>
      <c r="E10" s="2836"/>
      <c r="F10" s="2836"/>
      <c r="G10" s="2836"/>
      <c r="H10" s="2836"/>
      <c r="I10" s="2836"/>
      <c r="J10" s="2836"/>
      <c r="K10" s="2836"/>
      <c r="L10" s="2837"/>
    </row>
    <row r="11" spans="1:12">
      <c r="J11" s="2838"/>
      <c r="K11" s="2838" t="s">
        <v>657</v>
      </c>
      <c r="L11" s="2839"/>
    </row>
    <row r="12" spans="1:12">
      <c r="A12" s="2838" t="s">
        <v>567</v>
      </c>
      <c r="C12" s="2838" t="s">
        <v>2160</v>
      </c>
      <c r="E12" s="2838" t="s">
        <v>2160</v>
      </c>
      <c r="G12" s="2831" t="s">
        <v>686</v>
      </c>
      <c r="H12" s="2832"/>
      <c r="I12" s="2831"/>
      <c r="J12" s="2838"/>
      <c r="K12" s="2838" t="s">
        <v>658</v>
      </c>
      <c r="L12" s="2839"/>
    </row>
    <row r="13" spans="1:12">
      <c r="A13" s="2838" t="s">
        <v>2169</v>
      </c>
      <c r="C13" s="2838" t="s">
        <v>693</v>
      </c>
      <c r="E13" s="2838" t="s">
        <v>659</v>
      </c>
      <c r="G13" s="2838" t="s">
        <v>910</v>
      </c>
      <c r="I13" s="2838" t="s">
        <v>2097</v>
      </c>
      <c r="J13" s="2838"/>
      <c r="K13" s="2838" t="s">
        <v>906</v>
      </c>
      <c r="L13" s="2839"/>
    </row>
    <row r="14" spans="1:12">
      <c r="A14" s="2836"/>
      <c r="B14" s="2836"/>
      <c r="C14" s="2836"/>
      <c r="D14" s="2836"/>
      <c r="E14" s="2836"/>
      <c r="F14" s="2836"/>
      <c r="G14" s="2836"/>
      <c r="H14" s="2836"/>
      <c r="I14" s="2836"/>
      <c r="J14" s="2836"/>
      <c r="K14" s="2836"/>
      <c r="L14" s="2837"/>
    </row>
    <row r="15" spans="1:12">
      <c r="A15" s="2840"/>
      <c r="C15" s="2838"/>
      <c r="E15" s="2838"/>
      <c r="G15" s="2838"/>
      <c r="I15" s="2838"/>
      <c r="K15" s="2838"/>
      <c r="L15" s="2839"/>
    </row>
    <row r="16" spans="1:12">
      <c r="L16" s="2839"/>
    </row>
    <row r="17" spans="1:11">
      <c r="A17" s="2841"/>
      <c r="C17" s="2840"/>
      <c r="G17" s="2842"/>
      <c r="I17" s="2843"/>
      <c r="J17" s="2844"/>
      <c r="K17" s="2845"/>
    </row>
    <row r="18" spans="1:11">
      <c r="A18" s="2831" t="s">
        <v>660</v>
      </c>
      <c r="B18" s="2831"/>
      <c r="C18" s="2831"/>
      <c r="D18" s="2831"/>
      <c r="E18" s="2831"/>
      <c r="F18" s="2831"/>
      <c r="G18" s="2831"/>
      <c r="H18" s="2831"/>
      <c r="I18" s="2831"/>
      <c r="J18" s="2831"/>
      <c r="K18" s="2831"/>
    </row>
    <row r="19" spans="1:11">
      <c r="A19" s="2841"/>
      <c r="C19" s="2840"/>
      <c r="E19" s="2835"/>
      <c r="G19" s="2842"/>
      <c r="I19" s="2844"/>
    </row>
    <row r="20" spans="1:11">
      <c r="A20" s="2841"/>
      <c r="C20" s="2840"/>
      <c r="E20" s="2835"/>
      <c r="G20" s="2842"/>
      <c r="I20" s="2843"/>
      <c r="J20" s="2844"/>
      <c r="K20" s="2845"/>
    </row>
    <row r="21" spans="1:11">
      <c r="A21" s="2841"/>
      <c r="C21" s="2846"/>
      <c r="G21" s="2847"/>
      <c r="I21" s="2844"/>
    </row>
    <row r="22" spans="1:11">
      <c r="A22" s="2841"/>
      <c r="C22" s="2838"/>
      <c r="E22" s="2835"/>
      <c r="G22" s="2842"/>
      <c r="I22" s="2843"/>
      <c r="J22" s="2844"/>
      <c r="K22" s="2845"/>
    </row>
    <row r="23" spans="1:11">
      <c r="A23" s="2841"/>
      <c r="E23" s="2835"/>
      <c r="G23" s="2842"/>
      <c r="I23" s="2843"/>
      <c r="J23" s="2844"/>
      <c r="K23" s="2845"/>
    </row>
    <row r="24" spans="1:11">
      <c r="A24" s="2841"/>
      <c r="G24" s="2847"/>
      <c r="I24" s="2844"/>
    </row>
    <row r="25" spans="1:11">
      <c r="A25" s="2841"/>
      <c r="C25" s="2838"/>
      <c r="E25" s="2835"/>
      <c r="G25" s="2847"/>
      <c r="I25" s="2844"/>
    </row>
    <row r="26" spans="1:11">
      <c r="A26" s="2841"/>
      <c r="E26" s="2835"/>
      <c r="G26" s="2842"/>
      <c r="I26" s="2843"/>
      <c r="J26" s="2844"/>
      <c r="K26" s="2845"/>
    </row>
    <row r="27" spans="1:11">
      <c r="A27" s="2841"/>
      <c r="E27" s="2835"/>
      <c r="G27" s="2842"/>
      <c r="I27" s="2843"/>
      <c r="J27" s="2844"/>
      <c r="K27" s="2845"/>
    </row>
    <row r="28" spans="1:11">
      <c r="A28" s="2841"/>
      <c r="E28" s="2835"/>
      <c r="G28" s="2842"/>
      <c r="I28" s="2843"/>
      <c r="J28" s="2844"/>
      <c r="K28" s="2845"/>
    </row>
    <row r="29" spans="1:11">
      <c r="A29" s="2841"/>
      <c r="G29" s="2847"/>
      <c r="I29" s="2844"/>
    </row>
    <row r="30" spans="1:11">
      <c r="A30" s="2841"/>
      <c r="C30" s="2838"/>
      <c r="E30" s="2835"/>
      <c r="G30" s="2847"/>
      <c r="I30" s="2844"/>
    </row>
    <row r="31" spans="1:11">
      <c r="A31" s="2841"/>
      <c r="E31" s="2835"/>
      <c r="G31" s="2848"/>
      <c r="I31" s="2843"/>
      <c r="J31" s="2844"/>
      <c r="K31" s="2845"/>
    </row>
    <row r="32" spans="1:11">
      <c r="A32" s="2841"/>
      <c r="E32" s="2835"/>
      <c r="G32" s="2848"/>
      <c r="I32" s="2843"/>
      <c r="J32" s="2844"/>
      <c r="K32" s="2845"/>
    </row>
    <row r="33" spans="1:21">
      <c r="A33" s="2841"/>
      <c r="E33" s="2835"/>
      <c r="G33" s="2848"/>
      <c r="I33" s="2843"/>
      <c r="J33" s="2844"/>
      <c r="K33" s="2845"/>
    </row>
    <row r="34" spans="1:21">
      <c r="A34" s="2841"/>
      <c r="E34" s="2835"/>
      <c r="G34" s="2848"/>
      <c r="I34" s="2849"/>
      <c r="J34" s="2844"/>
      <c r="K34" s="2845"/>
    </row>
    <row r="35" spans="1:21">
      <c r="A35" s="2835"/>
      <c r="E35" s="2847"/>
    </row>
    <row r="36" spans="1:21">
      <c r="E36" s="2847"/>
    </row>
    <row r="37" spans="1:21">
      <c r="E37" s="2847"/>
    </row>
    <row r="38" spans="1:21">
      <c r="E38" s="2847"/>
    </row>
    <row r="39" spans="1:21">
      <c r="E39" s="2847"/>
    </row>
    <row r="40" spans="1:21">
      <c r="E40" s="2847"/>
      <c r="L40" s="2831" t="str">
        <f>LOGO!B5</f>
        <v>DUKE ENERGY KENTUCKY, INC.</v>
      </c>
      <c r="M40" s="2832"/>
      <c r="N40" s="2832"/>
      <c r="O40" s="2832"/>
      <c r="P40" s="2832"/>
      <c r="Q40" s="2832"/>
      <c r="R40" s="2832"/>
      <c r="S40" s="2832"/>
      <c r="T40" s="2832"/>
      <c r="U40" s="2832"/>
    </row>
    <row r="41" spans="1:21">
      <c r="E41" s="2847"/>
      <c r="L41" s="2831" t="str">
        <f>LOGO!B6</f>
        <v>CASE NO. 2018-00261</v>
      </c>
      <c r="M41" s="2832"/>
      <c r="N41" s="2832"/>
      <c r="O41" s="2832"/>
      <c r="P41" s="2832"/>
      <c r="Q41" s="2832"/>
      <c r="R41" s="2832"/>
      <c r="S41" s="2832"/>
      <c r="T41" s="2832"/>
      <c r="U41" s="2832"/>
    </row>
    <row r="42" spans="1:21">
      <c r="E42" s="2847"/>
      <c r="L42" s="2831" t="s">
        <v>661</v>
      </c>
      <c r="M42" s="2832"/>
      <c r="N42" s="2832"/>
      <c r="O42" s="2832"/>
      <c r="P42" s="2832"/>
      <c r="Q42" s="2832"/>
      <c r="R42" s="2832"/>
      <c r="S42" s="2832"/>
      <c r="T42" s="2832"/>
      <c r="U42" s="2832"/>
    </row>
    <row r="43" spans="1:21">
      <c r="E43" s="2847"/>
      <c r="L43" s="2832" t="str">
        <f>LOGO!B8</f>
        <v>FOR THE TWELVE MONTHS ENDED MARCH 31, 2020</v>
      </c>
      <c r="M43" s="2832"/>
      <c r="N43" s="2832"/>
      <c r="O43" s="2832"/>
      <c r="P43" s="2832"/>
      <c r="Q43" s="2832"/>
      <c r="R43" s="2832"/>
      <c r="S43" s="2832"/>
      <c r="T43" s="2832"/>
      <c r="U43" s="2832"/>
    </row>
    <row r="44" spans="1:21">
      <c r="E44" s="2847"/>
    </row>
    <row r="45" spans="1:21">
      <c r="E45" s="2847"/>
      <c r="L45" s="2834" t="str">
        <f>DataF</f>
        <v>DATA:  BASE PERIOD  "X" FORECASTED PERIOD</v>
      </c>
      <c r="T45" s="2835" t="s">
        <v>662</v>
      </c>
    </row>
    <row r="46" spans="1:21">
      <c r="E46" s="2847"/>
      <c r="L46" s="2834" t="str">
        <f>LOGO!B15</f>
        <v xml:space="preserve">TYPE OF FILING:  "X" ORIGINAL   UPDATED    REVISED  </v>
      </c>
      <c r="T46" s="2835" t="s">
        <v>564</v>
      </c>
    </row>
    <row r="47" spans="1:21">
      <c r="L47" s="2835" t="s">
        <v>655</v>
      </c>
      <c r="T47" s="2835" t="s">
        <v>566</v>
      </c>
    </row>
    <row r="48" spans="1:21">
      <c r="T48" s="2835" t="str">
        <f>_WIT2</f>
        <v>J. E. ZIOLKOWSKI</v>
      </c>
      <c r="U48" s="1627"/>
    </row>
    <row r="49" spans="12:22">
      <c r="L49" s="2836"/>
      <c r="M49" s="2836"/>
      <c r="N49" s="2836"/>
      <c r="O49" s="2836"/>
      <c r="P49" s="2836"/>
      <c r="Q49" s="2836"/>
      <c r="R49" s="2836"/>
      <c r="S49" s="2836"/>
      <c r="T49" s="2836"/>
      <c r="U49" s="2836"/>
      <c r="V49" s="2835"/>
    </row>
    <row r="50" spans="12:22">
      <c r="P50" s="2850" t="s">
        <v>817</v>
      </c>
      <c r="Q50" s="2838" t="s">
        <v>816</v>
      </c>
    </row>
    <row r="51" spans="12:22">
      <c r="O51" s="2838" t="s">
        <v>663</v>
      </c>
      <c r="P51" s="2850" t="s">
        <v>664</v>
      </c>
      <c r="Q51" s="2838" t="s">
        <v>663</v>
      </c>
      <c r="S51" s="2838"/>
      <c r="U51" s="2850"/>
    </row>
    <row r="52" spans="12:22">
      <c r="L52" s="2838" t="s">
        <v>567</v>
      </c>
      <c r="N52" s="2850" t="s">
        <v>665</v>
      </c>
      <c r="O52" s="2838" t="s">
        <v>884</v>
      </c>
      <c r="P52" s="2850" t="s">
        <v>694</v>
      </c>
      <c r="Q52" s="2838" t="s">
        <v>666</v>
      </c>
      <c r="R52" s="2838" t="s">
        <v>869</v>
      </c>
      <c r="S52" s="2838"/>
      <c r="T52" s="3589" t="s">
        <v>870</v>
      </c>
      <c r="U52" s="3589"/>
    </row>
    <row r="53" spans="12:22">
      <c r="L53" s="2838" t="s">
        <v>2169</v>
      </c>
      <c r="N53" s="2850" t="s">
        <v>871</v>
      </c>
      <c r="O53" s="2838" t="s">
        <v>694</v>
      </c>
      <c r="P53" s="2850" t="s">
        <v>663</v>
      </c>
      <c r="Q53" s="2838" t="s">
        <v>694</v>
      </c>
      <c r="R53" s="2838" t="s">
        <v>872</v>
      </c>
      <c r="S53" s="2838"/>
      <c r="T53" s="3590" t="s">
        <v>2097</v>
      </c>
      <c r="U53" s="3590"/>
    </row>
    <row r="54" spans="12:22">
      <c r="L54" s="2851" t="s">
        <v>837</v>
      </c>
      <c r="M54" s="2836"/>
      <c r="N54" s="2851" t="s">
        <v>873</v>
      </c>
      <c r="O54" s="2851" t="s">
        <v>845</v>
      </c>
      <c r="P54" s="2851" t="s">
        <v>1042</v>
      </c>
      <c r="Q54" s="2851" t="s">
        <v>874</v>
      </c>
      <c r="R54" s="2851" t="s">
        <v>840</v>
      </c>
      <c r="S54" s="2836"/>
      <c r="T54" s="3591" t="s">
        <v>875</v>
      </c>
      <c r="U54" s="3591"/>
      <c r="V54" s="2835"/>
    </row>
    <row r="55" spans="12:22">
      <c r="O55" s="2852"/>
      <c r="U55" s="2846"/>
    </row>
    <row r="56" spans="12:22">
      <c r="L56" s="2834"/>
      <c r="N56" s="2835"/>
      <c r="O56" s="2853"/>
      <c r="P56" s="2854"/>
      <c r="Q56" s="2854"/>
      <c r="R56" s="2853"/>
      <c r="S56" s="2854"/>
      <c r="T56" s="2855"/>
      <c r="U56" s="2840"/>
    </row>
    <row r="57" spans="12:22">
      <c r="L57" s="2834"/>
      <c r="N57" s="2835"/>
      <c r="P57" s="2856"/>
      <c r="Q57" s="2856"/>
      <c r="R57" s="2857"/>
      <c r="S57" s="2856"/>
      <c r="T57" s="2855"/>
      <c r="U57" s="2840"/>
    </row>
    <row r="58" spans="12:22">
      <c r="L58" s="3589" t="s">
        <v>660</v>
      </c>
      <c r="M58" s="3589"/>
      <c r="N58" s="3589"/>
      <c r="O58" s="3589"/>
      <c r="P58" s="3589"/>
      <c r="Q58" s="3589"/>
      <c r="R58" s="3589"/>
      <c r="S58" s="3589"/>
      <c r="T58" s="3589"/>
      <c r="U58" s="3589"/>
    </row>
    <row r="59" spans="12:22">
      <c r="L59" s="2834"/>
      <c r="N59" s="2835"/>
      <c r="O59" s="2857"/>
      <c r="R59" s="2857"/>
      <c r="T59" s="2855"/>
      <c r="U59" s="2840"/>
    </row>
    <row r="60" spans="12:22">
      <c r="L60" s="2834"/>
      <c r="N60" s="2835"/>
      <c r="O60" s="2858"/>
      <c r="P60" s="2854"/>
      <c r="Q60" s="2854"/>
      <c r="R60" s="2858"/>
      <c r="S60" s="2854"/>
      <c r="T60" s="2855"/>
      <c r="U60" s="2850"/>
    </row>
    <row r="61" spans="12:22">
      <c r="L61" s="2834"/>
      <c r="N61" s="2835"/>
      <c r="O61" s="2859"/>
      <c r="P61" s="2835"/>
      <c r="Q61" s="2835"/>
      <c r="R61" s="2860"/>
      <c r="S61" s="2835"/>
      <c r="T61" s="2855"/>
      <c r="U61" s="2840"/>
    </row>
    <row r="62" spans="12:22">
      <c r="L62" s="2834"/>
      <c r="N62" s="2835"/>
      <c r="O62" s="2859"/>
      <c r="P62" s="2854"/>
      <c r="Q62" s="2854"/>
      <c r="R62" s="2860"/>
      <c r="S62" s="2854"/>
      <c r="T62" s="2855"/>
      <c r="U62" s="2840"/>
    </row>
    <row r="63" spans="12:22">
      <c r="L63" s="2834"/>
      <c r="N63" s="2835"/>
      <c r="O63" s="2861"/>
      <c r="P63" s="2854"/>
      <c r="Q63" s="2854"/>
      <c r="R63" s="2861"/>
      <c r="S63" s="2854"/>
      <c r="T63" s="2855"/>
      <c r="U63" s="2840"/>
    </row>
    <row r="64" spans="12:22">
      <c r="L64" s="2834"/>
      <c r="N64" s="2835"/>
      <c r="O64" s="2857"/>
      <c r="P64" s="2856"/>
      <c r="Q64" s="2856"/>
      <c r="R64" s="2857"/>
      <c r="S64" s="2856"/>
      <c r="T64" s="2855"/>
      <c r="U64" s="2840"/>
    </row>
    <row r="65" spans="12:29">
      <c r="L65" s="2834"/>
      <c r="N65" s="2835"/>
      <c r="O65" s="2858"/>
      <c r="P65" s="2854"/>
      <c r="Q65" s="2856"/>
      <c r="R65" s="2858"/>
      <c r="S65" s="2854"/>
      <c r="T65" s="2855"/>
      <c r="U65" s="2838"/>
    </row>
    <row r="66" spans="12:29">
      <c r="L66" s="2834"/>
      <c r="N66" s="2835"/>
      <c r="O66" s="2856"/>
      <c r="P66" s="2856"/>
      <c r="Q66" s="2856"/>
      <c r="R66" s="2856"/>
      <c r="S66" s="2856"/>
      <c r="T66" s="2858"/>
      <c r="U66" s="2835"/>
    </row>
    <row r="67" spans="12:29">
      <c r="L67" s="2834"/>
      <c r="N67" s="2835"/>
      <c r="O67" s="2856"/>
      <c r="P67" s="2856"/>
      <c r="Q67" s="2856"/>
      <c r="R67" s="2856"/>
      <c r="S67" s="2856"/>
      <c r="T67" s="2858"/>
      <c r="U67" s="2835"/>
    </row>
    <row r="68" spans="12:29">
      <c r="L68" s="2834"/>
      <c r="N68" s="2835"/>
      <c r="O68" s="2856"/>
      <c r="P68" s="2856"/>
      <c r="Q68" s="2856"/>
      <c r="R68" s="2856"/>
      <c r="S68" s="2856"/>
      <c r="T68" s="2858"/>
      <c r="U68" s="2835"/>
    </row>
    <row r="69" spans="12:29">
      <c r="L69" s="2834"/>
      <c r="N69" s="2835"/>
      <c r="O69" s="2856"/>
      <c r="P69" s="2856"/>
      <c r="Q69" s="2856"/>
      <c r="R69" s="2856"/>
      <c r="S69" s="2856"/>
      <c r="T69" s="2858"/>
      <c r="U69" s="2835"/>
    </row>
    <row r="72" spans="12:29">
      <c r="V72" s="2832" t="str">
        <f>COMPANY</f>
        <v>DUKE ENERGY KENTUCKY, INC.</v>
      </c>
      <c r="W72" s="2832"/>
      <c r="X72" s="2832"/>
      <c r="Y72" s="2832"/>
      <c r="Z72" s="2831"/>
      <c r="AA72" s="2832"/>
      <c r="AB72" s="2832"/>
      <c r="AC72" s="2832"/>
    </row>
    <row r="73" spans="12:29">
      <c r="V73" s="2832" t="str">
        <f>CASE</f>
        <v>CASE NO. 2018-00261</v>
      </c>
      <c r="W73" s="2832"/>
      <c r="X73" s="2832"/>
      <c r="Y73" s="2832"/>
      <c r="Z73" s="2831"/>
      <c r="AA73" s="2832"/>
      <c r="AB73" s="2832"/>
      <c r="AC73" s="2832"/>
    </row>
    <row r="74" spans="12:29">
      <c r="V74" s="2831" t="s">
        <v>1291</v>
      </c>
      <c r="W74" s="2832"/>
      <c r="X74" s="2832"/>
      <c r="Y74" s="2832"/>
      <c r="Z74" s="2832"/>
      <c r="AA74" s="2832"/>
      <c r="AB74" s="2832"/>
      <c r="AC74" s="2832"/>
    </row>
    <row r="75" spans="12:29">
      <c r="V75" s="2832" t="s">
        <v>1292</v>
      </c>
      <c r="W75" s="2832"/>
      <c r="X75" s="2832"/>
      <c r="Y75" s="2832"/>
      <c r="Z75" s="2832"/>
      <c r="AA75" s="2832"/>
      <c r="AB75" s="2832"/>
      <c r="AC75" s="2832"/>
    </row>
    <row r="76" spans="12:29">
      <c r="V76" s="2831" t="str">
        <f>L43</f>
        <v>FOR THE TWELVE MONTHS ENDED MARCH 31, 2020</v>
      </c>
      <c r="W76" s="2832"/>
      <c r="X76" s="2832"/>
      <c r="Y76" s="2832"/>
      <c r="Z76" s="2832"/>
      <c r="AA76" s="2832"/>
      <c r="AB76" s="2832"/>
      <c r="AC76" s="2832"/>
    </row>
    <row r="79" spans="12:29">
      <c r="V79" s="2834" t="str">
        <f>DataF</f>
        <v>DATA:  BASE PERIOD  "X" FORECASTED PERIOD</v>
      </c>
      <c r="AC79" s="2862" t="s">
        <v>1293</v>
      </c>
    </row>
    <row r="80" spans="12:29">
      <c r="V80" s="2834" t="str">
        <f>Type</f>
        <v xml:space="preserve">TYPE OF FILING:  "X" ORIGINAL   UPDATED    REVISED  </v>
      </c>
      <c r="AC80" s="2862" t="s">
        <v>564</v>
      </c>
    </row>
    <row r="81" spans="22:29">
      <c r="V81" s="2835" t="s">
        <v>655</v>
      </c>
      <c r="AC81" s="2862" t="s">
        <v>566</v>
      </c>
    </row>
    <row r="82" spans="22:29">
      <c r="AC82" s="2863" t="str">
        <f>_WIT2</f>
        <v>J. E. ZIOLKOWSKI</v>
      </c>
    </row>
    <row r="83" spans="22:29">
      <c r="V83" s="2836"/>
      <c r="W83" s="2836"/>
      <c r="X83" s="2836"/>
      <c r="Y83" s="2836"/>
      <c r="Z83" s="2836"/>
      <c r="AA83" s="2836"/>
      <c r="AB83" s="2836"/>
      <c r="AC83" s="2836"/>
    </row>
    <row r="85" spans="22:29">
      <c r="V85" s="2838" t="s">
        <v>567</v>
      </c>
      <c r="X85" s="2838" t="s">
        <v>2160</v>
      </c>
    </row>
    <row r="86" spans="22:29">
      <c r="V86" s="2838" t="s">
        <v>2169</v>
      </c>
      <c r="X86" s="2838" t="s">
        <v>693</v>
      </c>
      <c r="Z86" s="2838" t="s">
        <v>741</v>
      </c>
      <c r="AA86" s="2838" t="s">
        <v>1722</v>
      </c>
      <c r="AC86" s="2838" t="s">
        <v>1723</v>
      </c>
    </row>
    <row r="87" spans="22:29">
      <c r="V87" s="2836"/>
      <c r="W87" s="2836"/>
      <c r="X87" s="2836"/>
      <c r="Y87" s="2836"/>
      <c r="Z87" s="2836"/>
      <c r="AA87" s="2836"/>
      <c r="AB87" s="2836"/>
      <c r="AC87" s="2836"/>
    </row>
    <row r="89" spans="22:29">
      <c r="V89" s="2834"/>
      <c r="Y89" s="2835"/>
      <c r="Z89" s="2845"/>
      <c r="AA89" s="2859"/>
      <c r="AB89" s="2859"/>
      <c r="AC89" s="2859"/>
    </row>
    <row r="90" spans="22:29">
      <c r="V90" s="2834"/>
      <c r="AA90" s="2859"/>
      <c r="AB90" s="2859"/>
      <c r="AC90" s="2859"/>
    </row>
    <row r="91" spans="22:29">
      <c r="V91" s="3589" t="s">
        <v>660</v>
      </c>
      <c r="W91" s="3589"/>
      <c r="X91" s="3589"/>
      <c r="Y91" s="3589"/>
      <c r="Z91" s="3589"/>
      <c r="AA91" s="3589"/>
      <c r="AB91" s="3589"/>
      <c r="AC91" s="3589"/>
    </row>
    <row r="92" spans="22:29">
      <c r="V92" s="2834"/>
      <c r="W92" s="2840"/>
      <c r="X92" s="2840"/>
      <c r="Y92" s="2835"/>
      <c r="AA92" s="2845"/>
      <c r="AB92" s="2859"/>
      <c r="AC92" s="2854"/>
    </row>
    <row r="93" spans="22:29">
      <c r="V93" s="2834"/>
      <c r="W93" s="2840"/>
      <c r="X93" s="2840"/>
      <c r="Y93" s="2835"/>
      <c r="AA93" s="2845"/>
      <c r="AB93" s="2859"/>
      <c r="AC93" s="2854"/>
    </row>
    <row r="94" spans="22:29">
      <c r="V94" s="2834"/>
      <c r="W94" s="2846"/>
      <c r="X94" s="2846"/>
      <c r="AA94" s="2845"/>
      <c r="AB94" s="2859"/>
      <c r="AC94" s="2859"/>
    </row>
    <row r="95" spans="22:29">
      <c r="V95" s="2834"/>
      <c r="W95" s="2840"/>
      <c r="X95" s="2840"/>
      <c r="Y95" s="2835"/>
      <c r="AA95" s="2845"/>
      <c r="AB95" s="2859"/>
      <c r="AC95" s="2859"/>
    </row>
    <row r="96" spans="22:29">
      <c r="V96" s="2834"/>
      <c r="Y96" s="2835"/>
      <c r="AA96" s="2845"/>
      <c r="AB96" s="2859"/>
      <c r="AC96" s="2854"/>
    </row>
    <row r="97" spans="22:29">
      <c r="V97" s="2834"/>
      <c r="AA97" s="2845"/>
      <c r="AB97" s="2859"/>
      <c r="AC97" s="2859"/>
    </row>
    <row r="98" spans="22:29">
      <c r="V98" s="2834"/>
      <c r="AA98" s="2845"/>
      <c r="AB98" s="2859"/>
      <c r="AC98" s="2856"/>
    </row>
    <row r="99" spans="22:29">
      <c r="V99" s="2834"/>
      <c r="Y99" s="2835"/>
      <c r="AA99" s="2845"/>
      <c r="AB99" s="2859"/>
      <c r="AC99" s="2856"/>
    </row>
    <row r="100" spans="22:29">
      <c r="V100" s="2834"/>
      <c r="AA100" s="2856"/>
      <c r="AB100" s="2859"/>
      <c r="AC100" s="2856"/>
    </row>
    <row r="101" spans="22:29">
      <c r="V101" s="2834"/>
      <c r="W101" s="2840"/>
      <c r="X101" s="2840"/>
      <c r="Y101" s="2835"/>
      <c r="AA101" s="2856"/>
      <c r="AB101" s="2859"/>
      <c r="AC101" s="2856"/>
    </row>
    <row r="102" spans="22:29">
      <c r="V102" s="2834"/>
      <c r="W102" s="2846"/>
      <c r="X102" s="2846"/>
      <c r="Y102" s="2835"/>
      <c r="AA102" s="2845"/>
      <c r="AB102" s="2859"/>
      <c r="AC102" s="2854"/>
    </row>
    <row r="103" spans="22:29">
      <c r="V103" s="2834"/>
      <c r="W103" s="2846"/>
      <c r="X103" s="2846"/>
      <c r="AA103" s="2856"/>
      <c r="AB103" s="2859"/>
      <c r="AC103" s="2856"/>
    </row>
    <row r="104" spans="22:29">
      <c r="V104" s="2834"/>
      <c r="W104" s="2840"/>
      <c r="X104" s="2840"/>
      <c r="Y104" s="2835"/>
      <c r="AA104" s="2845"/>
      <c r="AB104" s="2859"/>
      <c r="AC104" s="2854"/>
    </row>
  </sheetData>
  <mergeCells count="5">
    <mergeCell ref="V91:AC91"/>
    <mergeCell ref="L58:U58"/>
    <mergeCell ref="T53:U53"/>
    <mergeCell ref="T52:U52"/>
    <mergeCell ref="T54:U54"/>
  </mergeCells>
  <phoneticPr fontId="4" type="noConversion"/>
  <pageMargins left="1" right="0.75" top="0.98425196850393704" bottom="0" header="0" footer="0"/>
  <pageSetup scale="74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16">
    <tabColor theme="1"/>
    <pageSetUpPr fitToPage="1"/>
  </sheetPr>
  <dimension ref="A1:AN248"/>
  <sheetViews>
    <sheetView zoomScale="90" zoomScaleNormal="90" workbookViewId="0"/>
  </sheetViews>
  <sheetFormatPr defaultColWidth="17.88671875" defaultRowHeight="13.2"/>
  <cols>
    <col min="1" max="1" width="6.44140625" style="1785" customWidth="1"/>
    <col min="2" max="2" width="1" style="1785" customWidth="1"/>
    <col min="3" max="3" width="75.5546875" style="1785" customWidth="1"/>
    <col min="4" max="4" width="18.88671875" style="1785" customWidth="1"/>
    <col min="5" max="5" width="12.33203125" style="1785" customWidth="1"/>
    <col min="6" max="6" width="18.109375" style="1785" customWidth="1"/>
    <col min="7" max="7" width="14.44140625" style="1785" customWidth="1"/>
    <col min="8" max="8" width="18.44140625" style="1785" customWidth="1"/>
    <col min="9" max="9" width="14.44140625" style="1785" customWidth="1"/>
    <col min="10" max="10" width="17.6640625" style="1785" customWidth="1"/>
    <col min="11" max="11" width="10.109375" style="1785" bestFit="1" customWidth="1"/>
    <col min="12" max="12" width="19.109375" style="1785" customWidth="1"/>
    <col min="13" max="13" width="10.6640625" style="1785" customWidth="1"/>
    <col min="14" max="14" width="16.5546875" style="1785" customWidth="1"/>
    <col min="15" max="15" width="13" style="1785" customWidth="1"/>
    <col min="16" max="16" width="16.88671875" style="1785" customWidth="1"/>
    <col min="17" max="17" width="12.33203125" style="1785" customWidth="1"/>
    <col min="18" max="18" width="12.88671875" style="1785" customWidth="1"/>
    <col min="19" max="19" width="18" style="1785" customWidth="1"/>
    <col min="20" max="16384" width="17.88671875" style="1785"/>
  </cols>
  <sheetData>
    <row r="1" spans="1:24">
      <c r="A1" s="1839" t="str">
        <f>COMPANY</f>
        <v>DUKE ENERGY KENTUCKY, INC.</v>
      </c>
      <c r="B1" s="1782"/>
      <c r="C1" s="1782"/>
      <c r="D1" s="1782"/>
      <c r="E1" s="1782"/>
      <c r="F1" s="1782"/>
      <c r="G1" s="1782"/>
      <c r="H1" s="1782"/>
      <c r="I1" s="1782"/>
      <c r="J1" s="1782"/>
      <c r="K1" s="1782"/>
      <c r="L1" s="1782"/>
      <c r="M1" s="1782"/>
      <c r="N1" s="1782"/>
      <c r="O1" s="1782"/>
      <c r="P1" s="1782"/>
      <c r="Q1" s="1782"/>
      <c r="S1" s="1784"/>
    </row>
    <row r="2" spans="1:24">
      <c r="A2" s="1839" t="str">
        <f>CASE</f>
        <v>CASE NO. 2018-00261</v>
      </c>
      <c r="B2" s="1782"/>
      <c r="C2" s="1782"/>
      <c r="D2" s="1782"/>
      <c r="E2" s="1782"/>
      <c r="F2" s="1782"/>
      <c r="G2" s="1782"/>
      <c r="H2" s="1782"/>
      <c r="I2" s="1782"/>
      <c r="J2" s="1782"/>
      <c r="K2" s="1782"/>
      <c r="L2" s="1782"/>
      <c r="M2" s="1782"/>
      <c r="N2" s="1782"/>
      <c r="O2" s="1782"/>
      <c r="P2" s="1782"/>
      <c r="Q2" s="1782"/>
      <c r="S2" s="1784"/>
    </row>
    <row r="3" spans="1:24">
      <c r="A3" s="1782" t="s">
        <v>1724</v>
      </c>
      <c r="B3" s="1782"/>
      <c r="C3" s="1782"/>
      <c r="D3" s="1782"/>
      <c r="E3" s="1782"/>
      <c r="F3" s="1782"/>
      <c r="G3" s="1782"/>
      <c r="H3" s="1782"/>
      <c r="I3" s="1782"/>
      <c r="J3" s="1782"/>
      <c r="K3" s="1782"/>
      <c r="L3" s="1782"/>
      <c r="M3" s="1782"/>
      <c r="N3" s="1782"/>
      <c r="O3" s="1782"/>
      <c r="P3" s="1782"/>
      <c r="Q3" s="1782"/>
      <c r="S3" s="1784"/>
    </row>
    <row r="4" spans="1:24">
      <c r="A4" s="1840" t="s">
        <v>2459</v>
      </c>
      <c r="B4" s="1782"/>
      <c r="C4" s="1782"/>
      <c r="D4" s="1782"/>
      <c r="E4" s="1782"/>
      <c r="F4" s="1782"/>
      <c r="G4" s="1782"/>
      <c r="H4" s="1782"/>
      <c r="I4" s="1782"/>
      <c r="J4" s="1782"/>
      <c r="K4" s="1782"/>
      <c r="L4" s="1782"/>
      <c r="M4" s="1782"/>
      <c r="N4" s="1782"/>
      <c r="O4" s="1782"/>
      <c r="P4" s="1782"/>
      <c r="Q4" s="1782"/>
    </row>
    <row r="5" spans="1:24">
      <c r="A5" s="1784"/>
    </row>
    <row r="6" spans="1:24">
      <c r="A6" s="1784" t="str">
        <f>DataB</f>
        <v>DATA: "X" BASE PERIOD  "X" FORECASTED PERIOD</v>
      </c>
      <c r="N6" s="1784" t="s">
        <v>1725</v>
      </c>
      <c r="O6" s="1784"/>
    </row>
    <row r="7" spans="1:24">
      <c r="A7" s="1784" t="str">
        <f>Type</f>
        <v xml:space="preserve">TYPE OF FILING:  "X" ORIGINAL   UPDATED    REVISED  </v>
      </c>
      <c r="N7" s="1784" t="s">
        <v>2092</v>
      </c>
      <c r="O7" s="1784"/>
    </row>
    <row r="8" spans="1:24">
      <c r="A8" s="1784" t="s">
        <v>655</v>
      </c>
      <c r="N8" s="1785" t="s">
        <v>566</v>
      </c>
    </row>
    <row r="9" spans="1:24">
      <c r="A9" s="1784"/>
      <c r="D9" s="1841"/>
      <c r="E9" s="1841"/>
      <c r="F9" s="1841"/>
      <c r="G9" s="1841"/>
      <c r="H9" s="1841"/>
      <c r="N9" s="1785" t="str">
        <f>_WIT6</f>
        <v>R. H. PRATT / S. M. COVINGTON</v>
      </c>
    </row>
    <row r="10" spans="1:24">
      <c r="A10" s="1784"/>
    </row>
    <row r="11" spans="1:24">
      <c r="D11" s="1842" t="s">
        <v>2017</v>
      </c>
      <c r="H11" s="1843" t="s">
        <v>1727</v>
      </c>
      <c r="I11" s="1843"/>
      <c r="J11" s="1844"/>
      <c r="K11" s="1844"/>
      <c r="L11" s="1844"/>
      <c r="M11" s="1844"/>
      <c r="N11" s="1844"/>
      <c r="O11" s="1844"/>
      <c r="P11" s="1844"/>
      <c r="Q11" s="1845"/>
    </row>
    <row r="12" spans="1:24">
      <c r="A12" s="1793" t="s">
        <v>567</v>
      </c>
      <c r="B12" s="1794"/>
      <c r="C12" s="1794"/>
      <c r="D12" s="1794" t="s">
        <v>1127</v>
      </c>
      <c r="E12" s="1794" t="s">
        <v>2097</v>
      </c>
      <c r="F12" s="1846" t="s">
        <v>740</v>
      </c>
      <c r="G12" s="1794" t="s">
        <v>2097</v>
      </c>
      <c r="I12" s="1794" t="s">
        <v>2097</v>
      </c>
      <c r="K12" s="1794" t="s">
        <v>2097</v>
      </c>
      <c r="M12" s="1794" t="s">
        <v>2097</v>
      </c>
      <c r="O12" s="1794" t="s">
        <v>2097</v>
      </c>
      <c r="Q12" s="1847" t="s">
        <v>2097</v>
      </c>
    </row>
    <row r="13" spans="1:24">
      <c r="A13" s="1795" t="s">
        <v>766</v>
      </c>
      <c r="B13" s="1794"/>
      <c r="C13" s="1795" t="s">
        <v>642</v>
      </c>
      <c r="D13" s="1848" t="s">
        <v>743</v>
      </c>
      <c r="E13" s="1848" t="s">
        <v>721</v>
      </c>
      <c r="F13" s="1848" t="s">
        <v>743</v>
      </c>
      <c r="G13" s="1848" t="s">
        <v>721</v>
      </c>
      <c r="H13" s="1849">
        <v>2017</v>
      </c>
      <c r="I13" s="1848" t="s">
        <v>721</v>
      </c>
      <c r="J13" s="1795">
        <f>H13-1</f>
        <v>2016</v>
      </c>
      <c r="K13" s="1848" t="s">
        <v>721</v>
      </c>
      <c r="L13" s="1795">
        <f>J13-1</f>
        <v>2015</v>
      </c>
      <c r="M13" s="1848" t="s">
        <v>721</v>
      </c>
      <c r="N13" s="1795">
        <f>L13-1</f>
        <v>2014</v>
      </c>
      <c r="O13" s="1848" t="s">
        <v>721</v>
      </c>
      <c r="P13" s="1795">
        <f>N13-1</f>
        <v>2013</v>
      </c>
      <c r="Q13" s="1848" t="s">
        <v>721</v>
      </c>
      <c r="S13" s="1795">
        <f>P13-1</f>
        <v>2012</v>
      </c>
    </row>
    <row r="14" spans="1:24">
      <c r="A14" s="1793">
        <v>1</v>
      </c>
      <c r="C14" s="1851" t="s">
        <v>1728</v>
      </c>
      <c r="D14" s="1851"/>
      <c r="E14" s="1851"/>
      <c r="F14" s="1852"/>
      <c r="G14" s="1852"/>
      <c r="H14" s="1852"/>
      <c r="I14" s="1852"/>
      <c r="J14" s="1853" t="s">
        <v>749</v>
      </c>
      <c r="K14" s="1853"/>
      <c r="L14" s="1852"/>
      <c r="M14" s="1852"/>
      <c r="N14" s="1852"/>
      <c r="O14" s="1852"/>
      <c r="P14" s="1852"/>
      <c r="Q14" s="1852"/>
      <c r="R14" s="1854"/>
      <c r="S14" s="1853" t="s">
        <v>749</v>
      </c>
      <c r="T14" s="1854"/>
      <c r="U14" s="1854"/>
      <c r="V14" s="1854"/>
      <c r="W14" s="1854"/>
      <c r="X14" s="1854"/>
    </row>
    <row r="15" spans="1:24">
      <c r="A15" s="1793">
        <v>2</v>
      </c>
      <c r="C15" s="1851" t="s">
        <v>1729</v>
      </c>
      <c r="D15" s="1851"/>
      <c r="E15" s="1851"/>
      <c r="F15" s="1854"/>
      <c r="G15" s="1854"/>
      <c r="H15" s="1854"/>
      <c r="I15" s="1854"/>
      <c r="J15" s="1854"/>
      <c r="K15" s="1854"/>
      <c r="L15" s="1854"/>
      <c r="M15" s="1854"/>
      <c r="N15" s="1854"/>
      <c r="O15" s="1854"/>
      <c r="P15" s="1854"/>
      <c r="Q15" s="1854"/>
      <c r="R15" s="1854"/>
      <c r="S15" s="1854"/>
      <c r="T15" s="1854"/>
      <c r="U15" s="1854"/>
      <c r="V15" s="1854"/>
      <c r="W15" s="1854"/>
      <c r="X15" s="1854"/>
    </row>
    <row r="16" spans="1:24">
      <c r="A16" s="1793">
        <v>3</v>
      </c>
      <c r="C16" s="1784" t="s">
        <v>1730</v>
      </c>
      <c r="D16" s="3470">
        <f>2524987759-60149098</f>
        <v>2464838661</v>
      </c>
      <c r="E16" s="1855">
        <f>IF(F16=0,"-",ROUND((D16-F16)/ABS(F16),4))</f>
        <v>5.0999999999999997E-2</v>
      </c>
      <c r="F16" s="3470">
        <f>2336006379+9281379</f>
        <v>2345287758</v>
      </c>
      <c r="G16" s="1855">
        <f>IF(H16=0,"-",ROUND((F16-H16)/ABS(H16),4))</f>
        <v>7.0499999999999993E-2</v>
      </c>
      <c r="H16" s="3470">
        <v>2190743460</v>
      </c>
      <c r="I16" s="1855">
        <f>IF(J16=0,"-",ROUND((H16-J16)/ABS(J16),4))</f>
        <v>6.7400000000000002E-2</v>
      </c>
      <c r="J16" s="3470">
        <v>2052384114</v>
      </c>
      <c r="K16" s="1855">
        <f>IF(L16=0,"-",ROUND((J16-L16)/ABS(L16),4))</f>
        <v>7.9000000000000008E-3</v>
      </c>
      <c r="L16" s="3470">
        <v>2036397765</v>
      </c>
      <c r="M16" s="1855">
        <f>IF(N16=0,"-",ROUND((L16-N16)/ABS(N16),4))</f>
        <v>0.14680000000000001</v>
      </c>
      <c r="N16" s="3470">
        <v>1775690380</v>
      </c>
      <c r="O16" s="1855">
        <f>IF(P16=0,"-",ROUND((N16-P16)/ABS(P16),4))</f>
        <v>3.5799999999999998E-2</v>
      </c>
      <c r="P16" s="3470">
        <v>1714335197</v>
      </c>
      <c r="Q16" s="1855">
        <f>IF(S16=0,"-",ROUND((P16-S16)/ABS(S16),4))</f>
        <v>1.84E-2</v>
      </c>
      <c r="R16" s="1854"/>
      <c r="S16" s="3470">
        <v>1683376033</v>
      </c>
      <c r="T16" s="1854"/>
      <c r="U16" s="1854"/>
      <c r="V16" s="1854"/>
      <c r="W16" s="1854"/>
      <c r="X16" s="1854"/>
    </row>
    <row r="17" spans="1:24">
      <c r="A17" s="1793">
        <v>4</v>
      </c>
      <c r="C17" s="1784" t="s">
        <v>1731</v>
      </c>
      <c r="D17" s="3471">
        <v>87725028</v>
      </c>
      <c r="E17" s="1855">
        <f>IF(F17=0,"-",ROUND((D17-F17)/ABS(F17),4))</f>
        <v>-0.49519999999999997</v>
      </c>
      <c r="F17" s="3471">
        <v>173785965</v>
      </c>
      <c r="G17" s="1855">
        <f>IF(H17=0,"-",ROUND((F17-H17)/ABS(H17),4))</f>
        <v>0.5887</v>
      </c>
      <c r="H17" s="3471">
        <v>109390337</v>
      </c>
      <c r="I17" s="1855">
        <f>IF(J17=0,"-",ROUND((H17-J17)/ABS(J17),4))</f>
        <v>0.7137</v>
      </c>
      <c r="J17" s="3471">
        <v>63832972</v>
      </c>
      <c r="K17" s="1855">
        <f>IF(L17=0,"-",ROUND((J17-L17)/ABS(L17),4))</f>
        <v>0.47210000000000002</v>
      </c>
      <c r="L17" s="3471">
        <v>43361285</v>
      </c>
      <c r="M17" s="1855">
        <f>IF(N17=0,"-",ROUND((L17-N17)/ABS(N17),4))</f>
        <v>1.9106000000000001</v>
      </c>
      <c r="N17" s="3471">
        <v>14897654</v>
      </c>
      <c r="O17" s="1855">
        <f>IF(P17=0,"-",ROUND((N17-P17)/ABS(P17),4))</f>
        <v>-0.4476</v>
      </c>
      <c r="P17" s="3471">
        <v>26970335</v>
      </c>
      <c r="Q17" s="1855">
        <f>IF(S17=0,"-",ROUND((P17-S17)/ABS(S17),4))</f>
        <v>0.2928</v>
      </c>
      <c r="R17" s="1854"/>
      <c r="S17" s="3471">
        <v>20861207</v>
      </c>
      <c r="T17" s="1854"/>
      <c r="U17" s="1854"/>
      <c r="V17" s="1854"/>
      <c r="W17" s="1854"/>
      <c r="X17" s="1854"/>
    </row>
    <row r="18" spans="1:24">
      <c r="A18" s="1793">
        <v>5</v>
      </c>
      <c r="C18" s="1784" t="s">
        <v>1732</v>
      </c>
      <c r="D18" s="1856">
        <f>D17+D16</f>
        <v>2552563689</v>
      </c>
      <c r="E18" s="1855">
        <f>IF(F18=0,"-",ROUND((D18-F18)/ABS(F18),4))</f>
        <v>1.3299999999999999E-2</v>
      </c>
      <c r="F18" s="1856">
        <f>F17+F16</f>
        <v>2519073723</v>
      </c>
      <c r="G18" s="1855">
        <f>IF(H18=0,"-",ROUND((F18-H18)/ABS(H18),4))</f>
        <v>9.5200000000000007E-2</v>
      </c>
      <c r="H18" s="1856">
        <f>H17+H16</f>
        <v>2300133797</v>
      </c>
      <c r="I18" s="1855">
        <f>IF(J18=0,"-",ROUND((H18-J18)/ABS(J18),4))</f>
        <v>8.6900000000000005E-2</v>
      </c>
      <c r="J18" s="1856">
        <f>J17+J16</f>
        <v>2116217086</v>
      </c>
      <c r="K18" s="1855">
        <f>IF(L18=0,"-",ROUND((J18-L18)/ABS(L18),4))</f>
        <v>1.7500000000000002E-2</v>
      </c>
      <c r="L18" s="1856">
        <f>L17+L16</f>
        <v>2079759050</v>
      </c>
      <c r="M18" s="1855">
        <f>IF(N18=0,"-",ROUND((L18-N18)/ABS(N18),4))</f>
        <v>0.1615</v>
      </c>
      <c r="N18" s="1856">
        <f>N17+N16</f>
        <v>1790588034</v>
      </c>
      <c r="O18" s="1855">
        <f>IF(P18=0,"-",ROUND((N18-P18)/ABS(P18),4))</f>
        <v>2.8299999999999999E-2</v>
      </c>
      <c r="P18" s="1856">
        <f>P17+P16</f>
        <v>1741305532</v>
      </c>
      <c r="Q18" s="1855">
        <f>IF(S18=0,"-",ROUND((P18-S18)/ABS(S18),4))</f>
        <v>2.18E-2</v>
      </c>
      <c r="R18" s="1854"/>
      <c r="S18" s="1856">
        <f>S17+S16</f>
        <v>1704237240</v>
      </c>
      <c r="T18" s="1854"/>
      <c r="U18" s="1854"/>
      <c r="V18" s="1854"/>
      <c r="W18" s="1854"/>
    </row>
    <row r="19" spans="1:24">
      <c r="A19" s="1793">
        <v>6</v>
      </c>
      <c r="C19" s="1784" t="s">
        <v>296</v>
      </c>
      <c r="D19" s="3470">
        <f>1058485840+1640863</f>
        <v>1060126703</v>
      </c>
      <c r="E19" s="1855">
        <f>IF(F19=0,"-",ROUND((D19-F19)/ABS(F19),4))</f>
        <v>4.0500000000000001E-2</v>
      </c>
      <c r="F19" s="3470">
        <f>1017435153+1402055</f>
        <v>1018837208</v>
      </c>
      <c r="G19" s="1855">
        <f>IF(H19=0,"-",ROUND((F19-H19)/ABS(H19),4))</f>
        <v>-1.2800000000000001E-2</v>
      </c>
      <c r="H19" s="3470">
        <v>1032028167</v>
      </c>
      <c r="I19" s="1855">
        <f>IF(J19=0,"-",ROUND((H19-J19)/ABS(J19),4))</f>
        <v>3.1E-2</v>
      </c>
      <c r="J19" s="3470">
        <v>1001008038</v>
      </c>
      <c r="K19" s="1855">
        <f>IF(L19=0,"-",ROUND((J19-L19)/ABS(L19),4))</f>
        <v>2.3300000000000001E-2</v>
      </c>
      <c r="L19" s="3470">
        <v>978193739</v>
      </c>
      <c r="M19" s="1855">
        <f>IF(N19=0,"-",ROUND((L19-N19)/ABS(N19),4))</f>
        <v>0.1996</v>
      </c>
      <c r="N19" s="3470">
        <v>815420481</v>
      </c>
      <c r="O19" s="1855">
        <f>IF(P19=0,"-",ROUND((N19-P19)/ABS(P19),4))</f>
        <v>2.06E-2</v>
      </c>
      <c r="P19" s="3470">
        <v>798974880</v>
      </c>
      <c r="Q19" s="1855">
        <f>IF(S19=0,"-",ROUND((P19-S19)/ABS(S19),4))</f>
        <v>4.9000000000000002E-2</v>
      </c>
      <c r="R19" s="1854"/>
      <c r="S19" s="3470">
        <v>761652249</v>
      </c>
      <c r="T19" s="1854"/>
      <c r="U19" s="1854"/>
      <c r="V19" s="1854"/>
      <c r="W19" s="1854"/>
      <c r="X19" s="1854"/>
    </row>
    <row r="20" spans="1:24">
      <c r="A20" s="1793">
        <v>7</v>
      </c>
      <c r="C20" s="1784" t="s">
        <v>297</v>
      </c>
      <c r="D20" s="3472">
        <f>D18-D19</f>
        <v>1492436986</v>
      </c>
      <c r="E20" s="1855">
        <f>IF(F20=0,"-",ROUND((D20-F20)/ABS(F20),4))</f>
        <v>-5.1999999999999998E-3</v>
      </c>
      <c r="F20" s="3472">
        <f>F18-F19</f>
        <v>1500236515</v>
      </c>
      <c r="G20" s="1855">
        <f>IF(H20=0,"-",ROUND((F20-H20)/ABS(H20),4))</f>
        <v>0.18310000000000001</v>
      </c>
      <c r="H20" s="3472">
        <f>H18-H19</f>
        <v>1268105630</v>
      </c>
      <c r="I20" s="1855">
        <f>IF(J20=0,"-",ROUND((H20-J20)/ABS(J20),4))</f>
        <v>0.1371</v>
      </c>
      <c r="J20" s="3472">
        <f>J18-J19</f>
        <v>1115209048</v>
      </c>
      <c r="K20" s="1855">
        <f>IF(L20=0,"-",ROUND((J20-L20)/ABS(L20),4))</f>
        <v>1.24E-2</v>
      </c>
      <c r="L20" s="3472">
        <f>L18-L19</f>
        <v>1101565311</v>
      </c>
      <c r="M20" s="1855">
        <f>IF(N20=0,"-",ROUND((L20-N20)/ABS(N20),4))</f>
        <v>0.12959999999999999</v>
      </c>
      <c r="N20" s="3472">
        <f>N18-N19</f>
        <v>975167553</v>
      </c>
      <c r="O20" s="1855">
        <f>IF(P20=0,"-",ROUND((N20-P20)/ABS(P20),4))</f>
        <v>3.4799999999999998E-2</v>
      </c>
      <c r="P20" s="3472">
        <f>P18-P19</f>
        <v>942330652</v>
      </c>
      <c r="Q20" s="1855">
        <f>IF(S20=0,"-",ROUND((P20-S20)/ABS(S20),4))</f>
        <v>-2.9999999999999997E-4</v>
      </c>
      <c r="R20" s="1854"/>
      <c r="S20" s="3472">
        <f>S18-S19</f>
        <v>942584991</v>
      </c>
      <c r="T20" s="1854"/>
      <c r="U20" s="1854"/>
      <c r="V20" s="1854"/>
      <c r="W20" s="1854"/>
      <c r="X20" s="1854"/>
    </row>
    <row r="21" spans="1:24">
      <c r="A21" s="1793">
        <v>8</v>
      </c>
      <c r="C21" s="1851" t="s">
        <v>298</v>
      </c>
      <c r="D21" s="1856"/>
      <c r="E21" s="1856"/>
      <c r="F21" s="1856"/>
      <c r="G21" s="1856"/>
      <c r="H21" s="1856"/>
      <c r="I21" s="1856"/>
      <c r="J21" s="1856"/>
      <c r="K21" s="1856"/>
      <c r="L21" s="1856"/>
      <c r="M21" s="1856"/>
      <c r="N21" s="1856"/>
      <c r="O21" s="1856"/>
      <c r="P21" s="1856"/>
      <c r="Q21" s="1856"/>
      <c r="R21" s="1854"/>
      <c r="S21" s="1856"/>
      <c r="T21" s="1854"/>
      <c r="U21" s="1854"/>
      <c r="V21" s="1854"/>
      <c r="W21" s="1854"/>
      <c r="X21" s="1854"/>
    </row>
    <row r="22" spans="1:24">
      <c r="A22" s="1793">
        <v>9</v>
      </c>
      <c r="C22" s="1784" t="s">
        <v>299</v>
      </c>
      <c r="D22" s="3470">
        <v>2206</v>
      </c>
      <c r="E22" s="1855">
        <f t="shared" ref="E22:E28" si="0">IF(F22=0,"-",ROUND((D22-F22)/ABS(F22),4))</f>
        <v>0</v>
      </c>
      <c r="F22" s="3470">
        <v>2206</v>
      </c>
      <c r="G22" s="1855">
        <f t="shared" ref="G22:G28" si="1">IF(H22=0,"-",ROUND((F22-H22)/ABS(H22),4))</f>
        <v>-0.99160000000000004</v>
      </c>
      <c r="H22" s="3470">
        <v>264016</v>
      </c>
      <c r="I22" s="1855">
        <f t="shared" ref="I22:I28" si="2">IF(J22=0,"-",ROUND((H22-J22)/ABS(J22),4))</f>
        <v>118.68089999999999</v>
      </c>
      <c r="J22" s="3470">
        <v>2206</v>
      </c>
      <c r="K22" s="1855">
        <f t="shared" ref="K22:K28" si="3">IF(L22=0,"-",ROUND((J22-L22)/ABS(L22),4))</f>
        <v>0</v>
      </c>
      <c r="L22" s="3470">
        <v>2206</v>
      </c>
      <c r="M22" s="1855">
        <f t="shared" ref="M22:M28" si="4">IF(N22=0,"-",ROUND((L22-N22)/ABS(N22),4))</f>
        <v>0</v>
      </c>
      <c r="N22" s="3470">
        <v>2206</v>
      </c>
      <c r="O22" s="1855">
        <f t="shared" ref="O22:O28" si="5">IF(P22=0,"-",ROUND((N22-P22)/ABS(P22),4))</f>
        <v>0</v>
      </c>
      <c r="P22" s="3470">
        <v>2206</v>
      </c>
      <c r="Q22" s="1855">
        <f t="shared" ref="Q22:Q28" si="6">IF(S22=0,"-",ROUND((P22-S22)/ABS(S22),4))</f>
        <v>-0.99990000000000001</v>
      </c>
      <c r="R22" s="1854"/>
      <c r="S22" s="3470">
        <v>24088348</v>
      </c>
      <c r="T22" s="1854"/>
      <c r="U22" s="1854"/>
      <c r="V22" s="1854"/>
      <c r="W22" s="1854"/>
      <c r="X22" s="1854"/>
    </row>
    <row r="23" spans="1:24">
      <c r="A23" s="1793">
        <v>10</v>
      </c>
      <c r="C23" s="1784" t="s">
        <v>886</v>
      </c>
      <c r="D23" s="3470"/>
      <c r="E23" s="1855" t="str">
        <f t="shared" si="0"/>
        <v>-</v>
      </c>
      <c r="F23" s="3470">
        <v>0</v>
      </c>
      <c r="G23" s="1855" t="str">
        <f t="shared" si="1"/>
        <v>-</v>
      </c>
      <c r="H23" s="3470">
        <v>0</v>
      </c>
      <c r="I23" s="1855" t="str">
        <f t="shared" si="2"/>
        <v>-</v>
      </c>
      <c r="J23" s="3470">
        <v>0</v>
      </c>
      <c r="K23" s="1855" t="str">
        <f t="shared" si="3"/>
        <v>-</v>
      </c>
      <c r="L23" s="3470">
        <v>0</v>
      </c>
      <c r="M23" s="1855" t="str">
        <f t="shared" si="4"/>
        <v>-</v>
      </c>
      <c r="N23" s="3470">
        <v>0</v>
      </c>
      <c r="O23" s="1855" t="str">
        <f t="shared" si="5"/>
        <v>-</v>
      </c>
      <c r="P23" s="3470">
        <v>0</v>
      </c>
      <c r="Q23" s="1855">
        <f t="shared" si="6"/>
        <v>-1</v>
      </c>
      <c r="R23" s="1854"/>
      <c r="S23" s="3470">
        <v>18613056</v>
      </c>
      <c r="T23" s="1854"/>
      <c r="U23" s="1854"/>
      <c r="V23" s="1854"/>
      <c r="W23" s="1854"/>
      <c r="X23" s="1854"/>
    </row>
    <row r="24" spans="1:24">
      <c r="A24" s="1793">
        <v>11</v>
      </c>
      <c r="C24" s="1784" t="s">
        <v>2237</v>
      </c>
      <c r="D24" s="3470"/>
      <c r="E24" s="1855" t="str">
        <f t="shared" si="0"/>
        <v>-</v>
      </c>
      <c r="F24" s="3470">
        <v>0</v>
      </c>
      <c r="G24" s="1855" t="str">
        <f t="shared" si="1"/>
        <v>-</v>
      </c>
      <c r="H24" s="3470">
        <v>0</v>
      </c>
      <c r="I24" s="1855" t="str">
        <f t="shared" si="2"/>
        <v>-</v>
      </c>
      <c r="J24" s="3470">
        <v>0</v>
      </c>
      <c r="K24" s="1855" t="str">
        <f t="shared" si="3"/>
        <v>-</v>
      </c>
      <c r="L24" s="3470">
        <v>0</v>
      </c>
      <c r="M24" s="1855" t="str">
        <f t="shared" si="4"/>
        <v>-</v>
      </c>
      <c r="N24" s="3470">
        <v>0</v>
      </c>
      <c r="O24" s="1855" t="str">
        <f t="shared" si="5"/>
        <v>-</v>
      </c>
      <c r="P24" s="3470">
        <v>0</v>
      </c>
      <c r="Q24" s="1855" t="str">
        <f t="shared" si="6"/>
        <v>-</v>
      </c>
      <c r="R24" s="1854"/>
      <c r="S24" s="3470">
        <v>0</v>
      </c>
      <c r="T24" s="1854"/>
      <c r="U24" s="1854"/>
      <c r="V24" s="1854"/>
      <c r="W24" s="1854"/>
      <c r="X24" s="1854"/>
    </row>
    <row r="25" spans="1:24">
      <c r="A25" s="1793">
        <v>12</v>
      </c>
      <c r="C25" s="1784" t="s">
        <v>300</v>
      </c>
      <c r="D25" s="3470">
        <v>1500</v>
      </c>
      <c r="E25" s="1855">
        <f t="shared" si="0"/>
        <v>0</v>
      </c>
      <c r="F25" s="3470">
        <v>1500</v>
      </c>
      <c r="G25" s="1855">
        <f t="shared" si="1"/>
        <v>0</v>
      </c>
      <c r="H25" s="3470">
        <v>1500</v>
      </c>
      <c r="I25" s="1855">
        <f t="shared" si="2"/>
        <v>0</v>
      </c>
      <c r="J25" s="3470">
        <v>1500</v>
      </c>
      <c r="K25" s="1855">
        <f t="shared" si="3"/>
        <v>0</v>
      </c>
      <c r="L25" s="3470">
        <v>1500</v>
      </c>
      <c r="M25" s="1855">
        <f t="shared" si="4"/>
        <v>0</v>
      </c>
      <c r="N25" s="3470">
        <v>1500</v>
      </c>
      <c r="O25" s="1855">
        <f t="shared" si="5"/>
        <v>0</v>
      </c>
      <c r="P25" s="3470">
        <v>1500</v>
      </c>
      <c r="Q25" s="1855">
        <f t="shared" si="6"/>
        <v>0</v>
      </c>
      <c r="R25" s="1854"/>
      <c r="S25" s="3470">
        <v>1500</v>
      </c>
      <c r="T25" s="1854"/>
      <c r="U25" s="1854"/>
      <c r="V25" s="1854"/>
      <c r="W25" s="1854"/>
      <c r="X25" s="1854"/>
    </row>
    <row r="26" spans="1:24">
      <c r="A26" s="1793">
        <v>13</v>
      </c>
      <c r="C26" s="1784" t="s">
        <v>301</v>
      </c>
      <c r="D26" s="3470">
        <v>1184266</v>
      </c>
      <c r="E26" s="1855">
        <f t="shared" si="0"/>
        <v>-0.84940000000000004</v>
      </c>
      <c r="F26" s="3470">
        <v>7865918</v>
      </c>
      <c r="G26" s="1855">
        <f t="shared" si="1"/>
        <v>5.6420000000000003</v>
      </c>
      <c r="H26" s="3470">
        <v>1184266</v>
      </c>
      <c r="I26" s="1855">
        <f t="shared" si="2"/>
        <v>-0.30969999999999998</v>
      </c>
      <c r="J26" s="3470">
        <v>1715645</v>
      </c>
      <c r="K26" s="1855">
        <f t="shared" si="3"/>
        <v>0.5302</v>
      </c>
      <c r="L26" s="3470">
        <v>1121197</v>
      </c>
      <c r="M26" s="1855">
        <f t="shared" si="4"/>
        <v>1.3486</v>
      </c>
      <c r="N26" s="3470">
        <v>477394</v>
      </c>
      <c r="O26" s="1855">
        <f t="shared" si="5"/>
        <v>-0.69320000000000004</v>
      </c>
      <c r="P26" s="3470">
        <v>1556265</v>
      </c>
      <c r="Q26" s="1855" t="str">
        <f t="shared" si="6"/>
        <v>-</v>
      </c>
      <c r="R26" s="1854"/>
      <c r="S26" s="3470">
        <v>0</v>
      </c>
      <c r="T26" s="1854"/>
      <c r="U26" s="1854"/>
      <c r="V26" s="1854"/>
      <c r="W26" s="1854"/>
      <c r="X26" s="1854"/>
    </row>
    <row r="27" spans="1:24">
      <c r="A27" s="1793">
        <v>14</v>
      </c>
      <c r="C27" s="1784" t="s">
        <v>2460</v>
      </c>
      <c r="D27" s="3470">
        <v>318333</v>
      </c>
      <c r="E27" s="1855">
        <f t="shared" ref="E27" si="7">IF(F27=0,"-",ROUND((D27-F27)/ABS(F27),4))</f>
        <v>0</v>
      </c>
      <c r="F27" s="3470">
        <v>318323</v>
      </c>
      <c r="G27" s="1855">
        <f t="shared" ref="G27" si="8">IF(H27=0,"-",ROUND((F27-H27)/ABS(H27),4))</f>
        <v>0</v>
      </c>
      <c r="H27" s="3470">
        <v>318333</v>
      </c>
      <c r="I27" s="1855">
        <f t="shared" ref="I27" si="9">IF(J27=0,"-",ROUND((H27-J27)/ABS(J27),4))</f>
        <v>-0.66639999999999999</v>
      </c>
      <c r="J27" s="3470">
        <v>954187</v>
      </c>
      <c r="K27" s="1855" t="str">
        <f t="shared" si="3"/>
        <v>-</v>
      </c>
      <c r="L27" s="3470">
        <v>0</v>
      </c>
      <c r="M27" s="1855" t="str">
        <f t="shared" si="4"/>
        <v>-</v>
      </c>
      <c r="N27" s="3470">
        <v>0</v>
      </c>
      <c r="O27" s="1855" t="str">
        <f t="shared" si="5"/>
        <v>-</v>
      </c>
      <c r="P27" s="3470">
        <v>0</v>
      </c>
      <c r="Q27" s="1855" t="str">
        <f t="shared" si="6"/>
        <v>-</v>
      </c>
      <c r="R27" s="1854"/>
      <c r="S27" s="3470">
        <v>0</v>
      </c>
      <c r="T27" s="1854"/>
      <c r="U27" s="1854"/>
      <c r="V27" s="1854"/>
      <c r="W27" s="1854"/>
      <c r="X27" s="1854"/>
    </row>
    <row r="28" spans="1:24">
      <c r="A28" s="1793">
        <v>15</v>
      </c>
      <c r="C28" s="1784" t="s">
        <v>1305</v>
      </c>
      <c r="D28" s="3472">
        <f>D22-D23+D24+D25+D26+D27</f>
        <v>1506305</v>
      </c>
      <c r="E28" s="1855">
        <f t="shared" si="0"/>
        <v>-0.81599999999999995</v>
      </c>
      <c r="F28" s="3472">
        <f>F22-F23+F24+F25+F26+F27</f>
        <v>8187947</v>
      </c>
      <c r="G28" s="1855">
        <f t="shared" si="1"/>
        <v>3.6309</v>
      </c>
      <c r="H28" s="3472">
        <f>H22-H23+H24+H25+H26+H27</f>
        <v>1768115</v>
      </c>
      <c r="I28" s="1855">
        <f t="shared" si="2"/>
        <v>-0.3387</v>
      </c>
      <c r="J28" s="3472">
        <f>J22-J23+J24+J25+J26+J27</f>
        <v>2673538</v>
      </c>
      <c r="K28" s="1855">
        <f t="shared" si="3"/>
        <v>1.3767</v>
      </c>
      <c r="L28" s="3472">
        <f>L22-L23+L24+L25+L26+L27</f>
        <v>1124903</v>
      </c>
      <c r="M28" s="1855">
        <f t="shared" si="4"/>
        <v>1.3382000000000001</v>
      </c>
      <c r="N28" s="3472">
        <f>N22-N23+N24+N25+N26+N27</f>
        <v>481100</v>
      </c>
      <c r="O28" s="1855">
        <f t="shared" si="5"/>
        <v>-0.69159999999999999</v>
      </c>
      <c r="P28" s="3472">
        <f>P22-P23+P24+P25+P26+P27</f>
        <v>1559971</v>
      </c>
      <c r="Q28" s="1855">
        <f t="shared" si="6"/>
        <v>-0.71519999999999995</v>
      </c>
      <c r="R28" s="1854"/>
      <c r="S28" s="3472">
        <f>S22-S23+S24+S25+S26+S27</f>
        <v>5476792</v>
      </c>
      <c r="T28" s="1854"/>
      <c r="U28" s="1854"/>
      <c r="V28" s="1854"/>
      <c r="W28" s="1854"/>
      <c r="X28" s="1854"/>
    </row>
    <row r="29" spans="1:24">
      <c r="A29" s="1793">
        <v>16</v>
      </c>
      <c r="C29" s="1851" t="s">
        <v>1306</v>
      </c>
      <c r="D29" s="1856"/>
      <c r="E29" s="1856"/>
      <c r="F29" s="1856"/>
      <c r="G29" s="1856"/>
      <c r="H29" s="1856"/>
      <c r="I29" s="1856"/>
      <c r="J29" s="1856"/>
      <c r="K29" s="1856"/>
      <c r="L29" s="1856"/>
      <c r="M29" s="1856"/>
      <c r="N29" s="1856"/>
      <c r="O29" s="1856"/>
      <c r="P29" s="1856"/>
      <c r="Q29" s="1856"/>
      <c r="R29" s="1854"/>
      <c r="S29" s="1856"/>
      <c r="T29" s="1854"/>
      <c r="U29" s="1854"/>
      <c r="V29" s="1854"/>
      <c r="W29" s="1854"/>
      <c r="X29" s="1854"/>
    </row>
    <row r="30" spans="1:24">
      <c r="A30" s="1793">
        <v>17</v>
      </c>
      <c r="C30" s="1784" t="s">
        <v>1307</v>
      </c>
      <c r="D30" s="3470">
        <f>12083283+5846845</f>
        <v>17930128</v>
      </c>
      <c r="E30" s="1855">
        <f t="shared" ref="E30:E50" si="10">IF(F30=0,"-",ROUND((D30-F30)/ABS(F30),4))</f>
        <v>-4.8500000000000001E-2</v>
      </c>
      <c r="F30" s="3470">
        <f>14611316+4232536</f>
        <v>18843852</v>
      </c>
      <c r="G30" s="1855">
        <f t="shared" ref="G30:G50" si="11">IF(H30=0,"-",ROUND((F30-H30)/ABS(H30),4))</f>
        <v>10.1691</v>
      </c>
      <c r="H30" s="3470">
        <v>1687146</v>
      </c>
      <c r="I30" s="1855">
        <f t="shared" ref="I30:I50" si="12">IF(J30=0,"-",ROUND((H30-J30)/ABS(J30),4))</f>
        <v>-0.74180000000000001</v>
      </c>
      <c r="J30" s="3473">
        <v>6533836</v>
      </c>
      <c r="K30" s="1855">
        <f t="shared" ref="K30:K50" si="13">IF(L30=0,"-",ROUND((J30-L30)/ABS(L30),4))</f>
        <v>-0.28520000000000001</v>
      </c>
      <c r="L30" s="3473">
        <v>9140810</v>
      </c>
      <c r="M30" s="1855">
        <f t="shared" ref="M30:M50" si="14">IF(N30=0,"-",ROUND((L30-N30)/ABS(N30),4))</f>
        <v>-0.19159999999999999</v>
      </c>
      <c r="N30" s="3473">
        <v>11306908</v>
      </c>
      <c r="O30" s="1855">
        <f t="shared" ref="O30:O50" si="15">IF(P30=0,"-",ROUND((N30-P30)/ABS(P30),4))</f>
        <v>-0.1328</v>
      </c>
      <c r="P30" s="3473">
        <v>13037744</v>
      </c>
      <c r="Q30" s="1855">
        <f t="shared" ref="Q30:Q50" si="16">IF(S30=0,"-",ROUND((P30-S30)/ABS(S30),4))</f>
        <v>0.21929999999999999</v>
      </c>
      <c r="R30" s="1854"/>
      <c r="S30" s="3473">
        <v>10692801</v>
      </c>
      <c r="T30" s="1854"/>
      <c r="U30" s="1854"/>
      <c r="V30" s="1854"/>
      <c r="W30" s="1854"/>
      <c r="X30" s="1854"/>
    </row>
    <row r="31" spans="1:24">
      <c r="A31" s="1793">
        <v>18</v>
      </c>
      <c r="C31" s="1784" t="s">
        <v>1308</v>
      </c>
      <c r="D31" s="3470"/>
      <c r="E31" s="1855" t="str">
        <f t="shared" si="10"/>
        <v>-</v>
      </c>
      <c r="F31" s="3470"/>
      <c r="G31" s="1855" t="str">
        <f t="shared" si="11"/>
        <v>-</v>
      </c>
      <c r="H31" s="3470">
        <v>0</v>
      </c>
      <c r="I31" s="1855" t="str">
        <f t="shared" si="12"/>
        <v>-</v>
      </c>
      <c r="J31" s="3473">
        <v>0</v>
      </c>
      <c r="K31" s="1855" t="str">
        <f t="shared" si="13"/>
        <v>-</v>
      </c>
      <c r="L31" s="3473">
        <v>0</v>
      </c>
      <c r="M31" s="1855" t="str">
        <f t="shared" si="14"/>
        <v>-</v>
      </c>
      <c r="N31" s="3473">
        <v>0</v>
      </c>
      <c r="O31" s="1855" t="str">
        <f t="shared" si="15"/>
        <v>-</v>
      </c>
      <c r="P31" s="3473">
        <v>0</v>
      </c>
      <c r="Q31" s="1855" t="str">
        <f t="shared" si="16"/>
        <v>-</v>
      </c>
      <c r="R31" s="1854"/>
      <c r="S31" s="3473">
        <v>0</v>
      </c>
      <c r="T31" s="1854"/>
      <c r="U31" s="1854"/>
      <c r="V31" s="1854"/>
      <c r="W31" s="1854"/>
      <c r="X31" s="1854"/>
    </row>
    <row r="32" spans="1:24">
      <c r="A32" s="1793">
        <v>19</v>
      </c>
      <c r="C32" s="1784" t="s">
        <v>1309</v>
      </c>
      <c r="D32" s="3470"/>
      <c r="E32" s="1855" t="str">
        <f t="shared" si="10"/>
        <v>-</v>
      </c>
      <c r="F32" s="3470"/>
      <c r="G32" s="1855" t="str">
        <f t="shared" si="11"/>
        <v>-</v>
      </c>
      <c r="H32" s="3470">
        <v>0</v>
      </c>
      <c r="I32" s="1855" t="str">
        <f t="shared" si="12"/>
        <v>-</v>
      </c>
      <c r="J32" s="3473">
        <v>0</v>
      </c>
      <c r="K32" s="1855" t="str">
        <f t="shared" si="13"/>
        <v>-</v>
      </c>
      <c r="L32" s="3473">
        <v>0</v>
      </c>
      <c r="M32" s="1855" t="str">
        <f t="shared" si="14"/>
        <v>-</v>
      </c>
      <c r="N32" s="3473">
        <v>0</v>
      </c>
      <c r="O32" s="1855" t="str">
        <f t="shared" si="15"/>
        <v>-</v>
      </c>
      <c r="P32" s="3473">
        <v>0</v>
      </c>
      <c r="Q32" s="1855" t="str">
        <f t="shared" si="16"/>
        <v>-</v>
      </c>
      <c r="R32" s="1854"/>
      <c r="S32" s="3473">
        <v>0</v>
      </c>
      <c r="T32" s="1854"/>
      <c r="U32" s="1854"/>
      <c r="V32" s="1854"/>
      <c r="W32" s="1854"/>
      <c r="X32" s="1854"/>
    </row>
    <row r="33" spans="1:24">
      <c r="A33" s="1793">
        <v>20</v>
      </c>
      <c r="C33" s="1784" t="s">
        <v>1310</v>
      </c>
      <c r="D33" s="3470"/>
      <c r="E33" s="1855" t="str">
        <f t="shared" si="10"/>
        <v>-</v>
      </c>
      <c r="F33" s="3470"/>
      <c r="G33" s="1855" t="str">
        <f t="shared" si="11"/>
        <v>-</v>
      </c>
      <c r="H33" s="3470">
        <v>0</v>
      </c>
      <c r="I33" s="1855" t="str">
        <f t="shared" si="12"/>
        <v>-</v>
      </c>
      <c r="J33" s="3473">
        <v>0</v>
      </c>
      <c r="K33" s="1855" t="str">
        <f t="shared" si="13"/>
        <v>-</v>
      </c>
      <c r="L33" s="3473">
        <v>0</v>
      </c>
      <c r="M33" s="1855" t="str">
        <f t="shared" si="14"/>
        <v>-</v>
      </c>
      <c r="N33" s="3473">
        <v>0</v>
      </c>
      <c r="O33" s="1855" t="str">
        <f t="shared" si="15"/>
        <v>-</v>
      </c>
      <c r="P33" s="3473">
        <v>0</v>
      </c>
      <c r="Q33" s="1855" t="str">
        <f t="shared" si="16"/>
        <v>-</v>
      </c>
      <c r="R33" s="1854"/>
      <c r="S33" s="3473">
        <v>0</v>
      </c>
      <c r="T33" s="1854"/>
      <c r="U33" s="1854"/>
      <c r="V33" s="1854"/>
      <c r="W33" s="1854"/>
      <c r="X33" s="1854"/>
    </row>
    <row r="34" spans="1:24">
      <c r="A34" s="1793">
        <v>21</v>
      </c>
      <c r="C34" s="1784" t="s">
        <v>2315</v>
      </c>
      <c r="D34" s="3470"/>
      <c r="E34" s="1855" t="str">
        <f t="shared" si="10"/>
        <v>-</v>
      </c>
      <c r="F34" s="3470"/>
      <c r="G34" s="1855">
        <f t="shared" si="11"/>
        <v>-1</v>
      </c>
      <c r="H34" s="3470">
        <v>2918345</v>
      </c>
      <c r="I34" s="1855">
        <f t="shared" si="12"/>
        <v>2.141</v>
      </c>
      <c r="J34" s="3473">
        <v>929120</v>
      </c>
      <c r="K34" s="1855">
        <f t="shared" si="13"/>
        <v>-0.81469999999999998</v>
      </c>
      <c r="L34" s="3473">
        <v>5013100</v>
      </c>
      <c r="M34" s="1855">
        <f t="shared" si="14"/>
        <v>1.889</v>
      </c>
      <c r="N34" s="3473">
        <v>1735257</v>
      </c>
      <c r="O34" s="1855">
        <f t="shared" si="15"/>
        <v>0.21360000000000001</v>
      </c>
      <c r="P34" s="3473">
        <v>1429790</v>
      </c>
      <c r="Q34" s="1855">
        <f t="shared" si="16"/>
        <v>-0.13780000000000001</v>
      </c>
      <c r="R34" s="1854"/>
      <c r="S34" s="3473">
        <v>1658353</v>
      </c>
      <c r="T34" s="1854"/>
      <c r="U34" s="1854"/>
      <c r="V34" s="1854"/>
      <c r="W34" s="1854"/>
      <c r="X34" s="1854"/>
    </row>
    <row r="35" spans="1:24">
      <c r="A35" s="1793">
        <v>22</v>
      </c>
      <c r="C35" s="1784" t="s">
        <v>2316</v>
      </c>
      <c r="D35" s="3470">
        <v>21294692</v>
      </c>
      <c r="E35" s="1855">
        <f t="shared" ref="E35:E36" si="17">IF(F35=0,"-",ROUND((D35-F35)/ABS(F35),4))</f>
        <v>-0.14460000000000001</v>
      </c>
      <c r="F35" s="3470">
        <v>24894185</v>
      </c>
      <c r="G35" s="1855">
        <f t="shared" ref="G35:G36" si="18">IF(H35=0,"-",ROUND((F35-H35)/ABS(H35),4))</f>
        <v>29.346</v>
      </c>
      <c r="H35" s="3470">
        <v>820344</v>
      </c>
      <c r="I35" s="1855">
        <f t="shared" ref="I35:I36" si="19">IF(J35=0,"-",ROUND((H35-J35)/ABS(J35),4))</f>
        <v>-6.2199999999999998E-2</v>
      </c>
      <c r="J35" s="3473">
        <v>874735</v>
      </c>
      <c r="K35" s="1855">
        <f t="shared" si="13"/>
        <v>-0.81420000000000003</v>
      </c>
      <c r="L35" s="3473">
        <v>4706764</v>
      </c>
      <c r="M35" s="1855">
        <f t="shared" si="14"/>
        <v>-0.19270000000000001</v>
      </c>
      <c r="N35" s="3473">
        <v>5830602</v>
      </c>
      <c r="O35" s="1855">
        <f t="shared" si="15"/>
        <v>-0.2213</v>
      </c>
      <c r="P35" s="3473">
        <v>7487942</v>
      </c>
      <c r="Q35" s="1855">
        <f t="shared" si="16"/>
        <v>0.82120000000000004</v>
      </c>
      <c r="R35" s="1854"/>
      <c r="S35" s="3473">
        <v>4111586</v>
      </c>
      <c r="T35" s="1854"/>
      <c r="U35" s="1854"/>
      <c r="V35" s="1854"/>
      <c r="W35" s="1854"/>
      <c r="X35" s="1854"/>
    </row>
    <row r="36" spans="1:24">
      <c r="A36" s="1793">
        <v>23</v>
      </c>
      <c r="C36" s="1857" t="s">
        <v>2317</v>
      </c>
      <c r="D36" s="3470">
        <v>-233542</v>
      </c>
      <c r="E36" s="1855">
        <f t="shared" si="17"/>
        <v>-2.1399999999999999E-2</v>
      </c>
      <c r="F36" s="3470">
        <v>-228650</v>
      </c>
      <c r="G36" s="1855">
        <f t="shared" si="18"/>
        <v>2.0899999999999998E-2</v>
      </c>
      <c r="H36" s="3470">
        <v>-233542</v>
      </c>
      <c r="I36" s="1855">
        <f t="shared" si="19"/>
        <v>-0.65869999999999995</v>
      </c>
      <c r="J36" s="3473">
        <v>-140798</v>
      </c>
      <c r="K36" s="1855">
        <f t="shared" si="13"/>
        <v>0.27810000000000001</v>
      </c>
      <c r="L36" s="3473">
        <v>-195051</v>
      </c>
      <c r="M36" s="1855">
        <f t="shared" si="14"/>
        <v>-4.5499999999999999E-2</v>
      </c>
      <c r="N36" s="3473">
        <v>-186563</v>
      </c>
      <c r="O36" s="1855">
        <f t="shared" si="15"/>
        <v>0.18479999999999999</v>
      </c>
      <c r="P36" s="3473">
        <v>-228855</v>
      </c>
      <c r="Q36" s="1855">
        <f t="shared" si="16"/>
        <v>-0.39500000000000002</v>
      </c>
      <c r="R36" s="1854"/>
      <c r="S36" s="3473">
        <v>-164057</v>
      </c>
      <c r="T36" s="1854"/>
      <c r="U36" s="1854"/>
      <c r="V36" s="1854"/>
      <c r="W36" s="1854"/>
      <c r="X36" s="1854"/>
    </row>
    <row r="37" spans="1:24">
      <c r="A37" s="1793">
        <v>24</v>
      </c>
      <c r="C37" s="1784" t="s">
        <v>887</v>
      </c>
      <c r="D37" s="3470">
        <v>0</v>
      </c>
      <c r="E37" s="1855" t="str">
        <f t="shared" si="10"/>
        <v>-</v>
      </c>
      <c r="F37" s="3470">
        <v>0</v>
      </c>
      <c r="G37" s="1855">
        <f t="shared" si="11"/>
        <v>-1</v>
      </c>
      <c r="H37" s="3470">
        <v>34407460</v>
      </c>
      <c r="I37" s="1855">
        <f t="shared" si="12"/>
        <v>0.871</v>
      </c>
      <c r="J37" s="3473">
        <v>18389762</v>
      </c>
      <c r="K37" s="1855">
        <f t="shared" si="13"/>
        <v>0.81410000000000005</v>
      </c>
      <c r="L37" s="3473">
        <v>10137088</v>
      </c>
      <c r="M37" s="1855">
        <f t="shared" si="14"/>
        <v>-0.52980000000000005</v>
      </c>
      <c r="N37" s="3473">
        <v>21560229</v>
      </c>
      <c r="O37" s="1855">
        <f t="shared" si="15"/>
        <v>-0.16439999999999999</v>
      </c>
      <c r="P37" s="3473">
        <v>25800643</v>
      </c>
      <c r="Q37" s="1855">
        <f t="shared" si="16"/>
        <v>9.0999999999999998E-2</v>
      </c>
      <c r="R37" s="1854"/>
      <c r="S37" s="3473">
        <v>23649581</v>
      </c>
      <c r="T37" s="1854"/>
      <c r="U37" s="1854"/>
      <c r="V37" s="1854"/>
      <c r="W37" s="1854"/>
      <c r="X37" s="1854"/>
    </row>
    <row r="38" spans="1:24">
      <c r="A38" s="1793">
        <v>25</v>
      </c>
      <c r="C38" s="1784" t="s">
        <v>1330</v>
      </c>
      <c r="D38" s="3470"/>
      <c r="E38" s="1855" t="str">
        <f t="shared" si="10"/>
        <v>-</v>
      </c>
      <c r="F38" s="3470"/>
      <c r="G38" s="1855">
        <f t="shared" si="11"/>
        <v>-1</v>
      </c>
      <c r="H38" s="3470">
        <v>3811739</v>
      </c>
      <c r="I38" s="1855">
        <f t="shared" si="12"/>
        <v>-0.13009999999999999</v>
      </c>
      <c r="J38" s="3473">
        <v>4382007</v>
      </c>
      <c r="K38" s="1855">
        <f t="shared" si="13"/>
        <v>2.2168000000000001</v>
      </c>
      <c r="L38" s="3473">
        <v>1362224</v>
      </c>
      <c r="M38" s="1855">
        <f t="shared" si="14"/>
        <v>-0.66080000000000005</v>
      </c>
      <c r="N38" s="3473">
        <v>4016223</v>
      </c>
      <c r="O38" s="1855">
        <f t="shared" si="15"/>
        <v>1.7402</v>
      </c>
      <c r="P38" s="3473">
        <v>1465683</v>
      </c>
      <c r="Q38" s="1855">
        <f t="shared" si="16"/>
        <v>1.3270999999999999</v>
      </c>
      <c r="R38" s="1854"/>
      <c r="S38" s="3473">
        <v>-4481465</v>
      </c>
      <c r="T38" s="1854"/>
      <c r="U38" s="1854"/>
      <c r="V38" s="1854"/>
      <c r="W38" s="1854"/>
      <c r="X38" s="1854"/>
    </row>
    <row r="39" spans="1:24">
      <c r="A39" s="1793">
        <v>26</v>
      </c>
      <c r="C39" s="1784" t="s">
        <v>1331</v>
      </c>
      <c r="D39" s="3470">
        <f>40833675-100803</f>
        <v>40732872</v>
      </c>
      <c r="E39" s="1855">
        <f t="shared" si="10"/>
        <v>0</v>
      </c>
      <c r="F39" s="3470">
        <f>33246797+7486075</f>
        <v>40732872</v>
      </c>
      <c r="G39" s="1855">
        <f t="shared" si="11"/>
        <v>-2.5000000000000001E-3</v>
      </c>
      <c r="H39" s="3470">
        <v>40833674</v>
      </c>
      <c r="I39" s="1855">
        <f t="shared" si="12"/>
        <v>-0.105</v>
      </c>
      <c r="J39" s="3473">
        <f>24608235+20679892+336171</f>
        <v>45624298</v>
      </c>
      <c r="K39" s="1855">
        <f t="shared" si="13"/>
        <v>3.3599999999999998E-2</v>
      </c>
      <c r="L39" s="3473">
        <f>22581326+20450713+1109030</f>
        <v>44141069</v>
      </c>
      <c r="M39" s="1855">
        <f t="shared" si="14"/>
        <v>-0.1656</v>
      </c>
      <c r="N39" s="3473">
        <f>30613952+20637814+1648182</f>
        <v>52899948</v>
      </c>
      <c r="O39" s="1855">
        <f t="shared" si="15"/>
        <v>0.3952</v>
      </c>
      <c r="P39" s="3473">
        <f>19115407+17942602+858399</f>
        <v>37916408</v>
      </c>
      <c r="Q39" s="1855">
        <f t="shared" si="16"/>
        <v>-1.7999999999999999E-2</v>
      </c>
      <c r="R39" s="1854"/>
      <c r="S39" s="3473">
        <f>20599164+17517636+493090</f>
        <v>38609890</v>
      </c>
      <c r="T39" s="1854"/>
      <c r="U39" s="1854"/>
      <c r="V39" s="1854"/>
      <c r="W39" s="1854"/>
      <c r="X39" s="1854"/>
    </row>
    <row r="40" spans="1:24">
      <c r="A40" s="1793">
        <v>27</v>
      </c>
      <c r="C40" s="1784" t="s">
        <v>305</v>
      </c>
      <c r="D40" s="3470"/>
      <c r="E40" s="1855" t="str">
        <f t="shared" si="10"/>
        <v>-</v>
      </c>
      <c r="F40" s="3470"/>
      <c r="G40" s="1855">
        <f t="shared" si="11"/>
        <v>-1</v>
      </c>
      <c r="H40" s="3470">
        <v>31208</v>
      </c>
      <c r="I40" s="1855">
        <f t="shared" si="12"/>
        <v>-0.38390000000000002</v>
      </c>
      <c r="J40" s="3473">
        <v>50652</v>
      </c>
      <c r="K40" s="1855">
        <f t="shared" si="13"/>
        <v>-0.30830000000000002</v>
      </c>
      <c r="L40" s="3473">
        <v>73231</v>
      </c>
      <c r="M40" s="1855">
        <f t="shared" si="14"/>
        <v>2.0432999999999999</v>
      </c>
      <c r="N40" s="3473">
        <v>24063</v>
      </c>
      <c r="O40" s="1855">
        <f t="shared" si="15"/>
        <v>-0.62480000000000002</v>
      </c>
      <c r="P40" s="3473">
        <v>64128</v>
      </c>
      <c r="Q40" s="1855">
        <f t="shared" si="16"/>
        <v>-0.49640000000000001</v>
      </c>
      <c r="R40" s="1854"/>
      <c r="S40" s="3473">
        <v>127340</v>
      </c>
      <c r="T40" s="1854"/>
      <c r="U40" s="1854"/>
      <c r="V40" s="1854"/>
      <c r="W40" s="1854"/>
      <c r="X40" s="1854"/>
    </row>
    <row r="41" spans="1:24">
      <c r="A41" s="1793">
        <v>28</v>
      </c>
      <c r="C41" s="1784" t="s">
        <v>1332</v>
      </c>
      <c r="D41" s="3470">
        <v>2958880</v>
      </c>
      <c r="E41" s="1855">
        <f t="shared" si="10"/>
        <v>0</v>
      </c>
      <c r="F41" s="3470">
        <f>3826953-868073</f>
        <v>2958880</v>
      </c>
      <c r="G41" s="1855">
        <f t="shared" si="11"/>
        <v>0</v>
      </c>
      <c r="H41" s="3470">
        <v>2958880</v>
      </c>
      <c r="I41" s="1855">
        <f t="shared" si="12"/>
        <v>-0.13289999999999999</v>
      </c>
      <c r="J41" s="3473">
        <v>3412415</v>
      </c>
      <c r="K41" s="1855" t="str">
        <f t="shared" si="13"/>
        <v>-</v>
      </c>
      <c r="L41" s="3473">
        <v>0</v>
      </c>
      <c r="M41" s="1855" t="str">
        <f t="shared" si="14"/>
        <v>-</v>
      </c>
      <c r="N41" s="3473">
        <v>0</v>
      </c>
      <c r="O41" s="1855">
        <f t="shared" si="15"/>
        <v>-1</v>
      </c>
      <c r="P41" s="3473">
        <v>3750379</v>
      </c>
      <c r="Q41" s="1855" t="str">
        <f t="shared" si="16"/>
        <v>-</v>
      </c>
      <c r="S41" s="3473">
        <v>0</v>
      </c>
    </row>
    <row r="42" spans="1:24">
      <c r="A42" s="1793">
        <v>29</v>
      </c>
      <c r="C42" s="1784" t="s">
        <v>1333</v>
      </c>
      <c r="D42" s="3470">
        <v>2148487</v>
      </c>
      <c r="E42" s="1855">
        <f t="shared" si="10"/>
        <v>0.1535</v>
      </c>
      <c r="F42" s="3470">
        <v>1862533</v>
      </c>
      <c r="G42" s="1855">
        <f t="shared" si="11"/>
        <v>2.7871999999999999</v>
      </c>
      <c r="H42" s="3470">
        <v>491801</v>
      </c>
      <c r="I42" s="1855">
        <f t="shared" si="12"/>
        <v>1.2999999999999999E-3</v>
      </c>
      <c r="J42" s="3473">
        <v>491138</v>
      </c>
      <c r="K42" s="1855">
        <f t="shared" si="13"/>
        <v>-0.4269</v>
      </c>
      <c r="L42" s="3473">
        <v>856973</v>
      </c>
      <c r="M42" s="1855">
        <f t="shared" si="14"/>
        <v>-0.47220000000000001</v>
      </c>
      <c r="N42" s="3473">
        <v>1623581</v>
      </c>
      <c r="O42" s="1855">
        <f t="shared" si="15"/>
        <v>-3.1099999999999999E-2</v>
      </c>
      <c r="P42" s="3473">
        <v>1675712</v>
      </c>
      <c r="Q42" s="1855">
        <f t="shared" si="16"/>
        <v>0.45150000000000001</v>
      </c>
      <c r="R42" s="1854"/>
      <c r="S42" s="3473">
        <v>1154486</v>
      </c>
      <c r="T42" s="1854"/>
      <c r="U42" s="1854"/>
      <c r="V42" s="1854"/>
      <c r="W42" s="1854"/>
      <c r="X42" s="1854"/>
    </row>
    <row r="43" spans="1:24">
      <c r="A43" s="1793">
        <v>30</v>
      </c>
      <c r="C43" s="1784" t="s">
        <v>2238</v>
      </c>
      <c r="D43" s="3470"/>
      <c r="E43" s="1855" t="str">
        <f>IF(F43=0,"-",ROUND((D43-F43)/ABS(F43),4))</f>
        <v>-</v>
      </c>
      <c r="F43" s="3470"/>
      <c r="G43" s="1855" t="str">
        <f>IF(H43=0,"-",ROUND((F43-H43)/ABS(H43),4))</f>
        <v>-</v>
      </c>
      <c r="H43" s="3470">
        <v>0</v>
      </c>
      <c r="I43" s="1855" t="str">
        <f>IF(J43=0,"-",ROUND((H43-J43)/ABS(J43),4))</f>
        <v>-</v>
      </c>
      <c r="J43" s="3473">
        <v>0</v>
      </c>
      <c r="K43" s="1855" t="str">
        <f t="shared" si="13"/>
        <v>-</v>
      </c>
      <c r="L43" s="3473">
        <v>0</v>
      </c>
      <c r="M43" s="1855" t="str">
        <f t="shared" si="14"/>
        <v>-</v>
      </c>
      <c r="N43" s="3473">
        <v>0</v>
      </c>
      <c r="O43" s="1855" t="str">
        <f t="shared" si="15"/>
        <v>-</v>
      </c>
      <c r="P43" s="3473">
        <v>0</v>
      </c>
      <c r="Q43" s="1855" t="str">
        <f t="shared" si="16"/>
        <v>-</v>
      </c>
      <c r="R43" s="1854"/>
      <c r="S43" s="3473">
        <v>0</v>
      </c>
      <c r="T43" s="1854"/>
      <c r="U43" s="1854"/>
      <c r="V43" s="1854"/>
      <c r="W43" s="1854"/>
      <c r="X43" s="1854"/>
    </row>
    <row r="44" spans="1:24">
      <c r="A44" s="1793">
        <v>31</v>
      </c>
      <c r="C44" s="1784" t="s">
        <v>1334</v>
      </c>
      <c r="D44" s="3470">
        <v>2887316</v>
      </c>
      <c r="E44" s="1855">
        <f t="shared" si="10"/>
        <v>-0.61509999999999998</v>
      </c>
      <c r="F44" s="3470">
        <v>7500616</v>
      </c>
      <c r="G44" s="1855">
        <f t="shared" si="11"/>
        <v>1.9914000000000001</v>
      </c>
      <c r="H44" s="3470">
        <v>2507391</v>
      </c>
      <c r="I44" s="1855">
        <f t="shared" si="12"/>
        <v>-0.82110000000000005</v>
      </c>
      <c r="J44" s="3473">
        <v>14017712</v>
      </c>
      <c r="K44" s="1855">
        <f t="shared" si="13"/>
        <v>-0.309</v>
      </c>
      <c r="L44" s="3473">
        <v>20285345</v>
      </c>
      <c r="M44" s="1855">
        <f t="shared" si="14"/>
        <v>-7.4499999999999997E-2</v>
      </c>
      <c r="N44" s="3473">
        <v>21918755</v>
      </c>
      <c r="O44" s="1855">
        <f t="shared" si="15"/>
        <v>1.9421999999999999</v>
      </c>
      <c r="P44" s="3473">
        <v>7449715</v>
      </c>
      <c r="Q44" s="1855">
        <f t="shared" si="16"/>
        <v>-0.40589999999999998</v>
      </c>
      <c r="R44" s="1854"/>
      <c r="S44" s="3473">
        <v>12540368</v>
      </c>
      <c r="T44" s="1854"/>
      <c r="U44" s="1854"/>
      <c r="V44" s="1854"/>
      <c r="W44" s="1854"/>
      <c r="X44" s="1854"/>
    </row>
    <row r="45" spans="1:24">
      <c r="A45" s="1793">
        <v>32</v>
      </c>
      <c r="C45" s="1784" t="s">
        <v>2239</v>
      </c>
      <c r="D45" s="3470">
        <v>1125387</v>
      </c>
      <c r="E45" s="1855">
        <f t="shared" si="10"/>
        <v>-0.85809999999999997</v>
      </c>
      <c r="F45" s="3470">
        <v>7929395</v>
      </c>
      <c r="G45" s="1855">
        <f t="shared" si="11"/>
        <v>6.0458999999999996</v>
      </c>
      <c r="H45" s="3470">
        <v>1125387</v>
      </c>
      <c r="I45" s="1855">
        <f t="shared" si="12"/>
        <v>-0.71599999999999997</v>
      </c>
      <c r="J45" s="3473">
        <v>3962367</v>
      </c>
      <c r="K45" s="1855">
        <f t="shared" si="13"/>
        <v>0.36030000000000001</v>
      </c>
      <c r="L45" s="3473">
        <v>2912924</v>
      </c>
      <c r="M45" s="1855">
        <f t="shared" si="14"/>
        <v>1.8197000000000001</v>
      </c>
      <c r="N45" s="3473">
        <v>1033047</v>
      </c>
      <c r="O45" s="1855">
        <f t="shared" si="15"/>
        <v>1.9519</v>
      </c>
      <c r="P45" s="3473">
        <v>349957</v>
      </c>
      <c r="Q45" s="1855">
        <f t="shared" si="16"/>
        <v>-0.19120000000000001</v>
      </c>
      <c r="R45" s="1854"/>
      <c r="S45" s="3473">
        <v>432689</v>
      </c>
      <c r="T45" s="1854"/>
      <c r="U45" s="1854"/>
      <c r="V45" s="1854"/>
      <c r="W45" s="1854"/>
      <c r="X45" s="1854"/>
    </row>
    <row r="46" spans="1:24">
      <c r="A46" s="1793">
        <v>33</v>
      </c>
      <c r="C46" s="1784" t="s">
        <v>2240</v>
      </c>
      <c r="D46" s="3470"/>
      <c r="E46" s="1855" t="str">
        <f t="shared" si="10"/>
        <v>-</v>
      </c>
      <c r="F46" s="3470"/>
      <c r="G46" s="1855" t="str">
        <f t="shared" si="11"/>
        <v>-</v>
      </c>
      <c r="H46" s="3470">
        <v>0</v>
      </c>
      <c r="I46" s="1855" t="str">
        <f t="shared" si="12"/>
        <v>-</v>
      </c>
      <c r="J46" s="3473">
        <v>0</v>
      </c>
      <c r="K46" s="1855" t="str">
        <f t="shared" si="13"/>
        <v>-</v>
      </c>
      <c r="L46" s="3473">
        <v>0</v>
      </c>
      <c r="M46" s="1855" t="str">
        <f t="shared" si="14"/>
        <v>-</v>
      </c>
      <c r="N46" s="3473">
        <v>0</v>
      </c>
      <c r="O46" s="1855" t="str">
        <f t="shared" si="15"/>
        <v>-</v>
      </c>
      <c r="P46" s="3473">
        <v>0</v>
      </c>
      <c r="Q46" s="1855" t="str">
        <f t="shared" si="16"/>
        <v>-</v>
      </c>
      <c r="R46" s="1854"/>
      <c r="S46" s="3473">
        <v>0</v>
      </c>
      <c r="T46" s="1854"/>
      <c r="U46" s="1854"/>
      <c r="V46" s="1854"/>
      <c r="W46" s="1854"/>
      <c r="X46" s="1854"/>
    </row>
    <row r="47" spans="1:24">
      <c r="A47" s="1793">
        <v>34</v>
      </c>
      <c r="C47" s="1784" t="s">
        <v>2241</v>
      </c>
      <c r="D47" s="3470"/>
      <c r="E47" s="1855" t="str">
        <f t="shared" si="10"/>
        <v>-</v>
      </c>
      <c r="F47" s="3470"/>
      <c r="G47" s="1855" t="str">
        <f t="shared" si="11"/>
        <v>-</v>
      </c>
      <c r="H47" s="3470">
        <v>0</v>
      </c>
      <c r="I47" s="1855" t="str">
        <f t="shared" si="12"/>
        <v>-</v>
      </c>
      <c r="J47" s="3473">
        <v>0</v>
      </c>
      <c r="K47" s="1855" t="str">
        <f t="shared" si="13"/>
        <v>-</v>
      </c>
      <c r="L47" s="3473">
        <v>0</v>
      </c>
      <c r="M47" s="1855" t="str">
        <f t="shared" si="14"/>
        <v>-</v>
      </c>
      <c r="N47" s="3473">
        <v>0</v>
      </c>
      <c r="O47" s="1855" t="str">
        <f t="shared" si="15"/>
        <v>-</v>
      </c>
      <c r="P47" s="3473">
        <v>0</v>
      </c>
      <c r="Q47" s="1855" t="str">
        <f t="shared" si="16"/>
        <v>-</v>
      </c>
      <c r="R47" s="1854"/>
      <c r="S47" s="3473">
        <v>0</v>
      </c>
      <c r="T47" s="1854"/>
      <c r="U47" s="1854"/>
      <c r="V47" s="1854"/>
      <c r="W47" s="1854"/>
      <c r="X47" s="1854"/>
    </row>
    <row r="48" spans="1:24">
      <c r="A48" s="1793">
        <v>35</v>
      </c>
      <c r="C48" s="1784" t="s">
        <v>2242</v>
      </c>
      <c r="D48" s="3470"/>
      <c r="E48" s="1855" t="str">
        <f t="shared" si="10"/>
        <v>-</v>
      </c>
      <c r="F48" s="3470"/>
      <c r="G48" s="1855" t="str">
        <f t="shared" si="11"/>
        <v>-</v>
      </c>
      <c r="H48" s="3470">
        <v>0</v>
      </c>
      <c r="I48" s="1855" t="str">
        <f t="shared" si="12"/>
        <v>-</v>
      </c>
      <c r="J48" s="3473">
        <v>0</v>
      </c>
      <c r="K48" s="1855" t="str">
        <f t="shared" si="13"/>
        <v>-</v>
      </c>
      <c r="L48" s="3473">
        <v>0</v>
      </c>
      <c r="M48" s="1855" t="str">
        <f t="shared" si="14"/>
        <v>-</v>
      </c>
      <c r="N48" s="3473">
        <v>0</v>
      </c>
      <c r="O48" s="1855" t="str">
        <f t="shared" si="15"/>
        <v>-</v>
      </c>
      <c r="P48" s="3473">
        <v>0</v>
      </c>
      <c r="Q48" s="1855" t="str">
        <f t="shared" si="16"/>
        <v>-</v>
      </c>
      <c r="R48" s="1854"/>
      <c r="S48" s="3473">
        <v>0</v>
      </c>
      <c r="T48" s="1854"/>
      <c r="U48" s="1854"/>
      <c r="V48" s="1854"/>
      <c r="W48" s="1854"/>
      <c r="X48" s="1854"/>
    </row>
    <row r="49" spans="1:24">
      <c r="A49" s="1793">
        <v>36</v>
      </c>
      <c r="C49" s="1784" t="s">
        <v>1335</v>
      </c>
      <c r="D49" s="3470">
        <v>2430</v>
      </c>
      <c r="E49" s="1855" t="str">
        <f t="shared" si="10"/>
        <v>-</v>
      </c>
      <c r="F49" s="3470">
        <v>0</v>
      </c>
      <c r="G49" s="1855">
        <f t="shared" si="11"/>
        <v>-1</v>
      </c>
      <c r="H49" s="3470">
        <v>2500</v>
      </c>
      <c r="I49" s="1855">
        <f t="shared" si="12"/>
        <v>0</v>
      </c>
      <c r="J49" s="3473">
        <v>2500</v>
      </c>
      <c r="K49" s="1855">
        <f t="shared" si="13"/>
        <v>0</v>
      </c>
      <c r="L49" s="3473">
        <v>2500</v>
      </c>
      <c r="M49" s="1855" t="str">
        <f t="shared" si="14"/>
        <v>-</v>
      </c>
      <c r="N49" s="3473">
        <v>0</v>
      </c>
      <c r="O49" s="1855" t="str">
        <f t="shared" si="15"/>
        <v>-</v>
      </c>
      <c r="P49" s="3473">
        <v>0</v>
      </c>
      <c r="Q49" s="1855" t="str">
        <f t="shared" si="16"/>
        <v>-</v>
      </c>
      <c r="R49" s="1854"/>
      <c r="S49" s="3473">
        <v>0</v>
      </c>
      <c r="T49" s="1854"/>
      <c r="U49" s="1854"/>
      <c r="V49" s="1854"/>
      <c r="W49" s="1854"/>
      <c r="X49" s="1854"/>
    </row>
    <row r="50" spans="1:24">
      <c r="A50" s="1793">
        <v>37</v>
      </c>
      <c r="C50" s="1784" t="s">
        <v>1336</v>
      </c>
      <c r="D50" s="3472">
        <f>SUM(D29:D49)</f>
        <v>88846650</v>
      </c>
      <c r="E50" s="1855">
        <f t="shared" si="10"/>
        <v>-0.1497</v>
      </c>
      <c r="F50" s="3472">
        <f>SUM(F29:F49)</f>
        <v>104493683</v>
      </c>
      <c r="G50" s="1855">
        <f t="shared" si="11"/>
        <v>0.14369999999999999</v>
      </c>
      <c r="H50" s="3472">
        <f>SUM(H29:H49)</f>
        <v>91362333</v>
      </c>
      <c r="I50" s="1855">
        <f t="shared" si="12"/>
        <v>-7.2700000000000001E-2</v>
      </c>
      <c r="J50" s="3474">
        <f>SUM(J29:J49)</f>
        <v>98529744</v>
      </c>
      <c r="K50" s="1855">
        <f t="shared" si="13"/>
        <v>8.9999999999999998E-4</v>
      </c>
      <c r="L50" s="3474">
        <f>SUM(L29:L49)</f>
        <v>98436977</v>
      </c>
      <c r="M50" s="1855">
        <f t="shared" si="14"/>
        <v>-0.19159999999999999</v>
      </c>
      <c r="N50" s="3474">
        <f>SUM(N29:N49)</f>
        <v>121762050</v>
      </c>
      <c r="O50" s="1855">
        <f t="shared" si="15"/>
        <v>0.2152</v>
      </c>
      <c r="P50" s="3474">
        <f>SUM(P29:P49)</f>
        <v>100199246</v>
      </c>
      <c r="Q50" s="1855">
        <f t="shared" si="16"/>
        <v>0.13439999999999999</v>
      </c>
      <c r="R50" s="1854"/>
      <c r="S50" s="3474">
        <f>SUM(S29:S49)</f>
        <v>88331572</v>
      </c>
      <c r="T50" s="1854"/>
      <c r="U50" s="1854"/>
      <c r="V50" s="1854"/>
      <c r="W50" s="1854"/>
      <c r="X50" s="1854"/>
    </row>
    <row r="51" spans="1:24">
      <c r="A51" s="1793">
        <v>38</v>
      </c>
      <c r="C51" s="1851" t="s">
        <v>1337</v>
      </c>
      <c r="D51" s="1856"/>
      <c r="E51" s="1856"/>
      <c r="F51" s="1856"/>
      <c r="G51" s="1856"/>
      <c r="H51" s="1856"/>
      <c r="I51" s="1856"/>
      <c r="J51" s="3475"/>
      <c r="K51" s="1856"/>
      <c r="L51" s="3475"/>
      <c r="M51" s="1856"/>
      <c r="N51" s="3475"/>
      <c r="O51" s="1856"/>
      <c r="P51" s="3475"/>
      <c r="Q51" s="1856"/>
      <c r="R51" s="1854"/>
      <c r="S51" s="3475"/>
      <c r="T51" s="1854"/>
      <c r="U51" s="1854"/>
      <c r="V51" s="1854"/>
      <c r="W51" s="1854"/>
      <c r="X51" s="1854"/>
    </row>
    <row r="52" spans="1:24">
      <c r="A52" s="1793">
        <v>39</v>
      </c>
      <c r="C52" s="1784" t="s">
        <v>1338</v>
      </c>
      <c r="D52" s="3470">
        <v>363025</v>
      </c>
      <c r="E52" s="1855">
        <f t="shared" ref="E52:E61" si="20">IF(F52=0,"-",ROUND((D52-F52)/ABS(F52),4))</f>
        <v>-0.1278</v>
      </c>
      <c r="F52" s="3470">
        <v>416234</v>
      </c>
      <c r="G52" s="1855">
        <f t="shared" ref="G52:G61" si="21">IF(H52=0,"-",ROUND((F52-H52)/ABS(H52),4))</f>
        <v>-0.79969999999999997</v>
      </c>
      <c r="H52" s="3470">
        <v>2078548</v>
      </c>
      <c r="I52" s="1855">
        <f t="shared" ref="I52:I61" si="22">IF(J52=0,"-",ROUND((H52-J52)/ABS(J52),4))</f>
        <v>0.19689999999999999</v>
      </c>
      <c r="J52" s="3473">
        <v>1736629</v>
      </c>
      <c r="K52" s="1855">
        <f t="shared" ref="K52:K61" si="23">IF(L52=0,"-",ROUND((J52-L52)/ABS(L52),4))</f>
        <v>0.3296</v>
      </c>
      <c r="L52" s="3473">
        <v>1306096</v>
      </c>
      <c r="M52" s="1855">
        <f t="shared" ref="M52:M61" si="24">IF(N52=0,"-",ROUND((L52-N52)/ABS(N52),4))</f>
        <v>-0.3226</v>
      </c>
      <c r="N52" s="3473">
        <v>1928034</v>
      </c>
      <c r="O52" s="1855">
        <f t="shared" ref="O52:O61" si="25">IF(P52=0,"-",ROUND((N52-P52)/ABS(P52),4))</f>
        <v>-9.8400000000000001E-2</v>
      </c>
      <c r="P52" s="3473">
        <v>2138571</v>
      </c>
      <c r="Q52" s="1855">
        <f t="shared" ref="Q52:Q61" si="26">IF(S52=0,"-",ROUND((P52-S52)/ABS(S52),4))</f>
        <v>-0.1474</v>
      </c>
      <c r="R52" s="1854"/>
      <c r="S52" s="3473">
        <v>2508430</v>
      </c>
      <c r="T52" s="1854"/>
      <c r="U52" s="1854"/>
      <c r="V52" s="1854"/>
      <c r="W52" s="1854"/>
      <c r="X52" s="1854"/>
    </row>
    <row r="53" spans="1:24">
      <c r="A53" s="1793">
        <v>40</v>
      </c>
      <c r="C53" s="1784" t="s">
        <v>1339</v>
      </c>
      <c r="D53" s="3470">
        <v>65805428</v>
      </c>
      <c r="E53" s="1855">
        <f t="shared" si="20"/>
        <v>-2.5899999999999999E-2</v>
      </c>
      <c r="F53" s="3470">
        <v>67553704</v>
      </c>
      <c r="G53" s="1855">
        <f t="shared" si="21"/>
        <v>-0.47060000000000002</v>
      </c>
      <c r="H53" s="3470">
        <v>127608194</v>
      </c>
      <c r="I53" s="1855">
        <f t="shared" si="22"/>
        <v>0.79679999999999995</v>
      </c>
      <c r="J53" s="3473">
        <v>71018702</v>
      </c>
      <c r="K53" s="1855">
        <f t="shared" si="23"/>
        <v>0.47470000000000001</v>
      </c>
      <c r="L53" s="3473">
        <v>48159201</v>
      </c>
      <c r="M53" s="1855">
        <f t="shared" si="24"/>
        <v>0.76339999999999997</v>
      </c>
      <c r="N53" s="3473">
        <v>27310676</v>
      </c>
      <c r="O53" s="1855">
        <f t="shared" si="25"/>
        <v>0.36459999999999998</v>
      </c>
      <c r="P53" s="3473">
        <v>20014015</v>
      </c>
      <c r="Q53" s="1855">
        <f t="shared" si="26"/>
        <v>0.1386</v>
      </c>
      <c r="R53" s="1854"/>
      <c r="S53" s="3473">
        <v>17577334</v>
      </c>
    </row>
    <row r="54" spans="1:24">
      <c r="A54" s="1793">
        <v>41</v>
      </c>
      <c r="C54" s="1784" t="s">
        <v>2243</v>
      </c>
      <c r="D54" s="3470">
        <v>0</v>
      </c>
      <c r="E54" s="1855" t="str">
        <f t="shared" si="20"/>
        <v>-</v>
      </c>
      <c r="F54" s="3470"/>
      <c r="G54" s="1855">
        <f t="shared" si="21"/>
        <v>-1</v>
      </c>
      <c r="H54" s="3470">
        <v>290107</v>
      </c>
      <c r="I54" s="1855">
        <f t="shared" si="22"/>
        <v>1.0234000000000001</v>
      </c>
      <c r="J54" s="3473">
        <v>143374</v>
      </c>
      <c r="K54" s="1855">
        <f t="shared" si="23"/>
        <v>-0.89429999999999998</v>
      </c>
      <c r="L54" s="3473">
        <v>1355886</v>
      </c>
      <c r="M54" s="1855">
        <f t="shared" si="24"/>
        <v>-0.36330000000000001</v>
      </c>
      <c r="N54" s="3473">
        <v>2129393</v>
      </c>
      <c r="O54" s="1855">
        <f t="shared" si="25"/>
        <v>2.0999999999999999E-3</v>
      </c>
      <c r="P54" s="3473">
        <v>2124893</v>
      </c>
      <c r="Q54" s="1855">
        <f t="shared" si="26"/>
        <v>-0.188</v>
      </c>
      <c r="R54" s="1854"/>
      <c r="S54" s="3473">
        <v>2616844</v>
      </c>
    </row>
    <row r="55" spans="1:24">
      <c r="A55" s="1793">
        <v>42</v>
      </c>
      <c r="C55" s="1784" t="s">
        <v>1340</v>
      </c>
      <c r="D55" s="3470"/>
      <c r="E55" s="1855" t="str">
        <f t="shared" si="20"/>
        <v>-</v>
      </c>
      <c r="F55" s="3470"/>
      <c r="G55" s="1855">
        <f t="shared" si="21"/>
        <v>1</v>
      </c>
      <c r="H55" s="3470">
        <v>-86</v>
      </c>
      <c r="I55" s="1855">
        <f t="shared" si="22"/>
        <v>-4.375</v>
      </c>
      <c r="J55" s="3473">
        <v>-16</v>
      </c>
      <c r="K55" s="1855">
        <f t="shared" si="23"/>
        <v>-1.6667000000000001</v>
      </c>
      <c r="L55" s="3473">
        <v>24</v>
      </c>
      <c r="M55" s="1855">
        <f t="shared" si="24"/>
        <v>-0.99550000000000005</v>
      </c>
      <c r="N55" s="3473">
        <v>5364</v>
      </c>
      <c r="O55" s="1855">
        <f t="shared" si="25"/>
        <v>-0.90669999999999995</v>
      </c>
      <c r="P55" s="3473">
        <v>57469</v>
      </c>
      <c r="Q55" s="1855">
        <f t="shared" si="26"/>
        <v>0.30790000000000001</v>
      </c>
      <c r="R55" s="1854"/>
      <c r="S55" s="3473">
        <v>43940</v>
      </c>
      <c r="T55" s="1854"/>
      <c r="U55" s="1854"/>
      <c r="V55" s="1854"/>
      <c r="W55" s="1854"/>
      <c r="X55" s="1854"/>
    </row>
    <row r="56" spans="1:24">
      <c r="A56" s="1793">
        <v>43</v>
      </c>
      <c r="C56" s="1784" t="s">
        <v>2318</v>
      </c>
      <c r="D56" s="3470"/>
      <c r="E56" s="1855" t="str">
        <f t="shared" si="20"/>
        <v>-</v>
      </c>
      <c r="F56" s="3470"/>
      <c r="G56" s="1855" t="str">
        <f t="shared" si="21"/>
        <v>-</v>
      </c>
      <c r="H56" s="3470">
        <v>0</v>
      </c>
      <c r="I56" s="1855" t="str">
        <f t="shared" si="22"/>
        <v>-</v>
      </c>
      <c r="J56" s="3473">
        <v>0</v>
      </c>
      <c r="K56" s="1855" t="str">
        <f t="shared" si="23"/>
        <v>-</v>
      </c>
      <c r="L56" s="3473">
        <v>0</v>
      </c>
      <c r="M56" s="1855" t="str">
        <f t="shared" si="24"/>
        <v>-</v>
      </c>
      <c r="N56" s="3473">
        <v>0</v>
      </c>
      <c r="O56" s="1855" t="str">
        <f t="shared" si="25"/>
        <v>-</v>
      </c>
      <c r="P56" s="3473">
        <v>0</v>
      </c>
      <c r="Q56" s="1855" t="str">
        <f t="shared" si="26"/>
        <v>-</v>
      </c>
      <c r="R56" s="1854"/>
      <c r="S56" s="3473">
        <v>0</v>
      </c>
      <c r="T56" s="1854"/>
      <c r="U56" s="1854"/>
      <c r="V56" s="1854"/>
      <c r="W56" s="1854"/>
      <c r="X56" s="1854"/>
    </row>
    <row r="57" spans="1:24">
      <c r="A57" s="1793">
        <v>44</v>
      </c>
      <c r="C57" s="1784" t="s">
        <v>1341</v>
      </c>
      <c r="D57" s="3470">
        <f>53806978+16563476</f>
        <v>70370454</v>
      </c>
      <c r="E57" s="1855">
        <f t="shared" si="20"/>
        <v>0.21609999999999999</v>
      </c>
      <c r="F57" s="3470">
        <f>57864851</f>
        <v>57864851</v>
      </c>
      <c r="G57" s="1855">
        <f t="shared" si="21"/>
        <v>23.1006</v>
      </c>
      <c r="H57" s="3470">
        <v>2400973</v>
      </c>
      <c r="I57" s="1855">
        <f t="shared" si="22"/>
        <v>-0.91949999999999998</v>
      </c>
      <c r="J57" s="3473">
        <v>29840493</v>
      </c>
      <c r="K57" s="1855">
        <f t="shared" si="23"/>
        <v>1.0200000000000001E-2</v>
      </c>
      <c r="L57" s="3473">
        <v>29538033</v>
      </c>
      <c r="M57" s="1855">
        <f t="shared" si="24"/>
        <v>0.15379999999999999</v>
      </c>
      <c r="N57" s="3473">
        <v>25601304</v>
      </c>
      <c r="O57" s="1855">
        <f t="shared" si="25"/>
        <v>3.6900000000000002E-2</v>
      </c>
      <c r="P57" s="3473">
        <v>24689250</v>
      </c>
      <c r="Q57" s="1855">
        <f t="shared" si="26"/>
        <v>-0.39190000000000003</v>
      </c>
      <c r="R57" s="1854"/>
      <c r="S57" s="3473">
        <v>40601486</v>
      </c>
      <c r="T57" s="1854"/>
      <c r="U57" s="1854"/>
      <c r="V57" s="1854"/>
      <c r="W57" s="1854"/>
      <c r="X57" s="1854"/>
    </row>
    <row r="58" spans="1:24">
      <c r="A58" s="1793">
        <v>45</v>
      </c>
      <c r="C58" s="1784" t="s">
        <v>1342</v>
      </c>
      <c r="D58" s="3470">
        <v>475063</v>
      </c>
      <c r="E58" s="1855">
        <f t="shared" si="20"/>
        <v>-0.29899999999999999</v>
      </c>
      <c r="F58" s="3470">
        <v>677721</v>
      </c>
      <c r="G58" s="1855">
        <f t="shared" si="21"/>
        <v>-0.42970000000000003</v>
      </c>
      <c r="H58" s="3470">
        <v>1188432</v>
      </c>
      <c r="I58" s="1855">
        <f t="shared" si="22"/>
        <v>-0.1832</v>
      </c>
      <c r="J58" s="3473">
        <v>1454906</v>
      </c>
      <c r="K58" s="1855">
        <f t="shared" si="23"/>
        <v>-0.15479999999999999</v>
      </c>
      <c r="L58" s="3473">
        <v>1721380</v>
      </c>
      <c r="M58" s="1855">
        <f t="shared" si="24"/>
        <v>-0.1341</v>
      </c>
      <c r="N58" s="3473">
        <v>1987854</v>
      </c>
      <c r="O58" s="1855">
        <f t="shared" si="25"/>
        <v>-0.1182</v>
      </c>
      <c r="P58" s="3473">
        <v>2254328</v>
      </c>
      <c r="Q58" s="1855">
        <f t="shared" si="26"/>
        <v>-0.1091</v>
      </c>
      <c r="R58" s="1854"/>
      <c r="S58" s="3473">
        <v>2530513</v>
      </c>
      <c r="T58" s="1854"/>
      <c r="U58" s="1854"/>
      <c r="V58" s="1854"/>
      <c r="W58" s="1854"/>
      <c r="X58" s="1854"/>
    </row>
    <row r="59" spans="1:24">
      <c r="A59" s="1793">
        <v>46</v>
      </c>
      <c r="C59" s="1784" t="s">
        <v>1343</v>
      </c>
      <c r="D59" s="3470">
        <v>10261917</v>
      </c>
      <c r="E59" s="1855">
        <f t="shared" ref="E59" si="27">IF(F59=0,"-",ROUND((D59-F59)/ABS(F59),4))</f>
        <v>-0.13070000000000001</v>
      </c>
      <c r="F59" s="3470">
        <v>11805439</v>
      </c>
      <c r="G59" s="1855">
        <f t="shared" si="21"/>
        <v>-0.79769999999999996</v>
      </c>
      <c r="H59" s="3470">
        <v>58361447</v>
      </c>
      <c r="I59" s="1855">
        <f t="shared" si="22"/>
        <v>0.8236</v>
      </c>
      <c r="J59" s="3473">
        <v>32002628</v>
      </c>
      <c r="K59" s="1855">
        <f t="shared" si="23"/>
        <v>-0.20580000000000001</v>
      </c>
      <c r="L59" s="3473">
        <v>40297566</v>
      </c>
      <c r="M59" s="1855">
        <f t="shared" si="24"/>
        <v>8.7929999999999993</v>
      </c>
      <c r="N59" s="3473">
        <v>-5170986</v>
      </c>
      <c r="O59" s="1855">
        <f t="shared" si="25"/>
        <v>-1.4789000000000001</v>
      </c>
      <c r="P59" s="3473">
        <v>-2086005</v>
      </c>
      <c r="Q59" s="1855">
        <f t="shared" si="26"/>
        <v>-1.2662</v>
      </c>
      <c r="R59" s="1854"/>
      <c r="S59" s="3473">
        <v>7836663</v>
      </c>
      <c r="T59" s="1854"/>
      <c r="U59" s="1854"/>
      <c r="V59" s="1854"/>
      <c r="W59" s="1854"/>
      <c r="X59" s="1854"/>
    </row>
    <row r="60" spans="1:24">
      <c r="A60" s="1793">
        <v>47</v>
      </c>
      <c r="C60" s="1784" t="s">
        <v>1344</v>
      </c>
      <c r="D60" s="3470"/>
      <c r="E60" s="1855" t="str">
        <f t="shared" si="20"/>
        <v>-</v>
      </c>
      <c r="F60" s="3470"/>
      <c r="G60" s="1855">
        <f t="shared" si="21"/>
        <v>1</v>
      </c>
      <c r="H60" s="3470">
        <v>-219763</v>
      </c>
      <c r="I60" s="1855">
        <f t="shared" si="22"/>
        <v>-1.135</v>
      </c>
      <c r="J60" s="3473">
        <v>1627916</v>
      </c>
      <c r="K60" s="1855">
        <f t="shared" si="23"/>
        <v>1.8122</v>
      </c>
      <c r="L60" s="3473">
        <v>578873</v>
      </c>
      <c r="M60" s="1855">
        <f t="shared" si="24"/>
        <v>-0.69869999999999999</v>
      </c>
      <c r="N60" s="3473">
        <v>1921396</v>
      </c>
      <c r="O60" s="1855">
        <f t="shared" si="25"/>
        <v>1.1133</v>
      </c>
      <c r="P60" s="3473">
        <v>909195</v>
      </c>
      <c r="Q60" s="1855">
        <f t="shared" si="26"/>
        <v>1.6811</v>
      </c>
      <c r="R60" s="1854"/>
      <c r="S60" s="3473">
        <v>-1334972</v>
      </c>
      <c r="T60" s="1854"/>
      <c r="U60" s="1854"/>
      <c r="V60" s="1854"/>
      <c r="W60" s="1854"/>
      <c r="X60" s="1854"/>
    </row>
    <row r="61" spans="1:24">
      <c r="A61" s="1793">
        <v>48</v>
      </c>
      <c r="C61" s="1784" t="s">
        <v>1345</v>
      </c>
      <c r="D61" s="3472">
        <f>SUM(D51:D60)</f>
        <v>147275887</v>
      </c>
      <c r="E61" s="1855">
        <f t="shared" si="20"/>
        <v>6.4799999999999996E-2</v>
      </c>
      <c r="F61" s="3472">
        <f>SUM(F51:F60)</f>
        <v>138317949</v>
      </c>
      <c r="G61" s="1855">
        <f t="shared" si="21"/>
        <v>-0.27850000000000003</v>
      </c>
      <c r="H61" s="3472">
        <f>SUM(H51:H60)</f>
        <v>191707852</v>
      </c>
      <c r="I61" s="1855">
        <f t="shared" si="22"/>
        <v>0.39100000000000001</v>
      </c>
      <c r="J61" s="3474">
        <f>SUM(J51:J60)</f>
        <v>137824632</v>
      </c>
      <c r="K61" s="1855">
        <f t="shared" si="23"/>
        <v>0.12089999999999999</v>
      </c>
      <c r="L61" s="3474">
        <f>SUM(L51:L60)</f>
        <v>122957059</v>
      </c>
      <c r="M61" s="1855">
        <f t="shared" si="24"/>
        <v>1.2070000000000001</v>
      </c>
      <c r="N61" s="3474">
        <f>SUM(N51:N60)</f>
        <v>55713035</v>
      </c>
      <c r="O61" s="1855">
        <f t="shared" si="25"/>
        <v>0.112</v>
      </c>
      <c r="P61" s="3474">
        <f>SUM(P51:P60)</f>
        <v>50101716</v>
      </c>
      <c r="Q61" s="1855">
        <f t="shared" si="26"/>
        <v>-0.30780000000000002</v>
      </c>
      <c r="R61" s="1854"/>
      <c r="S61" s="3474">
        <f>SUM(S51:S60)</f>
        <v>72380238</v>
      </c>
      <c r="T61" s="1854"/>
      <c r="U61" s="1854"/>
      <c r="V61" s="1854"/>
      <c r="W61" s="1854"/>
      <c r="X61" s="1854"/>
    </row>
    <row r="62" spans="1:24">
      <c r="A62" s="1793">
        <v>49</v>
      </c>
      <c r="D62" s="1856"/>
      <c r="E62" s="1856"/>
      <c r="F62" s="1856"/>
      <c r="G62" s="1856"/>
      <c r="H62" s="1856"/>
      <c r="I62" s="1856"/>
      <c r="J62" s="1856"/>
      <c r="K62" s="1856"/>
      <c r="L62" s="1856"/>
      <c r="M62" s="1856"/>
      <c r="N62" s="1856"/>
      <c r="O62" s="1856"/>
      <c r="P62" s="1856"/>
      <c r="Q62" s="1856"/>
      <c r="R62" s="1854"/>
      <c r="S62" s="1856"/>
      <c r="T62" s="1854"/>
      <c r="U62" s="1854"/>
      <c r="V62" s="1854"/>
      <c r="W62" s="1854"/>
      <c r="X62" s="1854"/>
    </row>
    <row r="63" spans="1:24">
      <c r="A63" s="1793">
        <v>50</v>
      </c>
      <c r="D63" s="1856"/>
      <c r="E63" s="1856"/>
      <c r="F63" s="1856"/>
      <c r="G63" s="1856"/>
      <c r="H63" s="1856"/>
      <c r="I63" s="1856"/>
      <c r="J63" s="1856"/>
      <c r="K63" s="1856"/>
      <c r="L63" s="1856"/>
      <c r="M63" s="1856"/>
      <c r="N63" s="1856"/>
      <c r="O63" s="1856"/>
      <c r="P63" s="1856"/>
      <c r="Q63" s="1856"/>
      <c r="R63" s="1854"/>
      <c r="S63" s="1856"/>
      <c r="T63" s="1854"/>
      <c r="U63" s="1854"/>
      <c r="V63" s="1854"/>
      <c r="W63" s="1854"/>
      <c r="X63" s="1854"/>
    </row>
    <row r="64" spans="1:24" ht="13.8" thickBot="1">
      <c r="A64" s="1793">
        <v>51</v>
      </c>
      <c r="C64" s="1784" t="s">
        <v>1346</v>
      </c>
      <c r="D64" s="3476">
        <f>D61+D50+D28+D20</f>
        <v>1730065828</v>
      </c>
      <c r="E64" s="1855">
        <f>IF(F64=0,"-",ROUND((D64-F64)/ABS(F64),4))</f>
        <v>-1.21E-2</v>
      </c>
      <c r="F64" s="3476">
        <f>F61+F50+F28+F20</f>
        <v>1751236094</v>
      </c>
      <c r="G64" s="1855">
        <f>IF(H64=0,"-",ROUND((F64-H64)/ABS(H64),4))</f>
        <v>0.12770000000000001</v>
      </c>
      <c r="H64" s="3476">
        <f>H61+H50+H28+H20</f>
        <v>1552943930</v>
      </c>
      <c r="I64" s="1855">
        <f>IF(J64=0,"-",ROUND((H64-J64)/ABS(J64),4))</f>
        <v>0.1467</v>
      </c>
      <c r="J64" s="3476">
        <f>J61+J50+J28+J20</f>
        <v>1354236962</v>
      </c>
      <c r="K64" s="1855">
        <f>IF(L64=0,"-",ROUND((J64-L64)/ABS(L64),4))</f>
        <v>2.2800000000000001E-2</v>
      </c>
      <c r="L64" s="3476">
        <f>L61+L50+L28+L20</f>
        <v>1324084250</v>
      </c>
      <c r="M64" s="1855">
        <f>IF(N64=0,"-",ROUND((L64-N64)/ABS(N64),4))</f>
        <v>0.14829999999999999</v>
      </c>
      <c r="N64" s="3476">
        <f>N61+N50+N28+N20</f>
        <v>1153123738</v>
      </c>
      <c r="O64" s="1855">
        <f>IF(P64=0,"-",ROUND((N64-P64)/ABS(P64),4))</f>
        <v>5.3900000000000003E-2</v>
      </c>
      <c r="P64" s="3476">
        <f>P61+P50+P28+P20</f>
        <v>1094191585</v>
      </c>
      <c r="Q64" s="1855">
        <f>IF(S64=0,"-",ROUND((P64-S64)/ABS(S64),4))</f>
        <v>-1.32E-2</v>
      </c>
      <c r="R64" s="1854"/>
      <c r="S64" s="3476">
        <f>S61+S50+S28+S20</f>
        <v>1108773593</v>
      </c>
      <c r="T64" s="1854"/>
      <c r="U64" s="1854"/>
      <c r="V64" s="1854"/>
      <c r="W64" s="1854"/>
      <c r="X64" s="1854"/>
    </row>
    <row r="65" spans="1:24" ht="13.8" thickTop="1">
      <c r="F65" s="1856"/>
      <c r="G65" s="1856"/>
      <c r="H65" s="1856"/>
      <c r="I65" s="1856"/>
      <c r="J65" s="1856"/>
      <c r="K65" s="1856"/>
      <c r="L65" s="1856"/>
      <c r="M65" s="1856"/>
      <c r="N65" s="1856"/>
      <c r="O65" s="1856"/>
      <c r="P65" s="1856"/>
      <c r="Q65" s="1856"/>
      <c r="R65" s="1854"/>
      <c r="S65" s="1856"/>
      <c r="T65" s="1854"/>
      <c r="U65" s="1854"/>
      <c r="V65" s="1854"/>
      <c r="W65" s="1854"/>
      <c r="X65" s="1854"/>
    </row>
    <row r="66" spans="1:24">
      <c r="C66" s="1785" t="s">
        <v>2461</v>
      </c>
      <c r="F66" s="1858" t="s">
        <v>749</v>
      </c>
      <c r="G66" s="1858"/>
      <c r="H66" s="1856"/>
      <c r="I66" s="1856"/>
      <c r="J66" s="1856"/>
      <c r="K66" s="1856"/>
      <c r="L66" s="1856"/>
      <c r="M66" s="1856"/>
      <c r="N66" s="1859"/>
      <c r="O66" s="1859"/>
      <c r="P66" s="1856"/>
      <c r="Q66" s="1856"/>
      <c r="S66" s="1856"/>
      <c r="T66" s="1854"/>
      <c r="U66" s="1854"/>
      <c r="V66" s="1854"/>
      <c r="W66" s="1854"/>
      <c r="X66" s="1854"/>
    </row>
    <row r="67" spans="1:24">
      <c r="F67" s="1859"/>
      <c r="G67" s="1859"/>
      <c r="H67" s="1859"/>
      <c r="I67" s="1859"/>
      <c r="J67" s="1859"/>
      <c r="K67" s="1859"/>
      <c r="L67" s="1859"/>
      <c r="M67" s="1859"/>
      <c r="N67" s="1859"/>
      <c r="O67" s="1859"/>
      <c r="P67" s="1859"/>
      <c r="Q67" s="1859"/>
      <c r="S67" s="1859"/>
      <c r="T67" s="1854"/>
      <c r="U67" s="1854"/>
      <c r="V67" s="1854"/>
      <c r="W67" s="1854"/>
      <c r="X67" s="1854"/>
    </row>
    <row r="68" spans="1:24">
      <c r="A68" s="1839" t="str">
        <f>A1</f>
        <v>DUKE ENERGY KENTUCKY, INC.</v>
      </c>
      <c r="B68" s="1782"/>
      <c r="C68" s="1782"/>
      <c r="D68" s="1782"/>
      <c r="E68" s="1782"/>
      <c r="F68" s="1860"/>
      <c r="G68" s="1860"/>
      <c r="H68" s="1860"/>
      <c r="I68" s="1860"/>
      <c r="J68" s="1860"/>
      <c r="K68" s="1860"/>
      <c r="L68" s="1860"/>
      <c r="M68" s="1860"/>
      <c r="N68" s="1860"/>
      <c r="O68" s="1860"/>
      <c r="P68" s="1860"/>
      <c r="Q68" s="1860"/>
    </row>
    <row r="69" spans="1:24">
      <c r="A69" s="1839" t="str">
        <f>A2</f>
        <v>CASE NO. 2018-00261</v>
      </c>
      <c r="B69" s="1782"/>
      <c r="C69" s="1782"/>
      <c r="D69" s="1782"/>
      <c r="E69" s="1782"/>
      <c r="F69" s="1860"/>
      <c r="G69" s="1860"/>
      <c r="H69" s="1860"/>
      <c r="I69" s="1860"/>
      <c r="J69" s="1860"/>
      <c r="K69" s="1860"/>
      <c r="L69" s="1860"/>
      <c r="M69" s="1860"/>
      <c r="N69" s="1860"/>
      <c r="O69" s="1860"/>
      <c r="P69" s="1860"/>
      <c r="Q69" s="1860"/>
    </row>
    <row r="70" spans="1:24">
      <c r="A70" s="1782" t="s">
        <v>1724</v>
      </c>
      <c r="B70" s="1782"/>
      <c r="C70" s="1782"/>
      <c r="D70" s="1782"/>
      <c r="E70" s="1782"/>
      <c r="F70" s="1860"/>
      <c r="G70" s="1860"/>
      <c r="H70" s="1860"/>
      <c r="I70" s="1860"/>
      <c r="J70" s="1860"/>
      <c r="K70" s="1860"/>
      <c r="L70" s="1860"/>
      <c r="M70" s="1860"/>
      <c r="N70" s="1860"/>
      <c r="O70" s="1860"/>
      <c r="P70" s="1860"/>
      <c r="Q70" s="1860"/>
    </row>
    <row r="71" spans="1:24">
      <c r="A71" s="1840" t="str">
        <f>A4</f>
        <v>AS OF DECEMBER 31, 2013-2017 AND BASE AND FORECASTED PERIODS</v>
      </c>
      <c r="B71" s="1782"/>
      <c r="C71" s="1782"/>
      <c r="D71" s="1782"/>
      <c r="E71" s="1782"/>
      <c r="F71" s="1860"/>
      <c r="G71" s="1860"/>
      <c r="H71" s="1860"/>
      <c r="I71" s="1860"/>
      <c r="J71" s="1860"/>
      <c r="K71" s="1860"/>
      <c r="L71" s="1860"/>
      <c r="M71" s="1860"/>
      <c r="N71" s="1860"/>
      <c r="O71" s="1860"/>
      <c r="P71" s="1860"/>
      <c r="Q71" s="1860"/>
    </row>
    <row r="72" spans="1:24">
      <c r="A72" s="1784"/>
      <c r="F72" s="1859"/>
      <c r="G72" s="1859"/>
      <c r="H72" s="1859"/>
      <c r="I72" s="1859"/>
      <c r="J72" s="1859"/>
      <c r="K72" s="1859"/>
      <c r="L72" s="1859"/>
      <c r="M72" s="1859"/>
      <c r="N72" s="1859"/>
      <c r="O72" s="1859"/>
      <c r="P72" s="1859"/>
      <c r="Q72" s="1859"/>
    </row>
    <row r="73" spans="1:24">
      <c r="A73" s="1784" t="str">
        <f>LOGO!$B$14</f>
        <v>DATA: "X" BASE PERIOD  "X" FORECASTED PERIOD</v>
      </c>
      <c r="F73" s="1859"/>
      <c r="G73" s="1859"/>
      <c r="H73" s="1859"/>
      <c r="I73" s="1859"/>
      <c r="J73" s="1859"/>
      <c r="K73" s="1859"/>
      <c r="L73" s="1859"/>
      <c r="M73" s="1859"/>
      <c r="N73" s="1858" t="s">
        <v>1725</v>
      </c>
      <c r="O73" s="1858"/>
      <c r="P73" s="1859"/>
      <c r="Q73" s="1859"/>
    </row>
    <row r="74" spans="1:24">
      <c r="A74" s="1784" t="str">
        <f>A7</f>
        <v xml:space="preserve">TYPE OF FILING:  "X" ORIGINAL   UPDATED    REVISED  </v>
      </c>
      <c r="F74" s="1859"/>
      <c r="G74" s="1859"/>
      <c r="H74" s="1859"/>
      <c r="I74" s="1859"/>
      <c r="J74" s="1859"/>
      <c r="K74" s="1859"/>
      <c r="L74" s="1859"/>
      <c r="M74" s="1859"/>
      <c r="N74" s="1858" t="s">
        <v>762</v>
      </c>
      <c r="O74" s="1858"/>
      <c r="P74" s="1859"/>
      <c r="Q74" s="1859"/>
    </row>
    <row r="75" spans="1:24">
      <c r="A75" s="1784" t="s">
        <v>655</v>
      </c>
      <c r="F75" s="1859"/>
      <c r="G75" s="1859"/>
      <c r="H75" s="1859"/>
      <c r="I75" s="1859"/>
      <c r="J75" s="1859"/>
      <c r="K75" s="1859"/>
      <c r="L75" s="1859"/>
      <c r="M75" s="1859"/>
      <c r="N75" s="1859" t="s">
        <v>566</v>
      </c>
      <c r="O75" s="1859"/>
      <c r="P75" s="1859"/>
      <c r="Q75" s="1859"/>
    </row>
    <row r="76" spans="1:24">
      <c r="A76" s="1784"/>
      <c r="F76" s="1859"/>
      <c r="G76" s="1859"/>
      <c r="H76" s="1859"/>
      <c r="I76" s="1859"/>
      <c r="J76" s="1859"/>
      <c r="K76" s="1859"/>
      <c r="L76" s="1859"/>
      <c r="M76" s="1859"/>
      <c r="N76" s="1859" t="str">
        <f>_WIT6</f>
        <v>R. H. PRATT / S. M. COVINGTON</v>
      </c>
      <c r="O76" s="1859"/>
      <c r="P76" s="1859"/>
      <c r="Q76" s="1859"/>
    </row>
    <row r="77" spans="1:24">
      <c r="A77" s="1784"/>
      <c r="F77" s="1859"/>
      <c r="G77" s="1859"/>
      <c r="H77" s="1859"/>
      <c r="I77" s="1859"/>
      <c r="J77" s="1859"/>
      <c r="K77" s="1859"/>
      <c r="L77" s="1859"/>
      <c r="M77" s="1859"/>
      <c r="N77" s="1859"/>
      <c r="O77" s="1859"/>
      <c r="P77" s="1859"/>
      <c r="Q77" s="1859"/>
    </row>
    <row r="78" spans="1:24">
      <c r="D78" s="1842" t="s">
        <v>2017</v>
      </c>
      <c r="F78" s="1859"/>
      <c r="G78" s="1859"/>
      <c r="H78" s="1861" t="s">
        <v>1727</v>
      </c>
      <c r="I78" s="1861"/>
      <c r="J78" s="1862"/>
      <c r="K78" s="1862"/>
      <c r="L78" s="1862"/>
      <c r="M78" s="1862"/>
      <c r="N78" s="1862"/>
      <c r="O78" s="1862"/>
      <c r="P78" s="1862"/>
      <c r="Q78" s="1863"/>
    </row>
    <row r="79" spans="1:24">
      <c r="A79" s="1793" t="s">
        <v>567</v>
      </c>
      <c r="B79" s="1794"/>
      <c r="C79" s="1794"/>
      <c r="D79" s="1794" t="s">
        <v>1127</v>
      </c>
      <c r="E79" s="1794" t="s">
        <v>2097</v>
      </c>
      <c r="F79" s="1846" t="s">
        <v>740</v>
      </c>
      <c r="G79" s="1794" t="s">
        <v>2097</v>
      </c>
      <c r="I79" s="1794" t="s">
        <v>2097</v>
      </c>
      <c r="K79" s="1794" t="s">
        <v>2097</v>
      </c>
      <c r="M79" s="1794" t="s">
        <v>2097</v>
      </c>
      <c r="O79" s="1794" t="s">
        <v>2097</v>
      </c>
      <c r="Q79" s="1847" t="s">
        <v>2097</v>
      </c>
    </row>
    <row r="80" spans="1:24">
      <c r="A80" s="1795" t="s">
        <v>766</v>
      </c>
      <c r="B80" s="1794"/>
      <c r="C80" s="1795" t="s">
        <v>642</v>
      </c>
      <c r="D80" s="1848" t="s">
        <v>743</v>
      </c>
      <c r="E80" s="1848" t="s">
        <v>721</v>
      </c>
      <c r="F80" s="1848" t="s">
        <v>743</v>
      </c>
      <c r="G80" s="1848" t="s">
        <v>721</v>
      </c>
      <c r="H80" s="1795">
        <f>H13</f>
        <v>2017</v>
      </c>
      <c r="I80" s="1848" t="s">
        <v>721</v>
      </c>
      <c r="J80" s="1795">
        <f>H80-1</f>
        <v>2016</v>
      </c>
      <c r="K80" s="1848" t="s">
        <v>721</v>
      </c>
      <c r="L80" s="1795">
        <f>J80-1</f>
        <v>2015</v>
      </c>
      <c r="M80" s="1848" t="s">
        <v>721</v>
      </c>
      <c r="N80" s="1795">
        <f>L80-1</f>
        <v>2014</v>
      </c>
      <c r="O80" s="1848" t="s">
        <v>721</v>
      </c>
      <c r="P80" s="1795">
        <f>N80-1</f>
        <v>2013</v>
      </c>
      <c r="Q80" s="1848" t="s">
        <v>721</v>
      </c>
      <c r="S80" s="1795">
        <f>P80-1</f>
        <v>2012</v>
      </c>
    </row>
    <row r="81" spans="1:24">
      <c r="A81" s="1850">
        <v>1</v>
      </c>
      <c r="C81" s="1851" t="s">
        <v>1347</v>
      </c>
      <c r="D81" s="1851"/>
      <c r="E81" s="1851"/>
      <c r="F81" s="1859"/>
      <c r="G81" s="1859"/>
      <c r="H81" s="1859"/>
      <c r="I81" s="1859"/>
      <c r="J81" s="1859"/>
      <c r="K81" s="1859"/>
      <c r="L81" s="1859"/>
      <c r="M81" s="1859"/>
      <c r="N81" s="1859"/>
      <c r="O81" s="1859"/>
      <c r="P81" s="1859"/>
      <c r="Q81" s="1859"/>
      <c r="S81" s="1859"/>
      <c r="T81" s="1854"/>
      <c r="U81" s="1854"/>
      <c r="V81" s="1854"/>
      <c r="W81" s="1854"/>
      <c r="X81" s="1854"/>
    </row>
    <row r="82" spans="1:24">
      <c r="A82" s="1850">
        <v>2</v>
      </c>
      <c r="C82" s="1851" t="s">
        <v>1348</v>
      </c>
      <c r="D82" s="1851"/>
      <c r="E82" s="1851"/>
      <c r="F82" s="1859"/>
      <c r="G82" s="1859"/>
      <c r="H82" s="1859"/>
      <c r="I82" s="1859"/>
      <c r="J82" s="1859"/>
      <c r="K82" s="1859"/>
      <c r="L82" s="1859"/>
      <c r="M82" s="1859"/>
      <c r="N82" s="1859"/>
      <c r="O82" s="1859"/>
      <c r="P82" s="1859"/>
      <c r="Q82" s="1859"/>
      <c r="S82" s="1859"/>
      <c r="T82" s="1854"/>
      <c r="U82" s="1854"/>
      <c r="V82" s="1854"/>
      <c r="W82" s="1854"/>
      <c r="X82" s="1854"/>
    </row>
    <row r="83" spans="1:24">
      <c r="A83" s="1850">
        <v>3</v>
      </c>
      <c r="C83" s="1784" t="s">
        <v>1349</v>
      </c>
      <c r="D83" s="3470">
        <v>8779995</v>
      </c>
      <c r="E83" s="1855">
        <f t="shared" ref="E83:E88" si="28">IF(F83=0,"-",ROUND((D83-F83)/ABS(F83),4))</f>
        <v>0</v>
      </c>
      <c r="F83" s="3470">
        <v>8779995</v>
      </c>
      <c r="G83" s="1855">
        <f t="shared" ref="G83:G88" si="29">IF(H83=0,"-",ROUND((F83-H83)/ABS(H83),4))</f>
        <v>0</v>
      </c>
      <c r="H83" s="3470">
        <v>8779995</v>
      </c>
      <c r="I83" s="1855">
        <f t="shared" ref="I83:I88" si="30">IF(J83=0,"-",ROUND((H83-J83)/ABS(J83),4))</f>
        <v>0</v>
      </c>
      <c r="J83" s="3470">
        <v>8779995</v>
      </c>
      <c r="K83" s="1855">
        <f t="shared" ref="K83:K88" si="31">IF(L83=0,"-",ROUND((J83-L83)/ABS(L83),4))</f>
        <v>0</v>
      </c>
      <c r="L83" s="3470">
        <v>8779995</v>
      </c>
      <c r="M83" s="1855">
        <f t="shared" ref="M83:M88" si="32">IF(N83=0,"-",ROUND((L83-N83)/ABS(N83),4))</f>
        <v>0</v>
      </c>
      <c r="N83" s="3470">
        <v>8779995</v>
      </c>
      <c r="O83" s="1855">
        <f t="shared" ref="O83:O88" si="33">IF(P83=0,"-",ROUND((N83-P83)/ABS(P83),4))</f>
        <v>0</v>
      </c>
      <c r="P83" s="3470">
        <v>8779995</v>
      </c>
      <c r="Q83" s="1855">
        <f t="shared" ref="Q83:Q88" si="34">IF(S83=0,"-",ROUND((P83-S83)/ABS(S83),4))</f>
        <v>0</v>
      </c>
      <c r="R83" s="1854"/>
      <c r="S83" s="3470">
        <v>8779995</v>
      </c>
      <c r="T83" s="1854"/>
      <c r="U83" s="1854"/>
      <c r="V83" s="1854"/>
      <c r="W83" s="1854"/>
      <c r="X83" s="1854"/>
    </row>
    <row r="84" spans="1:24">
      <c r="A84" s="1850">
        <v>4</v>
      </c>
      <c r="C84" s="1784" t="s">
        <v>1350</v>
      </c>
      <c r="D84" s="3470">
        <v>18838946</v>
      </c>
      <c r="E84" s="1855">
        <f t="shared" si="28"/>
        <v>0</v>
      </c>
      <c r="F84" s="3470">
        <v>18838946</v>
      </c>
      <c r="G84" s="1855">
        <f t="shared" si="29"/>
        <v>0</v>
      </c>
      <c r="H84" s="3470">
        <v>18838946</v>
      </c>
      <c r="I84" s="1855">
        <f t="shared" si="30"/>
        <v>0</v>
      </c>
      <c r="J84" s="3470">
        <v>18838946</v>
      </c>
      <c r="K84" s="1855">
        <f t="shared" si="31"/>
        <v>0</v>
      </c>
      <c r="L84" s="3470">
        <v>18838946</v>
      </c>
      <c r="M84" s="1855">
        <f t="shared" si="32"/>
        <v>0</v>
      </c>
      <c r="N84" s="3470">
        <v>18838946</v>
      </c>
      <c r="O84" s="1855">
        <f t="shared" si="33"/>
        <v>0</v>
      </c>
      <c r="P84" s="3470">
        <f>18838946</f>
        <v>18838946</v>
      </c>
      <c r="Q84" s="1855">
        <f t="shared" si="34"/>
        <v>0</v>
      </c>
      <c r="R84" s="1854"/>
      <c r="S84" s="3470">
        <f>18838946</f>
        <v>18838946</v>
      </c>
      <c r="T84" s="1854"/>
      <c r="U84" s="1854"/>
      <c r="V84" s="1854"/>
      <c r="W84" s="1854"/>
      <c r="X84" s="1854"/>
    </row>
    <row r="85" spans="1:24">
      <c r="A85" s="1850">
        <v>5</v>
      </c>
      <c r="C85" s="1784" t="s">
        <v>1351</v>
      </c>
      <c r="D85" s="3470">
        <v>163655188</v>
      </c>
      <c r="E85" s="1855">
        <f t="shared" si="28"/>
        <v>0</v>
      </c>
      <c r="F85" s="3470">
        <v>163655188</v>
      </c>
      <c r="G85" s="1855">
        <f t="shared" si="29"/>
        <v>0</v>
      </c>
      <c r="H85" s="3470">
        <v>163655189</v>
      </c>
      <c r="I85" s="1855">
        <f t="shared" si="30"/>
        <v>0.1009</v>
      </c>
      <c r="J85" s="3470">
        <v>148655189</v>
      </c>
      <c r="K85" s="1855">
        <f t="shared" si="31"/>
        <v>0</v>
      </c>
      <c r="L85" s="3470">
        <v>148655189</v>
      </c>
      <c r="M85" s="1855">
        <f t="shared" si="32"/>
        <v>0</v>
      </c>
      <c r="N85" s="3470">
        <v>148655189</v>
      </c>
      <c r="O85" s="1855">
        <f t="shared" si="33"/>
        <v>0</v>
      </c>
      <c r="P85" s="3470">
        <v>148655189</v>
      </c>
      <c r="Q85" s="1855">
        <f t="shared" si="34"/>
        <v>0</v>
      </c>
      <c r="R85" s="1854"/>
      <c r="S85" s="3470">
        <v>148655189</v>
      </c>
      <c r="T85" s="1854"/>
      <c r="U85" s="1854"/>
      <c r="V85" s="1854"/>
      <c r="W85" s="1854"/>
      <c r="X85" s="1854"/>
    </row>
    <row r="86" spans="1:24">
      <c r="A86" s="1850">
        <v>6</v>
      </c>
      <c r="C86" s="1784" t="s">
        <v>1352</v>
      </c>
      <c r="D86" s="3470">
        <f>428760359+1078566</f>
        <v>429838925</v>
      </c>
      <c r="E86" s="1855">
        <f t="shared" si="28"/>
        <v>0.1181</v>
      </c>
      <c r="F86" s="3470">
        <f>395274286-10841099</f>
        <v>384433187</v>
      </c>
      <c r="G86" s="1855">
        <f t="shared" si="29"/>
        <v>0.20080000000000001</v>
      </c>
      <c r="H86" s="3470">
        <v>320140297</v>
      </c>
      <c r="I86" s="1855">
        <f t="shared" si="30"/>
        <v>0.2278</v>
      </c>
      <c r="J86" s="3477">
        <v>260741367</v>
      </c>
      <c r="K86" s="1855">
        <f t="shared" si="31"/>
        <v>0.14280000000000001</v>
      </c>
      <c r="L86" s="3477">
        <v>228157429</v>
      </c>
      <c r="M86" s="1855">
        <f t="shared" si="32"/>
        <v>-3.7199999999999997E-2</v>
      </c>
      <c r="N86" s="3477">
        <v>236981799</v>
      </c>
      <c r="O86" s="1855">
        <f t="shared" si="33"/>
        <v>0.17499999999999999</v>
      </c>
      <c r="P86" s="3477">
        <v>201679984</v>
      </c>
      <c r="Q86" s="1855">
        <f t="shared" si="34"/>
        <v>2.58E-2</v>
      </c>
      <c r="R86" s="1854"/>
      <c r="S86" s="3477">
        <v>196610413</v>
      </c>
      <c r="T86" s="1854"/>
      <c r="U86" s="1854"/>
      <c r="V86" s="1854"/>
      <c r="W86" s="1854"/>
      <c r="X86" s="1854"/>
    </row>
    <row r="87" spans="1:24">
      <c r="A87" s="1850">
        <v>7</v>
      </c>
      <c r="C87" s="1784" t="s">
        <v>888</v>
      </c>
      <c r="D87" s="3470">
        <v>0</v>
      </c>
      <c r="E87" s="1855" t="str">
        <f t="shared" si="28"/>
        <v>-</v>
      </c>
      <c r="F87" s="3470">
        <v>0</v>
      </c>
      <c r="G87" s="1855" t="str">
        <f t="shared" si="29"/>
        <v>-</v>
      </c>
      <c r="H87" s="3470">
        <v>0</v>
      </c>
      <c r="I87" s="1855" t="str">
        <f t="shared" si="30"/>
        <v>-</v>
      </c>
      <c r="J87" s="3477">
        <v>0</v>
      </c>
      <c r="K87" s="1855" t="str">
        <f t="shared" si="31"/>
        <v>-</v>
      </c>
      <c r="L87" s="3477">
        <v>0</v>
      </c>
      <c r="M87" s="1855" t="str">
        <f t="shared" si="32"/>
        <v>-</v>
      </c>
      <c r="N87" s="3477">
        <v>0</v>
      </c>
      <c r="O87" s="1855" t="str">
        <f t="shared" si="33"/>
        <v>-</v>
      </c>
      <c r="P87" s="3477">
        <v>0</v>
      </c>
      <c r="Q87" s="1855" t="str">
        <f>IF(S87=0,"-",ROUND((P87-S87)/ABS(S87),4))</f>
        <v>-</v>
      </c>
      <c r="R87" s="1854"/>
      <c r="S87" s="3477">
        <v>0</v>
      </c>
      <c r="T87" s="1854"/>
      <c r="U87" s="1854"/>
      <c r="V87" s="1854"/>
      <c r="W87" s="1854"/>
      <c r="X87" s="1854"/>
    </row>
    <row r="88" spans="1:24">
      <c r="A88" s="1850">
        <v>8</v>
      </c>
      <c r="C88" s="1784" t="s">
        <v>1353</v>
      </c>
      <c r="D88" s="3472">
        <f>SUM(D83:D87)</f>
        <v>621113054</v>
      </c>
      <c r="E88" s="1855">
        <f t="shared" si="28"/>
        <v>7.8899999999999998E-2</v>
      </c>
      <c r="F88" s="3472">
        <f>SUM(F83:F87)</f>
        <v>575707316</v>
      </c>
      <c r="G88" s="1855">
        <f t="shared" si="29"/>
        <v>0.12570000000000001</v>
      </c>
      <c r="H88" s="3472">
        <f>SUM(H83:H87)</f>
        <v>511414427</v>
      </c>
      <c r="I88" s="1855">
        <f t="shared" si="30"/>
        <v>0.17019999999999999</v>
      </c>
      <c r="J88" s="3472">
        <f>SUM(J83:J87)</f>
        <v>437015497</v>
      </c>
      <c r="K88" s="1855">
        <f t="shared" si="31"/>
        <v>8.0600000000000005E-2</v>
      </c>
      <c r="L88" s="3472">
        <f>SUM(L83:L87)</f>
        <v>404431559</v>
      </c>
      <c r="M88" s="1855">
        <f t="shared" si="32"/>
        <v>-2.1399999999999999E-2</v>
      </c>
      <c r="N88" s="3472">
        <f>SUM(N83:N87)</f>
        <v>413255929</v>
      </c>
      <c r="O88" s="1855">
        <f t="shared" si="33"/>
        <v>9.3399999999999997E-2</v>
      </c>
      <c r="P88" s="3472">
        <f>SUM(P83:P87)</f>
        <v>377954114</v>
      </c>
      <c r="Q88" s="1855">
        <f t="shared" si="34"/>
        <v>1.3599999999999999E-2</v>
      </c>
      <c r="R88" s="1854"/>
      <c r="S88" s="3472">
        <f>SUM(S83:S87)</f>
        <v>372884543</v>
      </c>
      <c r="T88" s="1854"/>
      <c r="U88" s="1854"/>
      <c r="V88" s="1854"/>
      <c r="W88" s="1854"/>
      <c r="X88" s="1854"/>
    </row>
    <row r="89" spans="1:24">
      <c r="A89" s="1850">
        <v>9</v>
      </c>
      <c r="C89" s="1851" t="s">
        <v>1354</v>
      </c>
      <c r="D89" s="1856"/>
      <c r="E89" s="1856"/>
      <c r="F89" s="1856"/>
      <c r="G89" s="1856"/>
      <c r="H89" s="1856"/>
      <c r="I89" s="1856"/>
      <c r="J89" s="1856"/>
      <c r="K89" s="1856"/>
      <c r="L89" s="1856"/>
      <c r="M89" s="1856"/>
      <c r="N89" s="1856"/>
      <c r="O89" s="1856"/>
      <c r="P89" s="1856"/>
      <c r="Q89" s="1856"/>
      <c r="R89" s="1854"/>
      <c r="S89" s="1856"/>
      <c r="T89" s="1854"/>
      <c r="U89" s="1854"/>
      <c r="V89" s="1854"/>
      <c r="W89" s="1854"/>
      <c r="X89" s="1854"/>
    </row>
    <row r="90" spans="1:24">
      <c r="A90" s="1850">
        <v>10</v>
      </c>
      <c r="C90" s="1784" t="s">
        <v>2462</v>
      </c>
      <c r="D90" s="3470">
        <v>25000000</v>
      </c>
      <c r="E90" s="1855">
        <f t="shared" ref="E90:E95" si="35">IF(F90=0,"-",ROUND((D90-F90)/ABS(F90),4))</f>
        <v>0</v>
      </c>
      <c r="F90" s="3470">
        <v>25000000</v>
      </c>
      <c r="G90" s="1855">
        <f t="shared" ref="G90:G95" si="36">IF(H90=0,"-",ROUND((F90-H90)/ABS(H90),4))</f>
        <v>0</v>
      </c>
      <c r="H90" s="3470">
        <v>25000000</v>
      </c>
      <c r="I90" s="1855">
        <f t="shared" ref="I90:I95" si="37">IF(J90=0,"-",ROUND((H90-J90)/ABS(J90),4))</f>
        <v>0</v>
      </c>
      <c r="J90" s="3470">
        <v>25000000</v>
      </c>
      <c r="K90" s="1855">
        <f t="shared" ref="K90:K95" si="38">IF(L90=0,"-",ROUND((J90-L90)/ABS(L90),4))</f>
        <v>0</v>
      </c>
      <c r="L90" s="3470">
        <v>25000000</v>
      </c>
      <c r="M90" s="1855">
        <f t="shared" ref="M90:M95" si="39">IF(N90=0,"-",ROUND((L90-N90)/ABS(N90),4))</f>
        <v>0</v>
      </c>
      <c r="N90" s="3470">
        <v>25000000</v>
      </c>
      <c r="O90" s="1855" t="str">
        <f t="shared" ref="O90:O95" si="40">IF(P90=0,"-",ROUND((N90-P90)/ABS(P90),4))</f>
        <v>-</v>
      </c>
      <c r="P90" s="3470">
        <v>0</v>
      </c>
      <c r="Q90" s="1855" t="str">
        <f t="shared" ref="Q90:Q95" si="41">IF(S90=0,"-",ROUND((P90-S90)/ABS(S90),4))</f>
        <v>-</v>
      </c>
      <c r="R90" s="1854"/>
      <c r="S90" s="3470">
        <v>0</v>
      </c>
      <c r="T90" s="1854"/>
      <c r="U90" s="1854"/>
      <c r="V90" s="1854"/>
      <c r="W90" s="1854"/>
      <c r="X90" s="1854"/>
    </row>
    <row r="91" spans="1:24">
      <c r="A91" s="1850">
        <v>11</v>
      </c>
      <c r="C91" s="1784" t="s">
        <v>1355</v>
      </c>
      <c r="D91" s="3470">
        <f>497418555-4050852</f>
        <v>493367703</v>
      </c>
      <c r="E91" s="1855">
        <f t="shared" si="35"/>
        <v>0.16439999999999999</v>
      </c>
      <c r="F91" s="3470">
        <f>424867502-1170395</f>
        <v>423697107</v>
      </c>
      <c r="G91" s="1855">
        <f t="shared" si="36"/>
        <v>-7.1000000000000004E-3</v>
      </c>
      <c r="H91" s="3470">
        <v>426720000</v>
      </c>
      <c r="I91" s="1855">
        <f t="shared" si="37"/>
        <v>0.26729999999999998</v>
      </c>
      <c r="J91" s="3470">
        <v>336720000</v>
      </c>
      <c r="K91" s="1855">
        <f t="shared" si="38"/>
        <v>0.15429999999999999</v>
      </c>
      <c r="L91" s="3470">
        <v>291720000</v>
      </c>
      <c r="M91" s="1855">
        <f t="shared" si="39"/>
        <v>-2.8999999999999998E-3</v>
      </c>
      <c r="N91" s="3470">
        <v>292571494</v>
      </c>
      <c r="O91" s="1855">
        <f t="shared" si="40"/>
        <v>-0.1203</v>
      </c>
      <c r="P91" s="3470">
        <v>332571494</v>
      </c>
      <c r="Q91" s="1855">
        <f t="shared" si="41"/>
        <v>0</v>
      </c>
      <c r="R91" s="1854"/>
      <c r="S91" s="3470">
        <v>332571494</v>
      </c>
      <c r="T91" s="1854"/>
      <c r="U91" s="1854"/>
      <c r="V91" s="1854"/>
      <c r="W91" s="1854"/>
      <c r="X91" s="1854"/>
    </row>
    <row r="92" spans="1:24">
      <c r="A92" s="1850">
        <v>12</v>
      </c>
      <c r="C92" s="1784" t="s">
        <v>1356</v>
      </c>
      <c r="D92" s="3470">
        <v>0</v>
      </c>
      <c r="E92" s="1855" t="str">
        <f t="shared" si="35"/>
        <v>-</v>
      </c>
      <c r="F92" s="3470"/>
      <c r="G92" s="1855" t="str">
        <f t="shared" si="36"/>
        <v>-</v>
      </c>
      <c r="H92" s="3470">
        <v>0</v>
      </c>
      <c r="I92" s="1855" t="str">
        <f t="shared" si="37"/>
        <v>-</v>
      </c>
      <c r="J92" s="3470">
        <v>0</v>
      </c>
      <c r="K92" s="1855" t="str">
        <f t="shared" si="38"/>
        <v>-</v>
      </c>
      <c r="L92" s="3470">
        <v>0</v>
      </c>
      <c r="M92" s="1855" t="str">
        <f t="shared" si="39"/>
        <v>-</v>
      </c>
      <c r="N92" s="3470">
        <v>0</v>
      </c>
      <c r="O92" s="1855" t="str">
        <f t="shared" si="40"/>
        <v>-</v>
      </c>
      <c r="P92" s="3470">
        <v>0</v>
      </c>
      <c r="Q92" s="1855" t="str">
        <f t="shared" si="41"/>
        <v>-</v>
      </c>
      <c r="R92" s="1854"/>
      <c r="S92" s="3470">
        <v>0</v>
      </c>
      <c r="T92" s="1854"/>
      <c r="U92" s="1854"/>
      <c r="V92" s="1854"/>
      <c r="W92" s="1854"/>
      <c r="X92" s="1854"/>
    </row>
    <row r="93" spans="1:24">
      <c r="A93" s="1850">
        <v>13</v>
      </c>
      <c r="C93" s="1784" t="s">
        <v>2463</v>
      </c>
      <c r="D93" s="3470">
        <v>238940</v>
      </c>
      <c r="E93" s="1855">
        <f t="shared" si="35"/>
        <v>-4.1000000000000002E-2</v>
      </c>
      <c r="F93" s="3470">
        <v>249157</v>
      </c>
      <c r="G93" s="1855">
        <f t="shared" si="36"/>
        <v>-0.13600000000000001</v>
      </c>
      <c r="H93" s="3470">
        <v>288378</v>
      </c>
      <c r="I93" s="1855">
        <f t="shared" si="37"/>
        <v>-0.1467</v>
      </c>
      <c r="J93" s="3470">
        <v>337948</v>
      </c>
      <c r="K93" s="1855">
        <f t="shared" si="38"/>
        <v>-0.12920000000000001</v>
      </c>
      <c r="L93" s="3470">
        <v>388093</v>
      </c>
      <c r="M93" s="1855">
        <f t="shared" si="39"/>
        <v>-0.1193</v>
      </c>
      <c r="N93" s="3470">
        <v>440663</v>
      </c>
      <c r="O93" s="1855">
        <f t="shared" si="40"/>
        <v>-0.1676</v>
      </c>
      <c r="P93" s="3470">
        <v>529408</v>
      </c>
      <c r="Q93" s="1855">
        <f t="shared" si="41"/>
        <v>-0.1459</v>
      </c>
      <c r="R93" s="1854"/>
      <c r="S93" s="3470">
        <v>619835</v>
      </c>
      <c r="T93" s="1854"/>
      <c r="U93" s="1854"/>
      <c r="V93" s="1854"/>
      <c r="W93" s="1854"/>
      <c r="X93" s="1854"/>
    </row>
    <row r="94" spans="1:24">
      <c r="A94" s="1850">
        <v>14</v>
      </c>
      <c r="C94" s="1784" t="s">
        <v>809</v>
      </c>
      <c r="D94" s="3470"/>
      <c r="E94" s="1855" t="str">
        <f t="shared" si="35"/>
        <v>-</v>
      </c>
      <c r="F94" s="3470"/>
      <c r="G94" s="1855" t="str">
        <f t="shared" si="36"/>
        <v>-</v>
      </c>
      <c r="H94" s="3470">
        <v>0</v>
      </c>
      <c r="I94" s="1855" t="str">
        <f t="shared" si="37"/>
        <v>-</v>
      </c>
      <c r="J94" s="3470">
        <v>0</v>
      </c>
      <c r="K94" s="1855" t="str">
        <f t="shared" si="38"/>
        <v>-</v>
      </c>
      <c r="L94" s="3470">
        <v>0</v>
      </c>
      <c r="M94" s="1855" t="str">
        <f t="shared" si="39"/>
        <v>-</v>
      </c>
      <c r="N94" s="3470">
        <v>0</v>
      </c>
      <c r="O94" s="1855" t="str">
        <f t="shared" si="40"/>
        <v>-</v>
      </c>
      <c r="P94" s="3470">
        <v>0</v>
      </c>
      <c r="Q94" s="1855" t="str">
        <f>IF(S94=0,"-",ROUND((P94-S94)/ABS(S94),4))</f>
        <v>-</v>
      </c>
      <c r="R94" s="1854"/>
      <c r="S94" s="3470">
        <v>0</v>
      </c>
      <c r="T94" s="1854"/>
      <c r="U94" s="1854"/>
      <c r="V94" s="1854"/>
      <c r="W94" s="1854"/>
      <c r="X94" s="1854"/>
    </row>
    <row r="95" spans="1:24">
      <c r="A95" s="1850">
        <v>15</v>
      </c>
      <c r="C95" s="1784" t="s">
        <v>1414</v>
      </c>
      <c r="D95" s="3472">
        <f>SUM(D90:D92)-SUM(D93:D94)</f>
        <v>518128763</v>
      </c>
      <c r="E95" s="1855">
        <f t="shared" si="35"/>
        <v>0.15540000000000001</v>
      </c>
      <c r="F95" s="3472">
        <f>SUM(F90:F92)-SUM(F93:F94)</f>
        <v>448447950</v>
      </c>
      <c r="G95" s="1855">
        <f t="shared" si="36"/>
        <v>-6.6E-3</v>
      </c>
      <c r="H95" s="3472">
        <f>SUM(H90:H92)-SUM(H93:H94)</f>
        <v>451431622</v>
      </c>
      <c r="I95" s="1855">
        <f t="shared" si="37"/>
        <v>0.2492</v>
      </c>
      <c r="J95" s="3472">
        <f>SUM(J90:J92)-SUM(J93:J94)</f>
        <v>361382052</v>
      </c>
      <c r="K95" s="1855">
        <f t="shared" si="38"/>
        <v>0.1424</v>
      </c>
      <c r="L95" s="3472">
        <f>SUM(L90:L92)-SUM(L93:L94)</f>
        <v>316331907</v>
      </c>
      <c r="M95" s="1855">
        <f t="shared" si="39"/>
        <v>-2.5000000000000001E-3</v>
      </c>
      <c r="N95" s="3472">
        <f>SUM(N90:N92)-SUM(N93:N94)</f>
        <v>317130831</v>
      </c>
      <c r="O95" s="1855">
        <f t="shared" si="40"/>
        <v>-4.4900000000000002E-2</v>
      </c>
      <c r="P95" s="3472">
        <f>SUM(P90:P92)-SUM(P93:P94)</f>
        <v>332042086</v>
      </c>
      <c r="Q95" s="1855">
        <f t="shared" si="41"/>
        <v>2.9999999999999997E-4</v>
      </c>
      <c r="R95" s="1854"/>
      <c r="S95" s="3472">
        <f>SUM(S90:S92)-SUM(S93:S94)</f>
        <v>331951659</v>
      </c>
      <c r="T95" s="1854"/>
      <c r="U95" s="1854"/>
      <c r="V95" s="1854"/>
      <c r="W95" s="1854"/>
      <c r="X95" s="1854"/>
    </row>
    <row r="96" spans="1:24">
      <c r="A96" s="1850">
        <v>16</v>
      </c>
      <c r="C96" s="1851" t="s">
        <v>1415</v>
      </c>
      <c r="D96" s="1856"/>
      <c r="E96" s="1856"/>
      <c r="F96" s="1856"/>
      <c r="G96" s="1856"/>
      <c r="H96" s="1856"/>
      <c r="I96" s="1856"/>
      <c r="J96" s="1856"/>
      <c r="K96" s="1856"/>
      <c r="L96" s="1856"/>
      <c r="M96" s="1856"/>
      <c r="N96" s="1856"/>
      <c r="O96" s="1856"/>
      <c r="P96" s="1856"/>
      <c r="Q96" s="1856"/>
      <c r="R96" s="1854"/>
      <c r="S96" s="1856"/>
      <c r="T96" s="1854"/>
      <c r="U96" s="1854"/>
      <c r="V96" s="1854"/>
      <c r="W96" s="1854"/>
      <c r="X96" s="1854"/>
    </row>
    <row r="97" spans="1:24">
      <c r="A97" s="1850">
        <v>17</v>
      </c>
      <c r="C97" s="1784" t="s">
        <v>1416</v>
      </c>
      <c r="D97" s="3477">
        <v>580230</v>
      </c>
      <c r="E97" s="1855">
        <f t="shared" ref="E97:E104" si="42">IF(F97=0,"-",ROUND((D97-F97)/ABS(F97),4))</f>
        <v>0.31619999999999998</v>
      </c>
      <c r="F97" s="3477">
        <v>440839</v>
      </c>
      <c r="G97" s="1855">
        <f t="shared" ref="G97:G104" si="43">IF(H97=0,"-",ROUND((F97-H97)/ABS(H97),4))</f>
        <v>-0.2402</v>
      </c>
      <c r="H97" s="3477">
        <v>580230</v>
      </c>
      <c r="I97" s="1855">
        <f t="shared" ref="I97:I104" si="44">IF(J97=0,"-",ROUND((H97-J97)/ABS(J97),4))</f>
        <v>-0.60409999999999997</v>
      </c>
      <c r="J97" s="3477">
        <v>1465571</v>
      </c>
      <c r="K97" s="1855">
        <f t="shared" ref="K97:K104" si="45">IF(L97=0,"-",ROUND((J97-L97)/ABS(L97),4))</f>
        <v>-0.31890000000000002</v>
      </c>
      <c r="L97" s="3477">
        <v>2151880</v>
      </c>
      <c r="M97" s="1855">
        <f t="shared" ref="M97:M104" si="46">IF(N97=0,"-",ROUND((L97-N97)/ABS(N97),4))</f>
        <v>-0.41389999999999999</v>
      </c>
      <c r="N97" s="3477">
        <v>3671631</v>
      </c>
      <c r="O97" s="1855">
        <f t="shared" ref="O97:O104" si="47">IF(P97=0,"-",ROUND((N97-P97)/ABS(P97),4))</f>
        <v>-0.30549999999999999</v>
      </c>
      <c r="P97" s="3477">
        <v>5287092</v>
      </c>
      <c r="Q97" s="1855">
        <f t="shared" ref="Q97:Q104" si="48">IF(S97=0,"-",ROUND((P97-S97)/ABS(S97),4))</f>
        <v>-0.2447</v>
      </c>
      <c r="R97" s="1854"/>
      <c r="S97" s="3477">
        <v>6999647</v>
      </c>
      <c r="T97" s="1854"/>
      <c r="U97" s="1854"/>
      <c r="V97" s="1854"/>
      <c r="W97" s="1854"/>
      <c r="X97" s="1854"/>
    </row>
    <row r="98" spans="1:24">
      <c r="A98" s="1850">
        <v>18</v>
      </c>
      <c r="C98" s="1784" t="s">
        <v>1417</v>
      </c>
      <c r="D98" s="3470"/>
      <c r="E98" s="1855" t="str">
        <f t="shared" si="42"/>
        <v>-</v>
      </c>
      <c r="F98" s="3470"/>
      <c r="G98" s="1855">
        <f t="shared" si="43"/>
        <v>1</v>
      </c>
      <c r="H98" s="3470">
        <v>-68721</v>
      </c>
      <c r="I98" s="1855">
        <f t="shared" si="44"/>
        <v>-0.19159999999999999</v>
      </c>
      <c r="J98" s="3477">
        <v>-57669</v>
      </c>
      <c r="K98" s="1855">
        <f t="shared" si="45"/>
        <v>-0.42230000000000001</v>
      </c>
      <c r="L98" s="3477">
        <v>-40546</v>
      </c>
      <c r="M98" s="1855">
        <f t="shared" si="46"/>
        <v>0.72050000000000003</v>
      </c>
      <c r="N98" s="3477">
        <v>-145076</v>
      </c>
      <c r="O98" s="1855">
        <f t="shared" si="47"/>
        <v>-156.9957</v>
      </c>
      <c r="P98" s="3477">
        <v>930</v>
      </c>
      <c r="Q98" s="1855" t="str">
        <f t="shared" si="48"/>
        <v>-</v>
      </c>
      <c r="R98" s="1854"/>
      <c r="S98" s="3477">
        <v>0</v>
      </c>
      <c r="T98" s="1854"/>
      <c r="U98" s="1854"/>
      <c r="V98" s="1854"/>
      <c r="W98" s="1854"/>
      <c r="X98" s="1854"/>
    </row>
    <row r="99" spans="1:24">
      <c r="A99" s="1850">
        <v>19</v>
      </c>
      <c r="C99" s="1784" t="s">
        <v>810</v>
      </c>
      <c r="D99" s="3470">
        <v>17417765</v>
      </c>
      <c r="E99" s="1855">
        <f t="shared" si="42"/>
        <v>-0.2651</v>
      </c>
      <c r="F99" s="3470">
        <v>23701671</v>
      </c>
      <c r="G99" s="1855">
        <f t="shared" si="43"/>
        <v>0.36080000000000001</v>
      </c>
      <c r="H99" s="3470">
        <v>17417765</v>
      </c>
      <c r="I99" s="1855">
        <f t="shared" si="44"/>
        <v>0.16309999999999999</v>
      </c>
      <c r="J99" s="3477">
        <v>14974925</v>
      </c>
      <c r="K99" s="1855">
        <f t="shared" si="45"/>
        <v>0.28549999999999998</v>
      </c>
      <c r="L99" s="3477">
        <v>11648663</v>
      </c>
      <c r="M99" s="1855">
        <f t="shared" si="46"/>
        <v>0.22819999999999999</v>
      </c>
      <c r="N99" s="3477">
        <v>9484261</v>
      </c>
      <c r="O99" s="1855">
        <f t="shared" si="47"/>
        <v>0.2782</v>
      </c>
      <c r="P99" s="3477">
        <v>7419884</v>
      </c>
      <c r="Q99" s="1855">
        <f t="shared" si="48"/>
        <v>-0.5978</v>
      </c>
      <c r="R99" s="1854"/>
      <c r="S99" s="3477">
        <v>18448724</v>
      </c>
      <c r="T99" s="1854"/>
      <c r="U99" s="1854"/>
      <c r="V99" s="1854"/>
      <c r="W99" s="1854"/>
      <c r="X99" s="1854"/>
    </row>
    <row r="100" spans="1:24">
      <c r="A100" s="1850">
        <v>20</v>
      </c>
      <c r="C100" s="1784" t="s">
        <v>2464</v>
      </c>
      <c r="D100" s="3470"/>
      <c r="E100" s="1855" t="str">
        <f t="shared" si="42"/>
        <v>-</v>
      </c>
      <c r="F100" s="3470"/>
      <c r="G100" s="1855" t="str">
        <f t="shared" si="43"/>
        <v>-</v>
      </c>
      <c r="H100" s="3470">
        <v>0</v>
      </c>
      <c r="I100" s="1855" t="str">
        <f t="shared" si="44"/>
        <v>-</v>
      </c>
      <c r="J100" s="3477">
        <v>0</v>
      </c>
      <c r="K100" s="1855" t="str">
        <f t="shared" si="45"/>
        <v>-</v>
      </c>
      <c r="L100" s="3477">
        <v>0</v>
      </c>
      <c r="M100" s="1855">
        <f t="shared" si="46"/>
        <v>-1</v>
      </c>
      <c r="N100" s="3477">
        <v>303256</v>
      </c>
      <c r="O100" s="1855">
        <f t="shared" si="47"/>
        <v>-0.38109999999999999</v>
      </c>
      <c r="P100" s="3477">
        <v>490000</v>
      </c>
      <c r="Q100" s="1855">
        <f t="shared" si="48"/>
        <v>-0.1404</v>
      </c>
      <c r="R100" s="1854"/>
      <c r="S100" s="3477">
        <v>570000</v>
      </c>
      <c r="T100" s="1854"/>
      <c r="U100" s="1854"/>
      <c r="V100" s="1854"/>
      <c r="W100" s="1854"/>
      <c r="X100" s="1854"/>
    </row>
    <row r="101" spans="1:24">
      <c r="A101" s="1850">
        <v>21</v>
      </c>
      <c r="C101" s="1784" t="s">
        <v>307</v>
      </c>
      <c r="D101" s="3470"/>
      <c r="E101" s="1855" t="str">
        <f t="shared" si="42"/>
        <v>-</v>
      </c>
      <c r="F101" s="3470"/>
      <c r="G101" s="1855" t="str">
        <f t="shared" si="43"/>
        <v>-</v>
      </c>
      <c r="H101" s="3470">
        <v>0</v>
      </c>
      <c r="I101" s="1855" t="str">
        <f t="shared" si="44"/>
        <v>-</v>
      </c>
      <c r="J101" s="3477">
        <v>0</v>
      </c>
      <c r="K101" s="1855" t="str">
        <f t="shared" si="45"/>
        <v>-</v>
      </c>
      <c r="L101" s="3477">
        <v>0</v>
      </c>
      <c r="M101" s="1855" t="str">
        <f t="shared" si="46"/>
        <v>-</v>
      </c>
      <c r="N101" s="3477">
        <v>0</v>
      </c>
      <c r="O101" s="1855" t="str">
        <f t="shared" si="47"/>
        <v>-</v>
      </c>
      <c r="P101" s="3477">
        <v>0</v>
      </c>
      <c r="Q101" s="1855" t="str">
        <f t="shared" si="48"/>
        <v>-</v>
      </c>
      <c r="R101" s="1854"/>
      <c r="S101" s="3477">
        <v>0</v>
      </c>
      <c r="T101" s="1854"/>
      <c r="U101" s="1854"/>
      <c r="V101" s="1854"/>
      <c r="W101" s="1854"/>
      <c r="X101" s="1854"/>
    </row>
    <row r="102" spans="1:24">
      <c r="A102" s="1850">
        <v>22</v>
      </c>
      <c r="C102" s="1784" t="s">
        <v>2465</v>
      </c>
      <c r="D102" s="3470"/>
      <c r="E102" s="1855" t="str">
        <f>IF(F102=0,"-",ROUND((D102-F102)/ABS(F102),4))</f>
        <v>-</v>
      </c>
      <c r="F102" s="3470"/>
      <c r="G102" s="1855">
        <f>IF(H102=0,"-",ROUND((F102-H102)/ABS(H102),4))</f>
        <v>-1</v>
      </c>
      <c r="H102" s="3470">
        <v>4647739</v>
      </c>
      <c r="I102" s="1855">
        <f>IF(J102=0,"-",ROUND((H102-J102)/ABS(J102),4))</f>
        <v>-9.06E-2</v>
      </c>
      <c r="J102" s="3477">
        <v>5110664</v>
      </c>
      <c r="K102" s="1855">
        <f t="shared" si="45"/>
        <v>-0.109</v>
      </c>
      <c r="L102" s="3477">
        <v>5735787</v>
      </c>
      <c r="M102" s="1855">
        <f t="shared" si="46"/>
        <v>8.0000000000000002E-3</v>
      </c>
      <c r="N102" s="3477">
        <v>5690225</v>
      </c>
      <c r="O102" s="1855">
        <f t="shared" si="47"/>
        <v>0.52159999999999995</v>
      </c>
      <c r="P102" s="3477">
        <v>3739694</v>
      </c>
      <c r="Q102" s="1855">
        <f>IF(S102=0,"-",ROUND((P102-S102)/ABS(S102),4))</f>
        <v>-0.49619999999999997</v>
      </c>
      <c r="R102" s="1854"/>
      <c r="S102" s="3477">
        <v>7423301</v>
      </c>
      <c r="T102" s="1854"/>
      <c r="U102" s="1854"/>
      <c r="V102" s="1854"/>
      <c r="W102" s="1854"/>
      <c r="X102" s="1854"/>
    </row>
    <row r="103" spans="1:24">
      <c r="A103" s="1850">
        <v>23</v>
      </c>
      <c r="C103" s="1784" t="s">
        <v>308</v>
      </c>
      <c r="D103" s="3470">
        <v>51203876</v>
      </c>
      <c r="E103" s="1855">
        <f t="shared" si="42"/>
        <v>2.87E-2</v>
      </c>
      <c r="F103" s="3470">
        <v>49776802</v>
      </c>
      <c r="G103" s="1855">
        <f t="shared" si="43"/>
        <v>-8.7999999999999995E-2</v>
      </c>
      <c r="H103" s="3470">
        <v>54581508</v>
      </c>
      <c r="I103" s="1855">
        <f t="shared" si="44"/>
        <v>3.3300000000000003E-2</v>
      </c>
      <c r="J103" s="3477">
        <v>52822086</v>
      </c>
      <c r="K103" s="1855">
        <f t="shared" si="45"/>
        <v>-0.48959999999999998</v>
      </c>
      <c r="L103" s="3477">
        <v>103500128</v>
      </c>
      <c r="M103" s="1855">
        <f t="shared" si="46"/>
        <v>11.742699999999999</v>
      </c>
      <c r="N103" s="3477">
        <v>8122285</v>
      </c>
      <c r="O103" s="1855">
        <f t="shared" si="47"/>
        <v>0.29899999999999999</v>
      </c>
      <c r="P103" s="3477">
        <v>6252729</v>
      </c>
      <c r="Q103" s="1855">
        <f t="shared" si="48"/>
        <v>2.87E-2</v>
      </c>
      <c r="R103" s="1854"/>
      <c r="S103" s="3477">
        <v>6078048</v>
      </c>
      <c r="T103" s="1854"/>
      <c r="U103" s="1854"/>
      <c r="V103" s="1854"/>
      <c r="W103" s="1854"/>
      <c r="X103" s="1854"/>
    </row>
    <row r="104" spans="1:24">
      <c r="A104" s="1850">
        <v>24</v>
      </c>
      <c r="C104" s="1784" t="s">
        <v>1418</v>
      </c>
      <c r="D104" s="3472">
        <f>SUM(D97:D103)</f>
        <v>69201871</v>
      </c>
      <c r="E104" s="1855">
        <f t="shared" si="42"/>
        <v>-6.3799999999999996E-2</v>
      </c>
      <c r="F104" s="3472">
        <f>SUM(F97:F103)</f>
        <v>73919312</v>
      </c>
      <c r="G104" s="1855">
        <f t="shared" si="43"/>
        <v>-4.2000000000000003E-2</v>
      </c>
      <c r="H104" s="3472">
        <f>SUM(H97:H103)</f>
        <v>77158521</v>
      </c>
      <c r="I104" s="1855">
        <f t="shared" si="44"/>
        <v>3.8300000000000001E-2</v>
      </c>
      <c r="J104" s="3472">
        <f>SUM(J97:J103)</f>
        <v>74315577</v>
      </c>
      <c r="K104" s="1855">
        <f t="shared" si="45"/>
        <v>-0.39579999999999999</v>
      </c>
      <c r="L104" s="3472">
        <f>SUM(L97:L103)</f>
        <v>122995912</v>
      </c>
      <c r="M104" s="1855">
        <f t="shared" si="46"/>
        <v>3.5341</v>
      </c>
      <c r="N104" s="3472">
        <f>SUM(N97:N103)</f>
        <v>27126582</v>
      </c>
      <c r="O104" s="1855">
        <f t="shared" si="47"/>
        <v>0.16969999999999999</v>
      </c>
      <c r="P104" s="3472">
        <f>SUM(P97:P103)</f>
        <v>23190329</v>
      </c>
      <c r="Q104" s="1855">
        <f t="shared" si="48"/>
        <v>-0.41320000000000001</v>
      </c>
      <c r="R104" s="1854"/>
      <c r="S104" s="3472">
        <f>SUM(S97:S103)</f>
        <v>39519720</v>
      </c>
      <c r="T104" s="1854"/>
      <c r="U104" s="1854"/>
      <c r="V104" s="1854"/>
      <c r="W104" s="1854"/>
      <c r="X104" s="1854"/>
    </row>
    <row r="105" spans="1:24">
      <c r="A105" s="1850">
        <v>25</v>
      </c>
      <c r="C105" s="1851" t="s">
        <v>1419</v>
      </c>
      <c r="D105" s="1856"/>
      <c r="E105" s="1856"/>
      <c r="F105" s="1856"/>
      <c r="G105" s="1856"/>
      <c r="H105" s="1856"/>
      <c r="I105" s="1856"/>
      <c r="J105" s="1856"/>
      <c r="K105" s="1856"/>
      <c r="L105" s="1856"/>
      <c r="M105" s="1856"/>
      <c r="N105" s="1856"/>
      <c r="O105" s="1856"/>
      <c r="P105" s="1856"/>
      <c r="Q105" s="1856"/>
      <c r="R105" s="1854"/>
      <c r="S105" s="1856"/>
      <c r="T105" s="1854"/>
      <c r="U105" s="1854"/>
      <c r="V105" s="1854"/>
      <c r="W105" s="1854"/>
      <c r="X105" s="1854"/>
    </row>
    <row r="106" spans="1:24">
      <c r="A106" s="1850">
        <v>26</v>
      </c>
      <c r="C106" s="1784" t="s">
        <v>1420</v>
      </c>
      <c r="D106" s="3470"/>
      <c r="E106" s="1855" t="str">
        <f t="shared" ref="E106:E119" si="49">IF(F106=0,"-",ROUND((D106-F106)/ABS(F106),4))</f>
        <v>-</v>
      </c>
      <c r="F106" s="3470"/>
      <c r="G106" s="1855" t="str">
        <f t="shared" ref="G106:G119" si="50">IF(H106=0,"-",ROUND((F106-H106)/ABS(H106),4))</f>
        <v>-</v>
      </c>
      <c r="H106" s="3470">
        <v>0</v>
      </c>
      <c r="I106" s="1855" t="str">
        <f t="shared" ref="I106:I119" si="51">IF(J106=0,"-",ROUND((H106-J106)/ABS(J106),4))</f>
        <v>-</v>
      </c>
      <c r="J106" s="3477">
        <v>0</v>
      </c>
      <c r="K106" s="1855" t="str">
        <f t="shared" ref="K106:K119" si="52">IF(L106=0,"-",ROUND((J106-L106)/ABS(L106),4))</f>
        <v>-</v>
      </c>
      <c r="L106" s="3477">
        <v>0</v>
      </c>
      <c r="M106" s="1855" t="str">
        <f t="shared" ref="M106:M119" si="53">IF(N106=0,"-",ROUND((L106-N106)/ABS(N106),4))</f>
        <v>-</v>
      </c>
      <c r="N106" s="3477">
        <v>0</v>
      </c>
      <c r="O106" s="1855" t="str">
        <f t="shared" ref="O106:O119" si="54">IF(P106=0,"-",ROUND((N106-P106)/ABS(P106),4))</f>
        <v>-</v>
      </c>
      <c r="P106" s="3477">
        <v>0</v>
      </c>
      <c r="Q106" s="1855" t="str">
        <f t="shared" ref="Q106:Q119" si="55">IF(S106=0,"-",ROUND((P106-S106)/ABS(S106),4))</f>
        <v>-</v>
      </c>
      <c r="R106" s="1854"/>
      <c r="S106" s="3477">
        <v>0</v>
      </c>
      <c r="T106" s="1854"/>
      <c r="U106" s="1854"/>
      <c r="V106" s="1854"/>
      <c r="W106" s="1854"/>
      <c r="X106" s="1854"/>
    </row>
    <row r="107" spans="1:24">
      <c r="A107" s="1850">
        <v>27</v>
      </c>
      <c r="C107" s="1784" t="s">
        <v>757</v>
      </c>
      <c r="D107" s="3470">
        <f>54117341-271187</f>
        <v>53846154</v>
      </c>
      <c r="E107" s="1855">
        <f t="shared" si="49"/>
        <v>-0.46150000000000002</v>
      </c>
      <c r="F107" s="3470">
        <f>100412027-412027</f>
        <v>100000000</v>
      </c>
      <c r="G107" s="1855" t="str">
        <f t="shared" si="50"/>
        <v>-</v>
      </c>
      <c r="H107" s="3470">
        <v>0</v>
      </c>
      <c r="I107" s="1855" t="str">
        <f t="shared" si="51"/>
        <v>-</v>
      </c>
      <c r="J107" s="3477">
        <v>0</v>
      </c>
      <c r="K107" s="1855" t="str">
        <f t="shared" si="52"/>
        <v>-</v>
      </c>
      <c r="L107" s="3477">
        <v>0</v>
      </c>
      <c r="M107" s="1855" t="str">
        <f t="shared" si="53"/>
        <v>-</v>
      </c>
      <c r="N107" s="3477">
        <v>0</v>
      </c>
      <c r="O107" s="1855" t="str">
        <f t="shared" si="54"/>
        <v>-</v>
      </c>
      <c r="P107" s="3477">
        <v>0</v>
      </c>
      <c r="Q107" s="1855" t="str">
        <f>IF(S107=0,"-",ROUND((P107-S107)/ABS(S107),4))</f>
        <v>-</v>
      </c>
      <c r="R107" s="1854"/>
      <c r="S107" s="3477">
        <v>0</v>
      </c>
      <c r="T107" s="1854"/>
      <c r="U107" s="1854"/>
      <c r="V107" s="1854"/>
      <c r="W107" s="1854"/>
      <c r="X107" s="1854"/>
    </row>
    <row r="108" spans="1:24">
      <c r="A108" s="1850">
        <v>28</v>
      </c>
      <c r="C108" s="1784" t="s">
        <v>913</v>
      </c>
      <c r="D108" s="3470">
        <v>44764046</v>
      </c>
      <c r="E108" s="1855">
        <f t="shared" si="49"/>
        <v>9.7699999999999995E-2</v>
      </c>
      <c r="F108" s="3470">
        <v>40778596</v>
      </c>
      <c r="G108" s="1855">
        <f t="shared" si="50"/>
        <v>-0.16170000000000001</v>
      </c>
      <c r="H108" s="3470">
        <v>48645825</v>
      </c>
      <c r="I108" s="1855">
        <f t="shared" si="51"/>
        <v>0.53600000000000003</v>
      </c>
      <c r="J108" s="3477">
        <v>31671028</v>
      </c>
      <c r="K108" s="1855">
        <f t="shared" si="52"/>
        <v>0.23319999999999999</v>
      </c>
      <c r="L108" s="3477">
        <v>25682371</v>
      </c>
      <c r="M108" s="1855">
        <f t="shared" si="53"/>
        <v>4.8899999999999999E-2</v>
      </c>
      <c r="N108" s="3477">
        <v>24484622</v>
      </c>
      <c r="O108" s="1855">
        <f t="shared" si="54"/>
        <v>-4.2700000000000002E-2</v>
      </c>
      <c r="P108" s="3477">
        <v>25577884</v>
      </c>
      <c r="Q108" s="1855">
        <f t="shared" si="55"/>
        <v>3.8600000000000002E-2</v>
      </c>
      <c r="R108" s="1854"/>
      <c r="S108" s="3477">
        <v>24627751</v>
      </c>
      <c r="T108" s="1854"/>
      <c r="U108" s="1854"/>
      <c r="V108" s="1854"/>
      <c r="W108" s="1854"/>
      <c r="X108" s="1854"/>
    </row>
    <row r="109" spans="1:24">
      <c r="A109" s="1850">
        <v>29</v>
      </c>
      <c r="C109" s="1784" t="s">
        <v>914</v>
      </c>
      <c r="D109" s="3470">
        <f>1301171-810084</f>
        <v>491087</v>
      </c>
      <c r="E109" s="1855">
        <f t="shared" si="49"/>
        <v>-0.9738</v>
      </c>
      <c r="F109" s="3470">
        <v>18721765</v>
      </c>
      <c r="G109" s="1855" t="str">
        <f t="shared" si="50"/>
        <v>-</v>
      </c>
      <c r="H109" s="3470">
        <v>0</v>
      </c>
      <c r="I109" s="1855">
        <f t="shared" si="51"/>
        <v>-1</v>
      </c>
      <c r="J109" s="3477">
        <v>19656000</v>
      </c>
      <c r="K109" s="1855">
        <f t="shared" si="52"/>
        <v>-0.64739999999999998</v>
      </c>
      <c r="L109" s="3477">
        <v>55743000</v>
      </c>
      <c r="M109" s="1855">
        <f t="shared" si="53"/>
        <v>0.48220000000000002</v>
      </c>
      <c r="N109" s="3477">
        <v>37609000</v>
      </c>
      <c r="O109" s="1855" t="str">
        <f t="shared" si="54"/>
        <v>-</v>
      </c>
      <c r="P109" s="3477">
        <v>0</v>
      </c>
      <c r="Q109" s="1855" t="str">
        <f t="shared" si="55"/>
        <v>-</v>
      </c>
      <c r="R109" s="1854"/>
      <c r="S109" s="3477">
        <v>0</v>
      </c>
      <c r="T109" s="1854"/>
      <c r="U109" s="1854"/>
      <c r="V109" s="1854"/>
      <c r="W109" s="1854"/>
      <c r="X109" s="1854"/>
    </row>
    <row r="110" spans="1:24">
      <c r="A110" s="1850">
        <v>30</v>
      </c>
      <c r="C110" s="1784" t="s">
        <v>915</v>
      </c>
      <c r="D110" s="3470">
        <v>15515849</v>
      </c>
      <c r="E110" s="1855">
        <f t="shared" si="49"/>
        <v>9.1999999999999998E-2</v>
      </c>
      <c r="F110" s="3470">
        <v>14208700</v>
      </c>
      <c r="G110" s="1855">
        <f t="shared" si="50"/>
        <v>-9.8900000000000002E-2</v>
      </c>
      <c r="H110" s="3470">
        <v>15768299</v>
      </c>
      <c r="I110" s="1855">
        <f t="shared" si="51"/>
        <v>0.25390000000000001</v>
      </c>
      <c r="J110" s="3477">
        <v>12575250</v>
      </c>
      <c r="K110" s="1855">
        <f t="shared" si="52"/>
        <v>-0.1278</v>
      </c>
      <c r="L110" s="3477">
        <v>14418085</v>
      </c>
      <c r="M110" s="1855">
        <f t="shared" si="53"/>
        <v>8.7099999999999997E-2</v>
      </c>
      <c r="N110" s="3477">
        <v>13262877</v>
      </c>
      <c r="O110" s="1855">
        <f t="shared" si="54"/>
        <v>-0.27139999999999997</v>
      </c>
      <c r="P110" s="3477">
        <v>18203896</v>
      </c>
      <c r="Q110" s="1855">
        <f t="shared" si="55"/>
        <v>-9.1300000000000006E-2</v>
      </c>
      <c r="R110" s="1854"/>
      <c r="S110" s="3477">
        <v>20032722</v>
      </c>
      <c r="T110" s="1854"/>
      <c r="U110" s="1854"/>
      <c r="V110" s="1854"/>
      <c r="W110" s="1854"/>
      <c r="X110" s="1854"/>
    </row>
    <row r="111" spans="1:24">
      <c r="A111" s="1850">
        <v>31</v>
      </c>
      <c r="C111" s="1784" t="s">
        <v>916</v>
      </c>
      <c r="D111" s="3470"/>
      <c r="E111" s="1855" t="str">
        <f t="shared" si="49"/>
        <v>-</v>
      </c>
      <c r="F111" s="3470"/>
      <c r="G111" s="1855">
        <f t="shared" si="50"/>
        <v>-1</v>
      </c>
      <c r="H111" s="3470">
        <v>9859968</v>
      </c>
      <c r="I111" s="1855">
        <f t="shared" si="51"/>
        <v>-3.9899999999999998E-2</v>
      </c>
      <c r="J111" s="3477">
        <v>10269585</v>
      </c>
      <c r="K111" s="1855">
        <f t="shared" si="52"/>
        <v>1.37E-2</v>
      </c>
      <c r="L111" s="3477">
        <v>10130787</v>
      </c>
      <c r="M111" s="1855">
        <f t="shared" si="53"/>
        <v>2.52E-2</v>
      </c>
      <c r="N111" s="3477">
        <v>9882144</v>
      </c>
      <c r="O111" s="1855">
        <f t="shared" si="54"/>
        <v>7.0999999999999994E-2</v>
      </c>
      <c r="P111" s="3477">
        <v>9226882</v>
      </c>
      <c r="Q111" s="1855">
        <f t="shared" si="55"/>
        <v>3.4099999999999998E-2</v>
      </c>
      <c r="R111" s="1854"/>
      <c r="S111" s="3477">
        <v>8922494</v>
      </c>
      <c r="T111" s="1854"/>
      <c r="U111" s="1854"/>
      <c r="V111" s="1854"/>
      <c r="W111" s="1854"/>
      <c r="X111" s="1854"/>
    </row>
    <row r="112" spans="1:24">
      <c r="A112" s="1850">
        <v>32</v>
      </c>
      <c r="C112" s="1784" t="s">
        <v>917</v>
      </c>
      <c r="D112" s="3470">
        <v>15434559</v>
      </c>
      <c r="E112" s="1855">
        <f t="shared" si="49"/>
        <v>-2.86E-2</v>
      </c>
      <c r="F112" s="3470">
        <v>15889018</v>
      </c>
      <c r="G112" s="1855">
        <f t="shared" si="50"/>
        <v>-1.0200000000000001E-2</v>
      </c>
      <c r="H112" s="3470">
        <v>16053519</v>
      </c>
      <c r="I112" s="1855">
        <f t="shared" si="51"/>
        <v>0.44590000000000002</v>
      </c>
      <c r="J112" s="3477">
        <v>11102968</v>
      </c>
      <c r="K112" s="1855">
        <f t="shared" si="52"/>
        <v>3.7084000000000001</v>
      </c>
      <c r="L112" s="3477">
        <v>-4099457</v>
      </c>
      <c r="M112" s="1855">
        <f t="shared" si="53"/>
        <v>-1.7501</v>
      </c>
      <c r="N112" s="3477">
        <v>5465247</v>
      </c>
      <c r="O112" s="1855">
        <f t="shared" si="54"/>
        <v>-0.37240000000000001</v>
      </c>
      <c r="P112" s="3477">
        <v>8707706</v>
      </c>
      <c r="Q112" s="1855">
        <f t="shared" si="55"/>
        <v>0.15959999999999999</v>
      </c>
      <c r="R112" s="1854"/>
      <c r="S112" s="3477">
        <v>7509437</v>
      </c>
      <c r="T112" s="1854"/>
      <c r="U112" s="1854"/>
      <c r="V112" s="1854"/>
      <c r="W112" s="1854"/>
      <c r="X112" s="1854"/>
    </row>
    <row r="113" spans="1:24">
      <c r="A113" s="1850">
        <v>33</v>
      </c>
      <c r="C113" s="1784" t="s">
        <v>1023</v>
      </c>
      <c r="D113" s="3470">
        <v>3728540</v>
      </c>
      <c r="E113" s="1855">
        <f t="shared" si="49"/>
        <v>-8.7999999999999995E-2</v>
      </c>
      <c r="F113" s="3470">
        <v>4088409</v>
      </c>
      <c r="G113" s="1855">
        <f t="shared" si="50"/>
        <v>-0.24060000000000001</v>
      </c>
      <c r="H113" s="3470">
        <v>5383681</v>
      </c>
      <c r="I113" s="1855">
        <f t="shared" si="51"/>
        <v>0.27350000000000002</v>
      </c>
      <c r="J113" s="3477">
        <v>4227363</v>
      </c>
      <c r="K113" s="1855">
        <f t="shared" si="52"/>
        <v>0.26529999999999998</v>
      </c>
      <c r="L113" s="3477">
        <v>3340930</v>
      </c>
      <c r="M113" s="1855">
        <f t="shared" si="53"/>
        <v>-1.6000000000000001E-3</v>
      </c>
      <c r="N113" s="3477">
        <v>3346215</v>
      </c>
      <c r="O113" s="1855">
        <f t="shared" si="54"/>
        <v>-5.7000000000000002E-2</v>
      </c>
      <c r="P113" s="3477">
        <v>3548338</v>
      </c>
      <c r="Q113" s="1855">
        <f t="shared" si="55"/>
        <v>-0.105</v>
      </c>
      <c r="R113" s="1854"/>
      <c r="S113" s="3477">
        <v>3964498</v>
      </c>
      <c r="T113" s="1854"/>
      <c r="U113" s="1854"/>
      <c r="V113" s="1854"/>
      <c r="W113" s="1854"/>
      <c r="X113" s="1854"/>
    </row>
    <row r="114" spans="1:24">
      <c r="A114" s="1850">
        <v>34</v>
      </c>
      <c r="C114" s="1784" t="s">
        <v>1024</v>
      </c>
      <c r="D114" s="3470"/>
      <c r="E114" s="1855" t="str">
        <f t="shared" si="49"/>
        <v>-</v>
      </c>
      <c r="F114" s="3470"/>
      <c r="G114" s="1855">
        <f t="shared" si="50"/>
        <v>-1</v>
      </c>
      <c r="H114" s="3470">
        <v>1691919</v>
      </c>
      <c r="I114" s="1855">
        <f t="shared" si="51"/>
        <v>-4.3999999999999997E-2</v>
      </c>
      <c r="J114" s="3477">
        <v>1769826</v>
      </c>
      <c r="K114" s="1855">
        <f t="shared" si="52"/>
        <v>0.1154</v>
      </c>
      <c r="L114" s="3477">
        <v>1586741</v>
      </c>
      <c r="M114" s="1855">
        <f t="shared" si="53"/>
        <v>-0.43080000000000002</v>
      </c>
      <c r="N114" s="3477">
        <v>2787669</v>
      </c>
      <c r="O114" s="1855">
        <f t="shared" si="54"/>
        <v>0.13619999999999999</v>
      </c>
      <c r="P114" s="3477">
        <v>2453529</v>
      </c>
      <c r="Q114" s="1855">
        <f t="shared" si="55"/>
        <v>0.4713</v>
      </c>
      <c r="R114" s="1854"/>
      <c r="S114" s="3477">
        <v>1667569</v>
      </c>
    </row>
    <row r="115" spans="1:24">
      <c r="A115" s="1850">
        <v>35</v>
      </c>
      <c r="C115" s="1784" t="s">
        <v>991</v>
      </c>
      <c r="D115" s="3470">
        <v>23986120</v>
      </c>
      <c r="E115" s="1855">
        <f t="shared" si="49"/>
        <v>-0.17749999999999999</v>
      </c>
      <c r="F115" s="3470">
        <v>29161176</v>
      </c>
      <c r="G115" s="1855">
        <f t="shared" si="50"/>
        <v>2.4948000000000001</v>
      </c>
      <c r="H115" s="3470">
        <v>8344201</v>
      </c>
      <c r="I115" s="1855">
        <f t="shared" si="51"/>
        <v>-0.50719999999999998</v>
      </c>
      <c r="J115" s="3477">
        <v>16932837</v>
      </c>
      <c r="K115" s="1855">
        <f t="shared" si="52"/>
        <v>0.63049999999999995</v>
      </c>
      <c r="L115" s="3477">
        <v>10385150</v>
      </c>
      <c r="M115" s="1855">
        <f t="shared" si="53"/>
        <v>0.3886</v>
      </c>
      <c r="N115" s="3477">
        <v>7478936</v>
      </c>
      <c r="O115" s="1855">
        <f t="shared" si="54"/>
        <v>-0.1293</v>
      </c>
      <c r="P115" s="3477">
        <v>8589504</v>
      </c>
      <c r="Q115" s="1855">
        <f t="shared" si="55"/>
        <v>7.5300000000000006E-2</v>
      </c>
      <c r="R115" s="1854"/>
      <c r="S115" s="3477">
        <v>7987897</v>
      </c>
    </row>
    <row r="116" spans="1:24">
      <c r="A116" s="1850">
        <v>36</v>
      </c>
      <c r="C116" s="1784" t="s">
        <v>306</v>
      </c>
      <c r="D116" s="3470">
        <v>239035</v>
      </c>
      <c r="E116" s="1855">
        <f t="shared" si="49"/>
        <v>-0.40860000000000002</v>
      </c>
      <c r="F116" s="3470">
        <v>404193</v>
      </c>
      <c r="G116" s="1855">
        <f t="shared" si="50"/>
        <v>-0.54349999999999998</v>
      </c>
      <c r="H116" s="3470">
        <v>885342</v>
      </c>
      <c r="I116" s="1855">
        <f t="shared" si="51"/>
        <v>0.28999999999999998</v>
      </c>
      <c r="J116" s="3470">
        <v>686310</v>
      </c>
      <c r="K116" s="1855">
        <f t="shared" si="52"/>
        <v>-0.5484</v>
      </c>
      <c r="L116" s="3470">
        <v>1519753</v>
      </c>
      <c r="M116" s="1855">
        <f t="shared" si="53"/>
        <v>-5.9200000000000003E-2</v>
      </c>
      <c r="N116" s="3470">
        <v>1615463</v>
      </c>
      <c r="O116" s="1855">
        <f t="shared" si="54"/>
        <v>-6.3E-2</v>
      </c>
      <c r="P116" s="3470">
        <v>1724080</v>
      </c>
      <c r="Q116" s="1855">
        <f>IF(S116=0,"-",ROUND((P116-S116)/ABS(S116),4))</f>
        <v>-8.7300000000000003E-2</v>
      </c>
      <c r="R116" s="1854"/>
      <c r="S116" s="3470">
        <v>1888974</v>
      </c>
    </row>
    <row r="117" spans="1:24">
      <c r="A117" s="1850">
        <v>37</v>
      </c>
      <c r="C117" s="1784" t="s">
        <v>2244</v>
      </c>
      <c r="D117" s="3470"/>
      <c r="E117" s="1855" t="str">
        <f t="shared" si="49"/>
        <v>-</v>
      </c>
      <c r="F117" s="3470"/>
      <c r="G117" s="1855">
        <f t="shared" si="50"/>
        <v>-1</v>
      </c>
      <c r="H117" s="3470">
        <v>5367483</v>
      </c>
      <c r="I117" s="1855">
        <f t="shared" si="51"/>
        <v>-9.69E-2</v>
      </c>
      <c r="J117" s="3470">
        <v>5943438</v>
      </c>
      <c r="K117" s="1855">
        <f t="shared" si="52"/>
        <v>-0.10630000000000001</v>
      </c>
      <c r="L117" s="3470">
        <v>6650693</v>
      </c>
      <c r="M117" s="1855">
        <f t="shared" si="53"/>
        <v>-4.0000000000000001E-3</v>
      </c>
      <c r="N117" s="3470">
        <v>6677507</v>
      </c>
      <c r="O117" s="1855">
        <f t="shared" si="54"/>
        <v>0.41139999999999999</v>
      </c>
      <c r="P117" s="3470">
        <v>4731216</v>
      </c>
      <c r="Q117" s="1855">
        <f>IF(S117=0,"-",ROUND((P117-S117)/ABS(S117),4))</f>
        <v>-0.43780000000000002</v>
      </c>
      <c r="R117" s="1854"/>
      <c r="S117" s="3470">
        <v>8416102</v>
      </c>
    </row>
    <row r="118" spans="1:24">
      <c r="A118" s="1850">
        <v>38</v>
      </c>
      <c r="C118" s="1784" t="s">
        <v>2245</v>
      </c>
      <c r="D118" s="3470"/>
      <c r="E118" s="1855" t="str">
        <f t="shared" si="49"/>
        <v>-</v>
      </c>
      <c r="F118" s="3470"/>
      <c r="G118" s="1855">
        <f t="shared" si="50"/>
        <v>1</v>
      </c>
      <c r="H118" s="3470">
        <v>-4647739</v>
      </c>
      <c r="I118" s="1855">
        <f t="shared" si="51"/>
        <v>9.06E-2</v>
      </c>
      <c r="J118" s="3477">
        <v>-5110664</v>
      </c>
      <c r="K118" s="1855">
        <f t="shared" si="52"/>
        <v>0.109</v>
      </c>
      <c r="L118" s="3477">
        <v>-5735787</v>
      </c>
      <c r="M118" s="1855">
        <f t="shared" si="53"/>
        <v>-8.0000000000000002E-3</v>
      </c>
      <c r="N118" s="3477">
        <v>-5690225</v>
      </c>
      <c r="O118" s="1855">
        <f t="shared" si="54"/>
        <v>-0.52159999999999995</v>
      </c>
      <c r="P118" s="3477">
        <v>-3739694</v>
      </c>
      <c r="Q118" s="1855">
        <f>IF(S118=0,"-",ROUND((P118-S118)/ABS(S118),4))</f>
        <v>0.49619999999999997</v>
      </c>
      <c r="R118" s="1854"/>
      <c r="S118" s="3477">
        <v>-7423301</v>
      </c>
    </row>
    <row r="119" spans="1:24">
      <c r="A119" s="1850">
        <v>39</v>
      </c>
      <c r="C119" s="1784" t="s">
        <v>992</v>
      </c>
      <c r="D119" s="3472">
        <f>SUM(D105:D117)-D118</f>
        <v>158005390</v>
      </c>
      <c r="E119" s="1855">
        <f t="shared" si="49"/>
        <v>-0.2923</v>
      </c>
      <c r="F119" s="3472">
        <f>SUM(F105:F117)-F118</f>
        <v>223251857</v>
      </c>
      <c r="G119" s="1855">
        <f t="shared" si="50"/>
        <v>1.0795999999999999</v>
      </c>
      <c r="H119" s="3472">
        <f>SUM(H105:H118)</f>
        <v>107352498</v>
      </c>
      <c r="I119" s="1855">
        <f t="shared" si="51"/>
        <v>-2.1600000000000001E-2</v>
      </c>
      <c r="J119" s="3472">
        <f>SUM(J105:J118)</f>
        <v>109723941</v>
      </c>
      <c r="K119" s="1855">
        <f t="shared" si="52"/>
        <v>-8.2699999999999996E-2</v>
      </c>
      <c r="L119" s="3472">
        <f>SUM(L105:L118)</f>
        <v>119622266</v>
      </c>
      <c r="M119" s="1855">
        <f t="shared" si="53"/>
        <v>0.1188</v>
      </c>
      <c r="N119" s="3472">
        <f>SUM(N105:N118)</f>
        <v>106919455</v>
      </c>
      <c r="O119" s="1855">
        <f t="shared" si="54"/>
        <v>0.35299999999999998</v>
      </c>
      <c r="P119" s="3472">
        <f>SUM(P105:P118)</f>
        <v>79023341</v>
      </c>
      <c r="Q119" s="1855">
        <f t="shared" si="55"/>
        <v>1.84E-2</v>
      </c>
      <c r="R119" s="1854"/>
      <c r="S119" s="3472">
        <f>SUM(S105:S118)</f>
        <v>77594143</v>
      </c>
    </row>
    <row r="120" spans="1:24">
      <c r="A120" s="1850">
        <v>40</v>
      </c>
      <c r="C120" s="1851" t="s">
        <v>993</v>
      </c>
      <c r="D120" s="1856"/>
      <c r="E120" s="1856"/>
      <c r="F120" s="1856"/>
      <c r="G120" s="1856"/>
      <c r="H120" s="1856"/>
      <c r="I120" s="1856"/>
      <c r="J120" s="1856"/>
      <c r="K120" s="1856"/>
      <c r="L120" s="1856"/>
      <c r="M120" s="1856"/>
      <c r="N120" s="1856"/>
      <c r="O120" s="1856"/>
      <c r="P120" s="1856"/>
      <c r="Q120" s="1856"/>
      <c r="R120" s="1854"/>
      <c r="S120" s="1856"/>
    </row>
    <row r="121" spans="1:24">
      <c r="A121" s="1850">
        <v>41</v>
      </c>
      <c r="C121" s="1784" t="s">
        <v>994</v>
      </c>
      <c r="D121" s="3470">
        <f>1562943+16386</f>
        <v>1579329</v>
      </c>
      <c r="E121" s="1855">
        <f t="shared" ref="E121:E127" si="56">IF(F121=0,"-",ROUND((D121-F121)/ABS(F121),4))</f>
        <v>0</v>
      </c>
      <c r="F121" s="3470">
        <f>1562943+16386</f>
        <v>1579329</v>
      </c>
      <c r="G121" s="1855">
        <f t="shared" ref="G121:G127" si="57">IF(H121=0,"-",ROUND((F121-H121)/ABS(H121),4))</f>
        <v>1.0500000000000001E-2</v>
      </c>
      <c r="H121" s="3470">
        <v>1562943</v>
      </c>
      <c r="I121" s="1855">
        <f t="shared" ref="I121:I127" si="58">IF(J121=0,"-",ROUND((H121-J121)/ABS(J121),4))</f>
        <v>8.9599999999999999E-2</v>
      </c>
      <c r="J121" s="3477">
        <v>1434379</v>
      </c>
      <c r="K121" s="1855">
        <f t="shared" ref="K121:K127" si="59">IF(L121=0,"-",ROUND((J121-L121)/ABS(L121),4))</f>
        <v>0.46150000000000002</v>
      </c>
      <c r="L121" s="3477">
        <v>981414</v>
      </c>
      <c r="M121" s="1855">
        <f t="shared" ref="M121:M127" si="60">IF(N121=0,"-",ROUND((L121-N121)/ABS(N121),4))</f>
        <v>0.30059999999999998</v>
      </c>
      <c r="N121" s="3477">
        <v>754559</v>
      </c>
      <c r="O121" s="1855">
        <f t="shared" ref="O121:O127" si="61">IF(P121=0,"-",ROUND((N121-P121)/ABS(P121),4))</f>
        <v>2.2000000000000001E-3</v>
      </c>
      <c r="P121" s="3477">
        <v>752906</v>
      </c>
      <c r="Q121" s="1855">
        <f t="shared" ref="Q121:Q127" si="62">IF(S121=0,"-",ROUND((P121-S121)/ABS(S121),4))</f>
        <v>6.25E-2</v>
      </c>
      <c r="R121" s="1854"/>
      <c r="S121" s="3477">
        <v>708595</v>
      </c>
    </row>
    <row r="122" spans="1:24">
      <c r="A122" s="1850">
        <v>42</v>
      </c>
      <c r="C122" s="1784" t="s">
        <v>995</v>
      </c>
      <c r="D122" s="3470">
        <f>3836961-128410</f>
        <v>3708551</v>
      </c>
      <c r="E122" s="1855">
        <f t="shared" si="56"/>
        <v>0.13669999999999999</v>
      </c>
      <c r="F122" s="3470">
        <f>3804229-541605</f>
        <v>3262624</v>
      </c>
      <c r="G122" s="1855">
        <f t="shared" si="57"/>
        <v>-0.1497</v>
      </c>
      <c r="H122" s="3470">
        <v>3836961</v>
      </c>
      <c r="I122" s="1855">
        <f t="shared" si="58"/>
        <v>4.5986000000000002</v>
      </c>
      <c r="J122" s="3477">
        <v>685347</v>
      </c>
      <c r="K122" s="1855">
        <f t="shared" si="59"/>
        <v>-0.22700000000000001</v>
      </c>
      <c r="L122" s="3477">
        <v>886573</v>
      </c>
      <c r="M122" s="1855">
        <f t="shared" si="60"/>
        <v>-0.19020000000000001</v>
      </c>
      <c r="N122" s="3477">
        <v>1094869</v>
      </c>
      <c r="O122" s="1855">
        <f t="shared" si="61"/>
        <v>-0.1605</v>
      </c>
      <c r="P122" s="3477">
        <v>1304230</v>
      </c>
      <c r="Q122" s="1855">
        <f t="shared" si="62"/>
        <v>0.29320000000000002</v>
      </c>
      <c r="R122" s="1854"/>
      <c r="S122" s="3477">
        <v>1008529</v>
      </c>
    </row>
    <row r="123" spans="1:24">
      <c r="A123" s="1850">
        <v>43</v>
      </c>
      <c r="C123" s="1784" t="s">
        <v>996</v>
      </c>
      <c r="D123" s="3470">
        <f>170632832-154642320</f>
        <v>15990512</v>
      </c>
      <c r="E123" s="1855">
        <f t="shared" si="56"/>
        <v>-0.82350000000000001</v>
      </c>
      <c r="F123" s="3470">
        <f>182130352-91530067</f>
        <v>90600285</v>
      </c>
      <c r="G123" s="1855">
        <f t="shared" si="57"/>
        <v>4.6658999999999997</v>
      </c>
      <c r="H123" s="3470">
        <v>15990512</v>
      </c>
      <c r="I123" s="1855">
        <f t="shared" si="58"/>
        <v>-0.20230000000000001</v>
      </c>
      <c r="J123" s="3477">
        <v>20046049</v>
      </c>
      <c r="K123" s="1855">
        <f t="shared" si="59"/>
        <v>-0.20119999999999999</v>
      </c>
      <c r="L123" s="3477">
        <v>25093634</v>
      </c>
      <c r="M123" s="1855">
        <f t="shared" si="60"/>
        <v>9.3700000000000006E-2</v>
      </c>
      <c r="N123" s="3477">
        <v>22943763</v>
      </c>
      <c r="O123" s="1855">
        <f t="shared" si="61"/>
        <v>-0.1227</v>
      </c>
      <c r="P123" s="3477">
        <v>26152141</v>
      </c>
      <c r="Q123" s="1855">
        <f t="shared" si="62"/>
        <v>-7.2900000000000006E-2</v>
      </c>
      <c r="R123" s="1854"/>
      <c r="S123" s="3477">
        <v>28208820</v>
      </c>
    </row>
    <row r="124" spans="1:24">
      <c r="A124" s="1850">
        <v>44</v>
      </c>
      <c r="C124" s="1784" t="s">
        <v>1142</v>
      </c>
      <c r="D124" s="3470">
        <v>6891560</v>
      </c>
      <c r="E124" s="1855">
        <f t="shared" si="56"/>
        <v>2.6061999999999999</v>
      </c>
      <c r="F124" s="3470">
        <v>1911050</v>
      </c>
      <c r="G124" s="1855">
        <f t="shared" si="57"/>
        <v>-0.68720000000000003</v>
      </c>
      <c r="H124" s="3470">
        <f>1277495+4832653</f>
        <v>6110148</v>
      </c>
      <c r="I124" s="1855">
        <f t="shared" si="58"/>
        <v>2.07E-2</v>
      </c>
      <c r="J124" s="3477">
        <v>5986078</v>
      </c>
      <c r="K124" s="1855">
        <f t="shared" si="59"/>
        <v>0.57869999999999999</v>
      </c>
      <c r="L124" s="3477">
        <v>3791681</v>
      </c>
      <c r="M124" s="1855">
        <f t="shared" si="60"/>
        <v>5.7953000000000001</v>
      </c>
      <c r="N124" s="3477">
        <v>557988</v>
      </c>
      <c r="O124" s="1855">
        <f t="shared" si="61"/>
        <v>-9.9199999999999997E-2</v>
      </c>
      <c r="P124" s="3477">
        <v>619446</v>
      </c>
      <c r="Q124" s="1855">
        <f t="shared" si="62"/>
        <v>-0.85980000000000001</v>
      </c>
      <c r="R124" s="1854"/>
      <c r="S124" s="3477">
        <v>4418869</v>
      </c>
    </row>
    <row r="125" spans="1:24">
      <c r="A125" s="1850">
        <v>45</v>
      </c>
      <c r="C125" s="1784" t="s">
        <v>2997</v>
      </c>
      <c r="D125" s="3470">
        <v>92201753</v>
      </c>
      <c r="E125" s="1855">
        <f t="shared" ref="E125" si="63">IF(F125=0,"-",ROUND((D125-F125)/ABS(F125),4))</f>
        <v>-6.8900000000000003E-2</v>
      </c>
      <c r="F125" s="3470">
        <v>99026155</v>
      </c>
      <c r="G125" s="1855">
        <f t="shared" ref="G125" si="64">IF(H125=0,"-",ROUND((F125-H125)/ABS(H125),4))</f>
        <v>-0.25700000000000001</v>
      </c>
      <c r="H125" s="3470">
        <v>133277803</v>
      </c>
      <c r="I125" s="1855" t="str">
        <f t="shared" ref="I125" si="65">IF(J125=0,"-",ROUND((H125-J125)/ABS(J125),4))</f>
        <v>-</v>
      </c>
      <c r="J125" s="3477">
        <v>0</v>
      </c>
      <c r="K125" s="1855" t="str">
        <f t="shared" ref="K125" si="66">IF(L125=0,"-",ROUND((J125-L125)/ABS(L125),4))</f>
        <v>-</v>
      </c>
      <c r="L125" s="3477">
        <v>0</v>
      </c>
      <c r="M125" s="1855" t="str">
        <f t="shared" ref="M125" si="67">IF(N125=0,"-",ROUND((L125-N125)/ABS(N125),4))</f>
        <v>-</v>
      </c>
      <c r="N125" s="3477">
        <v>0</v>
      </c>
      <c r="O125" s="1855" t="str">
        <f t="shared" ref="O125" si="68">IF(P125=0,"-",ROUND((N125-P125)/ABS(P125),4))</f>
        <v>-</v>
      </c>
      <c r="P125" s="3477">
        <v>0</v>
      </c>
      <c r="Q125" s="1855" t="str">
        <f t="shared" ref="Q125" si="69">IF(S125=0,"-",ROUND((P125-S125)/ABS(S125),4))</f>
        <v>-</v>
      </c>
      <c r="R125" s="1854"/>
      <c r="S125" s="3477">
        <v>0</v>
      </c>
    </row>
    <row r="126" spans="1:24">
      <c r="A126" s="1850">
        <v>46</v>
      </c>
      <c r="C126" s="1784" t="s">
        <v>1343</v>
      </c>
      <c r="D126" s="3470">
        <f>203835933+39409112</f>
        <v>243245045</v>
      </c>
      <c r="E126" s="1855">
        <f t="shared" si="56"/>
        <v>4.1599999999999998E-2</v>
      </c>
      <c r="F126" s="3470">
        <f>195822436+37707780</f>
        <v>233530216</v>
      </c>
      <c r="G126" s="1855">
        <f t="shared" si="57"/>
        <v>-4.6100000000000002E-2</v>
      </c>
      <c r="H126" s="3470">
        <v>244808495</v>
      </c>
      <c r="I126" s="1855">
        <f t="shared" si="58"/>
        <v>-0.28760000000000002</v>
      </c>
      <c r="J126" s="3477">
        <v>343648042</v>
      </c>
      <c r="K126" s="1855">
        <f t="shared" si="59"/>
        <v>4.1500000000000002E-2</v>
      </c>
      <c r="L126" s="3477">
        <f>190426+317823685+11935193</f>
        <v>329949304</v>
      </c>
      <c r="M126" s="1855">
        <f t="shared" si="60"/>
        <v>0.25290000000000001</v>
      </c>
      <c r="N126" s="3477">
        <f>234803+264399906-1294947</f>
        <v>263339762</v>
      </c>
      <c r="O126" s="1855">
        <f t="shared" si="61"/>
        <v>4.02E-2</v>
      </c>
      <c r="P126" s="3477">
        <f>394496+254753824-1995328</f>
        <v>253152992</v>
      </c>
      <c r="Q126" s="1855">
        <f t="shared" si="62"/>
        <v>2.7000000000000001E-3</v>
      </c>
      <c r="R126" s="1854"/>
      <c r="S126" s="3477">
        <f>394497+248370380+3713838</f>
        <v>252478715</v>
      </c>
    </row>
    <row r="127" spans="1:24">
      <c r="A127" s="1850">
        <v>47</v>
      </c>
      <c r="C127" s="1784" t="s">
        <v>1143</v>
      </c>
      <c r="D127" s="3472">
        <f>SUM(D121:D126)</f>
        <v>363616750</v>
      </c>
      <c r="E127" s="1855">
        <f t="shared" si="56"/>
        <v>-0.1542</v>
      </c>
      <c r="F127" s="3472">
        <f>SUM(F121:F126)</f>
        <v>429909659</v>
      </c>
      <c r="G127" s="1855">
        <f t="shared" si="57"/>
        <v>0.06</v>
      </c>
      <c r="H127" s="3472">
        <f>SUM(H121:H126)</f>
        <v>405586862</v>
      </c>
      <c r="I127" s="1855">
        <f t="shared" si="58"/>
        <v>9.0899999999999995E-2</v>
      </c>
      <c r="J127" s="3472">
        <f>SUM(J121:J126)</f>
        <v>371799895</v>
      </c>
      <c r="K127" s="1855">
        <f t="shared" si="59"/>
        <v>3.0800000000000001E-2</v>
      </c>
      <c r="L127" s="3472">
        <f>SUM(L121:L126)</f>
        <v>360702606</v>
      </c>
      <c r="M127" s="1855">
        <f t="shared" si="60"/>
        <v>0.24940000000000001</v>
      </c>
      <c r="N127" s="3472">
        <f>SUM(N121:N126)</f>
        <v>288690941</v>
      </c>
      <c r="O127" s="1855">
        <f t="shared" si="61"/>
        <v>2.3800000000000002E-2</v>
      </c>
      <c r="P127" s="3472">
        <f>SUM(P121:P126)</f>
        <v>281981715</v>
      </c>
      <c r="Q127" s="1855">
        <f t="shared" si="62"/>
        <v>-1.6899999999999998E-2</v>
      </c>
      <c r="R127" s="1854"/>
      <c r="S127" s="3472">
        <f>SUM(S121:S126)</f>
        <v>286823528</v>
      </c>
    </row>
    <row r="128" spans="1:24">
      <c r="A128" s="1850">
        <v>48</v>
      </c>
      <c r="D128" s="1856"/>
      <c r="E128" s="1856"/>
      <c r="F128" s="1856"/>
      <c r="G128" s="1856"/>
      <c r="H128" s="1856"/>
      <c r="I128" s="1856"/>
      <c r="J128" s="1856"/>
      <c r="K128" s="1856"/>
      <c r="L128" s="1856"/>
      <c r="M128" s="1856"/>
      <c r="N128" s="1856"/>
      <c r="O128" s="1856"/>
      <c r="P128" s="1856"/>
      <c r="Q128" s="1856"/>
      <c r="R128" s="1854"/>
      <c r="S128" s="1856"/>
    </row>
    <row r="129" spans="1:40">
      <c r="A129" s="1850">
        <v>49</v>
      </c>
      <c r="D129" s="1856"/>
      <c r="E129" s="1856"/>
      <c r="F129" s="1856"/>
      <c r="G129" s="1856"/>
      <c r="H129" s="1856"/>
      <c r="I129" s="1856"/>
      <c r="J129" s="1856"/>
      <c r="K129" s="1856"/>
      <c r="L129" s="1856"/>
      <c r="M129" s="1856"/>
      <c r="N129" s="1856"/>
      <c r="O129" s="1856"/>
      <c r="P129" s="1856"/>
      <c r="Q129" s="1856"/>
      <c r="R129" s="1854"/>
      <c r="S129" s="1856"/>
    </row>
    <row r="130" spans="1:40" ht="13.8" thickBot="1">
      <c r="A130" s="1850">
        <v>50</v>
      </c>
      <c r="C130" s="1784" t="s">
        <v>1144</v>
      </c>
      <c r="D130" s="3476">
        <f>D127+D119+D104+D95+D88</f>
        <v>1730065828</v>
      </c>
      <c r="E130" s="1855">
        <f>IF(F130=0,"-",ROUND((D130-F130)/ABS(F130),4))</f>
        <v>-1.21E-2</v>
      </c>
      <c r="F130" s="3476">
        <f>F127+F119+F104+F95+F88</f>
        <v>1751236094</v>
      </c>
      <c r="G130" s="1855">
        <f>IF(H130=0,"-",ROUND((F130-H130)/ABS(H130),4))</f>
        <v>0.12770000000000001</v>
      </c>
      <c r="H130" s="3476">
        <f>H127+H119+H104+H95+H88</f>
        <v>1552943930</v>
      </c>
      <c r="I130" s="1855">
        <f>IF(J130=0,"-",ROUND((H130-J130)/ABS(J130),4))</f>
        <v>0.1467</v>
      </c>
      <c r="J130" s="3476">
        <f>J127+J119+J104+J95+J88</f>
        <v>1354236962</v>
      </c>
      <c r="K130" s="1855">
        <f>IF(L130=0,"-",ROUND((J130-L130)/ABS(L130),4))</f>
        <v>2.2800000000000001E-2</v>
      </c>
      <c r="L130" s="3476">
        <f>L127+L119+L104+L95+L88</f>
        <v>1324084250</v>
      </c>
      <c r="M130" s="1855">
        <f>IF(N130=0,"-",ROUND((L130-N130)/ABS(N130),4))</f>
        <v>0.14829999999999999</v>
      </c>
      <c r="N130" s="3476">
        <f>N127+N119+N104+N95+N88</f>
        <v>1153123738</v>
      </c>
      <c r="O130" s="1855">
        <f>IF(P130=0,"-",ROUND((N130-P130)/ABS(P130),4))</f>
        <v>5.3900000000000003E-2</v>
      </c>
      <c r="P130" s="3476">
        <f>P127+P119+P104+P95+P88</f>
        <v>1094191585</v>
      </c>
      <c r="Q130" s="1855">
        <f>IF(S130=0,"-",ROUND((P130-S130)/ABS(S130),4))</f>
        <v>-1.32E-2</v>
      </c>
      <c r="R130" s="1854"/>
      <c r="S130" s="3476">
        <f>S127+S119+S104+S95+S88</f>
        <v>1108773593</v>
      </c>
    </row>
    <row r="131" spans="1:40" ht="13.8" thickTop="1">
      <c r="A131" s="1845"/>
      <c r="D131" s="1859"/>
      <c r="E131" s="1859"/>
      <c r="F131" s="1859"/>
      <c r="G131" s="1859"/>
      <c r="H131" s="1859"/>
      <c r="I131" s="1859"/>
      <c r="J131" s="1859"/>
      <c r="K131" s="1859"/>
      <c r="L131" s="1859"/>
      <c r="M131" s="1859"/>
      <c r="N131" s="1859"/>
      <c r="O131" s="1859"/>
      <c r="P131" s="1859"/>
      <c r="Q131" s="1859"/>
      <c r="S131" s="1859"/>
    </row>
    <row r="132" spans="1:40">
      <c r="C132" s="1785" t="s">
        <v>2461</v>
      </c>
      <c r="D132" s="1856"/>
      <c r="E132" s="1856"/>
      <c r="F132" s="1856"/>
      <c r="G132" s="1856"/>
      <c r="H132" s="1856"/>
      <c r="I132" s="1856"/>
      <c r="J132" s="1856"/>
      <c r="K132" s="1856"/>
      <c r="L132" s="1856"/>
      <c r="M132" s="1856"/>
      <c r="N132" s="1856"/>
      <c r="O132" s="1856"/>
      <c r="P132" s="1856"/>
      <c r="Q132" s="1856"/>
      <c r="R132" s="1854"/>
      <c r="S132" s="1856"/>
    </row>
    <row r="133" spans="1:40">
      <c r="D133" s="1865"/>
      <c r="E133" s="1865"/>
      <c r="F133" s="1865"/>
      <c r="G133" s="1865"/>
      <c r="H133" s="1865"/>
      <c r="I133" s="1865"/>
      <c r="J133" s="1865"/>
      <c r="K133" s="1865"/>
      <c r="L133" s="1865"/>
      <c r="M133" s="1865"/>
      <c r="N133" s="1865"/>
      <c r="O133" s="1865"/>
      <c r="P133" s="1865"/>
      <c r="Q133" s="1865"/>
      <c r="S133" s="1865"/>
    </row>
    <row r="134" spans="1:40">
      <c r="C134" s="1864"/>
      <c r="D134" s="1854"/>
      <c r="E134" s="1850"/>
      <c r="F134" s="1854"/>
      <c r="G134" s="1850"/>
      <c r="H134" s="1854"/>
      <c r="I134" s="1850"/>
      <c r="J134" s="1850"/>
      <c r="K134" s="1850"/>
      <c r="L134" s="1854"/>
      <c r="M134" s="1850"/>
      <c r="N134" s="1854"/>
      <c r="O134" s="1850"/>
      <c r="P134" s="1850"/>
      <c r="Q134" s="1854"/>
      <c r="S134" s="1850"/>
    </row>
    <row r="135" spans="1:40">
      <c r="A135" s="1845"/>
      <c r="B135" s="1845"/>
      <c r="C135" s="1845"/>
      <c r="D135" s="1866"/>
      <c r="E135" s="1866"/>
      <c r="F135" s="1866"/>
      <c r="G135" s="1866"/>
      <c r="H135" s="1866"/>
      <c r="I135" s="1866"/>
      <c r="J135" s="1866"/>
      <c r="K135" s="1866"/>
      <c r="L135" s="1866"/>
      <c r="M135" s="1866"/>
      <c r="N135" s="1866"/>
      <c r="O135" s="1866"/>
      <c r="P135" s="1866"/>
      <c r="Q135" s="1866"/>
      <c r="R135" s="1866"/>
      <c r="S135" s="1866"/>
      <c r="T135" s="1845"/>
      <c r="U135" s="1845"/>
      <c r="V135" s="1845"/>
      <c r="W135" s="1845"/>
      <c r="X135" s="1845"/>
      <c r="Y135" s="1845"/>
      <c r="Z135" s="1845"/>
      <c r="AA135" s="1845"/>
      <c r="AB135" s="1845"/>
      <c r="AC135" s="1845"/>
      <c r="AD135" s="1845"/>
      <c r="AE135" s="1845"/>
      <c r="AF135" s="1845"/>
      <c r="AG135" s="1845"/>
      <c r="AH135" s="1845"/>
      <c r="AI135" s="1845"/>
      <c r="AJ135" s="1845"/>
      <c r="AK135" s="1845"/>
      <c r="AL135" s="1845"/>
      <c r="AM135" s="1845"/>
      <c r="AN135" s="1845"/>
    </row>
    <row r="136" spans="1:40">
      <c r="A136" s="1867"/>
      <c r="B136" s="1792"/>
      <c r="C136" s="1792"/>
      <c r="D136" s="1868">
        <f>D64-D130</f>
        <v>0</v>
      </c>
      <c r="E136" s="1868"/>
      <c r="F136" s="1868">
        <f>F64-F130</f>
        <v>0</v>
      </c>
      <c r="H136" s="1785">
        <f>H64-H130</f>
        <v>0</v>
      </c>
      <c r="J136" s="1785">
        <f>J64-J130</f>
        <v>0</v>
      </c>
      <c r="L136" s="1785">
        <f>L64-L130</f>
        <v>0</v>
      </c>
      <c r="N136" s="1785">
        <f>N64-N130</f>
        <v>0</v>
      </c>
      <c r="P136" s="1785">
        <f>P64-P130</f>
        <v>0</v>
      </c>
      <c r="R136" s="1869"/>
      <c r="S136" s="1785">
        <f>S64-S130</f>
        <v>0</v>
      </c>
      <c r="T136" s="1845"/>
      <c r="U136" s="1845"/>
      <c r="V136" s="1845"/>
      <c r="W136" s="1845"/>
      <c r="X136" s="1845"/>
      <c r="Y136" s="1845"/>
      <c r="Z136" s="1845"/>
      <c r="AA136" s="1845"/>
      <c r="AB136" s="1845"/>
      <c r="AC136" s="1845"/>
      <c r="AD136" s="1845"/>
      <c r="AE136" s="1845"/>
      <c r="AF136" s="1845"/>
      <c r="AG136" s="1845"/>
      <c r="AH136" s="1845"/>
      <c r="AI136" s="1845"/>
      <c r="AJ136" s="1845"/>
      <c r="AK136" s="1845"/>
      <c r="AL136" s="1845"/>
      <c r="AM136" s="1845"/>
      <c r="AN136" s="1845"/>
    </row>
    <row r="137" spans="1:40">
      <c r="A137" s="1867"/>
      <c r="B137" s="1792"/>
      <c r="C137" s="1792"/>
      <c r="D137" s="1792"/>
      <c r="E137" s="1792"/>
      <c r="F137" s="1792"/>
      <c r="G137" s="1792"/>
      <c r="H137" s="1792"/>
      <c r="I137" s="1792"/>
      <c r="J137" s="1792"/>
      <c r="K137" s="1792"/>
      <c r="L137" s="1792"/>
      <c r="M137" s="1792"/>
      <c r="N137" s="1792"/>
      <c r="O137" s="1792"/>
      <c r="P137" s="1792"/>
      <c r="Q137" s="1792"/>
      <c r="R137" s="1845"/>
      <c r="S137" s="1792"/>
      <c r="T137" s="1845"/>
      <c r="U137" s="1845"/>
      <c r="V137" s="1845"/>
      <c r="W137" s="1845"/>
      <c r="X137" s="1845"/>
      <c r="Y137" s="1845"/>
      <c r="Z137" s="1845"/>
      <c r="AA137" s="1845"/>
      <c r="AB137" s="1845"/>
      <c r="AC137" s="1845"/>
      <c r="AD137" s="1845"/>
      <c r="AE137" s="1845"/>
      <c r="AF137" s="1845"/>
      <c r="AG137" s="1845"/>
      <c r="AH137" s="1845"/>
      <c r="AI137" s="1845"/>
      <c r="AJ137" s="1845"/>
      <c r="AK137" s="1845"/>
      <c r="AL137" s="1845"/>
      <c r="AM137" s="1845"/>
      <c r="AN137" s="1845"/>
    </row>
    <row r="138" spans="1:40">
      <c r="A138" s="1792"/>
      <c r="B138" s="1792"/>
      <c r="C138" s="1792"/>
      <c r="D138" s="1792"/>
      <c r="E138" s="1792"/>
      <c r="F138" s="1792"/>
      <c r="G138" s="1792"/>
      <c r="H138" s="1792"/>
      <c r="I138" s="1792"/>
      <c r="J138" s="1792"/>
      <c r="K138" s="1792"/>
      <c r="L138" s="1792"/>
      <c r="M138" s="1792"/>
      <c r="N138" s="1792"/>
      <c r="O138" s="1792"/>
      <c r="P138" s="1792"/>
      <c r="Q138" s="1792"/>
      <c r="R138" s="1845"/>
      <c r="S138" s="1792"/>
      <c r="T138" s="1845"/>
      <c r="U138" s="1845"/>
      <c r="V138" s="1845"/>
      <c r="W138" s="1845"/>
      <c r="X138" s="1845"/>
      <c r="Y138" s="1845"/>
      <c r="Z138" s="1845"/>
      <c r="AA138" s="1845"/>
      <c r="AB138" s="1845"/>
      <c r="AC138" s="1845"/>
      <c r="AD138" s="1845"/>
      <c r="AE138" s="1845"/>
      <c r="AF138" s="1845"/>
      <c r="AG138" s="1845"/>
      <c r="AH138" s="1845"/>
      <c r="AI138" s="1845"/>
      <c r="AJ138" s="1845"/>
      <c r="AK138" s="1845"/>
      <c r="AL138" s="1845"/>
      <c r="AM138" s="1845"/>
      <c r="AN138" s="1845"/>
    </row>
    <row r="139" spans="1:40">
      <c r="A139" s="1870"/>
      <c r="B139" s="1792"/>
      <c r="C139" s="1792"/>
      <c r="D139" s="1792"/>
      <c r="E139" s="1792"/>
      <c r="F139" s="1792"/>
      <c r="G139" s="1792"/>
      <c r="H139" s="1792"/>
      <c r="I139" s="1792"/>
      <c r="J139" s="1792"/>
      <c r="K139" s="1792"/>
      <c r="L139" s="1792"/>
      <c r="M139" s="1792"/>
      <c r="N139" s="1792"/>
      <c r="O139" s="1792"/>
      <c r="P139" s="1792"/>
      <c r="Q139" s="1792"/>
      <c r="R139" s="1845"/>
      <c r="S139" s="1792"/>
      <c r="T139" s="1845"/>
      <c r="U139" s="1845"/>
      <c r="V139" s="1845"/>
      <c r="W139" s="1845"/>
      <c r="X139" s="1845"/>
      <c r="Y139" s="1845"/>
      <c r="Z139" s="1845"/>
      <c r="AA139" s="1845"/>
      <c r="AB139" s="1845"/>
      <c r="AC139" s="1845"/>
      <c r="AD139" s="1845"/>
      <c r="AE139" s="1845"/>
      <c r="AF139" s="1845"/>
      <c r="AG139" s="1845"/>
      <c r="AH139" s="1845"/>
      <c r="AI139" s="1845"/>
      <c r="AJ139" s="1845"/>
      <c r="AK139" s="1845"/>
      <c r="AL139" s="1845"/>
      <c r="AM139" s="1845"/>
      <c r="AN139" s="1845"/>
    </row>
    <row r="140" spans="1:40">
      <c r="A140" s="1871"/>
      <c r="B140" s="1845"/>
      <c r="C140" s="1845"/>
      <c r="D140" s="1845"/>
      <c r="E140" s="1845"/>
      <c r="F140" s="1845"/>
      <c r="G140" s="1845"/>
      <c r="H140" s="1845"/>
      <c r="I140" s="1845"/>
      <c r="J140" s="1845"/>
      <c r="K140" s="1845"/>
      <c r="L140" s="1845"/>
      <c r="M140" s="1845"/>
      <c r="N140" s="1845"/>
      <c r="O140" s="1845"/>
      <c r="P140" s="1845"/>
      <c r="Q140" s="1845"/>
      <c r="R140" s="1845"/>
      <c r="S140" s="1845"/>
      <c r="T140" s="1845"/>
      <c r="U140" s="1845"/>
      <c r="V140" s="1845"/>
      <c r="W140" s="1845"/>
      <c r="X140" s="1845"/>
      <c r="Y140" s="1845"/>
      <c r="Z140" s="1845"/>
      <c r="AA140" s="1845"/>
      <c r="AB140" s="1845"/>
      <c r="AC140" s="1845"/>
      <c r="AD140" s="1845"/>
      <c r="AE140" s="1845"/>
      <c r="AF140" s="1845"/>
      <c r="AG140" s="1845"/>
      <c r="AH140" s="1845"/>
      <c r="AI140" s="1845"/>
      <c r="AJ140" s="1845"/>
      <c r="AK140" s="1845"/>
      <c r="AL140" s="1845"/>
      <c r="AM140" s="1845"/>
      <c r="AN140" s="1845"/>
    </row>
    <row r="141" spans="1:40">
      <c r="A141" s="1871"/>
      <c r="B141" s="1845"/>
      <c r="C141" s="1845"/>
      <c r="D141" s="1845"/>
      <c r="E141" s="1871"/>
      <c r="F141" s="1845"/>
      <c r="G141" s="1871"/>
      <c r="H141" s="1845"/>
      <c r="I141" s="1871"/>
      <c r="J141" s="1845"/>
      <c r="K141" s="1871"/>
      <c r="L141" s="1845"/>
      <c r="M141" s="1871"/>
      <c r="N141" s="1845"/>
      <c r="O141" s="1871"/>
      <c r="P141" s="1871"/>
      <c r="Q141" s="1845"/>
      <c r="R141" s="1845"/>
      <c r="S141" s="1845"/>
      <c r="T141" s="1845"/>
      <c r="U141" s="1845"/>
      <c r="V141" s="1845"/>
      <c r="W141" s="1845"/>
      <c r="X141" s="1845"/>
      <c r="Y141" s="1845"/>
      <c r="Z141" s="1845"/>
      <c r="AA141" s="1845"/>
      <c r="AB141" s="1845"/>
      <c r="AC141" s="1845"/>
      <c r="AD141" s="1845"/>
      <c r="AE141" s="1845"/>
      <c r="AF141" s="1845"/>
      <c r="AG141" s="1845"/>
      <c r="AH141" s="1845"/>
      <c r="AI141" s="1845"/>
      <c r="AJ141" s="1845"/>
      <c r="AK141" s="1845"/>
      <c r="AL141" s="1845"/>
      <c r="AM141" s="1845"/>
      <c r="AN141" s="1845"/>
    </row>
    <row r="142" spans="1:40">
      <c r="A142" s="1871"/>
      <c r="B142" s="1845"/>
      <c r="C142" s="1845"/>
      <c r="D142" s="1845"/>
      <c r="E142" s="1872"/>
      <c r="F142" s="1845"/>
      <c r="G142" s="1872"/>
      <c r="H142" s="1845"/>
      <c r="I142" s="1872"/>
      <c r="J142" s="1845"/>
      <c r="K142" s="1872"/>
      <c r="L142" s="1845"/>
      <c r="M142" s="1872"/>
      <c r="N142" s="1872"/>
      <c r="O142" s="1872"/>
      <c r="P142" s="1872"/>
      <c r="Q142" s="1845"/>
      <c r="R142" s="1845"/>
      <c r="S142" s="1845"/>
      <c r="T142" s="1845"/>
      <c r="U142" s="1845"/>
      <c r="V142" s="1845"/>
      <c r="W142" s="1845"/>
      <c r="X142" s="1845"/>
      <c r="Y142" s="1845"/>
      <c r="Z142" s="1845"/>
      <c r="AA142" s="1845"/>
      <c r="AB142" s="1845"/>
      <c r="AC142" s="1845"/>
      <c r="AD142" s="1845"/>
      <c r="AE142" s="1845"/>
      <c r="AF142" s="1845"/>
      <c r="AG142" s="1845"/>
      <c r="AH142" s="1845"/>
      <c r="AI142" s="1845"/>
      <c r="AJ142" s="1845"/>
      <c r="AK142" s="1845"/>
      <c r="AL142" s="1845"/>
      <c r="AM142" s="1845"/>
      <c r="AN142" s="1845"/>
    </row>
    <row r="143" spans="1:40">
      <c r="A143" s="1871"/>
      <c r="B143" s="1845"/>
      <c r="C143" s="1845"/>
      <c r="D143" s="1845"/>
      <c r="E143" s="1845"/>
      <c r="F143" s="1845"/>
      <c r="G143" s="1845"/>
      <c r="H143" s="1845"/>
      <c r="I143" s="1845"/>
      <c r="J143" s="1845"/>
      <c r="K143" s="1845"/>
      <c r="L143" s="1845"/>
      <c r="M143" s="1845"/>
      <c r="N143" s="1845"/>
      <c r="O143" s="1845"/>
      <c r="P143" s="1845"/>
      <c r="Q143" s="1845"/>
      <c r="R143" s="1845"/>
      <c r="S143" s="1845"/>
      <c r="T143" s="1845"/>
      <c r="U143" s="1845"/>
      <c r="V143" s="1845"/>
      <c r="W143" s="1845"/>
      <c r="X143" s="1845"/>
      <c r="Y143" s="1845"/>
      <c r="Z143" s="1845"/>
      <c r="AA143" s="1845"/>
      <c r="AB143" s="1845"/>
      <c r="AC143" s="1845"/>
      <c r="AD143" s="1845"/>
      <c r="AE143" s="1845"/>
      <c r="AF143" s="1845"/>
      <c r="AG143" s="1845"/>
      <c r="AH143" s="1845"/>
      <c r="AI143" s="1845"/>
      <c r="AJ143" s="1845"/>
      <c r="AK143" s="1845"/>
      <c r="AL143" s="1845"/>
      <c r="AM143" s="1845"/>
      <c r="AN143" s="1845"/>
    </row>
    <row r="144" spans="1:40">
      <c r="A144" s="1845"/>
      <c r="B144" s="1845"/>
      <c r="C144" s="1845"/>
      <c r="D144" s="1845"/>
      <c r="E144" s="1845"/>
      <c r="F144" s="1845"/>
      <c r="G144" s="1845"/>
      <c r="H144" s="1845"/>
      <c r="I144" s="1845"/>
      <c r="J144" s="1845"/>
      <c r="K144" s="1845"/>
      <c r="L144" s="1845"/>
      <c r="M144" s="1845"/>
      <c r="N144" s="1845"/>
      <c r="O144" s="1845"/>
      <c r="P144" s="1845"/>
      <c r="Q144" s="1845"/>
      <c r="R144" s="1845"/>
      <c r="S144" s="1845"/>
      <c r="T144" s="1845"/>
      <c r="U144" s="1845"/>
      <c r="V144" s="1845"/>
      <c r="W144" s="1845"/>
      <c r="X144" s="1845"/>
      <c r="Y144" s="1845"/>
      <c r="Z144" s="1845"/>
      <c r="AA144" s="1845"/>
      <c r="AB144" s="1845"/>
      <c r="AC144" s="1845"/>
      <c r="AD144" s="1845"/>
      <c r="AE144" s="1845"/>
      <c r="AF144" s="1845"/>
      <c r="AG144" s="1845"/>
      <c r="AH144" s="1845"/>
      <c r="AI144" s="1845"/>
      <c r="AJ144" s="1845"/>
      <c r="AK144" s="1845"/>
      <c r="AL144" s="1845"/>
      <c r="AM144" s="1845"/>
      <c r="AN144" s="1845"/>
    </row>
    <row r="145" spans="1:40">
      <c r="A145" s="1873"/>
      <c r="B145" s="1874"/>
      <c r="C145" s="1874"/>
      <c r="D145" s="1874"/>
      <c r="E145" s="1792"/>
      <c r="F145" s="1874"/>
      <c r="G145" s="1792"/>
      <c r="H145" s="1875"/>
      <c r="I145" s="1792"/>
      <c r="J145" s="1792"/>
      <c r="K145" s="1792"/>
      <c r="L145" s="1792"/>
      <c r="M145" s="1792"/>
      <c r="N145" s="1792"/>
      <c r="O145" s="1792"/>
      <c r="P145" s="1792"/>
      <c r="Q145" s="1792"/>
      <c r="R145" s="1876"/>
      <c r="S145" s="1792"/>
      <c r="T145" s="1873"/>
      <c r="U145" s="1845"/>
      <c r="V145" s="1845"/>
      <c r="W145" s="1845"/>
      <c r="X145" s="1845"/>
      <c r="Y145" s="1845"/>
      <c r="Z145" s="1845"/>
      <c r="AA145" s="1845"/>
      <c r="AB145" s="1845"/>
      <c r="AC145" s="1845"/>
      <c r="AD145" s="1845"/>
      <c r="AE145" s="1845"/>
      <c r="AF145" s="1845"/>
      <c r="AG145" s="1845"/>
      <c r="AH145" s="1845"/>
      <c r="AI145" s="1845"/>
      <c r="AJ145" s="1845"/>
      <c r="AK145" s="1845"/>
      <c r="AL145" s="1845"/>
      <c r="AM145" s="1845"/>
      <c r="AN145" s="1845"/>
    </row>
    <row r="146" spans="1:40">
      <c r="A146" s="1873"/>
      <c r="B146" s="1874"/>
      <c r="C146" s="1873"/>
      <c r="D146" s="1873"/>
      <c r="E146" s="1877"/>
      <c r="F146" s="1877"/>
      <c r="G146" s="1877"/>
      <c r="H146" s="1873"/>
      <c r="I146" s="1877"/>
      <c r="J146" s="1873"/>
      <c r="K146" s="1877"/>
      <c r="L146" s="1873"/>
      <c r="M146" s="1877"/>
      <c r="N146" s="1877"/>
      <c r="O146" s="1877"/>
      <c r="P146" s="1877"/>
      <c r="Q146" s="1873"/>
      <c r="R146" s="1878"/>
      <c r="S146" s="1873"/>
      <c r="T146" s="1878"/>
      <c r="U146" s="1845"/>
      <c r="V146" s="1845"/>
      <c r="W146" s="1845"/>
      <c r="X146" s="1845"/>
      <c r="Y146" s="1845"/>
      <c r="Z146" s="1845"/>
      <c r="AA146" s="1845"/>
      <c r="AB146" s="1845"/>
      <c r="AC146" s="1845"/>
      <c r="AD146" s="1845"/>
      <c r="AE146" s="1845"/>
      <c r="AF146" s="1845"/>
      <c r="AG146" s="1845"/>
      <c r="AH146" s="1845"/>
      <c r="AI146" s="1845"/>
      <c r="AJ146" s="1845"/>
      <c r="AK146" s="1845"/>
      <c r="AL146" s="1845"/>
      <c r="AM146" s="1845"/>
      <c r="AN146" s="1845"/>
    </row>
    <row r="147" spans="1:40">
      <c r="A147" s="1876"/>
      <c r="B147" s="1845"/>
      <c r="C147" s="1871"/>
      <c r="D147" s="1871"/>
      <c r="E147" s="1869"/>
      <c r="F147" s="1869"/>
      <c r="G147" s="1869"/>
      <c r="H147" s="1869"/>
      <c r="I147" s="1869"/>
      <c r="J147" s="1869"/>
      <c r="K147" s="1869"/>
      <c r="L147" s="1869"/>
      <c r="M147" s="1869"/>
      <c r="N147" s="1869"/>
      <c r="O147" s="1869"/>
      <c r="P147" s="1869"/>
      <c r="Q147" s="1879"/>
      <c r="R147" s="1845"/>
      <c r="S147" s="1869"/>
      <c r="T147" s="1845"/>
      <c r="U147" s="1845"/>
      <c r="V147" s="1845"/>
      <c r="W147" s="1845"/>
      <c r="X147" s="1845"/>
      <c r="Y147" s="1845"/>
      <c r="Z147" s="1845"/>
      <c r="AA147" s="1845"/>
      <c r="AB147" s="1845"/>
      <c r="AC147" s="1845"/>
      <c r="AD147" s="1845"/>
      <c r="AE147" s="1845"/>
      <c r="AF147" s="1845"/>
      <c r="AG147" s="1845"/>
      <c r="AH147" s="1845"/>
      <c r="AI147" s="1845"/>
      <c r="AJ147" s="1845"/>
      <c r="AK147" s="1845"/>
      <c r="AL147" s="1845"/>
      <c r="AM147" s="1845"/>
      <c r="AN147" s="1845"/>
    </row>
    <row r="148" spans="1:40">
      <c r="A148" s="1876"/>
      <c r="B148" s="1845"/>
      <c r="C148" s="1871"/>
      <c r="D148" s="1871"/>
      <c r="E148" s="1879"/>
      <c r="F148" s="1880"/>
      <c r="G148" s="1879"/>
      <c r="H148" s="1869"/>
      <c r="I148" s="1879"/>
      <c r="J148" s="1879"/>
      <c r="K148" s="1879"/>
      <c r="L148" s="1869"/>
      <c r="M148" s="1879"/>
      <c r="N148" s="1879"/>
      <c r="O148" s="1879"/>
      <c r="P148" s="1879"/>
      <c r="Q148" s="1879"/>
      <c r="R148" s="1879"/>
      <c r="S148" s="1879"/>
      <c r="T148" s="1845"/>
      <c r="U148" s="1845"/>
      <c r="V148" s="1845"/>
      <c r="W148" s="1845"/>
      <c r="X148" s="1845"/>
      <c r="Y148" s="1845"/>
      <c r="Z148" s="1845"/>
      <c r="AA148" s="1845"/>
      <c r="AB148" s="1845"/>
      <c r="AC148" s="1845"/>
      <c r="AD148" s="1845"/>
      <c r="AE148" s="1845"/>
      <c r="AF148" s="1845"/>
      <c r="AG148" s="1845"/>
      <c r="AH148" s="1845"/>
      <c r="AI148" s="1845"/>
      <c r="AJ148" s="1845"/>
      <c r="AK148" s="1845"/>
      <c r="AL148" s="1845"/>
      <c r="AM148" s="1845"/>
      <c r="AN148" s="1845"/>
    </row>
    <row r="149" spans="1:40">
      <c r="A149" s="1876"/>
      <c r="B149" s="1845"/>
      <c r="C149" s="1871"/>
      <c r="D149" s="1871"/>
      <c r="E149" s="1881"/>
      <c r="F149" s="1869"/>
      <c r="G149" s="1881"/>
      <c r="H149" s="1869"/>
      <c r="I149" s="1881"/>
      <c r="J149" s="1881"/>
      <c r="K149" s="1881"/>
      <c r="L149" s="1869"/>
      <c r="M149" s="1881"/>
      <c r="N149" s="1881"/>
      <c r="O149" s="1881"/>
      <c r="P149" s="1881"/>
      <c r="Q149" s="1869"/>
      <c r="R149" s="1869"/>
      <c r="S149" s="1881"/>
      <c r="T149" s="1845"/>
      <c r="U149" s="1845"/>
      <c r="V149" s="1845"/>
      <c r="W149" s="1845"/>
      <c r="X149" s="1845"/>
      <c r="Y149" s="1845"/>
      <c r="Z149" s="1845"/>
      <c r="AA149" s="1845"/>
      <c r="AB149" s="1845"/>
      <c r="AC149" s="1845"/>
      <c r="AD149" s="1845"/>
      <c r="AE149" s="1845"/>
      <c r="AF149" s="1845"/>
      <c r="AG149" s="1845"/>
      <c r="AH149" s="1845"/>
      <c r="AI149" s="1845"/>
      <c r="AJ149" s="1845"/>
      <c r="AK149" s="1845"/>
      <c r="AL149" s="1845"/>
      <c r="AM149" s="1845"/>
      <c r="AN149" s="1845"/>
    </row>
    <row r="150" spans="1:40">
      <c r="A150" s="1876"/>
      <c r="B150" s="1845"/>
      <c r="C150" s="1871"/>
      <c r="D150" s="1871"/>
      <c r="E150" s="1879"/>
      <c r="F150" s="1880"/>
      <c r="G150" s="1879"/>
      <c r="H150" s="1869"/>
      <c r="I150" s="1879"/>
      <c r="J150" s="1879"/>
      <c r="K150" s="1879"/>
      <c r="L150" s="1869"/>
      <c r="M150" s="1879"/>
      <c r="N150" s="1879"/>
      <c r="O150" s="1879"/>
      <c r="P150" s="1879"/>
      <c r="Q150" s="1879"/>
      <c r="R150" s="1879"/>
      <c r="S150" s="1879"/>
      <c r="T150" s="1845"/>
      <c r="U150" s="1845"/>
      <c r="V150" s="1845"/>
      <c r="W150" s="1845"/>
      <c r="X150" s="1845"/>
      <c r="Y150" s="1845"/>
      <c r="Z150" s="1845"/>
      <c r="AA150" s="1845"/>
      <c r="AB150" s="1845"/>
      <c r="AC150" s="1845"/>
      <c r="AD150" s="1845"/>
      <c r="AE150" s="1845"/>
      <c r="AF150" s="1845"/>
      <c r="AG150" s="1845"/>
      <c r="AH150" s="1845"/>
      <c r="AI150" s="1845"/>
      <c r="AJ150" s="1845"/>
      <c r="AK150" s="1845"/>
      <c r="AL150" s="1845"/>
      <c r="AM150" s="1845"/>
      <c r="AN150" s="1845"/>
    </row>
    <row r="151" spans="1:40">
      <c r="A151" s="1876"/>
      <c r="B151" s="1845"/>
      <c r="C151" s="1871"/>
      <c r="D151" s="1871"/>
      <c r="E151" s="1879"/>
      <c r="F151" s="1880"/>
      <c r="G151" s="1879"/>
      <c r="H151" s="1869"/>
      <c r="I151" s="1879"/>
      <c r="J151" s="1879"/>
      <c r="K151" s="1879"/>
      <c r="L151" s="1869"/>
      <c r="M151" s="1879"/>
      <c r="N151" s="1879"/>
      <c r="O151" s="1879"/>
      <c r="P151" s="1879"/>
      <c r="Q151" s="1879"/>
      <c r="R151" s="1879"/>
      <c r="S151" s="1879"/>
      <c r="T151" s="1845"/>
      <c r="U151" s="1845"/>
      <c r="V151" s="1845"/>
      <c r="W151" s="1845"/>
      <c r="X151" s="1845"/>
      <c r="Y151" s="1845"/>
      <c r="Z151" s="1845"/>
      <c r="AA151" s="1845"/>
      <c r="AB151" s="1845"/>
      <c r="AC151" s="1845"/>
      <c r="AD151" s="1845"/>
      <c r="AE151" s="1845"/>
      <c r="AF151" s="1845"/>
      <c r="AG151" s="1845"/>
      <c r="AH151" s="1845"/>
      <c r="AI151" s="1845"/>
      <c r="AJ151" s="1845"/>
      <c r="AK151" s="1845"/>
      <c r="AL151" s="1845"/>
      <c r="AM151" s="1845"/>
      <c r="AN151" s="1845"/>
    </row>
    <row r="152" spans="1:40">
      <c r="A152" s="1876"/>
      <c r="B152" s="1845"/>
      <c r="C152" s="1871"/>
      <c r="D152" s="1871"/>
      <c r="E152" s="1869"/>
      <c r="F152" s="1880"/>
      <c r="G152" s="1869"/>
      <c r="H152" s="1869"/>
      <c r="I152" s="1869"/>
      <c r="J152" s="1879"/>
      <c r="K152" s="1869"/>
      <c r="L152" s="1869"/>
      <c r="M152" s="1869"/>
      <c r="N152" s="1869"/>
      <c r="O152" s="1869"/>
      <c r="P152" s="1869"/>
      <c r="Q152" s="1869"/>
      <c r="R152" s="1882"/>
      <c r="S152" s="1879"/>
      <c r="T152" s="1845"/>
      <c r="U152" s="1845"/>
      <c r="V152" s="1845"/>
      <c r="W152" s="1845"/>
      <c r="X152" s="1845"/>
      <c r="Y152" s="1845"/>
      <c r="Z152" s="1845"/>
      <c r="AA152" s="1845"/>
      <c r="AB152" s="1845"/>
      <c r="AC152" s="1845"/>
      <c r="AD152" s="1845"/>
      <c r="AE152" s="1845"/>
      <c r="AF152" s="1845"/>
      <c r="AG152" s="1845"/>
      <c r="AH152" s="1845"/>
      <c r="AI152" s="1845"/>
      <c r="AJ152" s="1845"/>
      <c r="AK152" s="1845"/>
      <c r="AL152" s="1845"/>
      <c r="AM152" s="1845"/>
      <c r="AN152" s="1845"/>
    </row>
    <row r="153" spans="1:40">
      <c r="A153" s="1876"/>
      <c r="B153" s="1845"/>
      <c r="C153" s="1871"/>
      <c r="D153" s="1871"/>
      <c r="E153" s="1879"/>
      <c r="F153" s="1880"/>
      <c r="G153" s="1879"/>
      <c r="H153" s="1869"/>
      <c r="I153" s="1879"/>
      <c r="J153" s="1879"/>
      <c r="K153" s="1879"/>
      <c r="L153" s="1869"/>
      <c r="M153" s="1879"/>
      <c r="N153" s="1879"/>
      <c r="O153" s="1879"/>
      <c r="P153" s="1879"/>
      <c r="Q153" s="1879"/>
      <c r="R153" s="1879"/>
      <c r="S153" s="1879"/>
      <c r="T153" s="1845"/>
      <c r="U153" s="1845"/>
      <c r="V153" s="1845"/>
      <c r="W153" s="1845"/>
      <c r="X153" s="1845"/>
      <c r="Y153" s="1845"/>
      <c r="Z153" s="1845"/>
      <c r="AA153" s="1845"/>
      <c r="AB153" s="1845"/>
      <c r="AC153" s="1845"/>
      <c r="AD153" s="1845"/>
      <c r="AE153" s="1845"/>
      <c r="AF153" s="1845"/>
      <c r="AG153" s="1845"/>
      <c r="AH153" s="1845"/>
      <c r="AI153" s="1845"/>
      <c r="AJ153" s="1845"/>
      <c r="AK153" s="1845"/>
      <c r="AL153" s="1845"/>
      <c r="AM153" s="1845"/>
      <c r="AN153" s="1845"/>
    </row>
    <row r="154" spans="1:40">
      <c r="A154" s="1876"/>
      <c r="B154" s="1845"/>
      <c r="C154" s="1871"/>
      <c r="D154" s="1871"/>
      <c r="E154" s="1879"/>
      <c r="F154" s="1880"/>
      <c r="G154" s="1879"/>
      <c r="H154" s="1869"/>
      <c r="I154" s="1879"/>
      <c r="J154" s="1879"/>
      <c r="K154" s="1879"/>
      <c r="L154" s="1869"/>
      <c r="M154" s="1879"/>
      <c r="N154" s="1879"/>
      <c r="O154" s="1879"/>
      <c r="P154" s="1879"/>
      <c r="Q154" s="1879"/>
      <c r="R154" s="1879"/>
      <c r="S154" s="1879"/>
      <c r="T154" s="1871"/>
      <c r="U154" s="1871"/>
      <c r="V154" s="1845"/>
      <c r="W154" s="1845"/>
      <c r="X154" s="1845"/>
      <c r="Y154" s="1845"/>
      <c r="Z154" s="1845"/>
      <c r="AA154" s="1845"/>
      <c r="AB154" s="1845"/>
      <c r="AC154" s="1845"/>
      <c r="AD154" s="1845"/>
      <c r="AE154" s="1845"/>
      <c r="AF154" s="1845"/>
      <c r="AG154" s="1845"/>
      <c r="AH154" s="1845"/>
      <c r="AI154" s="1845"/>
      <c r="AJ154" s="1845"/>
      <c r="AK154" s="1845"/>
      <c r="AL154" s="1845"/>
      <c r="AM154" s="1845"/>
      <c r="AN154" s="1845"/>
    </row>
    <row r="155" spans="1:40">
      <c r="A155" s="1876"/>
      <c r="B155" s="1845"/>
      <c r="C155" s="1871"/>
      <c r="D155" s="1871"/>
      <c r="E155" s="1879"/>
      <c r="F155" s="1880"/>
      <c r="G155" s="1879"/>
      <c r="H155" s="1869"/>
      <c r="I155" s="1879"/>
      <c r="J155" s="1879"/>
      <c r="K155" s="1879"/>
      <c r="L155" s="1869"/>
      <c r="M155" s="1879"/>
      <c r="N155" s="1879"/>
      <c r="O155" s="1879"/>
      <c r="P155" s="1879"/>
      <c r="Q155" s="1879"/>
      <c r="R155" s="1879"/>
      <c r="S155" s="1879"/>
      <c r="T155" s="1871"/>
      <c r="U155" s="1871"/>
      <c r="V155" s="1845"/>
      <c r="W155" s="1845"/>
      <c r="X155" s="1845"/>
      <c r="Y155" s="1845"/>
      <c r="Z155" s="1845"/>
      <c r="AA155" s="1845"/>
      <c r="AB155" s="1845"/>
      <c r="AC155" s="1845"/>
      <c r="AD155" s="1845"/>
      <c r="AE155" s="1845"/>
      <c r="AF155" s="1845"/>
      <c r="AG155" s="1845"/>
      <c r="AH155" s="1845"/>
      <c r="AI155" s="1845"/>
      <c r="AJ155" s="1845"/>
      <c r="AK155" s="1845"/>
      <c r="AL155" s="1845"/>
      <c r="AM155" s="1845"/>
      <c r="AN155" s="1845"/>
    </row>
    <row r="156" spans="1:40">
      <c r="A156" s="1876"/>
      <c r="B156" s="1845"/>
      <c r="C156" s="1871"/>
      <c r="D156" s="1871"/>
      <c r="E156" s="1879"/>
      <c r="F156" s="1880"/>
      <c r="G156" s="1879"/>
      <c r="H156" s="1869"/>
      <c r="I156" s="1879"/>
      <c r="J156" s="1879"/>
      <c r="K156" s="1879"/>
      <c r="L156" s="1869"/>
      <c r="M156" s="1879"/>
      <c r="N156" s="1879"/>
      <c r="O156" s="1879"/>
      <c r="P156" s="1879"/>
      <c r="Q156" s="1879"/>
      <c r="R156" s="1879"/>
      <c r="S156" s="1879"/>
      <c r="T156" s="1871"/>
      <c r="U156" s="1871"/>
      <c r="V156" s="1845"/>
      <c r="W156" s="1845"/>
      <c r="X156" s="1845"/>
      <c r="Y156" s="1845"/>
      <c r="Z156" s="1845"/>
      <c r="AA156" s="1845"/>
      <c r="AB156" s="1845"/>
      <c r="AC156" s="1845"/>
      <c r="AD156" s="1845"/>
      <c r="AE156" s="1845"/>
      <c r="AF156" s="1845"/>
      <c r="AG156" s="1845"/>
      <c r="AH156" s="1845"/>
      <c r="AI156" s="1845"/>
      <c r="AJ156" s="1845"/>
      <c r="AK156" s="1845"/>
      <c r="AL156" s="1845"/>
      <c r="AM156" s="1845"/>
      <c r="AN156" s="1845"/>
    </row>
    <row r="157" spans="1:40">
      <c r="A157" s="1876"/>
      <c r="B157" s="1845"/>
      <c r="C157" s="1871"/>
      <c r="D157" s="1871"/>
      <c r="E157" s="1879"/>
      <c r="F157" s="1880"/>
      <c r="G157" s="1879"/>
      <c r="H157" s="1869"/>
      <c r="I157" s="1879"/>
      <c r="J157" s="1879"/>
      <c r="K157" s="1879"/>
      <c r="L157" s="1869"/>
      <c r="M157" s="1879"/>
      <c r="N157" s="1879"/>
      <c r="O157" s="1879"/>
      <c r="P157" s="1879"/>
      <c r="Q157" s="1879"/>
      <c r="R157" s="1879"/>
      <c r="S157" s="1879"/>
      <c r="T157" s="1871"/>
      <c r="U157" s="1845"/>
      <c r="V157" s="1845"/>
      <c r="W157" s="1845"/>
      <c r="X157" s="1845"/>
      <c r="Y157" s="1845"/>
      <c r="Z157" s="1845"/>
      <c r="AA157" s="1845"/>
      <c r="AB157" s="1845"/>
      <c r="AC157" s="1845"/>
      <c r="AD157" s="1845"/>
      <c r="AE157" s="1845"/>
      <c r="AF157" s="1845"/>
      <c r="AG157" s="1845"/>
      <c r="AH157" s="1845"/>
      <c r="AI157" s="1845"/>
      <c r="AJ157" s="1845"/>
      <c r="AK157" s="1845"/>
      <c r="AL157" s="1845"/>
      <c r="AM157" s="1845"/>
      <c r="AN157" s="1845"/>
    </row>
    <row r="158" spans="1:40">
      <c r="A158" s="1876"/>
      <c r="B158" s="1869"/>
      <c r="C158" s="1881"/>
      <c r="D158" s="1881"/>
      <c r="E158" s="1879"/>
      <c r="F158" s="1880"/>
      <c r="G158" s="1879"/>
      <c r="H158" s="1869"/>
      <c r="I158" s="1879"/>
      <c r="J158" s="1879"/>
      <c r="K158" s="1879"/>
      <c r="L158" s="1869"/>
      <c r="M158" s="1879"/>
      <c r="N158" s="1879"/>
      <c r="O158" s="1879"/>
      <c r="P158" s="1879"/>
      <c r="Q158" s="1879"/>
      <c r="R158" s="1879"/>
      <c r="S158" s="1879"/>
      <c r="T158" s="1871"/>
      <c r="U158" s="1845"/>
      <c r="V158" s="1845"/>
      <c r="W158" s="1845"/>
      <c r="X158" s="1845"/>
      <c r="Y158" s="1845"/>
      <c r="Z158" s="1845"/>
      <c r="AA158" s="1845"/>
      <c r="AB158" s="1845"/>
      <c r="AC158" s="1845"/>
      <c r="AD158" s="1845"/>
      <c r="AE158" s="1845"/>
      <c r="AF158" s="1845"/>
      <c r="AG158" s="1845"/>
      <c r="AH158" s="1845"/>
      <c r="AI158" s="1845"/>
      <c r="AJ158" s="1845"/>
      <c r="AK158" s="1845"/>
      <c r="AL158" s="1845"/>
      <c r="AM158" s="1845"/>
      <c r="AN158" s="1845"/>
    </row>
    <row r="159" spans="1:40">
      <c r="A159" s="1876"/>
      <c r="B159" s="1845"/>
      <c r="C159" s="1871"/>
      <c r="D159" s="1871"/>
      <c r="E159" s="1879"/>
      <c r="F159" s="1880"/>
      <c r="G159" s="1879"/>
      <c r="H159" s="1869"/>
      <c r="I159" s="1879"/>
      <c r="J159" s="1879"/>
      <c r="K159" s="1879"/>
      <c r="L159" s="1869"/>
      <c r="M159" s="1879"/>
      <c r="N159" s="1879"/>
      <c r="O159" s="1879"/>
      <c r="P159" s="1879"/>
      <c r="Q159" s="1879"/>
      <c r="R159" s="1879"/>
      <c r="S159" s="1879"/>
      <c r="T159" s="1871"/>
      <c r="U159" s="1871"/>
      <c r="V159" s="1845"/>
      <c r="W159" s="1845"/>
      <c r="X159" s="1845"/>
      <c r="Y159" s="1845"/>
      <c r="Z159" s="1845"/>
      <c r="AA159" s="1845"/>
      <c r="AB159" s="1845"/>
      <c r="AC159" s="1845"/>
      <c r="AD159" s="1845"/>
      <c r="AE159" s="1845"/>
      <c r="AF159" s="1845"/>
      <c r="AG159" s="1845"/>
      <c r="AH159" s="1845"/>
      <c r="AI159" s="1845"/>
      <c r="AJ159" s="1845"/>
      <c r="AK159" s="1845"/>
      <c r="AL159" s="1845"/>
      <c r="AM159" s="1845"/>
      <c r="AN159" s="1845"/>
    </row>
    <row r="160" spans="1:40">
      <c r="A160" s="1876"/>
      <c r="B160" s="1845"/>
      <c r="C160" s="1845"/>
      <c r="D160" s="1845"/>
      <c r="E160" s="1845"/>
      <c r="F160" s="1880"/>
      <c r="G160" s="1845"/>
      <c r="H160" s="1845"/>
      <c r="I160" s="1845"/>
      <c r="J160" s="1845"/>
      <c r="K160" s="1845"/>
      <c r="L160" s="1845"/>
      <c r="M160" s="1845"/>
      <c r="N160" s="1845"/>
      <c r="O160" s="1845"/>
      <c r="P160" s="1845"/>
      <c r="Q160" s="1845"/>
      <c r="R160" s="1845"/>
      <c r="S160" s="1845"/>
      <c r="T160" s="1845"/>
      <c r="U160" s="1845"/>
      <c r="V160" s="1845"/>
      <c r="W160" s="1845"/>
      <c r="X160" s="1845"/>
      <c r="Y160" s="1845"/>
      <c r="Z160" s="1845"/>
      <c r="AA160" s="1845"/>
      <c r="AB160" s="1845"/>
      <c r="AC160" s="1845"/>
      <c r="AD160" s="1845"/>
      <c r="AE160" s="1845"/>
      <c r="AF160" s="1845"/>
      <c r="AG160" s="1845"/>
      <c r="AH160" s="1845"/>
      <c r="AI160" s="1845"/>
      <c r="AJ160" s="1845"/>
      <c r="AK160" s="1845"/>
      <c r="AL160" s="1845"/>
      <c r="AM160" s="1845"/>
      <c r="AN160" s="1845"/>
    </row>
    <row r="161" spans="1:40">
      <c r="A161" s="1876"/>
      <c r="B161" s="1845"/>
      <c r="C161" s="1871"/>
      <c r="D161" s="1871"/>
      <c r="E161" s="1869"/>
      <c r="F161" s="1869"/>
      <c r="G161" s="1869"/>
      <c r="H161" s="1869"/>
      <c r="I161" s="1869"/>
      <c r="J161" s="1869"/>
      <c r="K161" s="1869"/>
      <c r="L161" s="1869"/>
      <c r="M161" s="1869"/>
      <c r="N161" s="1869"/>
      <c r="O161" s="1869"/>
      <c r="P161" s="1869"/>
      <c r="Q161" s="1869"/>
      <c r="R161" s="1869"/>
      <c r="S161" s="1869"/>
      <c r="T161" s="1845"/>
      <c r="U161" s="1845"/>
      <c r="V161" s="1845"/>
      <c r="W161" s="1845"/>
      <c r="X161" s="1845"/>
      <c r="Y161" s="1845"/>
      <c r="Z161" s="1845"/>
      <c r="AA161" s="1845"/>
      <c r="AB161" s="1845"/>
      <c r="AC161" s="1845"/>
      <c r="AD161" s="1845"/>
      <c r="AE161" s="1845"/>
      <c r="AF161" s="1845"/>
      <c r="AG161" s="1845"/>
      <c r="AH161" s="1845"/>
      <c r="AI161" s="1845"/>
      <c r="AJ161" s="1845"/>
      <c r="AK161" s="1845"/>
      <c r="AL161" s="1845"/>
      <c r="AM161" s="1845"/>
      <c r="AN161" s="1845"/>
    </row>
    <row r="162" spans="1:40">
      <c r="A162" s="1876"/>
      <c r="B162" s="1845"/>
      <c r="C162" s="1871"/>
      <c r="D162" s="1871"/>
      <c r="E162" s="1869"/>
      <c r="F162" s="1869"/>
      <c r="G162" s="1869"/>
      <c r="H162" s="1869"/>
      <c r="I162" s="1869"/>
      <c r="J162" s="1869"/>
      <c r="K162" s="1869"/>
      <c r="L162" s="1869"/>
      <c r="M162" s="1869"/>
      <c r="N162" s="1869"/>
      <c r="O162" s="1869"/>
      <c r="P162" s="1869"/>
      <c r="Q162" s="1869"/>
      <c r="R162" s="1869"/>
      <c r="S162" s="1869"/>
      <c r="T162" s="1845"/>
      <c r="U162" s="1845"/>
      <c r="V162" s="1845"/>
      <c r="W162" s="1845"/>
      <c r="X162" s="1845"/>
      <c r="Y162" s="1845"/>
      <c r="Z162" s="1845"/>
      <c r="AA162" s="1845"/>
      <c r="AB162" s="1845"/>
      <c r="AC162" s="1845"/>
      <c r="AD162" s="1845"/>
      <c r="AE162" s="1845"/>
      <c r="AF162" s="1845"/>
      <c r="AG162" s="1845"/>
      <c r="AH162" s="1845"/>
      <c r="AI162" s="1845"/>
      <c r="AJ162" s="1845"/>
      <c r="AK162" s="1845"/>
      <c r="AL162" s="1845"/>
      <c r="AM162" s="1845"/>
      <c r="AN162" s="1845"/>
    </row>
    <row r="163" spans="1:40">
      <c r="A163" s="1876"/>
      <c r="B163" s="1845"/>
      <c r="C163" s="1871"/>
      <c r="D163" s="1871"/>
      <c r="E163" s="1879"/>
      <c r="F163" s="1869"/>
      <c r="G163" s="1879"/>
      <c r="H163" s="1869"/>
      <c r="I163" s="1879"/>
      <c r="J163" s="1879"/>
      <c r="K163" s="1879"/>
      <c r="L163" s="1869"/>
      <c r="M163" s="1879"/>
      <c r="N163" s="1879"/>
      <c r="O163" s="1879"/>
      <c r="P163" s="1879"/>
      <c r="Q163" s="1879"/>
      <c r="R163" s="1879"/>
      <c r="S163" s="1879"/>
      <c r="T163" s="1845"/>
      <c r="U163" s="1845"/>
      <c r="V163" s="1845"/>
      <c r="W163" s="1845"/>
      <c r="X163" s="1845"/>
      <c r="Y163" s="1845"/>
      <c r="Z163" s="1845"/>
      <c r="AA163" s="1845"/>
      <c r="AB163" s="1845"/>
      <c r="AC163" s="1845"/>
      <c r="AD163" s="1845"/>
      <c r="AE163" s="1845"/>
      <c r="AF163" s="1845"/>
      <c r="AG163" s="1845"/>
      <c r="AH163" s="1845"/>
      <c r="AI163" s="1845"/>
      <c r="AJ163" s="1845"/>
      <c r="AK163" s="1845"/>
      <c r="AL163" s="1845"/>
      <c r="AM163" s="1845"/>
      <c r="AN163" s="1845"/>
    </row>
    <row r="164" spans="1:40">
      <c r="A164" s="1876"/>
      <c r="B164" s="1845"/>
      <c r="C164" s="1871"/>
      <c r="D164" s="1871"/>
      <c r="E164" s="1879"/>
      <c r="F164" s="1869"/>
      <c r="G164" s="1879"/>
      <c r="H164" s="1869"/>
      <c r="I164" s="1879"/>
      <c r="J164" s="1879"/>
      <c r="K164" s="1879"/>
      <c r="L164" s="1869"/>
      <c r="M164" s="1879"/>
      <c r="N164" s="1879"/>
      <c r="O164" s="1879"/>
      <c r="P164" s="1879"/>
      <c r="Q164" s="1879"/>
      <c r="R164" s="1879"/>
      <c r="S164" s="1879"/>
      <c r="T164" s="1845"/>
      <c r="U164" s="1845"/>
      <c r="V164" s="1845"/>
      <c r="W164" s="1845"/>
      <c r="X164" s="1845"/>
      <c r="Y164" s="1845"/>
      <c r="Z164" s="1845"/>
      <c r="AA164" s="1845"/>
      <c r="AB164" s="1845"/>
      <c r="AC164" s="1845"/>
      <c r="AD164" s="1845"/>
      <c r="AE164" s="1845"/>
      <c r="AF164" s="1845"/>
      <c r="AG164" s="1845"/>
      <c r="AH164" s="1845"/>
      <c r="AI164" s="1845"/>
      <c r="AJ164" s="1845"/>
      <c r="AK164" s="1845"/>
      <c r="AL164" s="1845"/>
      <c r="AM164" s="1845"/>
      <c r="AN164" s="1845"/>
    </row>
    <row r="165" spans="1:40">
      <c r="A165" s="1876"/>
      <c r="B165" s="1845"/>
      <c r="C165" s="1871"/>
      <c r="D165" s="1871"/>
      <c r="E165" s="1879"/>
      <c r="F165" s="1880"/>
      <c r="G165" s="1879"/>
      <c r="H165" s="1869"/>
      <c r="I165" s="1879"/>
      <c r="J165" s="1879"/>
      <c r="K165" s="1879"/>
      <c r="L165" s="1869"/>
      <c r="M165" s="1879"/>
      <c r="N165" s="1879"/>
      <c r="O165" s="1879"/>
      <c r="P165" s="1879"/>
      <c r="Q165" s="1879"/>
      <c r="R165" s="1879"/>
      <c r="S165" s="1879"/>
      <c r="T165" s="1871"/>
      <c r="U165" s="1845"/>
      <c r="V165" s="1845"/>
      <c r="W165" s="1845"/>
      <c r="X165" s="1845"/>
      <c r="Y165" s="1845"/>
      <c r="Z165" s="1845"/>
      <c r="AA165" s="1845"/>
      <c r="AB165" s="1845"/>
      <c r="AC165" s="1845"/>
      <c r="AD165" s="1845"/>
      <c r="AE165" s="1845"/>
      <c r="AF165" s="1845"/>
      <c r="AG165" s="1845"/>
      <c r="AH165" s="1845"/>
      <c r="AI165" s="1845"/>
      <c r="AJ165" s="1845"/>
      <c r="AK165" s="1845"/>
      <c r="AL165" s="1845"/>
      <c r="AM165" s="1845"/>
      <c r="AN165" s="1845"/>
    </row>
    <row r="166" spans="1:40">
      <c r="A166" s="1876"/>
      <c r="B166" s="1845"/>
      <c r="C166" s="1871"/>
      <c r="D166" s="1871"/>
      <c r="E166" s="1879"/>
      <c r="F166" s="1880"/>
      <c r="G166" s="1879"/>
      <c r="H166" s="1869"/>
      <c r="I166" s="1879"/>
      <c r="J166" s="1879"/>
      <c r="K166" s="1879"/>
      <c r="L166" s="1869"/>
      <c r="M166" s="1879"/>
      <c r="N166" s="1879"/>
      <c r="O166" s="1879"/>
      <c r="P166" s="1879"/>
      <c r="Q166" s="1879"/>
      <c r="R166" s="1879"/>
      <c r="S166" s="1879"/>
      <c r="T166" s="1845"/>
      <c r="U166" s="1845"/>
      <c r="V166" s="1845"/>
      <c r="W166" s="1845"/>
      <c r="X166" s="1845"/>
      <c r="Y166" s="1845"/>
      <c r="Z166" s="1845"/>
      <c r="AA166" s="1845"/>
      <c r="AB166" s="1845"/>
      <c r="AC166" s="1845"/>
      <c r="AD166" s="1845"/>
      <c r="AE166" s="1845"/>
      <c r="AF166" s="1845"/>
      <c r="AG166" s="1845"/>
      <c r="AH166" s="1845"/>
      <c r="AI166" s="1845"/>
      <c r="AJ166" s="1845"/>
      <c r="AK166" s="1845"/>
      <c r="AL166" s="1845"/>
      <c r="AM166" s="1845"/>
      <c r="AN166" s="1845"/>
    </row>
    <row r="167" spans="1:40">
      <c r="A167" s="1876"/>
      <c r="B167" s="1845"/>
      <c r="C167" s="1871"/>
      <c r="D167" s="1871"/>
      <c r="E167" s="1879"/>
      <c r="F167" s="1880"/>
      <c r="G167" s="1879"/>
      <c r="H167" s="1869"/>
      <c r="I167" s="1879"/>
      <c r="J167" s="1879"/>
      <c r="K167" s="1879"/>
      <c r="L167" s="1869"/>
      <c r="M167" s="1879"/>
      <c r="N167" s="1879"/>
      <c r="O167" s="1879"/>
      <c r="P167" s="1879"/>
      <c r="Q167" s="1879"/>
      <c r="R167" s="1879"/>
      <c r="S167" s="1879"/>
      <c r="T167" s="1845"/>
      <c r="U167" s="1845"/>
      <c r="V167" s="1845"/>
      <c r="W167" s="1845"/>
      <c r="X167" s="1845"/>
      <c r="Y167" s="1845"/>
      <c r="Z167" s="1845"/>
      <c r="AA167" s="1845"/>
      <c r="AB167" s="1845"/>
      <c r="AC167" s="1845"/>
      <c r="AD167" s="1845"/>
      <c r="AE167" s="1845"/>
      <c r="AF167" s="1845"/>
      <c r="AG167" s="1845"/>
      <c r="AH167" s="1845"/>
      <c r="AI167" s="1845"/>
      <c r="AJ167" s="1845"/>
      <c r="AK167" s="1845"/>
      <c r="AL167" s="1845"/>
      <c r="AM167" s="1845"/>
      <c r="AN167" s="1845"/>
    </row>
    <row r="168" spans="1:40">
      <c r="A168" s="1876"/>
      <c r="B168" s="1845"/>
      <c r="C168" s="1871"/>
      <c r="D168" s="1871"/>
      <c r="E168" s="1879"/>
      <c r="F168" s="1880"/>
      <c r="G168" s="1879"/>
      <c r="H168" s="1869"/>
      <c r="I168" s="1879"/>
      <c r="J168" s="1879"/>
      <c r="K168" s="1879"/>
      <c r="L168" s="1869"/>
      <c r="M168" s="1879"/>
      <c r="N168" s="1879"/>
      <c r="O168" s="1879"/>
      <c r="P168" s="1879"/>
      <c r="Q168" s="1879"/>
      <c r="R168" s="1879"/>
      <c r="S168" s="1879"/>
      <c r="T168" s="1845"/>
      <c r="U168" s="1845"/>
      <c r="V168" s="1845"/>
      <c r="W168" s="1845"/>
      <c r="X168" s="1845"/>
      <c r="Y168" s="1845"/>
      <c r="Z168" s="1845"/>
      <c r="AA168" s="1845"/>
      <c r="AB168" s="1845"/>
      <c r="AC168" s="1845"/>
      <c r="AD168" s="1845"/>
      <c r="AE168" s="1845"/>
      <c r="AF168" s="1845"/>
      <c r="AG168" s="1845"/>
      <c r="AH168" s="1845"/>
      <c r="AI168" s="1845"/>
      <c r="AJ168" s="1845"/>
      <c r="AK168" s="1845"/>
      <c r="AL168" s="1845"/>
      <c r="AM168" s="1845"/>
      <c r="AN168" s="1845"/>
    </row>
    <row r="169" spans="1:40">
      <c r="A169" s="1876"/>
      <c r="B169" s="1845"/>
      <c r="C169" s="1871"/>
      <c r="D169" s="1871"/>
      <c r="E169" s="1879"/>
      <c r="F169" s="1880"/>
      <c r="G169" s="1879"/>
      <c r="H169" s="1869"/>
      <c r="I169" s="1879"/>
      <c r="J169" s="1879"/>
      <c r="K169" s="1879"/>
      <c r="L169" s="1869"/>
      <c r="M169" s="1879"/>
      <c r="N169" s="1879"/>
      <c r="O169" s="1879"/>
      <c r="P169" s="1879"/>
      <c r="Q169" s="1879"/>
      <c r="R169" s="1879"/>
      <c r="S169" s="1879"/>
      <c r="T169" s="1845"/>
      <c r="U169" s="1845"/>
      <c r="V169" s="1845"/>
      <c r="W169" s="1845"/>
      <c r="X169" s="1845"/>
      <c r="Y169" s="1845"/>
      <c r="Z169" s="1845"/>
      <c r="AA169" s="1845"/>
      <c r="AB169" s="1845"/>
      <c r="AC169" s="1845"/>
      <c r="AD169" s="1845"/>
      <c r="AE169" s="1845"/>
      <c r="AF169" s="1845"/>
      <c r="AG169" s="1845"/>
      <c r="AH169" s="1845"/>
      <c r="AI169" s="1845"/>
      <c r="AJ169" s="1845"/>
      <c r="AK169" s="1845"/>
      <c r="AL169" s="1845"/>
      <c r="AM169" s="1845"/>
      <c r="AN169" s="1845"/>
    </row>
    <row r="170" spans="1:40">
      <c r="A170" s="1876"/>
      <c r="B170" s="1845"/>
      <c r="C170" s="1871"/>
      <c r="D170" s="1871"/>
      <c r="E170" s="1879"/>
      <c r="F170" s="1880"/>
      <c r="G170" s="1879"/>
      <c r="H170" s="1869"/>
      <c r="I170" s="1879"/>
      <c r="J170" s="1879"/>
      <c r="K170" s="1879"/>
      <c r="L170" s="1869"/>
      <c r="M170" s="1879"/>
      <c r="N170" s="1879"/>
      <c r="O170" s="1879"/>
      <c r="P170" s="1879"/>
      <c r="Q170" s="1879"/>
      <c r="R170" s="1879"/>
      <c r="S170" s="1879"/>
      <c r="T170" s="1845"/>
      <c r="U170" s="1845"/>
      <c r="V170" s="1845"/>
      <c r="W170" s="1845"/>
      <c r="X170" s="1845"/>
      <c r="Y170" s="1845"/>
      <c r="Z170" s="1845"/>
      <c r="AA170" s="1845"/>
      <c r="AB170" s="1845"/>
      <c r="AC170" s="1845"/>
      <c r="AD170" s="1845"/>
      <c r="AE170" s="1845"/>
      <c r="AF170" s="1845"/>
      <c r="AG170" s="1845"/>
      <c r="AH170" s="1845"/>
      <c r="AI170" s="1845"/>
      <c r="AJ170" s="1845"/>
      <c r="AK170" s="1845"/>
      <c r="AL170" s="1845"/>
      <c r="AM170" s="1845"/>
      <c r="AN170" s="1845"/>
    </row>
    <row r="171" spans="1:40">
      <c r="A171" s="1876"/>
      <c r="B171" s="1845"/>
      <c r="C171" s="1871"/>
      <c r="D171" s="1871"/>
      <c r="E171" s="1869"/>
      <c r="F171" s="1869"/>
      <c r="G171" s="1869"/>
      <c r="H171" s="1869"/>
      <c r="I171" s="1869"/>
      <c r="J171" s="1869"/>
      <c r="K171" s="1869"/>
      <c r="L171" s="1869"/>
      <c r="M171" s="1869"/>
      <c r="N171" s="1869"/>
      <c r="O171" s="1869"/>
      <c r="P171" s="1869"/>
      <c r="Q171" s="1869"/>
      <c r="R171" s="1869"/>
      <c r="S171" s="1869"/>
      <c r="T171" s="1845"/>
      <c r="U171" s="1845"/>
      <c r="V171" s="1845"/>
      <c r="W171" s="1845"/>
      <c r="X171" s="1845"/>
      <c r="Y171" s="1845"/>
      <c r="Z171" s="1845"/>
      <c r="AA171" s="1845"/>
      <c r="AB171" s="1845"/>
      <c r="AC171" s="1845"/>
      <c r="AD171" s="1845"/>
      <c r="AE171" s="1845"/>
      <c r="AF171" s="1845"/>
      <c r="AG171" s="1845"/>
      <c r="AH171" s="1845"/>
      <c r="AI171" s="1845"/>
      <c r="AJ171" s="1845"/>
      <c r="AK171" s="1845"/>
      <c r="AL171" s="1845"/>
      <c r="AM171" s="1845"/>
      <c r="AN171" s="1845"/>
    </row>
    <row r="172" spans="1:40">
      <c r="A172" s="1876"/>
      <c r="B172" s="1845"/>
      <c r="C172" s="1871"/>
      <c r="D172" s="1871"/>
      <c r="E172" s="1869"/>
      <c r="F172" s="1869"/>
      <c r="G172" s="1869"/>
      <c r="H172" s="1869"/>
      <c r="I172" s="1869"/>
      <c r="J172" s="1869"/>
      <c r="K172" s="1869"/>
      <c r="L172" s="1869"/>
      <c r="M172" s="1869"/>
      <c r="N172" s="1869"/>
      <c r="O172" s="1869"/>
      <c r="P172" s="1869"/>
      <c r="Q172" s="1869"/>
      <c r="R172" s="1869"/>
      <c r="S172" s="1869"/>
      <c r="T172" s="1845"/>
      <c r="U172" s="1845"/>
      <c r="V172" s="1845"/>
      <c r="W172" s="1845"/>
      <c r="X172" s="1845"/>
      <c r="Y172" s="1845"/>
      <c r="Z172" s="1845"/>
      <c r="AA172" s="1845"/>
      <c r="AB172" s="1845"/>
      <c r="AC172" s="1845"/>
      <c r="AD172" s="1845"/>
      <c r="AE172" s="1845"/>
      <c r="AF172" s="1845"/>
      <c r="AG172" s="1845"/>
      <c r="AH172" s="1845"/>
      <c r="AI172" s="1845"/>
      <c r="AJ172" s="1845"/>
      <c r="AK172" s="1845"/>
      <c r="AL172" s="1845"/>
      <c r="AM172" s="1845"/>
      <c r="AN172" s="1845"/>
    </row>
    <row r="173" spans="1:40">
      <c r="A173" s="1876"/>
      <c r="B173" s="1845"/>
      <c r="C173" s="1871"/>
      <c r="D173" s="1871"/>
      <c r="E173" s="1879"/>
      <c r="F173" s="1880"/>
      <c r="G173" s="1879"/>
      <c r="H173" s="1869"/>
      <c r="I173" s="1879"/>
      <c r="J173" s="1879"/>
      <c r="K173" s="1879"/>
      <c r="L173" s="1869"/>
      <c r="M173" s="1879"/>
      <c r="N173" s="1879"/>
      <c r="O173" s="1879"/>
      <c r="P173" s="1879"/>
      <c r="Q173" s="1879"/>
      <c r="R173" s="1879"/>
      <c r="S173" s="1879"/>
      <c r="T173" s="1845"/>
      <c r="U173" s="1845"/>
      <c r="V173" s="1845"/>
      <c r="W173" s="1845"/>
      <c r="X173" s="1845"/>
      <c r="Y173" s="1845"/>
      <c r="Z173" s="1845"/>
      <c r="AA173" s="1845"/>
      <c r="AB173" s="1845"/>
      <c r="AC173" s="1845"/>
      <c r="AD173" s="1845"/>
      <c r="AE173" s="1845"/>
      <c r="AF173" s="1845"/>
      <c r="AG173" s="1845"/>
      <c r="AH173" s="1845"/>
      <c r="AI173" s="1845"/>
      <c r="AJ173" s="1845"/>
      <c r="AK173" s="1845"/>
      <c r="AL173" s="1845"/>
      <c r="AM173" s="1845"/>
      <c r="AN173" s="1845"/>
    </row>
    <row r="174" spans="1:40">
      <c r="A174" s="1876"/>
      <c r="B174" s="1845"/>
      <c r="C174" s="1871"/>
      <c r="D174" s="1871"/>
      <c r="E174" s="1879"/>
      <c r="F174" s="1880"/>
      <c r="G174" s="1879"/>
      <c r="H174" s="1869"/>
      <c r="I174" s="1879"/>
      <c r="J174" s="1879"/>
      <c r="K174" s="1879"/>
      <c r="L174" s="1869"/>
      <c r="M174" s="1879"/>
      <c r="N174" s="1879"/>
      <c r="O174" s="1879"/>
      <c r="P174" s="1879"/>
      <c r="Q174" s="1879"/>
      <c r="R174" s="1879"/>
      <c r="S174" s="1879"/>
      <c r="T174" s="1845"/>
      <c r="U174" s="1845"/>
      <c r="V174" s="1845"/>
      <c r="W174" s="1845"/>
      <c r="X174" s="1845"/>
      <c r="Y174" s="1845"/>
      <c r="Z174" s="1845"/>
      <c r="AA174" s="1845"/>
      <c r="AB174" s="1845"/>
      <c r="AC174" s="1845"/>
      <c r="AD174" s="1845"/>
      <c r="AE174" s="1845"/>
      <c r="AF174" s="1845"/>
      <c r="AG174" s="1845"/>
      <c r="AH174" s="1845"/>
      <c r="AI174" s="1845"/>
      <c r="AJ174" s="1845"/>
      <c r="AK174" s="1845"/>
      <c r="AL174" s="1845"/>
      <c r="AM174" s="1845"/>
      <c r="AN174" s="1845"/>
    </row>
    <row r="175" spans="1:40">
      <c r="A175" s="1876"/>
      <c r="B175" s="1845"/>
      <c r="C175" s="1871"/>
      <c r="D175" s="1871"/>
      <c r="E175" s="1869"/>
      <c r="F175" s="1869"/>
      <c r="G175" s="1869"/>
      <c r="H175" s="1869"/>
      <c r="I175" s="1869"/>
      <c r="J175" s="1869"/>
      <c r="K175" s="1869"/>
      <c r="L175" s="1869"/>
      <c r="M175" s="1869"/>
      <c r="N175" s="1869"/>
      <c r="O175" s="1869"/>
      <c r="P175" s="1869"/>
      <c r="Q175" s="1869"/>
      <c r="R175" s="1869"/>
      <c r="S175" s="1869"/>
      <c r="T175" s="1845"/>
      <c r="U175" s="1845"/>
      <c r="V175" s="1845"/>
      <c r="W175" s="1845"/>
      <c r="X175" s="1845"/>
      <c r="Y175" s="1845"/>
      <c r="Z175" s="1845"/>
      <c r="AA175" s="1845"/>
      <c r="AB175" s="1845"/>
      <c r="AC175" s="1845"/>
      <c r="AD175" s="1845"/>
      <c r="AE175" s="1845"/>
      <c r="AF175" s="1845"/>
      <c r="AG175" s="1845"/>
      <c r="AH175" s="1845"/>
      <c r="AI175" s="1845"/>
      <c r="AJ175" s="1845"/>
      <c r="AK175" s="1845"/>
      <c r="AL175" s="1845"/>
      <c r="AM175" s="1845"/>
      <c r="AN175" s="1845"/>
    </row>
    <row r="176" spans="1:40">
      <c r="A176" s="1876"/>
      <c r="B176" s="1845"/>
      <c r="C176" s="1871"/>
      <c r="D176" s="1871"/>
      <c r="E176" s="1869"/>
      <c r="F176" s="1869"/>
      <c r="G176" s="1869"/>
      <c r="H176" s="1869"/>
      <c r="I176" s="1869"/>
      <c r="J176" s="1869"/>
      <c r="K176" s="1869"/>
      <c r="L176" s="1869"/>
      <c r="M176" s="1869"/>
      <c r="N176" s="1869"/>
      <c r="O176" s="1869"/>
      <c r="P176" s="1869"/>
      <c r="Q176" s="1869"/>
      <c r="R176" s="1869"/>
      <c r="S176" s="1869"/>
      <c r="T176" s="1845"/>
      <c r="U176" s="1845"/>
      <c r="V176" s="1845"/>
      <c r="W176" s="1845"/>
      <c r="X176" s="1845"/>
      <c r="Y176" s="1845"/>
      <c r="Z176" s="1845"/>
      <c r="AA176" s="1845"/>
      <c r="AB176" s="1845"/>
      <c r="AC176" s="1845"/>
      <c r="AD176" s="1845"/>
      <c r="AE176" s="1845"/>
      <c r="AF176" s="1845"/>
      <c r="AG176" s="1845"/>
      <c r="AH176" s="1845"/>
      <c r="AI176" s="1845"/>
      <c r="AJ176" s="1845"/>
      <c r="AK176" s="1845"/>
      <c r="AL176" s="1845"/>
      <c r="AM176" s="1845"/>
      <c r="AN176" s="1845"/>
    </row>
    <row r="177" spans="1:40">
      <c r="A177" s="1876"/>
      <c r="B177" s="1845"/>
      <c r="C177" s="1871"/>
      <c r="D177" s="1871"/>
      <c r="E177" s="1879"/>
      <c r="F177" s="1880"/>
      <c r="G177" s="1879"/>
      <c r="H177" s="1869"/>
      <c r="I177" s="1879"/>
      <c r="J177" s="1879"/>
      <c r="K177" s="1879"/>
      <c r="L177" s="1869"/>
      <c r="M177" s="1879"/>
      <c r="N177" s="1879"/>
      <c r="O177" s="1879"/>
      <c r="P177" s="1879"/>
      <c r="Q177" s="1879"/>
      <c r="R177" s="1879"/>
      <c r="S177" s="1879"/>
      <c r="T177" s="1871"/>
      <c r="U177" s="1871"/>
      <c r="V177" s="1845"/>
      <c r="W177" s="1845"/>
      <c r="X177" s="1845"/>
      <c r="Y177" s="1845"/>
      <c r="Z177" s="1845"/>
      <c r="AA177" s="1845"/>
      <c r="AB177" s="1845"/>
      <c r="AC177" s="1845"/>
      <c r="AD177" s="1845"/>
      <c r="AE177" s="1845"/>
      <c r="AF177" s="1845"/>
      <c r="AG177" s="1845"/>
      <c r="AH177" s="1845"/>
      <c r="AI177" s="1845"/>
      <c r="AJ177" s="1845"/>
      <c r="AK177" s="1845"/>
      <c r="AL177" s="1845"/>
      <c r="AM177" s="1845"/>
      <c r="AN177" s="1845"/>
    </row>
    <row r="178" spans="1:40">
      <c r="A178" s="1876"/>
      <c r="B178" s="1845"/>
      <c r="C178" s="1871"/>
      <c r="D178" s="1871"/>
      <c r="E178" s="1879"/>
      <c r="F178" s="1880"/>
      <c r="G178" s="1879"/>
      <c r="H178" s="1869"/>
      <c r="I178" s="1879"/>
      <c r="J178" s="1879"/>
      <c r="K178" s="1879"/>
      <c r="L178" s="1869"/>
      <c r="M178" s="1879"/>
      <c r="N178" s="1879"/>
      <c r="O178" s="1879"/>
      <c r="P178" s="1879"/>
      <c r="Q178" s="1879"/>
      <c r="R178" s="1879"/>
      <c r="S178" s="1879"/>
      <c r="T178" s="1871"/>
      <c r="U178" s="1871"/>
      <c r="V178" s="1845"/>
      <c r="W178" s="1845"/>
      <c r="X178" s="1845"/>
      <c r="Y178" s="1845"/>
      <c r="Z178" s="1845"/>
      <c r="AA178" s="1845"/>
      <c r="AB178" s="1845"/>
      <c r="AC178" s="1845"/>
      <c r="AD178" s="1845"/>
      <c r="AE178" s="1845"/>
      <c r="AF178" s="1845"/>
      <c r="AG178" s="1845"/>
      <c r="AH178" s="1845"/>
      <c r="AI178" s="1845"/>
      <c r="AJ178" s="1845"/>
      <c r="AK178" s="1845"/>
      <c r="AL178" s="1845"/>
      <c r="AM178" s="1845"/>
      <c r="AN178" s="1845"/>
    </row>
    <row r="179" spans="1:40">
      <c r="A179" s="1876"/>
      <c r="B179" s="1845"/>
      <c r="C179" s="1871"/>
      <c r="D179" s="1871"/>
      <c r="E179" s="1879"/>
      <c r="F179" s="1880"/>
      <c r="G179" s="1879"/>
      <c r="H179" s="1869"/>
      <c r="I179" s="1879"/>
      <c r="J179" s="1879"/>
      <c r="K179" s="1879"/>
      <c r="L179" s="1869"/>
      <c r="M179" s="1879"/>
      <c r="N179" s="1879"/>
      <c r="O179" s="1879"/>
      <c r="P179" s="1879"/>
      <c r="Q179" s="1879"/>
      <c r="R179" s="1879"/>
      <c r="S179" s="1879"/>
      <c r="T179" s="1871"/>
      <c r="U179" s="1845"/>
      <c r="V179" s="1845"/>
      <c r="W179" s="1845"/>
      <c r="X179" s="1845"/>
      <c r="Y179" s="1845"/>
      <c r="Z179" s="1845"/>
      <c r="AA179" s="1845"/>
      <c r="AB179" s="1845"/>
      <c r="AC179" s="1845"/>
      <c r="AD179" s="1845"/>
      <c r="AE179" s="1845"/>
      <c r="AF179" s="1845"/>
      <c r="AG179" s="1845"/>
      <c r="AH179" s="1845"/>
      <c r="AI179" s="1845"/>
      <c r="AJ179" s="1845"/>
      <c r="AK179" s="1845"/>
      <c r="AL179" s="1845"/>
      <c r="AM179" s="1845"/>
      <c r="AN179" s="1845"/>
    </row>
    <row r="180" spans="1:40">
      <c r="A180" s="1876"/>
      <c r="B180" s="1845"/>
      <c r="C180" s="1871"/>
      <c r="D180" s="1871"/>
      <c r="E180" s="1879"/>
      <c r="F180" s="1880"/>
      <c r="G180" s="1879"/>
      <c r="H180" s="1869"/>
      <c r="I180" s="1879"/>
      <c r="J180" s="1879"/>
      <c r="K180" s="1879"/>
      <c r="L180" s="1869"/>
      <c r="M180" s="1879"/>
      <c r="N180" s="1879"/>
      <c r="O180" s="1879"/>
      <c r="P180" s="1879"/>
      <c r="Q180" s="1879"/>
      <c r="R180" s="1879"/>
      <c r="S180" s="1879"/>
      <c r="T180" s="1871"/>
      <c r="U180" s="1845"/>
      <c r="V180" s="1845"/>
      <c r="W180" s="1845"/>
      <c r="X180" s="1845"/>
      <c r="Y180" s="1845"/>
      <c r="Z180" s="1845"/>
      <c r="AA180" s="1845"/>
      <c r="AB180" s="1845"/>
      <c r="AC180" s="1845"/>
      <c r="AD180" s="1845"/>
      <c r="AE180" s="1845"/>
      <c r="AF180" s="1845"/>
      <c r="AG180" s="1845"/>
      <c r="AH180" s="1845"/>
      <c r="AI180" s="1845"/>
      <c r="AJ180" s="1845"/>
      <c r="AK180" s="1845"/>
      <c r="AL180" s="1845"/>
      <c r="AM180" s="1845"/>
      <c r="AN180" s="1845"/>
    </row>
    <row r="181" spans="1:40">
      <c r="A181" s="1876"/>
      <c r="B181" s="1845"/>
      <c r="C181" s="1871"/>
      <c r="D181" s="1871"/>
      <c r="E181" s="1879"/>
      <c r="F181" s="1880"/>
      <c r="G181" s="1879"/>
      <c r="H181" s="1869"/>
      <c r="I181" s="1879"/>
      <c r="J181" s="1879"/>
      <c r="K181" s="1879"/>
      <c r="L181" s="1869"/>
      <c r="M181" s="1879"/>
      <c r="N181" s="1879"/>
      <c r="O181" s="1879"/>
      <c r="P181" s="1879"/>
      <c r="Q181" s="1879"/>
      <c r="R181" s="1879"/>
      <c r="S181" s="1879"/>
      <c r="T181" s="1845"/>
      <c r="U181" s="1845"/>
      <c r="V181" s="1845"/>
      <c r="W181" s="1845"/>
      <c r="X181" s="1845"/>
      <c r="Y181" s="1845"/>
      <c r="Z181" s="1845"/>
      <c r="AA181" s="1845"/>
      <c r="AB181" s="1845"/>
      <c r="AC181" s="1845"/>
      <c r="AD181" s="1845"/>
      <c r="AE181" s="1845"/>
      <c r="AF181" s="1845"/>
      <c r="AG181" s="1845"/>
      <c r="AH181" s="1845"/>
      <c r="AI181" s="1845"/>
      <c r="AJ181" s="1845"/>
      <c r="AK181" s="1845"/>
      <c r="AL181" s="1845"/>
      <c r="AM181" s="1845"/>
      <c r="AN181" s="1845"/>
    </row>
    <row r="182" spans="1:40">
      <c r="A182" s="1876"/>
      <c r="B182" s="1845"/>
      <c r="C182" s="1871"/>
      <c r="D182" s="1871"/>
      <c r="E182" s="1869"/>
      <c r="F182" s="1869"/>
      <c r="G182" s="1869"/>
      <c r="H182" s="1869"/>
      <c r="I182" s="1869"/>
      <c r="J182" s="1869"/>
      <c r="K182" s="1869"/>
      <c r="L182" s="1869"/>
      <c r="M182" s="1869"/>
      <c r="N182" s="1869"/>
      <c r="O182" s="1869"/>
      <c r="P182" s="1869"/>
      <c r="Q182" s="1869"/>
      <c r="R182" s="1869"/>
      <c r="S182" s="1869"/>
      <c r="T182" s="1845"/>
      <c r="U182" s="1845"/>
      <c r="V182" s="1845"/>
      <c r="W182" s="1845"/>
      <c r="X182" s="1845"/>
      <c r="Y182" s="1845"/>
      <c r="Z182" s="1845"/>
      <c r="AA182" s="1845"/>
      <c r="AB182" s="1845"/>
      <c r="AC182" s="1845"/>
      <c r="AD182" s="1845"/>
      <c r="AE182" s="1845"/>
      <c r="AF182" s="1845"/>
      <c r="AG182" s="1845"/>
      <c r="AH182" s="1845"/>
      <c r="AI182" s="1845"/>
      <c r="AJ182" s="1845"/>
      <c r="AK182" s="1845"/>
      <c r="AL182" s="1845"/>
      <c r="AM182" s="1845"/>
      <c r="AN182" s="1845"/>
    </row>
    <row r="183" spans="1:40">
      <c r="A183" s="1876"/>
      <c r="B183" s="1845"/>
      <c r="C183" s="1871"/>
      <c r="D183" s="1871"/>
      <c r="E183" s="1869"/>
      <c r="F183" s="1869"/>
      <c r="G183" s="1869"/>
      <c r="H183" s="1869"/>
      <c r="I183" s="1869"/>
      <c r="J183" s="1869"/>
      <c r="K183" s="1869"/>
      <c r="L183" s="1869"/>
      <c r="M183" s="1869"/>
      <c r="N183" s="1869"/>
      <c r="O183" s="1869"/>
      <c r="P183" s="1869"/>
      <c r="Q183" s="1869"/>
      <c r="R183" s="1869"/>
      <c r="S183" s="1869"/>
      <c r="T183" s="1845"/>
      <c r="U183" s="1845"/>
      <c r="V183" s="1845"/>
      <c r="W183" s="1845"/>
      <c r="X183" s="1845"/>
      <c r="Y183" s="1845"/>
      <c r="Z183" s="1845"/>
      <c r="AA183" s="1845"/>
      <c r="AB183" s="1845"/>
      <c r="AC183" s="1845"/>
      <c r="AD183" s="1845"/>
      <c r="AE183" s="1845"/>
      <c r="AF183" s="1845"/>
      <c r="AG183" s="1845"/>
      <c r="AH183" s="1845"/>
      <c r="AI183" s="1845"/>
      <c r="AJ183" s="1845"/>
      <c r="AK183" s="1845"/>
      <c r="AL183" s="1845"/>
      <c r="AM183" s="1845"/>
      <c r="AN183" s="1845"/>
    </row>
    <row r="184" spans="1:40">
      <c r="A184" s="1876"/>
      <c r="B184" s="1845"/>
      <c r="C184" s="1871"/>
      <c r="D184" s="1871"/>
      <c r="E184" s="1869"/>
      <c r="F184" s="1869"/>
      <c r="G184" s="1869"/>
      <c r="H184" s="1845"/>
      <c r="I184" s="1869"/>
      <c r="J184" s="1869"/>
      <c r="K184" s="1869"/>
      <c r="L184" s="1869"/>
      <c r="M184" s="1869"/>
      <c r="N184" s="1869"/>
      <c r="O184" s="1869"/>
      <c r="P184" s="1869"/>
      <c r="Q184" s="1869"/>
      <c r="R184" s="1869"/>
      <c r="S184" s="1869"/>
      <c r="T184" s="1845"/>
      <c r="U184" s="1845"/>
      <c r="V184" s="1845"/>
      <c r="W184" s="1845"/>
      <c r="X184" s="1845"/>
      <c r="Y184" s="1845"/>
      <c r="Z184" s="1845"/>
      <c r="AA184" s="1845"/>
      <c r="AB184" s="1845"/>
      <c r="AC184" s="1845"/>
      <c r="AD184" s="1845"/>
      <c r="AE184" s="1845"/>
      <c r="AF184" s="1845"/>
      <c r="AG184" s="1845"/>
      <c r="AH184" s="1845"/>
      <c r="AI184" s="1845"/>
      <c r="AJ184" s="1845"/>
      <c r="AK184" s="1845"/>
      <c r="AL184" s="1845"/>
      <c r="AM184" s="1845"/>
      <c r="AN184" s="1845"/>
    </row>
    <row r="185" spans="1:40">
      <c r="A185" s="1876"/>
      <c r="B185" s="1845"/>
      <c r="C185" s="1871"/>
      <c r="D185" s="1871"/>
      <c r="E185" s="1879"/>
      <c r="F185" s="1880"/>
      <c r="G185" s="1879"/>
      <c r="H185" s="1869"/>
      <c r="I185" s="1879"/>
      <c r="J185" s="1879"/>
      <c r="K185" s="1879"/>
      <c r="L185" s="1869"/>
      <c r="M185" s="1879"/>
      <c r="N185" s="1879"/>
      <c r="O185" s="1879"/>
      <c r="P185" s="1879"/>
      <c r="Q185" s="1879"/>
      <c r="R185" s="1879"/>
      <c r="S185" s="1879"/>
      <c r="T185" s="1871"/>
      <c r="U185" s="1845"/>
      <c r="V185" s="1845"/>
      <c r="W185" s="1845"/>
      <c r="X185" s="1845"/>
      <c r="Y185" s="1845"/>
      <c r="Z185" s="1845"/>
      <c r="AA185" s="1845"/>
      <c r="AB185" s="1845"/>
      <c r="AC185" s="1845"/>
      <c r="AD185" s="1845"/>
      <c r="AE185" s="1845"/>
      <c r="AF185" s="1845"/>
      <c r="AG185" s="1845"/>
      <c r="AH185" s="1845"/>
      <c r="AI185" s="1845"/>
      <c r="AJ185" s="1845"/>
      <c r="AK185" s="1845"/>
      <c r="AL185" s="1845"/>
      <c r="AM185" s="1845"/>
      <c r="AN185" s="1845"/>
    </row>
    <row r="186" spans="1:40">
      <c r="A186" s="1876"/>
      <c r="B186" s="1845"/>
      <c r="C186" s="1871"/>
      <c r="D186" s="1871"/>
      <c r="E186" s="1879"/>
      <c r="F186" s="1880"/>
      <c r="G186" s="1879"/>
      <c r="H186" s="1869"/>
      <c r="I186" s="1879"/>
      <c r="J186" s="1879"/>
      <c r="K186" s="1879"/>
      <c r="L186" s="1869"/>
      <c r="M186" s="1879"/>
      <c r="N186" s="1879"/>
      <c r="O186" s="1879"/>
      <c r="P186" s="1879"/>
      <c r="Q186" s="1879"/>
      <c r="R186" s="1879"/>
      <c r="S186" s="1879"/>
      <c r="T186" s="1871"/>
      <c r="U186" s="1845"/>
      <c r="V186" s="1845"/>
      <c r="W186" s="1845"/>
      <c r="X186" s="1845"/>
      <c r="Y186" s="1845"/>
      <c r="Z186" s="1845"/>
      <c r="AA186" s="1845"/>
      <c r="AB186" s="1845"/>
      <c r="AC186" s="1845"/>
      <c r="AD186" s="1845"/>
      <c r="AE186" s="1845"/>
      <c r="AF186" s="1845"/>
      <c r="AG186" s="1845"/>
      <c r="AH186" s="1845"/>
      <c r="AI186" s="1845"/>
      <c r="AJ186" s="1845"/>
      <c r="AK186" s="1845"/>
      <c r="AL186" s="1845"/>
      <c r="AM186" s="1845"/>
      <c r="AN186" s="1845"/>
    </row>
    <row r="187" spans="1:40">
      <c r="A187" s="1876"/>
      <c r="B187" s="1845"/>
      <c r="C187" s="1871"/>
      <c r="D187" s="1871"/>
      <c r="E187" s="1879"/>
      <c r="F187" s="1880"/>
      <c r="G187" s="1879"/>
      <c r="H187" s="1869"/>
      <c r="I187" s="1879"/>
      <c r="J187" s="1879"/>
      <c r="K187" s="1879"/>
      <c r="L187" s="1869"/>
      <c r="M187" s="1879"/>
      <c r="N187" s="1879"/>
      <c r="O187" s="1879"/>
      <c r="P187" s="1879"/>
      <c r="Q187" s="1879"/>
      <c r="R187" s="1879"/>
      <c r="S187" s="1879"/>
      <c r="T187" s="1845"/>
      <c r="U187" s="1845"/>
      <c r="V187" s="1845"/>
      <c r="W187" s="1845"/>
      <c r="X187" s="1845"/>
      <c r="Y187" s="1845"/>
      <c r="Z187" s="1845"/>
      <c r="AA187" s="1845"/>
      <c r="AB187" s="1845"/>
      <c r="AC187" s="1845"/>
      <c r="AD187" s="1845"/>
      <c r="AE187" s="1845"/>
      <c r="AF187" s="1845"/>
      <c r="AG187" s="1845"/>
      <c r="AH187" s="1845"/>
      <c r="AI187" s="1845"/>
      <c r="AJ187" s="1845"/>
      <c r="AK187" s="1845"/>
      <c r="AL187" s="1845"/>
      <c r="AM187" s="1845"/>
      <c r="AN187" s="1845"/>
    </row>
    <row r="188" spans="1:40">
      <c r="A188" s="1876"/>
      <c r="B188" s="1845"/>
      <c r="C188" s="1871"/>
      <c r="D188" s="1871"/>
      <c r="E188" s="1879"/>
      <c r="F188" s="1880"/>
      <c r="G188" s="1879"/>
      <c r="H188" s="1869"/>
      <c r="I188" s="1879"/>
      <c r="J188" s="1879"/>
      <c r="K188" s="1879"/>
      <c r="L188" s="1869"/>
      <c r="M188" s="1879"/>
      <c r="N188" s="1879"/>
      <c r="O188" s="1879"/>
      <c r="P188" s="1879"/>
      <c r="Q188" s="1879"/>
      <c r="R188" s="1879"/>
      <c r="S188" s="1879"/>
      <c r="T188" s="1845"/>
      <c r="U188" s="1845"/>
      <c r="V188" s="1845"/>
      <c r="W188" s="1845"/>
      <c r="X188" s="1845"/>
      <c r="Y188" s="1845"/>
      <c r="Z188" s="1845"/>
      <c r="AA188" s="1845"/>
      <c r="AB188" s="1845"/>
      <c r="AC188" s="1845"/>
      <c r="AD188" s="1845"/>
      <c r="AE188" s="1845"/>
      <c r="AF188" s="1845"/>
      <c r="AG188" s="1845"/>
      <c r="AH188" s="1845"/>
      <c r="AI188" s="1845"/>
      <c r="AJ188" s="1845"/>
      <c r="AK188" s="1845"/>
      <c r="AL188" s="1845"/>
      <c r="AM188" s="1845"/>
      <c r="AN188" s="1845"/>
    </row>
    <row r="189" spans="1:40">
      <c r="A189" s="1876"/>
      <c r="B189" s="1845"/>
      <c r="C189" s="1871"/>
      <c r="D189" s="1871"/>
      <c r="E189" s="1879"/>
      <c r="F189" s="1880"/>
      <c r="G189" s="1879"/>
      <c r="H189" s="1869"/>
      <c r="I189" s="1879"/>
      <c r="J189" s="1879"/>
      <c r="K189" s="1879"/>
      <c r="L189" s="1869"/>
      <c r="M189" s="1879"/>
      <c r="N189" s="1879"/>
      <c r="O189" s="1879"/>
      <c r="P189" s="1879"/>
      <c r="Q189" s="1879"/>
      <c r="R189" s="1879"/>
      <c r="S189" s="1879"/>
      <c r="T189" s="1845"/>
      <c r="U189" s="1845"/>
      <c r="V189" s="1845"/>
      <c r="W189" s="1845"/>
      <c r="X189" s="1845"/>
      <c r="Y189" s="1845"/>
      <c r="Z189" s="1845"/>
      <c r="AA189" s="1845"/>
      <c r="AB189" s="1845"/>
      <c r="AC189" s="1845"/>
      <c r="AD189" s="1845"/>
      <c r="AE189" s="1845"/>
      <c r="AF189" s="1845"/>
      <c r="AG189" s="1845"/>
      <c r="AH189" s="1845"/>
      <c r="AI189" s="1845"/>
      <c r="AJ189" s="1845"/>
      <c r="AK189" s="1845"/>
      <c r="AL189" s="1845"/>
      <c r="AM189" s="1845"/>
      <c r="AN189" s="1845"/>
    </row>
    <row r="190" spans="1:40">
      <c r="A190" s="1876"/>
      <c r="B190" s="1845"/>
      <c r="C190" s="1845"/>
      <c r="D190" s="1845"/>
      <c r="E190" s="1879"/>
      <c r="F190" s="1880"/>
      <c r="G190" s="1879"/>
      <c r="H190" s="1869"/>
      <c r="I190" s="1879"/>
      <c r="J190" s="1879"/>
      <c r="K190" s="1879"/>
      <c r="L190" s="1869"/>
      <c r="M190" s="1879"/>
      <c r="N190" s="1879"/>
      <c r="O190" s="1879"/>
      <c r="P190" s="1879"/>
      <c r="Q190" s="1879"/>
      <c r="R190" s="1879"/>
      <c r="S190" s="1845"/>
      <c r="T190" s="1845"/>
      <c r="U190" s="1845"/>
      <c r="V190" s="1845"/>
      <c r="W190" s="1845"/>
      <c r="X190" s="1845"/>
      <c r="Y190" s="1845"/>
      <c r="Z190" s="1845"/>
      <c r="AA190" s="1845"/>
      <c r="AB190" s="1845"/>
      <c r="AC190" s="1845"/>
      <c r="AD190" s="1845"/>
      <c r="AE190" s="1845"/>
      <c r="AF190" s="1845"/>
      <c r="AG190" s="1845"/>
      <c r="AH190" s="1845"/>
      <c r="AI190" s="1845"/>
      <c r="AJ190" s="1845"/>
      <c r="AK190" s="1845"/>
      <c r="AL190" s="1845"/>
      <c r="AM190" s="1845"/>
      <c r="AN190" s="1845"/>
    </row>
    <row r="191" spans="1:40">
      <c r="A191" s="1845"/>
      <c r="B191" s="1845"/>
      <c r="C191" s="1871"/>
      <c r="D191" s="1871"/>
      <c r="E191" s="1879"/>
      <c r="F191" s="1880"/>
      <c r="G191" s="1879"/>
      <c r="H191" s="1869"/>
      <c r="I191" s="1879"/>
      <c r="J191" s="1879"/>
      <c r="K191" s="1879"/>
      <c r="L191" s="1869"/>
      <c r="M191" s="1879"/>
      <c r="N191" s="1879"/>
      <c r="O191" s="1879"/>
      <c r="P191" s="1879"/>
      <c r="Q191" s="1879"/>
      <c r="R191" s="1879"/>
      <c r="S191" s="1869"/>
      <c r="T191" s="1845"/>
      <c r="U191" s="1845"/>
      <c r="V191" s="1845"/>
      <c r="W191" s="1845"/>
      <c r="X191" s="1845"/>
      <c r="Y191" s="1845"/>
      <c r="Z191" s="1845"/>
      <c r="AA191" s="1845"/>
      <c r="AB191" s="1845"/>
      <c r="AC191" s="1845"/>
      <c r="AD191" s="1845"/>
      <c r="AE191" s="1845"/>
      <c r="AF191" s="1845"/>
      <c r="AG191" s="1845"/>
      <c r="AH191" s="1845"/>
      <c r="AI191" s="1845"/>
      <c r="AJ191" s="1845"/>
      <c r="AK191" s="1845"/>
      <c r="AL191" s="1845"/>
      <c r="AM191" s="1845"/>
      <c r="AN191" s="1845"/>
    </row>
    <row r="192" spans="1:40">
      <c r="A192" s="1845"/>
      <c r="B192" s="1845"/>
      <c r="C192" s="1871"/>
      <c r="D192" s="1871"/>
      <c r="E192" s="1869"/>
      <c r="F192" s="1869"/>
      <c r="G192" s="1869"/>
      <c r="H192" s="1869"/>
      <c r="I192" s="1869"/>
      <c r="J192" s="1869"/>
      <c r="K192" s="1869"/>
      <c r="L192" s="1869"/>
      <c r="M192" s="1869"/>
      <c r="N192" s="1869"/>
      <c r="O192" s="1869"/>
      <c r="P192" s="1869"/>
      <c r="Q192" s="1869"/>
      <c r="R192" s="1869"/>
      <c r="S192" s="1869"/>
      <c r="T192" s="1845"/>
      <c r="U192" s="1845"/>
      <c r="V192" s="1845"/>
      <c r="W192" s="1845"/>
      <c r="X192" s="1845"/>
      <c r="Y192" s="1845"/>
      <c r="Z192" s="1845"/>
      <c r="AA192" s="1845"/>
      <c r="AB192" s="1845"/>
      <c r="AC192" s="1845"/>
      <c r="AD192" s="1845"/>
      <c r="AE192" s="1845"/>
      <c r="AF192" s="1845"/>
      <c r="AG192" s="1845"/>
      <c r="AH192" s="1845"/>
      <c r="AI192" s="1845"/>
      <c r="AJ192" s="1845"/>
      <c r="AK192" s="1845"/>
      <c r="AL192" s="1845"/>
      <c r="AM192" s="1845"/>
      <c r="AN192" s="1845"/>
    </row>
    <row r="193" spans="1:40">
      <c r="A193" s="1845"/>
      <c r="B193" s="1845"/>
      <c r="C193" s="1871"/>
      <c r="D193" s="1871"/>
      <c r="E193" s="1869"/>
      <c r="F193" s="1869"/>
      <c r="G193" s="1869"/>
      <c r="H193" s="1869"/>
      <c r="I193" s="1869"/>
      <c r="J193" s="1869"/>
      <c r="K193" s="1869"/>
      <c r="L193" s="1869"/>
      <c r="M193" s="1869"/>
      <c r="N193" s="1869"/>
      <c r="O193" s="1869"/>
      <c r="P193" s="1869"/>
      <c r="Q193" s="1869"/>
      <c r="R193" s="1869"/>
      <c r="S193" s="1869"/>
      <c r="T193" s="1845"/>
      <c r="U193" s="1845"/>
      <c r="V193" s="1845"/>
      <c r="W193" s="1845"/>
      <c r="X193" s="1845"/>
      <c r="Y193" s="1845"/>
      <c r="Z193" s="1845"/>
      <c r="AA193" s="1845"/>
      <c r="AB193" s="1845"/>
      <c r="AC193" s="1845"/>
      <c r="AD193" s="1845"/>
      <c r="AE193" s="1845"/>
      <c r="AF193" s="1845"/>
      <c r="AG193" s="1845"/>
      <c r="AH193" s="1845"/>
      <c r="AI193" s="1845"/>
      <c r="AJ193" s="1845"/>
      <c r="AK193" s="1845"/>
      <c r="AL193" s="1845"/>
      <c r="AM193" s="1845"/>
      <c r="AN193" s="1845"/>
    </row>
    <row r="194" spans="1:40">
      <c r="A194" s="1845"/>
      <c r="B194" s="1845"/>
      <c r="C194" s="1845"/>
      <c r="D194" s="1845"/>
      <c r="E194" s="1869"/>
      <c r="F194" s="1869"/>
      <c r="G194" s="1869"/>
      <c r="H194" s="1869"/>
      <c r="I194" s="1869"/>
      <c r="J194" s="1869"/>
      <c r="K194" s="1869"/>
      <c r="L194" s="1869"/>
      <c r="M194" s="1869"/>
      <c r="N194" s="1869"/>
      <c r="O194" s="1869"/>
      <c r="P194" s="1869"/>
      <c r="Q194" s="1869"/>
      <c r="R194" s="1869"/>
      <c r="S194" s="1845"/>
      <c r="T194" s="1845"/>
      <c r="U194" s="1845"/>
      <c r="V194" s="1845"/>
      <c r="W194" s="1845"/>
      <c r="X194" s="1845"/>
      <c r="Y194" s="1845"/>
      <c r="Z194" s="1845"/>
      <c r="AA194" s="1845"/>
      <c r="AB194" s="1845"/>
      <c r="AC194" s="1845"/>
      <c r="AD194" s="1845"/>
      <c r="AE194" s="1845"/>
      <c r="AF194" s="1845"/>
      <c r="AG194" s="1845"/>
      <c r="AH194" s="1845"/>
      <c r="AI194" s="1845"/>
      <c r="AJ194" s="1845"/>
      <c r="AK194" s="1845"/>
      <c r="AL194" s="1845"/>
      <c r="AM194" s="1845"/>
      <c r="AN194" s="1845"/>
    </row>
    <row r="195" spans="1:40">
      <c r="A195" s="1883"/>
      <c r="B195" s="1845"/>
      <c r="C195" s="1845"/>
      <c r="D195" s="1845"/>
      <c r="E195" s="1869"/>
      <c r="F195" s="1881"/>
      <c r="G195" s="1869"/>
      <c r="H195" s="1869"/>
      <c r="I195" s="1869"/>
      <c r="J195" s="1869"/>
      <c r="K195" s="1869"/>
      <c r="L195" s="1869"/>
      <c r="M195" s="1869"/>
      <c r="N195" s="1869"/>
      <c r="O195" s="1869"/>
      <c r="P195" s="1869"/>
      <c r="Q195" s="1869"/>
      <c r="R195" s="1869"/>
      <c r="S195" s="1845"/>
      <c r="T195" s="1845"/>
      <c r="U195" s="1845"/>
      <c r="V195" s="1845"/>
      <c r="W195" s="1845"/>
      <c r="X195" s="1845"/>
      <c r="Y195" s="1845"/>
      <c r="Z195" s="1845"/>
      <c r="AA195" s="1845"/>
      <c r="AB195" s="1845"/>
      <c r="AC195" s="1845"/>
      <c r="AD195" s="1845"/>
      <c r="AE195" s="1845"/>
      <c r="AF195" s="1845"/>
      <c r="AG195" s="1845"/>
      <c r="AH195" s="1845"/>
      <c r="AI195" s="1845"/>
      <c r="AJ195" s="1845"/>
      <c r="AK195" s="1845"/>
      <c r="AL195" s="1845"/>
      <c r="AM195" s="1845"/>
      <c r="AN195" s="1845"/>
    </row>
    <row r="196" spans="1:40">
      <c r="A196" s="1845"/>
      <c r="B196" s="1845"/>
      <c r="C196" s="1845"/>
      <c r="D196" s="1845"/>
      <c r="E196" s="1869"/>
      <c r="F196" s="1869"/>
      <c r="G196" s="1869"/>
      <c r="H196" s="1869"/>
      <c r="I196" s="1869"/>
      <c r="J196" s="1869"/>
      <c r="K196" s="1869"/>
      <c r="L196" s="1869"/>
      <c r="M196" s="1869"/>
      <c r="N196" s="1869"/>
      <c r="O196" s="1869"/>
      <c r="P196" s="1869"/>
      <c r="Q196" s="1869"/>
      <c r="R196" s="1869"/>
      <c r="S196" s="1845"/>
      <c r="T196" s="1845"/>
      <c r="U196" s="1845"/>
      <c r="V196" s="1845"/>
      <c r="W196" s="1845"/>
      <c r="X196" s="1845"/>
      <c r="Y196" s="1845"/>
      <c r="Z196" s="1845"/>
      <c r="AA196" s="1845"/>
      <c r="AB196" s="1845"/>
      <c r="AC196" s="1845"/>
      <c r="AD196" s="1845"/>
      <c r="AE196" s="1845"/>
      <c r="AF196" s="1845"/>
      <c r="AG196" s="1845"/>
      <c r="AH196" s="1845"/>
      <c r="AI196" s="1845"/>
      <c r="AJ196" s="1845"/>
      <c r="AK196" s="1845"/>
      <c r="AL196" s="1845"/>
      <c r="AM196" s="1845"/>
      <c r="AN196" s="1845"/>
    </row>
    <row r="197" spans="1:40">
      <c r="A197" s="1845"/>
      <c r="B197" s="1845"/>
      <c r="C197" s="1845"/>
      <c r="D197" s="1845"/>
      <c r="E197" s="1869"/>
      <c r="F197" s="1869"/>
      <c r="G197" s="1869"/>
      <c r="H197" s="1869"/>
      <c r="I197" s="1869"/>
      <c r="J197" s="1869"/>
      <c r="K197" s="1869"/>
      <c r="L197" s="1869"/>
      <c r="M197" s="1869"/>
      <c r="N197" s="1869"/>
      <c r="O197" s="1869"/>
      <c r="P197" s="1869"/>
      <c r="Q197" s="1869"/>
      <c r="R197" s="1869"/>
      <c r="S197" s="1845"/>
      <c r="T197" s="1845"/>
      <c r="U197" s="1845"/>
      <c r="V197" s="1845"/>
      <c r="W197" s="1845"/>
      <c r="X197" s="1845"/>
      <c r="Y197" s="1845"/>
      <c r="Z197" s="1845"/>
      <c r="AA197" s="1845"/>
      <c r="AB197" s="1845"/>
      <c r="AC197" s="1845"/>
      <c r="AD197" s="1845"/>
      <c r="AE197" s="1845"/>
      <c r="AF197" s="1845"/>
      <c r="AG197" s="1845"/>
      <c r="AH197" s="1845"/>
      <c r="AI197" s="1845"/>
      <c r="AJ197" s="1845"/>
      <c r="AK197" s="1845"/>
      <c r="AL197" s="1845"/>
      <c r="AM197" s="1845"/>
      <c r="AN197" s="1845"/>
    </row>
    <row r="198" spans="1:40">
      <c r="A198" s="1845"/>
      <c r="B198" s="1845"/>
      <c r="C198" s="1845"/>
      <c r="D198" s="1845"/>
      <c r="E198" s="1869"/>
      <c r="F198" s="1869"/>
      <c r="G198" s="1869"/>
      <c r="H198" s="1869"/>
      <c r="I198" s="1869"/>
      <c r="J198" s="1869"/>
      <c r="K198" s="1869"/>
      <c r="L198" s="1869"/>
      <c r="M198" s="1869"/>
      <c r="N198" s="1869"/>
      <c r="O198" s="1869"/>
      <c r="P198" s="1869"/>
      <c r="Q198" s="1869"/>
      <c r="R198" s="1869"/>
      <c r="S198" s="1845"/>
      <c r="T198" s="1845"/>
      <c r="U198" s="1845"/>
      <c r="V198" s="1845"/>
      <c r="W198" s="1845"/>
      <c r="X198" s="1845"/>
      <c r="Y198" s="1845"/>
      <c r="Z198" s="1845"/>
      <c r="AA198" s="1845"/>
      <c r="AB198" s="1845"/>
      <c r="AC198" s="1845"/>
      <c r="AD198" s="1845"/>
      <c r="AE198" s="1845"/>
      <c r="AF198" s="1845"/>
      <c r="AG198" s="1845"/>
      <c r="AH198" s="1845"/>
      <c r="AI198" s="1845"/>
      <c r="AJ198" s="1845"/>
      <c r="AK198" s="1845"/>
      <c r="AL198" s="1845"/>
      <c r="AM198" s="1845"/>
      <c r="AN198" s="1845"/>
    </row>
    <row r="199" spans="1:40">
      <c r="A199" s="1845"/>
      <c r="B199" s="1845"/>
      <c r="C199" s="1845"/>
      <c r="D199" s="1845"/>
      <c r="E199" s="1845"/>
      <c r="F199" s="1845"/>
      <c r="G199" s="1845"/>
      <c r="H199" s="1845"/>
      <c r="I199" s="1845"/>
      <c r="J199" s="1845"/>
      <c r="K199" s="1845"/>
      <c r="L199" s="1845"/>
      <c r="M199" s="1845"/>
      <c r="N199" s="1845"/>
      <c r="O199" s="1845"/>
      <c r="P199" s="1845"/>
      <c r="Q199" s="1845"/>
      <c r="R199" s="1845"/>
      <c r="S199" s="1845"/>
      <c r="T199" s="1845"/>
      <c r="U199" s="1845"/>
      <c r="V199" s="1845"/>
      <c r="W199" s="1845"/>
      <c r="X199" s="1845"/>
      <c r="Y199" s="1845"/>
      <c r="Z199" s="1845"/>
      <c r="AA199" s="1845"/>
      <c r="AB199" s="1845"/>
      <c r="AC199" s="1845"/>
      <c r="AD199" s="1845"/>
      <c r="AE199" s="1845"/>
      <c r="AF199" s="1845"/>
      <c r="AG199" s="1845"/>
      <c r="AH199" s="1845"/>
      <c r="AI199" s="1845"/>
      <c r="AJ199" s="1845"/>
      <c r="AK199" s="1845"/>
      <c r="AL199" s="1845"/>
      <c r="AM199" s="1845"/>
      <c r="AN199" s="1845"/>
    </row>
    <row r="200" spans="1:40">
      <c r="A200" s="1845"/>
      <c r="B200" s="1845"/>
      <c r="C200" s="1845"/>
      <c r="D200" s="1845"/>
      <c r="E200" s="1845"/>
      <c r="F200" s="1869"/>
      <c r="G200" s="1845"/>
      <c r="H200" s="1869"/>
      <c r="I200" s="1845"/>
      <c r="J200" s="1845"/>
      <c r="K200" s="1845"/>
      <c r="L200" s="1845"/>
      <c r="M200" s="1845"/>
      <c r="N200" s="1845"/>
      <c r="O200" s="1845"/>
      <c r="P200" s="1845"/>
      <c r="Q200" s="1845"/>
      <c r="R200" s="1845"/>
      <c r="S200" s="1845"/>
      <c r="T200" s="1845"/>
      <c r="U200" s="1845"/>
      <c r="V200" s="1845"/>
      <c r="W200" s="1845"/>
      <c r="X200" s="1845"/>
      <c r="Y200" s="1845"/>
      <c r="Z200" s="1845"/>
      <c r="AA200" s="1845"/>
      <c r="AB200" s="1845"/>
      <c r="AC200" s="1845"/>
      <c r="AD200" s="1845"/>
      <c r="AE200" s="1845"/>
      <c r="AF200" s="1845"/>
      <c r="AG200" s="1845"/>
      <c r="AH200" s="1845"/>
      <c r="AI200" s="1845"/>
      <c r="AJ200" s="1845"/>
      <c r="AK200" s="1845"/>
      <c r="AL200" s="1845"/>
      <c r="AM200" s="1845"/>
      <c r="AN200" s="1845"/>
    </row>
    <row r="201" spans="1:40">
      <c r="A201" s="1845"/>
      <c r="B201" s="1845"/>
      <c r="C201" s="1845"/>
      <c r="D201" s="1845"/>
      <c r="E201" s="1845"/>
      <c r="F201" s="1845"/>
      <c r="G201" s="1845"/>
      <c r="H201" s="1845"/>
      <c r="I201" s="1845"/>
      <c r="J201" s="1845"/>
      <c r="K201" s="1845"/>
      <c r="L201" s="1845"/>
      <c r="M201" s="1845"/>
      <c r="N201" s="1845"/>
      <c r="O201" s="1845"/>
      <c r="P201" s="1845"/>
      <c r="Q201" s="1845"/>
      <c r="R201" s="1845"/>
      <c r="S201" s="1845"/>
      <c r="T201" s="1845"/>
      <c r="U201" s="1845"/>
      <c r="V201" s="1845"/>
      <c r="W201" s="1845"/>
      <c r="X201" s="1845"/>
      <c r="Y201" s="1845"/>
      <c r="Z201" s="1845"/>
      <c r="AA201" s="1845"/>
      <c r="AB201" s="1845"/>
      <c r="AC201" s="1845"/>
      <c r="AD201" s="1845"/>
      <c r="AE201" s="1845"/>
      <c r="AF201" s="1845"/>
      <c r="AG201" s="1845"/>
      <c r="AH201" s="1845"/>
      <c r="AI201" s="1845"/>
      <c r="AJ201" s="1845"/>
      <c r="AK201" s="1845"/>
      <c r="AL201" s="1845"/>
      <c r="AM201" s="1845"/>
      <c r="AN201" s="1845"/>
    </row>
    <row r="202" spans="1:40">
      <c r="A202" s="1845"/>
      <c r="B202" s="1845"/>
      <c r="C202" s="1845"/>
      <c r="D202" s="1845"/>
      <c r="E202" s="1845"/>
      <c r="F202" s="1869"/>
      <c r="G202" s="1845"/>
      <c r="H202" s="1869"/>
      <c r="I202" s="1845"/>
      <c r="J202" s="1845"/>
      <c r="K202" s="1845"/>
      <c r="L202" s="1845"/>
      <c r="M202" s="1845"/>
      <c r="N202" s="1845"/>
      <c r="O202" s="1845"/>
      <c r="P202" s="1845"/>
      <c r="Q202" s="1845"/>
      <c r="R202" s="1845"/>
      <c r="S202" s="1845"/>
      <c r="T202" s="1845"/>
      <c r="U202" s="1845"/>
      <c r="V202" s="1845"/>
      <c r="W202" s="1845"/>
      <c r="X202" s="1845"/>
      <c r="Y202" s="1845"/>
      <c r="Z202" s="1845"/>
      <c r="AA202" s="1845"/>
      <c r="AB202" s="1845"/>
      <c r="AC202" s="1845"/>
      <c r="AD202" s="1845"/>
      <c r="AE202" s="1845"/>
      <c r="AF202" s="1845"/>
      <c r="AG202" s="1845"/>
      <c r="AH202" s="1845"/>
      <c r="AI202" s="1845"/>
      <c r="AJ202" s="1845"/>
      <c r="AK202" s="1845"/>
      <c r="AL202" s="1845"/>
      <c r="AM202" s="1845"/>
      <c r="AN202" s="1845"/>
    </row>
    <row r="203" spans="1:40">
      <c r="A203" s="1845"/>
      <c r="B203" s="1845"/>
      <c r="C203" s="1845"/>
      <c r="D203" s="1845"/>
      <c r="E203" s="1845"/>
      <c r="F203" s="1869"/>
      <c r="G203" s="1845"/>
      <c r="H203" s="1869"/>
      <c r="I203" s="1845"/>
      <c r="J203" s="1845"/>
      <c r="K203" s="1845"/>
      <c r="L203" s="1845"/>
      <c r="M203" s="1845"/>
      <c r="N203" s="1845"/>
      <c r="O203" s="1845"/>
      <c r="P203" s="1845"/>
      <c r="Q203" s="1845"/>
      <c r="R203" s="1845"/>
      <c r="S203" s="1845"/>
      <c r="T203" s="1845"/>
      <c r="U203" s="1845"/>
      <c r="V203" s="1845"/>
      <c r="W203" s="1845"/>
      <c r="X203" s="1845"/>
      <c r="Y203" s="1845"/>
      <c r="Z203" s="1845"/>
      <c r="AA203" s="1845"/>
      <c r="AB203" s="1845"/>
      <c r="AC203" s="1845"/>
      <c r="AD203" s="1845"/>
      <c r="AE203" s="1845"/>
      <c r="AF203" s="1845"/>
      <c r="AG203" s="1845"/>
      <c r="AH203" s="1845"/>
      <c r="AI203" s="1845"/>
      <c r="AJ203" s="1845"/>
      <c r="AK203" s="1845"/>
      <c r="AL203" s="1845"/>
      <c r="AM203" s="1845"/>
      <c r="AN203" s="1845"/>
    </row>
    <row r="204" spans="1:40">
      <c r="A204" s="1845"/>
      <c r="B204" s="1845"/>
      <c r="C204" s="1845"/>
      <c r="D204" s="1845"/>
      <c r="E204" s="1845"/>
      <c r="F204" s="1869"/>
      <c r="G204" s="1845"/>
      <c r="H204" s="1869"/>
      <c r="I204" s="1845"/>
      <c r="J204" s="1845"/>
      <c r="K204" s="1845"/>
      <c r="L204" s="1845"/>
      <c r="M204" s="1845"/>
      <c r="N204" s="1845"/>
      <c r="O204" s="1845"/>
      <c r="P204" s="1845"/>
      <c r="Q204" s="1845"/>
      <c r="R204" s="1845"/>
      <c r="S204" s="1845"/>
      <c r="T204" s="1845"/>
      <c r="U204" s="1845"/>
      <c r="V204" s="1845"/>
      <c r="W204" s="1845"/>
      <c r="X204" s="1845"/>
      <c r="Y204" s="1845"/>
      <c r="Z204" s="1845"/>
      <c r="AA204" s="1845"/>
      <c r="AB204" s="1845"/>
      <c r="AC204" s="1845"/>
      <c r="AD204" s="1845"/>
      <c r="AE204" s="1845"/>
      <c r="AF204" s="1845"/>
      <c r="AG204" s="1845"/>
      <c r="AH204" s="1845"/>
      <c r="AI204" s="1845"/>
      <c r="AJ204" s="1845"/>
      <c r="AK204" s="1845"/>
      <c r="AL204" s="1845"/>
      <c r="AM204" s="1845"/>
      <c r="AN204" s="1845"/>
    </row>
    <row r="205" spans="1:40">
      <c r="A205" s="1845"/>
      <c r="B205" s="1845"/>
      <c r="C205" s="1845"/>
      <c r="D205" s="1845"/>
      <c r="E205" s="1845"/>
      <c r="F205" s="1869"/>
      <c r="G205" s="1845"/>
      <c r="H205" s="1869"/>
      <c r="I205" s="1845"/>
      <c r="J205" s="1845"/>
      <c r="K205" s="1845"/>
      <c r="L205" s="1845"/>
      <c r="M205" s="1845"/>
      <c r="N205" s="1845"/>
      <c r="O205" s="1845"/>
      <c r="P205" s="1845"/>
      <c r="Q205" s="1845"/>
      <c r="R205" s="1845"/>
      <c r="S205" s="1845"/>
      <c r="T205" s="1845"/>
      <c r="U205" s="1845"/>
      <c r="V205" s="1845"/>
      <c r="W205" s="1845"/>
      <c r="X205" s="1845"/>
      <c r="Y205" s="1845"/>
      <c r="Z205" s="1845"/>
      <c r="AA205" s="1845"/>
      <c r="AB205" s="1845"/>
      <c r="AC205" s="1845"/>
      <c r="AD205" s="1845"/>
      <c r="AE205" s="1845"/>
      <c r="AF205" s="1845"/>
      <c r="AG205" s="1845"/>
      <c r="AH205" s="1845"/>
      <c r="AI205" s="1845"/>
      <c r="AJ205" s="1845"/>
      <c r="AK205" s="1845"/>
      <c r="AL205" s="1845"/>
      <c r="AM205" s="1845"/>
      <c r="AN205" s="1845"/>
    </row>
    <row r="206" spans="1:40">
      <c r="A206" s="1845"/>
      <c r="B206" s="1845"/>
      <c r="C206" s="1845"/>
      <c r="D206" s="1845"/>
      <c r="E206" s="1845"/>
      <c r="F206" s="1869"/>
      <c r="G206" s="1845"/>
      <c r="H206" s="1869"/>
      <c r="I206" s="1845"/>
      <c r="J206" s="1845"/>
      <c r="K206" s="1845"/>
      <c r="L206" s="1845"/>
      <c r="M206" s="1845"/>
      <c r="N206" s="1845"/>
      <c r="O206" s="1845"/>
      <c r="P206" s="1845"/>
      <c r="Q206" s="1845"/>
      <c r="R206" s="1845"/>
      <c r="S206" s="1845"/>
      <c r="T206" s="1845"/>
      <c r="U206" s="1845"/>
      <c r="V206" s="1845"/>
      <c r="W206" s="1845"/>
      <c r="X206" s="1845"/>
      <c r="Y206" s="1845"/>
      <c r="Z206" s="1845"/>
      <c r="AA206" s="1845"/>
      <c r="AB206" s="1845"/>
      <c r="AC206" s="1845"/>
      <c r="AD206" s="1845"/>
      <c r="AE206" s="1845"/>
      <c r="AF206" s="1845"/>
      <c r="AG206" s="1845"/>
      <c r="AH206" s="1845"/>
      <c r="AI206" s="1845"/>
      <c r="AJ206" s="1845"/>
      <c r="AK206" s="1845"/>
      <c r="AL206" s="1845"/>
      <c r="AM206" s="1845"/>
      <c r="AN206" s="1845"/>
    </row>
    <row r="207" spans="1:40">
      <c r="A207" s="1845"/>
      <c r="B207" s="1845"/>
      <c r="C207" s="1845"/>
      <c r="D207" s="1845"/>
      <c r="E207" s="1845"/>
      <c r="F207" s="1869"/>
      <c r="G207" s="1845"/>
      <c r="H207" s="1869"/>
      <c r="I207" s="1845"/>
      <c r="J207" s="1845"/>
      <c r="K207" s="1845"/>
      <c r="L207" s="1845"/>
      <c r="M207" s="1845"/>
      <c r="N207" s="1845"/>
      <c r="O207" s="1845"/>
      <c r="P207" s="1845"/>
      <c r="Q207" s="1845"/>
      <c r="R207" s="1845"/>
      <c r="S207" s="1845"/>
      <c r="T207" s="1845"/>
      <c r="U207" s="1845"/>
      <c r="V207" s="1845"/>
      <c r="W207" s="1845"/>
      <c r="X207" s="1845"/>
      <c r="Y207" s="1845"/>
      <c r="Z207" s="1845"/>
      <c r="AA207" s="1845"/>
      <c r="AB207" s="1845"/>
      <c r="AC207" s="1845"/>
      <c r="AD207" s="1845"/>
      <c r="AE207" s="1845"/>
      <c r="AF207" s="1845"/>
      <c r="AG207" s="1845"/>
      <c r="AH207" s="1845"/>
      <c r="AI207" s="1845"/>
      <c r="AJ207" s="1845"/>
      <c r="AK207" s="1845"/>
      <c r="AL207" s="1845"/>
      <c r="AM207" s="1845"/>
      <c r="AN207" s="1845"/>
    </row>
    <row r="208" spans="1:40">
      <c r="A208" s="1845"/>
      <c r="B208" s="1845"/>
      <c r="C208" s="1845"/>
      <c r="D208" s="1845"/>
      <c r="E208" s="1845"/>
      <c r="F208" s="1879"/>
      <c r="G208" s="1845"/>
      <c r="H208" s="1879"/>
      <c r="I208" s="1845"/>
      <c r="J208" s="1845"/>
      <c r="K208" s="1845"/>
      <c r="L208" s="1845"/>
      <c r="M208" s="1845"/>
      <c r="N208" s="1845"/>
      <c r="O208" s="1845"/>
      <c r="P208" s="1845"/>
      <c r="Q208" s="1845"/>
      <c r="R208" s="1845"/>
      <c r="S208" s="1845"/>
      <c r="T208" s="1845"/>
      <c r="U208" s="1845"/>
      <c r="V208" s="1845"/>
      <c r="W208" s="1845"/>
      <c r="X208" s="1845"/>
      <c r="Y208" s="1845"/>
      <c r="Z208" s="1845"/>
      <c r="AA208" s="1845"/>
      <c r="AB208" s="1845"/>
      <c r="AC208" s="1845"/>
      <c r="AD208" s="1845"/>
      <c r="AE208" s="1845"/>
      <c r="AF208" s="1845"/>
      <c r="AG208" s="1845"/>
      <c r="AH208" s="1845"/>
      <c r="AI208" s="1845"/>
      <c r="AJ208" s="1845"/>
      <c r="AK208" s="1845"/>
      <c r="AL208" s="1845"/>
      <c r="AM208" s="1845"/>
      <c r="AN208" s="1845"/>
    </row>
    <row r="209" spans="1:40">
      <c r="A209" s="1845"/>
      <c r="B209" s="1845"/>
      <c r="C209" s="1845"/>
      <c r="D209" s="1845"/>
      <c r="E209" s="1845"/>
      <c r="F209" s="1869"/>
      <c r="G209" s="1845"/>
      <c r="H209" s="1869"/>
      <c r="I209" s="1845"/>
      <c r="J209" s="1845"/>
      <c r="K209" s="1845"/>
      <c r="L209" s="1845"/>
      <c r="M209" s="1845"/>
      <c r="N209" s="1845"/>
      <c r="O209" s="1845"/>
      <c r="P209" s="1845"/>
      <c r="Q209" s="1845"/>
      <c r="R209" s="1845"/>
      <c r="S209" s="1845"/>
      <c r="T209" s="1845"/>
      <c r="U209" s="1845"/>
      <c r="V209" s="1845"/>
      <c r="W209" s="1845"/>
      <c r="X209" s="1845"/>
      <c r="Y209" s="1845"/>
      <c r="Z209" s="1845"/>
      <c r="AA209" s="1845"/>
      <c r="AB209" s="1845"/>
      <c r="AC209" s="1845"/>
      <c r="AD209" s="1845"/>
      <c r="AE209" s="1845"/>
      <c r="AF209" s="1845"/>
      <c r="AG209" s="1845"/>
      <c r="AH209" s="1845"/>
      <c r="AI209" s="1845"/>
      <c r="AJ209" s="1845"/>
      <c r="AK209" s="1845"/>
      <c r="AL209" s="1845"/>
      <c r="AM209" s="1845"/>
      <c r="AN209" s="1845"/>
    </row>
    <row r="210" spans="1:40">
      <c r="A210" s="1845"/>
      <c r="B210" s="1845"/>
      <c r="C210" s="1845"/>
      <c r="D210" s="1845"/>
      <c r="E210" s="1845"/>
      <c r="F210" s="1869"/>
      <c r="G210" s="1845"/>
      <c r="H210" s="1869"/>
      <c r="I210" s="1845"/>
      <c r="J210" s="1845"/>
      <c r="K210" s="1845"/>
      <c r="L210" s="1845"/>
      <c r="M210" s="1845"/>
      <c r="N210" s="1845"/>
      <c r="O210" s="1845"/>
      <c r="P210" s="1845"/>
      <c r="Q210" s="1845"/>
      <c r="R210" s="1845"/>
      <c r="S210" s="1845"/>
      <c r="T210" s="1845"/>
      <c r="U210" s="1845"/>
      <c r="V210" s="1845"/>
      <c r="W210" s="1845"/>
      <c r="X210" s="1845"/>
      <c r="Y210" s="1845"/>
      <c r="Z210" s="1845"/>
      <c r="AA210" s="1845"/>
      <c r="AB210" s="1845"/>
      <c r="AC210" s="1845"/>
      <c r="AD210" s="1845"/>
      <c r="AE210" s="1845"/>
      <c r="AF210" s="1845"/>
      <c r="AG210" s="1845"/>
      <c r="AH210" s="1845"/>
      <c r="AI210" s="1845"/>
      <c r="AJ210" s="1845"/>
      <c r="AK210" s="1845"/>
      <c r="AL210" s="1845"/>
      <c r="AM210" s="1845"/>
      <c r="AN210" s="1845"/>
    </row>
    <row r="211" spans="1:40">
      <c r="A211" s="1845"/>
      <c r="B211" s="1845"/>
      <c r="C211" s="1845"/>
      <c r="D211" s="1845"/>
      <c r="E211" s="1845"/>
      <c r="F211" s="1869"/>
      <c r="G211" s="1845"/>
      <c r="H211" s="1869"/>
      <c r="I211" s="1845"/>
      <c r="J211" s="1845"/>
      <c r="K211" s="1845"/>
      <c r="L211" s="1845"/>
      <c r="M211" s="1845"/>
      <c r="N211" s="1845"/>
      <c r="O211" s="1845"/>
      <c r="P211" s="1845"/>
      <c r="Q211" s="1845"/>
      <c r="R211" s="1845"/>
      <c r="S211" s="1845"/>
      <c r="T211" s="1845"/>
      <c r="U211" s="1845"/>
      <c r="V211" s="1845"/>
      <c r="W211" s="1845"/>
      <c r="X211" s="1845"/>
      <c r="Y211" s="1845"/>
      <c r="Z211" s="1845"/>
      <c r="AA211" s="1845"/>
      <c r="AB211" s="1845"/>
      <c r="AC211" s="1845"/>
      <c r="AD211" s="1845"/>
      <c r="AE211" s="1845"/>
      <c r="AF211" s="1845"/>
      <c r="AG211" s="1845"/>
      <c r="AH211" s="1845"/>
      <c r="AI211" s="1845"/>
      <c r="AJ211" s="1845"/>
      <c r="AK211" s="1845"/>
      <c r="AL211" s="1845"/>
      <c r="AM211" s="1845"/>
      <c r="AN211" s="1845"/>
    </row>
    <row r="212" spans="1:40">
      <c r="A212" s="1845"/>
      <c r="B212" s="1845"/>
      <c r="C212" s="1845"/>
      <c r="D212" s="1845"/>
      <c r="E212" s="1845"/>
      <c r="F212" s="1869"/>
      <c r="G212" s="1845"/>
      <c r="H212" s="1869"/>
      <c r="I212" s="1845"/>
      <c r="J212" s="1845"/>
      <c r="K212" s="1845"/>
      <c r="L212" s="1845"/>
      <c r="M212" s="1845"/>
      <c r="N212" s="1845"/>
      <c r="O212" s="1845"/>
      <c r="P212" s="1845"/>
      <c r="Q212" s="1845"/>
      <c r="R212" s="1845"/>
      <c r="S212" s="1845"/>
      <c r="T212" s="1845"/>
      <c r="U212" s="1845"/>
      <c r="V212" s="1845"/>
      <c r="W212" s="1845"/>
      <c r="X212" s="1845"/>
      <c r="Y212" s="1845"/>
      <c r="Z212" s="1845"/>
      <c r="AA212" s="1845"/>
      <c r="AB212" s="1845"/>
      <c r="AC212" s="1845"/>
      <c r="AD212" s="1845"/>
      <c r="AE212" s="1845"/>
      <c r="AF212" s="1845"/>
      <c r="AG212" s="1845"/>
      <c r="AH212" s="1845"/>
      <c r="AI212" s="1845"/>
      <c r="AJ212" s="1845"/>
      <c r="AK212" s="1845"/>
      <c r="AL212" s="1845"/>
      <c r="AM212" s="1845"/>
      <c r="AN212" s="1845"/>
    </row>
    <row r="213" spans="1:40">
      <c r="A213" s="1845"/>
      <c r="B213" s="1845"/>
      <c r="C213" s="1845"/>
      <c r="D213" s="1845"/>
      <c r="E213" s="1845"/>
      <c r="F213" s="1869"/>
      <c r="G213" s="1845"/>
      <c r="H213" s="1869"/>
      <c r="I213" s="1845"/>
      <c r="J213" s="1845"/>
      <c r="K213" s="1845"/>
      <c r="L213" s="1845"/>
      <c r="M213" s="1845"/>
      <c r="N213" s="1845"/>
      <c r="O213" s="1845"/>
      <c r="P213" s="1845"/>
      <c r="Q213" s="1845"/>
      <c r="R213" s="1845"/>
      <c r="S213" s="1845"/>
      <c r="T213" s="1845"/>
      <c r="U213" s="1845"/>
      <c r="V213" s="1845"/>
      <c r="W213" s="1845"/>
      <c r="X213" s="1845"/>
      <c r="Y213" s="1845"/>
      <c r="Z213" s="1845"/>
      <c r="AA213" s="1845"/>
      <c r="AB213" s="1845"/>
      <c r="AC213" s="1845"/>
      <c r="AD213" s="1845"/>
      <c r="AE213" s="1845"/>
      <c r="AF213" s="1845"/>
      <c r="AG213" s="1845"/>
      <c r="AH213" s="1845"/>
      <c r="AI213" s="1845"/>
      <c r="AJ213" s="1845"/>
      <c r="AK213" s="1845"/>
      <c r="AL213" s="1845"/>
      <c r="AM213" s="1845"/>
      <c r="AN213" s="1845"/>
    </row>
    <row r="214" spans="1:40">
      <c r="A214" s="1845"/>
      <c r="B214" s="1845"/>
      <c r="C214" s="1845"/>
      <c r="D214" s="1845"/>
      <c r="E214" s="1845"/>
      <c r="F214" s="1845"/>
      <c r="G214" s="1845"/>
      <c r="H214" s="1845"/>
      <c r="I214" s="1845"/>
      <c r="J214" s="1845"/>
      <c r="K214" s="1845"/>
      <c r="L214" s="1845"/>
      <c r="M214" s="1845"/>
      <c r="N214" s="1845"/>
      <c r="O214" s="1845"/>
      <c r="P214" s="1845"/>
      <c r="Q214" s="1845"/>
      <c r="R214" s="1845"/>
      <c r="S214" s="1845"/>
      <c r="T214" s="1845"/>
      <c r="U214" s="1845"/>
      <c r="V214" s="1845"/>
      <c r="W214" s="1845"/>
      <c r="X214" s="1845"/>
      <c r="Y214" s="1845"/>
      <c r="Z214" s="1845"/>
      <c r="AA214" s="1845"/>
      <c r="AB214" s="1845"/>
      <c r="AC214" s="1845"/>
      <c r="AD214" s="1845"/>
      <c r="AE214" s="1845"/>
      <c r="AF214" s="1845"/>
      <c r="AG214" s="1845"/>
      <c r="AH214" s="1845"/>
      <c r="AI214" s="1845"/>
      <c r="AJ214" s="1845"/>
      <c r="AK214" s="1845"/>
      <c r="AL214" s="1845"/>
      <c r="AM214" s="1845"/>
      <c r="AN214" s="1845"/>
    </row>
    <row r="215" spans="1:40">
      <c r="A215" s="1845"/>
      <c r="B215" s="1845"/>
      <c r="C215" s="1845"/>
      <c r="D215" s="1845"/>
      <c r="E215" s="1845"/>
      <c r="F215" s="1845"/>
      <c r="G215" s="1845"/>
      <c r="H215" s="1845"/>
      <c r="I215" s="1845"/>
      <c r="J215" s="1845"/>
      <c r="K215" s="1845"/>
      <c r="L215" s="1845"/>
      <c r="M215" s="1845"/>
      <c r="N215" s="1845"/>
      <c r="O215" s="1845"/>
      <c r="P215" s="1845"/>
      <c r="Q215" s="1845"/>
      <c r="R215" s="1845"/>
      <c r="S215" s="1845"/>
      <c r="T215" s="1845"/>
      <c r="U215" s="1845"/>
      <c r="V215" s="1845"/>
      <c r="W215" s="1845"/>
      <c r="X215" s="1845"/>
      <c r="Y215" s="1845"/>
      <c r="Z215" s="1845"/>
      <c r="AA215" s="1845"/>
      <c r="AB215" s="1845"/>
      <c r="AC215" s="1845"/>
      <c r="AD215" s="1845"/>
      <c r="AE215" s="1845"/>
      <c r="AF215" s="1845"/>
      <c r="AG215" s="1845"/>
      <c r="AH215" s="1845"/>
      <c r="AI215" s="1845"/>
      <c r="AJ215" s="1845"/>
      <c r="AK215" s="1845"/>
      <c r="AL215" s="1845"/>
      <c r="AM215" s="1845"/>
      <c r="AN215" s="1845"/>
    </row>
    <row r="216" spans="1:40">
      <c r="A216" s="1845"/>
      <c r="B216" s="1845"/>
      <c r="C216" s="1845"/>
      <c r="D216" s="1845"/>
      <c r="E216" s="1845"/>
      <c r="F216" s="1845"/>
      <c r="G216" s="1845"/>
      <c r="H216" s="1845"/>
      <c r="I216" s="1845"/>
      <c r="J216" s="1845"/>
      <c r="K216" s="1845"/>
      <c r="L216" s="1845"/>
      <c r="M216" s="1845"/>
      <c r="N216" s="1845"/>
      <c r="O216" s="1845"/>
      <c r="P216" s="1845"/>
      <c r="Q216" s="1845"/>
      <c r="R216" s="1845"/>
      <c r="S216" s="1845"/>
      <c r="T216" s="1845"/>
      <c r="U216" s="1845"/>
      <c r="V216" s="1845"/>
      <c r="W216" s="1845"/>
      <c r="X216" s="1845"/>
      <c r="Y216" s="1845"/>
      <c r="Z216" s="1845"/>
      <c r="AA216" s="1845"/>
      <c r="AB216" s="1845"/>
      <c r="AC216" s="1845"/>
      <c r="AD216" s="1845"/>
      <c r="AE216" s="1845"/>
      <c r="AF216" s="1845"/>
      <c r="AG216" s="1845"/>
      <c r="AH216" s="1845"/>
      <c r="AI216" s="1845"/>
      <c r="AJ216" s="1845"/>
      <c r="AK216" s="1845"/>
      <c r="AL216" s="1845"/>
      <c r="AM216" s="1845"/>
      <c r="AN216" s="1845"/>
    </row>
    <row r="217" spans="1:40">
      <c r="A217" s="1845"/>
      <c r="B217" s="1845"/>
      <c r="C217" s="1845"/>
      <c r="D217" s="1845"/>
      <c r="E217" s="1845"/>
      <c r="F217" s="1845"/>
      <c r="G217" s="1845"/>
      <c r="H217" s="1845"/>
      <c r="I217" s="1845"/>
      <c r="J217" s="1845"/>
      <c r="K217" s="1845"/>
      <c r="L217" s="1845"/>
      <c r="M217" s="1845"/>
      <c r="N217" s="1845"/>
      <c r="O217" s="1845"/>
      <c r="P217" s="1845"/>
      <c r="Q217" s="1845"/>
      <c r="R217" s="1845"/>
      <c r="S217" s="1845"/>
      <c r="T217" s="1845"/>
      <c r="U217" s="1845"/>
      <c r="V217" s="1845"/>
      <c r="W217" s="1845"/>
      <c r="X217" s="1845"/>
      <c r="Y217" s="1845"/>
      <c r="Z217" s="1845"/>
      <c r="AA217" s="1845"/>
      <c r="AB217" s="1845"/>
      <c r="AC217" s="1845"/>
      <c r="AD217" s="1845"/>
      <c r="AE217" s="1845"/>
      <c r="AF217" s="1845"/>
      <c r="AG217" s="1845"/>
      <c r="AH217" s="1845"/>
      <c r="AI217" s="1845"/>
      <c r="AJ217" s="1845"/>
      <c r="AK217" s="1845"/>
      <c r="AL217" s="1845"/>
      <c r="AM217" s="1845"/>
      <c r="AN217" s="1845"/>
    </row>
    <row r="218" spans="1:40">
      <c r="A218" s="1845"/>
      <c r="B218" s="1845"/>
      <c r="C218" s="1845"/>
      <c r="D218" s="1845"/>
      <c r="E218" s="1845"/>
      <c r="F218" s="1845"/>
      <c r="G218" s="1845"/>
      <c r="H218" s="1845"/>
      <c r="I218" s="1845"/>
      <c r="J218" s="1845"/>
      <c r="K218" s="1845"/>
      <c r="L218" s="1845"/>
      <c r="M218" s="1845"/>
      <c r="N218" s="1845"/>
      <c r="O218" s="1845"/>
      <c r="P218" s="1845"/>
      <c r="Q218" s="1845"/>
      <c r="R218" s="1845"/>
      <c r="S218" s="1845"/>
      <c r="T218" s="1845"/>
      <c r="U218" s="1845"/>
      <c r="V218" s="1845"/>
      <c r="W218" s="1845"/>
      <c r="X218" s="1845"/>
      <c r="Y218" s="1845"/>
      <c r="Z218" s="1845"/>
      <c r="AA218" s="1845"/>
      <c r="AB218" s="1845"/>
      <c r="AC218" s="1845"/>
      <c r="AD218" s="1845"/>
      <c r="AE218" s="1845"/>
      <c r="AF218" s="1845"/>
      <c r="AG218" s="1845"/>
      <c r="AH218" s="1845"/>
      <c r="AI218" s="1845"/>
      <c r="AJ218" s="1845"/>
      <c r="AK218" s="1845"/>
      <c r="AL218" s="1845"/>
      <c r="AM218" s="1845"/>
      <c r="AN218" s="1845"/>
    </row>
    <row r="219" spans="1:40">
      <c r="A219" s="1845"/>
      <c r="B219" s="1845"/>
      <c r="C219" s="1845"/>
      <c r="D219" s="1845"/>
      <c r="E219" s="1845"/>
      <c r="F219" s="1845"/>
      <c r="G219" s="1845"/>
      <c r="H219" s="1845"/>
      <c r="I219" s="1845"/>
      <c r="J219" s="1845"/>
      <c r="K219" s="1845"/>
      <c r="L219" s="1845"/>
      <c r="M219" s="1845"/>
      <c r="N219" s="1845"/>
      <c r="O219" s="1845"/>
      <c r="P219" s="1845"/>
      <c r="Q219" s="1845"/>
      <c r="R219" s="1845"/>
      <c r="S219" s="1845"/>
      <c r="T219" s="1845"/>
      <c r="U219" s="1845"/>
      <c r="V219" s="1845"/>
      <c r="W219" s="1845"/>
      <c r="X219" s="1845"/>
      <c r="Y219" s="1845"/>
      <c r="Z219" s="1845"/>
      <c r="AA219" s="1845"/>
      <c r="AB219" s="1845"/>
      <c r="AC219" s="1845"/>
      <c r="AD219" s="1845"/>
      <c r="AE219" s="1845"/>
      <c r="AF219" s="1845"/>
      <c r="AG219" s="1845"/>
      <c r="AH219" s="1845"/>
      <c r="AI219" s="1845"/>
      <c r="AJ219" s="1845"/>
      <c r="AK219" s="1845"/>
      <c r="AL219" s="1845"/>
      <c r="AM219" s="1845"/>
      <c r="AN219" s="1845"/>
    </row>
    <row r="220" spans="1:40">
      <c r="A220" s="1845"/>
      <c r="B220" s="1845"/>
      <c r="C220" s="1845"/>
      <c r="D220" s="1845"/>
      <c r="E220" s="1845"/>
      <c r="F220" s="1845"/>
      <c r="G220" s="1845"/>
      <c r="H220" s="1845"/>
      <c r="I220" s="1845"/>
      <c r="J220" s="1845"/>
      <c r="K220" s="1845"/>
      <c r="L220" s="1845"/>
      <c r="M220" s="1845"/>
      <c r="N220" s="1845"/>
      <c r="O220" s="1845"/>
      <c r="P220" s="1845"/>
      <c r="Q220" s="1845"/>
      <c r="R220" s="1845"/>
      <c r="S220" s="1845"/>
      <c r="T220" s="1845"/>
      <c r="U220" s="1845"/>
      <c r="V220" s="1845"/>
      <c r="W220" s="1845"/>
      <c r="X220" s="1845"/>
      <c r="Y220" s="1845"/>
      <c r="Z220" s="1845"/>
      <c r="AA220" s="1845"/>
      <c r="AB220" s="1845"/>
      <c r="AC220" s="1845"/>
      <c r="AD220" s="1845"/>
      <c r="AE220" s="1845"/>
      <c r="AF220" s="1845"/>
      <c r="AG220" s="1845"/>
      <c r="AH220" s="1845"/>
      <c r="AI220" s="1845"/>
      <c r="AJ220" s="1845"/>
      <c r="AK220" s="1845"/>
      <c r="AL220" s="1845"/>
      <c r="AM220" s="1845"/>
      <c r="AN220" s="1845"/>
    </row>
    <row r="221" spans="1:40">
      <c r="A221" s="1845"/>
      <c r="B221" s="1845"/>
      <c r="C221" s="1845"/>
      <c r="D221" s="1845"/>
      <c r="E221" s="1845"/>
      <c r="F221" s="1845"/>
      <c r="G221" s="1845"/>
      <c r="H221" s="1845"/>
      <c r="I221" s="1845"/>
      <c r="J221" s="1845"/>
      <c r="K221" s="1845"/>
      <c r="L221" s="1845"/>
      <c r="M221" s="1845"/>
      <c r="N221" s="1845"/>
      <c r="O221" s="1845"/>
      <c r="P221" s="1845"/>
      <c r="Q221" s="1845"/>
      <c r="R221" s="1845"/>
      <c r="S221" s="1845"/>
      <c r="T221" s="1845"/>
      <c r="U221" s="1845"/>
      <c r="V221" s="1845"/>
      <c r="W221" s="1845"/>
      <c r="X221" s="1845"/>
      <c r="Y221" s="1845"/>
      <c r="Z221" s="1845"/>
      <c r="AA221" s="1845"/>
      <c r="AB221" s="1845"/>
      <c r="AC221" s="1845"/>
      <c r="AD221" s="1845"/>
      <c r="AE221" s="1845"/>
      <c r="AF221" s="1845"/>
      <c r="AG221" s="1845"/>
      <c r="AH221" s="1845"/>
      <c r="AI221" s="1845"/>
      <c r="AJ221" s="1845"/>
      <c r="AK221" s="1845"/>
      <c r="AL221" s="1845"/>
      <c r="AM221" s="1845"/>
      <c r="AN221" s="1845"/>
    </row>
    <row r="222" spans="1:40">
      <c r="A222" s="1845"/>
      <c r="B222" s="1845"/>
      <c r="C222" s="1845"/>
      <c r="D222" s="1845"/>
      <c r="E222" s="1845"/>
      <c r="F222" s="1845"/>
      <c r="G222" s="1845"/>
      <c r="H222" s="1845"/>
      <c r="I222" s="1845"/>
      <c r="J222" s="1845"/>
      <c r="K222" s="1845"/>
      <c r="L222" s="1845"/>
      <c r="M222" s="1845"/>
      <c r="N222" s="1845"/>
      <c r="O222" s="1845"/>
      <c r="P222" s="1845"/>
      <c r="Q222" s="1845"/>
      <c r="R222" s="1845"/>
      <c r="S222" s="1845"/>
      <c r="T222" s="1845"/>
      <c r="U222" s="1845"/>
      <c r="V222" s="1845"/>
      <c r="W222" s="1845"/>
      <c r="X222" s="1845"/>
      <c r="Y222" s="1845"/>
      <c r="Z222" s="1845"/>
      <c r="AA222" s="1845"/>
      <c r="AB222" s="1845"/>
      <c r="AC222" s="1845"/>
      <c r="AD222" s="1845"/>
      <c r="AE222" s="1845"/>
      <c r="AF222" s="1845"/>
      <c r="AG222" s="1845"/>
      <c r="AH222" s="1845"/>
      <c r="AI222" s="1845"/>
      <c r="AJ222" s="1845"/>
      <c r="AK222" s="1845"/>
      <c r="AL222" s="1845"/>
      <c r="AM222" s="1845"/>
      <c r="AN222" s="1845"/>
    </row>
    <row r="223" spans="1:40">
      <c r="A223" s="1845"/>
      <c r="B223" s="1845"/>
      <c r="C223" s="1845"/>
      <c r="D223" s="1845"/>
      <c r="E223" s="1845"/>
      <c r="F223" s="1845"/>
      <c r="G223" s="1845"/>
      <c r="H223" s="1845"/>
      <c r="I223" s="1845"/>
      <c r="J223" s="1845"/>
      <c r="K223" s="1845"/>
      <c r="L223" s="1845"/>
      <c r="M223" s="1845"/>
      <c r="N223" s="1845"/>
      <c r="O223" s="1845"/>
      <c r="P223" s="1845"/>
      <c r="Q223" s="1845"/>
      <c r="R223" s="1845"/>
      <c r="S223" s="1845"/>
      <c r="T223" s="1845"/>
      <c r="U223" s="1845"/>
      <c r="V223" s="1845"/>
      <c r="W223" s="1845"/>
      <c r="X223" s="1845"/>
      <c r="Y223" s="1845"/>
      <c r="Z223" s="1845"/>
      <c r="AA223" s="1845"/>
      <c r="AB223" s="1845"/>
      <c r="AC223" s="1845"/>
      <c r="AD223" s="1845"/>
      <c r="AE223" s="1845"/>
      <c r="AF223" s="1845"/>
      <c r="AG223" s="1845"/>
      <c r="AH223" s="1845"/>
      <c r="AI223" s="1845"/>
      <c r="AJ223" s="1845"/>
      <c r="AK223" s="1845"/>
      <c r="AL223" s="1845"/>
      <c r="AM223" s="1845"/>
      <c r="AN223" s="1845"/>
    </row>
    <row r="224" spans="1:40">
      <c r="A224" s="1845"/>
      <c r="B224" s="1845"/>
      <c r="C224" s="1845"/>
      <c r="D224" s="1845"/>
      <c r="E224" s="1845"/>
      <c r="F224" s="1845"/>
      <c r="G224" s="1845"/>
      <c r="H224" s="1845"/>
      <c r="I224" s="1845"/>
      <c r="J224" s="1845"/>
      <c r="K224" s="1845"/>
      <c r="L224" s="1845"/>
      <c r="M224" s="1845"/>
      <c r="N224" s="1845"/>
      <c r="O224" s="1845"/>
      <c r="P224" s="1845"/>
      <c r="Q224" s="1845"/>
      <c r="R224" s="1845"/>
      <c r="S224" s="1845"/>
      <c r="T224" s="1845"/>
      <c r="U224" s="1845"/>
      <c r="V224" s="1845"/>
      <c r="W224" s="1845"/>
      <c r="X224" s="1845"/>
      <c r="Y224" s="1845"/>
      <c r="Z224" s="1845"/>
      <c r="AA224" s="1845"/>
      <c r="AB224" s="1845"/>
      <c r="AC224" s="1845"/>
      <c r="AD224" s="1845"/>
      <c r="AE224" s="1845"/>
      <c r="AF224" s="1845"/>
      <c r="AG224" s="1845"/>
      <c r="AH224" s="1845"/>
      <c r="AI224" s="1845"/>
      <c r="AJ224" s="1845"/>
      <c r="AK224" s="1845"/>
      <c r="AL224" s="1845"/>
      <c r="AM224" s="1845"/>
      <c r="AN224" s="1845"/>
    </row>
    <row r="225" spans="1:40">
      <c r="A225" s="1845"/>
      <c r="B225" s="1845"/>
      <c r="C225" s="1845"/>
      <c r="D225" s="1845"/>
      <c r="E225" s="1845"/>
      <c r="F225" s="1845"/>
      <c r="G225" s="1845"/>
      <c r="H225" s="1845"/>
      <c r="I225" s="1845"/>
      <c r="J225" s="1845"/>
      <c r="K225" s="1845"/>
      <c r="L225" s="1845"/>
      <c r="M225" s="1845"/>
      <c r="N225" s="1845"/>
      <c r="O225" s="1845"/>
      <c r="P225" s="1845"/>
      <c r="Q225" s="1845"/>
      <c r="R225" s="1845"/>
      <c r="S225" s="1845"/>
      <c r="T225" s="1845"/>
      <c r="U225" s="1845"/>
      <c r="V225" s="1845"/>
      <c r="W225" s="1845"/>
      <c r="X225" s="1845"/>
      <c r="Y225" s="1845"/>
      <c r="Z225" s="1845"/>
      <c r="AA225" s="1845"/>
      <c r="AB225" s="1845"/>
      <c r="AC225" s="1845"/>
      <c r="AD225" s="1845"/>
      <c r="AE225" s="1845"/>
      <c r="AF225" s="1845"/>
      <c r="AG225" s="1845"/>
      <c r="AH225" s="1845"/>
      <c r="AI225" s="1845"/>
      <c r="AJ225" s="1845"/>
      <c r="AK225" s="1845"/>
      <c r="AL225" s="1845"/>
      <c r="AM225" s="1845"/>
      <c r="AN225" s="1845"/>
    </row>
    <row r="226" spans="1:40">
      <c r="A226" s="1845"/>
      <c r="B226" s="1845"/>
      <c r="C226" s="1845"/>
      <c r="D226" s="1845"/>
      <c r="E226" s="1845"/>
      <c r="F226" s="1845"/>
      <c r="G226" s="1845"/>
      <c r="H226" s="1845"/>
      <c r="I226" s="1845"/>
      <c r="J226" s="1845"/>
      <c r="K226" s="1845"/>
      <c r="L226" s="1845"/>
      <c r="M226" s="1845"/>
      <c r="N226" s="1845"/>
      <c r="O226" s="1845"/>
      <c r="P226" s="1845"/>
      <c r="Q226" s="1845"/>
      <c r="R226" s="1845"/>
      <c r="S226" s="1845"/>
      <c r="T226" s="1845"/>
      <c r="U226" s="1845"/>
      <c r="V226" s="1845"/>
      <c r="W226" s="1845"/>
      <c r="X226" s="1845"/>
      <c r="Y226" s="1845"/>
      <c r="Z226" s="1845"/>
      <c r="AA226" s="1845"/>
      <c r="AB226" s="1845"/>
      <c r="AC226" s="1845"/>
      <c r="AD226" s="1845"/>
      <c r="AE226" s="1845"/>
      <c r="AF226" s="1845"/>
      <c r="AG226" s="1845"/>
      <c r="AH226" s="1845"/>
      <c r="AI226" s="1845"/>
      <c r="AJ226" s="1845"/>
      <c r="AK226" s="1845"/>
      <c r="AL226" s="1845"/>
      <c r="AM226" s="1845"/>
      <c r="AN226" s="1845"/>
    </row>
    <row r="227" spans="1:40">
      <c r="A227" s="1845"/>
      <c r="B227" s="1845"/>
      <c r="C227" s="1845"/>
      <c r="D227" s="1845"/>
      <c r="E227" s="1845"/>
      <c r="F227" s="1845"/>
      <c r="G227" s="1845"/>
      <c r="H227" s="1845"/>
      <c r="I227" s="1845"/>
      <c r="J227" s="1845"/>
      <c r="K227" s="1845"/>
      <c r="L227" s="1845"/>
      <c r="M227" s="1845"/>
      <c r="N227" s="1845"/>
      <c r="O227" s="1845"/>
      <c r="P227" s="1845"/>
      <c r="Q227" s="1845"/>
      <c r="R227" s="1845"/>
      <c r="S227" s="1845"/>
      <c r="T227" s="1845"/>
      <c r="U227" s="1845"/>
      <c r="V227" s="1845"/>
      <c r="W227" s="1845"/>
      <c r="X227" s="1845"/>
      <c r="Y227" s="1845"/>
      <c r="Z227" s="1845"/>
      <c r="AA227" s="1845"/>
      <c r="AB227" s="1845"/>
      <c r="AC227" s="1845"/>
      <c r="AD227" s="1845"/>
      <c r="AE227" s="1845"/>
      <c r="AF227" s="1845"/>
      <c r="AG227" s="1845"/>
      <c r="AH227" s="1845"/>
      <c r="AI227" s="1845"/>
      <c r="AJ227" s="1845"/>
      <c r="AK227" s="1845"/>
      <c r="AL227" s="1845"/>
      <c r="AM227" s="1845"/>
      <c r="AN227" s="1845"/>
    </row>
    <row r="228" spans="1:40">
      <c r="A228" s="1845"/>
      <c r="B228" s="1845"/>
      <c r="C228" s="1845"/>
      <c r="D228" s="1845"/>
      <c r="E228" s="1845"/>
      <c r="F228" s="1845"/>
      <c r="G228" s="1845"/>
      <c r="H228" s="1845"/>
      <c r="I228" s="1845"/>
      <c r="J228" s="1845"/>
      <c r="K228" s="1845"/>
      <c r="L228" s="1845"/>
      <c r="M228" s="1845"/>
      <c r="N228" s="1845"/>
      <c r="O228" s="1845"/>
      <c r="P228" s="1845"/>
      <c r="Q228" s="1845"/>
      <c r="R228" s="1845"/>
      <c r="S228" s="1845"/>
      <c r="T228" s="1845"/>
      <c r="U228" s="1845"/>
      <c r="V228" s="1845"/>
      <c r="W228" s="1845"/>
      <c r="X228" s="1845"/>
      <c r="Y228" s="1845"/>
      <c r="Z228" s="1845"/>
      <c r="AA228" s="1845"/>
      <c r="AB228" s="1845"/>
      <c r="AC228" s="1845"/>
      <c r="AD228" s="1845"/>
      <c r="AE228" s="1845"/>
      <c r="AF228" s="1845"/>
      <c r="AG228" s="1845"/>
      <c r="AH228" s="1845"/>
      <c r="AI228" s="1845"/>
      <c r="AJ228" s="1845"/>
      <c r="AK228" s="1845"/>
      <c r="AL228" s="1845"/>
      <c r="AM228" s="1845"/>
      <c r="AN228" s="1845"/>
    </row>
    <row r="229" spans="1:40">
      <c r="A229" s="1845"/>
      <c r="B229" s="1845"/>
      <c r="C229" s="1845"/>
      <c r="D229" s="1845"/>
      <c r="E229" s="1845"/>
      <c r="F229" s="1845"/>
      <c r="G229" s="1845"/>
      <c r="H229" s="1845"/>
      <c r="I229" s="1845"/>
      <c r="J229" s="1845"/>
      <c r="K229" s="1845"/>
      <c r="L229" s="1845"/>
      <c r="M229" s="1845"/>
      <c r="N229" s="1845"/>
      <c r="O229" s="1845"/>
      <c r="P229" s="1845"/>
      <c r="Q229" s="1845"/>
      <c r="R229" s="1845"/>
      <c r="S229" s="1845"/>
      <c r="T229" s="1845"/>
      <c r="U229" s="1845"/>
      <c r="V229" s="1845"/>
      <c r="W229" s="1845"/>
      <c r="X229" s="1845"/>
      <c r="Y229" s="1845"/>
      <c r="Z229" s="1845"/>
      <c r="AA229" s="1845"/>
      <c r="AB229" s="1845"/>
      <c r="AC229" s="1845"/>
      <c r="AD229" s="1845"/>
      <c r="AE229" s="1845"/>
      <c r="AF229" s="1845"/>
      <c r="AG229" s="1845"/>
      <c r="AH229" s="1845"/>
      <c r="AI229" s="1845"/>
      <c r="AJ229" s="1845"/>
      <c r="AK229" s="1845"/>
      <c r="AL229" s="1845"/>
      <c r="AM229" s="1845"/>
      <c r="AN229" s="1845"/>
    </row>
    <row r="230" spans="1:40">
      <c r="A230" s="1845"/>
      <c r="B230" s="1845"/>
      <c r="C230" s="1845"/>
      <c r="D230" s="1845"/>
      <c r="E230" s="1845"/>
      <c r="F230" s="1845"/>
      <c r="G230" s="1845"/>
      <c r="H230" s="1845"/>
      <c r="I230" s="1845"/>
      <c r="J230" s="1845"/>
      <c r="K230" s="1845"/>
      <c r="L230" s="1845"/>
      <c r="M230" s="1845"/>
      <c r="N230" s="1845"/>
      <c r="O230" s="1845"/>
      <c r="P230" s="1845"/>
      <c r="Q230" s="1845"/>
      <c r="R230" s="1845"/>
      <c r="S230" s="1845"/>
      <c r="T230" s="1845"/>
      <c r="U230" s="1845"/>
      <c r="V230" s="1845"/>
      <c r="W230" s="1845"/>
      <c r="X230" s="1845"/>
      <c r="Y230" s="1845"/>
      <c r="Z230" s="1845"/>
      <c r="AA230" s="1845"/>
      <c r="AB230" s="1845"/>
      <c r="AC230" s="1845"/>
      <c r="AD230" s="1845"/>
      <c r="AE230" s="1845"/>
      <c r="AF230" s="1845"/>
      <c r="AG230" s="1845"/>
      <c r="AH230" s="1845"/>
      <c r="AI230" s="1845"/>
      <c r="AJ230" s="1845"/>
      <c r="AK230" s="1845"/>
      <c r="AL230" s="1845"/>
      <c r="AM230" s="1845"/>
      <c r="AN230" s="1845"/>
    </row>
    <row r="231" spans="1:40">
      <c r="A231" s="1845"/>
      <c r="B231" s="1845"/>
      <c r="C231" s="1845"/>
      <c r="D231" s="1845"/>
      <c r="E231" s="1845"/>
      <c r="F231" s="1845"/>
      <c r="G231" s="1845"/>
      <c r="H231" s="1845"/>
      <c r="I231" s="1845"/>
      <c r="J231" s="1845"/>
      <c r="K231" s="1845"/>
      <c r="L231" s="1845"/>
      <c r="M231" s="1845"/>
      <c r="N231" s="1845"/>
      <c r="O231" s="1845"/>
      <c r="P231" s="1845"/>
      <c r="Q231" s="1845"/>
      <c r="R231" s="1845"/>
      <c r="S231" s="1845"/>
      <c r="T231" s="1845"/>
      <c r="U231" s="1845"/>
      <c r="V231" s="1845"/>
      <c r="W231" s="1845"/>
      <c r="X231" s="1845"/>
      <c r="Y231" s="1845"/>
      <c r="Z231" s="1845"/>
      <c r="AA231" s="1845"/>
      <c r="AB231" s="1845"/>
      <c r="AC231" s="1845"/>
      <c r="AD231" s="1845"/>
      <c r="AE231" s="1845"/>
      <c r="AF231" s="1845"/>
      <c r="AG231" s="1845"/>
      <c r="AH231" s="1845"/>
      <c r="AI231" s="1845"/>
      <c r="AJ231" s="1845"/>
      <c r="AK231" s="1845"/>
      <c r="AL231" s="1845"/>
      <c r="AM231" s="1845"/>
      <c r="AN231" s="1845"/>
    </row>
    <row r="232" spans="1:40">
      <c r="A232" s="1845"/>
      <c r="B232" s="1845"/>
      <c r="C232" s="1845"/>
      <c r="D232" s="1845"/>
      <c r="E232" s="1845"/>
      <c r="F232" s="1845"/>
      <c r="G232" s="1845"/>
      <c r="H232" s="1845"/>
      <c r="I232" s="1845"/>
      <c r="J232" s="1845"/>
      <c r="K232" s="1845"/>
      <c r="L232" s="1845"/>
      <c r="M232" s="1845"/>
      <c r="N232" s="1845"/>
      <c r="O232" s="1845"/>
      <c r="P232" s="1845"/>
      <c r="Q232" s="1845"/>
      <c r="R232" s="1845"/>
      <c r="S232" s="1845"/>
      <c r="T232" s="1845"/>
      <c r="U232" s="1845"/>
      <c r="V232" s="1845"/>
      <c r="W232" s="1845"/>
      <c r="X232" s="1845"/>
      <c r="Y232" s="1845"/>
      <c r="Z232" s="1845"/>
      <c r="AA232" s="1845"/>
      <c r="AB232" s="1845"/>
      <c r="AC232" s="1845"/>
      <c r="AD232" s="1845"/>
      <c r="AE232" s="1845"/>
      <c r="AF232" s="1845"/>
      <c r="AG232" s="1845"/>
      <c r="AH232" s="1845"/>
      <c r="AI232" s="1845"/>
      <c r="AJ232" s="1845"/>
      <c r="AK232" s="1845"/>
      <c r="AL232" s="1845"/>
      <c r="AM232" s="1845"/>
      <c r="AN232" s="1845"/>
    </row>
    <row r="233" spans="1:40">
      <c r="A233" s="1845"/>
      <c r="B233" s="1845"/>
      <c r="C233" s="1845"/>
      <c r="D233" s="1845"/>
      <c r="E233" s="1845"/>
      <c r="F233" s="1845"/>
      <c r="G233" s="1845"/>
      <c r="H233" s="1845"/>
      <c r="I233" s="1845"/>
      <c r="J233" s="1845"/>
      <c r="K233" s="1845"/>
      <c r="L233" s="1845"/>
      <c r="M233" s="1845"/>
      <c r="N233" s="1845"/>
      <c r="O233" s="1845"/>
      <c r="P233" s="1845"/>
      <c r="Q233" s="1845"/>
      <c r="R233" s="1845"/>
      <c r="S233" s="1845"/>
      <c r="T233" s="1845"/>
      <c r="U233" s="1845"/>
      <c r="V233" s="1845"/>
      <c r="W233" s="1845"/>
      <c r="X233" s="1845"/>
      <c r="Y233" s="1845"/>
      <c r="Z233" s="1845"/>
      <c r="AA233" s="1845"/>
      <c r="AB233" s="1845"/>
      <c r="AC233" s="1845"/>
      <c r="AD233" s="1845"/>
      <c r="AE233" s="1845"/>
      <c r="AF233" s="1845"/>
      <c r="AG233" s="1845"/>
      <c r="AH233" s="1845"/>
      <c r="AI233" s="1845"/>
      <c r="AJ233" s="1845"/>
      <c r="AK233" s="1845"/>
      <c r="AL233" s="1845"/>
      <c r="AM233" s="1845"/>
      <c r="AN233" s="1845"/>
    </row>
    <row r="234" spans="1:40">
      <c r="A234" s="1845"/>
      <c r="B234" s="1845"/>
      <c r="C234" s="1845"/>
      <c r="D234" s="1845"/>
      <c r="E234" s="1845"/>
      <c r="F234" s="1845"/>
      <c r="G234" s="1845"/>
      <c r="H234" s="1845"/>
      <c r="I234" s="1845"/>
      <c r="J234" s="1845"/>
      <c r="K234" s="1845"/>
      <c r="L234" s="1845"/>
      <c r="M234" s="1845"/>
      <c r="N234" s="1845"/>
      <c r="O234" s="1845"/>
      <c r="P234" s="1845"/>
      <c r="Q234" s="1845"/>
      <c r="R234" s="1845"/>
      <c r="S234" s="1845"/>
      <c r="T234" s="1845"/>
      <c r="U234" s="1845"/>
      <c r="V234" s="1845"/>
      <c r="W234" s="1845"/>
      <c r="X234" s="1845"/>
      <c r="Y234" s="1845"/>
      <c r="Z234" s="1845"/>
      <c r="AA234" s="1845"/>
      <c r="AB234" s="1845"/>
      <c r="AC234" s="1845"/>
      <c r="AD234" s="1845"/>
      <c r="AE234" s="1845"/>
      <c r="AF234" s="1845"/>
      <c r="AG234" s="1845"/>
      <c r="AH234" s="1845"/>
      <c r="AI234" s="1845"/>
      <c r="AJ234" s="1845"/>
      <c r="AK234" s="1845"/>
      <c r="AL234" s="1845"/>
      <c r="AM234" s="1845"/>
      <c r="AN234" s="1845"/>
    </row>
    <row r="235" spans="1:40">
      <c r="A235" s="1845"/>
      <c r="B235" s="1845"/>
      <c r="C235" s="1845"/>
      <c r="D235" s="1845"/>
      <c r="E235" s="1845"/>
      <c r="F235" s="1845"/>
      <c r="G235" s="1845"/>
      <c r="H235" s="1845"/>
      <c r="I235" s="1845"/>
      <c r="J235" s="1845"/>
      <c r="K235" s="1845"/>
      <c r="L235" s="1845"/>
      <c r="M235" s="1845"/>
      <c r="N235" s="1845"/>
      <c r="O235" s="1845"/>
      <c r="P235" s="1845"/>
      <c r="Q235" s="1845"/>
      <c r="R235" s="1845"/>
      <c r="S235" s="1845"/>
      <c r="T235" s="1845"/>
      <c r="U235" s="1845"/>
      <c r="V235" s="1845"/>
      <c r="W235" s="1845"/>
      <c r="X235" s="1845"/>
      <c r="Y235" s="1845"/>
      <c r="Z235" s="1845"/>
      <c r="AA235" s="1845"/>
      <c r="AB235" s="1845"/>
      <c r="AC235" s="1845"/>
      <c r="AD235" s="1845"/>
      <c r="AE235" s="1845"/>
      <c r="AF235" s="1845"/>
      <c r="AG235" s="1845"/>
      <c r="AH235" s="1845"/>
      <c r="AI235" s="1845"/>
      <c r="AJ235" s="1845"/>
      <c r="AK235" s="1845"/>
      <c r="AL235" s="1845"/>
      <c r="AM235" s="1845"/>
      <c r="AN235" s="1845"/>
    </row>
    <row r="236" spans="1:40">
      <c r="A236" s="1845"/>
      <c r="B236" s="1845"/>
      <c r="C236" s="1845"/>
      <c r="D236" s="1845"/>
      <c r="E236" s="1845"/>
      <c r="F236" s="1845"/>
      <c r="G236" s="1845"/>
      <c r="H236" s="1845"/>
      <c r="I236" s="1845"/>
      <c r="J236" s="1845"/>
      <c r="K236" s="1845"/>
      <c r="L236" s="1845"/>
      <c r="M236" s="1845"/>
      <c r="N236" s="1845"/>
      <c r="O236" s="1845"/>
      <c r="P236" s="1845"/>
      <c r="Q236" s="1845"/>
      <c r="R236" s="1845"/>
      <c r="S236" s="1845"/>
      <c r="T236" s="1845"/>
      <c r="U236" s="1845"/>
      <c r="V236" s="1845"/>
      <c r="W236" s="1845"/>
      <c r="X236" s="1845"/>
      <c r="Y236" s="1845"/>
      <c r="Z236" s="1845"/>
      <c r="AA236" s="1845"/>
      <c r="AB236" s="1845"/>
      <c r="AC236" s="1845"/>
      <c r="AD236" s="1845"/>
      <c r="AE236" s="1845"/>
      <c r="AF236" s="1845"/>
      <c r="AG236" s="1845"/>
      <c r="AH236" s="1845"/>
      <c r="AI236" s="1845"/>
      <c r="AJ236" s="1845"/>
      <c r="AK236" s="1845"/>
      <c r="AL236" s="1845"/>
      <c r="AM236" s="1845"/>
      <c r="AN236" s="1845"/>
    </row>
    <row r="237" spans="1:40">
      <c r="A237" s="1845"/>
      <c r="B237" s="1845"/>
      <c r="C237" s="1845"/>
      <c r="D237" s="1845"/>
      <c r="E237" s="1845"/>
      <c r="F237" s="1845"/>
      <c r="G237" s="1845"/>
      <c r="H237" s="1845"/>
      <c r="I237" s="1845"/>
      <c r="J237" s="1845"/>
      <c r="K237" s="1845"/>
      <c r="L237" s="1845"/>
      <c r="M237" s="1845"/>
      <c r="N237" s="1845"/>
      <c r="O237" s="1845"/>
      <c r="P237" s="1845"/>
      <c r="Q237" s="1845"/>
      <c r="R237" s="1845"/>
      <c r="S237" s="1845"/>
      <c r="T237" s="1845"/>
      <c r="U237" s="1845"/>
      <c r="V237" s="1845"/>
      <c r="W237" s="1845"/>
      <c r="X237" s="1845"/>
      <c r="Y237" s="1845"/>
      <c r="Z237" s="1845"/>
      <c r="AA237" s="1845"/>
      <c r="AB237" s="1845"/>
      <c r="AC237" s="1845"/>
      <c r="AD237" s="1845"/>
      <c r="AE237" s="1845"/>
      <c r="AF237" s="1845"/>
      <c r="AG237" s="1845"/>
      <c r="AH237" s="1845"/>
      <c r="AI237" s="1845"/>
      <c r="AJ237" s="1845"/>
      <c r="AK237" s="1845"/>
      <c r="AL237" s="1845"/>
      <c r="AM237" s="1845"/>
      <c r="AN237" s="1845"/>
    </row>
    <row r="238" spans="1:40">
      <c r="A238" s="1845"/>
      <c r="B238" s="1845"/>
      <c r="C238" s="1845"/>
      <c r="D238" s="1845"/>
      <c r="E238" s="1845"/>
      <c r="F238" s="1845"/>
      <c r="G238" s="1845"/>
      <c r="H238" s="1845"/>
      <c r="I238" s="1845"/>
      <c r="J238" s="1845"/>
      <c r="K238" s="1845"/>
      <c r="L238" s="1845"/>
      <c r="M238" s="1845"/>
      <c r="N238" s="1845"/>
      <c r="O238" s="1845"/>
      <c r="P238" s="1845"/>
      <c r="Q238" s="1845"/>
      <c r="R238" s="1845"/>
      <c r="S238" s="1845"/>
      <c r="T238" s="1845"/>
      <c r="U238" s="1845"/>
      <c r="V238" s="1845"/>
      <c r="W238" s="1845"/>
      <c r="X238" s="1845"/>
      <c r="Y238" s="1845"/>
      <c r="Z238" s="1845"/>
      <c r="AA238" s="1845"/>
      <c r="AB238" s="1845"/>
      <c r="AC238" s="1845"/>
      <c r="AD238" s="1845"/>
      <c r="AE238" s="1845"/>
      <c r="AF238" s="1845"/>
      <c r="AG238" s="1845"/>
      <c r="AH238" s="1845"/>
      <c r="AI238" s="1845"/>
      <c r="AJ238" s="1845"/>
      <c r="AK238" s="1845"/>
      <c r="AL238" s="1845"/>
      <c r="AM238" s="1845"/>
      <c r="AN238" s="1845"/>
    </row>
    <row r="239" spans="1:40">
      <c r="A239" s="1845"/>
      <c r="B239" s="1845"/>
      <c r="C239" s="1845"/>
      <c r="D239" s="1845"/>
      <c r="E239" s="1845"/>
      <c r="F239" s="1845"/>
      <c r="G239" s="1845"/>
      <c r="H239" s="1845"/>
      <c r="I239" s="1845"/>
      <c r="J239" s="1845"/>
      <c r="K239" s="1845"/>
      <c r="L239" s="1845"/>
      <c r="M239" s="1845"/>
      <c r="N239" s="1845"/>
      <c r="O239" s="1845"/>
      <c r="P239" s="1845"/>
      <c r="Q239" s="1845"/>
      <c r="R239" s="1845"/>
      <c r="S239" s="1845"/>
      <c r="T239" s="1845"/>
      <c r="U239" s="1845"/>
      <c r="V239" s="1845"/>
      <c r="W239" s="1845"/>
      <c r="X239" s="1845"/>
      <c r="Y239" s="1845"/>
      <c r="Z239" s="1845"/>
      <c r="AA239" s="1845"/>
      <c r="AB239" s="1845"/>
      <c r="AC239" s="1845"/>
      <c r="AD239" s="1845"/>
      <c r="AE239" s="1845"/>
      <c r="AF239" s="1845"/>
      <c r="AG239" s="1845"/>
      <c r="AH239" s="1845"/>
      <c r="AI239" s="1845"/>
      <c r="AJ239" s="1845"/>
      <c r="AK239" s="1845"/>
      <c r="AL239" s="1845"/>
      <c r="AM239" s="1845"/>
      <c r="AN239" s="1845"/>
    </row>
    <row r="240" spans="1:40">
      <c r="A240" s="1845"/>
      <c r="B240" s="1845"/>
      <c r="C240" s="1845"/>
      <c r="D240" s="1845"/>
      <c r="E240" s="1845"/>
      <c r="F240" s="1845"/>
      <c r="G240" s="1845"/>
      <c r="H240" s="1845"/>
      <c r="I240" s="1845"/>
      <c r="J240" s="1845"/>
      <c r="K240" s="1845"/>
      <c r="L240" s="1845"/>
      <c r="M240" s="1845"/>
      <c r="N240" s="1845"/>
      <c r="O240" s="1845"/>
      <c r="P240" s="1845"/>
      <c r="Q240" s="1845"/>
      <c r="R240" s="1845"/>
      <c r="S240" s="1845"/>
      <c r="T240" s="1845"/>
      <c r="U240" s="1845"/>
      <c r="V240" s="1845"/>
      <c r="W240" s="1845"/>
      <c r="X240" s="1845"/>
      <c r="Y240" s="1845"/>
      <c r="Z240" s="1845"/>
      <c r="AA240" s="1845"/>
      <c r="AB240" s="1845"/>
      <c r="AC240" s="1845"/>
      <c r="AD240" s="1845"/>
      <c r="AE240" s="1845"/>
      <c r="AF240" s="1845"/>
      <c r="AG240" s="1845"/>
      <c r="AH240" s="1845"/>
      <c r="AI240" s="1845"/>
      <c r="AJ240" s="1845"/>
      <c r="AK240" s="1845"/>
      <c r="AL240" s="1845"/>
      <c r="AM240" s="1845"/>
      <c r="AN240" s="1845"/>
    </row>
    <row r="241" spans="1:40">
      <c r="A241" s="1845"/>
      <c r="B241" s="1845"/>
      <c r="C241" s="1845"/>
      <c r="D241" s="1845"/>
      <c r="E241" s="1845"/>
      <c r="F241" s="1845"/>
      <c r="G241" s="1845"/>
      <c r="H241" s="1845"/>
      <c r="I241" s="1845"/>
      <c r="J241" s="1845"/>
      <c r="K241" s="1845"/>
      <c r="L241" s="1845"/>
      <c r="M241" s="1845"/>
      <c r="N241" s="1845"/>
      <c r="O241" s="1845"/>
      <c r="P241" s="1845"/>
      <c r="Q241" s="1845"/>
      <c r="R241" s="1845"/>
      <c r="S241" s="1845"/>
      <c r="T241" s="1845"/>
      <c r="U241" s="1845"/>
      <c r="V241" s="1845"/>
      <c r="W241" s="1845"/>
      <c r="X241" s="1845"/>
      <c r="Y241" s="1845"/>
      <c r="Z241" s="1845"/>
      <c r="AA241" s="1845"/>
      <c r="AB241" s="1845"/>
      <c r="AC241" s="1845"/>
      <c r="AD241" s="1845"/>
      <c r="AE241" s="1845"/>
      <c r="AF241" s="1845"/>
      <c r="AG241" s="1845"/>
      <c r="AH241" s="1845"/>
      <c r="AI241" s="1845"/>
      <c r="AJ241" s="1845"/>
      <c r="AK241" s="1845"/>
      <c r="AL241" s="1845"/>
      <c r="AM241" s="1845"/>
      <c r="AN241" s="1845"/>
    </row>
    <row r="242" spans="1:40">
      <c r="A242" s="1845"/>
      <c r="B242" s="1845"/>
      <c r="C242" s="1845"/>
      <c r="D242" s="1845"/>
      <c r="E242" s="1845"/>
      <c r="F242" s="1845"/>
      <c r="G242" s="1845"/>
      <c r="H242" s="1845"/>
      <c r="I242" s="1845"/>
      <c r="J242" s="1845"/>
      <c r="K242" s="1845"/>
      <c r="L242" s="1845"/>
      <c r="M242" s="1845"/>
      <c r="N242" s="1845"/>
      <c r="O242" s="1845"/>
      <c r="P242" s="1845"/>
      <c r="Q242" s="1845"/>
      <c r="R242" s="1845"/>
      <c r="S242" s="1845"/>
      <c r="T242" s="1845"/>
      <c r="U242" s="1845"/>
      <c r="V242" s="1845"/>
      <c r="W242" s="1845"/>
      <c r="X242" s="1845"/>
      <c r="Y242" s="1845"/>
      <c r="Z242" s="1845"/>
      <c r="AA242" s="1845"/>
      <c r="AB242" s="1845"/>
      <c r="AC242" s="1845"/>
      <c r="AD242" s="1845"/>
      <c r="AE242" s="1845"/>
      <c r="AF242" s="1845"/>
      <c r="AG242" s="1845"/>
      <c r="AH242" s="1845"/>
      <c r="AI242" s="1845"/>
      <c r="AJ242" s="1845"/>
      <c r="AK242" s="1845"/>
      <c r="AL242" s="1845"/>
      <c r="AM242" s="1845"/>
      <c r="AN242" s="1845"/>
    </row>
    <row r="243" spans="1:40">
      <c r="A243" s="1845"/>
      <c r="B243" s="1845"/>
      <c r="C243" s="1845"/>
      <c r="D243" s="1845"/>
      <c r="E243" s="1845"/>
      <c r="F243" s="1845"/>
      <c r="G243" s="1845"/>
      <c r="H243" s="1845"/>
      <c r="I243" s="1845"/>
      <c r="J243" s="1845"/>
      <c r="K243" s="1845"/>
      <c r="L243" s="1845"/>
      <c r="M243" s="1845"/>
      <c r="N243" s="1845"/>
      <c r="O243" s="1845"/>
      <c r="P243" s="1845"/>
      <c r="Q243" s="1845"/>
      <c r="R243" s="1845"/>
      <c r="S243" s="1845"/>
      <c r="T243" s="1845"/>
      <c r="U243" s="1845"/>
      <c r="V243" s="1845"/>
      <c r="W243" s="1845"/>
      <c r="X243" s="1845"/>
      <c r="Y243" s="1845"/>
      <c r="Z243" s="1845"/>
      <c r="AA243" s="1845"/>
      <c r="AB243" s="1845"/>
      <c r="AC243" s="1845"/>
      <c r="AD243" s="1845"/>
      <c r="AE243" s="1845"/>
      <c r="AF243" s="1845"/>
      <c r="AG243" s="1845"/>
      <c r="AH243" s="1845"/>
      <c r="AI243" s="1845"/>
      <c r="AJ243" s="1845"/>
      <c r="AK243" s="1845"/>
      <c r="AL243" s="1845"/>
      <c r="AM243" s="1845"/>
      <c r="AN243" s="1845"/>
    </row>
    <row r="244" spans="1:40">
      <c r="A244" s="1845"/>
      <c r="B244" s="1845"/>
      <c r="C244" s="1845"/>
      <c r="D244" s="1845"/>
      <c r="E244" s="1845"/>
      <c r="F244" s="1845"/>
      <c r="G244" s="1845"/>
      <c r="H244" s="1845"/>
      <c r="I244" s="1845"/>
      <c r="J244" s="1845"/>
      <c r="K244" s="1845"/>
      <c r="L244" s="1845"/>
      <c r="M244" s="1845"/>
      <c r="N244" s="1845"/>
      <c r="O244" s="1845"/>
      <c r="P244" s="1845"/>
      <c r="Q244" s="1845"/>
      <c r="R244" s="1845"/>
      <c r="S244" s="1845"/>
      <c r="T244" s="1845"/>
      <c r="U244" s="1845"/>
      <c r="V244" s="1845"/>
      <c r="W244" s="1845"/>
      <c r="X244" s="1845"/>
      <c r="Y244" s="1845"/>
      <c r="Z244" s="1845"/>
      <c r="AA244" s="1845"/>
      <c r="AB244" s="1845"/>
      <c r="AC244" s="1845"/>
      <c r="AD244" s="1845"/>
      <c r="AE244" s="1845"/>
      <c r="AF244" s="1845"/>
      <c r="AG244" s="1845"/>
      <c r="AH244" s="1845"/>
      <c r="AI244" s="1845"/>
      <c r="AJ244" s="1845"/>
      <c r="AK244" s="1845"/>
      <c r="AL244" s="1845"/>
      <c r="AM244" s="1845"/>
      <c r="AN244" s="1845"/>
    </row>
    <row r="245" spans="1:40">
      <c r="A245" s="1845"/>
      <c r="B245" s="1845"/>
      <c r="C245" s="1845"/>
      <c r="D245" s="1845"/>
      <c r="E245" s="1845"/>
      <c r="F245" s="1845"/>
      <c r="G245" s="1845"/>
      <c r="H245" s="1845"/>
      <c r="I245" s="1845"/>
      <c r="J245" s="1845"/>
      <c r="K245" s="1845"/>
      <c r="L245" s="1845"/>
      <c r="M245" s="1845"/>
      <c r="N245" s="1845"/>
      <c r="O245" s="1845"/>
      <c r="P245" s="1845"/>
      <c r="Q245" s="1845"/>
      <c r="R245" s="1845"/>
      <c r="S245" s="1845"/>
      <c r="T245" s="1845"/>
      <c r="U245" s="1845"/>
      <c r="V245" s="1845"/>
      <c r="W245" s="1845"/>
      <c r="X245" s="1845"/>
      <c r="Y245" s="1845"/>
      <c r="Z245" s="1845"/>
      <c r="AA245" s="1845"/>
      <c r="AB245" s="1845"/>
      <c r="AC245" s="1845"/>
      <c r="AD245" s="1845"/>
      <c r="AE245" s="1845"/>
      <c r="AF245" s="1845"/>
      <c r="AG245" s="1845"/>
      <c r="AH245" s="1845"/>
      <c r="AI245" s="1845"/>
      <c r="AJ245" s="1845"/>
      <c r="AK245" s="1845"/>
      <c r="AL245" s="1845"/>
      <c r="AM245" s="1845"/>
      <c r="AN245" s="1845"/>
    </row>
    <row r="246" spans="1:40">
      <c r="A246" s="1845"/>
      <c r="B246" s="1845"/>
      <c r="C246" s="1845"/>
      <c r="D246" s="1845"/>
      <c r="E246" s="1845"/>
      <c r="F246" s="1845"/>
      <c r="G246" s="1845"/>
      <c r="H246" s="1845"/>
      <c r="I246" s="1845"/>
      <c r="J246" s="1845"/>
      <c r="K246" s="1845"/>
      <c r="L246" s="1845"/>
      <c r="M246" s="1845"/>
      <c r="N246" s="1845"/>
      <c r="O246" s="1845"/>
      <c r="P246" s="1845"/>
      <c r="Q246" s="1845"/>
      <c r="R246" s="1845"/>
      <c r="S246" s="1845"/>
      <c r="T246" s="1845"/>
      <c r="U246" s="1845"/>
      <c r="V246" s="1845"/>
      <c r="W246" s="1845"/>
      <c r="X246" s="1845"/>
      <c r="Y246" s="1845"/>
      <c r="Z246" s="1845"/>
      <c r="AA246" s="1845"/>
      <c r="AB246" s="1845"/>
      <c r="AC246" s="1845"/>
      <c r="AD246" s="1845"/>
      <c r="AE246" s="1845"/>
      <c r="AF246" s="1845"/>
      <c r="AG246" s="1845"/>
      <c r="AH246" s="1845"/>
      <c r="AI246" s="1845"/>
      <c r="AJ246" s="1845"/>
      <c r="AK246" s="1845"/>
      <c r="AL246" s="1845"/>
      <c r="AM246" s="1845"/>
      <c r="AN246" s="1845"/>
    </row>
    <row r="247" spans="1:40">
      <c r="A247" s="1845"/>
      <c r="B247" s="1845"/>
      <c r="C247" s="1845"/>
      <c r="D247" s="1845"/>
      <c r="E247" s="1845"/>
      <c r="F247" s="1845"/>
      <c r="G247" s="1845"/>
      <c r="H247" s="1845"/>
      <c r="I247" s="1845"/>
      <c r="J247" s="1845"/>
      <c r="K247" s="1845"/>
      <c r="L247" s="1845"/>
      <c r="M247" s="1845"/>
      <c r="N247" s="1845"/>
      <c r="O247" s="1845"/>
      <c r="P247" s="1845"/>
      <c r="Q247" s="1845"/>
      <c r="R247" s="1845"/>
      <c r="S247" s="1845"/>
      <c r="T247" s="1845"/>
      <c r="U247" s="1845"/>
      <c r="V247" s="1845"/>
      <c r="W247" s="1845"/>
      <c r="X247" s="1845"/>
      <c r="Y247" s="1845"/>
      <c r="Z247" s="1845"/>
      <c r="AA247" s="1845"/>
      <c r="AB247" s="1845"/>
      <c r="AC247" s="1845"/>
      <c r="AD247" s="1845"/>
      <c r="AE247" s="1845"/>
      <c r="AF247" s="1845"/>
      <c r="AG247" s="1845"/>
      <c r="AH247" s="1845"/>
      <c r="AI247" s="1845"/>
      <c r="AJ247" s="1845"/>
      <c r="AK247" s="1845"/>
      <c r="AL247" s="1845"/>
      <c r="AM247" s="1845"/>
      <c r="AN247" s="1845"/>
    </row>
    <row r="248" spans="1:40">
      <c r="A248" s="1845"/>
      <c r="B248" s="1845"/>
      <c r="C248" s="1845"/>
      <c r="D248" s="1845"/>
      <c r="E248" s="1845"/>
      <c r="F248" s="1845"/>
      <c r="G248" s="1845"/>
      <c r="H248" s="1845"/>
      <c r="I248" s="1845"/>
      <c r="J248" s="1845"/>
      <c r="K248" s="1845"/>
      <c r="L248" s="1845"/>
      <c r="M248" s="1845"/>
      <c r="N248" s="1845"/>
      <c r="O248" s="1845"/>
      <c r="P248" s="1845"/>
      <c r="Q248" s="1845"/>
      <c r="R248" s="1845"/>
      <c r="S248" s="1845"/>
      <c r="T248" s="1845"/>
      <c r="U248" s="1845"/>
      <c r="V248" s="1845"/>
      <c r="W248" s="1845"/>
      <c r="X248" s="1845"/>
      <c r="Y248" s="1845"/>
      <c r="Z248" s="1845"/>
      <c r="AA248" s="1845"/>
      <c r="AB248" s="1845"/>
      <c r="AC248" s="1845"/>
      <c r="AD248" s="1845"/>
      <c r="AE248" s="1845"/>
      <c r="AF248" s="1845"/>
      <c r="AG248" s="1845"/>
      <c r="AH248" s="1845"/>
      <c r="AI248" s="1845"/>
      <c r="AJ248" s="1845"/>
      <c r="AK248" s="1845"/>
      <c r="AL248" s="1845"/>
      <c r="AM248" s="1845"/>
      <c r="AN248" s="1845"/>
    </row>
  </sheetData>
  <phoneticPr fontId="4" type="noConversion"/>
  <printOptions horizontalCentered="1"/>
  <pageMargins left="1" right="0.75" top="0.75" bottom="0" header="0" footer="0"/>
  <pageSetup scale="40" orientation="landscape" blackAndWhite="1" horizontalDpi="300" verticalDpi="300" r:id="rId1"/>
  <headerFooter alignWithMargins="0"/>
  <rowBreaks count="2" manualBreakCount="2">
    <brk id="61" max="16" man="1"/>
    <brk id="113" max="7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>
    <tabColor theme="6" tint="0.39997558519241921"/>
    <pageSetUpPr fitToPage="1"/>
  </sheetPr>
  <dimension ref="A1:Q82"/>
  <sheetViews>
    <sheetView zoomScale="75" workbookViewId="0"/>
  </sheetViews>
  <sheetFormatPr defaultColWidth="8" defaultRowHeight="15"/>
  <cols>
    <col min="1" max="1" width="7" style="73" customWidth="1"/>
    <col min="2" max="2" width="2.88671875" style="73" customWidth="1"/>
    <col min="3" max="3" width="57.44140625" style="73" customWidth="1"/>
    <col min="4" max="4" width="3" style="73" customWidth="1"/>
    <col min="5" max="5" width="22.6640625" style="73" customWidth="1"/>
    <col min="6" max="6" width="2" style="73" customWidth="1"/>
    <col min="7" max="7" width="21" style="73" customWidth="1"/>
    <col min="8" max="8" width="3.6640625" style="73" customWidth="1"/>
    <col min="9" max="9" width="28" style="73" customWidth="1"/>
    <col min="10" max="10" width="7.88671875" style="73" customWidth="1"/>
    <col min="11" max="11" width="2.5546875" style="73" customWidth="1"/>
    <col min="12" max="12" width="54.109375" style="73" customWidth="1"/>
    <col min="13" max="13" width="5.33203125" style="73" customWidth="1"/>
    <col min="14" max="14" width="17.44140625" style="73" customWidth="1"/>
    <col min="15" max="15" width="7.109375" style="73" customWidth="1"/>
    <col min="16" max="16" width="15.88671875" style="73" customWidth="1"/>
    <col min="17" max="17" width="14.88671875" style="73" customWidth="1"/>
    <col min="18" max="16384" width="8" style="73"/>
  </cols>
  <sheetData>
    <row r="1" spans="1:17">
      <c r="A1" s="1516" t="str">
        <f>COMPANY</f>
        <v>DUKE ENERGY KENTUCKY, INC.</v>
      </c>
      <c r="B1" s="1517"/>
      <c r="C1" s="1517"/>
      <c r="D1" s="1516"/>
      <c r="E1" s="1517"/>
      <c r="F1" s="1517"/>
      <c r="G1" s="1517"/>
      <c r="H1" s="1517"/>
      <c r="I1" s="1517"/>
    </row>
    <row r="2" spans="1:17">
      <c r="A2" s="1516" t="str">
        <f>CASE</f>
        <v>CASE NO. 2018-00261</v>
      </c>
      <c r="B2" s="1517"/>
      <c r="C2" s="1517"/>
      <c r="D2" s="1516"/>
      <c r="E2" s="1517"/>
      <c r="F2" s="1517"/>
      <c r="G2" s="1517"/>
      <c r="H2" s="1517"/>
      <c r="I2" s="1517"/>
    </row>
    <row r="3" spans="1:17">
      <c r="A3" s="1516" t="s">
        <v>1145</v>
      </c>
      <c r="B3" s="1517"/>
      <c r="C3" s="1517"/>
      <c r="D3" s="1517"/>
      <c r="E3" s="1517"/>
      <c r="F3" s="1517"/>
      <c r="G3" s="1517"/>
      <c r="H3" s="1517"/>
      <c r="I3" s="1517"/>
    </row>
    <row r="4" spans="1:17">
      <c r="A4" s="1516" t="str">
        <f>PeriodF</f>
        <v>FOR THE TWELVE MONTHS ENDED MARCH 31, 2020</v>
      </c>
      <c r="B4" s="1517"/>
      <c r="C4" s="1517"/>
      <c r="D4" s="1516"/>
      <c r="E4" s="1517"/>
      <c r="F4" s="1517"/>
      <c r="G4" s="1517"/>
      <c r="H4" s="1517"/>
      <c r="I4" s="1517"/>
    </row>
    <row r="5" spans="1:17">
      <c r="A5" s="1210"/>
      <c r="B5" s="1210"/>
      <c r="C5" s="1210"/>
      <c r="D5" s="1210"/>
      <c r="E5" s="1210"/>
      <c r="F5" s="1210"/>
      <c r="G5" s="1210"/>
      <c r="H5" s="1210"/>
      <c r="I5" s="1211"/>
    </row>
    <row r="6" spans="1:17">
      <c r="A6" s="1518" t="str">
        <f>DataF</f>
        <v>DATA:  BASE PERIOD  "X" FORECASTED PERIOD</v>
      </c>
      <c r="B6" s="1210"/>
      <c r="C6" s="1210"/>
      <c r="D6" s="1210"/>
      <c r="E6" s="1210"/>
      <c r="F6" s="1210"/>
      <c r="G6" s="1210"/>
      <c r="H6" s="1209" t="s">
        <v>1020</v>
      </c>
      <c r="I6" s="1210"/>
    </row>
    <row r="7" spans="1:17">
      <c r="A7" s="1518" t="str">
        <f>Type</f>
        <v xml:space="preserve">TYPE OF FILING:  "X" ORIGINAL   UPDATED    REVISED  </v>
      </c>
      <c r="B7" s="1210"/>
      <c r="C7" s="1210"/>
      <c r="D7" s="1210"/>
      <c r="E7" s="1210"/>
      <c r="F7" s="1210"/>
      <c r="G7" s="1210"/>
      <c r="H7" s="1209" t="s">
        <v>564</v>
      </c>
      <c r="I7" s="1210"/>
    </row>
    <row r="8" spans="1:17">
      <c r="A8" s="1209" t="s">
        <v>825</v>
      </c>
      <c r="B8" s="1210"/>
      <c r="C8" s="1210"/>
      <c r="D8" s="1210"/>
      <c r="E8" s="1210"/>
      <c r="F8" s="1210"/>
      <c r="G8" s="1210"/>
      <c r="H8" s="1209" t="s">
        <v>566</v>
      </c>
      <c r="I8" s="1210"/>
    </row>
    <row r="9" spans="1:17">
      <c r="A9" s="1210"/>
      <c r="B9" s="1210"/>
      <c r="C9" s="1210"/>
      <c r="D9" s="1210"/>
      <c r="E9" s="1210"/>
      <c r="F9" s="1210"/>
      <c r="G9" s="1210"/>
      <c r="H9" s="1209" t="str">
        <f>LOGO!G6</f>
        <v>S. E. LAWLER</v>
      </c>
      <c r="I9" s="1210"/>
    </row>
    <row r="10" spans="1:17">
      <c r="A10" s="1519"/>
      <c r="B10" s="1519"/>
      <c r="C10" s="1519"/>
      <c r="D10" s="1519"/>
      <c r="E10" s="1519"/>
      <c r="F10" s="1519"/>
      <c r="G10" s="1519"/>
      <c r="H10" s="1519"/>
      <c r="I10" s="1519"/>
      <c r="P10" s="3511"/>
      <c r="Q10" s="3511"/>
    </row>
    <row r="11" spans="1:17">
      <c r="A11" s="1520"/>
      <c r="B11" s="1520"/>
      <c r="C11" s="1520"/>
      <c r="D11" s="1520"/>
      <c r="E11" s="1521" t="s">
        <v>1127</v>
      </c>
      <c r="F11" s="1520"/>
      <c r="G11" s="1520"/>
      <c r="H11" s="1520"/>
      <c r="I11" s="1521" t="s">
        <v>1127</v>
      </c>
      <c r="P11" s="1521"/>
      <c r="Q11" s="3511"/>
    </row>
    <row r="12" spans="1:17">
      <c r="A12" s="1210"/>
      <c r="B12" s="1210"/>
      <c r="C12" s="1210"/>
      <c r="D12" s="1210"/>
      <c r="E12" s="1522" t="s">
        <v>1128</v>
      </c>
      <c r="F12" s="1210"/>
      <c r="G12" s="1210"/>
      <c r="H12" s="1210"/>
      <c r="I12" s="1522" t="s">
        <v>1128</v>
      </c>
      <c r="P12" s="1521"/>
      <c r="Q12" s="3511"/>
    </row>
    <row r="13" spans="1:17">
      <c r="A13" s="1522" t="s">
        <v>567</v>
      </c>
      <c r="B13" s="1210"/>
      <c r="C13" s="1210"/>
      <c r="D13" s="1210"/>
      <c r="E13" s="1522" t="s">
        <v>1129</v>
      </c>
      <c r="F13" s="1210"/>
      <c r="G13" s="1522" t="s">
        <v>1130</v>
      </c>
      <c r="H13" s="1522"/>
      <c r="I13" s="1522" t="s">
        <v>1130</v>
      </c>
      <c r="P13" s="1521"/>
      <c r="Q13" s="3511"/>
    </row>
    <row r="14" spans="1:17">
      <c r="A14" s="1522" t="s">
        <v>2169</v>
      </c>
      <c r="B14" s="1210"/>
      <c r="C14" s="1209" t="s">
        <v>1131</v>
      </c>
      <c r="D14" s="1210"/>
      <c r="E14" s="1522" t="s">
        <v>1132</v>
      </c>
      <c r="F14" s="1210"/>
      <c r="G14" s="1522" t="s">
        <v>1133</v>
      </c>
      <c r="H14" s="1522"/>
      <c r="I14" s="1522" t="s">
        <v>1132</v>
      </c>
      <c r="P14" s="1521"/>
      <c r="Q14" s="3511"/>
    </row>
    <row r="15" spans="1:17">
      <c r="A15" s="1519"/>
      <c r="B15" s="1519"/>
      <c r="C15" s="1519"/>
      <c r="D15" s="1519"/>
      <c r="E15" s="1519"/>
      <c r="F15" s="1519"/>
      <c r="G15" s="1519"/>
      <c r="H15" s="1519"/>
      <c r="I15" s="1519"/>
      <c r="P15" s="1520"/>
      <c r="Q15" s="3511"/>
    </row>
    <row r="16" spans="1:17">
      <c r="A16" s="1210"/>
      <c r="B16" s="1210"/>
      <c r="C16" s="1210"/>
      <c r="D16" s="1210"/>
      <c r="E16" s="1523" t="s">
        <v>1134</v>
      </c>
      <c r="F16" s="1210"/>
      <c r="G16" s="1523" t="s">
        <v>1134</v>
      </c>
      <c r="H16" s="1523"/>
      <c r="I16" s="1523" t="s">
        <v>1134</v>
      </c>
      <c r="P16" s="3512"/>
      <c r="Q16" s="3511"/>
    </row>
    <row r="17" spans="1:17">
      <c r="A17" s="1522">
        <v>1</v>
      </c>
      <c r="B17" s="1210"/>
      <c r="C17" s="1209" t="s">
        <v>1135</v>
      </c>
      <c r="D17" s="1210"/>
      <c r="E17" s="1524">
        <f ca="1">SCH_C2!N20</f>
        <v>95382130</v>
      </c>
      <c r="F17" s="1210"/>
      <c r="G17" s="3555">
        <v>10542199</v>
      </c>
      <c r="H17" s="1525" t="s">
        <v>2099</v>
      </c>
      <c r="I17" s="1524">
        <f ca="1">E17+G17</f>
        <v>105924329</v>
      </c>
      <c r="P17" s="3513"/>
      <c r="Q17" s="3514"/>
    </row>
    <row r="18" spans="1:17">
      <c r="A18" s="1526">
        <v>2</v>
      </c>
      <c r="B18" s="1210"/>
      <c r="C18" s="1210"/>
      <c r="D18" s="1210"/>
      <c r="E18" s="1527" t="str">
        <f ca="1">IF(E17&lt;&gt;SCH_C2!N20,"**CHECK REVENUES**","")</f>
        <v/>
      </c>
      <c r="F18" s="1210"/>
      <c r="G18" s="1528"/>
      <c r="H18" s="1528"/>
      <c r="I18" s="1528"/>
      <c r="P18" s="3515"/>
      <c r="Q18" s="3514"/>
    </row>
    <row r="19" spans="1:17">
      <c r="A19" s="1522">
        <v>3</v>
      </c>
      <c r="B19" s="1210"/>
      <c r="C19" s="1209" t="s">
        <v>1136</v>
      </c>
      <c r="D19" s="1210"/>
      <c r="E19" s="1529"/>
      <c r="F19" s="1210"/>
      <c r="G19" s="1210"/>
      <c r="H19" s="1210"/>
      <c r="I19" s="1210"/>
      <c r="P19" s="1533"/>
      <c r="Q19" s="3514"/>
    </row>
    <row r="20" spans="1:17">
      <c r="A20" s="1526">
        <v>4</v>
      </c>
      <c r="B20" s="1210"/>
      <c r="C20" s="1209" t="s">
        <v>1137</v>
      </c>
      <c r="D20" s="1210"/>
      <c r="E20" s="1211">
        <f ca="1">SCH_C2!N40</f>
        <v>60507968</v>
      </c>
      <c r="F20" s="1210"/>
      <c r="G20" s="1211">
        <f>P54</f>
        <v>0</v>
      </c>
      <c r="H20" s="1211"/>
      <c r="I20" s="1211">
        <f ca="1">E20+G20</f>
        <v>60507968</v>
      </c>
      <c r="P20" s="1532"/>
      <c r="Q20" s="3514"/>
    </row>
    <row r="21" spans="1:17">
      <c r="A21" s="1522">
        <v>5</v>
      </c>
      <c r="B21" s="1210"/>
      <c r="C21" s="1209" t="s">
        <v>1138</v>
      </c>
      <c r="D21" s="1210"/>
      <c r="E21" s="1211">
        <f ca="1">SCH_C2!N42</f>
        <v>14615192</v>
      </c>
      <c r="F21" s="1210"/>
      <c r="G21" s="1530">
        <v>0</v>
      </c>
      <c r="H21" s="1211"/>
      <c r="I21" s="1211">
        <f ca="1">E21+G21</f>
        <v>14615192</v>
      </c>
      <c r="P21" s="1532"/>
      <c r="Q21" s="3514"/>
    </row>
    <row r="22" spans="1:17">
      <c r="A22" s="1526">
        <v>6</v>
      </c>
      <c r="B22" s="1210"/>
      <c r="C22" s="1209" t="s">
        <v>1139</v>
      </c>
      <c r="D22" s="1210"/>
      <c r="E22" s="1524">
        <f>SCH_C2!N47</f>
        <v>4097687</v>
      </c>
      <c r="F22" s="1210"/>
      <c r="G22" s="1524">
        <f>P57</f>
        <v>21084</v>
      </c>
      <c r="H22" s="1211"/>
      <c r="I22" s="1524">
        <f>E22+G22</f>
        <v>4118771</v>
      </c>
      <c r="P22" s="3513"/>
      <c r="Q22" s="3514"/>
    </row>
    <row r="23" spans="1:17">
      <c r="A23" s="1522">
        <v>7</v>
      </c>
      <c r="B23" s="1210"/>
      <c r="C23" s="1209" t="s">
        <v>1140</v>
      </c>
      <c r="D23" s="1210"/>
      <c r="E23" s="1211">
        <f ca="1">SUM(E20:E22)</f>
        <v>79220847</v>
      </c>
      <c r="F23" s="1210"/>
      <c r="G23" s="1211">
        <f>SUM(G20:G22)</f>
        <v>21084</v>
      </c>
      <c r="H23" s="1211"/>
      <c r="I23" s="1211">
        <f ca="1">SUM(I20:I22)</f>
        <v>79241931</v>
      </c>
      <c r="P23" s="1532"/>
      <c r="Q23" s="3514"/>
    </row>
    <row r="24" spans="1:17">
      <c r="A24" s="1526">
        <v>8</v>
      </c>
      <c r="B24" s="1210"/>
      <c r="C24" s="1210"/>
      <c r="D24" s="1210"/>
      <c r="E24" s="1211"/>
      <c r="F24" s="1210"/>
      <c r="G24" s="1210"/>
      <c r="H24" s="1210"/>
      <c r="I24" s="1211"/>
      <c r="P24" s="1532"/>
      <c r="Q24" s="3514"/>
    </row>
    <row r="25" spans="1:17">
      <c r="A25" s="1522">
        <v>9</v>
      </c>
      <c r="B25" s="1210"/>
      <c r="C25" s="1209" t="s">
        <v>1141</v>
      </c>
      <c r="D25" s="1210"/>
      <c r="E25" s="1211">
        <f ca="1">SCH_C2!N52</f>
        <v>307751</v>
      </c>
      <c r="F25" s="1210"/>
      <c r="G25" s="1211">
        <f>P63</f>
        <v>522742</v>
      </c>
      <c r="H25" s="1211"/>
      <c r="I25" s="1211">
        <f ca="1">E25+G25</f>
        <v>830493</v>
      </c>
      <c r="P25" s="1532"/>
      <c r="Q25" s="3514"/>
    </row>
    <row r="26" spans="1:17">
      <c r="A26" s="1526">
        <v>10</v>
      </c>
      <c r="B26" s="1210"/>
      <c r="C26" s="1209" t="s">
        <v>1378</v>
      </c>
      <c r="D26" s="1210"/>
      <c r="E26" s="1524">
        <f ca="1">SCH_C2!N58</f>
        <v>1227242</v>
      </c>
      <c r="F26" s="1210"/>
      <c r="G26" s="1524">
        <f>P65</f>
        <v>2099658</v>
      </c>
      <c r="H26" s="1211"/>
      <c r="I26" s="1524">
        <f ca="1">E26+G26</f>
        <v>3326900</v>
      </c>
      <c r="P26" s="3513"/>
      <c r="Q26" s="3514"/>
    </row>
    <row r="27" spans="1:17">
      <c r="A27" s="1522">
        <v>11</v>
      </c>
      <c r="B27" s="1210"/>
      <c r="C27" s="1210"/>
      <c r="D27" s="1210"/>
      <c r="E27" s="1528"/>
      <c r="F27" s="1210"/>
      <c r="G27" s="1528"/>
      <c r="H27" s="1528"/>
      <c r="I27" s="1528"/>
      <c r="P27" s="3515"/>
      <c r="Q27" s="3514"/>
    </row>
    <row r="28" spans="1:17">
      <c r="A28" s="1526">
        <v>12</v>
      </c>
      <c r="B28" s="1210"/>
      <c r="C28" s="1209" t="s">
        <v>1187</v>
      </c>
      <c r="D28" s="1210"/>
      <c r="E28" s="1524">
        <f ca="1">E23+E25+E26</f>
        <v>80755840</v>
      </c>
      <c r="F28" s="1210"/>
      <c r="G28" s="1524">
        <f>G23+G25+G26</f>
        <v>2643484</v>
      </c>
      <c r="H28" s="1211"/>
      <c r="I28" s="1524">
        <f ca="1">I23+I25+I26</f>
        <v>83399324</v>
      </c>
      <c r="P28" s="3513"/>
      <c r="Q28" s="3514"/>
    </row>
    <row r="29" spans="1:17">
      <c r="A29" s="1522">
        <v>13</v>
      </c>
      <c r="B29" s="1210"/>
      <c r="C29" s="1210"/>
      <c r="D29" s="1210"/>
      <c r="E29" s="1528"/>
      <c r="F29" s="1210"/>
      <c r="G29" s="1528"/>
      <c r="H29" s="1528"/>
      <c r="I29" s="1528"/>
      <c r="P29" s="3515"/>
      <c r="Q29" s="3514"/>
    </row>
    <row r="30" spans="1:17">
      <c r="A30" s="1526">
        <v>14</v>
      </c>
      <c r="B30" s="1210"/>
      <c r="C30" s="1209" t="s">
        <v>1188</v>
      </c>
      <c r="D30" s="1210"/>
      <c r="E30" s="1531">
        <f ca="1">IF(+E17-E28=SCH_C2!N62,+E17-E28,"       check c-2!")</f>
        <v>14626290</v>
      </c>
      <c r="F30" s="1210"/>
      <c r="G30" s="1531">
        <f>G17-G28</f>
        <v>7898715</v>
      </c>
      <c r="H30" s="1211"/>
      <c r="I30" s="1531">
        <f ca="1">E30+G30</f>
        <v>22525005</v>
      </c>
      <c r="P30" s="3516"/>
      <c r="Q30" s="3514"/>
    </row>
    <row r="31" spans="1:17">
      <c r="A31" s="1522">
        <v>15</v>
      </c>
      <c r="B31" s="1210"/>
      <c r="C31" s="1210"/>
      <c r="D31" s="1210"/>
      <c r="E31" s="1528"/>
      <c r="F31" s="1210"/>
      <c r="G31" s="1528"/>
      <c r="H31" s="1528"/>
      <c r="I31" s="1528"/>
      <c r="P31" s="3515"/>
      <c r="Q31" s="3514"/>
    </row>
    <row r="32" spans="1:17">
      <c r="A32" s="1526">
        <v>16</v>
      </c>
      <c r="B32" s="1210"/>
      <c r="C32" s="1209" t="s">
        <v>2014</v>
      </c>
      <c r="D32" s="1210"/>
      <c r="E32" s="1532">
        <f ca="1">SCH_B1!I42</f>
        <v>313675239</v>
      </c>
      <c r="F32" s="1533"/>
      <c r="G32" s="1533"/>
      <c r="H32" s="1533"/>
      <c r="I32" s="1532">
        <f ca="1">SCH_B1!I42</f>
        <v>313675239</v>
      </c>
      <c r="P32" s="1532"/>
      <c r="Q32" s="3514"/>
    </row>
    <row r="33" spans="1:17">
      <c r="A33" s="1522">
        <v>17</v>
      </c>
      <c r="B33" s="1210"/>
      <c r="C33" s="1209" t="s">
        <v>1025</v>
      </c>
      <c r="D33" s="1210"/>
      <c r="E33" s="1534">
        <f ca="1">ROUND(E30/E32,4)</f>
        <v>4.6600000000000003E-2</v>
      </c>
      <c r="F33" s="1533"/>
      <c r="G33" s="1533"/>
      <c r="H33" s="1533"/>
      <c r="I33" s="1534">
        <f ca="1">ROUND(I30/I32,4)</f>
        <v>7.1800000000000003E-2</v>
      </c>
      <c r="P33" s="1534"/>
      <c r="Q33" s="3514"/>
    </row>
    <row r="34" spans="1:17">
      <c r="A34" s="1526"/>
      <c r="B34" s="1210"/>
      <c r="C34" s="1210"/>
      <c r="D34" s="1210"/>
      <c r="E34" s="1528"/>
      <c r="F34" s="1210"/>
      <c r="G34" s="1210"/>
      <c r="H34" s="1210"/>
      <c r="I34" s="1528"/>
    </row>
    <row r="35" spans="1:17">
      <c r="A35" s="1535" t="s">
        <v>3050</v>
      </c>
      <c r="B35" s="1210"/>
      <c r="C35" s="1210"/>
      <c r="D35" s="1210"/>
      <c r="E35" s="1211"/>
      <c r="F35" s="1210"/>
      <c r="G35" s="1210"/>
      <c r="H35" s="1210"/>
      <c r="I35" s="1210"/>
    </row>
    <row r="36" spans="1:17">
      <c r="A36" s="1209"/>
      <c r="B36" s="1210"/>
      <c r="C36" s="1210"/>
      <c r="D36" s="1210"/>
      <c r="E36" s="1211"/>
      <c r="F36" s="1210"/>
      <c r="G36" s="1210"/>
      <c r="H36" s="1210"/>
      <c r="I36" s="1210"/>
    </row>
    <row r="37" spans="1:17">
      <c r="A37" s="1210"/>
      <c r="B37" s="1210"/>
      <c r="C37" s="1210"/>
      <c r="D37" s="1210"/>
      <c r="E37" s="1210"/>
      <c r="F37" s="1210"/>
      <c r="G37" s="1210"/>
      <c r="H37" s="1210"/>
      <c r="I37" s="1210"/>
    </row>
    <row r="38" spans="1:17">
      <c r="J38" s="75" t="str">
        <f>LOGO!B5</f>
        <v>DUKE ENERGY KENTUCKY, INC.</v>
      </c>
      <c r="N38" s="76" t="s">
        <v>1026</v>
      </c>
    </row>
    <row r="39" spans="1:17">
      <c r="J39" s="75" t="str">
        <f>LOGO!B9</f>
        <v>GAS DEPARTMENT</v>
      </c>
      <c r="N39" s="76" t="s">
        <v>566</v>
      </c>
    </row>
    <row r="40" spans="1:17">
      <c r="J40" s="75" t="str">
        <f>LOGO!B6</f>
        <v>CASE NO. 2018-00261</v>
      </c>
      <c r="N40" s="73" t="str">
        <f>_WIT1</f>
        <v>S. E. LAWLER</v>
      </c>
    </row>
    <row r="41" spans="1:17">
      <c r="J41" s="76" t="s">
        <v>1027</v>
      </c>
    </row>
    <row r="42" spans="1:17">
      <c r="N42" s="84"/>
    </row>
    <row r="45" spans="1:17">
      <c r="N45" s="77" t="s">
        <v>1028</v>
      </c>
    </row>
    <row r="46" spans="1:17">
      <c r="J46" s="77" t="s">
        <v>567</v>
      </c>
      <c r="N46" s="77" t="s">
        <v>882</v>
      </c>
      <c r="P46" s="77" t="s">
        <v>1130</v>
      </c>
    </row>
    <row r="47" spans="1:17">
      <c r="J47" s="85" t="s">
        <v>2169</v>
      </c>
      <c r="L47" s="85" t="s">
        <v>1029</v>
      </c>
      <c r="N47" s="85" t="s">
        <v>742</v>
      </c>
      <c r="P47" s="85" t="s">
        <v>1133</v>
      </c>
    </row>
    <row r="48" spans="1:17">
      <c r="J48" s="76"/>
      <c r="K48" s="86"/>
      <c r="L48" s="86"/>
      <c r="M48" s="86"/>
      <c r="N48" s="76"/>
      <c r="P48" s="78" t="s">
        <v>1134</v>
      </c>
    </row>
    <row r="49" spans="10:17">
      <c r="J49" s="80"/>
    </row>
    <row r="50" spans="10:17">
      <c r="J50" s="77">
        <v>1</v>
      </c>
      <c r="L50" s="87" t="s">
        <v>1135</v>
      </c>
      <c r="N50" s="88" t="s">
        <v>1030</v>
      </c>
      <c r="P50" s="83">
        <f>MINCR</f>
        <v>10542199</v>
      </c>
      <c r="Q50" s="74"/>
    </row>
    <row r="51" spans="10:17">
      <c r="J51" s="77">
        <v>2</v>
      </c>
      <c r="L51" s="89"/>
      <c r="N51" s="74"/>
      <c r="P51" s="82"/>
      <c r="Q51" s="74"/>
    </row>
    <row r="52" spans="10:17">
      <c r="J52" s="77">
        <v>3</v>
      </c>
      <c r="L52" s="87" t="s">
        <v>1185</v>
      </c>
      <c r="N52" s="81"/>
    </row>
    <row r="53" spans="10:17">
      <c r="J53" s="77">
        <v>4</v>
      </c>
      <c r="L53" s="89"/>
    </row>
    <row r="54" spans="10:17">
      <c r="J54" s="77">
        <v>5</v>
      </c>
      <c r="L54" s="87" t="str">
        <f>"Uncollectible Accounts  @ "&amp;TEXT(LOGO!C20,"#0.0000%")</f>
        <v>Uncollectible Accounts  @ 0.0000%</v>
      </c>
      <c r="N54" s="88" t="s">
        <v>1186</v>
      </c>
      <c r="P54" s="79">
        <f>ROUND(P50*LOGO!C20,0)</f>
        <v>0</v>
      </c>
      <c r="Q54" s="74"/>
    </row>
    <row r="55" spans="10:17">
      <c r="J55" s="77">
        <v>6</v>
      </c>
      <c r="L55" s="89"/>
      <c r="P55" s="82"/>
    </row>
    <row r="56" spans="10:17">
      <c r="J56" s="77">
        <v>7</v>
      </c>
      <c r="L56" s="87" t="s">
        <v>1049</v>
      </c>
    </row>
    <row r="57" spans="10:17">
      <c r="J57" s="77">
        <v>8</v>
      </c>
      <c r="L57" s="87" t="str">
        <f>"  KPSC Maintenance Tax    @ "&amp;TEXT(LOGO!C21,"0.0000%")</f>
        <v xml:space="preserve">  KPSC Maintenance Tax    @ 0.2000%</v>
      </c>
      <c r="N57" s="88" t="s">
        <v>1050</v>
      </c>
      <c r="P57" s="79">
        <f>ROUND(($P$50*LOGO!C21),0)</f>
        <v>21084</v>
      </c>
      <c r="Q57" s="74"/>
    </row>
    <row r="58" spans="10:17">
      <c r="J58" s="77">
        <v>9</v>
      </c>
      <c r="L58" s="89"/>
      <c r="N58" s="74"/>
      <c r="P58" s="82"/>
    </row>
    <row r="59" spans="10:17">
      <c r="J59" s="77">
        <v>10</v>
      </c>
      <c r="L59" s="87" t="s">
        <v>1051</v>
      </c>
      <c r="N59" s="74"/>
      <c r="P59" s="83">
        <f>P54+P57</f>
        <v>21084</v>
      </c>
      <c r="Q59" s="74"/>
    </row>
    <row r="60" spans="10:17">
      <c r="J60" s="77">
        <v>11</v>
      </c>
      <c r="L60" s="89"/>
      <c r="N60" s="74"/>
      <c r="P60" s="82"/>
      <c r="Q60" s="74"/>
    </row>
    <row r="61" spans="10:17">
      <c r="J61" s="77">
        <v>12</v>
      </c>
      <c r="L61" s="89" t="s">
        <v>1052</v>
      </c>
      <c r="N61" s="74"/>
      <c r="P61" s="90">
        <f>P50-P59</f>
        <v>10521115</v>
      </c>
      <c r="Q61" s="74"/>
    </row>
    <row r="62" spans="10:17">
      <c r="J62" s="77">
        <v>13</v>
      </c>
      <c r="L62" s="74"/>
      <c r="N62" s="74"/>
      <c r="P62" s="82"/>
      <c r="Q62" s="74"/>
    </row>
    <row r="63" spans="10:17">
      <c r="J63" s="77">
        <v>14</v>
      </c>
      <c r="L63" s="87" t="str">
        <f>"State Income Taxes   (Line 12 * "&amp;TEXT(APPORT,"0.000%")&amp;" * "&amp;TEXT(LOGO!C26,"0.000%")&amp;")"</f>
        <v>State Income Taxes   (Line 12 * 99.370% * 5.000%)</v>
      </c>
      <c r="N63" s="88" t="s">
        <v>1186</v>
      </c>
      <c r="P63" s="90">
        <f>ROUND(P61*SIT*APPORT,0)</f>
        <v>522742</v>
      </c>
      <c r="Q63" s="74"/>
    </row>
    <row r="64" spans="10:17">
      <c r="J64" s="77">
        <v>15</v>
      </c>
      <c r="L64" s="91"/>
      <c r="N64" s="74"/>
      <c r="P64" s="82"/>
      <c r="Q64" s="74"/>
    </row>
    <row r="65" spans="10:17">
      <c r="J65" s="77">
        <v>16</v>
      </c>
      <c r="L65" s="87" t="str">
        <f>"Federal Income Taxes  (Line 12 - Line 14) * "&amp;TEXT(LOGO!C23,"##%")&amp;")"</f>
        <v>Federal Income Taxes  (Line 12 - Line 14) * 21%)</v>
      </c>
      <c r="N65" s="88" t="s">
        <v>1186</v>
      </c>
      <c r="P65" s="83">
        <f>ROUND((P61-P63)*FIT,0)</f>
        <v>2099658</v>
      </c>
      <c r="Q65" s="74"/>
    </row>
    <row r="66" spans="10:17">
      <c r="J66" s="77">
        <v>17</v>
      </c>
      <c r="L66" s="91"/>
      <c r="N66" s="74"/>
      <c r="P66" s="82"/>
      <c r="Q66" s="74"/>
    </row>
    <row r="67" spans="10:17">
      <c r="J67" s="77">
        <v>18</v>
      </c>
      <c r="L67" s="87" t="s">
        <v>2108</v>
      </c>
      <c r="M67" s="74"/>
      <c r="N67" s="74"/>
      <c r="P67" s="83">
        <f>P59+P63+P65</f>
        <v>2643484</v>
      </c>
      <c r="Q67" s="74"/>
    </row>
    <row r="68" spans="10:17">
      <c r="J68" s="77">
        <v>19</v>
      </c>
      <c r="L68" s="89"/>
      <c r="P68" s="82"/>
      <c r="Q68" s="74"/>
    </row>
    <row r="69" spans="10:17">
      <c r="J69" s="77">
        <v>20</v>
      </c>
      <c r="L69" s="87" t="s">
        <v>1188</v>
      </c>
      <c r="N69" s="92"/>
      <c r="P69" s="83">
        <f>P50-P67</f>
        <v>7898715</v>
      </c>
      <c r="Q69" s="74"/>
    </row>
    <row r="70" spans="10:17">
      <c r="J70" s="77"/>
      <c r="L70" s="89"/>
      <c r="P70" s="82"/>
    </row>
    <row r="71" spans="10:17">
      <c r="J71" s="77"/>
      <c r="L71" s="89"/>
    </row>
    <row r="72" spans="10:17">
      <c r="J72" s="77"/>
    </row>
    <row r="73" spans="10:17">
      <c r="J73" s="77"/>
    </row>
    <row r="74" spans="10:17">
      <c r="J74" s="77"/>
    </row>
    <row r="75" spans="10:17">
      <c r="J75" s="77"/>
      <c r="L75" s="89"/>
    </row>
    <row r="76" spans="10:17">
      <c r="J76" s="77"/>
    </row>
    <row r="77" spans="10:17">
      <c r="J77" s="77"/>
      <c r="L77" s="89"/>
    </row>
    <row r="78" spans="10:17">
      <c r="J78" s="77"/>
      <c r="L78" s="89"/>
    </row>
    <row r="79" spans="10:17">
      <c r="J79" s="76"/>
      <c r="L79" s="89"/>
    </row>
    <row r="81" spans="12:12">
      <c r="L81" s="89"/>
    </row>
    <row r="82" spans="12:12">
      <c r="L82" s="89"/>
    </row>
  </sheetData>
  <phoneticPr fontId="4" type="noConversion"/>
  <pageMargins left="1" right="0.75" top="0.98425196850393704" bottom="0" header="0" footer="0"/>
  <pageSetup scale="78" orientation="portrait" r:id="rId1"/>
  <headerFooter alignWithMargins="0"/>
  <drawing r:id="rId2"/>
  <legacy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>
    <tabColor theme="6" tint="0.39997558519241921"/>
    <pageSetUpPr fitToPage="1"/>
  </sheetPr>
  <dimension ref="A1:CW1439"/>
  <sheetViews>
    <sheetView topLeftCell="A40" zoomScale="80" zoomScaleNormal="80" workbookViewId="0"/>
  </sheetViews>
  <sheetFormatPr defaultColWidth="16.109375" defaultRowHeight="13.2"/>
  <cols>
    <col min="1" max="1" width="5.88671875" style="2866" customWidth="1"/>
    <col min="2" max="2" width="4.5546875" style="2866" customWidth="1"/>
    <col min="3" max="3" width="39.6640625" style="2866" customWidth="1"/>
    <col min="4" max="4" width="1.109375" style="2866" customWidth="1"/>
    <col min="5" max="5" width="17.109375" style="2866" customWidth="1"/>
    <col min="6" max="6" width="17.6640625" style="2866" customWidth="1"/>
    <col min="7" max="7" width="14" style="2866" customWidth="1"/>
    <col min="8" max="8" width="18.6640625" style="2866" customWidth="1"/>
    <col min="9" max="9" width="1.88671875" style="2866" customWidth="1"/>
    <col min="10" max="10" width="16.33203125" style="2866" customWidth="1"/>
    <col min="11" max="11" width="1" style="2866" customWidth="1"/>
    <col min="12" max="12" width="13.6640625" style="2866" customWidth="1"/>
    <col min="13" max="13" width="1" style="2866" customWidth="1"/>
    <col min="14" max="14" width="15.6640625" style="2866" customWidth="1"/>
    <col min="15" max="15" width="5.88671875" style="2866" customWidth="1"/>
    <col min="16" max="16" width="22.44140625" style="2866" customWidth="1"/>
    <col min="17" max="20" width="17.44140625" style="2866" customWidth="1"/>
    <col min="21" max="21" width="12.5546875" style="2866" customWidth="1"/>
    <col min="22" max="22" width="18.44140625" style="2866" customWidth="1"/>
    <col min="23" max="23" width="12" style="2866" customWidth="1"/>
    <col min="24" max="24" width="9" style="2866" customWidth="1"/>
    <col min="25" max="25" width="2" style="2866" customWidth="1"/>
    <col min="26" max="26" width="12.6640625" style="2866" customWidth="1"/>
    <col min="27" max="27" width="28.88671875" style="2866" customWidth="1"/>
    <col min="28" max="28" width="17.33203125" style="2866" customWidth="1"/>
    <col min="29" max="29" width="13" style="2866" customWidth="1"/>
    <col min="30" max="30" width="18.6640625" style="2866" customWidth="1"/>
    <col min="31" max="31" width="12.109375" style="2866" customWidth="1"/>
    <col min="32" max="32" width="20" style="2866" customWidth="1"/>
    <col min="33" max="33" width="16.109375" style="2866" customWidth="1"/>
    <col min="34" max="34" width="13.5546875" style="2866" customWidth="1"/>
    <col min="35" max="35" width="5.88671875" style="2866" customWidth="1"/>
    <col min="36" max="36" width="16.109375" style="2866" customWidth="1"/>
    <col min="37" max="37" width="27.6640625" style="2866" customWidth="1"/>
    <col min="38" max="38" width="9.6640625" style="2866" customWidth="1"/>
    <col min="39" max="39" width="20" style="2866" customWidth="1"/>
    <col min="40" max="40" width="11" style="2866" customWidth="1"/>
    <col min="41" max="41" width="13.5546875" style="2866" customWidth="1"/>
    <col min="42" max="42" width="5.88671875" style="2866" customWidth="1"/>
    <col min="43" max="45" width="16.109375" style="2866" customWidth="1"/>
    <col min="46" max="16384" width="16.109375" style="2866"/>
  </cols>
  <sheetData>
    <row r="1" spans="1:101">
      <c r="A1" s="2864" t="str">
        <f>COMPANY</f>
        <v>DUKE ENERGY KENTUCKY, INC.</v>
      </c>
      <c r="B1" s="2865"/>
      <c r="C1" s="2865"/>
      <c r="D1" s="2865"/>
      <c r="E1" s="2865"/>
      <c r="F1" s="2865"/>
      <c r="G1" s="2865"/>
      <c r="H1" s="2865"/>
      <c r="I1" s="2865"/>
      <c r="J1" s="2865"/>
      <c r="K1" s="2865"/>
      <c r="L1" s="2865"/>
      <c r="M1" s="2865"/>
      <c r="N1" s="2865"/>
      <c r="X1" s="2867"/>
      <c r="Y1" s="2867"/>
      <c r="Z1" s="2867"/>
      <c r="AA1" s="2867"/>
      <c r="AB1" s="2867"/>
      <c r="AC1" s="2867"/>
      <c r="AD1" s="2867"/>
      <c r="AE1" s="2867"/>
      <c r="AF1" s="2867"/>
      <c r="AG1" s="2867"/>
      <c r="AH1" s="2867"/>
      <c r="AI1" s="2867"/>
      <c r="AJ1" s="2867"/>
      <c r="AK1" s="2867"/>
      <c r="AL1" s="2867"/>
      <c r="AM1" s="2867"/>
      <c r="AN1" s="2867"/>
      <c r="AO1" s="2867"/>
      <c r="AP1" s="2867"/>
      <c r="AQ1" s="2867"/>
      <c r="AR1" s="2867"/>
      <c r="AS1" s="2867"/>
      <c r="AT1" s="2867"/>
      <c r="AU1" s="2867"/>
      <c r="AV1" s="2867"/>
      <c r="AW1" s="2867"/>
      <c r="AX1" s="2867"/>
      <c r="AY1" s="2867"/>
      <c r="AZ1" s="2867"/>
      <c r="BA1" s="2867"/>
      <c r="BB1" s="2867"/>
      <c r="BC1" s="2867"/>
      <c r="BD1" s="2867"/>
      <c r="BE1" s="2867"/>
      <c r="BF1" s="2867"/>
      <c r="BG1" s="2867"/>
      <c r="BH1" s="2867"/>
      <c r="BI1" s="2867"/>
      <c r="BJ1" s="2867"/>
      <c r="BK1" s="2867"/>
      <c r="BL1" s="2867"/>
      <c r="BM1" s="2867"/>
      <c r="BN1" s="2867"/>
      <c r="BO1" s="2867"/>
      <c r="BP1" s="2867"/>
      <c r="BQ1" s="2867"/>
      <c r="BR1" s="2867"/>
      <c r="BS1" s="2867"/>
      <c r="BT1" s="2867"/>
      <c r="BU1" s="2867"/>
      <c r="BV1" s="2867"/>
      <c r="BW1" s="2867"/>
      <c r="BX1" s="2867"/>
      <c r="BY1" s="2867"/>
      <c r="BZ1" s="2867"/>
      <c r="CA1" s="2867"/>
      <c r="CB1" s="2867"/>
      <c r="CC1" s="2867"/>
      <c r="CD1" s="2867"/>
      <c r="CE1" s="2867"/>
      <c r="CF1" s="2867"/>
      <c r="CG1" s="2867"/>
      <c r="CH1" s="2867"/>
      <c r="CI1" s="2867"/>
      <c r="CJ1" s="2867"/>
      <c r="CK1" s="2867"/>
      <c r="CL1" s="2867"/>
      <c r="CM1" s="2867"/>
      <c r="CN1" s="2867"/>
      <c r="CO1" s="2867"/>
      <c r="CP1" s="2867"/>
      <c r="CQ1" s="2867"/>
      <c r="CR1" s="2867"/>
      <c r="CS1" s="2867"/>
      <c r="CT1" s="2867"/>
      <c r="CU1" s="2867"/>
      <c r="CV1" s="2867"/>
      <c r="CW1" s="2867"/>
    </row>
    <row r="2" spans="1:101">
      <c r="A2" s="2864" t="str">
        <f>CASE</f>
        <v>CASE NO. 2018-00261</v>
      </c>
      <c r="B2" s="2865"/>
      <c r="C2" s="2865"/>
      <c r="D2" s="2865"/>
      <c r="E2" s="2865"/>
      <c r="F2" s="2865"/>
      <c r="G2" s="2865"/>
      <c r="H2" s="2865"/>
      <c r="I2" s="2865"/>
      <c r="J2" s="2865"/>
      <c r="K2" s="2865"/>
      <c r="L2" s="2865"/>
      <c r="M2" s="2865"/>
      <c r="N2" s="2865"/>
      <c r="X2" s="2867"/>
      <c r="Y2" s="2867"/>
      <c r="Z2" s="2867"/>
      <c r="AA2" s="2867"/>
      <c r="AB2" s="2867"/>
      <c r="AC2" s="2867"/>
      <c r="AD2" s="2867"/>
      <c r="AE2" s="2867"/>
      <c r="AF2" s="2867"/>
      <c r="AG2" s="2867"/>
      <c r="AH2" s="2867"/>
      <c r="AI2" s="2867"/>
      <c r="AJ2" s="2867"/>
      <c r="AK2" s="2867"/>
      <c r="AL2" s="2867"/>
      <c r="AM2" s="2867"/>
      <c r="AN2" s="2867"/>
      <c r="AO2" s="2867"/>
      <c r="AP2" s="2867"/>
      <c r="AQ2" s="2867"/>
      <c r="AR2" s="2867"/>
      <c r="AS2" s="2867"/>
      <c r="AT2" s="2867"/>
      <c r="AU2" s="2867"/>
      <c r="AV2" s="2867"/>
      <c r="AW2" s="2867"/>
      <c r="AX2" s="2867"/>
      <c r="AY2" s="2867"/>
      <c r="AZ2" s="2867"/>
      <c r="BA2" s="2867"/>
      <c r="BB2" s="2867"/>
      <c r="BC2" s="2867"/>
      <c r="BD2" s="2867"/>
      <c r="BE2" s="2867"/>
      <c r="BF2" s="2867"/>
      <c r="BG2" s="2867"/>
      <c r="BH2" s="2867"/>
      <c r="BI2" s="2867"/>
      <c r="BJ2" s="2867"/>
      <c r="BK2" s="2867"/>
      <c r="BL2" s="2867"/>
      <c r="BM2" s="2867"/>
      <c r="BN2" s="2867"/>
      <c r="BO2" s="2867"/>
      <c r="BP2" s="2867"/>
      <c r="BQ2" s="2867"/>
      <c r="BR2" s="2867"/>
      <c r="BS2" s="2867"/>
      <c r="BT2" s="2867"/>
      <c r="BU2" s="2867"/>
      <c r="BV2" s="2867"/>
      <c r="BW2" s="2867"/>
      <c r="BX2" s="2867"/>
      <c r="BY2" s="2867"/>
      <c r="BZ2" s="2867"/>
      <c r="CA2" s="2867"/>
      <c r="CB2" s="2867"/>
      <c r="CC2" s="2867"/>
      <c r="CD2" s="2867"/>
      <c r="CE2" s="2867"/>
      <c r="CF2" s="2867"/>
      <c r="CG2" s="2867"/>
      <c r="CH2" s="2867"/>
      <c r="CI2" s="2867"/>
      <c r="CJ2" s="2867"/>
      <c r="CK2" s="2867"/>
      <c r="CL2" s="2867"/>
      <c r="CM2" s="2867"/>
      <c r="CN2" s="2867"/>
      <c r="CO2" s="2867"/>
      <c r="CP2" s="2867"/>
      <c r="CQ2" s="2867"/>
      <c r="CR2" s="2867"/>
      <c r="CS2" s="2867"/>
      <c r="CT2" s="2867"/>
      <c r="CU2" s="2867"/>
      <c r="CV2" s="2867"/>
      <c r="CW2" s="2867"/>
    </row>
    <row r="3" spans="1:101">
      <c r="A3" s="2864" t="s">
        <v>2109</v>
      </c>
      <c r="B3" s="2865"/>
      <c r="C3" s="2865"/>
      <c r="D3" s="2865"/>
      <c r="E3" s="2865"/>
      <c r="F3" s="2865"/>
      <c r="G3" s="2865"/>
      <c r="H3" s="2865"/>
      <c r="I3" s="2865"/>
      <c r="J3" s="2865"/>
      <c r="K3" s="2865"/>
      <c r="L3" s="2865"/>
      <c r="M3" s="2865"/>
      <c r="N3" s="2865"/>
      <c r="X3" s="2867"/>
      <c r="Y3" s="2867"/>
      <c r="Z3" s="2867"/>
      <c r="AA3" s="2867"/>
      <c r="AB3" s="2867"/>
      <c r="AC3" s="2867"/>
      <c r="AD3" s="2867"/>
      <c r="AE3" s="2867"/>
      <c r="AF3" s="2867"/>
      <c r="AG3" s="2867"/>
      <c r="AH3" s="2867"/>
      <c r="AI3" s="2867"/>
      <c r="AJ3" s="2867"/>
      <c r="AK3" s="2867"/>
      <c r="AL3" s="2867"/>
      <c r="AM3" s="2867"/>
      <c r="AN3" s="2867"/>
      <c r="AO3" s="2867"/>
      <c r="AP3" s="2867"/>
      <c r="AQ3" s="2867"/>
      <c r="AR3" s="2867"/>
      <c r="AS3" s="2867"/>
      <c r="AT3" s="2867"/>
      <c r="AU3" s="2867"/>
      <c r="AV3" s="2867"/>
      <c r="AW3" s="2867"/>
      <c r="AX3" s="2867"/>
      <c r="AY3" s="2867"/>
      <c r="AZ3" s="2867"/>
      <c r="BA3" s="2867"/>
      <c r="BB3" s="2867"/>
      <c r="BC3" s="2867"/>
      <c r="BD3" s="2867"/>
      <c r="BE3" s="2867"/>
      <c r="BF3" s="2867"/>
      <c r="BG3" s="2867"/>
      <c r="BH3" s="2867"/>
      <c r="BI3" s="2867"/>
      <c r="BJ3" s="2867"/>
      <c r="BK3" s="2867"/>
      <c r="BL3" s="2867"/>
      <c r="BM3" s="2867"/>
      <c r="BN3" s="2867"/>
      <c r="BO3" s="2867"/>
      <c r="BP3" s="2867"/>
      <c r="BQ3" s="2867"/>
      <c r="BR3" s="2867"/>
      <c r="BS3" s="2867"/>
      <c r="BT3" s="2867"/>
      <c r="BU3" s="2867"/>
      <c r="BV3" s="2867"/>
      <c r="BW3" s="2867"/>
      <c r="BX3" s="2867"/>
      <c r="BY3" s="2867"/>
      <c r="BZ3" s="2867"/>
      <c r="CA3" s="2867"/>
      <c r="CB3" s="2867"/>
      <c r="CC3" s="2867"/>
      <c r="CD3" s="2867"/>
      <c r="CE3" s="2867"/>
      <c r="CF3" s="2867"/>
      <c r="CG3" s="2867"/>
      <c r="CH3" s="2867"/>
      <c r="CI3" s="2867"/>
      <c r="CJ3" s="2867"/>
      <c r="CK3" s="2867"/>
      <c r="CL3" s="2867"/>
      <c r="CM3" s="2867"/>
      <c r="CN3" s="2867"/>
      <c r="CO3" s="2867"/>
      <c r="CP3" s="2867"/>
      <c r="CQ3" s="2867"/>
      <c r="CR3" s="2867"/>
      <c r="CS3" s="2867"/>
      <c r="CT3" s="2867"/>
      <c r="CU3" s="2867"/>
      <c r="CV3" s="2867"/>
      <c r="CW3" s="2867"/>
    </row>
    <row r="4" spans="1:101">
      <c r="A4" s="2864" t="str">
        <f>PERIOD</f>
        <v>FOR THE TWELVE MONTHS ENDED NOVEMBER 30, 2018</v>
      </c>
      <c r="B4" s="2865"/>
      <c r="C4" s="2865"/>
      <c r="D4" s="2865"/>
      <c r="E4" s="2865"/>
      <c r="F4" s="2865"/>
      <c r="G4" s="2865"/>
      <c r="H4" s="2865"/>
      <c r="I4" s="2865"/>
      <c r="J4" s="2865"/>
      <c r="K4" s="2865"/>
      <c r="L4" s="2865"/>
      <c r="M4" s="2865"/>
      <c r="N4" s="2865"/>
      <c r="X4" s="2867"/>
      <c r="Y4" s="2867"/>
      <c r="Z4" s="2867"/>
      <c r="AA4" s="2867"/>
      <c r="AB4" s="2867"/>
      <c r="AC4" s="2867"/>
      <c r="AD4" s="2867"/>
      <c r="AE4" s="2867"/>
      <c r="AF4" s="2867"/>
      <c r="AG4" s="2867"/>
      <c r="AH4" s="2867"/>
      <c r="AI4" s="2867"/>
      <c r="AJ4" s="2867"/>
      <c r="AK4" s="2867"/>
      <c r="AL4" s="2867"/>
      <c r="AM4" s="2867"/>
      <c r="AN4" s="2867"/>
      <c r="AO4" s="2867"/>
      <c r="AP4" s="2867"/>
      <c r="AQ4" s="2867"/>
      <c r="AR4" s="2867"/>
      <c r="AS4" s="2867"/>
      <c r="AT4" s="2867"/>
      <c r="AU4" s="2867"/>
      <c r="AV4" s="2867"/>
      <c r="AW4" s="2867"/>
      <c r="AX4" s="2867"/>
      <c r="AY4" s="2867"/>
      <c r="AZ4" s="2867"/>
      <c r="BA4" s="2867"/>
      <c r="BB4" s="2867"/>
      <c r="BC4" s="2867"/>
      <c r="BD4" s="2867"/>
      <c r="BE4" s="2867"/>
      <c r="BF4" s="2867"/>
      <c r="BG4" s="2867"/>
      <c r="BH4" s="2867"/>
      <c r="BI4" s="2867"/>
      <c r="BJ4" s="2867"/>
      <c r="BK4" s="2867"/>
      <c r="BL4" s="2867"/>
      <c r="BM4" s="2867"/>
      <c r="BN4" s="2867"/>
      <c r="BO4" s="2867"/>
      <c r="BP4" s="2867"/>
      <c r="BQ4" s="2867"/>
      <c r="BR4" s="2867"/>
      <c r="BS4" s="2867"/>
      <c r="BT4" s="2867"/>
      <c r="BU4" s="2867"/>
      <c r="BV4" s="2867"/>
      <c r="BW4" s="2867"/>
      <c r="BX4" s="2867"/>
      <c r="BY4" s="2867"/>
      <c r="BZ4" s="2867"/>
      <c r="CA4" s="2867"/>
      <c r="CB4" s="2867"/>
      <c r="CC4" s="2867"/>
      <c r="CD4" s="2867"/>
      <c r="CE4" s="2867"/>
      <c r="CF4" s="2867"/>
      <c r="CG4" s="2867"/>
      <c r="CH4" s="2867"/>
      <c r="CI4" s="2867"/>
      <c r="CJ4" s="2867"/>
      <c r="CK4" s="2867"/>
      <c r="CL4" s="2867"/>
      <c r="CM4" s="2867"/>
      <c r="CN4" s="2867"/>
      <c r="CO4" s="2867"/>
      <c r="CP4" s="2867"/>
      <c r="CQ4" s="2867"/>
      <c r="CR4" s="2867"/>
      <c r="CS4" s="2867"/>
      <c r="CT4" s="2867"/>
      <c r="CU4" s="2867"/>
      <c r="CV4" s="2867"/>
      <c r="CW4" s="2867"/>
    </row>
    <row r="5" spans="1:101">
      <c r="A5" s="2864" t="str">
        <f>PeriodF</f>
        <v>FOR THE TWELVE MONTHS ENDED MARCH 31, 2020</v>
      </c>
      <c r="B5" s="2865"/>
      <c r="C5" s="2865"/>
      <c r="D5" s="2865"/>
      <c r="E5" s="2865"/>
      <c r="F5" s="2865"/>
      <c r="G5" s="2865"/>
      <c r="H5" s="2865"/>
      <c r="I5" s="2865"/>
      <c r="J5" s="2865"/>
      <c r="K5" s="2865"/>
      <c r="L5" s="2865"/>
      <c r="M5" s="2865"/>
      <c r="N5" s="2865"/>
      <c r="X5" s="2867"/>
      <c r="Y5" s="2867"/>
      <c r="Z5" s="2867"/>
      <c r="AA5" s="2867"/>
      <c r="AB5" s="2867"/>
      <c r="AC5" s="2867"/>
      <c r="AD5" s="2867"/>
      <c r="AE5" s="2867"/>
      <c r="AF5" s="2867"/>
      <c r="AG5" s="2867"/>
      <c r="AH5" s="2867"/>
      <c r="AI5" s="2867"/>
      <c r="AJ5" s="2867"/>
      <c r="AK5" s="2867"/>
      <c r="AL5" s="2867"/>
      <c r="AM5" s="2867"/>
      <c r="AN5" s="2867"/>
      <c r="AO5" s="2867"/>
      <c r="AP5" s="2867"/>
      <c r="AQ5" s="2867"/>
      <c r="AR5" s="2867"/>
      <c r="AS5" s="2867"/>
      <c r="AT5" s="2867"/>
      <c r="AU5" s="2867"/>
      <c r="AV5" s="2867"/>
      <c r="AW5" s="2867"/>
      <c r="AX5" s="2867"/>
      <c r="AY5" s="2867"/>
      <c r="AZ5" s="2867"/>
      <c r="BA5" s="2867"/>
      <c r="BB5" s="2867"/>
      <c r="BC5" s="2867"/>
      <c r="BD5" s="2867"/>
      <c r="BE5" s="2867"/>
      <c r="BF5" s="2867"/>
      <c r="BG5" s="2867"/>
      <c r="BH5" s="2867"/>
      <c r="BI5" s="2867"/>
      <c r="BJ5" s="2867"/>
      <c r="BK5" s="2867"/>
      <c r="BL5" s="2867"/>
      <c r="BM5" s="2867"/>
      <c r="BN5" s="2867"/>
      <c r="BO5" s="2867"/>
      <c r="BP5" s="2867"/>
      <c r="BQ5" s="2867"/>
      <c r="BR5" s="2867"/>
      <c r="BS5" s="2867"/>
      <c r="BT5" s="2867"/>
      <c r="BU5" s="2867"/>
      <c r="BV5" s="2867"/>
      <c r="BW5" s="2867"/>
      <c r="BX5" s="2867"/>
      <c r="BY5" s="2867"/>
      <c r="BZ5" s="2867"/>
      <c r="CA5" s="2867"/>
      <c r="CB5" s="2867"/>
      <c r="CC5" s="2867"/>
      <c r="CD5" s="2867"/>
      <c r="CE5" s="2867"/>
      <c r="CF5" s="2867"/>
      <c r="CG5" s="2867"/>
      <c r="CH5" s="2867"/>
      <c r="CI5" s="2867"/>
      <c r="CJ5" s="2867"/>
      <c r="CK5" s="2867"/>
      <c r="CL5" s="2867"/>
      <c r="CM5" s="2867"/>
      <c r="CN5" s="2867"/>
      <c r="CO5" s="2867"/>
      <c r="CP5" s="2867"/>
      <c r="CQ5" s="2867"/>
      <c r="CR5" s="2867"/>
      <c r="CS5" s="2867"/>
      <c r="CT5" s="2867"/>
      <c r="CU5" s="2867"/>
      <c r="CV5" s="2867"/>
      <c r="CW5" s="2867"/>
    </row>
    <row r="6" spans="1:101">
      <c r="A6" s="2865"/>
      <c r="B6" s="2865"/>
      <c r="C6" s="2865"/>
      <c r="D6" s="2865"/>
      <c r="E6" s="2865"/>
      <c r="F6" s="2865"/>
      <c r="G6" s="2865"/>
      <c r="H6" s="2865"/>
      <c r="I6" s="2865"/>
      <c r="J6" s="2865"/>
      <c r="K6" s="2865"/>
      <c r="L6" s="2865"/>
      <c r="M6" s="2865"/>
      <c r="N6" s="2865"/>
      <c r="X6" s="2867"/>
      <c r="Y6" s="2867"/>
      <c r="Z6" s="2867"/>
      <c r="AA6" s="2867"/>
      <c r="AB6" s="2867"/>
      <c r="AC6" s="2867"/>
      <c r="AD6" s="2867"/>
      <c r="AE6" s="2867"/>
      <c r="AF6" s="2867"/>
      <c r="AG6" s="2867"/>
      <c r="AH6" s="2867"/>
      <c r="AI6" s="2867"/>
      <c r="AJ6" s="2867"/>
      <c r="AK6" s="2867"/>
      <c r="AL6" s="2867"/>
      <c r="AM6" s="2867"/>
      <c r="AN6" s="2867"/>
      <c r="AO6" s="2867"/>
      <c r="AP6" s="2867"/>
      <c r="AQ6" s="2867"/>
      <c r="AR6" s="2867"/>
      <c r="AS6" s="2867"/>
      <c r="AT6" s="2867"/>
      <c r="AU6" s="2867"/>
      <c r="AV6" s="2867"/>
      <c r="AW6" s="2867"/>
      <c r="AX6" s="2867"/>
      <c r="AY6" s="2867"/>
      <c r="AZ6" s="2867"/>
      <c r="BA6" s="2867"/>
      <c r="BB6" s="2867"/>
      <c r="BC6" s="2867"/>
      <c r="BD6" s="2867"/>
      <c r="BE6" s="2867"/>
      <c r="BF6" s="2867"/>
      <c r="BG6" s="2867"/>
      <c r="BH6" s="2867"/>
      <c r="BI6" s="2867"/>
      <c r="BJ6" s="2867"/>
      <c r="BK6" s="2867"/>
      <c r="BL6" s="2867"/>
      <c r="BM6" s="2867"/>
      <c r="BN6" s="2867"/>
      <c r="BO6" s="2867"/>
      <c r="BP6" s="2867"/>
      <c r="BQ6" s="2867"/>
      <c r="BR6" s="2867"/>
      <c r="BS6" s="2867"/>
      <c r="BT6" s="2867"/>
      <c r="BU6" s="2867"/>
      <c r="BV6" s="2867"/>
      <c r="BW6" s="2867"/>
      <c r="BX6" s="2867"/>
      <c r="BY6" s="2867"/>
      <c r="BZ6" s="2867"/>
      <c r="CA6" s="2867"/>
      <c r="CB6" s="2867"/>
      <c r="CC6" s="2867"/>
      <c r="CD6" s="2867"/>
      <c r="CE6" s="2867"/>
      <c r="CF6" s="2867"/>
      <c r="CG6" s="2867"/>
      <c r="CH6" s="2867"/>
      <c r="CI6" s="2867"/>
      <c r="CJ6" s="2867"/>
      <c r="CK6" s="2867"/>
      <c r="CL6" s="2867"/>
      <c r="CM6" s="2867"/>
      <c r="CN6" s="2867"/>
      <c r="CO6" s="2867"/>
      <c r="CP6" s="2867"/>
      <c r="CQ6" s="2867"/>
      <c r="CR6" s="2867"/>
      <c r="CS6" s="2867"/>
      <c r="CT6" s="2867"/>
      <c r="CU6" s="2867"/>
      <c r="CV6" s="2867"/>
      <c r="CW6" s="2867"/>
    </row>
    <row r="7" spans="1:101">
      <c r="A7" s="2868" t="str">
        <f>DataB</f>
        <v>DATA: "X" BASE PERIOD  "X" FORECASTED PERIOD</v>
      </c>
      <c r="K7" s="2869"/>
      <c r="L7" s="2869" t="s">
        <v>727</v>
      </c>
      <c r="X7" s="2867"/>
      <c r="Y7" s="2867"/>
      <c r="Z7" s="2867"/>
      <c r="AA7" s="2867"/>
      <c r="AB7" s="2867"/>
      <c r="AC7" s="2867"/>
      <c r="AD7" s="2867"/>
      <c r="AE7" s="2867"/>
      <c r="AF7" s="2867"/>
      <c r="AG7" s="2867"/>
      <c r="AH7" s="2867"/>
      <c r="AI7" s="2867"/>
      <c r="AJ7" s="2867"/>
      <c r="AK7" s="2867"/>
      <c r="AL7" s="2867"/>
      <c r="AM7" s="2867"/>
      <c r="AN7" s="2867"/>
      <c r="AO7" s="2867"/>
      <c r="AP7" s="2867"/>
      <c r="AQ7" s="2867"/>
      <c r="AR7" s="2867"/>
      <c r="AS7" s="2867"/>
      <c r="AT7" s="2867"/>
      <c r="AU7" s="2867"/>
      <c r="AV7" s="2867"/>
      <c r="AW7" s="2867"/>
      <c r="AX7" s="2867"/>
      <c r="AY7" s="2867"/>
      <c r="AZ7" s="2867"/>
      <c r="BA7" s="2867"/>
      <c r="BB7" s="2867"/>
      <c r="BC7" s="2867"/>
      <c r="BD7" s="2867"/>
      <c r="BE7" s="2867"/>
      <c r="BF7" s="2867"/>
      <c r="BG7" s="2867"/>
      <c r="BH7" s="2867"/>
      <c r="BI7" s="2867"/>
      <c r="BJ7" s="2867"/>
      <c r="BK7" s="2867"/>
      <c r="BL7" s="2867"/>
      <c r="BM7" s="2867"/>
      <c r="BN7" s="2867"/>
      <c r="BO7" s="2867"/>
      <c r="BP7" s="2867"/>
      <c r="BQ7" s="2867"/>
      <c r="BR7" s="2867"/>
      <c r="BS7" s="2867"/>
      <c r="BT7" s="2867"/>
      <c r="BU7" s="2867"/>
      <c r="BV7" s="2867"/>
      <c r="BW7" s="2867"/>
      <c r="BX7" s="2867"/>
      <c r="BY7" s="2867"/>
      <c r="BZ7" s="2867"/>
      <c r="CA7" s="2867"/>
      <c r="CB7" s="2867"/>
      <c r="CC7" s="2867"/>
      <c r="CD7" s="2867"/>
      <c r="CE7" s="2867"/>
      <c r="CF7" s="2867"/>
      <c r="CG7" s="2867"/>
      <c r="CH7" s="2867"/>
      <c r="CI7" s="2867"/>
      <c r="CJ7" s="2867"/>
      <c r="CK7" s="2867"/>
      <c r="CL7" s="2867"/>
      <c r="CM7" s="2867"/>
      <c r="CN7" s="2867"/>
      <c r="CO7" s="2867"/>
      <c r="CP7" s="2867"/>
      <c r="CQ7" s="2867"/>
      <c r="CR7" s="2867"/>
      <c r="CS7" s="2867"/>
      <c r="CT7" s="2867"/>
      <c r="CU7" s="2867"/>
      <c r="CV7" s="2867"/>
      <c r="CW7" s="2867"/>
    </row>
    <row r="8" spans="1:101">
      <c r="A8" s="2868" t="str">
        <f>Type</f>
        <v xml:space="preserve">TYPE OF FILING:  "X" ORIGINAL   UPDATED    REVISED  </v>
      </c>
      <c r="K8" s="2869"/>
      <c r="L8" s="2869" t="s">
        <v>728</v>
      </c>
      <c r="X8" s="2867"/>
      <c r="Y8" s="2867"/>
      <c r="Z8" s="2867"/>
      <c r="AA8" s="2867"/>
      <c r="AB8" s="2867"/>
      <c r="AC8" s="2867"/>
      <c r="AD8" s="2867"/>
      <c r="AE8" s="2867"/>
      <c r="AF8" s="2867"/>
      <c r="AG8" s="2867"/>
      <c r="AH8" s="2867"/>
      <c r="AI8" s="2867"/>
      <c r="AJ8" s="2867"/>
      <c r="AK8" s="2867"/>
      <c r="AL8" s="2867"/>
      <c r="AM8" s="2867"/>
      <c r="AN8" s="2867"/>
      <c r="AO8" s="2867"/>
      <c r="AP8" s="2867"/>
      <c r="AQ8" s="2867"/>
      <c r="AR8" s="2867"/>
      <c r="AS8" s="2867"/>
      <c r="AT8" s="2867"/>
      <c r="AU8" s="2867"/>
      <c r="AV8" s="2867"/>
      <c r="AW8" s="2867"/>
      <c r="AX8" s="2867"/>
      <c r="AY8" s="2867"/>
      <c r="AZ8" s="2867"/>
      <c r="BA8" s="2867"/>
      <c r="BB8" s="2867"/>
      <c r="BC8" s="2867"/>
      <c r="BD8" s="2867"/>
      <c r="BE8" s="2867"/>
      <c r="BF8" s="2867"/>
      <c r="BG8" s="2867"/>
      <c r="BH8" s="2867"/>
      <c r="BI8" s="2867"/>
      <c r="BJ8" s="2867"/>
      <c r="BK8" s="2867"/>
      <c r="BL8" s="2867"/>
      <c r="BM8" s="2867"/>
      <c r="BN8" s="2867"/>
      <c r="BO8" s="2867"/>
      <c r="BP8" s="2867"/>
      <c r="BQ8" s="2867"/>
      <c r="BR8" s="2867"/>
      <c r="BS8" s="2867"/>
      <c r="BT8" s="2867"/>
      <c r="BU8" s="2867"/>
      <c r="BV8" s="2867"/>
      <c r="BW8" s="2867"/>
      <c r="BX8" s="2867"/>
      <c r="BY8" s="2867"/>
      <c r="BZ8" s="2867"/>
      <c r="CA8" s="2867"/>
      <c r="CB8" s="2867"/>
      <c r="CC8" s="2867"/>
      <c r="CD8" s="2867"/>
      <c r="CE8" s="2867"/>
      <c r="CF8" s="2867"/>
      <c r="CG8" s="2867"/>
      <c r="CH8" s="2867"/>
      <c r="CI8" s="2867"/>
      <c r="CJ8" s="2867"/>
      <c r="CK8" s="2867"/>
      <c r="CL8" s="2867"/>
      <c r="CM8" s="2867"/>
      <c r="CN8" s="2867"/>
      <c r="CO8" s="2867"/>
      <c r="CP8" s="2867"/>
      <c r="CQ8" s="2867"/>
      <c r="CR8" s="2867"/>
      <c r="CS8" s="2867"/>
      <c r="CT8" s="2867"/>
      <c r="CU8" s="2867"/>
      <c r="CV8" s="2867"/>
      <c r="CW8" s="2867"/>
    </row>
    <row r="9" spans="1:101">
      <c r="A9" s="2869" t="s">
        <v>979</v>
      </c>
      <c r="K9" s="2869"/>
      <c r="L9" s="2869" t="s">
        <v>729</v>
      </c>
      <c r="X9" s="2867"/>
      <c r="Y9" s="2867"/>
      <c r="Z9" s="2867"/>
      <c r="AA9" s="2867"/>
      <c r="AB9" s="2867"/>
      <c r="AC9" s="2867"/>
      <c r="AD9" s="2867"/>
      <c r="AE9" s="2867"/>
      <c r="AF9" s="2867"/>
      <c r="AG9" s="2867"/>
      <c r="AH9" s="2867"/>
      <c r="AI9" s="2867"/>
      <c r="AJ9" s="2867"/>
      <c r="AK9" s="2867"/>
      <c r="AL9" s="2867"/>
      <c r="AM9" s="2867"/>
      <c r="AN9" s="2867"/>
      <c r="AO9" s="2867"/>
      <c r="AP9" s="2867"/>
      <c r="AQ9" s="2867"/>
      <c r="AR9" s="2867"/>
      <c r="AS9" s="2867"/>
      <c r="AT9" s="2867"/>
      <c r="AU9" s="2867"/>
      <c r="AV9" s="2867"/>
      <c r="AW9" s="2867"/>
      <c r="AX9" s="2867"/>
      <c r="AY9" s="2867"/>
      <c r="AZ9" s="2867"/>
      <c r="BA9" s="2867"/>
      <c r="BB9" s="2867"/>
      <c r="BC9" s="2867"/>
      <c r="BD9" s="2867"/>
      <c r="BE9" s="2867"/>
      <c r="BF9" s="2867"/>
      <c r="BG9" s="2867"/>
      <c r="BH9" s="2867"/>
      <c r="BI9" s="2867"/>
      <c r="BJ9" s="2867"/>
      <c r="BK9" s="2867"/>
      <c r="BL9" s="2867"/>
      <c r="BM9" s="2867"/>
      <c r="BN9" s="2867"/>
      <c r="BO9" s="2867"/>
      <c r="BP9" s="2867"/>
      <c r="BQ9" s="2867"/>
      <c r="BR9" s="2867"/>
      <c r="BS9" s="2867"/>
      <c r="BT9" s="2867"/>
      <c r="BU9" s="2867"/>
      <c r="BV9" s="2867"/>
      <c r="BW9" s="2867"/>
      <c r="BX9" s="2867"/>
      <c r="BY9" s="2867"/>
      <c r="BZ9" s="2867"/>
      <c r="CA9" s="2867"/>
      <c r="CB9" s="2867"/>
      <c r="CC9" s="2867"/>
      <c r="CD9" s="2867"/>
      <c r="CE9" s="2867"/>
      <c r="CF9" s="2867"/>
      <c r="CG9" s="2867"/>
      <c r="CH9" s="2867"/>
      <c r="CI9" s="2867"/>
      <c r="CJ9" s="2867"/>
      <c r="CK9" s="2867"/>
      <c r="CL9" s="2867"/>
      <c r="CM9" s="2867"/>
      <c r="CN9" s="2867"/>
      <c r="CO9" s="2867"/>
      <c r="CP9" s="2867"/>
      <c r="CQ9" s="2867"/>
      <c r="CR9" s="2867"/>
      <c r="CS9" s="2867"/>
      <c r="CT9" s="2867"/>
      <c r="CU9" s="2867"/>
      <c r="CV9" s="2867"/>
      <c r="CW9" s="2867"/>
    </row>
    <row r="10" spans="1:101">
      <c r="L10" s="2866" t="str">
        <f>"              "&amp;_WIT1</f>
        <v xml:space="preserve">              S. E. LAWLER</v>
      </c>
      <c r="X10" s="2867"/>
      <c r="Y10" s="2867"/>
      <c r="Z10" s="2867"/>
      <c r="AA10" s="2867"/>
      <c r="AB10" s="2867"/>
      <c r="AC10" s="2867"/>
      <c r="AD10" s="2867"/>
      <c r="AE10" s="2867"/>
      <c r="AF10" s="2867"/>
      <c r="AG10" s="2867"/>
      <c r="AH10" s="2867"/>
      <c r="AI10" s="2867"/>
      <c r="AJ10" s="2867"/>
      <c r="AK10" s="2867"/>
      <c r="AL10" s="2867"/>
      <c r="AM10" s="2870"/>
      <c r="AN10" s="2867"/>
      <c r="AO10" s="2870"/>
      <c r="AP10" s="2867"/>
      <c r="AQ10" s="2867"/>
      <c r="AR10" s="2867"/>
      <c r="AS10" s="2867"/>
      <c r="AT10" s="2867"/>
      <c r="AU10" s="2867"/>
      <c r="AV10" s="2867"/>
      <c r="AW10" s="2867"/>
      <c r="AX10" s="2867"/>
      <c r="AY10" s="2867"/>
      <c r="AZ10" s="2867"/>
      <c r="BA10" s="2867"/>
      <c r="BB10" s="2867"/>
      <c r="BC10" s="2867"/>
      <c r="BD10" s="2867"/>
      <c r="BE10" s="2867"/>
      <c r="BF10" s="2867"/>
      <c r="BG10" s="2867"/>
      <c r="BH10" s="2867"/>
      <c r="BI10" s="2867"/>
      <c r="BJ10" s="2867"/>
      <c r="BK10" s="2867"/>
      <c r="BL10" s="2867"/>
      <c r="BM10" s="2867"/>
      <c r="BN10" s="2867"/>
      <c r="BO10" s="2867"/>
      <c r="BP10" s="2867"/>
      <c r="BQ10" s="2867"/>
      <c r="BR10" s="2867"/>
      <c r="BS10" s="2867"/>
      <c r="BT10" s="2867"/>
      <c r="BU10" s="2867"/>
      <c r="BV10" s="2867"/>
      <c r="BW10" s="2867"/>
      <c r="BX10" s="2867"/>
      <c r="BY10" s="2867"/>
      <c r="BZ10" s="2867"/>
      <c r="CA10" s="2867"/>
      <c r="CB10" s="2867"/>
      <c r="CC10" s="2867"/>
      <c r="CD10" s="2867"/>
      <c r="CE10" s="2867"/>
      <c r="CF10" s="2867"/>
      <c r="CG10" s="2867"/>
      <c r="CH10" s="2867"/>
      <c r="CI10" s="2867"/>
      <c r="CJ10" s="2867"/>
      <c r="CK10" s="2867"/>
      <c r="CL10" s="2867"/>
      <c r="CM10" s="2867"/>
      <c r="CN10" s="2867"/>
      <c r="CO10" s="2867"/>
      <c r="CP10" s="2867"/>
      <c r="CQ10" s="2867"/>
      <c r="CR10" s="2867"/>
      <c r="CS10" s="2867"/>
      <c r="CT10" s="2867"/>
      <c r="CU10" s="2867"/>
      <c r="CV10" s="2867"/>
      <c r="CW10" s="2867"/>
    </row>
    <row r="11" spans="1:101">
      <c r="A11" s="2871"/>
      <c r="B11" s="2871"/>
      <c r="C11" s="2871"/>
      <c r="D11" s="2871"/>
      <c r="E11" s="2871"/>
      <c r="F11" s="2871"/>
      <c r="G11" s="2871"/>
      <c r="H11" s="2871"/>
      <c r="I11" s="2871"/>
      <c r="J11" s="2871"/>
      <c r="K11" s="2871"/>
      <c r="L11" s="2871"/>
      <c r="M11" s="2871"/>
      <c r="N11" s="2871"/>
      <c r="P11" s="2871"/>
      <c r="X11" s="2867"/>
      <c r="Y11" s="2867"/>
      <c r="Z11" s="2867"/>
      <c r="AA11" s="2867"/>
      <c r="AB11" s="2867"/>
      <c r="AC11" s="2867"/>
      <c r="AD11" s="2867"/>
      <c r="AE11" s="2867"/>
      <c r="AF11" s="2867"/>
      <c r="AG11" s="2867"/>
      <c r="AH11" s="2867"/>
      <c r="AI11" s="2867"/>
      <c r="AJ11" s="2867"/>
      <c r="AK11" s="2867"/>
      <c r="AL11" s="2867"/>
      <c r="AM11" s="2870"/>
      <c r="AN11" s="2867"/>
      <c r="AO11" s="2870"/>
      <c r="AP11" s="2867"/>
      <c r="AQ11" s="2867"/>
      <c r="AR11" s="2867"/>
      <c r="AS11" s="2867"/>
      <c r="AT11" s="2867"/>
      <c r="AU11" s="2867"/>
      <c r="AV11" s="2867"/>
      <c r="AW11" s="2867"/>
      <c r="AX11" s="2867"/>
      <c r="AY11" s="2867"/>
      <c r="AZ11" s="2867"/>
      <c r="BA11" s="2867"/>
      <c r="BB11" s="2867"/>
      <c r="BC11" s="2867"/>
      <c r="BD11" s="2867"/>
      <c r="BE11" s="2867"/>
      <c r="BF11" s="2867"/>
      <c r="BG11" s="2867"/>
      <c r="BH11" s="2867"/>
      <c r="BI11" s="2867"/>
      <c r="BJ11" s="2867"/>
      <c r="BK11" s="2867"/>
      <c r="BL11" s="2867"/>
      <c r="BM11" s="2867"/>
      <c r="BN11" s="2867"/>
      <c r="BO11" s="2867"/>
      <c r="BP11" s="2867"/>
      <c r="BQ11" s="2867"/>
      <c r="BR11" s="2867"/>
      <c r="BS11" s="2867"/>
      <c r="BT11" s="2867"/>
      <c r="BU11" s="2867"/>
      <c r="BV11" s="2867"/>
      <c r="BW11" s="2867"/>
      <c r="BX11" s="2867"/>
      <c r="BY11" s="2867"/>
      <c r="BZ11" s="2867"/>
      <c r="CA11" s="2867"/>
      <c r="CB11" s="2867"/>
      <c r="CC11" s="2867"/>
      <c r="CD11" s="2867"/>
      <c r="CE11" s="2867"/>
      <c r="CF11" s="2867"/>
      <c r="CG11" s="2867"/>
      <c r="CH11" s="2867"/>
      <c r="CI11" s="2867"/>
      <c r="CJ11" s="2867"/>
      <c r="CK11" s="2867"/>
      <c r="CL11" s="2867"/>
      <c r="CM11" s="2867"/>
      <c r="CN11" s="2867"/>
      <c r="CO11" s="2867"/>
      <c r="CP11" s="2867"/>
      <c r="CQ11" s="2867"/>
      <c r="CR11" s="2867"/>
      <c r="CS11" s="2867"/>
      <c r="CT11" s="2867"/>
      <c r="CU11" s="2867"/>
      <c r="CV11" s="2867"/>
      <c r="CW11" s="2867"/>
    </row>
    <row r="12" spans="1:101">
      <c r="A12" s="2867"/>
      <c r="B12" s="2867"/>
      <c r="C12" s="2867"/>
      <c r="D12" s="2867"/>
      <c r="E12" s="2867"/>
      <c r="F12" s="2867"/>
      <c r="G12" s="2867"/>
      <c r="H12" s="2867"/>
      <c r="I12" s="2867"/>
      <c r="J12" s="2872" t="s">
        <v>159</v>
      </c>
      <c r="K12" s="2872"/>
      <c r="L12" s="2872"/>
      <c r="M12" s="2867"/>
      <c r="N12" s="2867"/>
      <c r="P12" s="2873" t="s">
        <v>884</v>
      </c>
      <c r="X12" s="2867"/>
      <c r="Y12" s="2867"/>
      <c r="Z12" s="2867"/>
      <c r="AA12" s="2867"/>
      <c r="AB12" s="2867"/>
      <c r="AC12" s="2867"/>
      <c r="AD12" s="2867"/>
      <c r="AE12" s="2867"/>
      <c r="AF12" s="2867"/>
      <c r="AG12" s="2867"/>
      <c r="AH12" s="2867"/>
      <c r="AI12" s="2867"/>
      <c r="AJ12" s="2867"/>
      <c r="AK12" s="2867"/>
      <c r="AL12" s="2867"/>
      <c r="AM12" s="2870"/>
      <c r="AN12" s="2867"/>
      <c r="AO12" s="2870"/>
      <c r="AP12" s="2867"/>
      <c r="AQ12" s="2867"/>
      <c r="AR12" s="2867"/>
      <c r="AS12" s="2867"/>
      <c r="AT12" s="2867"/>
      <c r="AU12" s="2867"/>
      <c r="AV12" s="2867"/>
      <c r="AW12" s="2867"/>
      <c r="AX12" s="2867"/>
      <c r="AY12" s="2867"/>
      <c r="AZ12" s="2867"/>
      <c r="BA12" s="2867"/>
      <c r="BB12" s="2867"/>
      <c r="BC12" s="2867"/>
      <c r="BD12" s="2867"/>
      <c r="BE12" s="2867"/>
      <c r="BF12" s="2867"/>
      <c r="BG12" s="2867"/>
      <c r="BH12" s="2867"/>
      <c r="BI12" s="2867"/>
      <c r="BJ12" s="2867"/>
      <c r="BK12" s="2867"/>
      <c r="BL12" s="2867"/>
      <c r="BM12" s="2867"/>
      <c r="BN12" s="2867"/>
      <c r="BO12" s="2867"/>
      <c r="BP12" s="2867"/>
      <c r="BQ12" s="2867"/>
      <c r="BR12" s="2867"/>
      <c r="BS12" s="2867"/>
      <c r="BT12" s="2867"/>
      <c r="BU12" s="2867"/>
      <c r="BV12" s="2867"/>
      <c r="BW12" s="2867"/>
      <c r="BX12" s="2867"/>
      <c r="BY12" s="2867"/>
      <c r="BZ12" s="2867"/>
      <c r="CA12" s="2867"/>
      <c r="CB12" s="2867"/>
      <c r="CC12" s="2867"/>
      <c r="CD12" s="2867"/>
      <c r="CE12" s="2867"/>
      <c r="CF12" s="2867"/>
      <c r="CG12" s="2867"/>
      <c r="CH12" s="2867"/>
      <c r="CI12" s="2867"/>
      <c r="CJ12" s="2867"/>
      <c r="CK12" s="2867"/>
      <c r="CL12" s="2867"/>
      <c r="CM12" s="2867"/>
      <c r="CN12" s="2867"/>
      <c r="CO12" s="2867"/>
      <c r="CP12" s="2867"/>
      <c r="CQ12" s="2867"/>
      <c r="CR12" s="2867"/>
      <c r="CS12" s="2867"/>
      <c r="CT12" s="2867"/>
      <c r="CU12" s="2867"/>
      <c r="CV12" s="2867"/>
      <c r="CW12" s="2867"/>
    </row>
    <row r="13" spans="1:101">
      <c r="C13" s="2874" t="s">
        <v>730</v>
      </c>
      <c r="E13" s="2875"/>
      <c r="F13" s="2876" t="s">
        <v>1499</v>
      </c>
      <c r="G13" s="2877"/>
      <c r="H13" s="2878"/>
      <c r="J13" s="2876" t="s">
        <v>1651</v>
      </c>
      <c r="K13" s="2876"/>
      <c r="L13" s="2876"/>
      <c r="M13" s="2879"/>
      <c r="N13" s="2879" t="s">
        <v>732</v>
      </c>
      <c r="P13" s="2880" t="s">
        <v>583</v>
      </c>
      <c r="X13" s="2881"/>
      <c r="Y13" s="2867"/>
      <c r="Z13" s="2881"/>
      <c r="AA13" s="2867"/>
      <c r="AB13" s="2881"/>
      <c r="AC13" s="2867"/>
      <c r="AD13" s="2881"/>
      <c r="AE13" s="2867"/>
      <c r="AF13" s="2881"/>
      <c r="AG13" s="2867"/>
      <c r="AH13" s="2867"/>
      <c r="AI13" s="2867"/>
      <c r="AJ13" s="2867"/>
      <c r="AK13" s="2867"/>
      <c r="AL13" s="2867"/>
      <c r="AM13" s="2870"/>
      <c r="AN13" s="2867"/>
      <c r="AO13" s="2870"/>
      <c r="AP13" s="2867"/>
      <c r="AQ13" s="2867"/>
      <c r="AR13" s="2867"/>
      <c r="AS13" s="2870"/>
      <c r="AT13" s="2867"/>
      <c r="AU13" s="2867"/>
      <c r="AV13" s="2867"/>
      <c r="AW13" s="2867"/>
      <c r="AX13" s="2867"/>
      <c r="AY13" s="2867"/>
      <c r="AZ13" s="2867"/>
      <c r="BA13" s="2867"/>
      <c r="BB13" s="2867"/>
      <c r="BC13" s="2867"/>
      <c r="BD13" s="2867"/>
      <c r="BE13" s="2867"/>
      <c r="BF13" s="2867"/>
      <c r="BG13" s="2867"/>
      <c r="BH13" s="2867"/>
      <c r="BI13" s="2867"/>
      <c r="BJ13" s="2867"/>
      <c r="BK13" s="2867"/>
      <c r="BL13" s="2867"/>
      <c r="BM13" s="2867"/>
      <c r="BN13" s="2867"/>
      <c r="BO13" s="2867"/>
      <c r="BP13" s="2867"/>
      <c r="BQ13" s="2867"/>
      <c r="BR13" s="2867"/>
      <c r="BS13" s="2867"/>
      <c r="BT13" s="2867"/>
      <c r="BU13" s="2867"/>
      <c r="BV13" s="2867"/>
      <c r="BW13" s="2867"/>
      <c r="BX13" s="2867"/>
      <c r="BY13" s="2867"/>
      <c r="BZ13" s="2867"/>
      <c r="CA13" s="2867"/>
      <c r="CB13" s="2867"/>
      <c r="CC13" s="2867"/>
      <c r="CD13" s="2867"/>
      <c r="CE13" s="2867"/>
      <c r="CF13" s="2867"/>
      <c r="CG13" s="2867"/>
      <c r="CH13" s="2867"/>
      <c r="CI13" s="2867"/>
      <c r="CJ13" s="2867"/>
      <c r="CK13" s="2867"/>
      <c r="CL13" s="2867"/>
      <c r="CM13" s="2867"/>
      <c r="CN13" s="2867"/>
      <c r="CO13" s="2867"/>
      <c r="CP13" s="2867"/>
      <c r="CQ13" s="2867"/>
      <c r="CR13" s="2867"/>
      <c r="CS13" s="2867"/>
      <c r="CT13" s="2867"/>
      <c r="CU13" s="2867"/>
      <c r="CV13" s="2867"/>
      <c r="CW13" s="2867"/>
    </row>
    <row r="14" spans="1:101">
      <c r="A14" s="2878" t="s">
        <v>567</v>
      </c>
      <c r="C14" s="2874" t="s">
        <v>733</v>
      </c>
      <c r="E14" s="2878" t="s">
        <v>740</v>
      </c>
      <c r="F14" s="2874"/>
      <c r="G14" s="2874" t="s">
        <v>739</v>
      </c>
      <c r="H14" s="2878" t="s">
        <v>1127</v>
      </c>
      <c r="I14" s="2882"/>
      <c r="J14" s="2874"/>
      <c r="K14" s="2874"/>
      <c r="L14" s="2874" t="s">
        <v>739</v>
      </c>
      <c r="M14" s="2874"/>
      <c r="N14" s="2878" t="s">
        <v>1127</v>
      </c>
      <c r="P14" s="2883" t="s">
        <v>640</v>
      </c>
      <c r="X14" s="2881"/>
      <c r="Y14" s="2867"/>
      <c r="Z14" s="2881"/>
      <c r="AA14" s="2867"/>
      <c r="AB14" s="2881"/>
      <c r="AC14" s="2867"/>
      <c r="AD14" s="2881"/>
      <c r="AE14" s="2867"/>
      <c r="AF14" s="2881"/>
      <c r="AG14" s="2867"/>
      <c r="AH14" s="2867"/>
      <c r="AI14" s="2867"/>
      <c r="AJ14" s="2867"/>
      <c r="AK14" s="2884"/>
      <c r="AL14" s="2867"/>
      <c r="AM14" s="2885"/>
      <c r="AN14" s="2867"/>
      <c r="AO14" s="2885"/>
      <c r="AP14" s="2867"/>
      <c r="AQ14" s="2867"/>
      <c r="AR14" s="2867"/>
      <c r="AS14" s="2870"/>
      <c r="AT14" s="2867"/>
      <c r="AU14" s="2867"/>
      <c r="AV14" s="2867"/>
      <c r="AW14" s="2867"/>
      <c r="AX14" s="2867"/>
      <c r="AY14" s="2867"/>
      <c r="AZ14" s="2867"/>
      <c r="BA14" s="2867"/>
      <c r="BB14" s="2867"/>
      <c r="BC14" s="2867"/>
      <c r="BD14" s="2867"/>
      <c r="BE14" s="2867"/>
      <c r="BF14" s="2867"/>
      <c r="BG14" s="2867"/>
      <c r="BH14" s="2867"/>
      <c r="BI14" s="2867"/>
      <c r="BJ14" s="2867"/>
      <c r="BK14" s="2867"/>
      <c r="BL14" s="2867"/>
      <c r="BM14" s="2867"/>
      <c r="BN14" s="2867"/>
      <c r="BO14" s="2867"/>
      <c r="BP14" s="2867"/>
      <c r="BQ14" s="2867"/>
      <c r="BR14" s="2867"/>
      <c r="BS14" s="2867"/>
      <c r="BT14" s="2867"/>
      <c r="BU14" s="2867"/>
      <c r="BV14" s="2867"/>
      <c r="BW14" s="2867"/>
      <c r="BX14" s="2867"/>
      <c r="BY14" s="2867"/>
      <c r="BZ14" s="2867"/>
      <c r="CA14" s="2867"/>
      <c r="CB14" s="2867"/>
      <c r="CC14" s="2867"/>
      <c r="CD14" s="2867"/>
      <c r="CE14" s="2867"/>
      <c r="CF14" s="2867"/>
      <c r="CG14" s="2867"/>
      <c r="CH14" s="2867"/>
      <c r="CI14" s="2867"/>
      <c r="CJ14" s="2867"/>
      <c r="CK14" s="2867"/>
      <c r="CL14" s="2867"/>
      <c r="CM14" s="2867"/>
      <c r="CN14" s="2867"/>
      <c r="CO14" s="2867"/>
      <c r="CP14" s="2867"/>
      <c r="CQ14" s="2867"/>
      <c r="CR14" s="2867"/>
      <c r="CS14" s="2867"/>
      <c r="CT14" s="2867"/>
      <c r="CU14" s="2867"/>
      <c r="CV14" s="2867"/>
      <c r="CW14" s="2867"/>
    </row>
    <row r="15" spans="1:101">
      <c r="A15" s="2886" t="s">
        <v>2169</v>
      </c>
      <c r="B15" s="2871"/>
      <c r="C15" s="2886" t="s">
        <v>1257</v>
      </c>
      <c r="D15" s="2871"/>
      <c r="E15" s="2886" t="s">
        <v>743</v>
      </c>
      <c r="F15" s="2887" t="s">
        <v>2098</v>
      </c>
      <c r="G15" s="2887" t="s">
        <v>742</v>
      </c>
      <c r="H15" s="2886" t="s">
        <v>743</v>
      </c>
      <c r="I15" s="2887"/>
      <c r="J15" s="2887" t="s">
        <v>2098</v>
      </c>
      <c r="K15" s="2887"/>
      <c r="L15" s="2887" t="s">
        <v>742</v>
      </c>
      <c r="M15" s="2887"/>
      <c r="N15" s="2886" t="s">
        <v>743</v>
      </c>
      <c r="P15" s="2888" t="s">
        <v>1256</v>
      </c>
      <c r="X15" s="2881"/>
      <c r="Y15" s="2867"/>
      <c r="Z15" s="2881"/>
      <c r="AA15" s="2867"/>
      <c r="AB15" s="2881"/>
      <c r="AC15" s="2867"/>
      <c r="AD15" s="2881"/>
      <c r="AE15" s="2867"/>
      <c r="AF15" s="2881"/>
      <c r="AG15" s="2867"/>
      <c r="AH15" s="2867"/>
      <c r="AI15" s="2867"/>
      <c r="AJ15" s="2867"/>
      <c r="AK15" s="2884"/>
      <c r="AL15" s="2867"/>
      <c r="AM15" s="2885"/>
      <c r="AN15" s="2867"/>
      <c r="AO15" s="2885"/>
      <c r="AP15" s="2867"/>
      <c r="AQ15" s="2867"/>
      <c r="AR15" s="2867"/>
      <c r="AS15" s="2870"/>
      <c r="AT15" s="2867"/>
      <c r="AU15" s="2867"/>
      <c r="AV15" s="2867"/>
      <c r="AW15" s="2867"/>
      <c r="AX15" s="2867"/>
      <c r="AY15" s="2867"/>
      <c r="AZ15" s="2867"/>
      <c r="BA15" s="2867"/>
      <c r="BB15" s="2867"/>
      <c r="BC15" s="2867"/>
      <c r="BD15" s="2867"/>
      <c r="BE15" s="2867"/>
      <c r="BF15" s="2867"/>
      <c r="BG15" s="2867"/>
      <c r="BH15" s="2867"/>
      <c r="BI15" s="2867"/>
      <c r="BJ15" s="2867"/>
      <c r="BK15" s="2867"/>
      <c r="BL15" s="2867"/>
      <c r="BM15" s="2867"/>
      <c r="BN15" s="2867"/>
      <c r="BO15" s="2867"/>
      <c r="BP15" s="2867"/>
      <c r="BQ15" s="2867"/>
      <c r="BR15" s="2867"/>
      <c r="BS15" s="2867"/>
      <c r="BT15" s="2867"/>
      <c r="BU15" s="2867"/>
      <c r="BV15" s="2867"/>
      <c r="BW15" s="2867"/>
      <c r="BX15" s="2867"/>
      <c r="BY15" s="2867"/>
      <c r="BZ15" s="2867"/>
      <c r="CA15" s="2867"/>
      <c r="CB15" s="2867"/>
      <c r="CC15" s="2867"/>
      <c r="CD15" s="2867"/>
      <c r="CE15" s="2867"/>
      <c r="CF15" s="2867"/>
      <c r="CG15" s="2867"/>
      <c r="CH15" s="2867"/>
      <c r="CI15" s="2867"/>
      <c r="CJ15" s="2867"/>
      <c r="CK15" s="2867"/>
      <c r="CL15" s="2867"/>
      <c r="CM15" s="2867"/>
      <c r="CN15" s="2867"/>
      <c r="CO15" s="2867"/>
      <c r="CP15" s="2867"/>
      <c r="CQ15" s="2867"/>
      <c r="CR15" s="2867"/>
      <c r="CS15" s="2867"/>
      <c r="CT15" s="2867"/>
      <c r="CU15" s="2867"/>
      <c r="CV15" s="2867"/>
      <c r="CW15" s="2867"/>
    </row>
    <row r="16" spans="1:101">
      <c r="A16" s="2878">
        <v>1</v>
      </c>
      <c r="B16" s="2869" t="s">
        <v>1258</v>
      </c>
      <c r="P16" s="2889"/>
      <c r="X16" s="2881"/>
      <c r="Y16" s="2867"/>
      <c r="Z16" s="2881"/>
      <c r="AA16" s="2867"/>
      <c r="AB16" s="2881"/>
      <c r="AC16" s="2867"/>
      <c r="AD16" s="2881"/>
      <c r="AE16" s="2867"/>
      <c r="AF16" s="2881"/>
      <c r="AG16" s="2867"/>
      <c r="AH16" s="2867"/>
      <c r="AI16" s="2867"/>
      <c r="AJ16" s="2867"/>
      <c r="AK16" s="2884"/>
      <c r="AL16" s="2867"/>
      <c r="AM16" s="2885"/>
      <c r="AN16" s="2867"/>
      <c r="AO16" s="2885"/>
      <c r="AP16" s="2867"/>
      <c r="AQ16" s="2867"/>
      <c r="AR16" s="2867"/>
      <c r="AS16" s="2870"/>
      <c r="AT16" s="2867"/>
      <c r="AU16" s="2867"/>
      <c r="AV16" s="2867"/>
      <c r="AW16" s="2867"/>
      <c r="AX16" s="2867"/>
      <c r="AY16" s="2867"/>
      <c r="AZ16" s="2867"/>
      <c r="BA16" s="2867"/>
      <c r="BB16" s="2867"/>
      <c r="BC16" s="2867"/>
      <c r="BD16" s="2867"/>
      <c r="BE16" s="2867"/>
      <c r="BF16" s="2867"/>
      <c r="BG16" s="2867"/>
      <c r="BH16" s="2867"/>
      <c r="BI16" s="2867"/>
      <c r="BJ16" s="2867"/>
      <c r="BK16" s="2867"/>
      <c r="BL16" s="2867"/>
      <c r="BM16" s="2867"/>
      <c r="BN16" s="2867"/>
      <c r="BO16" s="2867"/>
      <c r="BP16" s="2867"/>
      <c r="BQ16" s="2867"/>
      <c r="BR16" s="2867"/>
      <c r="BS16" s="2867"/>
      <c r="BT16" s="2867"/>
      <c r="BU16" s="2867"/>
      <c r="BV16" s="2867"/>
      <c r="BW16" s="2867"/>
      <c r="BX16" s="2867"/>
      <c r="BY16" s="2867"/>
      <c r="BZ16" s="2867"/>
      <c r="CA16" s="2867"/>
      <c r="CB16" s="2867"/>
      <c r="CC16" s="2867"/>
      <c r="CD16" s="2867"/>
      <c r="CE16" s="2867"/>
      <c r="CF16" s="2867"/>
      <c r="CG16" s="2867"/>
      <c r="CH16" s="2867"/>
      <c r="CI16" s="2867"/>
      <c r="CJ16" s="2867"/>
      <c r="CK16" s="2867"/>
      <c r="CL16" s="2867"/>
      <c r="CM16" s="2867"/>
      <c r="CN16" s="2867"/>
      <c r="CO16" s="2867"/>
      <c r="CP16" s="2867"/>
      <c r="CQ16" s="2867"/>
      <c r="CR16" s="2867"/>
      <c r="CS16" s="2867"/>
      <c r="CT16" s="2867"/>
      <c r="CU16" s="2867"/>
      <c r="CV16" s="2867"/>
      <c r="CW16" s="2867"/>
    </row>
    <row r="17" spans="1:101">
      <c r="A17" s="2878">
        <v>2</v>
      </c>
      <c r="C17" s="2869" t="s">
        <v>1986</v>
      </c>
      <c r="E17" s="2890">
        <f>WPC_2!F29</f>
        <v>59528843.785999998</v>
      </c>
      <c r="F17" s="2891">
        <f ca="1">H17-E17</f>
        <v>-2003776.7859999985</v>
      </c>
      <c r="G17" s="2874" t="s">
        <v>1846</v>
      </c>
      <c r="H17" s="2890">
        <f ca="1">WPC_2!P63</f>
        <v>57525067</v>
      </c>
      <c r="I17" s="2891"/>
      <c r="J17" s="2890">
        <f>SCH_D1!U213</f>
        <v>1456479</v>
      </c>
      <c r="K17" s="2890"/>
      <c r="L17" s="2874" t="s">
        <v>980</v>
      </c>
      <c r="N17" s="2892">
        <f ca="1">H17+J17</f>
        <v>58981546</v>
      </c>
      <c r="P17" s="2893">
        <f ca="1">IF(J17+F17=SCH_D1!AK411,J17+F17,"ERROR")</f>
        <v>-547297.78599999845</v>
      </c>
      <c r="X17" s="2881"/>
      <c r="Y17" s="2867"/>
      <c r="Z17" s="2881"/>
      <c r="AA17" s="2867"/>
      <c r="AB17" s="2881"/>
      <c r="AC17" s="2867"/>
      <c r="AD17" s="2881"/>
      <c r="AE17" s="2867"/>
      <c r="AF17" s="2881"/>
      <c r="AG17" s="2867"/>
      <c r="AH17" s="2867"/>
      <c r="AI17" s="2867"/>
      <c r="AJ17" s="2867"/>
      <c r="AK17" s="2884"/>
      <c r="AL17" s="2867"/>
      <c r="AM17" s="2885"/>
      <c r="AN17" s="2867"/>
      <c r="AO17" s="2885"/>
      <c r="AP17" s="2867"/>
      <c r="AQ17" s="2867"/>
      <c r="AR17" s="2867"/>
      <c r="AS17" s="2870"/>
      <c r="AT17" s="2867"/>
      <c r="AU17" s="2867"/>
      <c r="AV17" s="2867"/>
      <c r="AW17" s="2867"/>
      <c r="AX17" s="2867"/>
      <c r="AY17" s="2867"/>
      <c r="AZ17" s="2867"/>
      <c r="BA17" s="2867"/>
      <c r="BB17" s="2867"/>
      <c r="BC17" s="2867"/>
      <c r="BD17" s="2867"/>
      <c r="BE17" s="2867"/>
      <c r="BF17" s="2867"/>
      <c r="BG17" s="2867"/>
      <c r="BH17" s="2867"/>
      <c r="BI17" s="2867"/>
      <c r="BJ17" s="2867"/>
      <c r="BK17" s="2867"/>
      <c r="BL17" s="2867"/>
      <c r="BM17" s="2867"/>
      <c r="BN17" s="2867"/>
      <c r="BO17" s="2867"/>
      <c r="BP17" s="2867"/>
      <c r="BQ17" s="2867"/>
      <c r="BR17" s="2867"/>
      <c r="BS17" s="2867"/>
      <c r="BT17" s="2867"/>
      <c r="BU17" s="2867"/>
      <c r="BV17" s="2867"/>
      <c r="BW17" s="2867"/>
      <c r="BX17" s="2867"/>
      <c r="BY17" s="2867"/>
      <c r="BZ17" s="2867"/>
      <c r="CA17" s="2867"/>
      <c r="CB17" s="2867"/>
      <c r="CC17" s="2867"/>
      <c r="CD17" s="2867"/>
      <c r="CE17" s="2867"/>
      <c r="CF17" s="2867"/>
      <c r="CG17" s="2867"/>
      <c r="CH17" s="2867"/>
      <c r="CI17" s="2867"/>
      <c r="CJ17" s="2867"/>
      <c r="CK17" s="2867"/>
      <c r="CL17" s="2867"/>
      <c r="CM17" s="2867"/>
      <c r="CN17" s="2867"/>
      <c r="CO17" s="2867"/>
      <c r="CP17" s="2867"/>
      <c r="CQ17" s="2867"/>
      <c r="CR17" s="2867"/>
      <c r="CS17" s="2867"/>
      <c r="CT17" s="2867"/>
      <c r="CU17" s="2867"/>
      <c r="CV17" s="2867"/>
      <c r="CW17" s="2867"/>
    </row>
    <row r="18" spans="1:101">
      <c r="A18" s="2878">
        <v>3</v>
      </c>
      <c r="C18" s="2869" t="s">
        <v>1259</v>
      </c>
      <c r="E18" s="2890">
        <f>WPC_2!G29</f>
        <v>45483162.214000002</v>
      </c>
      <c r="F18" s="2891">
        <f>H18-E18</f>
        <v>-9068523.2140000015</v>
      </c>
      <c r="G18" s="2874" t="s">
        <v>1846</v>
      </c>
      <c r="H18" s="2890">
        <f>WPC_2!Q63</f>
        <v>36414639</v>
      </c>
      <c r="I18" s="2891"/>
      <c r="J18" s="2890">
        <f>SCH_D1!U214</f>
        <v>-80547</v>
      </c>
      <c r="K18" s="2890"/>
      <c r="L18" s="2874" t="s">
        <v>980</v>
      </c>
      <c r="N18" s="2892">
        <f>H18+J18</f>
        <v>36334092</v>
      </c>
      <c r="P18" s="2893">
        <f>IF(J18+F18=SCH_D1!AK412,J18+F18,"ERROR")</f>
        <v>-9149070.2140000015</v>
      </c>
      <c r="X18" s="2881"/>
      <c r="Y18" s="2867"/>
      <c r="Z18" s="2881"/>
      <c r="AA18" s="2867"/>
      <c r="AB18" s="2881"/>
      <c r="AC18" s="2867"/>
      <c r="AD18" s="2881"/>
      <c r="AE18" s="2867"/>
      <c r="AF18" s="2881"/>
      <c r="AG18" s="2867"/>
      <c r="AH18" s="2867"/>
      <c r="AI18" s="2867"/>
      <c r="AJ18" s="2867"/>
      <c r="AK18" s="2884"/>
      <c r="AL18" s="2867"/>
      <c r="AM18" s="2885"/>
      <c r="AN18" s="2867"/>
      <c r="AO18" s="2885"/>
      <c r="AP18" s="2867"/>
      <c r="AQ18" s="2867"/>
      <c r="AR18" s="2867"/>
      <c r="AS18" s="2870"/>
      <c r="AT18" s="2867"/>
      <c r="AU18" s="2867"/>
      <c r="AV18" s="2867"/>
      <c r="AW18" s="2867"/>
      <c r="AX18" s="2867"/>
      <c r="AY18" s="2867"/>
      <c r="AZ18" s="2867"/>
      <c r="BA18" s="2867"/>
      <c r="BB18" s="2867"/>
      <c r="BC18" s="2867"/>
      <c r="BD18" s="2867"/>
      <c r="BE18" s="2867"/>
      <c r="BF18" s="2867"/>
      <c r="BG18" s="2867"/>
      <c r="BH18" s="2867"/>
      <c r="BI18" s="2867"/>
      <c r="BJ18" s="2867"/>
      <c r="BK18" s="2867"/>
      <c r="BL18" s="2867"/>
      <c r="BM18" s="2867"/>
      <c r="BN18" s="2867"/>
      <c r="BO18" s="2867"/>
      <c r="BP18" s="2867"/>
      <c r="BQ18" s="2867"/>
      <c r="BR18" s="2867"/>
      <c r="BS18" s="2867"/>
      <c r="BT18" s="2867"/>
      <c r="BU18" s="2867"/>
      <c r="BV18" s="2867"/>
      <c r="BW18" s="2867"/>
      <c r="BX18" s="2867"/>
      <c r="BY18" s="2867"/>
      <c r="BZ18" s="2867"/>
      <c r="CA18" s="2867"/>
      <c r="CB18" s="2867"/>
      <c r="CC18" s="2867"/>
      <c r="CD18" s="2867"/>
      <c r="CE18" s="2867"/>
      <c r="CF18" s="2867"/>
      <c r="CG18" s="2867"/>
      <c r="CH18" s="2867"/>
      <c r="CI18" s="2867"/>
      <c r="CJ18" s="2867"/>
      <c r="CK18" s="2867"/>
      <c r="CL18" s="2867"/>
      <c r="CM18" s="2867"/>
      <c r="CN18" s="2867"/>
      <c r="CO18" s="2867"/>
      <c r="CP18" s="2867"/>
      <c r="CQ18" s="2867"/>
      <c r="CR18" s="2867"/>
      <c r="CS18" s="2867"/>
      <c r="CT18" s="2867"/>
      <c r="CU18" s="2867"/>
      <c r="CV18" s="2867"/>
      <c r="CW18" s="2867"/>
    </row>
    <row r="19" spans="1:101">
      <c r="A19" s="2878">
        <v>4</v>
      </c>
      <c r="C19" s="2869" t="s">
        <v>1260</v>
      </c>
      <c r="E19" s="2890">
        <f>WPC_2!H29</f>
        <v>-2575187</v>
      </c>
      <c r="F19" s="2891">
        <f ca="1">H19-E19</f>
        <v>3155771</v>
      </c>
      <c r="G19" s="2874" t="s">
        <v>1846</v>
      </c>
      <c r="H19" s="2890">
        <f ca="1">WPC_2!R63</f>
        <v>580584</v>
      </c>
      <c r="I19" s="2891"/>
      <c r="J19" s="2890">
        <f>SCH_D1!U215</f>
        <v>-514092</v>
      </c>
      <c r="K19" s="2890"/>
      <c r="L19" s="2874" t="s">
        <v>980</v>
      </c>
      <c r="N19" s="2892">
        <f ca="1">H19+J19</f>
        <v>66492</v>
      </c>
      <c r="P19" s="2893">
        <f ca="1">IF(J19+F19=SCH_D1!AK413,J19+F19,"ERROR")</f>
        <v>2641679</v>
      </c>
      <c r="X19" s="2881"/>
      <c r="Y19" s="2867"/>
      <c r="Z19" s="2881"/>
      <c r="AA19" s="2867"/>
      <c r="AB19" s="2881"/>
      <c r="AC19" s="2867"/>
      <c r="AD19" s="2881"/>
      <c r="AE19" s="2867"/>
      <c r="AF19" s="2881"/>
      <c r="AG19" s="2867"/>
      <c r="AH19" s="2867"/>
      <c r="AI19" s="2867"/>
      <c r="AJ19" s="2867"/>
      <c r="AK19" s="2884"/>
      <c r="AL19" s="2867"/>
      <c r="AM19" s="2885"/>
      <c r="AN19" s="2867"/>
      <c r="AO19" s="2885"/>
      <c r="AP19" s="2867"/>
      <c r="AQ19" s="2867"/>
      <c r="AR19" s="2867"/>
      <c r="AS19" s="2867"/>
      <c r="AT19" s="2867"/>
      <c r="AU19" s="2867"/>
      <c r="AV19" s="2867"/>
      <c r="AW19" s="2867"/>
      <c r="AX19" s="2867"/>
      <c r="AY19" s="2867"/>
      <c r="AZ19" s="2867"/>
      <c r="BA19" s="2867"/>
      <c r="BB19" s="2867"/>
      <c r="BC19" s="2867"/>
      <c r="BD19" s="2867"/>
      <c r="BE19" s="2867"/>
      <c r="BF19" s="2867"/>
      <c r="BG19" s="2867"/>
      <c r="BH19" s="2867"/>
      <c r="BI19" s="2867"/>
      <c r="BJ19" s="2867"/>
      <c r="BK19" s="2867"/>
      <c r="BL19" s="2867"/>
      <c r="BM19" s="2867"/>
      <c r="BN19" s="2867"/>
      <c r="BO19" s="2867"/>
      <c r="BP19" s="2867"/>
      <c r="BQ19" s="2867"/>
      <c r="BR19" s="2867"/>
      <c r="BS19" s="2867"/>
      <c r="BT19" s="2867"/>
      <c r="BU19" s="2867"/>
      <c r="BV19" s="2867"/>
      <c r="BW19" s="2867"/>
      <c r="BX19" s="2867"/>
      <c r="BY19" s="2867"/>
      <c r="BZ19" s="2867"/>
      <c r="CA19" s="2867"/>
      <c r="CB19" s="2867"/>
      <c r="CC19" s="2867"/>
      <c r="CD19" s="2867"/>
      <c r="CE19" s="2867"/>
      <c r="CF19" s="2867"/>
      <c r="CG19" s="2867"/>
      <c r="CH19" s="2867"/>
      <c r="CI19" s="2867"/>
      <c r="CJ19" s="2867"/>
      <c r="CK19" s="2867"/>
      <c r="CL19" s="2867"/>
      <c r="CM19" s="2867"/>
      <c r="CN19" s="2867"/>
      <c r="CO19" s="2867"/>
      <c r="CP19" s="2867"/>
      <c r="CQ19" s="2867"/>
      <c r="CR19" s="2867"/>
      <c r="CS19" s="2867"/>
      <c r="CT19" s="2867"/>
      <c r="CU19" s="2867"/>
      <c r="CV19" s="2867"/>
      <c r="CW19" s="2867"/>
    </row>
    <row r="20" spans="1:101">
      <c r="A20" s="2878">
        <v>5</v>
      </c>
      <c r="C20" s="2869" t="s">
        <v>1261</v>
      </c>
      <c r="D20" s="2891"/>
      <c r="E20" s="2894">
        <f>IF(E17+E18+E19='SCH_C2.1 - Base Period'!J64,+E17+E18+E19,"check C-2.1 !")</f>
        <v>102436819</v>
      </c>
      <c r="F20" s="2894">
        <f ca="1">SUM(F17:F19)</f>
        <v>-7916529</v>
      </c>
      <c r="G20" s="2874"/>
      <c r="H20" s="2894">
        <f ca="1">IF(H17+H18+H19='SCH_C2.1 - Forecasted Period'!J64,+H17+H18+H19,"check C-2.1 !")</f>
        <v>94520290</v>
      </c>
      <c r="J20" s="2894">
        <f>SUM(J17:J19)</f>
        <v>861840</v>
      </c>
      <c r="K20" s="2870"/>
      <c r="L20" s="2874"/>
      <c r="N20" s="2894">
        <f ca="1">SUM(N17:N19)</f>
        <v>95382130</v>
      </c>
      <c r="P20" s="2895">
        <f ca="1">SUM(P17:P19)</f>
        <v>-7054689</v>
      </c>
      <c r="X20" s="2881"/>
      <c r="Y20" s="2867"/>
      <c r="Z20" s="2881"/>
      <c r="AA20" s="2867"/>
      <c r="AB20" s="2881"/>
      <c r="AC20" s="2867"/>
      <c r="AD20" s="2881"/>
      <c r="AE20" s="2867"/>
      <c r="AF20" s="2881"/>
      <c r="AG20" s="2867"/>
      <c r="AH20" s="2867"/>
      <c r="AI20" s="2867"/>
      <c r="AJ20" s="2867"/>
      <c r="AK20" s="2884"/>
      <c r="AL20" s="2867"/>
      <c r="AM20" s="2885"/>
      <c r="AN20" s="2867"/>
      <c r="AO20" s="2885"/>
      <c r="AP20" s="2867"/>
      <c r="AQ20" s="2867"/>
      <c r="AR20" s="2867"/>
      <c r="AS20" s="2870"/>
      <c r="AT20" s="2867"/>
      <c r="AU20" s="2867"/>
      <c r="AV20" s="2867"/>
      <c r="AW20" s="2867"/>
      <c r="AX20" s="2867"/>
      <c r="AY20" s="2867"/>
      <c r="AZ20" s="2867"/>
      <c r="BA20" s="2867"/>
      <c r="BB20" s="2867"/>
      <c r="BC20" s="2867"/>
      <c r="BD20" s="2867"/>
      <c r="BE20" s="2867"/>
      <c r="BF20" s="2867"/>
      <c r="BG20" s="2867"/>
      <c r="BH20" s="2867"/>
      <c r="BI20" s="2867"/>
      <c r="BJ20" s="2867"/>
      <c r="BK20" s="2867"/>
      <c r="BL20" s="2867"/>
      <c r="BM20" s="2867"/>
      <c r="BN20" s="2867"/>
      <c r="BO20" s="2867"/>
      <c r="BP20" s="2867"/>
      <c r="BQ20" s="2867"/>
      <c r="BR20" s="2867"/>
      <c r="BS20" s="2867"/>
      <c r="BT20" s="2867"/>
      <c r="BU20" s="2867"/>
      <c r="BV20" s="2867"/>
      <c r="BW20" s="2867"/>
      <c r="BX20" s="2867"/>
      <c r="BY20" s="2867"/>
      <c r="BZ20" s="2867"/>
      <c r="CA20" s="2867"/>
      <c r="CB20" s="2867"/>
      <c r="CC20" s="2867"/>
      <c r="CD20" s="2867"/>
      <c r="CE20" s="2867"/>
      <c r="CF20" s="2867"/>
      <c r="CG20" s="2867"/>
      <c r="CH20" s="2867"/>
      <c r="CI20" s="2867"/>
      <c r="CJ20" s="2867"/>
      <c r="CK20" s="2867"/>
      <c r="CL20" s="2867"/>
      <c r="CM20" s="2867"/>
      <c r="CN20" s="2867"/>
      <c r="CO20" s="2867"/>
      <c r="CP20" s="2867"/>
      <c r="CQ20" s="2867"/>
      <c r="CR20" s="2867"/>
      <c r="CS20" s="2867"/>
      <c r="CT20" s="2867"/>
      <c r="CU20" s="2867"/>
      <c r="CV20" s="2867"/>
      <c r="CW20" s="2867"/>
    </row>
    <row r="21" spans="1:101">
      <c r="A21" s="2878">
        <v>6</v>
      </c>
      <c r="E21" s="2896"/>
      <c r="G21" s="2874"/>
      <c r="H21" s="2896"/>
      <c r="L21" s="2874"/>
      <c r="P21" s="2889"/>
      <c r="X21" s="2881"/>
      <c r="Y21" s="2867"/>
      <c r="Z21" s="2881"/>
      <c r="AA21" s="2867"/>
      <c r="AB21" s="2881"/>
      <c r="AC21" s="2867"/>
      <c r="AD21" s="2881"/>
      <c r="AE21" s="2867"/>
      <c r="AF21" s="2881"/>
      <c r="AG21" s="2867"/>
      <c r="AH21" s="2867"/>
      <c r="AI21" s="2867"/>
      <c r="AJ21" s="2867"/>
      <c r="AK21" s="2884"/>
      <c r="AL21" s="2867"/>
      <c r="AM21" s="2885"/>
      <c r="AN21" s="2867"/>
      <c r="AO21" s="2885"/>
      <c r="AP21" s="2867"/>
      <c r="AQ21" s="2867"/>
      <c r="AR21" s="2867"/>
      <c r="AS21" s="2870"/>
      <c r="AT21" s="2867"/>
      <c r="AU21" s="2867"/>
      <c r="AV21" s="2867"/>
      <c r="AW21" s="2867"/>
      <c r="AX21" s="2867"/>
      <c r="AY21" s="2867"/>
      <c r="AZ21" s="2867"/>
      <c r="BA21" s="2867"/>
      <c r="BB21" s="2867"/>
      <c r="BC21" s="2867"/>
      <c r="BD21" s="2867"/>
      <c r="BE21" s="2867"/>
      <c r="BF21" s="2867"/>
      <c r="BG21" s="2867"/>
      <c r="BH21" s="2867"/>
      <c r="BI21" s="2867"/>
      <c r="BJ21" s="2867"/>
      <c r="BK21" s="2867"/>
      <c r="BL21" s="2867"/>
      <c r="BM21" s="2867"/>
      <c r="BN21" s="2867"/>
      <c r="BO21" s="2867"/>
      <c r="BP21" s="2867"/>
      <c r="BQ21" s="2867"/>
      <c r="BR21" s="2867"/>
      <c r="BS21" s="2867"/>
      <c r="BT21" s="2867"/>
      <c r="BU21" s="2867"/>
      <c r="BV21" s="2867"/>
      <c r="BW21" s="2867"/>
      <c r="BX21" s="2867"/>
      <c r="BY21" s="2867"/>
      <c r="BZ21" s="2867"/>
      <c r="CA21" s="2867"/>
      <c r="CB21" s="2867"/>
      <c r="CC21" s="2867"/>
      <c r="CD21" s="2867"/>
      <c r="CE21" s="2867"/>
      <c r="CF21" s="2867"/>
      <c r="CG21" s="2867"/>
      <c r="CH21" s="2867"/>
      <c r="CI21" s="2867"/>
      <c r="CJ21" s="2867"/>
      <c r="CK21" s="2867"/>
      <c r="CL21" s="2867"/>
      <c r="CM21" s="2867"/>
      <c r="CN21" s="2867"/>
      <c r="CO21" s="2867"/>
      <c r="CP21" s="2867"/>
      <c r="CQ21" s="2867"/>
      <c r="CR21" s="2867"/>
      <c r="CS21" s="2867"/>
      <c r="CT21" s="2867"/>
      <c r="CU21" s="2867"/>
      <c r="CV21" s="2867"/>
      <c r="CW21" s="2867"/>
    </row>
    <row r="22" spans="1:101">
      <c r="A22" s="2878">
        <v>7</v>
      </c>
      <c r="B22" s="2869" t="s">
        <v>1262</v>
      </c>
      <c r="E22" s="2891"/>
      <c r="G22" s="2874"/>
      <c r="H22" s="2891"/>
      <c r="L22" s="2874"/>
      <c r="P22" s="2889"/>
      <c r="X22" s="2881"/>
      <c r="Y22" s="2867"/>
      <c r="Z22" s="2881"/>
      <c r="AA22" s="2867"/>
      <c r="AB22" s="2881"/>
      <c r="AC22" s="2867"/>
      <c r="AD22" s="2881"/>
      <c r="AE22" s="2867"/>
      <c r="AF22" s="2881"/>
      <c r="AG22" s="2867"/>
      <c r="AH22" s="2867"/>
      <c r="AI22" s="2867"/>
      <c r="AJ22" s="2867"/>
      <c r="AK22" s="2884"/>
      <c r="AL22" s="2867"/>
      <c r="AM22" s="2885"/>
      <c r="AN22" s="2867"/>
      <c r="AO22" s="2885"/>
      <c r="AP22" s="2867"/>
      <c r="AQ22" s="2867"/>
      <c r="AR22" s="2867"/>
      <c r="AS22" s="2870"/>
      <c r="AT22" s="2867"/>
      <c r="AU22" s="2867"/>
      <c r="AV22" s="2867"/>
      <c r="AW22" s="2867"/>
      <c r="AX22" s="2867"/>
      <c r="AY22" s="2867"/>
      <c r="AZ22" s="2867"/>
      <c r="BA22" s="2867"/>
      <c r="BB22" s="2867"/>
      <c r="BC22" s="2867"/>
      <c r="BD22" s="2867"/>
      <c r="BE22" s="2867"/>
      <c r="BF22" s="2867"/>
      <c r="BG22" s="2867"/>
      <c r="BH22" s="2867"/>
      <c r="BI22" s="2867"/>
      <c r="BJ22" s="2867"/>
      <c r="BK22" s="2867"/>
      <c r="BL22" s="2867"/>
      <c r="BM22" s="2867"/>
      <c r="BN22" s="2867"/>
      <c r="BO22" s="2867"/>
      <c r="BP22" s="2867"/>
      <c r="BQ22" s="2867"/>
      <c r="BR22" s="2867"/>
      <c r="BS22" s="2867"/>
      <c r="BT22" s="2867"/>
      <c r="BU22" s="2867"/>
      <c r="BV22" s="2867"/>
      <c r="BW22" s="2867"/>
      <c r="BX22" s="2867"/>
      <c r="BY22" s="2867"/>
      <c r="BZ22" s="2867"/>
      <c r="CA22" s="2867"/>
      <c r="CB22" s="2867"/>
      <c r="CC22" s="2867"/>
      <c r="CD22" s="2867"/>
      <c r="CE22" s="2867"/>
      <c r="CF22" s="2867"/>
      <c r="CG22" s="2867"/>
      <c r="CH22" s="2867"/>
      <c r="CI22" s="2867"/>
      <c r="CJ22" s="2867"/>
      <c r="CK22" s="2867"/>
      <c r="CL22" s="2867"/>
      <c r="CM22" s="2867"/>
      <c r="CN22" s="2867"/>
      <c r="CO22" s="2867"/>
      <c r="CP22" s="2867"/>
      <c r="CQ22" s="2867"/>
      <c r="CR22" s="2867"/>
      <c r="CS22" s="2867"/>
      <c r="CT22" s="2867"/>
      <c r="CU22" s="2867"/>
      <c r="CV22" s="2867"/>
      <c r="CW22" s="2867"/>
    </row>
    <row r="23" spans="1:101">
      <c r="A23" s="2878">
        <v>8</v>
      </c>
      <c r="B23" s="2869" t="s">
        <v>1263</v>
      </c>
      <c r="E23" s="2891"/>
      <c r="G23" s="2874"/>
      <c r="H23" s="2891"/>
      <c r="L23" s="2874"/>
      <c r="P23" s="2889"/>
      <c r="X23" s="2881"/>
      <c r="Y23" s="2867"/>
      <c r="Z23" s="2881"/>
      <c r="AA23" s="2867"/>
      <c r="AB23" s="2881"/>
      <c r="AC23" s="2867"/>
      <c r="AD23" s="2881"/>
      <c r="AE23" s="2867"/>
      <c r="AF23" s="2881"/>
      <c r="AG23" s="2867"/>
      <c r="AH23" s="2867"/>
      <c r="AI23" s="2867"/>
      <c r="AJ23" s="2867"/>
      <c r="AK23" s="2867"/>
      <c r="AL23" s="2867"/>
      <c r="AM23" s="2870"/>
      <c r="AN23" s="2867"/>
      <c r="AO23" s="2870"/>
      <c r="AP23" s="2867"/>
      <c r="AQ23" s="2867"/>
      <c r="AR23" s="2867"/>
      <c r="AS23" s="2870"/>
      <c r="AT23" s="2867"/>
      <c r="AU23" s="2867"/>
      <c r="AV23" s="2867"/>
      <c r="AW23" s="2867"/>
      <c r="AX23" s="2867"/>
      <c r="AY23" s="2867"/>
      <c r="AZ23" s="2867"/>
      <c r="BA23" s="2867"/>
      <c r="BB23" s="2867"/>
      <c r="BC23" s="2867"/>
      <c r="BD23" s="2867"/>
      <c r="BE23" s="2867"/>
      <c r="BF23" s="2867"/>
      <c r="BG23" s="2867"/>
      <c r="BH23" s="2867"/>
      <c r="BI23" s="2867"/>
      <c r="BJ23" s="2867"/>
      <c r="BK23" s="2867"/>
      <c r="BL23" s="2867"/>
      <c r="BM23" s="2867"/>
      <c r="BN23" s="2867"/>
      <c r="BO23" s="2867"/>
      <c r="BP23" s="2867"/>
      <c r="BQ23" s="2867"/>
      <c r="BR23" s="2867"/>
      <c r="BS23" s="2867"/>
      <c r="BT23" s="2867"/>
      <c r="BU23" s="2867"/>
      <c r="BV23" s="2867"/>
      <c r="BW23" s="2867"/>
      <c r="BX23" s="2867"/>
      <c r="BY23" s="2867"/>
      <c r="BZ23" s="2867"/>
      <c r="CA23" s="2867"/>
      <c r="CB23" s="2867"/>
      <c r="CC23" s="2867"/>
      <c r="CD23" s="2867"/>
      <c r="CE23" s="2867"/>
      <c r="CF23" s="2867"/>
      <c r="CG23" s="2867"/>
      <c r="CH23" s="2867"/>
      <c r="CI23" s="2867"/>
      <c r="CJ23" s="2867"/>
      <c r="CK23" s="2867"/>
      <c r="CL23" s="2867"/>
      <c r="CM23" s="2867"/>
      <c r="CN23" s="2867"/>
      <c r="CO23" s="2867"/>
      <c r="CP23" s="2867"/>
      <c r="CQ23" s="2867"/>
      <c r="CR23" s="2867"/>
      <c r="CS23" s="2867"/>
      <c r="CT23" s="2867"/>
      <c r="CU23" s="2867"/>
      <c r="CV23" s="2867"/>
      <c r="CW23" s="2867"/>
    </row>
    <row r="24" spans="1:101">
      <c r="A24" s="2878">
        <v>9</v>
      </c>
      <c r="C24" s="2869" t="s">
        <v>1264</v>
      </c>
      <c r="E24" s="2891"/>
      <c r="G24" s="2874"/>
      <c r="H24" s="2891"/>
      <c r="L24" s="2874"/>
      <c r="P24" s="2889"/>
      <c r="X24" s="2881"/>
      <c r="Y24" s="2867"/>
      <c r="Z24" s="2881"/>
      <c r="AA24" s="2867"/>
      <c r="AB24" s="2881"/>
      <c r="AC24" s="2867"/>
      <c r="AD24" s="2881"/>
      <c r="AE24" s="2867"/>
      <c r="AF24" s="2881"/>
      <c r="AG24" s="2867"/>
      <c r="AH24" s="2867"/>
      <c r="AI24" s="2867"/>
      <c r="AJ24" s="2867"/>
      <c r="AK24" s="2867"/>
      <c r="AL24" s="2867"/>
      <c r="AM24" s="2870"/>
      <c r="AN24" s="2867"/>
      <c r="AO24" s="2870"/>
      <c r="AP24" s="2867"/>
      <c r="AQ24" s="2867"/>
      <c r="AR24" s="2867"/>
      <c r="AS24" s="2870"/>
      <c r="AT24" s="2867"/>
      <c r="AU24" s="2867"/>
      <c r="AV24" s="2867"/>
      <c r="AW24" s="2867"/>
      <c r="AX24" s="2867"/>
      <c r="AY24" s="2867"/>
      <c r="AZ24" s="2867"/>
      <c r="BA24" s="2867"/>
      <c r="BB24" s="2867"/>
      <c r="BC24" s="2867"/>
      <c r="BD24" s="2867"/>
      <c r="BE24" s="2867"/>
      <c r="BF24" s="2867"/>
      <c r="BG24" s="2867"/>
      <c r="BH24" s="2867"/>
      <c r="BI24" s="2867"/>
      <c r="BJ24" s="2867"/>
      <c r="BK24" s="2867"/>
      <c r="BL24" s="2867"/>
      <c r="BM24" s="2867"/>
      <c r="BN24" s="2867"/>
      <c r="BO24" s="2867"/>
      <c r="BP24" s="2867"/>
      <c r="BQ24" s="2867"/>
      <c r="BR24" s="2867"/>
      <c r="BS24" s="2867"/>
      <c r="BT24" s="2867"/>
      <c r="BU24" s="2867"/>
      <c r="BV24" s="2867"/>
      <c r="BW24" s="2867"/>
      <c r="BX24" s="2867"/>
      <c r="BY24" s="2867"/>
      <c r="BZ24" s="2867"/>
      <c r="CA24" s="2867"/>
      <c r="CB24" s="2867"/>
      <c r="CC24" s="2867"/>
      <c r="CD24" s="2867"/>
      <c r="CE24" s="2867"/>
      <c r="CF24" s="2867"/>
      <c r="CG24" s="2867"/>
      <c r="CH24" s="2867"/>
      <c r="CI24" s="2867"/>
      <c r="CJ24" s="2867"/>
      <c r="CK24" s="2867"/>
      <c r="CL24" s="2867"/>
      <c r="CM24" s="2867"/>
      <c r="CN24" s="2867"/>
      <c r="CO24" s="2867"/>
      <c r="CP24" s="2867"/>
      <c r="CQ24" s="2867"/>
      <c r="CR24" s="2867"/>
      <c r="CS24" s="2867"/>
      <c r="CT24" s="2867"/>
      <c r="CU24" s="2867"/>
      <c r="CV24" s="2867"/>
      <c r="CW24" s="2867"/>
    </row>
    <row r="25" spans="1:101">
      <c r="A25" s="2878">
        <v>10</v>
      </c>
      <c r="B25" s="2869" t="s">
        <v>1265</v>
      </c>
      <c r="C25" s="2869" t="s">
        <v>1266</v>
      </c>
      <c r="E25" s="2890">
        <f>'SCH_C2.1 - Base Period'!J88</f>
        <v>1677312</v>
      </c>
      <c r="F25" s="2891">
        <f>H25-E25</f>
        <v>-1531695</v>
      </c>
      <c r="G25" s="2874" t="s">
        <v>1847</v>
      </c>
      <c r="H25" s="2890">
        <f>'SCH_C2.1 - Forecasted Period'!J87</f>
        <v>145617</v>
      </c>
      <c r="J25" s="2892">
        <f>SCH_D1!U221</f>
        <v>0</v>
      </c>
      <c r="K25" s="2892"/>
      <c r="L25" s="2874"/>
      <c r="N25" s="2892">
        <f>H25+J25</f>
        <v>145617</v>
      </c>
      <c r="P25" s="2893">
        <f>IF(J25+F25=SCH_D1!AK419,J25+F25,"ERROR")</f>
        <v>-1531695</v>
      </c>
      <c r="X25" s="2867"/>
      <c r="Y25" s="2867"/>
      <c r="Z25" s="2867"/>
      <c r="AA25" s="2867"/>
      <c r="AB25" s="2867"/>
      <c r="AC25" s="2867"/>
      <c r="AD25" s="2867"/>
      <c r="AE25" s="2867"/>
      <c r="AF25" s="2867"/>
      <c r="AG25" s="2867"/>
      <c r="AH25" s="2867"/>
      <c r="AI25" s="2867"/>
      <c r="AJ25" s="2867"/>
      <c r="AK25" s="2867"/>
      <c r="AL25" s="2867"/>
      <c r="AM25" s="2867"/>
      <c r="AN25" s="2867"/>
      <c r="AO25" s="2867"/>
      <c r="AP25" s="2867"/>
      <c r="AQ25" s="2867"/>
      <c r="AR25" s="2867"/>
      <c r="AS25" s="2870"/>
      <c r="AT25" s="2867"/>
      <c r="AU25" s="2867"/>
      <c r="AV25" s="2867"/>
      <c r="AW25" s="2867"/>
      <c r="AX25" s="2867"/>
      <c r="AY25" s="2867"/>
      <c r="AZ25" s="2867"/>
      <c r="BA25" s="2867"/>
      <c r="BB25" s="2867"/>
      <c r="BC25" s="2867"/>
      <c r="BD25" s="2867"/>
      <c r="BE25" s="2867"/>
      <c r="BF25" s="2867"/>
      <c r="BG25" s="2867"/>
      <c r="BH25" s="2867"/>
      <c r="BI25" s="2867"/>
      <c r="BJ25" s="2867"/>
      <c r="BK25" s="2867"/>
      <c r="BL25" s="2867"/>
      <c r="BM25" s="2867"/>
      <c r="BN25" s="2867"/>
      <c r="BO25" s="2867"/>
      <c r="BP25" s="2867"/>
      <c r="BQ25" s="2867"/>
      <c r="BR25" s="2867"/>
      <c r="BS25" s="2867"/>
      <c r="BT25" s="2867"/>
      <c r="BU25" s="2867"/>
      <c r="BV25" s="2867"/>
      <c r="BW25" s="2867"/>
      <c r="BX25" s="2867"/>
      <c r="BY25" s="2867"/>
      <c r="BZ25" s="2867"/>
      <c r="CA25" s="2867"/>
      <c r="CB25" s="2867"/>
      <c r="CC25" s="2867"/>
      <c r="CD25" s="2867"/>
      <c r="CE25" s="2867"/>
      <c r="CF25" s="2867"/>
      <c r="CG25" s="2867"/>
      <c r="CH25" s="2867"/>
      <c r="CI25" s="2867"/>
      <c r="CJ25" s="2867"/>
      <c r="CK25" s="2867"/>
      <c r="CL25" s="2867"/>
      <c r="CM25" s="2867"/>
      <c r="CN25" s="2867"/>
      <c r="CO25" s="2867"/>
      <c r="CP25" s="2867"/>
      <c r="CQ25" s="2867"/>
      <c r="CR25" s="2867"/>
      <c r="CS25" s="2867"/>
      <c r="CT25" s="2867"/>
      <c r="CU25" s="2867"/>
      <c r="CV25" s="2867"/>
      <c r="CW25" s="2867"/>
    </row>
    <row r="26" spans="1:101">
      <c r="A26" s="2878">
        <v>11</v>
      </c>
      <c r="B26" s="2869"/>
      <c r="C26" s="2866" t="s">
        <v>1267</v>
      </c>
      <c r="E26" s="2897">
        <f>'SCH_C2.1 - Base Period'!J95-E25</f>
        <v>370537</v>
      </c>
      <c r="F26" s="2891">
        <f ca="1">H26-E26</f>
        <v>839469</v>
      </c>
      <c r="G26" s="2874" t="s">
        <v>1268</v>
      </c>
      <c r="H26" s="2897">
        <f ca="1">'SCH_C2.1 - Forecasted Period'!J95+'SCH_C2.1 - Forecasted Period'!J102-H25</f>
        <v>1210006</v>
      </c>
      <c r="J26" s="2892">
        <f>SCH_D1!U222</f>
        <v>-382795</v>
      </c>
      <c r="L26" s="2874" t="s">
        <v>980</v>
      </c>
      <c r="N26" s="2892">
        <f ca="1">H26+J26</f>
        <v>827211</v>
      </c>
      <c r="P26" s="2893">
        <f ca="1">IF(J26+F26=SCH_D1!AK420,J26+F26,"ERROR")</f>
        <v>456674</v>
      </c>
      <c r="X26" s="2898"/>
      <c r="Y26" s="2867"/>
      <c r="Z26" s="2898"/>
      <c r="AA26" s="2867"/>
      <c r="AB26" s="2898"/>
      <c r="AC26" s="2867"/>
      <c r="AD26" s="2898"/>
      <c r="AE26" s="2867"/>
      <c r="AF26" s="2898"/>
      <c r="AG26" s="2870"/>
      <c r="AH26" s="2867"/>
      <c r="AI26" s="2867"/>
      <c r="AJ26" s="2867"/>
      <c r="AK26" s="2867"/>
      <c r="AL26" s="2867"/>
      <c r="AM26" s="2867"/>
      <c r="AN26" s="2867"/>
      <c r="AO26" s="2867"/>
      <c r="AP26" s="2867"/>
      <c r="AQ26" s="2867"/>
      <c r="AR26" s="2867"/>
      <c r="AS26" s="2870"/>
      <c r="AT26" s="2867"/>
      <c r="AU26" s="2867"/>
      <c r="AV26" s="2867"/>
      <c r="AW26" s="2867"/>
      <c r="AX26" s="2867"/>
      <c r="AY26" s="2867"/>
      <c r="AZ26" s="2867"/>
      <c r="BA26" s="2867"/>
      <c r="BB26" s="2867"/>
      <c r="BC26" s="2867"/>
      <c r="BD26" s="2867"/>
      <c r="BE26" s="2867"/>
      <c r="BF26" s="2867"/>
      <c r="BG26" s="2867"/>
      <c r="BH26" s="2867"/>
      <c r="BI26" s="2867"/>
      <c r="BJ26" s="2867"/>
      <c r="BK26" s="2867"/>
      <c r="BL26" s="2867"/>
      <c r="BM26" s="2867"/>
      <c r="BN26" s="2867"/>
      <c r="BO26" s="2867"/>
      <c r="BP26" s="2867"/>
      <c r="BQ26" s="2867"/>
      <c r="BR26" s="2867"/>
      <c r="BS26" s="2867"/>
      <c r="BT26" s="2867"/>
      <c r="BU26" s="2867"/>
      <c r="BV26" s="2867"/>
      <c r="BW26" s="2867"/>
      <c r="BX26" s="2867"/>
      <c r="BY26" s="2867"/>
      <c r="BZ26" s="2867"/>
      <c r="CA26" s="2867"/>
      <c r="CB26" s="2867"/>
      <c r="CC26" s="2867"/>
      <c r="CD26" s="2867"/>
      <c r="CE26" s="2867"/>
      <c r="CF26" s="2867"/>
      <c r="CG26" s="2867"/>
      <c r="CH26" s="2867"/>
      <c r="CI26" s="2867"/>
      <c r="CJ26" s="2867"/>
      <c r="CK26" s="2867"/>
      <c r="CL26" s="2867"/>
      <c r="CM26" s="2867"/>
      <c r="CN26" s="2867"/>
      <c r="CO26" s="2867"/>
      <c r="CP26" s="2867"/>
      <c r="CQ26" s="2867"/>
      <c r="CR26" s="2867"/>
      <c r="CS26" s="2867"/>
      <c r="CT26" s="2867"/>
      <c r="CU26" s="2867"/>
      <c r="CV26" s="2867"/>
      <c r="CW26" s="2867"/>
    </row>
    <row r="27" spans="1:101">
      <c r="A27" s="2878">
        <v>12</v>
      </c>
      <c r="C27" s="2869" t="s">
        <v>1269</v>
      </c>
      <c r="E27" s="2870">
        <f>SUM(E25:E26)</f>
        <v>2047849</v>
      </c>
      <c r="F27" s="2899">
        <f ca="1">SUM(F25:F26)</f>
        <v>-692226</v>
      </c>
      <c r="G27" s="2874"/>
      <c r="H27" s="2870">
        <f ca="1">SUM(H25:H26)</f>
        <v>1355623</v>
      </c>
      <c r="J27" s="2899">
        <f>SUM(J25:J26)</f>
        <v>-382795</v>
      </c>
      <c r="K27" s="2870"/>
      <c r="L27" s="2874"/>
      <c r="N27" s="2899">
        <f ca="1">SUM(N25:N26)</f>
        <v>972828</v>
      </c>
      <c r="P27" s="2900">
        <f ca="1">SUM(P25:P26)</f>
        <v>-1075021</v>
      </c>
      <c r="X27" s="2870"/>
      <c r="Y27" s="2867"/>
      <c r="Z27" s="2870"/>
      <c r="AA27" s="2867"/>
      <c r="AB27" s="2870"/>
      <c r="AC27" s="2867"/>
      <c r="AD27" s="2870"/>
      <c r="AE27" s="2867"/>
      <c r="AF27" s="2870"/>
      <c r="AG27" s="2867"/>
      <c r="AH27" s="2867"/>
      <c r="AI27" s="2867"/>
      <c r="AJ27" s="2867"/>
      <c r="AK27" s="2867"/>
      <c r="AL27" s="2867"/>
      <c r="AM27" s="2867"/>
      <c r="AN27" s="2867"/>
      <c r="AO27" s="2867"/>
      <c r="AP27" s="2867"/>
      <c r="AQ27" s="2867"/>
      <c r="AR27" s="2867"/>
      <c r="AS27" s="2870"/>
      <c r="AT27" s="2867"/>
      <c r="AU27" s="2867"/>
      <c r="AV27" s="2867"/>
      <c r="AW27" s="2867"/>
      <c r="AX27" s="2867"/>
      <c r="AY27" s="2867"/>
      <c r="AZ27" s="2867"/>
      <c r="BA27" s="2867"/>
      <c r="BB27" s="2867"/>
      <c r="BC27" s="2867"/>
      <c r="BD27" s="2867"/>
      <c r="BE27" s="2867"/>
      <c r="BF27" s="2867"/>
      <c r="BG27" s="2867"/>
      <c r="BH27" s="2867"/>
      <c r="BI27" s="2867"/>
      <c r="BJ27" s="2867"/>
      <c r="BK27" s="2867"/>
      <c r="BL27" s="2867"/>
      <c r="BM27" s="2867"/>
      <c r="BN27" s="2867"/>
      <c r="BO27" s="2867"/>
      <c r="BP27" s="2867"/>
      <c r="BQ27" s="2867"/>
      <c r="BR27" s="2867"/>
      <c r="BS27" s="2867"/>
      <c r="BT27" s="2867"/>
      <c r="BU27" s="2867"/>
      <c r="BV27" s="2867"/>
      <c r="BW27" s="2867"/>
      <c r="BX27" s="2867"/>
      <c r="BY27" s="2867"/>
      <c r="BZ27" s="2867"/>
      <c r="CA27" s="2867"/>
      <c r="CB27" s="2867"/>
      <c r="CC27" s="2867"/>
      <c r="CD27" s="2867"/>
      <c r="CE27" s="2867"/>
      <c r="CF27" s="2867"/>
      <c r="CG27" s="2867"/>
      <c r="CH27" s="2867"/>
      <c r="CI27" s="2867"/>
      <c r="CJ27" s="2867"/>
      <c r="CK27" s="2867"/>
      <c r="CL27" s="2867"/>
      <c r="CM27" s="2867"/>
      <c r="CN27" s="2867"/>
      <c r="CO27" s="2867"/>
      <c r="CP27" s="2867"/>
      <c r="CQ27" s="2867"/>
      <c r="CR27" s="2867"/>
      <c r="CS27" s="2867"/>
      <c r="CT27" s="2867"/>
      <c r="CU27" s="2867"/>
      <c r="CV27" s="2867"/>
      <c r="CW27" s="2867"/>
    </row>
    <row r="28" spans="1:101">
      <c r="A28" s="2878">
        <v>13</v>
      </c>
      <c r="B28" s="2869"/>
      <c r="E28" s="2870"/>
      <c r="F28" s="2870"/>
      <c r="G28" s="2874"/>
      <c r="H28" s="2870"/>
      <c r="L28" s="2874"/>
      <c r="P28" s="2889"/>
      <c r="X28" s="2870"/>
      <c r="Y28" s="2867"/>
      <c r="Z28" s="2870"/>
      <c r="AA28" s="2867"/>
      <c r="AB28" s="2870"/>
      <c r="AC28" s="2867"/>
      <c r="AD28" s="2870"/>
      <c r="AE28" s="2867"/>
      <c r="AF28" s="2870"/>
      <c r="AG28" s="2867"/>
      <c r="AH28" s="2867"/>
      <c r="AI28" s="2867"/>
      <c r="AJ28" s="2867"/>
      <c r="AK28" s="2867"/>
      <c r="AL28" s="2867"/>
      <c r="AM28" s="2867"/>
      <c r="AN28" s="2867"/>
      <c r="AO28" s="2867"/>
      <c r="AP28" s="2867"/>
      <c r="AQ28" s="2867"/>
      <c r="AR28" s="2867"/>
      <c r="AS28" s="2870"/>
      <c r="AT28" s="2867"/>
      <c r="AU28" s="2867"/>
      <c r="AV28" s="2867"/>
      <c r="AW28" s="2867"/>
      <c r="AX28" s="2867"/>
      <c r="AY28" s="2867"/>
      <c r="AZ28" s="2867"/>
      <c r="BA28" s="2867"/>
      <c r="BB28" s="2867"/>
      <c r="BC28" s="2867"/>
      <c r="BD28" s="2867"/>
      <c r="BE28" s="2867"/>
      <c r="BF28" s="2867"/>
      <c r="BG28" s="2867"/>
      <c r="BH28" s="2867"/>
      <c r="BI28" s="2867"/>
      <c r="BJ28" s="2867"/>
      <c r="BK28" s="2867"/>
      <c r="BL28" s="2867"/>
      <c r="BM28" s="2867"/>
      <c r="BN28" s="2867"/>
      <c r="BO28" s="2867"/>
      <c r="BP28" s="2867"/>
      <c r="BQ28" s="2867"/>
      <c r="BR28" s="2867"/>
      <c r="BS28" s="2867"/>
      <c r="BT28" s="2867"/>
      <c r="BU28" s="2867"/>
      <c r="BV28" s="2867"/>
      <c r="BW28" s="2867"/>
      <c r="BX28" s="2867"/>
      <c r="BY28" s="2867"/>
      <c r="BZ28" s="2867"/>
      <c r="CA28" s="2867"/>
      <c r="CB28" s="2867"/>
      <c r="CC28" s="2867"/>
      <c r="CD28" s="2867"/>
      <c r="CE28" s="2867"/>
      <c r="CF28" s="2867"/>
      <c r="CG28" s="2867"/>
      <c r="CH28" s="2867"/>
      <c r="CI28" s="2867"/>
      <c r="CJ28" s="2867"/>
      <c r="CK28" s="2867"/>
      <c r="CL28" s="2867"/>
      <c r="CM28" s="2867"/>
      <c r="CN28" s="2867"/>
      <c r="CO28" s="2867"/>
      <c r="CP28" s="2867"/>
      <c r="CQ28" s="2867"/>
      <c r="CR28" s="2867"/>
      <c r="CS28" s="2867"/>
      <c r="CT28" s="2867"/>
      <c r="CU28" s="2867"/>
      <c r="CV28" s="2867"/>
      <c r="CW28" s="2867"/>
    </row>
    <row r="29" spans="1:101">
      <c r="A29" s="2878">
        <v>14</v>
      </c>
      <c r="B29" s="2869"/>
      <c r="C29" s="2866" t="s">
        <v>1270</v>
      </c>
      <c r="E29" s="2870"/>
      <c r="F29" s="2870"/>
      <c r="G29" s="2874"/>
      <c r="H29" s="2870"/>
      <c r="L29" s="2874"/>
      <c r="P29" s="2889"/>
      <c r="X29" s="2870"/>
      <c r="Y29" s="2867"/>
      <c r="Z29" s="2870"/>
      <c r="AA29" s="2867"/>
      <c r="AB29" s="2870"/>
      <c r="AC29" s="2867"/>
      <c r="AD29" s="2870"/>
      <c r="AE29" s="2867"/>
      <c r="AF29" s="2870"/>
      <c r="AG29" s="2867"/>
      <c r="AH29" s="2867"/>
      <c r="AI29" s="2867"/>
      <c r="AJ29" s="2867"/>
      <c r="AK29" s="2867"/>
      <c r="AL29" s="2867"/>
      <c r="AM29" s="2867"/>
      <c r="AN29" s="2867"/>
      <c r="AO29" s="2867"/>
      <c r="AP29" s="2867"/>
      <c r="AQ29" s="2867"/>
      <c r="AR29" s="2867"/>
      <c r="AS29" s="2870"/>
      <c r="AT29" s="2867"/>
      <c r="AU29" s="2867"/>
      <c r="AV29" s="2867"/>
      <c r="AW29" s="2867"/>
      <c r="AX29" s="2867"/>
      <c r="AY29" s="2867"/>
      <c r="AZ29" s="2867"/>
      <c r="BA29" s="2867"/>
      <c r="BB29" s="2867"/>
      <c r="BC29" s="2867"/>
      <c r="BD29" s="2867"/>
      <c r="BE29" s="2867"/>
      <c r="BF29" s="2867"/>
      <c r="BG29" s="2867"/>
      <c r="BH29" s="2867"/>
      <c r="BI29" s="2867"/>
      <c r="BJ29" s="2867"/>
      <c r="BK29" s="2867"/>
      <c r="BL29" s="2867"/>
      <c r="BM29" s="2867"/>
      <c r="BN29" s="2867"/>
      <c r="BO29" s="2867"/>
      <c r="BP29" s="2867"/>
      <c r="BQ29" s="2867"/>
      <c r="BR29" s="2867"/>
      <c r="BS29" s="2867"/>
      <c r="BT29" s="2867"/>
      <c r="BU29" s="2867"/>
      <c r="BV29" s="2867"/>
      <c r="BW29" s="2867"/>
      <c r="BX29" s="2867"/>
      <c r="BY29" s="2867"/>
      <c r="BZ29" s="2867"/>
      <c r="CA29" s="2867"/>
      <c r="CB29" s="2867"/>
      <c r="CC29" s="2867"/>
      <c r="CD29" s="2867"/>
      <c r="CE29" s="2867"/>
      <c r="CF29" s="2867"/>
      <c r="CG29" s="2867"/>
      <c r="CH29" s="2867"/>
      <c r="CI29" s="2867"/>
      <c r="CJ29" s="2867"/>
      <c r="CK29" s="2867"/>
      <c r="CL29" s="2867"/>
      <c r="CM29" s="2867"/>
      <c r="CN29" s="2867"/>
      <c r="CO29" s="2867"/>
      <c r="CP29" s="2867"/>
      <c r="CQ29" s="2867"/>
      <c r="CR29" s="2867"/>
      <c r="CS29" s="2867"/>
      <c r="CT29" s="2867"/>
      <c r="CU29" s="2867"/>
      <c r="CV29" s="2867"/>
      <c r="CW29" s="2867"/>
    </row>
    <row r="30" spans="1:101">
      <c r="A30" s="2878">
        <v>15</v>
      </c>
      <c r="B30" s="2869"/>
      <c r="C30" s="2866" t="s">
        <v>1271</v>
      </c>
      <c r="E30" s="2890">
        <f>SUM('SCH_C2.1 - Base Period'!J99:J101)</f>
        <v>43784843</v>
      </c>
      <c r="F30" s="2891">
        <f ca="1">H30-E30</f>
        <v>-7370202</v>
      </c>
      <c r="G30" s="2874" t="s">
        <v>1847</v>
      </c>
      <c r="H30" s="2890">
        <f ca="1">SUM('SCH_C2.1 - Forecasted Period'!J99:J101)</f>
        <v>36414641</v>
      </c>
      <c r="J30" s="2892">
        <f>SCH_D1!AQ424</f>
        <v>-80549</v>
      </c>
      <c r="K30" s="2891"/>
      <c r="L30" s="2874" t="s">
        <v>980</v>
      </c>
      <c r="N30" s="2891">
        <f ca="1">H30+J30</f>
        <v>36334092</v>
      </c>
      <c r="P30" s="2893">
        <f ca="1">IF(J30+F30=SCH_D1!AK424,J30+F30,"ERROR")</f>
        <v>-7450751</v>
      </c>
      <c r="Q30" s="2892"/>
      <c r="X30" s="2870"/>
      <c r="Y30" s="2867"/>
      <c r="Z30" s="2870"/>
      <c r="AA30" s="2867"/>
      <c r="AB30" s="2870"/>
      <c r="AC30" s="2867"/>
      <c r="AD30" s="2870"/>
      <c r="AE30" s="2867"/>
      <c r="AF30" s="2870"/>
      <c r="AG30" s="2867"/>
      <c r="AH30" s="2867"/>
      <c r="AI30" s="2867"/>
      <c r="AJ30" s="2867"/>
      <c r="AK30" s="2867"/>
      <c r="AL30" s="2867"/>
      <c r="AM30" s="2867"/>
      <c r="AN30" s="2867"/>
      <c r="AO30" s="2867"/>
      <c r="AP30" s="2867"/>
      <c r="AQ30" s="2867"/>
      <c r="AR30" s="2867"/>
      <c r="AS30" s="2870"/>
      <c r="AT30" s="2867"/>
      <c r="AU30" s="2867"/>
      <c r="AV30" s="2867"/>
      <c r="AW30" s="2867"/>
      <c r="AX30" s="2867"/>
      <c r="AY30" s="2867"/>
      <c r="AZ30" s="2867"/>
      <c r="BA30" s="2867"/>
      <c r="BB30" s="2867"/>
      <c r="BC30" s="2867"/>
      <c r="BD30" s="2867"/>
      <c r="BE30" s="2867"/>
      <c r="BF30" s="2867"/>
      <c r="BG30" s="2867"/>
      <c r="BH30" s="2867"/>
      <c r="BI30" s="2867"/>
      <c r="BJ30" s="2867"/>
      <c r="BK30" s="2867"/>
      <c r="BL30" s="2867"/>
      <c r="BM30" s="2867"/>
      <c r="BN30" s="2867"/>
      <c r="BO30" s="2867"/>
      <c r="BP30" s="2867"/>
      <c r="BQ30" s="2867"/>
      <c r="BR30" s="2867"/>
      <c r="BS30" s="2867"/>
      <c r="BT30" s="2867"/>
      <c r="BU30" s="2867"/>
      <c r="BV30" s="2867"/>
      <c r="BW30" s="2867"/>
      <c r="BX30" s="2867"/>
      <c r="BY30" s="2867"/>
      <c r="BZ30" s="2867"/>
      <c r="CA30" s="2867"/>
      <c r="CB30" s="2867"/>
      <c r="CC30" s="2867"/>
      <c r="CD30" s="2867"/>
      <c r="CE30" s="2867"/>
      <c r="CF30" s="2867"/>
      <c r="CG30" s="2867"/>
      <c r="CH30" s="2867"/>
      <c r="CI30" s="2867"/>
      <c r="CJ30" s="2867"/>
      <c r="CK30" s="2867"/>
      <c r="CL30" s="2867"/>
      <c r="CM30" s="2867"/>
      <c r="CN30" s="2867"/>
      <c r="CO30" s="2867"/>
      <c r="CP30" s="2867"/>
      <c r="CQ30" s="2867"/>
      <c r="CR30" s="2867"/>
      <c r="CS30" s="2867"/>
      <c r="CT30" s="2867"/>
      <c r="CU30" s="2867"/>
      <c r="CV30" s="2867"/>
      <c r="CW30" s="2867"/>
    </row>
    <row r="31" spans="1:101">
      <c r="A31" s="2878">
        <v>16</v>
      </c>
      <c r="B31" s="2869"/>
      <c r="C31" s="2866" t="s">
        <v>1267</v>
      </c>
      <c r="E31" s="2897">
        <f>SUM('SCH_C2.1 - Base Period'!J102:J103)</f>
        <v>671111</v>
      </c>
      <c r="F31" s="2891">
        <f>H31-E31</f>
        <v>-671111</v>
      </c>
      <c r="G31" s="2874" t="s">
        <v>1272</v>
      </c>
      <c r="H31" s="2897">
        <f>SUM('SCH_C2.1 - Forecasted Period'!J103:J103)</f>
        <v>0</v>
      </c>
      <c r="J31" s="2901"/>
      <c r="K31" s="2870"/>
      <c r="L31" s="2874"/>
      <c r="N31" s="2901">
        <f>H31+J31</f>
        <v>0</v>
      </c>
      <c r="P31" s="2902">
        <f>IF(J31+F31=SCH_D1!AK425,J31+F31,"ERROR")</f>
        <v>-671111</v>
      </c>
      <c r="X31" s="2870"/>
      <c r="Y31" s="2867"/>
      <c r="Z31" s="2870"/>
      <c r="AA31" s="2867"/>
      <c r="AB31" s="2870"/>
      <c r="AC31" s="2867"/>
      <c r="AD31" s="2870"/>
      <c r="AE31" s="2867"/>
      <c r="AF31" s="2870"/>
      <c r="AG31" s="2867"/>
      <c r="AH31" s="2867"/>
      <c r="AI31" s="2867"/>
      <c r="AJ31" s="2867"/>
      <c r="AK31" s="2867"/>
      <c r="AL31" s="2867"/>
      <c r="AM31" s="2867"/>
      <c r="AN31" s="2867"/>
      <c r="AO31" s="2867"/>
      <c r="AP31" s="2867"/>
      <c r="AQ31" s="2867"/>
      <c r="AR31" s="2867"/>
      <c r="AS31" s="2870"/>
      <c r="AT31" s="2867"/>
      <c r="AU31" s="2867"/>
      <c r="AV31" s="2867"/>
      <c r="AW31" s="2867"/>
      <c r="AX31" s="2867"/>
      <c r="AY31" s="2867"/>
      <c r="AZ31" s="2867"/>
      <c r="BA31" s="2867"/>
      <c r="BB31" s="2867"/>
      <c r="BC31" s="2867"/>
      <c r="BD31" s="2867"/>
      <c r="BE31" s="2867"/>
      <c r="BF31" s="2867"/>
      <c r="BG31" s="2867"/>
      <c r="BH31" s="2867"/>
      <c r="BI31" s="2867"/>
      <c r="BJ31" s="2867"/>
      <c r="BK31" s="2867"/>
      <c r="BL31" s="2867"/>
      <c r="BM31" s="2867"/>
      <c r="BN31" s="2867"/>
      <c r="BO31" s="2867"/>
      <c r="BP31" s="2867"/>
      <c r="BQ31" s="2867"/>
      <c r="BR31" s="2867"/>
      <c r="BS31" s="2867"/>
      <c r="BT31" s="2867"/>
      <c r="BU31" s="2867"/>
      <c r="BV31" s="2867"/>
      <c r="BW31" s="2867"/>
      <c r="BX31" s="2867"/>
      <c r="BY31" s="2867"/>
      <c r="BZ31" s="2867"/>
      <c r="CA31" s="2867"/>
      <c r="CB31" s="2867"/>
      <c r="CC31" s="2867"/>
      <c r="CD31" s="2867"/>
      <c r="CE31" s="2867"/>
      <c r="CF31" s="2867"/>
      <c r="CG31" s="2867"/>
      <c r="CH31" s="2867"/>
      <c r="CI31" s="2867"/>
      <c r="CJ31" s="2867"/>
      <c r="CK31" s="2867"/>
      <c r="CL31" s="2867"/>
      <c r="CM31" s="2867"/>
      <c r="CN31" s="2867"/>
      <c r="CO31" s="2867"/>
      <c r="CP31" s="2867"/>
      <c r="CQ31" s="2867"/>
      <c r="CR31" s="2867"/>
      <c r="CS31" s="2867"/>
      <c r="CT31" s="2867"/>
      <c r="CU31" s="2867"/>
      <c r="CV31" s="2867"/>
      <c r="CW31" s="2867"/>
    </row>
    <row r="32" spans="1:101">
      <c r="A32" s="2878">
        <v>17</v>
      </c>
      <c r="B32" s="2869"/>
      <c r="C32" s="2869" t="s">
        <v>1273</v>
      </c>
      <c r="E32" s="2870">
        <f>SUM(E30:E31)</f>
        <v>44455954</v>
      </c>
      <c r="F32" s="2899">
        <f ca="1">SUM(F30:F31)</f>
        <v>-8041313</v>
      </c>
      <c r="G32" s="2874"/>
      <c r="H32" s="2870">
        <f ca="1">SUM(H30:H31)</f>
        <v>36414641</v>
      </c>
      <c r="J32" s="2870">
        <f>SUM(J30:J31)</f>
        <v>-80549</v>
      </c>
      <c r="K32" s="2870"/>
      <c r="L32" s="2874"/>
      <c r="N32" s="2870">
        <f ca="1">SUM(N30:N31)</f>
        <v>36334092</v>
      </c>
      <c r="P32" s="2903">
        <f ca="1">SUM(P30:P31)</f>
        <v>-8121862</v>
      </c>
      <c r="X32" s="2870"/>
      <c r="Y32" s="2867"/>
      <c r="Z32" s="2870"/>
      <c r="AA32" s="2867"/>
      <c r="AB32" s="2870"/>
      <c r="AC32" s="2867"/>
      <c r="AD32" s="2870"/>
      <c r="AE32" s="2867"/>
      <c r="AF32" s="2870"/>
      <c r="AG32" s="2867"/>
      <c r="AH32" s="2867"/>
      <c r="AI32" s="2867"/>
      <c r="AJ32" s="2867"/>
      <c r="AK32" s="2867"/>
      <c r="AL32" s="2867"/>
      <c r="AM32" s="2867"/>
      <c r="AN32" s="2867"/>
      <c r="AO32" s="2867"/>
      <c r="AP32" s="2867"/>
      <c r="AQ32" s="2867"/>
      <c r="AR32" s="2867"/>
      <c r="AS32" s="2870"/>
      <c r="AT32" s="2867"/>
      <c r="AU32" s="2867"/>
      <c r="AV32" s="2867"/>
      <c r="AW32" s="2867"/>
      <c r="AX32" s="2867"/>
      <c r="AY32" s="2867"/>
      <c r="AZ32" s="2867"/>
      <c r="BA32" s="2867"/>
      <c r="BB32" s="2867"/>
      <c r="BC32" s="2867"/>
      <c r="BD32" s="2867"/>
      <c r="BE32" s="2867"/>
      <c r="BF32" s="2867"/>
      <c r="BG32" s="2867"/>
      <c r="BH32" s="2867"/>
      <c r="BI32" s="2867"/>
      <c r="BJ32" s="2867"/>
      <c r="BK32" s="2867"/>
      <c r="BL32" s="2867"/>
      <c r="BM32" s="2867"/>
      <c r="BN32" s="2867"/>
      <c r="BO32" s="2867"/>
      <c r="BP32" s="2867"/>
      <c r="BQ32" s="2867"/>
      <c r="BR32" s="2867"/>
      <c r="BS32" s="2867"/>
      <c r="BT32" s="2867"/>
      <c r="BU32" s="2867"/>
      <c r="BV32" s="2867"/>
      <c r="BW32" s="2867"/>
      <c r="BX32" s="2867"/>
      <c r="BY32" s="2867"/>
      <c r="BZ32" s="2867"/>
      <c r="CA32" s="2867"/>
      <c r="CB32" s="2867"/>
      <c r="CC32" s="2867"/>
      <c r="CD32" s="2867"/>
      <c r="CE32" s="2867"/>
      <c r="CF32" s="2867"/>
      <c r="CG32" s="2867"/>
      <c r="CH32" s="2867"/>
      <c r="CI32" s="2867"/>
      <c r="CJ32" s="2867"/>
      <c r="CK32" s="2867"/>
      <c r="CL32" s="2867"/>
      <c r="CM32" s="2867"/>
      <c r="CN32" s="2867"/>
      <c r="CO32" s="2867"/>
      <c r="CP32" s="2867"/>
      <c r="CQ32" s="2867"/>
      <c r="CR32" s="2867"/>
      <c r="CS32" s="2867"/>
      <c r="CT32" s="2867"/>
      <c r="CU32" s="2867"/>
      <c r="CV32" s="2867"/>
      <c r="CW32" s="2867"/>
    </row>
    <row r="33" spans="1:101">
      <c r="A33" s="2878">
        <v>18</v>
      </c>
      <c r="B33" s="2869"/>
      <c r="C33" s="2866" t="s">
        <v>999</v>
      </c>
      <c r="E33" s="2890">
        <f>'SCH_C2.1 - Base Period'!J114</f>
        <v>0</v>
      </c>
      <c r="F33" s="2891">
        <f t="shared" ref="F33:F39" si="0">H33-E33</f>
        <v>0</v>
      </c>
      <c r="G33" s="2874" t="s">
        <v>1848</v>
      </c>
      <c r="H33" s="2890">
        <f>'SCH_C2.1 - Forecasted Period'!J114</f>
        <v>0</v>
      </c>
      <c r="J33" s="2892">
        <f>SCH_D1!U229</f>
        <v>0</v>
      </c>
      <c r="L33" s="2874"/>
      <c r="N33" s="2892">
        <f t="shared" ref="N33:N38" si="1">H33+J33</f>
        <v>0</v>
      </c>
      <c r="P33" s="2893">
        <f>IF(J33+F33=SCH_D1!AK427,J33+F33,"ERROR")</f>
        <v>0</v>
      </c>
      <c r="X33" s="2870"/>
      <c r="Y33" s="2867"/>
      <c r="Z33" s="2870"/>
      <c r="AA33" s="2867"/>
      <c r="AB33" s="2870"/>
      <c r="AC33" s="2867"/>
      <c r="AD33" s="2870"/>
      <c r="AE33" s="2867"/>
      <c r="AF33" s="2870"/>
      <c r="AG33" s="2867"/>
      <c r="AH33" s="2867"/>
      <c r="AI33" s="2867"/>
      <c r="AJ33" s="2867"/>
      <c r="AK33" s="2867"/>
      <c r="AL33" s="2867"/>
      <c r="AM33" s="2867"/>
      <c r="AN33" s="2867"/>
      <c r="AO33" s="2867"/>
      <c r="AP33" s="2867"/>
      <c r="AQ33" s="2867"/>
      <c r="AR33" s="2867"/>
      <c r="AS33" s="2870"/>
      <c r="AT33" s="2867"/>
      <c r="AU33" s="2867"/>
      <c r="AV33" s="2867"/>
      <c r="AW33" s="2867"/>
      <c r="AX33" s="2867"/>
      <c r="AY33" s="2867"/>
      <c r="AZ33" s="2867"/>
      <c r="BA33" s="2867"/>
      <c r="BB33" s="2867"/>
      <c r="BC33" s="2867"/>
      <c r="BD33" s="2867"/>
      <c r="BE33" s="2867"/>
      <c r="BF33" s="2867"/>
      <c r="BG33" s="2867"/>
      <c r="BH33" s="2867"/>
      <c r="BI33" s="2867"/>
      <c r="BJ33" s="2867"/>
      <c r="BK33" s="2867"/>
      <c r="BL33" s="2867"/>
      <c r="BM33" s="2867"/>
      <c r="BN33" s="2867"/>
      <c r="BO33" s="2867"/>
      <c r="BP33" s="2867"/>
      <c r="BQ33" s="2867"/>
      <c r="BR33" s="2867"/>
      <c r="BS33" s="2867"/>
      <c r="BT33" s="2867"/>
      <c r="BU33" s="2867"/>
      <c r="BV33" s="2867"/>
      <c r="BW33" s="2867"/>
      <c r="BX33" s="2867"/>
      <c r="BY33" s="2867"/>
      <c r="BZ33" s="2867"/>
      <c r="CA33" s="2867"/>
      <c r="CB33" s="2867"/>
      <c r="CC33" s="2867"/>
      <c r="CD33" s="2867"/>
      <c r="CE33" s="2867"/>
      <c r="CF33" s="2867"/>
      <c r="CG33" s="2867"/>
      <c r="CH33" s="2867"/>
      <c r="CI33" s="2867"/>
      <c r="CJ33" s="2867"/>
      <c r="CK33" s="2867"/>
      <c r="CL33" s="2867"/>
      <c r="CM33" s="2867"/>
      <c r="CN33" s="2867"/>
      <c r="CO33" s="2867"/>
      <c r="CP33" s="2867"/>
      <c r="CQ33" s="2867"/>
      <c r="CR33" s="2867"/>
      <c r="CS33" s="2867"/>
      <c r="CT33" s="2867"/>
      <c r="CU33" s="2867"/>
      <c r="CV33" s="2867"/>
      <c r="CW33" s="2867"/>
    </row>
    <row r="34" spans="1:101">
      <c r="A34" s="2878">
        <v>19</v>
      </c>
      <c r="C34" s="2869" t="s">
        <v>1274</v>
      </c>
      <c r="E34" s="2890">
        <f>'SCH_C2.1 - Base Period'!J153</f>
        <v>9971602</v>
      </c>
      <c r="F34" s="2891">
        <f t="shared" si="0"/>
        <v>1970875</v>
      </c>
      <c r="G34" s="2874" t="s">
        <v>336</v>
      </c>
      <c r="H34" s="2890">
        <f>'SCH_C2.1 - Forecasted Period'!J153</f>
        <v>11942477</v>
      </c>
      <c r="J34" s="2892">
        <f>SCH_D1!U230</f>
        <v>962618</v>
      </c>
      <c r="K34" s="2892"/>
      <c r="L34" s="2874" t="s">
        <v>980</v>
      </c>
      <c r="N34" s="2892">
        <f t="shared" si="1"/>
        <v>12905095</v>
      </c>
      <c r="P34" s="2893">
        <f>IF(J34+F34=SCH_D1!AK428,J34+F34,"ERROR")</f>
        <v>2933493</v>
      </c>
      <c r="X34" s="2885"/>
      <c r="Y34" s="2867"/>
      <c r="Z34" s="2885"/>
      <c r="AA34" s="2867"/>
      <c r="AB34" s="2885"/>
      <c r="AC34" s="2867"/>
      <c r="AD34" s="2885"/>
      <c r="AE34" s="2867"/>
      <c r="AF34" s="2885"/>
      <c r="AG34" s="2867"/>
      <c r="AH34" s="2867"/>
      <c r="AI34" s="2867"/>
      <c r="AJ34" s="2867"/>
      <c r="AK34" s="2867"/>
      <c r="AL34" s="2867"/>
      <c r="AM34" s="2867"/>
      <c r="AN34" s="2867"/>
      <c r="AO34" s="2867"/>
      <c r="AP34" s="2867"/>
      <c r="AQ34" s="2867"/>
      <c r="AR34" s="2867"/>
      <c r="AS34" s="2867"/>
      <c r="AT34" s="2867"/>
      <c r="AU34" s="2867"/>
      <c r="AV34" s="2867"/>
      <c r="AW34" s="2867"/>
      <c r="AX34" s="2867"/>
      <c r="AY34" s="2867"/>
      <c r="AZ34" s="2867"/>
      <c r="BA34" s="2867"/>
      <c r="BB34" s="2867"/>
      <c r="BC34" s="2867"/>
      <c r="BD34" s="2867"/>
      <c r="BE34" s="2867"/>
      <c r="BF34" s="2867"/>
      <c r="BG34" s="2867"/>
      <c r="BH34" s="2867"/>
      <c r="BI34" s="2867"/>
      <c r="BJ34" s="2867"/>
      <c r="BK34" s="2867"/>
      <c r="BL34" s="2867"/>
      <c r="BM34" s="2867"/>
      <c r="BN34" s="2867"/>
      <c r="BO34" s="2867"/>
      <c r="BP34" s="2867"/>
      <c r="BQ34" s="2867"/>
      <c r="BR34" s="2867"/>
      <c r="BS34" s="2867"/>
      <c r="BT34" s="2867"/>
      <c r="BU34" s="2867"/>
      <c r="BV34" s="2867"/>
      <c r="BW34" s="2867"/>
      <c r="BX34" s="2867"/>
      <c r="BY34" s="2867"/>
      <c r="BZ34" s="2867"/>
      <c r="CA34" s="2867"/>
      <c r="CB34" s="2867"/>
      <c r="CC34" s="2867"/>
      <c r="CD34" s="2867"/>
      <c r="CE34" s="2867"/>
      <c r="CF34" s="2867"/>
      <c r="CG34" s="2867"/>
      <c r="CH34" s="2867"/>
      <c r="CI34" s="2867"/>
      <c r="CJ34" s="2867"/>
      <c r="CK34" s="2867"/>
      <c r="CL34" s="2867"/>
      <c r="CM34" s="2867"/>
      <c r="CN34" s="2867"/>
      <c r="CO34" s="2867"/>
      <c r="CP34" s="2867"/>
      <c r="CQ34" s="2867"/>
      <c r="CR34" s="2867"/>
      <c r="CS34" s="2867"/>
      <c r="CT34" s="2867"/>
      <c r="CU34" s="2867"/>
      <c r="CV34" s="2867"/>
      <c r="CW34" s="2867"/>
    </row>
    <row r="35" spans="1:101">
      <c r="A35" s="2878">
        <v>20</v>
      </c>
      <c r="C35" s="2869" t="s">
        <v>1275</v>
      </c>
      <c r="E35" s="2890">
        <f>'SCH_C2.1 - Base Period'!J179</f>
        <v>3779036</v>
      </c>
      <c r="F35" s="2891">
        <f t="shared" ca="1" si="0"/>
        <v>-497608</v>
      </c>
      <c r="G35" s="2874" t="s">
        <v>1277</v>
      </c>
      <c r="H35" s="2890">
        <f ca="1">'SCH_C2.1 - Forecasted Period'!J179</f>
        <v>3281428</v>
      </c>
      <c r="J35" s="2892">
        <f ca="1">SCH_D1!U231</f>
        <v>-608515</v>
      </c>
      <c r="K35" s="2892"/>
      <c r="L35" s="2874" t="s">
        <v>980</v>
      </c>
      <c r="N35" s="2892">
        <f t="shared" ca="1" si="1"/>
        <v>2672913</v>
      </c>
      <c r="P35" s="2893">
        <f ca="1">IF(J35+F35=SCH_D1!AK429,J35+F35,"ERROR")</f>
        <v>-1106123</v>
      </c>
      <c r="X35" s="2885"/>
      <c r="Y35" s="2867"/>
      <c r="Z35" s="2885"/>
      <c r="AA35" s="2867"/>
      <c r="AB35" s="2885"/>
      <c r="AC35" s="2867"/>
      <c r="AD35" s="2885"/>
      <c r="AE35" s="2867"/>
      <c r="AF35" s="2885"/>
      <c r="AG35" s="2867"/>
      <c r="AH35" s="2867"/>
      <c r="AI35" s="2867"/>
      <c r="AJ35" s="2867"/>
      <c r="AK35" s="2867"/>
      <c r="AL35" s="2867"/>
      <c r="AM35" s="2867"/>
      <c r="AN35" s="2867"/>
      <c r="AO35" s="2867"/>
      <c r="AP35" s="2867"/>
      <c r="AQ35" s="2867"/>
      <c r="AR35" s="2867"/>
      <c r="AS35" s="2867"/>
      <c r="AT35" s="2867"/>
      <c r="AU35" s="2867"/>
      <c r="AV35" s="2867"/>
      <c r="AW35" s="2867"/>
      <c r="AX35" s="2867"/>
      <c r="AY35" s="2867"/>
      <c r="AZ35" s="2867"/>
      <c r="BA35" s="2867"/>
      <c r="BB35" s="2867"/>
      <c r="BC35" s="2867"/>
      <c r="BD35" s="2867"/>
      <c r="BE35" s="2867"/>
      <c r="BF35" s="2867"/>
      <c r="BG35" s="2867"/>
      <c r="BH35" s="2867"/>
      <c r="BI35" s="2867"/>
      <c r="BJ35" s="2867"/>
      <c r="BK35" s="2867"/>
      <c r="BL35" s="2867"/>
      <c r="BM35" s="2867"/>
      <c r="BN35" s="2867"/>
      <c r="BO35" s="2867"/>
      <c r="BP35" s="2867"/>
      <c r="BQ35" s="2867"/>
      <c r="BR35" s="2867"/>
      <c r="BS35" s="2867"/>
      <c r="BT35" s="2867"/>
      <c r="BU35" s="2867"/>
      <c r="BV35" s="2867"/>
      <c r="BW35" s="2867"/>
      <c r="BX35" s="2867"/>
      <c r="BY35" s="2867"/>
      <c r="BZ35" s="2867"/>
      <c r="CA35" s="2867"/>
      <c r="CB35" s="2867"/>
      <c r="CC35" s="2867"/>
      <c r="CD35" s="2867"/>
      <c r="CE35" s="2867"/>
      <c r="CF35" s="2867"/>
      <c r="CG35" s="2867"/>
      <c r="CH35" s="2867"/>
      <c r="CI35" s="2867"/>
      <c r="CJ35" s="2867"/>
      <c r="CK35" s="2867"/>
      <c r="CL35" s="2867"/>
      <c r="CM35" s="2867"/>
      <c r="CN35" s="2867"/>
      <c r="CO35" s="2867"/>
      <c r="CP35" s="2867"/>
      <c r="CQ35" s="2867"/>
      <c r="CR35" s="2867"/>
      <c r="CS35" s="2867"/>
      <c r="CT35" s="2867"/>
      <c r="CU35" s="2867"/>
      <c r="CV35" s="2867"/>
      <c r="CW35" s="2867"/>
    </row>
    <row r="36" spans="1:101">
      <c r="A36" s="2878">
        <v>21</v>
      </c>
      <c r="C36" s="2869" t="s">
        <v>1276</v>
      </c>
      <c r="E36" s="2890">
        <f>'SCH_C2.1 - Base Period'!J187</f>
        <v>434799</v>
      </c>
      <c r="F36" s="2891">
        <f t="shared" ca="1" si="0"/>
        <v>-7963</v>
      </c>
      <c r="G36" s="2874" t="s">
        <v>337</v>
      </c>
      <c r="H36" s="2890">
        <f ca="1">'SCH_C2.1 - Forecasted Period'!J187</f>
        <v>426836</v>
      </c>
      <c r="J36" s="2892">
        <f>SCH_D1!U232</f>
        <v>-20595</v>
      </c>
      <c r="L36" s="2874" t="s">
        <v>980</v>
      </c>
      <c r="N36" s="2892">
        <f t="shared" ca="1" si="1"/>
        <v>406241</v>
      </c>
      <c r="P36" s="2893">
        <f ca="1">IF(J36+F36=SCH_D1!AK430,J36+F36,"ERROR")</f>
        <v>-28558</v>
      </c>
      <c r="X36" s="2885"/>
      <c r="Y36" s="2867"/>
      <c r="Z36" s="2885"/>
      <c r="AA36" s="2867"/>
      <c r="AB36" s="2885"/>
      <c r="AC36" s="2867"/>
      <c r="AD36" s="2885"/>
      <c r="AE36" s="2867"/>
      <c r="AF36" s="2885"/>
      <c r="AG36" s="2867"/>
      <c r="AH36" s="2867"/>
      <c r="AI36" s="2867"/>
      <c r="AJ36" s="2867"/>
      <c r="AK36" s="2867"/>
      <c r="AL36" s="2867"/>
      <c r="AM36" s="2867"/>
      <c r="AN36" s="2867"/>
      <c r="AO36" s="2867"/>
      <c r="AP36" s="2867"/>
      <c r="AQ36" s="2867"/>
      <c r="AR36" s="2867"/>
      <c r="AS36" s="2867"/>
      <c r="AT36" s="2867"/>
      <c r="AU36" s="2867"/>
      <c r="AV36" s="2867"/>
      <c r="AW36" s="2867"/>
      <c r="AX36" s="2867"/>
      <c r="AY36" s="2867"/>
      <c r="AZ36" s="2867"/>
      <c r="BA36" s="2867"/>
      <c r="BB36" s="2867"/>
      <c r="BC36" s="2867"/>
      <c r="BD36" s="2867"/>
      <c r="BE36" s="2867"/>
      <c r="BF36" s="2867"/>
      <c r="BG36" s="2867"/>
      <c r="BH36" s="2867"/>
      <c r="BI36" s="2867"/>
      <c r="BJ36" s="2867"/>
      <c r="BK36" s="2867"/>
      <c r="BL36" s="2867"/>
      <c r="BM36" s="2867"/>
      <c r="BN36" s="2867"/>
      <c r="BO36" s="2867"/>
      <c r="BP36" s="2867"/>
      <c r="BQ36" s="2867"/>
      <c r="BR36" s="2867"/>
      <c r="BS36" s="2867"/>
      <c r="BT36" s="2867"/>
      <c r="BU36" s="2867"/>
      <c r="BV36" s="2867"/>
      <c r="BW36" s="2867"/>
      <c r="BX36" s="2867"/>
      <c r="BY36" s="2867"/>
      <c r="BZ36" s="2867"/>
      <c r="CA36" s="2867"/>
      <c r="CB36" s="2867"/>
      <c r="CC36" s="2867"/>
      <c r="CD36" s="2867"/>
      <c r="CE36" s="2867"/>
      <c r="CF36" s="2867"/>
      <c r="CG36" s="2867"/>
      <c r="CH36" s="2867"/>
      <c r="CI36" s="2867"/>
      <c r="CJ36" s="2867"/>
      <c r="CK36" s="2867"/>
      <c r="CL36" s="2867"/>
      <c r="CM36" s="2867"/>
      <c r="CN36" s="2867"/>
      <c r="CO36" s="2867"/>
      <c r="CP36" s="2867"/>
      <c r="CQ36" s="2867"/>
      <c r="CR36" s="2867"/>
      <c r="CS36" s="2867"/>
      <c r="CT36" s="2867"/>
      <c r="CU36" s="2867"/>
      <c r="CV36" s="2867"/>
      <c r="CW36" s="2867"/>
    </row>
    <row r="37" spans="1:101">
      <c r="A37" s="2878">
        <v>22</v>
      </c>
      <c r="C37" s="2869" t="s">
        <v>1278</v>
      </c>
      <c r="E37" s="2890">
        <f>'SCH_C2.1 - Base Period'!J196</f>
        <v>168230</v>
      </c>
      <c r="F37" s="2891">
        <f t="shared" ca="1" si="0"/>
        <v>32237</v>
      </c>
      <c r="G37" s="2874" t="s">
        <v>338</v>
      </c>
      <c r="H37" s="2890">
        <f ca="1">'SCH_C2.1 - Forecasted Period'!J196</f>
        <v>200467</v>
      </c>
      <c r="J37" s="2892">
        <f>SCH_D1!U233</f>
        <v>-6339</v>
      </c>
      <c r="K37" s="2892"/>
      <c r="L37" s="2874" t="s">
        <v>980</v>
      </c>
      <c r="N37" s="2892">
        <f t="shared" ca="1" si="1"/>
        <v>194128</v>
      </c>
      <c r="P37" s="2893">
        <f ca="1">IF(J37+F37=SCH_D1!AK431,J37+F37,"ERROR")</f>
        <v>25898</v>
      </c>
      <c r="X37" s="2885"/>
      <c r="Y37" s="2867"/>
      <c r="Z37" s="2885"/>
      <c r="AA37" s="2867"/>
      <c r="AB37" s="2885"/>
      <c r="AC37" s="2867"/>
      <c r="AD37" s="2885"/>
      <c r="AE37" s="2867"/>
      <c r="AF37" s="2885"/>
      <c r="AG37" s="2867"/>
      <c r="AH37" s="2867"/>
      <c r="AI37" s="2867"/>
      <c r="AJ37" s="2867"/>
      <c r="AK37" s="2867"/>
      <c r="AL37" s="2867"/>
      <c r="AM37" s="2867"/>
      <c r="AN37" s="2867"/>
      <c r="AO37" s="2867"/>
      <c r="AP37" s="2867"/>
      <c r="AQ37" s="2867"/>
      <c r="AR37" s="2867"/>
      <c r="AS37" s="2867"/>
      <c r="AT37" s="2867"/>
      <c r="AU37" s="2867"/>
      <c r="AV37" s="2867"/>
      <c r="AW37" s="2867"/>
      <c r="AX37" s="2867"/>
      <c r="AY37" s="2867"/>
      <c r="AZ37" s="2867"/>
      <c r="BA37" s="2867"/>
      <c r="BB37" s="2867"/>
      <c r="BC37" s="2867"/>
      <c r="BD37" s="2867"/>
      <c r="BE37" s="2867"/>
      <c r="BF37" s="2867"/>
      <c r="BG37" s="2867"/>
      <c r="BH37" s="2867"/>
      <c r="BI37" s="2867"/>
      <c r="BJ37" s="2867"/>
      <c r="BK37" s="2867"/>
      <c r="BL37" s="2867"/>
      <c r="BM37" s="2867"/>
      <c r="BN37" s="2867"/>
      <c r="BO37" s="2867"/>
      <c r="BP37" s="2867"/>
      <c r="BQ37" s="2867"/>
      <c r="BR37" s="2867"/>
      <c r="BS37" s="2867"/>
      <c r="BT37" s="2867"/>
      <c r="BU37" s="2867"/>
      <c r="BV37" s="2867"/>
      <c r="BW37" s="2867"/>
      <c r="BX37" s="2867"/>
      <c r="BY37" s="2867"/>
      <c r="BZ37" s="2867"/>
      <c r="CA37" s="2867"/>
      <c r="CB37" s="2867"/>
      <c r="CC37" s="2867"/>
      <c r="CD37" s="2867"/>
      <c r="CE37" s="2867"/>
      <c r="CF37" s="2867"/>
      <c r="CG37" s="2867"/>
      <c r="CH37" s="2867"/>
      <c r="CI37" s="2867"/>
      <c r="CJ37" s="2867"/>
      <c r="CK37" s="2867"/>
      <c r="CL37" s="2867"/>
      <c r="CM37" s="2867"/>
      <c r="CN37" s="2867"/>
      <c r="CO37" s="2867"/>
      <c r="CP37" s="2867"/>
      <c r="CQ37" s="2867"/>
      <c r="CR37" s="2867"/>
      <c r="CS37" s="2867"/>
      <c r="CT37" s="2867"/>
      <c r="CU37" s="2867"/>
      <c r="CV37" s="2867"/>
      <c r="CW37" s="2867"/>
    </row>
    <row r="38" spans="1:101">
      <c r="A38" s="2878">
        <v>23</v>
      </c>
      <c r="C38" s="2869" t="s">
        <v>1281</v>
      </c>
      <c r="E38" s="2890">
        <f>'SCH_C2.1 - Base Period'!J239</f>
        <v>7557603</v>
      </c>
      <c r="F38" s="2891">
        <f t="shared" ca="1" si="0"/>
        <v>-593730</v>
      </c>
      <c r="G38" s="2874" t="s">
        <v>1284</v>
      </c>
      <c r="H38" s="2890">
        <f ca="1">'SCH_C2.1 - Forecasted Period'!J239</f>
        <v>6963873</v>
      </c>
      <c r="J38" s="2892">
        <f>SCH_D1!U234</f>
        <v>-484245</v>
      </c>
      <c r="K38" s="2892"/>
      <c r="L38" s="2874" t="s">
        <v>980</v>
      </c>
      <c r="N38" s="2892">
        <f t="shared" ca="1" si="1"/>
        <v>6479628</v>
      </c>
      <c r="P38" s="2893">
        <f ca="1">IF(J38+F38=SCH_D1!AK432,J38+F38,"ERROR")</f>
        <v>-1077975</v>
      </c>
      <c r="X38" s="2885"/>
      <c r="Y38" s="2867"/>
      <c r="Z38" s="2885"/>
      <c r="AA38" s="2867"/>
      <c r="AB38" s="2885"/>
      <c r="AC38" s="2867"/>
      <c r="AD38" s="2885"/>
      <c r="AE38" s="2867"/>
      <c r="AF38" s="2885"/>
      <c r="AG38" s="2867"/>
      <c r="AH38" s="2867"/>
      <c r="AI38" s="2867"/>
      <c r="AJ38" s="2867"/>
      <c r="AK38" s="2867"/>
      <c r="AL38" s="2867"/>
      <c r="AM38" s="2867"/>
      <c r="AN38" s="2867"/>
      <c r="AO38" s="2867"/>
      <c r="AP38" s="2867"/>
      <c r="AQ38" s="2867"/>
      <c r="AR38" s="2867"/>
      <c r="AS38" s="2867"/>
      <c r="AT38" s="2867"/>
      <c r="AU38" s="2867"/>
      <c r="AV38" s="2867"/>
      <c r="AW38" s="2867"/>
      <c r="AX38" s="2867"/>
      <c r="AY38" s="2867"/>
      <c r="AZ38" s="2867"/>
      <c r="BA38" s="2867"/>
      <c r="BB38" s="2867"/>
      <c r="BC38" s="2867"/>
      <c r="BD38" s="2867"/>
      <c r="BE38" s="2867"/>
      <c r="BF38" s="2867"/>
      <c r="BG38" s="2867"/>
      <c r="BH38" s="2867"/>
      <c r="BI38" s="2867"/>
      <c r="BJ38" s="2867"/>
      <c r="BK38" s="2867"/>
      <c r="BL38" s="2867"/>
      <c r="BM38" s="2867"/>
      <c r="BN38" s="2867"/>
      <c r="BO38" s="2867"/>
      <c r="BP38" s="2867"/>
      <c r="BQ38" s="2867"/>
      <c r="BR38" s="2867"/>
      <c r="BS38" s="2867"/>
      <c r="BT38" s="2867"/>
      <c r="BU38" s="2867"/>
      <c r="BV38" s="2867"/>
      <c r="BW38" s="2867"/>
      <c r="BX38" s="2867"/>
      <c r="BY38" s="2867"/>
      <c r="BZ38" s="2867"/>
      <c r="CA38" s="2867"/>
      <c r="CB38" s="2867"/>
      <c r="CC38" s="2867"/>
      <c r="CD38" s="2867"/>
      <c r="CE38" s="2867"/>
      <c r="CF38" s="2867"/>
      <c r="CG38" s="2867"/>
      <c r="CH38" s="2867"/>
      <c r="CI38" s="2867"/>
      <c r="CJ38" s="2867"/>
      <c r="CK38" s="2867"/>
      <c r="CL38" s="2867"/>
      <c r="CM38" s="2867"/>
      <c r="CN38" s="2867"/>
      <c r="CO38" s="2867"/>
      <c r="CP38" s="2867"/>
      <c r="CQ38" s="2867"/>
      <c r="CR38" s="2867"/>
      <c r="CS38" s="2867"/>
      <c r="CT38" s="2867"/>
      <c r="CU38" s="2867"/>
      <c r="CV38" s="2867"/>
      <c r="CW38" s="2867"/>
    </row>
    <row r="39" spans="1:101">
      <c r="A39" s="2878">
        <v>24</v>
      </c>
      <c r="C39" s="2869" t="s">
        <v>451</v>
      </c>
      <c r="E39" s="2890">
        <f>'SCH_C2.1 - Base Period'!J244</f>
        <v>-801635</v>
      </c>
      <c r="F39" s="2891">
        <f t="shared" si="0"/>
        <v>801635</v>
      </c>
      <c r="G39" s="2874" t="s">
        <v>1286</v>
      </c>
      <c r="H39" s="2904">
        <v>0</v>
      </c>
      <c r="J39" s="2892">
        <f>SCH_D1!U235</f>
        <v>543043</v>
      </c>
      <c r="K39" s="2892"/>
      <c r="L39" s="2874"/>
      <c r="N39" s="2892">
        <f>H39+J39</f>
        <v>543043</v>
      </c>
      <c r="P39" s="2893">
        <f>IF(J39+F39=SCH_D1!AK433,J39+F39,"ERROR")</f>
        <v>1344678</v>
      </c>
      <c r="X39" s="2885"/>
      <c r="Y39" s="2867"/>
      <c r="Z39" s="2885"/>
      <c r="AA39" s="2867"/>
      <c r="AB39" s="2885"/>
      <c r="AC39" s="2867"/>
      <c r="AD39" s="2885"/>
      <c r="AE39" s="2867"/>
      <c r="AF39" s="2885"/>
      <c r="AG39" s="2867"/>
      <c r="AH39" s="2867"/>
      <c r="AI39" s="2867"/>
      <c r="AJ39" s="2867"/>
      <c r="AK39" s="2867"/>
      <c r="AL39" s="2867"/>
      <c r="AM39" s="2867"/>
      <c r="AN39" s="2867"/>
      <c r="AO39" s="2867"/>
      <c r="AP39" s="2867"/>
      <c r="AQ39" s="2867"/>
      <c r="AR39" s="2867"/>
      <c r="AS39" s="2867"/>
      <c r="AT39" s="2867"/>
      <c r="AU39" s="2867"/>
      <c r="AV39" s="2867"/>
      <c r="AW39" s="2867"/>
      <c r="AX39" s="2867"/>
      <c r="AY39" s="2867"/>
      <c r="AZ39" s="2867"/>
      <c r="BA39" s="2867"/>
      <c r="BB39" s="2867"/>
      <c r="BC39" s="2867"/>
      <c r="BD39" s="2867"/>
      <c r="BE39" s="2867"/>
      <c r="BF39" s="2867"/>
      <c r="BG39" s="2867"/>
      <c r="BH39" s="2867"/>
      <c r="BI39" s="2867"/>
      <c r="BJ39" s="2867"/>
      <c r="BK39" s="2867"/>
      <c r="BL39" s="2867"/>
      <c r="BM39" s="2867"/>
      <c r="BN39" s="2867"/>
      <c r="BO39" s="2867"/>
      <c r="BP39" s="2867"/>
      <c r="BQ39" s="2867"/>
      <c r="BR39" s="2867"/>
      <c r="BS39" s="2867"/>
      <c r="BT39" s="2867"/>
      <c r="BU39" s="2867"/>
      <c r="BV39" s="2867"/>
      <c r="BW39" s="2867"/>
      <c r="BX39" s="2867"/>
      <c r="BY39" s="2867"/>
      <c r="BZ39" s="2867"/>
      <c r="CA39" s="2867"/>
      <c r="CB39" s="2867"/>
      <c r="CC39" s="2867"/>
      <c r="CD39" s="2867"/>
      <c r="CE39" s="2867"/>
      <c r="CF39" s="2867"/>
      <c r="CG39" s="2867"/>
      <c r="CH39" s="2867"/>
      <c r="CI39" s="2867"/>
      <c r="CJ39" s="2867"/>
      <c r="CK39" s="2867"/>
      <c r="CL39" s="2867"/>
      <c r="CM39" s="2867"/>
      <c r="CN39" s="2867"/>
      <c r="CO39" s="2867"/>
      <c r="CP39" s="2867"/>
      <c r="CQ39" s="2867"/>
      <c r="CR39" s="2867"/>
      <c r="CS39" s="2867"/>
      <c r="CT39" s="2867"/>
      <c r="CU39" s="2867"/>
      <c r="CV39" s="2867"/>
      <c r="CW39" s="2867"/>
    </row>
    <row r="40" spans="1:101">
      <c r="A40" s="2878">
        <v>25</v>
      </c>
      <c r="C40" s="2869" t="s">
        <v>1282</v>
      </c>
      <c r="E40" s="2894">
        <f>E27+SUM(E32:E39)</f>
        <v>67613438</v>
      </c>
      <c r="F40" s="2894">
        <f ca="1">F27+SUM(F32:F39)</f>
        <v>-7028093</v>
      </c>
      <c r="G40" s="2874"/>
      <c r="H40" s="2894">
        <f ca="1">H27+SUM(H32:H39)</f>
        <v>60585345</v>
      </c>
      <c r="J40" s="2894">
        <f ca="1">J27+SUM(J32:J39)</f>
        <v>-77377</v>
      </c>
      <c r="K40" s="2870"/>
      <c r="L40" s="2874"/>
      <c r="N40" s="2894">
        <f ca="1">N27+SUM(N32:N39)</f>
        <v>60507968</v>
      </c>
      <c r="P40" s="2895">
        <f ca="1">P27+SUM(P32:P39)</f>
        <v>-7105470</v>
      </c>
      <c r="X40" s="2885"/>
      <c r="Y40" s="2867"/>
      <c r="Z40" s="2885"/>
      <c r="AA40" s="2867"/>
      <c r="AB40" s="2885"/>
      <c r="AC40" s="2867"/>
      <c r="AD40" s="2885"/>
      <c r="AE40" s="2867"/>
      <c r="AF40" s="2885"/>
      <c r="AG40" s="2867"/>
      <c r="AH40" s="2867"/>
      <c r="AI40" s="2867"/>
      <c r="AJ40" s="2867"/>
      <c r="AK40" s="2867"/>
      <c r="AL40" s="2867"/>
      <c r="AM40" s="2867"/>
      <c r="AN40" s="2867"/>
      <c r="AO40" s="2867"/>
      <c r="AP40" s="2867"/>
      <c r="AQ40" s="2867"/>
      <c r="AR40" s="2867"/>
      <c r="AS40" s="2867"/>
      <c r="AT40" s="2867"/>
      <c r="AU40" s="2867"/>
      <c r="AV40" s="2867"/>
      <c r="AW40" s="2867"/>
      <c r="AX40" s="2867"/>
      <c r="AY40" s="2867"/>
      <c r="AZ40" s="2867"/>
      <c r="BA40" s="2867"/>
      <c r="BB40" s="2867"/>
      <c r="BC40" s="2867"/>
      <c r="BD40" s="2867"/>
      <c r="BE40" s="2867"/>
      <c r="BF40" s="2867"/>
      <c r="BG40" s="2867"/>
      <c r="BH40" s="2867"/>
      <c r="BI40" s="2867"/>
      <c r="BJ40" s="2867"/>
      <c r="BK40" s="2867"/>
      <c r="BL40" s="2867"/>
      <c r="BM40" s="2867"/>
      <c r="BN40" s="2867"/>
      <c r="BO40" s="2867"/>
      <c r="BP40" s="2867"/>
      <c r="BQ40" s="2867"/>
      <c r="BR40" s="2867"/>
      <c r="BS40" s="2867"/>
      <c r="BT40" s="2867"/>
      <c r="BU40" s="2867"/>
      <c r="BV40" s="2867"/>
      <c r="BW40" s="2867"/>
      <c r="BX40" s="2867"/>
      <c r="BY40" s="2867"/>
      <c r="BZ40" s="2867"/>
      <c r="CA40" s="2867"/>
      <c r="CB40" s="2867"/>
      <c r="CC40" s="2867"/>
      <c r="CD40" s="2867"/>
      <c r="CE40" s="2867"/>
      <c r="CF40" s="2867"/>
      <c r="CG40" s="2867"/>
      <c r="CH40" s="2867"/>
      <c r="CI40" s="2867"/>
      <c r="CJ40" s="2867"/>
      <c r="CK40" s="2867"/>
      <c r="CL40" s="2867"/>
      <c r="CM40" s="2867"/>
      <c r="CN40" s="2867"/>
      <c r="CO40" s="2867"/>
      <c r="CP40" s="2867"/>
      <c r="CQ40" s="2867"/>
      <c r="CR40" s="2867"/>
      <c r="CS40" s="2867"/>
      <c r="CT40" s="2867"/>
      <c r="CU40" s="2867"/>
      <c r="CV40" s="2867"/>
      <c r="CW40" s="2867"/>
    </row>
    <row r="41" spans="1:101">
      <c r="A41" s="2878">
        <v>26</v>
      </c>
      <c r="E41" s="2896"/>
      <c r="F41" s="2896"/>
      <c r="G41" s="2874"/>
      <c r="H41" s="2896"/>
      <c r="L41" s="2874"/>
      <c r="P41" s="2889"/>
      <c r="X41" s="2885"/>
      <c r="Y41" s="2867"/>
      <c r="Z41" s="2885"/>
      <c r="AA41" s="2867"/>
      <c r="AB41" s="2885"/>
      <c r="AC41" s="2867"/>
      <c r="AD41" s="2885"/>
      <c r="AE41" s="2867"/>
      <c r="AF41" s="2885"/>
      <c r="AG41" s="2867"/>
      <c r="AH41" s="2867"/>
      <c r="AI41" s="2867"/>
      <c r="AJ41" s="2867"/>
      <c r="AK41" s="2867"/>
      <c r="AL41" s="2867"/>
      <c r="AM41" s="2867"/>
      <c r="AN41" s="2867"/>
      <c r="AO41" s="2867"/>
      <c r="AP41" s="2867"/>
      <c r="AQ41" s="2867"/>
      <c r="AR41" s="2867"/>
      <c r="AS41" s="2867"/>
      <c r="AT41" s="2867"/>
      <c r="AU41" s="2867"/>
      <c r="AV41" s="2867"/>
      <c r="AW41" s="2867"/>
      <c r="AX41" s="2867"/>
      <c r="AY41" s="2867"/>
      <c r="AZ41" s="2867"/>
      <c r="BA41" s="2867"/>
      <c r="BB41" s="2867"/>
      <c r="BC41" s="2867"/>
      <c r="BD41" s="2867"/>
      <c r="BE41" s="2867"/>
      <c r="BF41" s="2867"/>
      <c r="BG41" s="2867"/>
      <c r="BH41" s="2867"/>
      <c r="BI41" s="2867"/>
      <c r="BJ41" s="2867"/>
      <c r="BK41" s="2867"/>
      <c r="BL41" s="2867"/>
      <c r="BM41" s="2867"/>
      <c r="BN41" s="2867"/>
      <c r="BO41" s="2867"/>
      <c r="BP41" s="2867"/>
      <c r="BQ41" s="2867"/>
      <c r="BR41" s="2867"/>
      <c r="BS41" s="2867"/>
      <c r="BT41" s="2867"/>
      <c r="BU41" s="2867"/>
      <c r="BV41" s="2867"/>
      <c r="BW41" s="2867"/>
      <c r="BX41" s="2867"/>
      <c r="BY41" s="2867"/>
      <c r="BZ41" s="2867"/>
      <c r="CA41" s="2867"/>
      <c r="CB41" s="2867"/>
      <c r="CC41" s="2867"/>
      <c r="CD41" s="2867"/>
      <c r="CE41" s="2867"/>
      <c r="CF41" s="2867"/>
      <c r="CG41" s="2867"/>
      <c r="CH41" s="2867"/>
      <c r="CI41" s="2867"/>
      <c r="CJ41" s="2867"/>
      <c r="CK41" s="2867"/>
      <c r="CL41" s="2867"/>
      <c r="CM41" s="2867"/>
      <c r="CN41" s="2867"/>
      <c r="CO41" s="2867"/>
      <c r="CP41" s="2867"/>
      <c r="CQ41" s="2867"/>
      <c r="CR41" s="2867"/>
      <c r="CS41" s="2867"/>
      <c r="CT41" s="2867"/>
      <c r="CU41" s="2867"/>
      <c r="CV41" s="2867"/>
      <c r="CW41" s="2867"/>
    </row>
    <row r="42" spans="1:101">
      <c r="A42" s="2878">
        <v>27</v>
      </c>
      <c r="C42" s="2869" t="s">
        <v>1283</v>
      </c>
      <c r="E42" s="2897">
        <f>'SCH_C2.1 - Base Period'!J249</f>
        <v>14395647</v>
      </c>
      <c r="F42" s="2901">
        <f ca="1">H42-E42</f>
        <v>1303985</v>
      </c>
      <c r="G42" s="2874" t="s">
        <v>1909</v>
      </c>
      <c r="H42" s="2897">
        <f ca="1">'SCH_C2.1 - Forecasted Period'!J249</f>
        <v>15699632</v>
      </c>
      <c r="J42" s="2901">
        <f ca="1">SCH_D1!U238</f>
        <v>-1084440</v>
      </c>
      <c r="K42" s="2870"/>
      <c r="L42" s="2874" t="s">
        <v>980</v>
      </c>
      <c r="N42" s="2901">
        <f ca="1">H42+J42</f>
        <v>14615192</v>
      </c>
      <c r="P42" s="2902">
        <f ca="1">IF(J42+F42=SCH_D1!AK436,J42+F42,"ERROR")</f>
        <v>219545</v>
      </c>
      <c r="X42" s="2885"/>
      <c r="Y42" s="2867"/>
      <c r="Z42" s="2885"/>
      <c r="AA42" s="2867"/>
      <c r="AB42" s="2885"/>
      <c r="AC42" s="2867"/>
      <c r="AD42" s="2885"/>
      <c r="AE42" s="2867"/>
      <c r="AF42" s="2885"/>
      <c r="AG42" s="2867"/>
      <c r="AH42" s="2867"/>
      <c r="AI42" s="2867"/>
      <c r="AJ42" s="2867"/>
      <c r="AK42" s="2867"/>
      <c r="AL42" s="2867"/>
      <c r="AM42" s="2867"/>
      <c r="AN42" s="2867"/>
      <c r="AO42" s="2867"/>
      <c r="AP42" s="2867"/>
      <c r="AQ42" s="2867"/>
      <c r="AR42" s="2867"/>
      <c r="AS42" s="2867"/>
      <c r="AT42" s="2867"/>
      <c r="AU42" s="2867"/>
      <c r="AV42" s="2867"/>
      <c r="AW42" s="2867"/>
      <c r="AX42" s="2867"/>
      <c r="AY42" s="2867"/>
      <c r="AZ42" s="2867"/>
      <c r="BA42" s="2867"/>
      <c r="BB42" s="2867"/>
      <c r="BC42" s="2867"/>
      <c r="BD42" s="2867"/>
      <c r="BE42" s="2867"/>
      <c r="BF42" s="2867"/>
      <c r="BG42" s="2867"/>
      <c r="BH42" s="2867"/>
      <c r="BI42" s="2867"/>
      <c r="BJ42" s="2867"/>
      <c r="BK42" s="2867"/>
      <c r="BL42" s="2867"/>
      <c r="BM42" s="2867"/>
      <c r="BN42" s="2867"/>
      <c r="BO42" s="2867"/>
      <c r="BP42" s="2867"/>
      <c r="BQ42" s="2867"/>
      <c r="BR42" s="2867"/>
      <c r="BS42" s="2867"/>
      <c r="BT42" s="2867"/>
      <c r="BU42" s="2867"/>
      <c r="BV42" s="2867"/>
      <c r="BW42" s="2867"/>
      <c r="BX42" s="2867"/>
      <c r="BY42" s="2867"/>
      <c r="BZ42" s="2867"/>
      <c r="CA42" s="2867"/>
      <c r="CB42" s="2867"/>
      <c r="CC42" s="2867"/>
      <c r="CD42" s="2867"/>
      <c r="CE42" s="2867"/>
      <c r="CF42" s="2867"/>
      <c r="CG42" s="2867"/>
      <c r="CH42" s="2867"/>
      <c r="CI42" s="2867"/>
      <c r="CJ42" s="2867"/>
      <c r="CK42" s="2867"/>
      <c r="CL42" s="2867"/>
      <c r="CM42" s="2867"/>
      <c r="CN42" s="2867"/>
      <c r="CO42" s="2867"/>
      <c r="CP42" s="2867"/>
      <c r="CQ42" s="2867"/>
      <c r="CR42" s="2867"/>
      <c r="CS42" s="2867"/>
      <c r="CT42" s="2867"/>
      <c r="CU42" s="2867"/>
      <c r="CV42" s="2867"/>
      <c r="CW42" s="2867"/>
    </row>
    <row r="43" spans="1:101">
      <c r="A43" s="2878">
        <v>28</v>
      </c>
      <c r="E43" s="2896"/>
      <c r="G43" s="2874"/>
      <c r="H43" s="2896"/>
      <c r="L43" s="2874"/>
      <c r="P43" s="2889"/>
      <c r="X43" s="2885"/>
      <c r="Y43" s="2867"/>
      <c r="Z43" s="2885"/>
      <c r="AA43" s="2867"/>
      <c r="AB43" s="2885"/>
      <c r="AC43" s="2867"/>
      <c r="AD43" s="2885"/>
      <c r="AE43" s="2867"/>
      <c r="AF43" s="2885"/>
      <c r="AG43" s="2867"/>
      <c r="AH43" s="2867"/>
      <c r="AI43" s="2867"/>
      <c r="AJ43" s="2867"/>
      <c r="AK43" s="2867"/>
      <c r="AL43" s="2867"/>
      <c r="AM43" s="2867"/>
      <c r="AN43" s="2867"/>
      <c r="AO43" s="2867"/>
      <c r="AP43" s="2867"/>
      <c r="AQ43" s="2867"/>
      <c r="AR43" s="2867"/>
      <c r="AS43" s="2867"/>
      <c r="AT43" s="2867"/>
      <c r="AU43" s="2867"/>
      <c r="AV43" s="2867"/>
      <c r="AW43" s="2867"/>
      <c r="AX43" s="2867"/>
      <c r="AY43" s="2867"/>
      <c r="AZ43" s="2867"/>
      <c r="BA43" s="2867"/>
      <c r="BB43" s="2867"/>
      <c r="BC43" s="2867"/>
      <c r="BD43" s="2867"/>
      <c r="BE43" s="2867"/>
      <c r="BF43" s="2867"/>
      <c r="BG43" s="2867"/>
      <c r="BH43" s="2867"/>
      <c r="BI43" s="2867"/>
      <c r="BJ43" s="2867"/>
      <c r="BK43" s="2867"/>
      <c r="BL43" s="2867"/>
      <c r="BM43" s="2867"/>
      <c r="BN43" s="2867"/>
      <c r="BO43" s="2867"/>
      <c r="BP43" s="2867"/>
      <c r="BQ43" s="2867"/>
      <c r="BR43" s="2867"/>
      <c r="BS43" s="2867"/>
      <c r="BT43" s="2867"/>
      <c r="BU43" s="2867"/>
      <c r="BV43" s="2867"/>
      <c r="BW43" s="2867"/>
      <c r="BX43" s="2867"/>
      <c r="BY43" s="2867"/>
      <c r="BZ43" s="2867"/>
      <c r="CA43" s="2867"/>
      <c r="CB43" s="2867"/>
      <c r="CC43" s="2867"/>
      <c r="CD43" s="2867"/>
      <c r="CE43" s="2867"/>
      <c r="CF43" s="2867"/>
      <c r="CG43" s="2867"/>
      <c r="CH43" s="2867"/>
      <c r="CI43" s="2867"/>
      <c r="CJ43" s="2867"/>
      <c r="CK43" s="2867"/>
      <c r="CL43" s="2867"/>
      <c r="CM43" s="2867"/>
      <c r="CN43" s="2867"/>
      <c r="CO43" s="2867"/>
      <c r="CP43" s="2867"/>
      <c r="CQ43" s="2867"/>
      <c r="CR43" s="2867"/>
      <c r="CS43" s="2867"/>
      <c r="CT43" s="2867"/>
      <c r="CU43" s="2867"/>
      <c r="CV43" s="2867"/>
      <c r="CW43" s="2867"/>
    </row>
    <row r="44" spans="1:101">
      <c r="A44" s="2878">
        <v>29</v>
      </c>
      <c r="C44" s="2869" t="s">
        <v>1049</v>
      </c>
      <c r="E44" s="2891"/>
      <c r="G44" s="2874"/>
      <c r="H44" s="2891"/>
      <c r="L44" s="2874"/>
      <c r="P44" s="2889"/>
      <c r="X44" s="2885"/>
      <c r="Y44" s="2867"/>
      <c r="Z44" s="2885"/>
      <c r="AA44" s="2867"/>
      <c r="AB44" s="2885"/>
      <c r="AC44" s="2867"/>
      <c r="AD44" s="2885"/>
      <c r="AE44" s="2867"/>
      <c r="AF44" s="2885"/>
      <c r="AG44" s="2867"/>
      <c r="AH44" s="2867"/>
      <c r="AI44" s="2867"/>
      <c r="AJ44" s="2867"/>
      <c r="AK44" s="2867"/>
      <c r="AL44" s="2867"/>
      <c r="AM44" s="2867"/>
      <c r="AN44" s="2867"/>
      <c r="AO44" s="2867"/>
      <c r="AP44" s="2867"/>
      <c r="AQ44" s="2867"/>
      <c r="AR44" s="2867"/>
      <c r="AS44" s="2867"/>
      <c r="AT44" s="2867"/>
      <c r="AU44" s="2867"/>
      <c r="AV44" s="2867"/>
      <c r="AW44" s="2867"/>
      <c r="AX44" s="2867"/>
      <c r="AY44" s="2867"/>
      <c r="AZ44" s="2867"/>
      <c r="BA44" s="2867"/>
      <c r="BB44" s="2867"/>
      <c r="BC44" s="2867"/>
      <c r="BD44" s="2867"/>
      <c r="BE44" s="2867"/>
      <c r="BF44" s="2867"/>
      <c r="BG44" s="2867"/>
      <c r="BH44" s="2867"/>
      <c r="BI44" s="2867"/>
      <c r="BJ44" s="2867"/>
      <c r="BK44" s="2867"/>
      <c r="BL44" s="2867"/>
      <c r="BM44" s="2867"/>
      <c r="BN44" s="2867"/>
      <c r="BO44" s="2867"/>
      <c r="BP44" s="2867"/>
      <c r="BQ44" s="2867"/>
      <c r="BR44" s="2867"/>
      <c r="BS44" s="2867"/>
      <c r="BT44" s="2867"/>
      <c r="BU44" s="2867"/>
      <c r="BV44" s="2867"/>
      <c r="BW44" s="2867"/>
      <c r="BX44" s="2867"/>
      <c r="BY44" s="2867"/>
      <c r="BZ44" s="2867"/>
      <c r="CA44" s="2867"/>
      <c r="CB44" s="2867"/>
      <c r="CC44" s="2867"/>
      <c r="CD44" s="2867"/>
      <c r="CE44" s="2867"/>
      <c r="CF44" s="2867"/>
      <c r="CG44" s="2867"/>
      <c r="CH44" s="2867"/>
      <c r="CI44" s="2867"/>
      <c r="CJ44" s="2867"/>
      <c r="CK44" s="2867"/>
      <c r="CL44" s="2867"/>
      <c r="CM44" s="2867"/>
      <c r="CN44" s="2867"/>
      <c r="CO44" s="2867"/>
      <c r="CP44" s="2867"/>
      <c r="CQ44" s="2867"/>
      <c r="CR44" s="2867"/>
      <c r="CS44" s="2867"/>
      <c r="CT44" s="2867"/>
      <c r="CU44" s="2867"/>
      <c r="CV44" s="2867"/>
      <c r="CW44" s="2867"/>
    </row>
    <row r="45" spans="1:101">
      <c r="A45" s="2878">
        <v>30</v>
      </c>
      <c r="C45" s="2869" t="s">
        <v>1285</v>
      </c>
      <c r="E45" s="2890">
        <f>'SCH_C2.1 - Base Period'!J272</f>
        <v>206000</v>
      </c>
      <c r="F45" s="2891">
        <f>H45-E45</f>
        <v>-206000</v>
      </c>
      <c r="G45" s="2874" t="s">
        <v>1910</v>
      </c>
      <c r="H45" s="2890">
        <f>'SCH_C2.1 - Forecasted Period'!J272</f>
        <v>0</v>
      </c>
      <c r="J45" s="2892">
        <f>SCH_D1!U241</f>
        <v>0</v>
      </c>
      <c r="K45" s="2892"/>
      <c r="L45" s="2874" t="s">
        <v>980</v>
      </c>
      <c r="N45" s="2892">
        <f>H45+J45</f>
        <v>0</v>
      </c>
      <c r="P45" s="2893">
        <f>IF(J45+F45=SCH_D1!AK439,J45+F45,"ERROR")</f>
        <v>-206000</v>
      </c>
      <c r="X45" s="2885"/>
      <c r="Y45" s="2867"/>
      <c r="Z45" s="2885"/>
      <c r="AA45" s="2867"/>
      <c r="AB45" s="2885"/>
      <c r="AC45" s="2867"/>
      <c r="AD45" s="2885"/>
      <c r="AE45" s="2867"/>
      <c r="AF45" s="2885"/>
      <c r="AG45" s="2867"/>
      <c r="AH45" s="2867"/>
      <c r="AI45" s="2867"/>
      <c r="AJ45" s="2867"/>
      <c r="AK45" s="2867"/>
      <c r="AL45" s="2867"/>
      <c r="AM45" s="2867"/>
      <c r="AN45" s="2867"/>
      <c r="AO45" s="2867"/>
      <c r="AP45" s="2867"/>
      <c r="AQ45" s="2867"/>
      <c r="AR45" s="2867"/>
      <c r="AS45" s="2867"/>
      <c r="AT45" s="2867"/>
      <c r="AU45" s="2867"/>
      <c r="AV45" s="2867"/>
      <c r="AW45" s="2867"/>
      <c r="AX45" s="2867"/>
      <c r="AY45" s="2867"/>
      <c r="AZ45" s="2867"/>
      <c r="BA45" s="2867"/>
      <c r="BB45" s="2867"/>
      <c r="BC45" s="2867"/>
      <c r="BD45" s="2867"/>
      <c r="BE45" s="2867"/>
      <c r="BF45" s="2867"/>
      <c r="BG45" s="2867"/>
      <c r="BH45" s="2867"/>
      <c r="BI45" s="2867"/>
      <c r="BJ45" s="2867"/>
      <c r="BK45" s="2867"/>
      <c r="BL45" s="2867"/>
      <c r="BM45" s="2867"/>
      <c r="BN45" s="2867"/>
      <c r="BO45" s="2867"/>
      <c r="BP45" s="2867"/>
      <c r="BQ45" s="2867"/>
      <c r="BR45" s="2867"/>
      <c r="BS45" s="2867"/>
      <c r="BT45" s="2867"/>
      <c r="BU45" s="2867"/>
      <c r="BV45" s="2867"/>
      <c r="BW45" s="2867"/>
      <c r="BX45" s="2867"/>
      <c r="BY45" s="2867"/>
      <c r="BZ45" s="2867"/>
      <c r="CA45" s="2867"/>
      <c r="CB45" s="2867"/>
      <c r="CC45" s="2867"/>
      <c r="CD45" s="2867"/>
      <c r="CE45" s="2867"/>
      <c r="CF45" s="2867"/>
      <c r="CG45" s="2867"/>
      <c r="CH45" s="2867"/>
      <c r="CI45" s="2867"/>
      <c r="CJ45" s="2867"/>
      <c r="CK45" s="2867"/>
      <c r="CL45" s="2867"/>
      <c r="CM45" s="2867"/>
      <c r="CN45" s="2867"/>
      <c r="CO45" s="2867"/>
      <c r="CP45" s="2867"/>
      <c r="CQ45" s="2867"/>
      <c r="CR45" s="2867"/>
      <c r="CS45" s="2867"/>
      <c r="CT45" s="2867"/>
      <c r="CU45" s="2867"/>
      <c r="CV45" s="2867"/>
      <c r="CW45" s="2867"/>
    </row>
    <row r="46" spans="1:101">
      <c r="A46" s="2878">
        <v>31</v>
      </c>
      <c r="C46" s="2869" t="s">
        <v>1287</v>
      </c>
      <c r="E46" s="2890">
        <f>'SCH_C2.1 - Base Period'!J283</f>
        <v>3400329</v>
      </c>
      <c r="F46" s="2891">
        <f>H46-E46</f>
        <v>742096</v>
      </c>
      <c r="G46" s="2874" t="s">
        <v>1910</v>
      </c>
      <c r="H46" s="2890">
        <f>'SCH_C2.1 - Forecasted Period'!J283</f>
        <v>4142425</v>
      </c>
      <c r="J46" s="2892">
        <f>SCH_D1!U242</f>
        <v>-44738</v>
      </c>
      <c r="K46" s="2892"/>
      <c r="L46" s="2874" t="s">
        <v>980</v>
      </c>
      <c r="N46" s="2892">
        <f>H46+J46</f>
        <v>4097687</v>
      </c>
      <c r="P46" s="2893">
        <f>IF(J46+F46=SCH_D1!AK440,J46+F46,"ERROR")</f>
        <v>697358</v>
      </c>
      <c r="X46" s="2870"/>
      <c r="Y46" s="2867"/>
      <c r="Z46" s="2870"/>
      <c r="AA46" s="2867"/>
      <c r="AB46" s="2870"/>
      <c r="AC46" s="2867"/>
      <c r="AD46" s="2870"/>
      <c r="AE46" s="2867"/>
      <c r="AF46" s="2870"/>
      <c r="AG46" s="2867"/>
      <c r="AH46" s="2867"/>
      <c r="AI46" s="2867"/>
      <c r="AJ46" s="2867"/>
      <c r="AK46" s="2867"/>
      <c r="AL46" s="2867"/>
      <c r="AM46" s="2867"/>
      <c r="AN46" s="2867"/>
      <c r="AO46" s="2867"/>
      <c r="AP46" s="2867"/>
      <c r="AQ46" s="2867"/>
      <c r="AR46" s="2867"/>
      <c r="AS46" s="2867"/>
      <c r="AT46" s="2867"/>
      <c r="AU46" s="2867"/>
      <c r="AV46" s="2867"/>
      <c r="AW46" s="2867"/>
      <c r="AX46" s="2867"/>
      <c r="AY46" s="2867"/>
      <c r="AZ46" s="2867"/>
      <c r="BA46" s="2867"/>
      <c r="BB46" s="2867"/>
      <c r="BC46" s="2867"/>
      <c r="BD46" s="2867"/>
      <c r="BE46" s="2867"/>
      <c r="BF46" s="2867"/>
      <c r="BG46" s="2867"/>
      <c r="BH46" s="2867"/>
      <c r="BI46" s="2867"/>
      <c r="BJ46" s="2867"/>
      <c r="BK46" s="2867"/>
      <c r="BL46" s="2867"/>
      <c r="BM46" s="2867"/>
      <c r="BN46" s="2867"/>
      <c r="BO46" s="2867"/>
      <c r="BP46" s="2867"/>
      <c r="BQ46" s="2867"/>
      <c r="BR46" s="2867"/>
      <c r="BS46" s="2867"/>
      <c r="BT46" s="2867"/>
      <c r="BU46" s="2867"/>
      <c r="BV46" s="2867"/>
      <c r="BW46" s="2867"/>
      <c r="BX46" s="2867"/>
      <c r="BY46" s="2867"/>
      <c r="BZ46" s="2867"/>
      <c r="CA46" s="2867"/>
      <c r="CB46" s="2867"/>
      <c r="CC46" s="2867"/>
      <c r="CD46" s="2867"/>
      <c r="CE46" s="2867"/>
      <c r="CF46" s="2867"/>
      <c r="CG46" s="2867"/>
      <c r="CH46" s="2867"/>
      <c r="CI46" s="2867"/>
      <c r="CJ46" s="2867"/>
      <c r="CK46" s="2867"/>
      <c r="CL46" s="2867"/>
      <c r="CM46" s="2867"/>
      <c r="CN46" s="2867"/>
      <c r="CO46" s="2867"/>
      <c r="CP46" s="2867"/>
      <c r="CQ46" s="2867"/>
      <c r="CR46" s="2867"/>
      <c r="CS46" s="2867"/>
      <c r="CT46" s="2867"/>
      <c r="CU46" s="2867"/>
      <c r="CV46" s="2867"/>
      <c r="CW46" s="2867"/>
    </row>
    <row r="47" spans="1:101">
      <c r="A47" s="2878">
        <v>32</v>
      </c>
      <c r="C47" s="2869" t="s">
        <v>1288</v>
      </c>
      <c r="E47" s="2894">
        <f>SUM(E45:E46)</f>
        <v>3606329</v>
      </c>
      <c r="F47" s="2894">
        <f>SUM(F45:F46)</f>
        <v>536096</v>
      </c>
      <c r="G47" s="2874"/>
      <c r="H47" s="2894">
        <f>SUM(H45:H46)</f>
        <v>4142425</v>
      </c>
      <c r="J47" s="2894">
        <f>SUM(J45:J46)</f>
        <v>-44738</v>
      </c>
      <c r="K47" s="2870"/>
      <c r="L47" s="2874"/>
      <c r="N47" s="2894">
        <f>SUM(N45:N46)</f>
        <v>4097687</v>
      </c>
      <c r="P47" s="2895">
        <f>SUM(P45:P46)</f>
        <v>491358</v>
      </c>
      <c r="X47" s="2870"/>
      <c r="Y47" s="2867"/>
      <c r="Z47" s="2870"/>
      <c r="AA47" s="2867"/>
      <c r="AB47" s="2870"/>
      <c r="AC47" s="2867"/>
      <c r="AD47" s="2870"/>
      <c r="AE47" s="2867"/>
      <c r="AF47" s="2870"/>
      <c r="AG47" s="2867"/>
      <c r="AH47" s="2867"/>
      <c r="AI47" s="2867"/>
      <c r="AJ47" s="2867"/>
      <c r="AK47" s="2867"/>
      <c r="AL47" s="2867"/>
      <c r="AM47" s="2867"/>
      <c r="AN47" s="2867"/>
      <c r="AO47" s="2867"/>
      <c r="AP47" s="2867"/>
      <c r="AQ47" s="2867"/>
      <c r="AR47" s="2867"/>
      <c r="AS47" s="2867"/>
      <c r="AT47" s="2867"/>
      <c r="AU47" s="2867"/>
      <c r="AV47" s="2867"/>
      <c r="AW47" s="2867"/>
      <c r="AX47" s="2867"/>
      <c r="AY47" s="2867"/>
      <c r="AZ47" s="2867"/>
      <c r="BA47" s="2867"/>
      <c r="BB47" s="2867"/>
      <c r="BC47" s="2867"/>
      <c r="BD47" s="2867"/>
      <c r="BE47" s="2867"/>
      <c r="BF47" s="2867"/>
      <c r="BG47" s="2867"/>
      <c r="BH47" s="2867"/>
      <c r="BI47" s="2867"/>
      <c r="BJ47" s="2867"/>
      <c r="BK47" s="2867"/>
      <c r="BL47" s="2867"/>
      <c r="BM47" s="2867"/>
      <c r="BN47" s="2867"/>
      <c r="BO47" s="2867"/>
      <c r="BP47" s="2867"/>
      <c r="BQ47" s="2867"/>
      <c r="BR47" s="2867"/>
      <c r="BS47" s="2867"/>
      <c r="BT47" s="2867"/>
      <c r="BU47" s="2867"/>
      <c r="BV47" s="2867"/>
      <c r="BW47" s="2867"/>
      <c r="BX47" s="2867"/>
      <c r="BY47" s="2867"/>
      <c r="BZ47" s="2867"/>
      <c r="CA47" s="2867"/>
      <c r="CB47" s="2867"/>
      <c r="CC47" s="2867"/>
      <c r="CD47" s="2867"/>
      <c r="CE47" s="2867"/>
      <c r="CF47" s="2867"/>
      <c r="CG47" s="2867"/>
      <c r="CH47" s="2867"/>
      <c r="CI47" s="2867"/>
      <c r="CJ47" s="2867"/>
      <c r="CK47" s="2867"/>
      <c r="CL47" s="2867"/>
      <c r="CM47" s="2867"/>
      <c r="CN47" s="2867"/>
      <c r="CO47" s="2867"/>
      <c r="CP47" s="2867"/>
      <c r="CQ47" s="2867"/>
      <c r="CR47" s="2867"/>
      <c r="CS47" s="2867"/>
      <c r="CT47" s="2867"/>
      <c r="CU47" s="2867"/>
      <c r="CV47" s="2867"/>
      <c r="CW47" s="2867"/>
    </row>
    <row r="48" spans="1:101">
      <c r="A48" s="2878">
        <v>33</v>
      </c>
      <c r="B48" s="2869"/>
      <c r="E48" s="2870"/>
      <c r="F48" s="2870"/>
      <c r="G48" s="2874"/>
      <c r="H48" s="2870"/>
      <c r="L48" s="2874"/>
      <c r="P48" s="2889"/>
      <c r="X48" s="2870"/>
      <c r="Y48" s="2867"/>
      <c r="Z48" s="2870"/>
      <c r="AA48" s="2867"/>
      <c r="AB48" s="2870"/>
      <c r="AC48" s="2867"/>
      <c r="AD48" s="2870"/>
      <c r="AE48" s="2867"/>
      <c r="AF48" s="2870"/>
      <c r="AG48" s="2867"/>
      <c r="AH48" s="2867"/>
      <c r="AI48" s="2867"/>
      <c r="AJ48" s="2867"/>
      <c r="AK48" s="2867"/>
      <c r="AL48" s="2867"/>
      <c r="AM48" s="2867"/>
      <c r="AN48" s="2867"/>
      <c r="AO48" s="2867"/>
      <c r="AP48" s="2867"/>
      <c r="AQ48" s="2867"/>
      <c r="AR48" s="2867"/>
      <c r="AS48" s="2867"/>
      <c r="AT48" s="2867"/>
      <c r="AU48" s="2867"/>
      <c r="AV48" s="2867"/>
      <c r="AW48" s="2867"/>
      <c r="AX48" s="2867"/>
      <c r="AY48" s="2867"/>
      <c r="AZ48" s="2867"/>
      <c r="BA48" s="2867"/>
      <c r="BB48" s="2867"/>
      <c r="BC48" s="2867"/>
      <c r="BD48" s="2867"/>
      <c r="BE48" s="2867"/>
      <c r="BF48" s="2867"/>
      <c r="BG48" s="2867"/>
      <c r="BH48" s="2867"/>
      <c r="BI48" s="2867"/>
      <c r="BJ48" s="2867"/>
      <c r="BK48" s="2867"/>
      <c r="BL48" s="2867"/>
      <c r="BM48" s="2867"/>
      <c r="BN48" s="2867"/>
      <c r="BO48" s="2867"/>
      <c r="BP48" s="2867"/>
      <c r="BQ48" s="2867"/>
      <c r="BR48" s="2867"/>
      <c r="BS48" s="2867"/>
      <c r="BT48" s="2867"/>
      <c r="BU48" s="2867"/>
      <c r="BV48" s="2867"/>
      <c r="BW48" s="2867"/>
      <c r="BX48" s="2867"/>
      <c r="BY48" s="2867"/>
      <c r="BZ48" s="2867"/>
      <c r="CA48" s="2867"/>
      <c r="CB48" s="2867"/>
      <c r="CC48" s="2867"/>
      <c r="CD48" s="2867"/>
      <c r="CE48" s="2867"/>
      <c r="CF48" s="2867"/>
      <c r="CG48" s="2867"/>
      <c r="CH48" s="2867"/>
      <c r="CI48" s="2867"/>
      <c r="CJ48" s="2867"/>
      <c r="CK48" s="2867"/>
      <c r="CL48" s="2867"/>
      <c r="CM48" s="2867"/>
      <c r="CN48" s="2867"/>
      <c r="CO48" s="2867"/>
      <c r="CP48" s="2867"/>
      <c r="CQ48" s="2867"/>
      <c r="CR48" s="2867"/>
      <c r="CS48" s="2867"/>
      <c r="CT48" s="2867"/>
      <c r="CU48" s="2867"/>
      <c r="CV48" s="2867"/>
      <c r="CW48" s="2867"/>
    </row>
    <row r="49" spans="1:101">
      <c r="A49" s="2878">
        <v>34</v>
      </c>
      <c r="C49" s="2869" t="s">
        <v>1289</v>
      </c>
      <c r="G49" s="2874"/>
      <c r="H49" s="2891"/>
      <c r="L49" s="2874"/>
      <c r="P49" s="2889"/>
      <c r="X49" s="2870"/>
      <c r="Y49" s="2867"/>
      <c r="Z49" s="2870"/>
      <c r="AA49" s="2867"/>
      <c r="AB49" s="2870"/>
      <c r="AC49" s="2867"/>
      <c r="AD49" s="2870"/>
      <c r="AE49" s="2867"/>
      <c r="AF49" s="2870"/>
      <c r="AG49" s="2867"/>
      <c r="AH49" s="2867"/>
      <c r="AI49" s="2867"/>
      <c r="AJ49" s="2867"/>
      <c r="AK49" s="2867"/>
      <c r="AL49" s="2867"/>
      <c r="AM49" s="2867"/>
      <c r="AN49" s="2867"/>
      <c r="AO49" s="2867"/>
      <c r="AP49" s="2867"/>
      <c r="AQ49" s="2867"/>
      <c r="AR49" s="2867"/>
      <c r="AS49" s="2867"/>
      <c r="AT49" s="2867"/>
      <c r="AU49" s="2867"/>
      <c r="AV49" s="2867"/>
      <c r="AW49" s="2867"/>
      <c r="AX49" s="2867"/>
      <c r="AY49" s="2867"/>
      <c r="AZ49" s="2867"/>
      <c r="BA49" s="2867"/>
      <c r="BB49" s="2867"/>
      <c r="BC49" s="2867"/>
      <c r="BD49" s="2867"/>
      <c r="BE49" s="2867"/>
      <c r="BF49" s="2867"/>
      <c r="BG49" s="2867"/>
      <c r="BH49" s="2867"/>
      <c r="BI49" s="2867"/>
      <c r="BJ49" s="2867"/>
      <c r="BK49" s="2867"/>
      <c r="BL49" s="2867"/>
      <c r="BM49" s="2867"/>
      <c r="BN49" s="2867"/>
      <c r="BO49" s="2867"/>
      <c r="BP49" s="2867"/>
      <c r="BQ49" s="2867"/>
      <c r="BR49" s="2867"/>
      <c r="BS49" s="2867"/>
      <c r="BT49" s="2867"/>
      <c r="BU49" s="2867"/>
      <c r="BV49" s="2867"/>
      <c r="BW49" s="2867"/>
      <c r="BX49" s="2867"/>
      <c r="BY49" s="2867"/>
      <c r="BZ49" s="2867"/>
      <c r="CA49" s="2867"/>
      <c r="CB49" s="2867"/>
      <c r="CC49" s="2867"/>
      <c r="CD49" s="2867"/>
      <c r="CE49" s="2867"/>
      <c r="CF49" s="2867"/>
      <c r="CG49" s="2867"/>
      <c r="CH49" s="2867"/>
      <c r="CI49" s="2867"/>
      <c r="CJ49" s="2867"/>
      <c r="CK49" s="2867"/>
      <c r="CL49" s="2867"/>
      <c r="CM49" s="2867"/>
      <c r="CN49" s="2867"/>
      <c r="CO49" s="2867"/>
      <c r="CP49" s="2867"/>
      <c r="CQ49" s="2867"/>
      <c r="CR49" s="2867"/>
      <c r="CS49" s="2867"/>
      <c r="CT49" s="2867"/>
      <c r="CU49" s="2867"/>
      <c r="CV49" s="2867"/>
      <c r="CW49" s="2867"/>
    </row>
    <row r="50" spans="1:101">
      <c r="A50" s="2878">
        <v>35</v>
      </c>
      <c r="C50" s="2869" t="s">
        <v>1290</v>
      </c>
      <c r="E50" s="2891">
        <f>SCH_E1!G75</f>
        <v>347419</v>
      </c>
      <c r="F50" s="2891">
        <f ca="1">H50-E50</f>
        <v>-562994</v>
      </c>
      <c r="G50" s="2874" t="s">
        <v>581</v>
      </c>
      <c r="H50" s="2891">
        <f ca="1">SCH_E1!K75</f>
        <v>-215575</v>
      </c>
      <c r="J50" s="2892">
        <f ca="1">N50-H50</f>
        <v>72366</v>
      </c>
      <c r="L50" s="2874" t="s">
        <v>581</v>
      </c>
      <c r="N50" s="2891">
        <f ca="1">SCH_E1!M75</f>
        <v>-143209</v>
      </c>
      <c r="P50" s="2893">
        <f ca="1">IF(J50+F50=SCH_D1!AK444,J50+F50,"ERROR")</f>
        <v>-490628</v>
      </c>
      <c r="X50" s="2870"/>
      <c r="Y50" s="2867"/>
      <c r="Z50" s="2870"/>
      <c r="AA50" s="2867"/>
      <c r="AB50" s="2870"/>
      <c r="AC50" s="2867"/>
      <c r="AD50" s="2870"/>
      <c r="AE50" s="2867"/>
      <c r="AF50" s="2870"/>
      <c r="AG50" s="2867"/>
      <c r="AH50" s="2867"/>
      <c r="AI50" s="2867"/>
      <c r="AJ50" s="2867"/>
      <c r="AK50" s="2867"/>
      <c r="AL50" s="2867"/>
      <c r="AM50" s="2867"/>
      <c r="AN50" s="2867"/>
      <c r="AO50" s="2867"/>
      <c r="AP50" s="2867"/>
      <c r="AQ50" s="2867"/>
      <c r="AR50" s="2867"/>
      <c r="AS50" s="2867"/>
      <c r="AT50" s="2867"/>
      <c r="AU50" s="2867"/>
      <c r="AV50" s="2867"/>
      <c r="AW50" s="2867"/>
      <c r="AX50" s="2867"/>
      <c r="AY50" s="2867"/>
      <c r="AZ50" s="2867"/>
      <c r="BA50" s="2867"/>
      <c r="BB50" s="2867"/>
      <c r="BC50" s="2867"/>
      <c r="BD50" s="2867"/>
      <c r="BE50" s="2867"/>
      <c r="BF50" s="2867"/>
      <c r="BG50" s="2867"/>
      <c r="BH50" s="2867"/>
      <c r="BI50" s="2867"/>
      <c r="BJ50" s="2867"/>
      <c r="BK50" s="2867"/>
      <c r="BL50" s="2867"/>
      <c r="BM50" s="2867"/>
      <c r="BN50" s="2867"/>
      <c r="BO50" s="2867"/>
      <c r="BP50" s="2867"/>
      <c r="BQ50" s="2867"/>
      <c r="BR50" s="2867"/>
      <c r="BS50" s="2867"/>
      <c r="BT50" s="2867"/>
      <c r="BU50" s="2867"/>
      <c r="BV50" s="2867"/>
      <c r="BW50" s="2867"/>
      <c r="BX50" s="2867"/>
      <c r="BY50" s="2867"/>
      <c r="BZ50" s="2867"/>
      <c r="CA50" s="2867"/>
      <c r="CB50" s="2867"/>
      <c r="CC50" s="2867"/>
      <c r="CD50" s="2867"/>
      <c r="CE50" s="2867"/>
      <c r="CF50" s="2867"/>
      <c r="CG50" s="2867"/>
      <c r="CH50" s="2867"/>
      <c r="CI50" s="2867"/>
      <c r="CJ50" s="2867"/>
      <c r="CK50" s="2867"/>
      <c r="CL50" s="2867"/>
      <c r="CM50" s="2867"/>
      <c r="CN50" s="2867"/>
      <c r="CO50" s="2867"/>
      <c r="CP50" s="2867"/>
      <c r="CQ50" s="2867"/>
      <c r="CR50" s="2867"/>
      <c r="CS50" s="2867"/>
      <c r="CT50" s="2867"/>
      <c r="CU50" s="2867"/>
      <c r="CV50" s="2867"/>
      <c r="CW50" s="2867"/>
    </row>
    <row r="51" spans="1:101">
      <c r="A51" s="2878">
        <v>36</v>
      </c>
      <c r="C51" s="2869" t="s">
        <v>1015</v>
      </c>
      <c r="E51" s="2891">
        <f>SCH_E1!G102</f>
        <v>-92502</v>
      </c>
      <c r="F51" s="2891">
        <f ca="1">H51-E51</f>
        <v>496892</v>
      </c>
      <c r="G51" s="2874" t="s">
        <v>581</v>
      </c>
      <c r="H51" s="2891">
        <f ca="1">SCH_E1!K102</f>
        <v>404390</v>
      </c>
      <c r="J51" s="2892">
        <f ca="1">N51-H51</f>
        <v>46570</v>
      </c>
      <c r="L51" s="2874" t="s">
        <v>581</v>
      </c>
      <c r="N51" s="2891">
        <f ca="1">SCH_E1!M102</f>
        <v>450960</v>
      </c>
      <c r="P51" s="2893">
        <f ca="1">IF(J51+F51=SCH_D1!AK445,J51+F51,"ERROR")</f>
        <v>543462</v>
      </c>
      <c r="X51" s="2870"/>
      <c r="Y51" s="2867"/>
      <c r="Z51" s="2870"/>
      <c r="AA51" s="2867"/>
      <c r="AB51" s="2870"/>
      <c r="AC51" s="2867"/>
      <c r="AD51" s="2870"/>
      <c r="AE51" s="2867"/>
      <c r="AF51" s="2870"/>
      <c r="AG51" s="2867"/>
      <c r="AH51" s="2867"/>
      <c r="AI51" s="2867"/>
      <c r="AJ51" s="2867"/>
      <c r="AK51" s="2867"/>
      <c r="AL51" s="2867"/>
      <c r="AM51" s="2867"/>
      <c r="AN51" s="2867"/>
      <c r="AO51" s="2867"/>
      <c r="AP51" s="2867"/>
      <c r="AQ51" s="2867"/>
      <c r="AR51" s="2867"/>
      <c r="AS51" s="2867"/>
      <c r="AT51" s="2867"/>
      <c r="AU51" s="2867"/>
      <c r="AV51" s="2867"/>
      <c r="AW51" s="2867"/>
      <c r="AX51" s="2867"/>
      <c r="AY51" s="2867"/>
      <c r="AZ51" s="2867"/>
      <c r="BA51" s="2867"/>
      <c r="BB51" s="2867"/>
      <c r="BC51" s="2867"/>
      <c r="BD51" s="2867"/>
      <c r="BE51" s="2867"/>
      <c r="BF51" s="2867"/>
      <c r="BG51" s="2867"/>
      <c r="BH51" s="2867"/>
      <c r="BI51" s="2867"/>
      <c r="BJ51" s="2867"/>
      <c r="BK51" s="2867"/>
      <c r="BL51" s="2867"/>
      <c r="BM51" s="2867"/>
      <c r="BN51" s="2867"/>
      <c r="BO51" s="2867"/>
      <c r="BP51" s="2867"/>
      <c r="BQ51" s="2867"/>
      <c r="BR51" s="2867"/>
      <c r="BS51" s="2867"/>
      <c r="BT51" s="2867"/>
      <c r="BU51" s="2867"/>
      <c r="BV51" s="2867"/>
      <c r="BW51" s="2867"/>
      <c r="BX51" s="2867"/>
      <c r="BY51" s="2867"/>
      <c r="BZ51" s="2867"/>
      <c r="CA51" s="2867"/>
      <c r="CB51" s="2867"/>
      <c r="CC51" s="2867"/>
      <c r="CD51" s="2867"/>
      <c r="CE51" s="2867"/>
      <c r="CF51" s="2867"/>
      <c r="CG51" s="2867"/>
      <c r="CH51" s="2867"/>
      <c r="CI51" s="2867"/>
      <c r="CJ51" s="2867"/>
      <c r="CK51" s="2867"/>
      <c r="CL51" s="2867"/>
      <c r="CM51" s="2867"/>
      <c r="CN51" s="2867"/>
      <c r="CO51" s="2867"/>
      <c r="CP51" s="2867"/>
      <c r="CQ51" s="2867"/>
      <c r="CR51" s="2867"/>
      <c r="CS51" s="2867"/>
      <c r="CT51" s="2867"/>
      <c r="CU51" s="2867"/>
      <c r="CV51" s="2867"/>
      <c r="CW51" s="2867"/>
    </row>
    <row r="52" spans="1:101">
      <c r="A52" s="2878">
        <v>37</v>
      </c>
      <c r="C52" s="2869" t="s">
        <v>1527</v>
      </c>
      <c r="E52" s="2894">
        <f>SUM(E50:E51)</f>
        <v>254917</v>
      </c>
      <c r="F52" s="2894">
        <f ca="1">SUM(F50:F51)</f>
        <v>-66102</v>
      </c>
      <c r="G52" s="2874"/>
      <c r="H52" s="2894">
        <f ca="1">SUM(H50:H51)</f>
        <v>188815</v>
      </c>
      <c r="J52" s="2894">
        <f ca="1">SUM(J50:J51)</f>
        <v>118936</v>
      </c>
      <c r="L52" s="2874"/>
      <c r="N52" s="2894">
        <f ca="1">SUM(N50:N51)</f>
        <v>307751</v>
      </c>
      <c r="P52" s="2895">
        <f ca="1">SUM(P50:P51)</f>
        <v>52834</v>
      </c>
      <c r="X52" s="2870"/>
      <c r="Y52" s="2867"/>
      <c r="Z52" s="2870"/>
      <c r="AA52" s="2867"/>
      <c r="AB52" s="2870"/>
      <c r="AC52" s="2867"/>
      <c r="AD52" s="2870"/>
      <c r="AE52" s="2867"/>
      <c r="AF52" s="2870"/>
      <c r="AG52" s="2867"/>
      <c r="AH52" s="2867"/>
      <c r="AI52" s="2867"/>
      <c r="AJ52" s="2867"/>
      <c r="AK52" s="2867"/>
      <c r="AL52" s="2867"/>
      <c r="AM52" s="2867"/>
      <c r="AN52" s="2867"/>
      <c r="AO52" s="2867"/>
      <c r="AP52" s="2867"/>
      <c r="AQ52" s="2867"/>
      <c r="AR52" s="2867"/>
      <c r="AS52" s="2867"/>
      <c r="AT52" s="2867"/>
      <c r="AU52" s="2867"/>
      <c r="AV52" s="2867"/>
      <c r="AW52" s="2867"/>
      <c r="AX52" s="2867"/>
      <c r="AY52" s="2867"/>
      <c r="AZ52" s="2867"/>
      <c r="BA52" s="2867"/>
      <c r="BB52" s="2867"/>
      <c r="BC52" s="2867"/>
      <c r="BD52" s="2867"/>
      <c r="BE52" s="2867"/>
      <c r="BF52" s="2867"/>
      <c r="BG52" s="2867"/>
      <c r="BH52" s="2867"/>
      <c r="BI52" s="2867"/>
      <c r="BJ52" s="2867"/>
      <c r="BK52" s="2867"/>
      <c r="BL52" s="2867"/>
      <c r="BM52" s="2867"/>
      <c r="BN52" s="2867"/>
      <c r="BO52" s="2867"/>
      <c r="BP52" s="2867"/>
      <c r="BQ52" s="2867"/>
      <c r="BR52" s="2867"/>
      <c r="BS52" s="2867"/>
      <c r="BT52" s="2867"/>
      <c r="BU52" s="2867"/>
      <c r="BV52" s="2867"/>
      <c r="BW52" s="2867"/>
      <c r="BX52" s="2867"/>
      <c r="BY52" s="2867"/>
      <c r="BZ52" s="2867"/>
      <c r="CA52" s="2867"/>
      <c r="CB52" s="2867"/>
      <c r="CC52" s="2867"/>
      <c r="CD52" s="2867"/>
      <c r="CE52" s="2867"/>
      <c r="CF52" s="2867"/>
      <c r="CG52" s="2867"/>
      <c r="CH52" s="2867"/>
      <c r="CI52" s="2867"/>
      <c r="CJ52" s="2867"/>
      <c r="CK52" s="2867"/>
      <c r="CL52" s="2867"/>
      <c r="CM52" s="2867"/>
      <c r="CN52" s="2867"/>
      <c r="CO52" s="2867"/>
      <c r="CP52" s="2867"/>
      <c r="CQ52" s="2867"/>
      <c r="CR52" s="2867"/>
      <c r="CS52" s="2867"/>
      <c r="CT52" s="2867"/>
      <c r="CU52" s="2867"/>
      <c r="CV52" s="2867"/>
      <c r="CW52" s="2867"/>
    </row>
    <row r="53" spans="1:101">
      <c r="A53" s="2878">
        <v>38</v>
      </c>
      <c r="E53" s="2896"/>
      <c r="G53" s="2874"/>
      <c r="H53" s="2891"/>
      <c r="L53" s="2874"/>
      <c r="P53" s="2889"/>
      <c r="X53" s="2870"/>
      <c r="Y53" s="2867"/>
      <c r="Z53" s="2870"/>
      <c r="AA53" s="2867"/>
      <c r="AB53" s="2870"/>
      <c r="AC53" s="2867"/>
      <c r="AD53" s="2870"/>
      <c r="AE53" s="2867"/>
      <c r="AF53" s="2870"/>
      <c r="AG53" s="2867"/>
      <c r="AH53" s="2867"/>
      <c r="AI53" s="2867"/>
      <c r="AJ53" s="2867"/>
      <c r="AK53" s="2867"/>
      <c r="AL53" s="2867"/>
      <c r="AM53" s="2867"/>
      <c r="AN53" s="2867"/>
      <c r="AO53" s="2867"/>
      <c r="AP53" s="2867"/>
      <c r="AQ53" s="2867"/>
      <c r="AR53" s="2867"/>
      <c r="AS53" s="2867"/>
      <c r="AT53" s="2867"/>
      <c r="AU53" s="2867"/>
      <c r="AV53" s="2867"/>
      <c r="AW53" s="2867"/>
      <c r="AX53" s="2867"/>
      <c r="AY53" s="2867"/>
      <c r="AZ53" s="2867"/>
      <c r="BA53" s="2867"/>
      <c r="BB53" s="2867"/>
      <c r="BC53" s="2867"/>
      <c r="BD53" s="2867"/>
      <c r="BE53" s="2867"/>
      <c r="BF53" s="2867"/>
      <c r="BG53" s="2867"/>
      <c r="BH53" s="2867"/>
      <c r="BI53" s="2867"/>
      <c r="BJ53" s="2867"/>
      <c r="BK53" s="2867"/>
      <c r="BL53" s="2867"/>
      <c r="BM53" s="2867"/>
      <c r="BN53" s="2867"/>
      <c r="BO53" s="2867"/>
      <c r="BP53" s="2867"/>
      <c r="BQ53" s="2867"/>
      <c r="BR53" s="2867"/>
      <c r="BS53" s="2867"/>
      <c r="BT53" s="2867"/>
      <c r="BU53" s="2867"/>
      <c r="BV53" s="2867"/>
      <c r="BW53" s="2867"/>
      <c r="BX53" s="2867"/>
      <c r="BY53" s="2867"/>
      <c r="BZ53" s="2867"/>
      <c r="CA53" s="2867"/>
      <c r="CB53" s="2867"/>
      <c r="CC53" s="2867"/>
      <c r="CD53" s="2867"/>
      <c r="CE53" s="2867"/>
      <c r="CF53" s="2867"/>
      <c r="CG53" s="2867"/>
      <c r="CH53" s="2867"/>
      <c r="CI53" s="2867"/>
      <c r="CJ53" s="2867"/>
      <c r="CK53" s="2867"/>
      <c r="CL53" s="2867"/>
      <c r="CM53" s="2867"/>
      <c r="CN53" s="2867"/>
      <c r="CO53" s="2867"/>
      <c r="CP53" s="2867"/>
      <c r="CQ53" s="2867"/>
      <c r="CR53" s="2867"/>
      <c r="CS53" s="2867"/>
      <c r="CT53" s="2867"/>
      <c r="CU53" s="2867"/>
      <c r="CV53" s="2867"/>
      <c r="CW53" s="2867"/>
    </row>
    <row r="54" spans="1:101">
      <c r="A54" s="2878">
        <v>39</v>
      </c>
      <c r="C54" s="2869" t="s">
        <v>1528</v>
      </c>
      <c r="G54" s="2874"/>
      <c r="H54" s="2891"/>
      <c r="L54" s="2874"/>
      <c r="P54" s="2889"/>
      <c r="X54" s="2867"/>
      <c r="Y54" s="2867"/>
      <c r="Z54" s="2867"/>
      <c r="AA54" s="2867"/>
      <c r="AB54" s="2867"/>
      <c r="AC54" s="2867"/>
      <c r="AD54" s="2867"/>
      <c r="AE54" s="2867"/>
      <c r="AF54" s="2867"/>
      <c r="AG54" s="2867"/>
      <c r="AH54" s="2867"/>
      <c r="AI54" s="2867"/>
      <c r="AJ54" s="2867"/>
      <c r="AK54" s="2867"/>
      <c r="AL54" s="2867"/>
      <c r="AM54" s="2867"/>
      <c r="AN54" s="2867"/>
      <c r="AO54" s="2867"/>
      <c r="AP54" s="2867"/>
      <c r="AQ54" s="2867"/>
      <c r="AR54" s="2867"/>
      <c r="AS54" s="2867"/>
      <c r="AT54" s="2867"/>
      <c r="AU54" s="2867"/>
      <c r="AV54" s="2867"/>
      <c r="AW54" s="2867"/>
      <c r="AX54" s="2867"/>
      <c r="AY54" s="2867"/>
      <c r="AZ54" s="2867"/>
      <c r="BA54" s="2867"/>
      <c r="BB54" s="2867"/>
      <c r="BC54" s="2867"/>
      <c r="BD54" s="2867"/>
      <c r="BE54" s="2867"/>
      <c r="BF54" s="2867"/>
      <c r="BG54" s="2867"/>
      <c r="BH54" s="2867"/>
      <c r="BI54" s="2867"/>
      <c r="BJ54" s="2867"/>
      <c r="BK54" s="2867"/>
      <c r="BL54" s="2867"/>
      <c r="BM54" s="2867"/>
      <c r="BN54" s="2867"/>
      <c r="BO54" s="2867"/>
      <c r="BP54" s="2867"/>
      <c r="BQ54" s="2867"/>
      <c r="BR54" s="2867"/>
      <c r="BS54" s="2867"/>
      <c r="BT54" s="2867"/>
      <c r="BU54" s="2867"/>
      <c r="BV54" s="2867"/>
      <c r="BW54" s="2867"/>
      <c r="BX54" s="2867"/>
      <c r="BY54" s="2867"/>
      <c r="BZ54" s="2867"/>
      <c r="CA54" s="2867"/>
      <c r="CB54" s="2867"/>
      <c r="CC54" s="2867"/>
      <c r="CD54" s="2867"/>
      <c r="CE54" s="2867"/>
      <c r="CF54" s="2867"/>
      <c r="CG54" s="2867"/>
      <c r="CH54" s="2867"/>
      <c r="CI54" s="2867"/>
      <c r="CJ54" s="2867"/>
      <c r="CK54" s="2867"/>
      <c r="CL54" s="2867"/>
      <c r="CM54" s="2867"/>
      <c r="CN54" s="2867"/>
      <c r="CO54" s="2867"/>
      <c r="CP54" s="2867"/>
      <c r="CQ54" s="2867"/>
      <c r="CR54" s="2867"/>
      <c r="CS54" s="2867"/>
      <c r="CT54" s="2867"/>
      <c r="CU54" s="2867"/>
      <c r="CV54" s="2867"/>
      <c r="CW54" s="2867"/>
    </row>
    <row r="55" spans="1:101">
      <c r="A55" s="2878">
        <v>40</v>
      </c>
      <c r="C55" s="2869" t="s">
        <v>1529</v>
      </c>
      <c r="E55" s="2891">
        <f>SCH_E1!G115</f>
        <v>3692225</v>
      </c>
      <c r="F55" s="2891">
        <f ca="1">H55-E55</f>
        <v>-3365082</v>
      </c>
      <c r="G55" s="2874" t="s">
        <v>581</v>
      </c>
      <c r="H55" s="2891">
        <f ca="1">SCH_E1!K115</f>
        <v>327143</v>
      </c>
      <c r="J55" s="2892">
        <f ca="1">N55-H55</f>
        <v>290671</v>
      </c>
      <c r="L55" s="2874" t="s">
        <v>581</v>
      </c>
      <c r="N55" s="2891">
        <f ca="1">SCH_E1!M115</f>
        <v>617814</v>
      </c>
      <c r="P55" s="2893">
        <f ca="1">IF(J55+F55=SCH_D1!AK449,J55+F55,"ERROR")</f>
        <v>-3074411</v>
      </c>
      <c r="X55" s="2867"/>
      <c r="Y55" s="2867"/>
      <c r="Z55" s="2867"/>
      <c r="AA55" s="2867"/>
      <c r="AB55" s="2867"/>
      <c r="AC55" s="2867"/>
      <c r="AD55" s="2867"/>
      <c r="AE55" s="2867"/>
      <c r="AF55" s="2867"/>
      <c r="AG55" s="2867"/>
      <c r="AH55" s="2867"/>
      <c r="AI55" s="2867"/>
      <c r="AJ55" s="2867"/>
      <c r="AK55" s="2867"/>
      <c r="AL55" s="2867"/>
      <c r="AM55" s="2867"/>
      <c r="AN55" s="2867"/>
      <c r="AO55" s="2867"/>
      <c r="AP55" s="2867"/>
      <c r="AQ55" s="2867"/>
      <c r="AR55" s="2867"/>
      <c r="AS55" s="2867"/>
      <c r="AT55" s="2867"/>
      <c r="AU55" s="2867"/>
      <c r="AV55" s="2867"/>
      <c r="AW55" s="2867"/>
      <c r="AX55" s="2867"/>
      <c r="AY55" s="2867"/>
      <c r="AZ55" s="2867"/>
      <c r="BA55" s="2867"/>
      <c r="BB55" s="2867"/>
      <c r="BC55" s="2867"/>
      <c r="BD55" s="2867"/>
      <c r="BE55" s="2867"/>
      <c r="BF55" s="2867"/>
      <c r="BG55" s="2867"/>
      <c r="BH55" s="2867"/>
      <c r="BI55" s="2867"/>
      <c r="BJ55" s="2867"/>
      <c r="BK55" s="2867"/>
      <c r="BL55" s="2867"/>
      <c r="BM55" s="2867"/>
      <c r="BN55" s="2867"/>
      <c r="BO55" s="2867"/>
      <c r="BP55" s="2867"/>
      <c r="BQ55" s="2867"/>
      <c r="BR55" s="2867"/>
      <c r="BS55" s="2867"/>
      <c r="BT55" s="2867"/>
      <c r="BU55" s="2867"/>
      <c r="BV55" s="2867"/>
      <c r="BW55" s="2867"/>
      <c r="BX55" s="2867"/>
      <c r="BY55" s="2867"/>
      <c r="BZ55" s="2867"/>
      <c r="CA55" s="2867"/>
      <c r="CB55" s="2867"/>
      <c r="CC55" s="2867"/>
      <c r="CD55" s="2867"/>
      <c r="CE55" s="2867"/>
      <c r="CF55" s="2867"/>
      <c r="CG55" s="2867"/>
      <c r="CH55" s="2867"/>
      <c r="CI55" s="2867"/>
      <c r="CJ55" s="2867"/>
      <c r="CK55" s="2867"/>
      <c r="CL55" s="2867"/>
      <c r="CM55" s="2867"/>
      <c r="CN55" s="2867"/>
      <c r="CO55" s="2867"/>
      <c r="CP55" s="2867"/>
      <c r="CQ55" s="2867"/>
      <c r="CR55" s="2867"/>
      <c r="CS55" s="2867"/>
      <c r="CT55" s="2867"/>
      <c r="CU55" s="2867"/>
      <c r="CV55" s="2867"/>
      <c r="CW55" s="2867"/>
    </row>
    <row r="56" spans="1:101">
      <c r="A56" s="2878">
        <v>41</v>
      </c>
      <c r="C56" s="2869" t="s">
        <v>1015</v>
      </c>
      <c r="E56" s="2891">
        <f>SCH_E1!G121</f>
        <v>-17062</v>
      </c>
      <c r="F56" s="2891">
        <f ca="1">H56-E56</f>
        <v>505474</v>
      </c>
      <c r="G56" s="2874" t="s">
        <v>581</v>
      </c>
      <c r="H56" s="2891">
        <f ca="1">SCH_E1!K121</f>
        <v>488412</v>
      </c>
      <c r="J56" s="2892">
        <f ca="1">N56-H56</f>
        <v>187071</v>
      </c>
      <c r="L56" s="2874" t="s">
        <v>581</v>
      </c>
      <c r="N56" s="2891">
        <f ca="1">SCH_E1!M121</f>
        <v>675483</v>
      </c>
      <c r="P56" s="2893">
        <f ca="1">IF(J56+F56=SCH_D1!AK450,J56+F56,"ERROR")</f>
        <v>692545</v>
      </c>
      <c r="X56" s="2867"/>
      <c r="Y56" s="2867"/>
      <c r="Z56" s="2867"/>
      <c r="AA56" s="2867"/>
      <c r="AB56" s="2867"/>
      <c r="AC56" s="2867"/>
      <c r="AD56" s="2867"/>
      <c r="AE56" s="2867"/>
      <c r="AF56" s="2867"/>
      <c r="AG56" s="2867"/>
      <c r="AH56" s="2867"/>
      <c r="AI56" s="2867"/>
      <c r="AJ56" s="2867"/>
      <c r="AK56" s="2867"/>
      <c r="AL56" s="2867"/>
      <c r="AM56" s="2867"/>
      <c r="AN56" s="2867"/>
      <c r="AO56" s="2867"/>
      <c r="AP56" s="2867"/>
      <c r="AQ56" s="2867"/>
      <c r="AR56" s="2867"/>
      <c r="AS56" s="2867"/>
      <c r="AT56" s="2867"/>
      <c r="AU56" s="2867"/>
      <c r="AV56" s="2867"/>
      <c r="AW56" s="2867"/>
      <c r="AX56" s="2867"/>
      <c r="AY56" s="2867"/>
      <c r="AZ56" s="2867"/>
      <c r="BA56" s="2867"/>
      <c r="BB56" s="2867"/>
      <c r="BC56" s="2867"/>
      <c r="BD56" s="2867"/>
      <c r="BE56" s="2867"/>
      <c r="BF56" s="2867"/>
      <c r="BG56" s="2867"/>
      <c r="BH56" s="2867"/>
      <c r="BI56" s="2867"/>
      <c r="BJ56" s="2867"/>
      <c r="BK56" s="2867"/>
      <c r="BL56" s="2867"/>
      <c r="BM56" s="2867"/>
      <c r="BN56" s="2867"/>
      <c r="BO56" s="2867"/>
      <c r="BP56" s="2867"/>
      <c r="BQ56" s="2867"/>
      <c r="BR56" s="2867"/>
      <c r="BS56" s="2867"/>
      <c r="BT56" s="2867"/>
      <c r="BU56" s="2867"/>
      <c r="BV56" s="2867"/>
      <c r="BW56" s="2867"/>
      <c r="BX56" s="2867"/>
      <c r="BY56" s="2867"/>
      <c r="BZ56" s="2867"/>
      <c r="CA56" s="2867"/>
      <c r="CB56" s="2867"/>
      <c r="CC56" s="2867"/>
      <c r="CD56" s="2867"/>
      <c r="CE56" s="2867"/>
      <c r="CF56" s="2867"/>
      <c r="CG56" s="2867"/>
      <c r="CH56" s="2867"/>
      <c r="CI56" s="2867"/>
      <c r="CJ56" s="2867"/>
      <c r="CK56" s="2867"/>
      <c r="CL56" s="2867"/>
      <c r="CM56" s="2867"/>
      <c r="CN56" s="2867"/>
      <c r="CO56" s="2867"/>
      <c r="CP56" s="2867"/>
      <c r="CQ56" s="2867"/>
      <c r="CR56" s="2867"/>
      <c r="CS56" s="2867"/>
      <c r="CT56" s="2867"/>
      <c r="CU56" s="2867"/>
      <c r="CV56" s="2867"/>
      <c r="CW56" s="2867"/>
    </row>
    <row r="57" spans="1:101">
      <c r="A57" s="2878">
        <v>42</v>
      </c>
      <c r="C57" s="2869" t="s">
        <v>1016</v>
      </c>
      <c r="E57" s="2891">
        <f>SCH_E1!G123</f>
        <v>-67241</v>
      </c>
      <c r="F57" s="2891">
        <f>H57-E57</f>
        <v>1186</v>
      </c>
      <c r="G57" s="2874" t="s">
        <v>581</v>
      </c>
      <c r="H57" s="2891">
        <f>SCH_E1!K123</f>
        <v>-66055</v>
      </c>
      <c r="J57" s="2892">
        <f>N57-H57</f>
        <v>0</v>
      </c>
      <c r="L57" s="2874" t="s">
        <v>581</v>
      </c>
      <c r="N57" s="2891">
        <f>SCH_E1!M123</f>
        <v>-66055</v>
      </c>
      <c r="P57" s="2893">
        <f>IF(J57+F57=SCH_D1!AK451,J57+F57,"ERROR")</f>
        <v>1186</v>
      </c>
      <c r="X57" s="2867"/>
      <c r="Y57" s="2867"/>
      <c r="Z57" s="2867"/>
      <c r="AA57" s="2867"/>
      <c r="AB57" s="2867"/>
      <c r="AC57" s="2867"/>
      <c r="AD57" s="2867"/>
      <c r="AE57" s="2867"/>
      <c r="AF57" s="2867"/>
      <c r="AG57" s="2867"/>
      <c r="AH57" s="2867"/>
      <c r="AI57" s="2867"/>
      <c r="AJ57" s="2867"/>
      <c r="AK57" s="2867"/>
      <c r="AL57" s="2867"/>
      <c r="AM57" s="2867"/>
      <c r="AN57" s="2867"/>
      <c r="AO57" s="2867"/>
      <c r="AP57" s="2867"/>
      <c r="AQ57" s="2867"/>
      <c r="AR57" s="2867"/>
      <c r="AS57" s="2867"/>
      <c r="AT57" s="2867"/>
      <c r="AU57" s="2867"/>
      <c r="AV57" s="2867"/>
      <c r="AW57" s="2867"/>
      <c r="AX57" s="2867"/>
      <c r="AY57" s="2867"/>
      <c r="AZ57" s="2867"/>
      <c r="BA57" s="2867"/>
      <c r="BB57" s="2867"/>
      <c r="BC57" s="2867"/>
      <c r="BD57" s="2867"/>
      <c r="BE57" s="2867"/>
      <c r="BF57" s="2867"/>
      <c r="BG57" s="2867"/>
      <c r="BH57" s="2867"/>
      <c r="BI57" s="2867"/>
      <c r="BJ57" s="2867"/>
      <c r="BK57" s="2867"/>
      <c r="BL57" s="2867"/>
      <c r="BM57" s="2867"/>
      <c r="BN57" s="2867"/>
      <c r="BO57" s="2867"/>
      <c r="BP57" s="2867"/>
      <c r="BQ57" s="2867"/>
      <c r="BR57" s="2867"/>
      <c r="BS57" s="2867"/>
      <c r="BT57" s="2867"/>
      <c r="BU57" s="2867"/>
      <c r="BV57" s="2867"/>
      <c r="BW57" s="2867"/>
      <c r="BX57" s="2867"/>
      <c r="BY57" s="2867"/>
      <c r="BZ57" s="2867"/>
      <c r="CA57" s="2867"/>
      <c r="CB57" s="2867"/>
      <c r="CC57" s="2867"/>
      <c r="CD57" s="2867"/>
      <c r="CE57" s="2867"/>
      <c r="CF57" s="2867"/>
      <c r="CG57" s="2867"/>
      <c r="CH57" s="2867"/>
      <c r="CI57" s="2867"/>
      <c r="CJ57" s="2867"/>
      <c r="CK57" s="2867"/>
      <c r="CL57" s="2867"/>
      <c r="CM57" s="2867"/>
      <c r="CN57" s="2867"/>
      <c r="CO57" s="2867"/>
      <c r="CP57" s="2867"/>
      <c r="CQ57" s="2867"/>
      <c r="CR57" s="2867"/>
      <c r="CS57" s="2867"/>
      <c r="CT57" s="2867"/>
      <c r="CU57" s="2867"/>
      <c r="CV57" s="2867"/>
      <c r="CW57" s="2867"/>
    </row>
    <row r="58" spans="1:101">
      <c r="A58" s="2878">
        <v>43</v>
      </c>
      <c r="C58" s="2869" t="s">
        <v>1530</v>
      </c>
      <c r="E58" s="2894">
        <f>SUM(E55:E57)</f>
        <v>3607922</v>
      </c>
      <c r="F58" s="2894">
        <f ca="1">SUM(F55:F57)</f>
        <v>-2858422</v>
      </c>
      <c r="G58" s="2874"/>
      <c r="H58" s="2894">
        <f ca="1">SUM(H55:H57)</f>
        <v>749500</v>
      </c>
      <c r="J58" s="2894">
        <f ca="1">SUM(J55:J57)</f>
        <v>477742</v>
      </c>
      <c r="L58" s="2874"/>
      <c r="N58" s="2894">
        <f ca="1">SUM(N55:N57)</f>
        <v>1227242</v>
      </c>
      <c r="P58" s="2895">
        <f ca="1">SUM(P55:P57)</f>
        <v>-2380680</v>
      </c>
      <c r="X58" s="2867"/>
      <c r="Y58" s="2867"/>
      <c r="Z58" s="2867"/>
      <c r="AA58" s="2867"/>
      <c r="AB58" s="2867"/>
      <c r="AC58" s="2867"/>
      <c r="AD58" s="2867"/>
      <c r="AE58" s="2867"/>
      <c r="AF58" s="2867"/>
      <c r="AG58" s="2867"/>
      <c r="AH58" s="2867"/>
      <c r="AI58" s="2867"/>
      <c r="AJ58" s="2867"/>
      <c r="AK58" s="2867"/>
      <c r="AL58" s="2867"/>
      <c r="AM58" s="2867"/>
      <c r="AN58" s="2867"/>
      <c r="AO58" s="2867"/>
      <c r="AP58" s="2867"/>
      <c r="AQ58" s="2867"/>
      <c r="AR58" s="2867"/>
      <c r="AS58" s="2867"/>
      <c r="AT58" s="2867"/>
      <c r="AU58" s="2867"/>
      <c r="AV58" s="2867"/>
      <c r="AW58" s="2867"/>
      <c r="AX58" s="2867"/>
      <c r="AY58" s="2867"/>
      <c r="AZ58" s="2867"/>
      <c r="BA58" s="2867"/>
      <c r="BB58" s="2867"/>
      <c r="BC58" s="2867"/>
      <c r="BD58" s="2867"/>
      <c r="BE58" s="2867"/>
      <c r="BF58" s="2867"/>
      <c r="BG58" s="2867"/>
      <c r="BH58" s="2867"/>
      <c r="BI58" s="2867"/>
      <c r="BJ58" s="2867"/>
      <c r="BK58" s="2867"/>
      <c r="BL58" s="2867"/>
      <c r="BM58" s="2867"/>
      <c r="BN58" s="2867"/>
      <c r="BO58" s="2867"/>
      <c r="BP58" s="2867"/>
      <c r="BQ58" s="2867"/>
      <c r="BR58" s="2867"/>
      <c r="BS58" s="2867"/>
      <c r="BT58" s="2867"/>
      <c r="BU58" s="2867"/>
      <c r="BV58" s="2867"/>
      <c r="BW58" s="2867"/>
      <c r="BX58" s="2867"/>
      <c r="BY58" s="2867"/>
      <c r="BZ58" s="2867"/>
      <c r="CA58" s="2867"/>
      <c r="CB58" s="2867"/>
      <c r="CC58" s="2867"/>
      <c r="CD58" s="2867"/>
      <c r="CE58" s="2867"/>
      <c r="CF58" s="2867"/>
      <c r="CG58" s="2867"/>
      <c r="CH58" s="2867"/>
      <c r="CI58" s="2867"/>
      <c r="CJ58" s="2867"/>
      <c r="CK58" s="2867"/>
      <c r="CL58" s="2867"/>
      <c r="CM58" s="2867"/>
      <c r="CN58" s="2867"/>
      <c r="CO58" s="2867"/>
      <c r="CP58" s="2867"/>
      <c r="CQ58" s="2867"/>
      <c r="CR58" s="2867"/>
      <c r="CS58" s="2867"/>
      <c r="CT58" s="2867"/>
      <c r="CU58" s="2867"/>
      <c r="CV58" s="2867"/>
      <c r="CW58" s="2867"/>
    </row>
    <row r="59" spans="1:101">
      <c r="A59" s="2878">
        <v>44</v>
      </c>
      <c r="E59" s="2896"/>
      <c r="G59" s="2874"/>
      <c r="H59" s="2891"/>
      <c r="L59" s="2874"/>
      <c r="P59" s="2889"/>
      <c r="X59" s="2867"/>
      <c r="Y59" s="2867"/>
      <c r="Z59" s="2867"/>
      <c r="AA59" s="2867"/>
      <c r="AB59" s="2867"/>
      <c r="AC59" s="2867"/>
      <c r="AD59" s="2867"/>
      <c r="AE59" s="2867"/>
      <c r="AF59" s="2867"/>
      <c r="AG59" s="2867"/>
      <c r="AH59" s="2867"/>
      <c r="AI59" s="2867"/>
      <c r="AJ59" s="2867"/>
      <c r="AK59" s="2867"/>
      <c r="AL59" s="2867"/>
      <c r="AM59" s="2867"/>
      <c r="AN59" s="2867"/>
      <c r="AO59" s="2867"/>
      <c r="AP59" s="2867"/>
      <c r="AQ59" s="2867"/>
      <c r="AR59" s="2867"/>
      <c r="AS59" s="2867"/>
      <c r="AT59" s="2867"/>
      <c r="AU59" s="2867"/>
      <c r="AV59" s="2867"/>
      <c r="AW59" s="2867"/>
      <c r="AX59" s="2867"/>
      <c r="AY59" s="2867"/>
      <c r="AZ59" s="2867"/>
      <c r="BA59" s="2867"/>
      <c r="BB59" s="2867"/>
      <c r="BC59" s="2867"/>
      <c r="BD59" s="2867"/>
      <c r="BE59" s="2867"/>
      <c r="BF59" s="2867"/>
      <c r="BG59" s="2867"/>
      <c r="BH59" s="2867"/>
      <c r="BI59" s="2867"/>
      <c r="BJ59" s="2867"/>
      <c r="BK59" s="2867"/>
      <c r="BL59" s="2867"/>
      <c r="BM59" s="2867"/>
      <c r="BN59" s="2867"/>
      <c r="BO59" s="2867"/>
      <c r="BP59" s="2867"/>
      <c r="BQ59" s="2867"/>
      <c r="BR59" s="2867"/>
      <c r="BS59" s="2867"/>
      <c r="BT59" s="2867"/>
      <c r="BU59" s="2867"/>
      <c r="BV59" s="2867"/>
      <c r="BW59" s="2867"/>
      <c r="BX59" s="2867"/>
      <c r="BY59" s="2867"/>
      <c r="BZ59" s="2867"/>
      <c r="CA59" s="2867"/>
      <c r="CB59" s="2867"/>
      <c r="CC59" s="2867"/>
      <c r="CD59" s="2867"/>
      <c r="CE59" s="2867"/>
      <c r="CF59" s="2867"/>
      <c r="CG59" s="2867"/>
      <c r="CH59" s="2867"/>
      <c r="CI59" s="2867"/>
      <c r="CJ59" s="2867"/>
      <c r="CK59" s="2867"/>
      <c r="CL59" s="2867"/>
      <c r="CM59" s="2867"/>
      <c r="CN59" s="2867"/>
      <c r="CO59" s="2867"/>
      <c r="CP59" s="2867"/>
      <c r="CQ59" s="2867"/>
      <c r="CR59" s="2867"/>
      <c r="CS59" s="2867"/>
      <c r="CT59" s="2867"/>
      <c r="CU59" s="2867"/>
      <c r="CV59" s="2867"/>
      <c r="CW59" s="2867"/>
    </row>
    <row r="60" spans="1:101">
      <c r="A60" s="2878">
        <v>45</v>
      </c>
      <c r="C60" s="2869" t="s">
        <v>1531</v>
      </c>
      <c r="E60" s="2901">
        <f>E40+E42+E47+E52+E58</f>
        <v>89478253</v>
      </c>
      <c r="F60" s="2901">
        <f ca="1">F40+F42+F47+F52+F58</f>
        <v>-8112536</v>
      </c>
      <c r="H60" s="2901">
        <f ca="1">H40+H42+H47+H52+H58</f>
        <v>81365717</v>
      </c>
      <c r="J60" s="2901">
        <f ca="1">J40+J42+J47+J52+J58</f>
        <v>-609877</v>
      </c>
      <c r="K60" s="2870"/>
      <c r="N60" s="2901">
        <f ca="1">N40+N42+N47+N52+N58</f>
        <v>80755840</v>
      </c>
      <c r="P60" s="2905">
        <f ca="1">P40+P42+P47+P52+P58</f>
        <v>-8722413</v>
      </c>
      <c r="X60" s="2867"/>
      <c r="Y60" s="2867"/>
      <c r="Z60" s="2867"/>
      <c r="AA60" s="2867"/>
      <c r="AB60" s="2867"/>
      <c r="AC60" s="2867"/>
      <c r="AD60" s="2867"/>
      <c r="AE60" s="2867"/>
      <c r="AF60" s="2867"/>
      <c r="AG60" s="2867"/>
      <c r="AH60" s="2867"/>
      <c r="AI60" s="2867"/>
      <c r="AJ60" s="2867"/>
      <c r="AK60" s="2867"/>
      <c r="AL60" s="2867"/>
      <c r="AM60" s="2867"/>
      <c r="AN60" s="2867"/>
      <c r="AO60" s="2867"/>
      <c r="AP60" s="2867"/>
      <c r="AQ60" s="2867"/>
      <c r="AR60" s="2867"/>
      <c r="AS60" s="2867"/>
      <c r="AT60" s="2867"/>
      <c r="AU60" s="2867"/>
      <c r="AV60" s="2867"/>
      <c r="AW60" s="2867"/>
      <c r="AX60" s="2867"/>
      <c r="AY60" s="2867"/>
      <c r="AZ60" s="2867"/>
      <c r="BA60" s="2867"/>
      <c r="BB60" s="2867"/>
      <c r="BC60" s="2867"/>
      <c r="BD60" s="2867"/>
      <c r="BE60" s="2867"/>
      <c r="BF60" s="2867"/>
      <c r="BG60" s="2867"/>
      <c r="BH60" s="2867"/>
      <c r="BI60" s="2867"/>
      <c r="BJ60" s="2867"/>
      <c r="BK60" s="2867"/>
      <c r="BL60" s="2867"/>
      <c r="BM60" s="2867"/>
      <c r="BN60" s="2867"/>
      <c r="BO60" s="2867"/>
      <c r="BP60" s="2867"/>
      <c r="BQ60" s="2867"/>
      <c r="BR60" s="2867"/>
      <c r="BS60" s="2867"/>
      <c r="BT60" s="2867"/>
      <c r="BU60" s="2867"/>
      <c r="BV60" s="2867"/>
      <c r="BW60" s="2867"/>
      <c r="BX60" s="2867"/>
      <c r="BY60" s="2867"/>
      <c r="BZ60" s="2867"/>
      <c r="CA60" s="2867"/>
      <c r="CB60" s="2867"/>
      <c r="CC60" s="2867"/>
      <c r="CD60" s="2867"/>
      <c r="CE60" s="2867"/>
      <c r="CF60" s="2867"/>
      <c r="CG60" s="2867"/>
      <c r="CH60" s="2867"/>
      <c r="CI60" s="2867"/>
      <c r="CJ60" s="2867"/>
      <c r="CK60" s="2867"/>
      <c r="CL60" s="2867"/>
      <c r="CM60" s="2867"/>
      <c r="CN60" s="2867"/>
      <c r="CO60" s="2867"/>
      <c r="CP60" s="2867"/>
      <c r="CQ60" s="2867"/>
      <c r="CR60" s="2867"/>
      <c r="CS60" s="2867"/>
      <c r="CT60" s="2867"/>
      <c r="CU60" s="2867"/>
      <c r="CV60" s="2867"/>
      <c r="CW60" s="2867"/>
    </row>
    <row r="61" spans="1:101">
      <c r="A61" s="2878">
        <v>46</v>
      </c>
      <c r="E61" s="2896"/>
      <c r="H61" s="2891"/>
      <c r="O61" s="2867"/>
      <c r="P61" s="2889"/>
      <c r="Q61" s="2867"/>
      <c r="T61" s="2867"/>
      <c r="U61" s="2867"/>
      <c r="V61" s="2867"/>
      <c r="W61" s="2867"/>
      <c r="X61" s="2867"/>
      <c r="Y61" s="2867"/>
      <c r="Z61" s="2867"/>
      <c r="AA61" s="2867"/>
      <c r="AB61" s="2867"/>
      <c r="AC61" s="2867"/>
      <c r="AD61" s="2867"/>
      <c r="AE61" s="2867"/>
      <c r="AF61" s="2867"/>
      <c r="AG61" s="2867"/>
      <c r="AH61" s="2867"/>
      <c r="AI61" s="2867"/>
      <c r="AJ61" s="2867"/>
      <c r="AK61" s="2867"/>
      <c r="AL61" s="2867"/>
      <c r="AM61" s="2867"/>
      <c r="AN61" s="2867"/>
      <c r="AO61" s="2867"/>
      <c r="AP61" s="2867"/>
      <c r="AQ61" s="2867"/>
      <c r="AR61" s="2867"/>
      <c r="AS61" s="2867"/>
      <c r="AT61" s="2867"/>
      <c r="AU61" s="2867"/>
      <c r="AV61" s="2867"/>
      <c r="AW61" s="2867"/>
      <c r="AX61" s="2867"/>
      <c r="AY61" s="2867"/>
      <c r="AZ61" s="2867"/>
      <c r="BA61" s="2867"/>
      <c r="BB61" s="2867"/>
      <c r="BC61" s="2867"/>
      <c r="BD61" s="2867"/>
      <c r="BE61" s="2867"/>
      <c r="BF61" s="2867"/>
      <c r="BG61" s="2867"/>
      <c r="BH61" s="2867"/>
      <c r="BI61" s="2867"/>
      <c r="BJ61" s="2867"/>
      <c r="BK61" s="2867"/>
      <c r="BL61" s="2867"/>
      <c r="BM61" s="2867"/>
      <c r="BN61" s="2867"/>
      <c r="BO61" s="2867"/>
      <c r="BP61" s="2867"/>
      <c r="BQ61" s="2867"/>
      <c r="BR61" s="2867"/>
      <c r="BS61" s="2867"/>
      <c r="BT61" s="2867"/>
      <c r="BU61" s="2867"/>
      <c r="BV61" s="2867"/>
      <c r="BW61" s="2867"/>
      <c r="BX61" s="2867"/>
      <c r="BY61" s="2867"/>
      <c r="BZ61" s="2867"/>
      <c r="CA61" s="2867"/>
      <c r="CB61" s="2867"/>
      <c r="CC61" s="2867"/>
      <c r="CD61" s="2867"/>
      <c r="CE61" s="2867"/>
      <c r="CF61" s="2867"/>
      <c r="CG61" s="2867"/>
      <c r="CH61" s="2867"/>
      <c r="CI61" s="2867"/>
      <c r="CJ61" s="2867"/>
      <c r="CK61" s="2867"/>
      <c r="CL61" s="2867"/>
      <c r="CM61" s="2867"/>
      <c r="CN61" s="2867"/>
      <c r="CO61" s="2867"/>
      <c r="CP61" s="2867"/>
      <c r="CQ61" s="2867"/>
      <c r="CR61" s="2867"/>
      <c r="CS61" s="2867"/>
      <c r="CT61" s="2867"/>
      <c r="CU61" s="2867"/>
      <c r="CV61" s="2867"/>
      <c r="CW61" s="2867"/>
    </row>
    <row r="62" spans="1:101" ht="13.8" thickBot="1">
      <c r="A62" s="2878">
        <v>47</v>
      </c>
      <c r="C62" s="2869" t="s">
        <v>1533</v>
      </c>
      <c r="E62" s="2906">
        <f>IF(E20-E60='SCH_C2.1 - Base Period'!J324,E20-E60,"check C-2.1 !")</f>
        <v>12958566</v>
      </c>
      <c r="F62" s="2907">
        <f ca="1">F20-F60</f>
        <v>196007</v>
      </c>
      <c r="H62" s="2906">
        <f ca="1">IF(H20-H60='SCH_C2.1 - Forecasted Period'!J324,H20-H60,"check C-2.1 !")</f>
        <v>13154573</v>
      </c>
      <c r="J62" s="2907">
        <f ca="1">J20-J60</f>
        <v>1471717</v>
      </c>
      <c r="K62" s="2870"/>
      <c r="L62" s="2870"/>
      <c r="N62" s="2907">
        <f ca="1">N20-N60</f>
        <v>14626290</v>
      </c>
      <c r="O62" s="2867"/>
      <c r="P62" s="2905">
        <f ca="1">P20-P60</f>
        <v>1667724</v>
      </c>
      <c r="Q62" s="2867"/>
      <c r="T62" s="2867"/>
      <c r="U62" s="2867"/>
      <c r="V62" s="2867"/>
      <c r="W62" s="2867"/>
      <c r="X62" s="2867"/>
      <c r="Y62" s="2867"/>
      <c r="Z62" s="2867"/>
      <c r="AA62" s="2867"/>
      <c r="AB62" s="2867"/>
      <c r="AC62" s="2867"/>
      <c r="AD62" s="2867"/>
      <c r="AE62" s="2867"/>
      <c r="AF62" s="2867"/>
      <c r="AG62" s="2867"/>
      <c r="AH62" s="2867"/>
      <c r="AI62" s="2867"/>
      <c r="AJ62" s="2867"/>
      <c r="AK62" s="2867"/>
      <c r="AL62" s="2867"/>
      <c r="AM62" s="2867"/>
      <c r="AN62" s="2867"/>
      <c r="AO62" s="2867"/>
      <c r="AP62" s="2867"/>
      <c r="AQ62" s="2867"/>
      <c r="AR62" s="2867"/>
      <c r="AS62" s="2867"/>
      <c r="AT62" s="2867"/>
      <c r="AU62" s="2867"/>
      <c r="AV62" s="2867"/>
      <c r="AW62" s="2867"/>
      <c r="AX62" s="2867"/>
      <c r="AY62" s="2867"/>
      <c r="AZ62" s="2867"/>
      <c r="BA62" s="2867"/>
      <c r="BB62" s="2867"/>
      <c r="BC62" s="2867"/>
      <c r="BD62" s="2867"/>
      <c r="BE62" s="2867"/>
      <c r="BF62" s="2867"/>
      <c r="BG62" s="2867"/>
      <c r="BH62" s="2867"/>
      <c r="BI62" s="2867"/>
      <c r="BJ62" s="2867"/>
      <c r="BK62" s="2867"/>
      <c r="BL62" s="2867"/>
      <c r="BM62" s="2867"/>
      <c r="BN62" s="2867"/>
      <c r="BO62" s="2867"/>
      <c r="BP62" s="2867"/>
      <c r="BQ62" s="2867"/>
      <c r="BR62" s="2867"/>
      <c r="BS62" s="2867"/>
      <c r="BT62" s="2867"/>
      <c r="BU62" s="2867"/>
      <c r="BV62" s="2867"/>
      <c r="BW62" s="2867"/>
      <c r="BX62" s="2867"/>
      <c r="BY62" s="2867"/>
      <c r="BZ62" s="2867"/>
      <c r="CA62" s="2867"/>
      <c r="CB62" s="2867"/>
      <c r="CC62" s="2867"/>
      <c r="CD62" s="2867"/>
      <c r="CE62" s="2867"/>
      <c r="CF62" s="2867"/>
      <c r="CG62" s="2867"/>
      <c r="CH62" s="2867"/>
      <c r="CI62" s="2867"/>
      <c r="CJ62" s="2867"/>
      <c r="CK62" s="2867"/>
      <c r="CL62" s="2867"/>
      <c r="CM62" s="2867"/>
      <c r="CN62" s="2867"/>
      <c r="CO62" s="2867"/>
      <c r="CP62" s="2867"/>
      <c r="CQ62" s="2867"/>
      <c r="CR62" s="2867"/>
      <c r="CS62" s="2867"/>
      <c r="CT62" s="2867"/>
      <c r="CU62" s="2867"/>
      <c r="CV62" s="2867"/>
      <c r="CW62" s="2867"/>
    </row>
    <row r="63" spans="1:101" ht="13.8" thickTop="1">
      <c r="A63" s="2868"/>
      <c r="C63" s="2869"/>
      <c r="E63" s="2908"/>
      <c r="F63" s="2870" t="str">
        <f ca="1">IF(F62=SCH_D1!AN456,"","Check D-1")</f>
        <v/>
      </c>
      <c r="H63" s="2908"/>
      <c r="J63" s="2870" t="str">
        <f ca="1">IF(J62=SCH_D1!AQ456,"","Check D-1")</f>
        <v/>
      </c>
      <c r="K63" s="2870"/>
      <c r="L63" s="2870"/>
      <c r="N63" s="2870"/>
      <c r="O63" s="2867"/>
      <c r="P63" s="2870"/>
      <c r="Q63" s="2867"/>
      <c r="T63" s="2867"/>
      <c r="U63" s="2867"/>
      <c r="V63" s="2867"/>
      <c r="W63" s="2867"/>
      <c r="X63" s="2867"/>
      <c r="Y63" s="2867"/>
      <c r="Z63" s="2867"/>
      <c r="AA63" s="2867"/>
      <c r="AB63" s="2867"/>
      <c r="AC63" s="2867"/>
      <c r="AD63" s="2867"/>
      <c r="AE63" s="2867"/>
      <c r="AF63" s="2867"/>
      <c r="AG63" s="2867"/>
      <c r="AH63" s="2867"/>
      <c r="AI63" s="2867"/>
      <c r="AJ63" s="2867"/>
      <c r="AK63" s="2867"/>
      <c r="AL63" s="2867"/>
      <c r="AM63" s="2867"/>
      <c r="AN63" s="2867"/>
      <c r="AO63" s="2867"/>
      <c r="AP63" s="2867"/>
      <c r="AQ63" s="2867"/>
      <c r="AR63" s="2867"/>
      <c r="AS63" s="2867"/>
      <c r="AT63" s="2867"/>
      <c r="AU63" s="2867"/>
      <c r="AV63" s="2867"/>
      <c r="AW63" s="2867"/>
      <c r="AX63" s="2867"/>
      <c r="AY63" s="2867"/>
      <c r="AZ63" s="2867"/>
      <c r="BA63" s="2867"/>
      <c r="BB63" s="2867"/>
      <c r="BC63" s="2867"/>
      <c r="BD63" s="2867"/>
      <c r="BE63" s="2867"/>
      <c r="BF63" s="2867"/>
      <c r="BG63" s="2867"/>
      <c r="BH63" s="2867"/>
      <c r="BI63" s="2867"/>
      <c r="BJ63" s="2867"/>
      <c r="BK63" s="2867"/>
      <c r="BL63" s="2867"/>
      <c r="BM63" s="2867"/>
      <c r="BN63" s="2867"/>
      <c r="BO63" s="2867"/>
      <c r="BP63" s="2867"/>
      <c r="BQ63" s="2867"/>
      <c r="BR63" s="2867"/>
      <c r="BS63" s="2867"/>
      <c r="BT63" s="2867"/>
      <c r="BU63" s="2867"/>
      <c r="BV63" s="2867"/>
      <c r="BW63" s="2867"/>
      <c r="BX63" s="2867"/>
      <c r="BY63" s="2867"/>
      <c r="BZ63" s="2867"/>
      <c r="CA63" s="2867"/>
      <c r="CB63" s="2867"/>
      <c r="CC63" s="2867"/>
      <c r="CD63" s="2867"/>
      <c r="CE63" s="2867"/>
      <c r="CF63" s="2867"/>
      <c r="CG63" s="2867"/>
      <c r="CH63" s="2867"/>
      <c r="CI63" s="2867"/>
      <c r="CJ63" s="2867"/>
      <c r="CK63" s="2867"/>
      <c r="CL63" s="2867"/>
      <c r="CM63" s="2867"/>
      <c r="CN63" s="2867"/>
      <c r="CO63" s="2867"/>
      <c r="CP63" s="2867"/>
      <c r="CQ63" s="2867"/>
      <c r="CR63" s="2867"/>
      <c r="CS63" s="2867"/>
      <c r="CT63" s="2867"/>
      <c r="CU63" s="2867"/>
      <c r="CV63" s="2867"/>
      <c r="CW63" s="2867"/>
    </row>
    <row r="64" spans="1:101">
      <c r="E64" s="2908">
        <f>E20-E60</f>
        <v>12958566</v>
      </c>
      <c r="F64" s="2891"/>
      <c r="H64" s="2908">
        <f ca="1">H20-H60</f>
        <v>13154573</v>
      </c>
      <c r="O64" s="2867"/>
      <c r="P64" s="2867"/>
      <c r="Q64" s="2867"/>
      <c r="T64" s="2867"/>
      <c r="U64" s="2867"/>
      <c r="V64" s="2867"/>
      <c r="W64" s="2867"/>
      <c r="X64" s="2867"/>
      <c r="Y64" s="2867"/>
      <c r="Z64" s="2867"/>
      <c r="AA64" s="2867"/>
      <c r="AB64" s="2867"/>
      <c r="AC64" s="2867"/>
      <c r="AD64" s="2867"/>
      <c r="AE64" s="2867"/>
      <c r="AF64" s="2867"/>
      <c r="AG64" s="2867"/>
      <c r="AH64" s="2867"/>
      <c r="AI64" s="2867"/>
      <c r="AJ64" s="2867"/>
      <c r="AK64" s="2867"/>
      <c r="AL64" s="2867"/>
      <c r="AM64" s="2867"/>
      <c r="AN64" s="2867"/>
      <c r="AO64" s="2867"/>
      <c r="AP64" s="2867"/>
      <c r="AQ64" s="2867"/>
      <c r="AR64" s="2867"/>
      <c r="AS64" s="2867"/>
      <c r="AT64" s="2867"/>
      <c r="AU64" s="2867"/>
      <c r="AV64" s="2867"/>
      <c r="AW64" s="2867"/>
      <c r="AX64" s="2867"/>
      <c r="AY64" s="2867"/>
      <c r="AZ64" s="2867"/>
      <c r="BA64" s="2867"/>
      <c r="BB64" s="2867"/>
      <c r="BC64" s="2867"/>
      <c r="BD64" s="2867"/>
      <c r="BE64" s="2867"/>
      <c r="BF64" s="2867"/>
      <c r="BG64" s="2867"/>
      <c r="BH64" s="2867"/>
      <c r="BI64" s="2867"/>
      <c r="BJ64" s="2867"/>
      <c r="BK64" s="2867"/>
      <c r="BL64" s="2867"/>
      <c r="BM64" s="2867"/>
      <c r="BN64" s="2867"/>
      <c r="BO64" s="2867"/>
      <c r="BP64" s="2867"/>
      <c r="BQ64" s="2867"/>
      <c r="BR64" s="2867"/>
      <c r="BS64" s="2867"/>
      <c r="BT64" s="2867"/>
      <c r="BU64" s="2867"/>
      <c r="BV64" s="2867"/>
      <c r="BW64" s="2867"/>
      <c r="BX64" s="2867"/>
      <c r="BY64" s="2867"/>
      <c r="BZ64" s="2867"/>
      <c r="CA64" s="2867"/>
      <c r="CB64" s="2867"/>
      <c r="CC64" s="2867"/>
      <c r="CD64" s="2867"/>
      <c r="CE64" s="2867"/>
      <c r="CF64" s="2867"/>
      <c r="CG64" s="2867"/>
      <c r="CH64" s="2867"/>
      <c r="CI64" s="2867"/>
      <c r="CJ64" s="2867"/>
      <c r="CK64" s="2867"/>
      <c r="CL64" s="2867"/>
      <c r="CM64" s="2867"/>
      <c r="CN64" s="2867"/>
      <c r="CO64" s="2867"/>
      <c r="CP64" s="2867"/>
      <c r="CQ64" s="2867"/>
      <c r="CR64" s="2867"/>
      <c r="CS64" s="2867"/>
      <c r="CT64" s="2867"/>
      <c r="CU64" s="2867"/>
      <c r="CV64" s="2867"/>
      <c r="CW64" s="2867"/>
    </row>
    <row r="65" spans="1:101">
      <c r="B65" s="2869"/>
      <c r="E65" s="2892">
        <f>'SCH_C2.1 - Base Period'!J324</f>
        <v>12958566</v>
      </c>
      <c r="H65" s="2892">
        <f ca="1">'SCH_C2.1 - Forecasted Period'!J324</f>
        <v>13154573</v>
      </c>
      <c r="O65" s="2867"/>
      <c r="P65" s="2867"/>
      <c r="Q65" s="2867"/>
      <c r="T65" s="2867"/>
      <c r="U65" s="2867"/>
      <c r="V65" s="2867"/>
      <c r="W65" s="2867"/>
      <c r="X65" s="2867"/>
      <c r="Y65" s="2867"/>
      <c r="Z65" s="2867"/>
      <c r="AA65" s="2867"/>
      <c r="AB65" s="2867"/>
      <c r="AC65" s="2867"/>
      <c r="AD65" s="2867"/>
      <c r="AE65" s="2867"/>
      <c r="AF65" s="2867"/>
      <c r="AG65" s="2867"/>
      <c r="AH65" s="2867"/>
      <c r="AI65" s="2867"/>
      <c r="AJ65" s="2867"/>
      <c r="AK65" s="2867"/>
      <c r="AL65" s="2867"/>
      <c r="AM65" s="2867"/>
      <c r="AN65" s="2867"/>
      <c r="AO65" s="2867"/>
      <c r="AP65" s="2867"/>
      <c r="AQ65" s="2867"/>
      <c r="AR65" s="2867"/>
      <c r="AS65" s="2867"/>
      <c r="AT65" s="2867"/>
      <c r="AU65" s="2867"/>
      <c r="AV65" s="2867"/>
      <c r="AW65" s="2867"/>
      <c r="AX65" s="2867"/>
      <c r="AY65" s="2867"/>
      <c r="AZ65" s="2867"/>
      <c r="BA65" s="2867"/>
      <c r="BB65" s="2867"/>
      <c r="BC65" s="2867"/>
      <c r="BD65" s="2867"/>
      <c r="BE65" s="2867"/>
      <c r="BF65" s="2867"/>
      <c r="BG65" s="2867"/>
      <c r="BH65" s="2867"/>
      <c r="BI65" s="2867"/>
      <c r="BJ65" s="2867"/>
      <c r="BK65" s="2867"/>
      <c r="BL65" s="2867"/>
      <c r="BM65" s="2867"/>
      <c r="BN65" s="2867"/>
      <c r="BO65" s="2867"/>
      <c r="BP65" s="2867"/>
      <c r="BQ65" s="2867"/>
      <c r="BR65" s="2867"/>
      <c r="BS65" s="2867"/>
      <c r="BT65" s="2867"/>
      <c r="BU65" s="2867"/>
      <c r="BV65" s="2867"/>
      <c r="BW65" s="2867"/>
      <c r="BX65" s="2867"/>
      <c r="BY65" s="2867"/>
      <c r="BZ65" s="2867"/>
      <c r="CA65" s="2867"/>
      <c r="CB65" s="2867"/>
      <c r="CC65" s="2867"/>
      <c r="CD65" s="2867"/>
      <c r="CE65" s="2867"/>
      <c r="CF65" s="2867"/>
      <c r="CG65" s="2867"/>
      <c r="CH65" s="2867"/>
      <c r="CI65" s="2867"/>
      <c r="CJ65" s="2867"/>
      <c r="CK65" s="2867"/>
      <c r="CL65" s="2867"/>
      <c r="CM65" s="2867"/>
      <c r="CN65" s="2867"/>
      <c r="CO65" s="2867"/>
      <c r="CP65" s="2867"/>
      <c r="CQ65" s="2867"/>
      <c r="CR65" s="2867"/>
      <c r="CS65" s="2867"/>
      <c r="CT65" s="2867"/>
      <c r="CU65" s="2867"/>
      <c r="CV65" s="2867"/>
      <c r="CW65" s="2867"/>
    </row>
    <row r="66" spans="1:101">
      <c r="A66" s="2867"/>
      <c r="B66" s="2867"/>
      <c r="C66" s="2867"/>
      <c r="D66" s="2867"/>
      <c r="E66" s="2909">
        <f>E65-E64</f>
        <v>0</v>
      </c>
      <c r="F66" s="2870"/>
      <c r="G66" s="2870"/>
      <c r="H66" s="2909">
        <f ca="1">H65-H64</f>
        <v>0</v>
      </c>
      <c r="I66" s="2867"/>
      <c r="J66" s="2867"/>
      <c r="K66" s="2867"/>
      <c r="L66" s="2867"/>
      <c r="M66" s="2867"/>
      <c r="N66" s="2867"/>
      <c r="O66" s="2867"/>
      <c r="P66" s="2867"/>
      <c r="Q66" s="2867"/>
      <c r="T66" s="2867"/>
      <c r="U66" s="2910"/>
      <c r="V66" s="2867"/>
      <c r="W66" s="2867"/>
      <c r="X66" s="2867"/>
      <c r="Y66" s="2867"/>
      <c r="Z66" s="2867"/>
      <c r="AA66" s="2867"/>
      <c r="AB66" s="2867"/>
      <c r="AC66" s="2867"/>
      <c r="AD66" s="2867"/>
      <c r="AE66" s="2867"/>
      <c r="AF66" s="2867"/>
      <c r="AG66" s="2867"/>
      <c r="AH66" s="2867"/>
      <c r="AI66" s="2867"/>
      <c r="AJ66" s="2867"/>
      <c r="AK66" s="2867"/>
      <c r="AL66" s="2867"/>
      <c r="AM66" s="2867"/>
      <c r="AN66" s="2867"/>
      <c r="AO66" s="2867"/>
      <c r="AP66" s="2867"/>
      <c r="AQ66" s="2867"/>
      <c r="AR66" s="2867"/>
      <c r="AS66" s="2867"/>
      <c r="AT66" s="2867"/>
      <c r="AU66" s="2867"/>
      <c r="AV66" s="2867"/>
      <c r="AW66" s="2867"/>
      <c r="AX66" s="2867"/>
      <c r="AY66" s="2867"/>
      <c r="AZ66" s="2867"/>
      <c r="BA66" s="2867"/>
      <c r="BB66" s="2867"/>
      <c r="BC66" s="2867"/>
      <c r="BD66" s="2867"/>
      <c r="BE66" s="2867"/>
      <c r="BF66" s="2867"/>
      <c r="BG66" s="2867"/>
      <c r="BH66" s="2867"/>
      <c r="BI66" s="2867"/>
      <c r="BJ66" s="2867"/>
      <c r="BK66" s="2867"/>
      <c r="BL66" s="2867"/>
      <c r="BM66" s="2867"/>
      <c r="BN66" s="2867"/>
      <c r="BO66" s="2867"/>
      <c r="BP66" s="2867"/>
      <c r="BQ66" s="2867"/>
      <c r="BR66" s="2867"/>
      <c r="BS66" s="2867"/>
      <c r="BT66" s="2867"/>
      <c r="BU66" s="2867"/>
      <c r="BV66" s="2867"/>
      <c r="BW66" s="2867"/>
      <c r="BX66" s="2867"/>
      <c r="BY66" s="2867"/>
      <c r="BZ66" s="2867"/>
      <c r="CA66" s="2867"/>
      <c r="CB66" s="2867"/>
      <c r="CC66" s="2867"/>
      <c r="CD66" s="2867"/>
      <c r="CE66" s="2867"/>
      <c r="CF66" s="2867"/>
      <c r="CG66" s="2867"/>
      <c r="CH66" s="2867"/>
      <c r="CI66" s="2867"/>
      <c r="CJ66" s="2867"/>
      <c r="CK66" s="2867"/>
      <c r="CL66" s="2867"/>
      <c r="CM66" s="2867"/>
      <c r="CN66" s="2867"/>
      <c r="CO66" s="2867"/>
      <c r="CP66" s="2867"/>
      <c r="CQ66" s="2867"/>
      <c r="CR66" s="2867"/>
      <c r="CS66" s="2867"/>
      <c r="CT66" s="2867"/>
      <c r="CU66" s="2867"/>
      <c r="CV66" s="2867"/>
      <c r="CW66" s="2867"/>
    </row>
    <row r="67" spans="1:101">
      <c r="A67" s="2910"/>
      <c r="B67" s="2867"/>
      <c r="C67" s="2911" t="s">
        <v>1502</v>
      </c>
      <c r="D67" s="2912"/>
      <c r="E67" s="2913">
        <f>E52+E58</f>
        <v>3862839</v>
      </c>
      <c r="F67" s="2913">
        <f ca="1">F52+F58</f>
        <v>-2924524</v>
      </c>
      <c r="G67" s="2912"/>
      <c r="H67" s="2913">
        <f ca="1">H52+H58</f>
        <v>938315</v>
      </c>
      <c r="I67" s="2912"/>
      <c r="J67" s="2913">
        <f ca="1">J52+J58</f>
        <v>596678</v>
      </c>
      <c r="K67" s="2912"/>
      <c r="L67" s="2912"/>
      <c r="M67" s="2912"/>
      <c r="N67" s="2914">
        <f ca="1">N52+N58</f>
        <v>1534993</v>
      </c>
      <c r="O67" s="2867"/>
      <c r="P67" s="2867"/>
      <c r="Q67" s="2867"/>
      <c r="T67" s="2867"/>
      <c r="U67" s="2867"/>
      <c r="V67" s="2867"/>
      <c r="W67" s="2867"/>
      <c r="X67" s="2867"/>
      <c r="Y67" s="2867"/>
      <c r="Z67" s="2867"/>
      <c r="AA67" s="2867"/>
      <c r="AB67" s="2867"/>
      <c r="AC67" s="2867"/>
      <c r="AD67" s="2867"/>
      <c r="AE67" s="2867"/>
      <c r="AF67" s="2867"/>
      <c r="AG67" s="2867"/>
      <c r="AH67" s="2867"/>
      <c r="AI67" s="2867"/>
      <c r="AJ67" s="2867"/>
      <c r="AK67" s="2867"/>
      <c r="AL67" s="2867"/>
      <c r="AM67" s="2867"/>
      <c r="AN67" s="2867"/>
      <c r="AO67" s="2867"/>
      <c r="AP67" s="2867"/>
      <c r="AQ67" s="2867"/>
      <c r="AR67" s="2867"/>
      <c r="AS67" s="2867"/>
      <c r="AT67" s="2867"/>
      <c r="AU67" s="2867"/>
      <c r="AV67" s="2867"/>
      <c r="AW67" s="2867"/>
      <c r="AX67" s="2867"/>
      <c r="AY67" s="2867"/>
      <c r="AZ67" s="2867"/>
      <c r="BA67" s="2867"/>
      <c r="BB67" s="2867"/>
      <c r="BC67" s="2867"/>
      <c r="BD67" s="2867"/>
      <c r="BE67" s="2867"/>
      <c r="BF67" s="2867"/>
      <c r="BG67" s="2867"/>
      <c r="BH67" s="2867"/>
      <c r="BI67" s="2867"/>
      <c r="BJ67" s="2867"/>
      <c r="BK67" s="2867"/>
      <c r="BL67" s="2867"/>
      <c r="BM67" s="2867"/>
      <c r="BN67" s="2867"/>
      <c r="BO67" s="2867"/>
      <c r="BP67" s="2867"/>
      <c r="BQ67" s="2867"/>
      <c r="BR67" s="2867"/>
      <c r="BS67" s="2867"/>
      <c r="BT67" s="2867"/>
      <c r="BU67" s="2867"/>
      <c r="BV67" s="2867"/>
      <c r="BW67" s="2867"/>
      <c r="BX67" s="2867"/>
      <c r="BY67" s="2867"/>
      <c r="BZ67" s="2867"/>
      <c r="CA67" s="2867"/>
      <c r="CB67" s="2867"/>
      <c r="CC67" s="2867"/>
      <c r="CD67" s="2867"/>
      <c r="CE67" s="2867"/>
      <c r="CF67" s="2867"/>
      <c r="CG67" s="2867"/>
      <c r="CH67" s="2867"/>
      <c r="CI67" s="2867"/>
      <c r="CJ67" s="2867"/>
      <c r="CK67" s="2867"/>
      <c r="CL67" s="2867"/>
      <c r="CM67" s="2867"/>
      <c r="CN67" s="2867"/>
      <c r="CO67" s="2867"/>
      <c r="CP67" s="2867"/>
      <c r="CQ67" s="2867"/>
      <c r="CR67" s="2867"/>
      <c r="CS67" s="2867"/>
      <c r="CT67" s="2867"/>
      <c r="CU67" s="2867"/>
      <c r="CV67" s="2867"/>
      <c r="CW67" s="2867"/>
    </row>
    <row r="68" spans="1:101">
      <c r="A68" s="2867"/>
      <c r="B68" s="2867"/>
      <c r="C68" s="2915" t="s">
        <v>1503</v>
      </c>
      <c r="D68" s="2916"/>
      <c r="E68" s="2917">
        <f>E57</f>
        <v>-67241</v>
      </c>
      <c r="F68" s="2918">
        <f>F57</f>
        <v>1186</v>
      </c>
      <c r="G68" s="2919"/>
      <c r="H68" s="2918">
        <f>H57</f>
        <v>-66055</v>
      </c>
      <c r="I68" s="2919"/>
      <c r="J68" s="2918">
        <f>J57</f>
        <v>0</v>
      </c>
      <c r="K68" s="2919"/>
      <c r="L68" s="2919"/>
      <c r="M68" s="2919"/>
      <c r="N68" s="2920">
        <f>N57</f>
        <v>-66055</v>
      </c>
      <c r="O68" s="2867"/>
      <c r="P68" s="2867"/>
      <c r="Q68" s="2867"/>
      <c r="T68" s="2867"/>
      <c r="U68" s="2910"/>
      <c r="V68" s="2867"/>
      <c r="W68" s="2867"/>
      <c r="X68" s="2867"/>
      <c r="Y68" s="2867"/>
      <c r="Z68" s="2867"/>
      <c r="AA68" s="2867"/>
      <c r="AB68" s="2867"/>
      <c r="AC68" s="2867"/>
      <c r="AD68" s="2867"/>
      <c r="AE68" s="2867"/>
      <c r="AF68" s="2867"/>
      <c r="AG68" s="2867"/>
      <c r="AH68" s="2867"/>
      <c r="AI68" s="2867"/>
      <c r="AJ68" s="2867"/>
      <c r="AK68" s="2867"/>
      <c r="AL68" s="2867"/>
      <c r="AM68" s="2867"/>
      <c r="AN68" s="2867"/>
      <c r="AO68" s="2867"/>
      <c r="AP68" s="2867"/>
      <c r="AQ68" s="2867"/>
      <c r="AR68" s="2867"/>
      <c r="AS68" s="2867"/>
      <c r="AT68" s="2867"/>
      <c r="AU68" s="2867"/>
      <c r="AV68" s="2867"/>
      <c r="AW68" s="2867"/>
      <c r="AX68" s="2867"/>
      <c r="AY68" s="2867"/>
      <c r="AZ68" s="2867"/>
      <c r="BA68" s="2867"/>
      <c r="BB68" s="2867"/>
      <c r="BC68" s="2867"/>
      <c r="BD68" s="2867"/>
      <c r="BE68" s="2867"/>
      <c r="BF68" s="2867"/>
      <c r="BG68" s="2867"/>
      <c r="BH68" s="2867"/>
      <c r="BI68" s="2867"/>
      <c r="BJ68" s="2867"/>
      <c r="BK68" s="2867"/>
      <c r="BL68" s="2867"/>
      <c r="BM68" s="2867"/>
      <c r="BN68" s="2867"/>
      <c r="BO68" s="2867"/>
      <c r="BP68" s="2867"/>
      <c r="BQ68" s="2867"/>
      <c r="BR68" s="2867"/>
      <c r="BS68" s="2867"/>
      <c r="BT68" s="2867"/>
      <c r="BU68" s="2867"/>
      <c r="BV68" s="2867"/>
      <c r="BW68" s="2867"/>
      <c r="BX68" s="2867"/>
      <c r="BY68" s="2867"/>
      <c r="BZ68" s="2867"/>
      <c r="CA68" s="2867"/>
      <c r="CB68" s="2867"/>
      <c r="CC68" s="2867"/>
      <c r="CD68" s="2867"/>
      <c r="CE68" s="2867"/>
      <c r="CF68" s="2867"/>
      <c r="CG68" s="2867"/>
      <c r="CH68" s="2867"/>
      <c r="CI68" s="2867"/>
      <c r="CJ68" s="2867"/>
      <c r="CK68" s="2867"/>
      <c r="CL68" s="2867"/>
      <c r="CM68" s="2867"/>
      <c r="CN68" s="2867"/>
      <c r="CO68" s="2867"/>
      <c r="CP68" s="2867"/>
      <c r="CQ68" s="2867"/>
      <c r="CR68" s="2867"/>
      <c r="CS68" s="2867"/>
      <c r="CT68" s="2867"/>
      <c r="CU68" s="2867"/>
      <c r="CV68" s="2867"/>
      <c r="CW68" s="2867"/>
    </row>
    <row r="69" spans="1:101">
      <c r="A69" s="2867"/>
      <c r="B69" s="2867"/>
      <c r="C69" s="2915" t="s">
        <v>1372</v>
      </c>
      <c r="D69" s="2916"/>
      <c r="E69" s="2918">
        <f>SCH_E1!G101+SCH_E1!G114+SCH_E1!G120</f>
        <v>0</v>
      </c>
      <c r="F69" s="2918">
        <f t="shared" ref="F69:F70" si="2">H69-E69</f>
        <v>0</v>
      </c>
      <c r="G69" s="2919"/>
      <c r="H69" s="2918">
        <f>SCH_E1!K101+SCH_E1!K114+SCH_E1!K120</f>
        <v>0</v>
      </c>
      <c r="I69" s="2919"/>
      <c r="J69" s="2918">
        <f t="shared" ref="J69:J70" si="3">N69-H69</f>
        <v>0</v>
      </c>
      <c r="K69" s="2919"/>
      <c r="L69" s="2919"/>
      <c r="M69" s="2919"/>
      <c r="N69" s="2920">
        <f>SCH_E1!M101+SCH_E1!M114+SCH_E1!M120</f>
        <v>0</v>
      </c>
      <c r="O69" s="2867"/>
      <c r="P69" s="2867"/>
      <c r="Q69" s="2867"/>
      <c r="T69" s="2867"/>
      <c r="U69" s="2910"/>
      <c r="V69" s="2867"/>
      <c r="W69" s="2867"/>
      <c r="X69" s="2867"/>
      <c r="Y69" s="2867"/>
      <c r="Z69" s="2867"/>
      <c r="AA69" s="2867"/>
      <c r="AB69" s="2867"/>
      <c r="AC69" s="2867"/>
      <c r="AD69" s="2867"/>
      <c r="AE69" s="2867"/>
      <c r="AF69" s="2867"/>
      <c r="AG69" s="2867"/>
      <c r="AH69" s="2867"/>
      <c r="AI69" s="2867"/>
      <c r="AJ69" s="2867"/>
      <c r="AK69" s="2867"/>
      <c r="AL69" s="2867"/>
      <c r="AM69" s="2867"/>
      <c r="AN69" s="2867"/>
      <c r="AO69" s="2867"/>
      <c r="AP69" s="2867"/>
      <c r="AQ69" s="2867"/>
      <c r="AR69" s="2867"/>
      <c r="AS69" s="2867"/>
      <c r="AT69" s="2867"/>
      <c r="AU69" s="2867"/>
      <c r="AV69" s="2867"/>
      <c r="AW69" s="2867"/>
      <c r="AX69" s="2867"/>
      <c r="AY69" s="2867"/>
      <c r="AZ69" s="2867"/>
      <c r="BA69" s="2867"/>
      <c r="BB69" s="2867"/>
      <c r="BC69" s="2867"/>
      <c r="BD69" s="2867"/>
      <c r="BE69" s="2867"/>
      <c r="BF69" s="2867"/>
      <c r="BG69" s="2867"/>
      <c r="BH69" s="2867"/>
      <c r="BI69" s="2867"/>
      <c r="BJ69" s="2867"/>
      <c r="BK69" s="2867"/>
      <c r="BL69" s="2867"/>
      <c r="BM69" s="2867"/>
      <c r="BN69" s="2867"/>
      <c r="BO69" s="2867"/>
      <c r="BP69" s="2867"/>
      <c r="BQ69" s="2867"/>
      <c r="BR69" s="2867"/>
      <c r="BS69" s="2867"/>
      <c r="BT69" s="2867"/>
      <c r="BU69" s="2867"/>
      <c r="BV69" s="2867"/>
      <c r="BW69" s="2867"/>
      <c r="BX69" s="2867"/>
      <c r="BY69" s="2867"/>
      <c r="BZ69" s="2867"/>
      <c r="CA69" s="2867"/>
      <c r="CB69" s="2867"/>
      <c r="CC69" s="2867"/>
      <c r="CD69" s="2867"/>
      <c r="CE69" s="2867"/>
      <c r="CF69" s="2867"/>
      <c r="CG69" s="2867"/>
      <c r="CH69" s="2867"/>
      <c r="CI69" s="2867"/>
      <c r="CJ69" s="2867"/>
      <c r="CK69" s="2867"/>
      <c r="CL69" s="2867"/>
      <c r="CM69" s="2867"/>
      <c r="CN69" s="2867"/>
      <c r="CO69" s="2867"/>
      <c r="CP69" s="2867"/>
      <c r="CQ69" s="2867"/>
      <c r="CR69" s="2867"/>
      <c r="CS69" s="2867"/>
      <c r="CT69" s="2867"/>
      <c r="CU69" s="2867"/>
      <c r="CV69" s="2867"/>
      <c r="CW69" s="2867"/>
    </row>
    <row r="70" spans="1:101">
      <c r="A70" s="2867"/>
      <c r="B70" s="2867"/>
      <c r="C70" s="2915" t="s">
        <v>2775</v>
      </c>
      <c r="D70" s="2916"/>
      <c r="E70" s="2918">
        <f>SCH_E1!G99+SCH_E1!G100+SCH_E1!G118+SCH_E1!G119</f>
        <v>-109564</v>
      </c>
      <c r="F70" s="2918">
        <f t="shared" si="2"/>
        <v>-657150</v>
      </c>
      <c r="G70" s="2919"/>
      <c r="H70" s="2918">
        <f>SCH_E1!K99+SCH_E1!K100+SCH_E1!K118+SCH_E1!K119</f>
        <v>-766714</v>
      </c>
      <c r="I70" s="2919"/>
      <c r="J70" s="2918">
        <f t="shared" si="3"/>
        <v>0</v>
      </c>
      <c r="K70" s="2919"/>
      <c r="L70" s="2919"/>
      <c r="M70" s="2919"/>
      <c r="N70" s="2920">
        <f>SCH_E1!M99+SCH_E1!M100+SCH_E1!M118+SCH_E1!M119</f>
        <v>-766714</v>
      </c>
      <c r="O70" s="2867"/>
      <c r="P70" s="2867"/>
      <c r="Q70" s="2867"/>
      <c r="T70" s="2867"/>
      <c r="U70" s="2910"/>
      <c r="V70" s="2867"/>
      <c r="W70" s="2867"/>
      <c r="X70" s="2867"/>
      <c r="Y70" s="2867"/>
      <c r="Z70" s="2867"/>
      <c r="AA70" s="2867"/>
      <c r="AB70" s="2867"/>
      <c r="AC70" s="2867"/>
      <c r="AD70" s="2867"/>
      <c r="AE70" s="2867"/>
      <c r="AF70" s="2867"/>
      <c r="AG70" s="2867"/>
      <c r="AH70" s="2867"/>
      <c r="AI70" s="2867"/>
      <c r="AJ70" s="2867"/>
      <c r="AK70" s="2867"/>
      <c r="AL70" s="2867"/>
      <c r="AM70" s="2867"/>
      <c r="AN70" s="2867"/>
      <c r="AO70" s="2867"/>
      <c r="AP70" s="2867"/>
      <c r="AQ70" s="2867"/>
      <c r="AR70" s="2867"/>
      <c r="AS70" s="2867"/>
      <c r="AT70" s="2867"/>
      <c r="AU70" s="2867"/>
      <c r="AV70" s="2867"/>
      <c r="AW70" s="2867"/>
      <c r="AX70" s="2867"/>
      <c r="AY70" s="2867"/>
      <c r="AZ70" s="2867"/>
      <c r="BA70" s="2867"/>
      <c r="BB70" s="2867"/>
      <c r="BC70" s="2867"/>
      <c r="BD70" s="2867"/>
      <c r="BE70" s="2867"/>
      <c r="BF70" s="2867"/>
      <c r="BG70" s="2867"/>
      <c r="BH70" s="2867"/>
      <c r="BI70" s="2867"/>
      <c r="BJ70" s="2867"/>
      <c r="BK70" s="2867"/>
      <c r="BL70" s="2867"/>
      <c r="BM70" s="2867"/>
      <c r="BN70" s="2867"/>
      <c r="BO70" s="2867"/>
      <c r="BP70" s="2867"/>
      <c r="BQ70" s="2867"/>
      <c r="BR70" s="2867"/>
      <c r="BS70" s="2867"/>
      <c r="BT70" s="2867"/>
      <c r="BU70" s="2867"/>
      <c r="BV70" s="2867"/>
      <c r="BW70" s="2867"/>
      <c r="BX70" s="2867"/>
      <c r="BY70" s="2867"/>
      <c r="BZ70" s="2867"/>
      <c r="CA70" s="2867"/>
      <c r="CB70" s="2867"/>
      <c r="CC70" s="2867"/>
      <c r="CD70" s="2867"/>
      <c r="CE70" s="2867"/>
      <c r="CF70" s="2867"/>
      <c r="CG70" s="2867"/>
      <c r="CH70" s="2867"/>
      <c r="CI70" s="2867"/>
      <c r="CJ70" s="2867"/>
      <c r="CK70" s="2867"/>
      <c r="CL70" s="2867"/>
      <c r="CM70" s="2867"/>
      <c r="CN70" s="2867"/>
      <c r="CO70" s="2867"/>
      <c r="CP70" s="2867"/>
      <c r="CQ70" s="2867"/>
      <c r="CR70" s="2867"/>
      <c r="CS70" s="2867"/>
      <c r="CT70" s="2867"/>
      <c r="CU70" s="2867"/>
      <c r="CV70" s="2867"/>
      <c r="CW70" s="2867"/>
    </row>
    <row r="71" spans="1:101">
      <c r="A71" s="2867"/>
      <c r="B71" s="2867"/>
      <c r="C71" s="2915" t="s">
        <v>1504</v>
      </c>
      <c r="D71" s="2916"/>
      <c r="E71" s="2918">
        <f>E67-E68-E69-E70</f>
        <v>4039644</v>
      </c>
      <c r="F71" s="2918">
        <f ca="1">F67-F68-F69-F70</f>
        <v>-2268560</v>
      </c>
      <c r="G71" s="2919"/>
      <c r="H71" s="2918">
        <f ca="1">H67-H68-H69-H70</f>
        <v>1771084</v>
      </c>
      <c r="I71" s="2919"/>
      <c r="J71" s="2918">
        <f ca="1">J67-J68-J69-J70</f>
        <v>596678</v>
      </c>
      <c r="K71" s="2919"/>
      <c r="L71" s="2919"/>
      <c r="M71" s="2919"/>
      <c r="N71" s="2920">
        <f ca="1">N67-N68-N69-N70</f>
        <v>2367762</v>
      </c>
      <c r="O71" s="2867"/>
      <c r="P71" s="2867"/>
      <c r="Q71" s="2867"/>
      <c r="T71" s="2867"/>
      <c r="U71" s="2867"/>
      <c r="V71" s="2867"/>
      <c r="W71" s="2867"/>
      <c r="X71" s="2867"/>
      <c r="Y71" s="2867"/>
      <c r="Z71" s="2867"/>
      <c r="AA71" s="2867"/>
      <c r="AB71" s="2867"/>
      <c r="AC71" s="2867"/>
      <c r="AD71" s="2867"/>
      <c r="AE71" s="2867"/>
      <c r="AF71" s="2867"/>
      <c r="AG71" s="2867"/>
      <c r="AH71" s="2867"/>
      <c r="AI71" s="2867"/>
      <c r="AJ71" s="2867"/>
      <c r="AK71" s="2867"/>
      <c r="AL71" s="2867"/>
      <c r="AM71" s="2867"/>
      <c r="AN71" s="2867"/>
      <c r="AO71" s="2867"/>
      <c r="AP71" s="2867"/>
      <c r="AQ71" s="2867"/>
      <c r="AR71" s="2867"/>
      <c r="AS71" s="2867"/>
      <c r="AT71" s="2867"/>
      <c r="AU71" s="2867"/>
      <c r="AV71" s="2867"/>
      <c r="AW71" s="2867"/>
      <c r="AX71" s="2867"/>
      <c r="AY71" s="2867"/>
      <c r="AZ71" s="2867"/>
      <c r="BA71" s="2867"/>
      <c r="BB71" s="2867"/>
      <c r="BC71" s="2867"/>
      <c r="BD71" s="2867"/>
      <c r="BE71" s="2867"/>
      <c r="BF71" s="2867"/>
      <c r="BG71" s="2867"/>
      <c r="BH71" s="2867"/>
      <c r="BI71" s="2867"/>
      <c r="BJ71" s="2867"/>
      <c r="BK71" s="2867"/>
      <c r="BL71" s="2867"/>
      <c r="BM71" s="2867"/>
      <c r="BN71" s="2867"/>
      <c r="BO71" s="2867"/>
      <c r="BP71" s="2867"/>
      <c r="BQ71" s="2867"/>
      <c r="BR71" s="2867"/>
      <c r="BS71" s="2867"/>
      <c r="BT71" s="2867"/>
      <c r="BU71" s="2867"/>
      <c r="BV71" s="2867"/>
      <c r="BW71" s="2867"/>
      <c r="BX71" s="2867"/>
      <c r="BY71" s="2867"/>
      <c r="BZ71" s="2867"/>
      <c r="CA71" s="2867"/>
      <c r="CB71" s="2867"/>
      <c r="CC71" s="2867"/>
      <c r="CD71" s="2867"/>
      <c r="CE71" s="2867"/>
      <c r="CF71" s="2867"/>
      <c r="CG71" s="2867"/>
      <c r="CH71" s="2867"/>
      <c r="CI71" s="2867"/>
      <c r="CJ71" s="2867"/>
      <c r="CK71" s="2867"/>
      <c r="CL71" s="2867"/>
      <c r="CM71" s="2867"/>
      <c r="CN71" s="2867"/>
      <c r="CO71" s="2867"/>
      <c r="CP71" s="2867"/>
      <c r="CQ71" s="2867"/>
      <c r="CR71" s="2867"/>
      <c r="CS71" s="2867"/>
      <c r="CT71" s="2867"/>
      <c r="CU71" s="2867"/>
      <c r="CV71" s="2867"/>
      <c r="CW71" s="2867"/>
    </row>
    <row r="72" spans="1:101">
      <c r="A72" s="2867"/>
      <c r="B72" s="2867"/>
      <c r="C72" s="2915" t="s">
        <v>1505</v>
      </c>
      <c r="D72" s="2916"/>
      <c r="E72" s="2918">
        <f>E62+E67</f>
        <v>16821405</v>
      </c>
      <c r="F72" s="2918">
        <f ca="1">F62+F67</f>
        <v>-2728517</v>
      </c>
      <c r="G72" s="2919"/>
      <c r="H72" s="2918">
        <f ca="1">H62+H67</f>
        <v>14092888</v>
      </c>
      <c r="I72" s="2919"/>
      <c r="J72" s="2918">
        <f ca="1">J62+J67</f>
        <v>2068395</v>
      </c>
      <c r="K72" s="2919"/>
      <c r="L72" s="2919"/>
      <c r="M72" s="2919"/>
      <c r="N72" s="2920">
        <f ca="1">N62+N67</f>
        <v>16161283</v>
      </c>
      <c r="O72" s="2867"/>
      <c r="P72" s="2867"/>
      <c r="Q72" s="2867"/>
      <c r="T72" s="2867"/>
      <c r="U72" s="2921"/>
      <c r="V72" s="2867"/>
      <c r="W72" s="2867"/>
      <c r="X72" s="2867"/>
      <c r="Y72" s="2867"/>
      <c r="Z72" s="2867"/>
      <c r="AA72" s="2867"/>
      <c r="AB72" s="2867"/>
      <c r="AC72" s="2867"/>
      <c r="AD72" s="2867"/>
      <c r="AE72" s="2867"/>
      <c r="AF72" s="2867"/>
      <c r="AG72" s="2867"/>
      <c r="AH72" s="2867"/>
      <c r="AI72" s="2867"/>
      <c r="AJ72" s="2867"/>
      <c r="AK72" s="2867"/>
      <c r="AL72" s="2922"/>
      <c r="AM72" s="2867"/>
      <c r="AN72" s="2867"/>
      <c r="AO72" s="2867"/>
      <c r="AP72" s="2867"/>
      <c r="AQ72" s="2867"/>
      <c r="AR72" s="2867"/>
      <c r="AS72" s="2867"/>
      <c r="AT72" s="2867"/>
      <c r="AU72" s="2867"/>
      <c r="AV72" s="2867"/>
      <c r="AW72" s="2867"/>
      <c r="AX72" s="2867"/>
      <c r="AY72" s="2867"/>
      <c r="AZ72" s="2867"/>
      <c r="BA72" s="2867"/>
      <c r="BB72" s="2867"/>
      <c r="BC72" s="2867"/>
      <c r="BD72" s="2867"/>
      <c r="BE72" s="2867"/>
      <c r="BF72" s="2867"/>
      <c r="BG72" s="2867"/>
      <c r="BH72" s="2867"/>
      <c r="BI72" s="2867"/>
      <c r="BJ72" s="2867"/>
      <c r="BK72" s="2867"/>
      <c r="BL72" s="2867"/>
      <c r="BM72" s="2867"/>
      <c r="BN72" s="2867"/>
      <c r="BO72" s="2867"/>
      <c r="BP72" s="2867"/>
      <c r="BQ72" s="2867"/>
      <c r="BR72" s="2867"/>
      <c r="BS72" s="2867"/>
      <c r="BT72" s="2867"/>
      <c r="BU72" s="2867"/>
      <c r="BV72" s="2867"/>
      <c r="BW72" s="2867"/>
      <c r="BX72" s="2867"/>
      <c r="BY72" s="2867"/>
      <c r="BZ72" s="2867"/>
      <c r="CA72" s="2867"/>
      <c r="CB72" s="2867"/>
      <c r="CC72" s="2867"/>
      <c r="CD72" s="2867"/>
      <c r="CE72" s="2867"/>
      <c r="CF72" s="2867"/>
      <c r="CG72" s="2867"/>
      <c r="CH72" s="2867"/>
      <c r="CI72" s="2867"/>
      <c r="CJ72" s="2867"/>
      <c r="CK72" s="2867"/>
      <c r="CL72" s="2867"/>
      <c r="CM72" s="2867"/>
      <c r="CN72" s="2867"/>
      <c r="CO72" s="2867"/>
      <c r="CP72" s="2867"/>
      <c r="CQ72" s="2867"/>
      <c r="CR72" s="2867"/>
      <c r="CS72" s="2867"/>
      <c r="CT72" s="2867"/>
      <c r="CU72" s="2867"/>
      <c r="CV72" s="2867"/>
      <c r="CW72" s="2867"/>
    </row>
    <row r="73" spans="1:101">
      <c r="A73" s="2867"/>
      <c r="B73" s="2867"/>
      <c r="C73" s="2915" t="s">
        <v>1506</v>
      </c>
      <c r="D73" s="2916"/>
      <c r="E73" s="2917">
        <f>SCH_E1!G21</f>
        <v>-5484283</v>
      </c>
      <c r="F73" s="2918">
        <f>H73-E73</f>
        <v>-1602639</v>
      </c>
      <c r="G73" s="2919"/>
      <c r="H73" s="2917">
        <f>SCH_E1!K21</f>
        <v>-7086922</v>
      </c>
      <c r="I73" s="2919"/>
      <c r="J73" s="2918">
        <f ca="1">N73-H73</f>
        <v>325419</v>
      </c>
      <c r="K73" s="2919"/>
      <c r="L73" s="2919"/>
      <c r="M73" s="2919"/>
      <c r="N73" s="2923">
        <f ca="1">SCH_E1!Q21</f>
        <v>-6761503</v>
      </c>
      <c r="O73" s="2875"/>
      <c r="P73" s="2872"/>
      <c r="Q73" s="2872"/>
      <c r="T73" s="2872"/>
      <c r="U73" s="2872"/>
      <c r="V73" s="2872"/>
      <c r="W73" s="2872"/>
      <c r="X73" s="2867"/>
      <c r="Y73" s="2867"/>
      <c r="Z73" s="2867"/>
      <c r="AA73" s="2867"/>
      <c r="AB73" s="2867"/>
      <c r="AC73" s="2867"/>
      <c r="AD73" s="2867"/>
      <c r="AE73" s="2867"/>
      <c r="AF73" s="2867"/>
      <c r="AG73" s="2867"/>
      <c r="AH73" s="2867"/>
      <c r="AI73" s="2867"/>
      <c r="AJ73" s="2867"/>
      <c r="AK73" s="2867"/>
      <c r="AL73" s="2922"/>
      <c r="AM73" s="2867"/>
      <c r="AN73" s="2867"/>
      <c r="AO73" s="2867"/>
      <c r="AP73" s="2867"/>
      <c r="AQ73" s="2867"/>
      <c r="AR73" s="2867"/>
      <c r="AS73" s="2867"/>
      <c r="AT73" s="2867"/>
      <c r="AU73" s="2867"/>
      <c r="AV73" s="2867"/>
      <c r="AW73" s="2867"/>
      <c r="AX73" s="2867"/>
      <c r="AY73" s="2867"/>
      <c r="AZ73" s="2867"/>
      <c r="BA73" s="2867"/>
      <c r="BB73" s="2867"/>
      <c r="BC73" s="2867"/>
      <c r="BD73" s="2867"/>
      <c r="BE73" s="2867"/>
      <c r="BF73" s="2867"/>
      <c r="BG73" s="2867"/>
      <c r="BH73" s="2867"/>
      <c r="BI73" s="2867"/>
      <c r="BJ73" s="2867"/>
      <c r="BK73" s="2867"/>
      <c r="BL73" s="2867"/>
      <c r="BM73" s="2867"/>
      <c r="BN73" s="2867"/>
      <c r="BO73" s="2867"/>
      <c r="BP73" s="2867"/>
      <c r="BQ73" s="2867"/>
      <c r="BR73" s="2867"/>
      <c r="BS73" s="2867"/>
      <c r="BT73" s="2867"/>
      <c r="BU73" s="2867"/>
      <c r="BV73" s="2867"/>
      <c r="BW73" s="2867"/>
      <c r="BX73" s="2867"/>
      <c r="BY73" s="2867"/>
      <c r="BZ73" s="2867"/>
      <c r="CA73" s="2867"/>
      <c r="CB73" s="2867"/>
      <c r="CC73" s="2867"/>
      <c r="CD73" s="2867"/>
      <c r="CE73" s="2867"/>
      <c r="CF73" s="2867"/>
      <c r="CG73" s="2867"/>
      <c r="CH73" s="2867"/>
      <c r="CI73" s="2867"/>
      <c r="CJ73" s="2867"/>
      <c r="CK73" s="2867"/>
      <c r="CL73" s="2867"/>
      <c r="CM73" s="2867"/>
      <c r="CN73" s="2867"/>
      <c r="CO73" s="2867"/>
      <c r="CP73" s="2867"/>
      <c r="CQ73" s="2867"/>
      <c r="CR73" s="2867"/>
      <c r="CS73" s="2867"/>
      <c r="CT73" s="2867"/>
      <c r="CU73" s="2867"/>
      <c r="CV73" s="2867"/>
      <c r="CW73" s="2867"/>
    </row>
    <row r="74" spans="1:101">
      <c r="A74" s="2867"/>
      <c r="B74" s="2867"/>
      <c r="C74" s="2915" t="s">
        <v>2258</v>
      </c>
      <c r="D74" s="2916"/>
      <c r="E74" s="2917">
        <f>SCH_E1!G24</f>
        <v>100868</v>
      </c>
      <c r="F74" s="2918">
        <f>H74-E74</f>
        <v>-1217</v>
      </c>
      <c r="G74" s="2919"/>
      <c r="H74" s="2917">
        <f>SCH_E1!K24</f>
        <v>99651</v>
      </c>
      <c r="I74" s="2919"/>
      <c r="J74" s="2918">
        <f>N74-H74</f>
        <v>0</v>
      </c>
      <c r="K74" s="2919"/>
      <c r="L74" s="2919"/>
      <c r="M74" s="2919"/>
      <c r="N74" s="2923">
        <f>SCH_E1!M24</f>
        <v>99651</v>
      </c>
      <c r="O74" s="2875"/>
      <c r="P74" s="2872"/>
      <c r="Q74" s="2872"/>
      <c r="T74" s="2872"/>
      <c r="U74" s="2872"/>
      <c r="V74" s="2872"/>
      <c r="W74" s="2872"/>
      <c r="X74" s="2867"/>
      <c r="Y74" s="2867"/>
      <c r="Z74" s="2867"/>
      <c r="AA74" s="2867"/>
      <c r="AB74" s="2867"/>
      <c r="AC74" s="2867"/>
      <c r="AD74" s="2867"/>
      <c r="AE74" s="2867"/>
      <c r="AF74" s="2867"/>
      <c r="AG74" s="2867"/>
      <c r="AH74" s="2867"/>
      <c r="AI74" s="2867"/>
      <c r="AJ74" s="2867"/>
      <c r="AK74" s="2867"/>
      <c r="AL74" s="2922"/>
      <c r="AM74" s="2867"/>
      <c r="AN74" s="2867"/>
      <c r="AO74" s="2867"/>
      <c r="AP74" s="2867"/>
      <c r="AQ74" s="2867"/>
      <c r="AR74" s="2867"/>
      <c r="AS74" s="2867"/>
      <c r="AT74" s="2867"/>
      <c r="AU74" s="2867"/>
      <c r="AV74" s="2867"/>
      <c r="AW74" s="2867"/>
      <c r="AX74" s="2867"/>
      <c r="AY74" s="2867"/>
      <c r="AZ74" s="2867"/>
      <c r="BA74" s="2867"/>
      <c r="BB74" s="2867"/>
      <c r="BC74" s="2867"/>
      <c r="BD74" s="2867"/>
      <c r="BE74" s="2867"/>
      <c r="BF74" s="2867"/>
      <c r="BG74" s="2867"/>
      <c r="BH74" s="2867"/>
      <c r="BI74" s="2867"/>
      <c r="BJ74" s="2867"/>
      <c r="BK74" s="2867"/>
      <c r="BL74" s="2867"/>
      <c r="BM74" s="2867"/>
      <c r="BN74" s="2867"/>
      <c r="BO74" s="2867"/>
      <c r="BP74" s="2867"/>
      <c r="BQ74" s="2867"/>
      <c r="BR74" s="2867"/>
      <c r="BS74" s="2867"/>
      <c r="BT74" s="2867"/>
      <c r="BU74" s="2867"/>
      <c r="BV74" s="2867"/>
      <c r="BW74" s="2867"/>
      <c r="BX74" s="2867"/>
      <c r="BY74" s="2867"/>
      <c r="BZ74" s="2867"/>
      <c r="CA74" s="2867"/>
      <c r="CB74" s="2867"/>
      <c r="CC74" s="2867"/>
      <c r="CD74" s="2867"/>
      <c r="CE74" s="2867"/>
      <c r="CF74" s="2867"/>
      <c r="CG74" s="2867"/>
      <c r="CH74" s="2867"/>
      <c r="CI74" s="2867"/>
      <c r="CJ74" s="2867"/>
      <c r="CK74" s="2867"/>
      <c r="CL74" s="2867"/>
      <c r="CM74" s="2867"/>
      <c r="CN74" s="2867"/>
      <c r="CO74" s="2867"/>
      <c r="CP74" s="2867"/>
      <c r="CQ74" s="2867"/>
      <c r="CR74" s="2867"/>
      <c r="CS74" s="2867"/>
      <c r="CT74" s="2867"/>
      <c r="CU74" s="2867"/>
      <c r="CV74" s="2867"/>
      <c r="CW74" s="2867"/>
    </row>
    <row r="75" spans="1:101">
      <c r="A75" s="2867"/>
      <c r="B75" s="2867"/>
      <c r="C75" s="2915" t="s">
        <v>1507</v>
      </c>
      <c r="D75" s="2916"/>
      <c r="E75" s="2918">
        <f>E72+E73+E74</f>
        <v>11437990</v>
      </c>
      <c r="F75" s="2918">
        <f ca="1">F72+F73+F74</f>
        <v>-4332373</v>
      </c>
      <c r="G75" s="2924"/>
      <c r="H75" s="2918">
        <f ca="1">H72+H73+H74</f>
        <v>7105617</v>
      </c>
      <c r="I75" s="2924"/>
      <c r="J75" s="2918">
        <f ca="1">J72+J73+J74</f>
        <v>2393814</v>
      </c>
      <c r="K75" s="2924"/>
      <c r="L75" s="2924"/>
      <c r="M75" s="2924"/>
      <c r="N75" s="2923">
        <f ca="1">N72+N73+N74</f>
        <v>9499431</v>
      </c>
      <c r="O75" s="2925"/>
      <c r="P75" s="2872"/>
      <c r="Q75" s="2872"/>
      <c r="T75" s="2872"/>
      <c r="U75" s="2872"/>
      <c r="V75" s="2872"/>
      <c r="W75" s="2872"/>
      <c r="X75" s="2867"/>
      <c r="Y75" s="2867"/>
      <c r="Z75" s="2867"/>
      <c r="AA75" s="2867"/>
      <c r="AB75" s="2867"/>
      <c r="AC75" s="2867"/>
      <c r="AD75" s="2867"/>
      <c r="AE75" s="2867"/>
      <c r="AF75" s="2867"/>
      <c r="AG75" s="2867"/>
      <c r="AH75" s="2867"/>
      <c r="AI75" s="2867"/>
      <c r="AJ75" s="2867"/>
      <c r="AK75" s="2910"/>
      <c r="AL75" s="2867"/>
      <c r="AM75" s="2867"/>
      <c r="AN75" s="2867"/>
      <c r="AO75" s="2867"/>
      <c r="AP75" s="2867"/>
      <c r="AQ75" s="2867"/>
      <c r="AR75" s="2867"/>
      <c r="AS75" s="2867"/>
      <c r="AT75" s="2867"/>
      <c r="AU75" s="2867"/>
      <c r="AV75" s="2867"/>
      <c r="AW75" s="2867"/>
      <c r="AX75" s="2867"/>
      <c r="AY75" s="2867"/>
      <c r="AZ75" s="2867"/>
      <c r="BA75" s="2867"/>
      <c r="BB75" s="2867"/>
      <c r="BC75" s="2867"/>
      <c r="BD75" s="2867"/>
      <c r="BE75" s="2867"/>
      <c r="BF75" s="2867"/>
      <c r="BG75" s="2867"/>
      <c r="BH75" s="2867"/>
      <c r="BI75" s="2867"/>
      <c r="BJ75" s="2867"/>
      <c r="BK75" s="2867"/>
      <c r="BL75" s="2867"/>
      <c r="BM75" s="2867"/>
      <c r="BN75" s="2867"/>
      <c r="BO75" s="2867"/>
      <c r="BP75" s="2867"/>
      <c r="BQ75" s="2867"/>
      <c r="BR75" s="2867"/>
      <c r="BS75" s="2867"/>
      <c r="BT75" s="2867"/>
      <c r="BU75" s="2867"/>
      <c r="BV75" s="2867"/>
      <c r="BW75" s="2867"/>
      <c r="BX75" s="2867"/>
      <c r="BY75" s="2867"/>
      <c r="BZ75" s="2867"/>
      <c r="CA75" s="2867"/>
      <c r="CB75" s="2867"/>
      <c r="CC75" s="2867"/>
      <c r="CD75" s="2867"/>
      <c r="CE75" s="2867"/>
      <c r="CF75" s="2867"/>
      <c r="CG75" s="2867"/>
      <c r="CH75" s="2867"/>
      <c r="CI75" s="2867"/>
      <c r="CJ75" s="2867"/>
      <c r="CK75" s="2867"/>
      <c r="CL75" s="2867"/>
      <c r="CM75" s="2867"/>
      <c r="CN75" s="2867"/>
      <c r="CO75" s="2867"/>
      <c r="CP75" s="2867"/>
      <c r="CQ75" s="2867"/>
      <c r="CR75" s="2867"/>
      <c r="CS75" s="2867"/>
      <c r="CT75" s="2867"/>
      <c r="CU75" s="2867"/>
      <c r="CV75" s="2867"/>
      <c r="CW75" s="2867"/>
    </row>
    <row r="76" spans="1:101">
      <c r="A76" s="2867"/>
      <c r="B76" s="2867"/>
      <c r="C76" s="2915" t="s">
        <v>1371</v>
      </c>
      <c r="D76" s="2916"/>
      <c r="E76" s="2926">
        <f>ROUND(E71/E75,4)</f>
        <v>0.35320000000000001</v>
      </c>
      <c r="F76" s="2926">
        <f ca="1">ROUND(F71/F75,4)</f>
        <v>0.52359999999999995</v>
      </c>
      <c r="G76" s="2916"/>
      <c r="H76" s="2926">
        <f ca="1">ROUND(H71/H75,4)</f>
        <v>0.24929999999999999</v>
      </c>
      <c r="I76" s="2916"/>
      <c r="J76" s="2926">
        <f ca="1">ROUND(J71/J75,4)</f>
        <v>0.24929999999999999</v>
      </c>
      <c r="K76" s="2916"/>
      <c r="L76" s="2916"/>
      <c r="M76" s="2916"/>
      <c r="N76" s="2927">
        <f ca="1">ROUND(N71/N75,4)</f>
        <v>0.24929999999999999</v>
      </c>
      <c r="O76" s="2875"/>
      <c r="P76" s="2872"/>
      <c r="Q76" s="2872"/>
      <c r="T76" s="2872"/>
      <c r="U76" s="2872"/>
      <c r="V76" s="2872"/>
      <c r="W76" s="2872"/>
      <c r="X76" s="2867"/>
      <c r="Y76" s="2867"/>
      <c r="Z76" s="2867"/>
      <c r="AA76" s="2867"/>
      <c r="AB76" s="2867"/>
      <c r="AC76" s="2867"/>
      <c r="AD76" s="2867"/>
      <c r="AE76" s="2867"/>
      <c r="AF76" s="2867"/>
      <c r="AG76" s="2867"/>
      <c r="AH76" s="2867"/>
      <c r="AI76" s="2867"/>
      <c r="AJ76" s="2867"/>
      <c r="AK76" s="2867"/>
      <c r="AL76" s="2867"/>
      <c r="AM76" s="2910"/>
      <c r="AN76" s="2867"/>
      <c r="AO76" s="2867"/>
      <c r="AP76" s="2867"/>
      <c r="AQ76" s="2867"/>
      <c r="AR76" s="2867"/>
      <c r="AS76" s="2867"/>
      <c r="AT76" s="2867"/>
      <c r="AU76" s="2867"/>
      <c r="AV76" s="2867"/>
      <c r="AW76" s="2867"/>
      <c r="AX76" s="2867"/>
      <c r="AY76" s="2867"/>
      <c r="AZ76" s="2867"/>
      <c r="BA76" s="2867"/>
      <c r="BB76" s="2867"/>
      <c r="BC76" s="2867"/>
      <c r="BD76" s="2867"/>
      <c r="BE76" s="2867"/>
      <c r="BF76" s="2867"/>
      <c r="BG76" s="2867"/>
      <c r="BH76" s="2867"/>
      <c r="BI76" s="2867"/>
      <c r="BJ76" s="2867"/>
      <c r="BK76" s="2867"/>
      <c r="BL76" s="2867"/>
      <c r="BM76" s="2867"/>
      <c r="BN76" s="2867"/>
      <c r="BO76" s="2867"/>
      <c r="BP76" s="2867"/>
      <c r="BQ76" s="2867"/>
      <c r="BR76" s="2867"/>
      <c r="BS76" s="2867"/>
      <c r="BT76" s="2867"/>
      <c r="BU76" s="2867"/>
      <c r="BV76" s="2867"/>
      <c r="BW76" s="2867"/>
      <c r="BX76" s="2867"/>
      <c r="BY76" s="2867"/>
      <c r="BZ76" s="2867"/>
      <c r="CA76" s="2867"/>
      <c r="CB76" s="2867"/>
      <c r="CC76" s="2867"/>
      <c r="CD76" s="2867"/>
      <c r="CE76" s="2867"/>
      <c r="CF76" s="2867"/>
      <c r="CG76" s="2867"/>
      <c r="CH76" s="2867"/>
      <c r="CI76" s="2867"/>
      <c r="CJ76" s="2867"/>
      <c r="CK76" s="2867"/>
      <c r="CL76" s="2867"/>
      <c r="CM76" s="2867"/>
      <c r="CN76" s="2867"/>
      <c r="CO76" s="2867"/>
      <c r="CP76" s="2867"/>
      <c r="CQ76" s="2867"/>
      <c r="CR76" s="2867"/>
      <c r="CS76" s="2867"/>
      <c r="CT76" s="2867"/>
      <c r="CU76" s="2867"/>
      <c r="CV76" s="2867"/>
      <c r="CW76" s="2867"/>
    </row>
    <row r="77" spans="1:101">
      <c r="A77" s="2867"/>
      <c r="B77" s="2867"/>
      <c r="C77" s="2928"/>
      <c r="D77" s="2929"/>
      <c r="E77" s="2930"/>
      <c r="F77" s="2929"/>
      <c r="G77" s="2929"/>
      <c r="H77" s="2930"/>
      <c r="I77" s="2929"/>
      <c r="J77" s="2929"/>
      <c r="K77" s="2929"/>
      <c r="L77" s="2929"/>
      <c r="M77" s="2929"/>
      <c r="N77" s="2931"/>
      <c r="O77" s="2910"/>
      <c r="P77" s="2867"/>
      <c r="Q77" s="2867"/>
      <c r="T77" s="2867"/>
      <c r="U77" s="2867"/>
      <c r="V77" s="2867"/>
      <c r="W77" s="2867"/>
      <c r="X77" s="2867"/>
      <c r="Y77" s="2867"/>
      <c r="Z77" s="2867"/>
      <c r="AA77" s="2867"/>
      <c r="AB77" s="2867"/>
      <c r="AC77" s="2867"/>
      <c r="AD77" s="2867"/>
      <c r="AE77" s="2867"/>
      <c r="AF77" s="2867"/>
      <c r="AG77" s="2867"/>
      <c r="AH77" s="2867"/>
      <c r="AI77" s="2867"/>
      <c r="AJ77" s="2867"/>
      <c r="AK77" s="2867"/>
      <c r="AL77" s="2922"/>
      <c r="AM77" s="2867"/>
      <c r="AN77" s="2867"/>
      <c r="AO77" s="2867"/>
      <c r="AP77" s="2867"/>
      <c r="AQ77" s="2867"/>
      <c r="AR77" s="2867"/>
      <c r="AS77" s="2867"/>
      <c r="AT77" s="2867"/>
      <c r="AU77" s="2867"/>
      <c r="AV77" s="2867"/>
      <c r="AW77" s="2867"/>
      <c r="AX77" s="2867"/>
      <c r="AY77" s="2867"/>
      <c r="AZ77" s="2867"/>
      <c r="BA77" s="2867"/>
      <c r="BB77" s="2867"/>
      <c r="BC77" s="2867"/>
      <c r="BD77" s="2867"/>
      <c r="BE77" s="2867"/>
      <c r="BF77" s="2867"/>
      <c r="BG77" s="2867"/>
      <c r="BH77" s="2867"/>
      <c r="BI77" s="2867"/>
      <c r="BJ77" s="2867"/>
      <c r="BK77" s="2867"/>
      <c r="BL77" s="2867"/>
      <c r="BM77" s="2867"/>
      <c r="BN77" s="2867"/>
      <c r="BO77" s="2867"/>
      <c r="BP77" s="2867"/>
      <c r="BQ77" s="2867"/>
      <c r="BR77" s="2867"/>
      <c r="BS77" s="2867"/>
      <c r="BT77" s="2867"/>
      <c r="BU77" s="2867"/>
      <c r="BV77" s="2867"/>
      <c r="BW77" s="2867"/>
      <c r="BX77" s="2867"/>
      <c r="BY77" s="2867"/>
      <c r="BZ77" s="2867"/>
      <c r="CA77" s="2867"/>
      <c r="CB77" s="2867"/>
      <c r="CC77" s="2867"/>
      <c r="CD77" s="2867"/>
      <c r="CE77" s="2867"/>
      <c r="CF77" s="2867"/>
      <c r="CG77" s="2867"/>
      <c r="CH77" s="2867"/>
      <c r="CI77" s="2867"/>
      <c r="CJ77" s="2867"/>
      <c r="CK77" s="2867"/>
      <c r="CL77" s="2867"/>
      <c r="CM77" s="2867"/>
      <c r="CN77" s="2867"/>
      <c r="CO77" s="2867"/>
      <c r="CP77" s="2867"/>
      <c r="CQ77" s="2867"/>
      <c r="CR77" s="2867"/>
      <c r="CS77" s="2867"/>
      <c r="CT77" s="2867"/>
      <c r="CU77" s="2867"/>
      <c r="CV77" s="2867"/>
      <c r="CW77" s="2867"/>
    </row>
    <row r="78" spans="1:101">
      <c r="A78" s="2875"/>
      <c r="B78" s="2872"/>
      <c r="C78" s="2932"/>
      <c r="D78" s="2872"/>
      <c r="E78" s="2932"/>
      <c r="F78" s="2872"/>
      <c r="G78" s="2872"/>
      <c r="H78" s="2933"/>
      <c r="I78" s="2872"/>
      <c r="J78" s="2872"/>
      <c r="K78" s="2872"/>
      <c r="L78" s="2872"/>
      <c r="M78" s="2872"/>
      <c r="N78" s="2933"/>
      <c r="O78" s="2934"/>
      <c r="P78" s="2867"/>
      <c r="Q78" s="2867"/>
      <c r="T78" s="2867"/>
      <c r="U78" s="2867"/>
      <c r="V78" s="2867"/>
      <c r="W78" s="2867"/>
      <c r="X78" s="2867"/>
      <c r="Y78" s="2867"/>
      <c r="Z78" s="2867"/>
      <c r="AA78" s="2867"/>
      <c r="AB78" s="2867"/>
      <c r="AC78" s="2867"/>
      <c r="AD78" s="2867"/>
      <c r="AE78" s="2867"/>
      <c r="AF78" s="2867"/>
      <c r="AG78" s="2867"/>
      <c r="AH78" s="2867"/>
      <c r="AI78" s="2867"/>
      <c r="AJ78" s="2867"/>
      <c r="AK78" s="2867"/>
      <c r="AL78" s="2867"/>
      <c r="AM78" s="2867"/>
      <c r="AN78" s="2867"/>
      <c r="AO78" s="2867"/>
      <c r="AP78" s="2867"/>
      <c r="AQ78" s="2867"/>
      <c r="AR78" s="2867"/>
      <c r="AS78" s="2867"/>
      <c r="AT78" s="2867"/>
      <c r="AU78" s="2867"/>
      <c r="AV78" s="2867"/>
      <c r="AW78" s="2867"/>
      <c r="AX78" s="2867"/>
      <c r="AY78" s="2867"/>
      <c r="AZ78" s="2867"/>
      <c r="BA78" s="2867"/>
      <c r="BB78" s="2867"/>
      <c r="BC78" s="2867"/>
      <c r="BD78" s="2867"/>
      <c r="BE78" s="2867"/>
      <c r="BF78" s="2867"/>
      <c r="BG78" s="2867"/>
      <c r="BH78" s="2867"/>
      <c r="BI78" s="2867"/>
      <c r="BJ78" s="2867"/>
      <c r="BK78" s="2867"/>
      <c r="BL78" s="2867"/>
      <c r="BM78" s="2867"/>
      <c r="BN78" s="2867"/>
      <c r="BO78" s="2867"/>
      <c r="BP78" s="2867"/>
      <c r="BQ78" s="2867"/>
      <c r="BR78" s="2867"/>
      <c r="BS78" s="2867"/>
      <c r="BT78" s="2867"/>
      <c r="BU78" s="2867"/>
      <c r="BV78" s="2867"/>
      <c r="BW78" s="2867"/>
      <c r="BX78" s="2867"/>
      <c r="BY78" s="2867"/>
      <c r="BZ78" s="2867"/>
      <c r="CA78" s="2867"/>
      <c r="CB78" s="2867"/>
      <c r="CC78" s="2867"/>
      <c r="CD78" s="2867"/>
      <c r="CE78" s="2867"/>
      <c r="CF78" s="2867"/>
      <c r="CG78" s="2867"/>
      <c r="CH78" s="2867"/>
      <c r="CI78" s="2867"/>
      <c r="CJ78" s="2867"/>
      <c r="CK78" s="2867"/>
      <c r="CL78" s="2867"/>
      <c r="CM78" s="2867"/>
      <c r="CN78" s="2867"/>
      <c r="CO78" s="2867"/>
      <c r="CP78" s="2867"/>
      <c r="CQ78" s="2867"/>
      <c r="CR78" s="2867"/>
      <c r="CS78" s="2867"/>
      <c r="CT78" s="2867"/>
      <c r="CU78" s="2867"/>
      <c r="CV78" s="2867"/>
      <c r="CW78" s="2867"/>
    </row>
    <row r="79" spans="1:101">
      <c r="A79" s="2910"/>
      <c r="B79" s="2867"/>
      <c r="C79" s="2867"/>
      <c r="D79" s="2867"/>
      <c r="E79" s="2867"/>
      <c r="F79" s="2867"/>
      <c r="G79" s="2867"/>
      <c r="H79" s="2867"/>
      <c r="I79" s="2867"/>
      <c r="J79" s="2867"/>
      <c r="K79" s="2867"/>
      <c r="L79" s="2867"/>
      <c r="M79" s="2867"/>
      <c r="O79" s="2922"/>
      <c r="P79" s="2910"/>
      <c r="Q79" s="2867"/>
      <c r="T79" s="2867"/>
      <c r="U79" s="2870"/>
      <c r="V79" s="2870"/>
      <c r="W79" s="2870"/>
      <c r="X79" s="2867"/>
      <c r="Y79" s="2867"/>
      <c r="Z79" s="2867"/>
      <c r="AA79" s="2867"/>
      <c r="AB79" s="2867"/>
      <c r="AC79" s="2867"/>
      <c r="AD79" s="2867"/>
      <c r="AE79" s="2867"/>
      <c r="AF79" s="2867"/>
      <c r="AG79" s="2867"/>
      <c r="AH79" s="2867"/>
      <c r="AI79" s="2938"/>
      <c r="AJ79" s="2938"/>
      <c r="AK79" s="2938"/>
      <c r="AL79" s="2938"/>
      <c r="AM79" s="2938"/>
      <c r="AN79" s="2938"/>
      <c r="AO79" s="2938"/>
      <c r="AP79" s="2938"/>
      <c r="AQ79" s="2938"/>
      <c r="AR79" s="2938"/>
      <c r="AS79" s="2938"/>
      <c r="AT79" s="2867"/>
      <c r="AU79" s="2867"/>
      <c r="AV79" s="2867"/>
      <c r="AW79" s="2867"/>
      <c r="AX79" s="2867"/>
      <c r="AY79" s="2867"/>
      <c r="AZ79" s="2867"/>
      <c r="BA79" s="2867"/>
      <c r="BB79" s="2867"/>
      <c r="BC79" s="2867"/>
      <c r="BD79" s="2867"/>
      <c r="BE79" s="2867"/>
      <c r="BF79" s="2867"/>
      <c r="BG79" s="2867"/>
      <c r="BH79" s="2867"/>
      <c r="BI79" s="2867"/>
      <c r="BJ79" s="2867"/>
      <c r="BK79" s="2867"/>
      <c r="BL79" s="2867"/>
      <c r="BM79" s="2867"/>
      <c r="BN79" s="2867"/>
      <c r="BO79" s="2867"/>
      <c r="BP79" s="2867"/>
      <c r="BQ79" s="2867"/>
      <c r="BR79" s="2867"/>
      <c r="BS79" s="2867"/>
      <c r="BT79" s="2867"/>
      <c r="BU79" s="2867"/>
      <c r="BV79" s="2867"/>
      <c r="BW79" s="2867"/>
      <c r="BX79" s="2867"/>
      <c r="BY79" s="2867"/>
      <c r="BZ79" s="2867"/>
      <c r="CA79" s="2867"/>
      <c r="CB79" s="2867"/>
      <c r="CC79" s="2867"/>
      <c r="CD79" s="2867"/>
      <c r="CE79" s="2867"/>
      <c r="CF79" s="2867"/>
      <c r="CG79" s="2867"/>
      <c r="CH79" s="2867"/>
      <c r="CI79" s="2867"/>
      <c r="CJ79" s="2867"/>
      <c r="CK79" s="2867"/>
      <c r="CL79" s="2867"/>
      <c r="CM79" s="2867"/>
      <c r="CN79" s="2867"/>
      <c r="CO79" s="2867"/>
      <c r="CP79" s="2867"/>
      <c r="CQ79" s="2867"/>
      <c r="CR79" s="2867"/>
      <c r="CS79" s="2867"/>
      <c r="CT79" s="2867"/>
      <c r="CU79" s="2867"/>
      <c r="CV79" s="2867"/>
      <c r="CW79" s="2867"/>
    </row>
    <row r="80" spans="1:101">
      <c r="A80" s="2867"/>
      <c r="B80" s="2867"/>
      <c r="C80" s="2867"/>
      <c r="D80" s="2867"/>
      <c r="E80" s="2867"/>
      <c r="F80" s="2867"/>
      <c r="G80" s="2867"/>
      <c r="H80" s="2867"/>
      <c r="I80" s="2867"/>
      <c r="J80" s="2867"/>
      <c r="K80" s="2867"/>
      <c r="L80" s="2867"/>
      <c r="M80" s="2867"/>
      <c r="O80" s="2922"/>
      <c r="P80" s="2910"/>
      <c r="Q80" s="2867"/>
      <c r="T80" s="2867"/>
      <c r="U80" s="2870"/>
      <c r="V80" s="2870"/>
      <c r="W80" s="2870"/>
      <c r="X80" s="2867"/>
      <c r="Y80" s="2867"/>
      <c r="Z80" s="2867"/>
      <c r="AA80" s="2867"/>
      <c r="AB80" s="2867"/>
      <c r="AC80" s="2867"/>
      <c r="AD80" s="2867"/>
      <c r="AE80" s="2867"/>
      <c r="AF80" s="2867"/>
      <c r="AG80" s="2867"/>
      <c r="AH80" s="2867"/>
      <c r="AI80" s="2867"/>
      <c r="AJ80" s="2867"/>
      <c r="AK80" s="2867"/>
      <c r="AL80" s="2867"/>
      <c r="AM80" s="2867"/>
      <c r="AN80" s="2867"/>
      <c r="AO80" s="2867"/>
      <c r="AP80" s="2867"/>
      <c r="AQ80" s="2867"/>
      <c r="AR80" s="2867"/>
      <c r="AS80" s="2935"/>
      <c r="AT80" s="2867"/>
      <c r="AU80" s="2867"/>
      <c r="AV80" s="2867"/>
      <c r="AW80" s="2867"/>
      <c r="AX80" s="2867"/>
      <c r="AY80" s="2867"/>
      <c r="AZ80" s="2867"/>
      <c r="BA80" s="2867"/>
      <c r="BB80" s="2867"/>
      <c r="BC80" s="2867"/>
      <c r="BD80" s="2867"/>
      <c r="BE80" s="2867"/>
      <c r="BF80" s="2867"/>
      <c r="BG80" s="2867"/>
      <c r="BH80" s="2867"/>
      <c r="BI80" s="2867"/>
      <c r="BJ80" s="2867"/>
      <c r="BK80" s="2867"/>
      <c r="BL80" s="2867"/>
      <c r="BM80" s="2867"/>
      <c r="BN80" s="2867"/>
      <c r="BO80" s="2867"/>
      <c r="BP80" s="2867"/>
      <c r="BQ80" s="2867"/>
      <c r="BR80" s="2867"/>
      <c r="BS80" s="2867"/>
      <c r="BT80" s="2867"/>
      <c r="BU80" s="2867"/>
      <c r="BV80" s="2867"/>
      <c r="BW80" s="2867"/>
      <c r="BX80" s="2867"/>
      <c r="BY80" s="2867"/>
      <c r="BZ80" s="2867"/>
      <c r="CA80" s="2867"/>
      <c r="CB80" s="2867"/>
      <c r="CC80" s="2867"/>
      <c r="CD80" s="2867"/>
      <c r="CE80" s="2867"/>
      <c r="CF80" s="2867"/>
      <c r="CG80" s="2867"/>
      <c r="CH80" s="2867"/>
      <c r="CI80" s="2867"/>
      <c r="CJ80" s="2867"/>
      <c r="CK80" s="2867"/>
      <c r="CL80" s="2867"/>
      <c r="CM80" s="2867"/>
      <c r="CN80" s="2867"/>
      <c r="CO80" s="2867"/>
      <c r="CP80" s="2867"/>
      <c r="CQ80" s="2867"/>
      <c r="CR80" s="2867"/>
      <c r="CS80" s="2867"/>
      <c r="CT80" s="2867"/>
      <c r="CU80" s="2867"/>
      <c r="CV80" s="2867"/>
      <c r="CW80" s="2867"/>
    </row>
    <row r="81" spans="1:101">
      <c r="A81" s="2910"/>
      <c r="B81" s="2867"/>
      <c r="C81" s="2867"/>
      <c r="D81" s="2867"/>
      <c r="E81" s="2936"/>
      <c r="F81" s="2936"/>
      <c r="G81" s="2936"/>
      <c r="H81" s="2936"/>
      <c r="I81" s="2936"/>
      <c r="J81" s="2936"/>
      <c r="K81" s="2936"/>
      <c r="L81" s="2936"/>
      <c r="M81" s="2936"/>
      <c r="O81" s="2922"/>
      <c r="P81" s="2910"/>
      <c r="Q81" s="2867"/>
      <c r="T81" s="2867"/>
      <c r="U81" s="2870"/>
      <c r="V81" s="2870"/>
      <c r="W81" s="2870"/>
      <c r="X81" s="2867"/>
      <c r="Y81" s="2867"/>
      <c r="Z81" s="2867"/>
      <c r="AA81" s="2867"/>
      <c r="AB81" s="2867"/>
      <c r="AC81" s="2867"/>
      <c r="AD81" s="2867"/>
      <c r="AE81" s="2867"/>
      <c r="AF81" s="2867"/>
      <c r="AG81" s="2867"/>
      <c r="AH81" s="2867"/>
      <c r="AI81" s="2935"/>
      <c r="AJ81" s="2935"/>
      <c r="AK81" s="2867"/>
      <c r="AL81" s="2867"/>
      <c r="AM81" s="2867"/>
      <c r="AN81" s="2867"/>
      <c r="AO81" s="2867"/>
      <c r="AP81" s="2867"/>
      <c r="AQ81" s="2867"/>
      <c r="AR81" s="2935"/>
      <c r="AS81" s="2935"/>
      <c r="AT81" s="2867"/>
      <c r="AU81" s="2867"/>
      <c r="AV81" s="2867"/>
      <c r="AW81" s="2867"/>
      <c r="AX81" s="2867"/>
      <c r="AY81" s="2867"/>
      <c r="AZ81" s="2867"/>
      <c r="BA81" s="2867"/>
      <c r="BB81" s="2867"/>
      <c r="BC81" s="2867"/>
      <c r="BD81" s="2867"/>
      <c r="BE81" s="2867"/>
      <c r="BF81" s="2867"/>
      <c r="BG81" s="2867"/>
      <c r="BH81" s="2867"/>
      <c r="BI81" s="2867"/>
      <c r="BJ81" s="2867"/>
      <c r="BK81" s="2867"/>
      <c r="BL81" s="2867"/>
      <c r="BM81" s="2867"/>
      <c r="BN81" s="2867"/>
      <c r="BO81" s="2867"/>
      <c r="BP81" s="2867"/>
      <c r="BQ81" s="2867"/>
      <c r="BR81" s="2867"/>
      <c r="BS81" s="2867"/>
      <c r="BT81" s="2867"/>
      <c r="BU81" s="2867"/>
      <c r="BV81" s="2867"/>
      <c r="BW81" s="2867"/>
      <c r="BX81" s="2867"/>
      <c r="BY81" s="2867"/>
      <c r="BZ81" s="2867"/>
      <c r="CA81" s="2867"/>
      <c r="CB81" s="2867"/>
      <c r="CC81" s="2867"/>
      <c r="CD81" s="2867"/>
      <c r="CE81" s="2867"/>
      <c r="CF81" s="2867"/>
      <c r="CG81" s="2867"/>
      <c r="CH81" s="2867"/>
      <c r="CI81" s="2867"/>
      <c r="CJ81" s="2867"/>
      <c r="CK81" s="2867"/>
      <c r="CL81" s="2867"/>
      <c r="CM81" s="2867"/>
      <c r="CN81" s="2867"/>
      <c r="CO81" s="2867"/>
      <c r="CP81" s="2867"/>
      <c r="CQ81" s="2867"/>
      <c r="CR81" s="2867"/>
      <c r="CS81" s="2867"/>
      <c r="CT81" s="2867"/>
      <c r="CU81" s="2867"/>
      <c r="CV81" s="2867"/>
      <c r="CW81" s="2867"/>
    </row>
    <row r="82" spans="1:101">
      <c r="A82" s="2937"/>
      <c r="B82" s="2867"/>
      <c r="C82" s="2937"/>
      <c r="D82" s="2867"/>
      <c r="E82" s="2937"/>
      <c r="F82" s="2937"/>
      <c r="G82" s="2937"/>
      <c r="H82" s="2937"/>
      <c r="I82" s="2937"/>
      <c r="J82" s="2937"/>
      <c r="K82" s="2937"/>
      <c r="L82" s="2937"/>
      <c r="M82" s="2937"/>
      <c r="O82" s="2922"/>
      <c r="P82" s="2910"/>
      <c r="Q82" s="2867"/>
      <c r="T82" s="2867"/>
      <c r="U82" s="2870"/>
      <c r="V82" s="2870"/>
      <c r="W82" s="2870"/>
      <c r="X82" s="2867"/>
      <c r="Y82" s="2867"/>
      <c r="Z82" s="2867"/>
      <c r="AA82" s="2867"/>
      <c r="AB82" s="2867"/>
      <c r="AC82" s="2867"/>
      <c r="AD82" s="2867"/>
      <c r="AE82" s="2867"/>
      <c r="AF82" s="2867"/>
      <c r="AG82" s="2867"/>
      <c r="AH82" s="2867"/>
      <c r="AI82" s="2935"/>
      <c r="AJ82" s="2935"/>
      <c r="AK82" s="2935"/>
      <c r="AL82" s="2867"/>
      <c r="AM82" s="2867"/>
      <c r="AN82" s="2867"/>
      <c r="AO82" s="2867"/>
      <c r="AP82" s="2867"/>
      <c r="AQ82" s="2935"/>
      <c r="AR82" s="2935"/>
      <c r="AS82" s="2935"/>
      <c r="AT82" s="2867"/>
      <c r="AU82" s="2867"/>
      <c r="AV82" s="2867"/>
      <c r="AW82" s="2867"/>
      <c r="AX82" s="2867"/>
      <c r="AY82" s="2867"/>
      <c r="AZ82" s="2867"/>
      <c r="BA82" s="2867"/>
      <c r="BB82" s="2867"/>
      <c r="BC82" s="2867"/>
      <c r="BD82" s="2867"/>
      <c r="BE82" s="2867"/>
      <c r="BF82" s="2867"/>
      <c r="BG82" s="2867"/>
      <c r="BH82" s="2867"/>
      <c r="BI82" s="2867"/>
      <c r="BJ82" s="2867"/>
      <c r="BK82" s="2867"/>
      <c r="BL82" s="2867"/>
      <c r="BM82" s="2867"/>
      <c r="BN82" s="2867"/>
      <c r="BO82" s="2867"/>
      <c r="BP82" s="2867"/>
      <c r="BQ82" s="2867"/>
      <c r="BR82" s="2867"/>
      <c r="BS82" s="2867"/>
      <c r="BT82" s="2867"/>
      <c r="BU82" s="2867"/>
      <c r="BV82" s="2867"/>
      <c r="BW82" s="2867"/>
      <c r="BX82" s="2867"/>
      <c r="BY82" s="2867"/>
      <c r="BZ82" s="2867"/>
      <c r="CA82" s="2867"/>
      <c r="CB82" s="2867"/>
      <c r="CC82" s="2867"/>
      <c r="CD82" s="2867"/>
      <c r="CE82" s="2867"/>
      <c r="CF82" s="2867"/>
      <c r="CG82" s="2867"/>
      <c r="CH82" s="2867"/>
      <c r="CI82" s="2867"/>
      <c r="CJ82" s="2867"/>
      <c r="CK82" s="2867"/>
      <c r="CL82" s="2867"/>
      <c r="CM82" s="2867"/>
      <c r="CN82" s="2867"/>
      <c r="CO82" s="2867"/>
      <c r="CP82" s="2867"/>
      <c r="CQ82" s="2867"/>
      <c r="CR82" s="2867"/>
      <c r="CS82" s="2867"/>
      <c r="CT82" s="2867"/>
      <c r="CU82" s="2867"/>
      <c r="CV82" s="2867"/>
      <c r="CW82" s="2867"/>
    </row>
    <row r="83" spans="1:101">
      <c r="A83" s="2922"/>
      <c r="B83" s="2884"/>
      <c r="C83" s="2910"/>
      <c r="D83" s="2867"/>
      <c r="E83" s="2870"/>
      <c r="F83" s="2870"/>
      <c r="G83" s="2870"/>
      <c r="H83" s="2867"/>
      <c r="I83" s="2867"/>
      <c r="J83" s="2867"/>
      <c r="K83" s="2867"/>
      <c r="L83" s="2867"/>
      <c r="M83" s="2867"/>
      <c r="O83" s="2922"/>
      <c r="P83" s="2910"/>
      <c r="Q83" s="2867"/>
      <c r="T83" s="2867"/>
      <c r="U83" s="2870"/>
      <c r="V83" s="2870"/>
      <c r="W83" s="2870"/>
      <c r="X83" s="2867"/>
      <c r="Y83" s="2867"/>
      <c r="Z83" s="2867"/>
      <c r="AA83" s="2867"/>
      <c r="AB83" s="2867"/>
      <c r="AC83" s="2867"/>
      <c r="AD83" s="2867"/>
      <c r="AE83" s="2867"/>
      <c r="AF83" s="2867"/>
      <c r="AG83" s="2867"/>
      <c r="AH83" s="2867"/>
      <c r="AI83" s="2867"/>
      <c r="AJ83" s="2867"/>
      <c r="AK83" s="2867"/>
      <c r="AL83" s="2867"/>
      <c r="AM83" s="2867"/>
      <c r="AN83" s="2867"/>
      <c r="AO83" s="2867"/>
      <c r="AP83" s="2867"/>
      <c r="AQ83" s="2867"/>
      <c r="AR83" s="2867"/>
      <c r="AS83" s="2935"/>
      <c r="AT83" s="2867"/>
      <c r="AU83" s="2867"/>
      <c r="AV83" s="2867"/>
      <c r="AW83" s="2867"/>
      <c r="AX83" s="2867"/>
      <c r="AY83" s="2867"/>
      <c r="AZ83" s="2867"/>
      <c r="BA83" s="2867"/>
      <c r="BB83" s="2867"/>
      <c r="BC83" s="2867"/>
      <c r="BD83" s="2867"/>
      <c r="BE83" s="2867"/>
      <c r="BF83" s="2867"/>
      <c r="BG83" s="2867"/>
      <c r="BH83" s="2867"/>
      <c r="BI83" s="2867"/>
      <c r="BJ83" s="2867"/>
      <c r="BK83" s="2867"/>
      <c r="BL83" s="2867"/>
      <c r="BM83" s="2867"/>
      <c r="BN83" s="2867"/>
      <c r="BO83" s="2867"/>
      <c r="BP83" s="2867"/>
      <c r="BQ83" s="2867"/>
      <c r="BR83" s="2867"/>
      <c r="BS83" s="2867"/>
      <c r="BT83" s="2867"/>
      <c r="BU83" s="2867"/>
      <c r="BV83" s="2867"/>
      <c r="BW83" s="2867"/>
      <c r="BX83" s="2867"/>
      <c r="BY83" s="2867"/>
      <c r="BZ83" s="2867"/>
      <c r="CA83" s="2867"/>
      <c r="CB83" s="2867"/>
      <c r="CC83" s="2867"/>
      <c r="CD83" s="2867"/>
      <c r="CE83" s="2867"/>
      <c r="CF83" s="2867"/>
      <c r="CG83" s="2867"/>
      <c r="CH83" s="2867"/>
      <c r="CI83" s="2867"/>
      <c r="CJ83" s="2867"/>
      <c r="CK83" s="2867"/>
      <c r="CL83" s="2867"/>
      <c r="CM83" s="2867"/>
      <c r="CN83" s="2867"/>
      <c r="CO83" s="2867"/>
      <c r="CP83" s="2867"/>
      <c r="CQ83" s="2867"/>
      <c r="CR83" s="2867"/>
      <c r="CS83" s="2867"/>
      <c r="CT83" s="2867"/>
      <c r="CU83" s="2867"/>
      <c r="CV83" s="2867"/>
      <c r="CW83" s="2867"/>
    </row>
    <row r="84" spans="1:101">
      <c r="A84" s="2922"/>
      <c r="B84" s="2884"/>
      <c r="C84" s="2910"/>
      <c r="D84" s="2867"/>
      <c r="E84" s="2885"/>
      <c r="F84" s="2885"/>
      <c r="G84" s="2885"/>
      <c r="H84" s="2867"/>
      <c r="I84" s="2867"/>
      <c r="J84" s="2867"/>
      <c r="K84" s="2867"/>
      <c r="L84" s="2867"/>
      <c r="M84" s="2867"/>
      <c r="O84" s="2922"/>
      <c r="P84" s="2910"/>
      <c r="Q84" s="2867"/>
      <c r="T84" s="2867"/>
      <c r="U84" s="2870"/>
      <c r="V84" s="2870"/>
      <c r="W84" s="2870"/>
      <c r="X84" s="2867"/>
      <c r="Y84" s="2867"/>
      <c r="Z84" s="2867"/>
      <c r="AA84" s="2867"/>
      <c r="AB84" s="2867"/>
      <c r="AC84" s="2867"/>
      <c r="AD84" s="2867"/>
      <c r="AE84" s="2867"/>
      <c r="AF84" s="2867"/>
      <c r="AG84" s="2867"/>
      <c r="AH84" s="2867"/>
      <c r="AI84" s="2938"/>
      <c r="AJ84" s="2938"/>
      <c r="AK84" s="2938"/>
      <c r="AL84" s="2938"/>
      <c r="AM84" s="2938"/>
      <c r="AN84" s="2938"/>
      <c r="AO84" s="2938"/>
      <c r="AP84" s="2938"/>
      <c r="AQ84" s="2938"/>
      <c r="AR84" s="2938"/>
      <c r="AS84" s="2938"/>
      <c r="AT84" s="2867"/>
      <c r="AU84" s="2867"/>
      <c r="AV84" s="2867"/>
      <c r="AW84" s="2867"/>
      <c r="AX84" s="2867"/>
      <c r="AY84" s="2867"/>
      <c r="AZ84" s="2867"/>
      <c r="BA84" s="2867"/>
      <c r="BB84" s="2867"/>
      <c r="BC84" s="2867"/>
      <c r="BD84" s="2867"/>
      <c r="BE84" s="2867"/>
      <c r="BF84" s="2867"/>
      <c r="BG84" s="2867"/>
      <c r="BH84" s="2867"/>
      <c r="BI84" s="2867"/>
      <c r="BJ84" s="2867"/>
      <c r="BK84" s="2867"/>
      <c r="BL84" s="2867"/>
      <c r="BM84" s="2867"/>
      <c r="BN84" s="2867"/>
      <c r="BO84" s="2867"/>
      <c r="BP84" s="2867"/>
      <c r="BQ84" s="2867"/>
      <c r="BR84" s="2867"/>
      <c r="BS84" s="2867"/>
      <c r="BT84" s="2867"/>
      <c r="BU84" s="2867"/>
      <c r="BV84" s="2867"/>
      <c r="BW84" s="2867"/>
      <c r="BX84" s="2867"/>
      <c r="BY84" s="2867"/>
      <c r="BZ84" s="2867"/>
      <c r="CA84" s="2867"/>
      <c r="CB84" s="2867"/>
      <c r="CC84" s="2867"/>
      <c r="CD84" s="2867"/>
      <c r="CE84" s="2867"/>
      <c r="CF84" s="2867"/>
      <c r="CG84" s="2867"/>
      <c r="CH84" s="2867"/>
      <c r="CI84" s="2867"/>
      <c r="CJ84" s="2867"/>
      <c r="CK84" s="2867"/>
      <c r="CL84" s="2867"/>
      <c r="CM84" s="2867"/>
      <c r="CN84" s="2867"/>
      <c r="CO84" s="2867"/>
      <c r="CP84" s="2867"/>
      <c r="CQ84" s="2867"/>
      <c r="CR84" s="2867"/>
      <c r="CS84" s="2867"/>
      <c r="CT84" s="2867"/>
      <c r="CU84" s="2867"/>
      <c r="CV84" s="2867"/>
      <c r="CW84" s="2867"/>
    </row>
    <row r="85" spans="1:101">
      <c r="A85" s="2922"/>
      <c r="B85" s="2867"/>
      <c r="C85" s="2910"/>
      <c r="D85" s="2867"/>
      <c r="E85" s="2885"/>
      <c r="F85" s="2885"/>
      <c r="G85" s="2885"/>
      <c r="H85" s="2867"/>
      <c r="I85" s="2867"/>
      <c r="J85" s="2867"/>
      <c r="K85" s="2867"/>
      <c r="L85" s="2867"/>
      <c r="M85" s="2867"/>
      <c r="O85" s="2922"/>
      <c r="P85" s="2910"/>
      <c r="Q85" s="2867"/>
      <c r="T85" s="2867"/>
      <c r="U85" s="2870"/>
      <c r="V85" s="2870"/>
      <c r="W85" s="2870"/>
      <c r="X85" s="2867"/>
      <c r="Y85" s="2867"/>
      <c r="Z85" s="2867"/>
      <c r="AA85" s="2867"/>
      <c r="AB85" s="2867"/>
      <c r="AC85" s="2867"/>
      <c r="AD85" s="2867"/>
      <c r="AE85" s="2867"/>
      <c r="AF85" s="2867"/>
      <c r="AG85" s="2867"/>
      <c r="AH85" s="2867"/>
      <c r="AI85" s="2867"/>
      <c r="AJ85" s="2867"/>
      <c r="AK85" s="2867"/>
      <c r="AL85" s="2867"/>
      <c r="AM85" s="2867"/>
      <c r="AN85" s="2867"/>
      <c r="AO85" s="2867"/>
      <c r="AP85" s="2867"/>
      <c r="AQ85" s="2935"/>
      <c r="AR85" s="2935"/>
      <c r="AS85" s="2935"/>
      <c r="AT85" s="2867"/>
      <c r="AU85" s="2867"/>
      <c r="AV85" s="2867"/>
      <c r="AW85" s="2867"/>
      <c r="AX85" s="2867"/>
      <c r="AY85" s="2867"/>
      <c r="AZ85" s="2867"/>
      <c r="BA85" s="2867"/>
      <c r="BB85" s="2867"/>
      <c r="BC85" s="2867"/>
      <c r="BD85" s="2867"/>
      <c r="BE85" s="2867"/>
      <c r="BF85" s="2867"/>
      <c r="BG85" s="2867"/>
      <c r="BH85" s="2867"/>
      <c r="BI85" s="2867"/>
      <c r="BJ85" s="2867"/>
      <c r="BK85" s="2867"/>
      <c r="BL85" s="2867"/>
      <c r="BM85" s="2867"/>
      <c r="BN85" s="2867"/>
      <c r="BO85" s="2867"/>
      <c r="BP85" s="2867"/>
      <c r="BQ85" s="2867"/>
      <c r="BR85" s="2867"/>
      <c r="BS85" s="2867"/>
      <c r="BT85" s="2867"/>
      <c r="BU85" s="2867"/>
      <c r="BV85" s="2867"/>
      <c r="BW85" s="2867"/>
      <c r="BX85" s="2867"/>
      <c r="BY85" s="2867"/>
      <c r="BZ85" s="2867"/>
      <c r="CA85" s="2867"/>
      <c r="CB85" s="2867"/>
      <c r="CC85" s="2867"/>
      <c r="CD85" s="2867"/>
      <c r="CE85" s="2867"/>
      <c r="CF85" s="2867"/>
      <c r="CG85" s="2867"/>
      <c r="CH85" s="2867"/>
      <c r="CI85" s="2867"/>
      <c r="CJ85" s="2867"/>
      <c r="CK85" s="2867"/>
      <c r="CL85" s="2867"/>
      <c r="CM85" s="2867"/>
      <c r="CN85" s="2867"/>
      <c r="CO85" s="2867"/>
      <c r="CP85" s="2867"/>
      <c r="CQ85" s="2867"/>
      <c r="CR85" s="2867"/>
      <c r="CS85" s="2867"/>
      <c r="CT85" s="2867"/>
      <c r="CU85" s="2867"/>
      <c r="CV85" s="2867"/>
      <c r="CW85" s="2867"/>
    </row>
    <row r="86" spans="1:101">
      <c r="A86" s="2922"/>
      <c r="B86" s="2867"/>
      <c r="C86" s="2910"/>
      <c r="D86" s="2867"/>
      <c r="E86" s="2885"/>
      <c r="F86" s="2885"/>
      <c r="G86" s="2885"/>
      <c r="H86" s="2867"/>
      <c r="I86" s="2867"/>
      <c r="J86" s="2867"/>
      <c r="K86" s="2867"/>
      <c r="L86" s="2867"/>
      <c r="M86" s="2867"/>
      <c r="O86" s="2922"/>
      <c r="P86" s="2910"/>
      <c r="Q86" s="2867"/>
      <c r="T86" s="2867"/>
      <c r="U86" s="2867"/>
      <c r="V86" s="2870"/>
      <c r="W86" s="2870"/>
      <c r="X86" s="2867"/>
      <c r="Y86" s="2867"/>
      <c r="Z86" s="2867"/>
      <c r="AA86" s="2867"/>
      <c r="AB86" s="2867"/>
      <c r="AC86" s="2867"/>
      <c r="AD86" s="2867"/>
      <c r="AE86" s="2867"/>
      <c r="AF86" s="2867"/>
      <c r="AG86" s="2867"/>
      <c r="AH86" s="2867"/>
      <c r="AI86" s="2922"/>
      <c r="AJ86" s="2867"/>
      <c r="AK86" s="2910"/>
      <c r="AL86" s="2867"/>
      <c r="AM86" s="2867"/>
      <c r="AN86" s="2867"/>
      <c r="AO86" s="2867"/>
      <c r="AP86" s="2867"/>
      <c r="AQ86" s="2867"/>
      <c r="AR86" s="2867"/>
      <c r="AS86" s="2867"/>
      <c r="AT86" s="2867"/>
      <c r="AU86" s="2867"/>
      <c r="AV86" s="2867"/>
      <c r="AW86" s="2867"/>
      <c r="AX86" s="2867"/>
      <c r="AY86" s="2867"/>
      <c r="AZ86" s="2867"/>
      <c r="BA86" s="2867"/>
      <c r="BB86" s="2867"/>
      <c r="BC86" s="2867"/>
      <c r="BD86" s="2867"/>
      <c r="BE86" s="2867"/>
      <c r="BF86" s="2867"/>
      <c r="BG86" s="2867"/>
      <c r="BH86" s="2867"/>
      <c r="BI86" s="2867"/>
      <c r="BJ86" s="2867"/>
      <c r="BK86" s="2867"/>
      <c r="BL86" s="2867"/>
      <c r="BM86" s="2867"/>
      <c r="BN86" s="2867"/>
      <c r="BO86" s="2867"/>
      <c r="BP86" s="2867"/>
      <c r="BQ86" s="2867"/>
      <c r="BR86" s="2867"/>
      <c r="BS86" s="2867"/>
      <c r="BT86" s="2867"/>
      <c r="BU86" s="2867"/>
      <c r="BV86" s="2867"/>
      <c r="BW86" s="2867"/>
      <c r="BX86" s="2867"/>
      <c r="BY86" s="2867"/>
      <c r="BZ86" s="2867"/>
      <c r="CA86" s="2867"/>
      <c r="CB86" s="2867"/>
      <c r="CC86" s="2867"/>
      <c r="CD86" s="2867"/>
      <c r="CE86" s="2867"/>
      <c r="CF86" s="2867"/>
      <c r="CG86" s="2867"/>
      <c r="CH86" s="2867"/>
      <c r="CI86" s="2867"/>
      <c r="CJ86" s="2867"/>
      <c r="CK86" s="2867"/>
      <c r="CL86" s="2867"/>
      <c r="CM86" s="2867"/>
      <c r="CN86" s="2867"/>
      <c r="CO86" s="2867"/>
      <c r="CP86" s="2867"/>
      <c r="CQ86" s="2867"/>
      <c r="CR86" s="2867"/>
      <c r="CS86" s="2867"/>
      <c r="CT86" s="2867"/>
      <c r="CU86" s="2867"/>
      <c r="CV86" s="2867"/>
      <c r="CW86" s="2867"/>
    </row>
    <row r="87" spans="1:101">
      <c r="A87" s="2922"/>
      <c r="B87" s="2867"/>
      <c r="C87" s="2910"/>
      <c r="D87" s="2867"/>
      <c r="E87" s="2885"/>
      <c r="F87" s="2885"/>
      <c r="G87" s="2885"/>
      <c r="H87" s="2867"/>
      <c r="I87" s="2867"/>
      <c r="J87" s="2867"/>
      <c r="K87" s="2867"/>
      <c r="L87" s="2867"/>
      <c r="M87" s="2867"/>
      <c r="O87" s="2922"/>
      <c r="P87" s="2867"/>
      <c r="Q87" s="2867"/>
      <c r="T87" s="2867"/>
      <c r="U87" s="2867"/>
      <c r="V87" s="2939"/>
      <c r="W87" s="2939"/>
      <c r="X87" s="2867"/>
      <c r="Y87" s="2867"/>
      <c r="Z87" s="2867"/>
      <c r="AA87" s="2867"/>
      <c r="AB87" s="2867"/>
      <c r="AC87" s="2867"/>
      <c r="AD87" s="2867"/>
      <c r="AE87" s="2867"/>
      <c r="AF87" s="2867"/>
      <c r="AG87" s="2867"/>
      <c r="AH87" s="2867"/>
      <c r="AI87" s="2867"/>
      <c r="AJ87" s="2867"/>
      <c r="AK87" s="2867"/>
      <c r="AL87" s="2867"/>
      <c r="AM87" s="2867"/>
      <c r="AN87" s="2867"/>
      <c r="AO87" s="2867"/>
      <c r="AP87" s="2867"/>
      <c r="AQ87" s="2867"/>
      <c r="AR87" s="2867"/>
      <c r="AS87" s="2867"/>
      <c r="AT87" s="2867"/>
      <c r="AU87" s="2867"/>
      <c r="AV87" s="2867"/>
      <c r="AW87" s="2867"/>
      <c r="AX87" s="2867"/>
      <c r="AY87" s="2867"/>
      <c r="AZ87" s="2867"/>
      <c r="BA87" s="2867"/>
      <c r="BB87" s="2867"/>
      <c r="BC87" s="2867"/>
      <c r="BD87" s="2867"/>
      <c r="BE87" s="2867"/>
      <c r="BF87" s="2867"/>
      <c r="BG87" s="2867"/>
      <c r="BH87" s="2867"/>
      <c r="BI87" s="2867"/>
      <c r="BJ87" s="2867"/>
      <c r="BK87" s="2867"/>
      <c r="BL87" s="2867"/>
      <c r="BM87" s="2867"/>
      <c r="BN87" s="2867"/>
      <c r="BO87" s="2867"/>
      <c r="BP87" s="2867"/>
      <c r="BQ87" s="2867"/>
      <c r="BR87" s="2867"/>
      <c r="BS87" s="2867"/>
      <c r="BT87" s="2867"/>
      <c r="BU87" s="2867"/>
      <c r="BV87" s="2867"/>
      <c r="BW87" s="2867"/>
      <c r="BX87" s="2867"/>
      <c r="BY87" s="2867"/>
      <c r="BZ87" s="2867"/>
      <c r="CA87" s="2867"/>
      <c r="CB87" s="2867"/>
      <c r="CC87" s="2867"/>
      <c r="CD87" s="2867"/>
      <c r="CE87" s="2867"/>
      <c r="CF87" s="2867"/>
      <c r="CG87" s="2867"/>
      <c r="CH87" s="2867"/>
      <c r="CI87" s="2867"/>
      <c r="CJ87" s="2867"/>
      <c r="CK87" s="2867"/>
      <c r="CL87" s="2867"/>
      <c r="CM87" s="2867"/>
      <c r="CN87" s="2867"/>
      <c r="CO87" s="2867"/>
      <c r="CP87" s="2867"/>
      <c r="CQ87" s="2867"/>
      <c r="CR87" s="2867"/>
      <c r="CS87" s="2867"/>
      <c r="CT87" s="2867"/>
      <c r="CU87" s="2867"/>
      <c r="CV87" s="2867"/>
      <c r="CW87" s="2867"/>
    </row>
    <row r="88" spans="1:101">
      <c r="A88" s="2922"/>
      <c r="B88" s="2867"/>
      <c r="C88" s="2910"/>
      <c r="D88" s="2867"/>
      <c r="E88" s="2885"/>
      <c r="F88" s="2885"/>
      <c r="G88" s="2885"/>
      <c r="H88" s="2867"/>
      <c r="I88" s="2867"/>
      <c r="J88" s="2867"/>
      <c r="K88" s="2867"/>
      <c r="L88" s="2867"/>
      <c r="M88" s="2867"/>
      <c r="O88" s="2922"/>
      <c r="P88" s="2910"/>
      <c r="Q88" s="2867"/>
      <c r="T88" s="2867"/>
      <c r="U88" s="2867"/>
      <c r="V88" s="2867"/>
      <c r="W88" s="2867"/>
      <c r="X88" s="2867"/>
      <c r="Y88" s="2867"/>
      <c r="Z88" s="2867"/>
      <c r="AA88" s="2867"/>
      <c r="AB88" s="2867"/>
      <c r="AC88" s="2867"/>
      <c r="AD88" s="2867"/>
      <c r="AE88" s="2867"/>
      <c r="AF88" s="2867"/>
      <c r="AG88" s="2867"/>
      <c r="AH88" s="2940"/>
      <c r="AI88" s="2922"/>
      <c r="AJ88" s="2935"/>
      <c r="AK88" s="2910"/>
      <c r="AL88" s="2867"/>
      <c r="AM88" s="2867"/>
      <c r="AN88" s="2867"/>
      <c r="AO88" s="2870"/>
      <c r="AP88" s="2941"/>
      <c r="AQ88" s="2885"/>
      <c r="AR88" s="2870"/>
      <c r="AS88" s="2870"/>
      <c r="AT88" s="2867"/>
      <c r="AU88" s="2867"/>
      <c r="AV88" s="2867"/>
      <c r="AW88" s="2867"/>
      <c r="AX88" s="2867"/>
      <c r="AY88" s="2867"/>
      <c r="AZ88" s="2867"/>
      <c r="BA88" s="2867"/>
      <c r="BB88" s="2867"/>
      <c r="BC88" s="2867"/>
      <c r="BD88" s="2867"/>
      <c r="BE88" s="2867"/>
      <c r="BF88" s="2867"/>
      <c r="BG88" s="2867"/>
      <c r="BH88" s="2867"/>
      <c r="BI88" s="2867"/>
      <c r="BJ88" s="2867"/>
      <c r="BK88" s="2867"/>
      <c r="BL88" s="2867"/>
      <c r="BM88" s="2867"/>
      <c r="BN88" s="2867"/>
      <c r="BO88" s="2867"/>
      <c r="BP88" s="2867"/>
      <c r="BQ88" s="2867"/>
      <c r="BR88" s="2867"/>
      <c r="BS88" s="2867"/>
      <c r="BT88" s="2867"/>
      <c r="BU88" s="2867"/>
      <c r="BV88" s="2867"/>
      <c r="BW88" s="2867"/>
      <c r="BX88" s="2867"/>
      <c r="BY88" s="2867"/>
      <c r="BZ88" s="2867"/>
      <c r="CA88" s="2867"/>
      <c r="CB88" s="2867"/>
      <c r="CC88" s="2867"/>
      <c r="CD88" s="2867"/>
      <c r="CE88" s="2867"/>
      <c r="CF88" s="2867"/>
      <c r="CG88" s="2867"/>
      <c r="CH88" s="2867"/>
      <c r="CI88" s="2867"/>
      <c r="CJ88" s="2867"/>
      <c r="CK88" s="2867"/>
      <c r="CL88" s="2867"/>
      <c r="CM88" s="2867"/>
      <c r="CN88" s="2867"/>
      <c r="CO88" s="2867"/>
      <c r="CP88" s="2867"/>
      <c r="CQ88" s="2867"/>
      <c r="CR88" s="2867"/>
      <c r="CS88" s="2867"/>
      <c r="CT88" s="2867"/>
      <c r="CU88" s="2867"/>
      <c r="CV88" s="2867"/>
      <c r="CW88" s="2867"/>
    </row>
    <row r="89" spans="1:101">
      <c r="A89" s="2922"/>
      <c r="B89" s="2867"/>
      <c r="C89" s="2910"/>
      <c r="D89" s="2867"/>
      <c r="E89" s="2885"/>
      <c r="F89" s="2885"/>
      <c r="G89" s="2885"/>
      <c r="H89" s="2867"/>
      <c r="I89" s="2867"/>
      <c r="J89" s="2867"/>
      <c r="K89" s="2867"/>
      <c r="L89" s="2867"/>
      <c r="M89" s="2867"/>
      <c r="O89" s="2922"/>
      <c r="P89" s="2910"/>
      <c r="Q89" s="2867"/>
      <c r="T89" s="2867"/>
      <c r="U89" s="2870"/>
      <c r="V89" s="2870"/>
      <c r="W89" s="2870"/>
      <c r="X89" s="2867"/>
      <c r="Y89" s="2867"/>
      <c r="Z89" s="2867"/>
      <c r="AA89" s="2867"/>
      <c r="AB89" s="2867"/>
      <c r="AC89" s="2867"/>
      <c r="AD89" s="2867"/>
      <c r="AE89" s="2867"/>
      <c r="AF89" s="2867"/>
      <c r="AG89" s="2867"/>
      <c r="AH89" s="2940"/>
      <c r="AI89" s="2922"/>
      <c r="AJ89" s="2935"/>
      <c r="AK89" s="2910"/>
      <c r="AL89" s="2867"/>
      <c r="AM89" s="2867"/>
      <c r="AN89" s="2867"/>
      <c r="AO89" s="2870"/>
      <c r="AP89" s="2867"/>
      <c r="AQ89" s="2885"/>
      <c r="AR89" s="2870"/>
      <c r="AS89" s="2870"/>
      <c r="AT89" s="2867"/>
      <c r="AU89" s="2867"/>
      <c r="AV89" s="2867"/>
      <c r="AW89" s="2867"/>
      <c r="AX89" s="2867"/>
      <c r="AY89" s="2867"/>
      <c r="AZ89" s="2867"/>
      <c r="BA89" s="2867"/>
      <c r="BB89" s="2867"/>
      <c r="BC89" s="2867"/>
      <c r="BD89" s="2867"/>
      <c r="BE89" s="2867"/>
      <c r="BF89" s="2867"/>
      <c r="BG89" s="2867"/>
      <c r="BH89" s="2867"/>
      <c r="BI89" s="2867"/>
      <c r="BJ89" s="2867"/>
      <c r="BK89" s="2867"/>
      <c r="BL89" s="2867"/>
      <c r="BM89" s="2867"/>
      <c r="BN89" s="2867"/>
      <c r="BO89" s="2867"/>
      <c r="BP89" s="2867"/>
      <c r="BQ89" s="2867"/>
      <c r="BR89" s="2867"/>
      <c r="BS89" s="2867"/>
      <c r="BT89" s="2867"/>
      <c r="BU89" s="2867"/>
      <c r="BV89" s="2867"/>
      <c r="BW89" s="2867"/>
      <c r="BX89" s="2867"/>
      <c r="BY89" s="2867"/>
      <c r="BZ89" s="2867"/>
      <c r="CA89" s="2867"/>
      <c r="CB89" s="2867"/>
      <c r="CC89" s="2867"/>
      <c r="CD89" s="2867"/>
      <c r="CE89" s="2867"/>
      <c r="CF89" s="2867"/>
      <c r="CG89" s="2867"/>
      <c r="CH89" s="2867"/>
      <c r="CI89" s="2867"/>
      <c r="CJ89" s="2867"/>
      <c r="CK89" s="2867"/>
      <c r="CL89" s="2867"/>
      <c r="CM89" s="2867"/>
      <c r="CN89" s="2867"/>
      <c r="CO89" s="2867"/>
      <c r="CP89" s="2867"/>
      <c r="CQ89" s="2867"/>
      <c r="CR89" s="2867"/>
      <c r="CS89" s="2867"/>
      <c r="CT89" s="2867"/>
      <c r="CU89" s="2867"/>
      <c r="CV89" s="2867"/>
      <c r="CW89" s="2867"/>
    </row>
    <row r="90" spans="1:101">
      <c r="A90" s="2922"/>
      <c r="B90" s="2867"/>
      <c r="C90" s="2910"/>
      <c r="D90" s="2867"/>
      <c r="E90" s="2870"/>
      <c r="F90" s="2870"/>
      <c r="G90" s="2870"/>
      <c r="H90" s="2867"/>
      <c r="I90" s="2867"/>
      <c r="J90" s="2867"/>
      <c r="K90" s="2867"/>
      <c r="L90" s="2867"/>
      <c r="M90" s="2867"/>
      <c r="O90" s="2922"/>
      <c r="P90" s="2910"/>
      <c r="Q90" s="2867"/>
      <c r="T90" s="2867"/>
      <c r="U90" s="2870"/>
      <c r="V90" s="2870"/>
      <c r="W90" s="2870"/>
      <c r="X90" s="2867"/>
      <c r="Y90" s="2867"/>
      <c r="Z90" s="2867"/>
      <c r="AA90" s="2867"/>
      <c r="AB90" s="2867"/>
      <c r="AC90" s="2867"/>
      <c r="AD90" s="2867"/>
      <c r="AE90" s="2867"/>
      <c r="AF90" s="2867"/>
      <c r="AG90" s="2867"/>
      <c r="AH90" s="2867"/>
      <c r="AI90" s="2867"/>
      <c r="AJ90" s="2867"/>
      <c r="AK90" s="2867"/>
      <c r="AL90" s="2867"/>
      <c r="AM90" s="2867"/>
      <c r="AN90" s="2867"/>
      <c r="AO90" s="2867"/>
      <c r="AP90" s="2867"/>
      <c r="AQ90" s="2942"/>
      <c r="AR90" s="2942"/>
      <c r="AS90" s="2942"/>
      <c r="AT90" s="2867"/>
      <c r="AU90" s="2867"/>
      <c r="AV90" s="2867"/>
      <c r="AW90" s="2867"/>
      <c r="AX90" s="2867"/>
      <c r="AY90" s="2867"/>
      <c r="AZ90" s="2867"/>
      <c r="BA90" s="2867"/>
      <c r="BB90" s="2867"/>
      <c r="BC90" s="2867"/>
      <c r="BD90" s="2867"/>
      <c r="BE90" s="2867"/>
      <c r="BF90" s="2867"/>
      <c r="BG90" s="2867"/>
      <c r="BH90" s="2867"/>
      <c r="BI90" s="2867"/>
      <c r="BJ90" s="2867"/>
      <c r="BK90" s="2867"/>
      <c r="BL90" s="2867"/>
      <c r="BM90" s="2867"/>
      <c r="BN90" s="2867"/>
      <c r="BO90" s="2867"/>
      <c r="BP90" s="2867"/>
      <c r="BQ90" s="2867"/>
      <c r="BR90" s="2867"/>
      <c r="BS90" s="2867"/>
      <c r="BT90" s="2867"/>
      <c r="BU90" s="2867"/>
      <c r="BV90" s="2867"/>
      <c r="BW90" s="2867"/>
      <c r="BX90" s="2867"/>
      <c r="BY90" s="2867"/>
      <c r="BZ90" s="2867"/>
      <c r="CA90" s="2867"/>
      <c r="CB90" s="2867"/>
      <c r="CC90" s="2867"/>
      <c r="CD90" s="2867"/>
      <c r="CE90" s="2867"/>
      <c r="CF90" s="2867"/>
      <c r="CG90" s="2867"/>
      <c r="CH90" s="2867"/>
      <c r="CI90" s="2867"/>
      <c r="CJ90" s="2867"/>
      <c r="CK90" s="2867"/>
      <c r="CL90" s="2867"/>
      <c r="CM90" s="2867"/>
      <c r="CN90" s="2867"/>
      <c r="CO90" s="2867"/>
      <c r="CP90" s="2867"/>
      <c r="CQ90" s="2867"/>
      <c r="CR90" s="2867"/>
      <c r="CS90" s="2867"/>
      <c r="CT90" s="2867"/>
      <c r="CU90" s="2867"/>
      <c r="CV90" s="2867"/>
      <c r="CW90" s="2867"/>
    </row>
    <row r="91" spans="1:101">
      <c r="A91" s="2922"/>
      <c r="B91" s="2884"/>
      <c r="C91" s="2867"/>
      <c r="D91" s="2867"/>
      <c r="E91" s="2939"/>
      <c r="F91" s="2939"/>
      <c r="G91" s="2939"/>
      <c r="H91" s="2867"/>
      <c r="I91" s="2867"/>
      <c r="J91" s="2867"/>
      <c r="K91" s="2867"/>
      <c r="L91" s="2867"/>
      <c r="M91" s="2867"/>
      <c r="O91" s="2922"/>
      <c r="P91" s="2910"/>
      <c r="Q91" s="2867"/>
      <c r="T91" s="2867"/>
      <c r="U91" s="2870"/>
      <c r="V91" s="2870"/>
      <c r="W91" s="2870"/>
      <c r="X91" s="2867"/>
      <c r="Y91" s="2867"/>
      <c r="Z91" s="2867"/>
      <c r="AA91" s="2867"/>
      <c r="AB91" s="2867"/>
      <c r="AC91" s="2867"/>
      <c r="AD91" s="2867"/>
      <c r="AE91" s="2867"/>
      <c r="AF91" s="2867"/>
      <c r="AG91" s="2867"/>
      <c r="AH91" s="2867"/>
      <c r="AI91" s="2922"/>
      <c r="AJ91" s="2867"/>
      <c r="AK91" s="2910"/>
      <c r="AL91" s="2867"/>
      <c r="AM91" s="2867"/>
      <c r="AN91" s="2867"/>
      <c r="AO91" s="2867"/>
      <c r="AP91" s="2867"/>
      <c r="AQ91" s="2870"/>
      <c r="AR91" s="2870"/>
      <c r="AS91" s="2870"/>
      <c r="AT91" s="2867"/>
      <c r="AU91" s="2867"/>
      <c r="AV91" s="2867"/>
      <c r="AW91" s="2867"/>
      <c r="AX91" s="2867"/>
      <c r="AY91" s="2867"/>
      <c r="AZ91" s="2867"/>
      <c r="BA91" s="2867"/>
      <c r="BB91" s="2867"/>
      <c r="BC91" s="2867"/>
      <c r="BD91" s="2867"/>
      <c r="BE91" s="2867"/>
      <c r="BF91" s="2867"/>
      <c r="BG91" s="2867"/>
      <c r="BH91" s="2867"/>
      <c r="BI91" s="2867"/>
      <c r="BJ91" s="2867"/>
      <c r="BK91" s="2867"/>
      <c r="BL91" s="2867"/>
      <c r="BM91" s="2867"/>
      <c r="BN91" s="2867"/>
      <c r="BO91" s="2867"/>
      <c r="BP91" s="2867"/>
      <c r="BQ91" s="2867"/>
      <c r="BR91" s="2867"/>
      <c r="BS91" s="2867"/>
      <c r="BT91" s="2867"/>
      <c r="BU91" s="2867"/>
      <c r="BV91" s="2867"/>
      <c r="BW91" s="2867"/>
      <c r="BX91" s="2867"/>
      <c r="BY91" s="2867"/>
      <c r="BZ91" s="2867"/>
      <c r="CA91" s="2867"/>
      <c r="CB91" s="2867"/>
      <c r="CC91" s="2867"/>
      <c r="CD91" s="2867"/>
      <c r="CE91" s="2867"/>
      <c r="CF91" s="2867"/>
      <c r="CG91" s="2867"/>
      <c r="CH91" s="2867"/>
      <c r="CI91" s="2867"/>
      <c r="CJ91" s="2867"/>
      <c r="CK91" s="2867"/>
      <c r="CL91" s="2867"/>
      <c r="CM91" s="2867"/>
      <c r="CN91" s="2867"/>
      <c r="CO91" s="2867"/>
      <c r="CP91" s="2867"/>
      <c r="CQ91" s="2867"/>
      <c r="CR91" s="2867"/>
      <c r="CS91" s="2867"/>
      <c r="CT91" s="2867"/>
      <c r="CU91" s="2867"/>
      <c r="CV91" s="2867"/>
      <c r="CW91" s="2867"/>
    </row>
    <row r="92" spans="1:101">
      <c r="A92" s="2922"/>
      <c r="B92" s="2867"/>
      <c r="C92" s="2910"/>
      <c r="D92" s="2867"/>
      <c r="E92" s="2867"/>
      <c r="F92" s="2867"/>
      <c r="G92" s="2867"/>
      <c r="H92" s="2867"/>
      <c r="I92" s="2867"/>
      <c r="J92" s="2867"/>
      <c r="K92" s="2867"/>
      <c r="L92" s="2867"/>
      <c r="M92" s="2867"/>
      <c r="O92" s="2922"/>
      <c r="P92" s="2910"/>
      <c r="Q92" s="2867"/>
      <c r="T92" s="2867"/>
      <c r="U92" s="2870"/>
      <c r="V92" s="2870"/>
      <c r="W92" s="2870"/>
      <c r="X92" s="2867"/>
      <c r="Y92" s="2867"/>
      <c r="Z92" s="2867"/>
      <c r="AA92" s="2867"/>
      <c r="AB92" s="2867"/>
      <c r="AC92" s="2867"/>
      <c r="AD92" s="2867"/>
      <c r="AE92" s="2867"/>
      <c r="AF92" s="2867"/>
      <c r="AG92" s="2867"/>
      <c r="AH92" s="2867"/>
      <c r="AI92" s="2867"/>
      <c r="AJ92" s="2867"/>
      <c r="AK92" s="2867"/>
      <c r="AL92" s="2867"/>
      <c r="AM92" s="2867"/>
      <c r="AN92" s="2867"/>
      <c r="AO92" s="2867"/>
      <c r="AP92" s="2867"/>
      <c r="AQ92" s="2942"/>
      <c r="AR92" s="2942"/>
      <c r="AS92" s="2939"/>
      <c r="AT92" s="2867"/>
      <c r="AU92" s="2867"/>
      <c r="AV92" s="2867"/>
      <c r="AW92" s="2867"/>
      <c r="AX92" s="2867"/>
      <c r="AY92" s="2867"/>
      <c r="AZ92" s="2867"/>
      <c r="BA92" s="2867"/>
      <c r="BB92" s="2867"/>
      <c r="BC92" s="2867"/>
      <c r="BD92" s="2867"/>
      <c r="BE92" s="2867"/>
      <c r="BF92" s="2867"/>
      <c r="BG92" s="2867"/>
      <c r="BH92" s="2867"/>
      <c r="BI92" s="2867"/>
      <c r="BJ92" s="2867"/>
      <c r="BK92" s="2867"/>
      <c r="BL92" s="2867"/>
      <c r="BM92" s="2867"/>
      <c r="BN92" s="2867"/>
      <c r="BO92" s="2867"/>
      <c r="BP92" s="2867"/>
      <c r="BQ92" s="2867"/>
      <c r="BR92" s="2867"/>
      <c r="BS92" s="2867"/>
      <c r="BT92" s="2867"/>
      <c r="BU92" s="2867"/>
      <c r="BV92" s="2867"/>
      <c r="BW92" s="2867"/>
      <c r="BX92" s="2867"/>
      <c r="BY92" s="2867"/>
      <c r="BZ92" s="2867"/>
      <c r="CA92" s="2867"/>
      <c r="CB92" s="2867"/>
      <c r="CC92" s="2867"/>
      <c r="CD92" s="2867"/>
      <c r="CE92" s="2867"/>
      <c r="CF92" s="2867"/>
      <c r="CG92" s="2867"/>
      <c r="CH92" s="2867"/>
      <c r="CI92" s="2867"/>
      <c r="CJ92" s="2867"/>
      <c r="CK92" s="2867"/>
      <c r="CL92" s="2867"/>
      <c r="CM92" s="2867"/>
      <c r="CN92" s="2867"/>
      <c r="CO92" s="2867"/>
      <c r="CP92" s="2867"/>
      <c r="CQ92" s="2867"/>
      <c r="CR92" s="2867"/>
      <c r="CS92" s="2867"/>
      <c r="CT92" s="2867"/>
      <c r="CU92" s="2867"/>
      <c r="CV92" s="2867"/>
      <c r="CW92" s="2867"/>
    </row>
    <row r="93" spans="1:101">
      <c r="A93" s="2922"/>
      <c r="B93" s="2867"/>
      <c r="C93" s="2910"/>
      <c r="D93" s="2867"/>
      <c r="E93" s="2885"/>
      <c r="F93" s="2885"/>
      <c r="G93" s="2885"/>
      <c r="H93" s="2867"/>
      <c r="I93" s="2867"/>
      <c r="J93" s="2867"/>
      <c r="K93" s="2867"/>
      <c r="L93" s="2867"/>
      <c r="M93" s="2867"/>
      <c r="O93" s="2922"/>
      <c r="P93" s="2910"/>
      <c r="Q93" s="2867"/>
      <c r="T93" s="2867"/>
      <c r="U93" s="2870"/>
      <c r="V93" s="2870"/>
      <c r="W93" s="2870"/>
      <c r="X93" s="2867"/>
      <c r="Y93" s="2867"/>
      <c r="Z93" s="2867"/>
      <c r="AA93" s="2867"/>
      <c r="AB93" s="2867"/>
      <c r="AC93" s="2867"/>
      <c r="AD93" s="2867"/>
      <c r="AE93" s="2867"/>
      <c r="AF93" s="2867"/>
      <c r="AG93" s="2867"/>
      <c r="AH93" s="2940"/>
      <c r="AI93" s="2922"/>
      <c r="AJ93" s="2935"/>
      <c r="AK93" s="2910"/>
      <c r="AL93" s="2867"/>
      <c r="AM93" s="2867"/>
      <c r="AN93" s="2867"/>
      <c r="AO93" s="2870"/>
      <c r="AP93" s="2941"/>
      <c r="AQ93" s="2885"/>
      <c r="AR93" s="2870"/>
      <c r="AS93" s="2870"/>
      <c r="AT93" s="2867"/>
      <c r="AU93" s="2867"/>
      <c r="AV93" s="2867"/>
      <c r="AW93" s="2867"/>
      <c r="AX93" s="2867"/>
      <c r="AY93" s="2867"/>
      <c r="AZ93" s="2867"/>
      <c r="BA93" s="2867"/>
      <c r="BB93" s="2867"/>
      <c r="BC93" s="2867"/>
      <c r="BD93" s="2867"/>
      <c r="BE93" s="2867"/>
      <c r="BF93" s="2867"/>
      <c r="BG93" s="2867"/>
      <c r="BH93" s="2867"/>
      <c r="BI93" s="2867"/>
      <c r="BJ93" s="2867"/>
      <c r="BK93" s="2867"/>
      <c r="BL93" s="2867"/>
      <c r="BM93" s="2867"/>
      <c r="BN93" s="2867"/>
      <c r="BO93" s="2867"/>
      <c r="BP93" s="2867"/>
      <c r="BQ93" s="2867"/>
      <c r="BR93" s="2867"/>
      <c r="BS93" s="2867"/>
      <c r="BT93" s="2867"/>
      <c r="BU93" s="2867"/>
      <c r="BV93" s="2867"/>
      <c r="BW93" s="2867"/>
      <c r="BX93" s="2867"/>
      <c r="BY93" s="2867"/>
      <c r="BZ93" s="2867"/>
      <c r="CA93" s="2867"/>
      <c r="CB93" s="2867"/>
      <c r="CC93" s="2867"/>
      <c r="CD93" s="2867"/>
      <c r="CE93" s="2867"/>
      <c r="CF93" s="2867"/>
      <c r="CG93" s="2867"/>
      <c r="CH93" s="2867"/>
      <c r="CI93" s="2867"/>
      <c r="CJ93" s="2867"/>
      <c r="CK93" s="2867"/>
      <c r="CL93" s="2867"/>
      <c r="CM93" s="2867"/>
      <c r="CN93" s="2867"/>
      <c r="CO93" s="2867"/>
      <c r="CP93" s="2867"/>
      <c r="CQ93" s="2867"/>
      <c r="CR93" s="2867"/>
      <c r="CS93" s="2867"/>
      <c r="CT93" s="2867"/>
      <c r="CU93" s="2867"/>
      <c r="CV93" s="2867"/>
      <c r="CW93" s="2867"/>
    </row>
    <row r="94" spans="1:101">
      <c r="A94" s="2922"/>
      <c r="B94" s="2867"/>
      <c r="C94" s="2910"/>
      <c r="D94" s="2867"/>
      <c r="E94" s="2885"/>
      <c r="F94" s="2885"/>
      <c r="G94" s="2885"/>
      <c r="H94" s="2867"/>
      <c r="I94" s="2867"/>
      <c r="J94" s="2867"/>
      <c r="K94" s="2867"/>
      <c r="L94" s="2867"/>
      <c r="M94" s="2867"/>
      <c r="O94" s="2922"/>
      <c r="P94" s="2910"/>
      <c r="Q94" s="2867"/>
      <c r="T94" s="2867"/>
      <c r="U94" s="2870"/>
      <c r="V94" s="2870"/>
      <c r="W94" s="2870"/>
      <c r="X94" s="2867"/>
      <c r="Y94" s="2867"/>
      <c r="Z94" s="2867"/>
      <c r="AA94" s="2867"/>
      <c r="AB94" s="2867"/>
      <c r="AC94" s="2867"/>
      <c r="AD94" s="2867"/>
      <c r="AE94" s="2867"/>
      <c r="AF94" s="2867"/>
      <c r="AG94" s="2867"/>
      <c r="AH94" s="2940"/>
      <c r="AI94" s="2922"/>
      <c r="AJ94" s="2935"/>
      <c r="AK94" s="2910"/>
      <c r="AL94" s="2867"/>
      <c r="AM94" s="2867"/>
      <c r="AN94" s="2867"/>
      <c r="AO94" s="2870"/>
      <c r="AP94" s="2941"/>
      <c r="AQ94" s="2885"/>
      <c r="AR94" s="2870"/>
      <c r="AS94" s="2870"/>
      <c r="AT94" s="2867"/>
      <c r="AU94" s="2867"/>
      <c r="AV94" s="2867"/>
      <c r="AW94" s="2867"/>
      <c r="AX94" s="2867"/>
      <c r="AY94" s="2867"/>
      <c r="AZ94" s="2867"/>
      <c r="BA94" s="2867"/>
      <c r="BB94" s="2867"/>
      <c r="BC94" s="2867"/>
      <c r="BD94" s="2867"/>
      <c r="BE94" s="2867"/>
      <c r="BF94" s="2867"/>
      <c r="BG94" s="2867"/>
      <c r="BH94" s="2867"/>
      <c r="BI94" s="2867"/>
      <c r="BJ94" s="2867"/>
      <c r="BK94" s="2867"/>
      <c r="BL94" s="2867"/>
      <c r="BM94" s="2867"/>
      <c r="BN94" s="2867"/>
      <c r="BO94" s="2867"/>
      <c r="BP94" s="2867"/>
      <c r="BQ94" s="2867"/>
      <c r="BR94" s="2867"/>
      <c r="BS94" s="2867"/>
      <c r="BT94" s="2867"/>
      <c r="BU94" s="2867"/>
      <c r="BV94" s="2867"/>
      <c r="BW94" s="2867"/>
      <c r="BX94" s="2867"/>
      <c r="BY94" s="2867"/>
      <c r="BZ94" s="2867"/>
      <c r="CA94" s="2867"/>
      <c r="CB94" s="2867"/>
      <c r="CC94" s="2867"/>
      <c r="CD94" s="2867"/>
      <c r="CE94" s="2867"/>
      <c r="CF94" s="2867"/>
      <c r="CG94" s="2867"/>
      <c r="CH94" s="2867"/>
      <c r="CI94" s="2867"/>
      <c r="CJ94" s="2867"/>
      <c r="CK94" s="2867"/>
      <c r="CL94" s="2867"/>
      <c r="CM94" s="2867"/>
      <c r="CN94" s="2867"/>
      <c r="CO94" s="2867"/>
      <c r="CP94" s="2867"/>
      <c r="CQ94" s="2867"/>
      <c r="CR94" s="2867"/>
      <c r="CS94" s="2867"/>
      <c r="CT94" s="2867"/>
      <c r="CU94" s="2867"/>
      <c r="CV94" s="2867"/>
      <c r="CW94" s="2867"/>
    </row>
    <row r="95" spans="1:101">
      <c r="A95" s="2922"/>
      <c r="B95" s="2867"/>
      <c r="C95" s="2910"/>
      <c r="D95" s="2867"/>
      <c r="E95" s="2885"/>
      <c r="F95" s="2885"/>
      <c r="G95" s="2885"/>
      <c r="H95" s="2867"/>
      <c r="I95" s="2867"/>
      <c r="J95" s="2867"/>
      <c r="K95" s="2867"/>
      <c r="L95" s="2867"/>
      <c r="M95" s="2867"/>
      <c r="O95" s="2922"/>
      <c r="P95" s="2910"/>
      <c r="Q95" s="2867"/>
      <c r="T95" s="2867"/>
      <c r="U95" s="2870"/>
      <c r="V95" s="2870"/>
      <c r="W95" s="2870"/>
      <c r="X95" s="2867"/>
      <c r="Y95" s="2867"/>
      <c r="Z95" s="2867"/>
      <c r="AA95" s="2867"/>
      <c r="AB95" s="2867"/>
      <c r="AC95" s="2867"/>
      <c r="AD95" s="2867"/>
      <c r="AE95" s="2867"/>
      <c r="AF95" s="2867"/>
      <c r="AG95" s="2867"/>
      <c r="AH95" s="2940"/>
      <c r="AI95" s="2922"/>
      <c r="AJ95" s="2935"/>
      <c r="AK95" s="2935"/>
      <c r="AL95" s="2867"/>
      <c r="AM95" s="2867"/>
      <c r="AN95" s="2867"/>
      <c r="AO95" s="2870"/>
      <c r="AP95" s="2941"/>
      <c r="AQ95" s="2885"/>
      <c r="AR95" s="2870"/>
      <c r="AS95" s="2870"/>
      <c r="AT95" s="2867"/>
      <c r="AU95" s="2867"/>
      <c r="AV95" s="2867"/>
      <c r="AW95" s="2867"/>
      <c r="AX95" s="2867"/>
      <c r="AY95" s="2867"/>
      <c r="AZ95" s="2867"/>
      <c r="BA95" s="2867"/>
      <c r="BB95" s="2867"/>
      <c r="BC95" s="2867"/>
      <c r="BD95" s="2867"/>
      <c r="BE95" s="2867"/>
      <c r="BF95" s="2867"/>
      <c r="BG95" s="2867"/>
      <c r="BH95" s="2867"/>
      <c r="BI95" s="2867"/>
      <c r="BJ95" s="2867"/>
      <c r="BK95" s="2867"/>
      <c r="BL95" s="2867"/>
      <c r="BM95" s="2867"/>
      <c r="BN95" s="2867"/>
      <c r="BO95" s="2867"/>
      <c r="BP95" s="2867"/>
      <c r="BQ95" s="2867"/>
      <c r="BR95" s="2867"/>
      <c r="BS95" s="2867"/>
      <c r="BT95" s="2867"/>
      <c r="BU95" s="2867"/>
      <c r="BV95" s="2867"/>
      <c r="BW95" s="2867"/>
      <c r="BX95" s="2867"/>
      <c r="BY95" s="2867"/>
      <c r="BZ95" s="2867"/>
      <c r="CA95" s="2867"/>
      <c r="CB95" s="2867"/>
      <c r="CC95" s="2867"/>
      <c r="CD95" s="2867"/>
      <c r="CE95" s="2867"/>
      <c r="CF95" s="2867"/>
      <c r="CG95" s="2867"/>
      <c r="CH95" s="2867"/>
      <c r="CI95" s="2867"/>
      <c r="CJ95" s="2867"/>
      <c r="CK95" s="2867"/>
      <c r="CL95" s="2867"/>
      <c r="CM95" s="2867"/>
      <c r="CN95" s="2867"/>
      <c r="CO95" s="2867"/>
      <c r="CP95" s="2867"/>
      <c r="CQ95" s="2867"/>
      <c r="CR95" s="2867"/>
      <c r="CS95" s="2867"/>
      <c r="CT95" s="2867"/>
      <c r="CU95" s="2867"/>
      <c r="CV95" s="2867"/>
      <c r="CW95" s="2867"/>
    </row>
    <row r="96" spans="1:101">
      <c r="A96" s="2922"/>
      <c r="B96" s="2867"/>
      <c r="C96" s="2910"/>
      <c r="D96" s="2867"/>
      <c r="E96" s="2885"/>
      <c r="F96" s="2885"/>
      <c r="G96" s="2885"/>
      <c r="H96" s="2867"/>
      <c r="I96" s="2867"/>
      <c r="J96" s="2867"/>
      <c r="K96" s="2867"/>
      <c r="L96" s="2867"/>
      <c r="M96" s="2867"/>
      <c r="O96" s="2922"/>
      <c r="P96" s="2867"/>
      <c r="Q96" s="2867"/>
      <c r="T96" s="2867"/>
      <c r="U96" s="2870"/>
      <c r="V96" s="2939"/>
      <c r="W96" s="2939"/>
      <c r="X96" s="2867"/>
      <c r="Y96" s="2867"/>
      <c r="Z96" s="2867"/>
      <c r="AA96" s="2867"/>
      <c r="AB96" s="2867"/>
      <c r="AC96" s="2867"/>
      <c r="AD96" s="2867"/>
      <c r="AE96" s="2867"/>
      <c r="AF96" s="2867"/>
      <c r="AG96" s="2867"/>
      <c r="AH96" s="2940"/>
      <c r="AI96" s="2922"/>
      <c r="AJ96" s="2935"/>
      <c r="AK96" s="2935"/>
      <c r="AL96" s="2867"/>
      <c r="AM96" s="2867"/>
      <c r="AN96" s="2867"/>
      <c r="AO96" s="2870"/>
      <c r="AP96" s="2941"/>
      <c r="AQ96" s="2885"/>
      <c r="AR96" s="2870"/>
      <c r="AS96" s="2870"/>
      <c r="AT96" s="2867"/>
      <c r="AU96" s="2867"/>
      <c r="AV96" s="2867"/>
      <c r="AW96" s="2867"/>
      <c r="AX96" s="2867"/>
      <c r="AY96" s="2867"/>
      <c r="AZ96" s="2867"/>
      <c r="BA96" s="2867"/>
      <c r="BB96" s="2867"/>
      <c r="BC96" s="2867"/>
      <c r="BD96" s="2867"/>
      <c r="BE96" s="2867"/>
      <c r="BF96" s="2867"/>
      <c r="BG96" s="2867"/>
      <c r="BH96" s="2867"/>
      <c r="BI96" s="2867"/>
      <c r="BJ96" s="2867"/>
      <c r="BK96" s="2867"/>
      <c r="BL96" s="2867"/>
      <c r="BM96" s="2867"/>
      <c r="BN96" s="2867"/>
      <c r="BO96" s="2867"/>
      <c r="BP96" s="2867"/>
      <c r="BQ96" s="2867"/>
      <c r="BR96" s="2867"/>
      <c r="BS96" s="2867"/>
      <c r="BT96" s="2867"/>
      <c r="BU96" s="2867"/>
      <c r="BV96" s="2867"/>
      <c r="BW96" s="2867"/>
      <c r="BX96" s="2867"/>
      <c r="BY96" s="2867"/>
      <c r="BZ96" s="2867"/>
      <c r="CA96" s="2867"/>
      <c r="CB96" s="2867"/>
      <c r="CC96" s="2867"/>
      <c r="CD96" s="2867"/>
      <c r="CE96" s="2867"/>
      <c r="CF96" s="2867"/>
      <c r="CG96" s="2867"/>
      <c r="CH96" s="2867"/>
      <c r="CI96" s="2867"/>
      <c r="CJ96" s="2867"/>
      <c r="CK96" s="2867"/>
      <c r="CL96" s="2867"/>
      <c r="CM96" s="2867"/>
      <c r="CN96" s="2867"/>
      <c r="CO96" s="2867"/>
      <c r="CP96" s="2867"/>
      <c r="CQ96" s="2867"/>
      <c r="CR96" s="2867"/>
      <c r="CS96" s="2867"/>
      <c r="CT96" s="2867"/>
      <c r="CU96" s="2867"/>
      <c r="CV96" s="2867"/>
      <c r="CW96" s="2867"/>
    </row>
    <row r="97" spans="1:101">
      <c r="A97" s="2922"/>
      <c r="B97" s="2867"/>
      <c r="C97" s="2910"/>
      <c r="D97" s="2867"/>
      <c r="E97" s="2885"/>
      <c r="F97" s="2885"/>
      <c r="G97" s="2885"/>
      <c r="H97" s="2867"/>
      <c r="I97" s="2867"/>
      <c r="J97" s="2867"/>
      <c r="K97" s="2867"/>
      <c r="L97" s="2867"/>
      <c r="M97" s="2867"/>
      <c r="O97" s="2922"/>
      <c r="P97" s="2867"/>
      <c r="Q97" s="2867"/>
      <c r="T97" s="2867"/>
      <c r="U97" s="2867"/>
      <c r="V97" s="2870"/>
      <c r="W97" s="2870"/>
      <c r="X97" s="2867"/>
      <c r="Y97" s="2867"/>
      <c r="Z97" s="2867"/>
      <c r="AA97" s="2867"/>
      <c r="AB97" s="2867"/>
      <c r="AC97" s="2867"/>
      <c r="AD97" s="2867"/>
      <c r="AE97" s="2867"/>
      <c r="AF97" s="2867"/>
      <c r="AG97" s="2867"/>
      <c r="AH97" s="2940"/>
      <c r="AI97" s="2922"/>
      <c r="AJ97" s="2935"/>
      <c r="AK97" s="2910"/>
      <c r="AL97" s="2867"/>
      <c r="AM97" s="2867"/>
      <c r="AN97" s="2867"/>
      <c r="AO97" s="2870"/>
      <c r="AP97" s="2941"/>
      <c r="AQ97" s="2885"/>
      <c r="AR97" s="2870"/>
      <c r="AS97" s="2870"/>
      <c r="AT97" s="2867"/>
      <c r="AU97" s="2867"/>
      <c r="AV97" s="2867"/>
      <c r="AW97" s="2867"/>
      <c r="AX97" s="2867"/>
      <c r="AY97" s="2867"/>
      <c r="AZ97" s="2867"/>
      <c r="BA97" s="2867"/>
      <c r="BB97" s="2867"/>
      <c r="BC97" s="2867"/>
      <c r="BD97" s="2867"/>
      <c r="BE97" s="2867"/>
      <c r="BF97" s="2867"/>
      <c r="BG97" s="2867"/>
      <c r="BH97" s="2867"/>
      <c r="BI97" s="2867"/>
      <c r="BJ97" s="2867"/>
      <c r="BK97" s="2867"/>
      <c r="BL97" s="2867"/>
      <c r="BM97" s="2867"/>
      <c r="BN97" s="2867"/>
      <c r="BO97" s="2867"/>
      <c r="BP97" s="2867"/>
      <c r="BQ97" s="2867"/>
      <c r="BR97" s="2867"/>
      <c r="BS97" s="2867"/>
      <c r="BT97" s="2867"/>
      <c r="BU97" s="2867"/>
      <c r="BV97" s="2867"/>
      <c r="BW97" s="2867"/>
      <c r="BX97" s="2867"/>
      <c r="BY97" s="2867"/>
      <c r="BZ97" s="2867"/>
      <c r="CA97" s="2867"/>
      <c r="CB97" s="2867"/>
      <c r="CC97" s="2867"/>
      <c r="CD97" s="2867"/>
      <c r="CE97" s="2867"/>
      <c r="CF97" s="2867"/>
      <c r="CG97" s="2867"/>
      <c r="CH97" s="2867"/>
      <c r="CI97" s="2867"/>
      <c r="CJ97" s="2867"/>
      <c r="CK97" s="2867"/>
      <c r="CL97" s="2867"/>
      <c r="CM97" s="2867"/>
      <c r="CN97" s="2867"/>
      <c r="CO97" s="2867"/>
      <c r="CP97" s="2867"/>
      <c r="CQ97" s="2867"/>
      <c r="CR97" s="2867"/>
      <c r="CS97" s="2867"/>
      <c r="CT97" s="2867"/>
      <c r="CU97" s="2867"/>
      <c r="CV97" s="2867"/>
      <c r="CW97" s="2867"/>
    </row>
    <row r="98" spans="1:101">
      <c r="A98" s="2922"/>
      <c r="B98" s="2884"/>
      <c r="C98" s="2910"/>
      <c r="D98" s="2867"/>
      <c r="E98" s="2885"/>
      <c r="F98" s="2885"/>
      <c r="G98" s="2885"/>
      <c r="H98" s="2867"/>
      <c r="I98" s="2867"/>
      <c r="J98" s="2867"/>
      <c r="K98" s="2867"/>
      <c r="L98" s="2867"/>
      <c r="M98" s="2867"/>
      <c r="O98" s="2922"/>
      <c r="P98" s="2910"/>
      <c r="Q98" s="2867"/>
      <c r="T98" s="2867"/>
      <c r="U98" s="2867"/>
      <c r="V98" s="2870"/>
      <c r="W98" s="2870"/>
      <c r="X98" s="2867"/>
      <c r="Y98" s="2867"/>
      <c r="Z98" s="2867"/>
      <c r="AA98" s="2867"/>
      <c r="AB98" s="2867"/>
      <c r="AC98" s="2867"/>
      <c r="AD98" s="2867"/>
      <c r="AE98" s="2867"/>
      <c r="AF98" s="2867"/>
      <c r="AG98" s="2867"/>
      <c r="AH98" s="2940"/>
      <c r="AI98" s="2922"/>
      <c r="AJ98" s="2935"/>
      <c r="AK98" s="2910"/>
      <c r="AL98" s="2867"/>
      <c r="AM98" s="2867"/>
      <c r="AN98" s="2867"/>
      <c r="AO98" s="2870"/>
      <c r="AP98" s="2941"/>
      <c r="AQ98" s="2885"/>
      <c r="AR98" s="2870"/>
      <c r="AS98" s="2870"/>
      <c r="AT98" s="2867"/>
      <c r="AU98" s="2867"/>
      <c r="AV98" s="2867"/>
      <c r="AW98" s="2867"/>
      <c r="AX98" s="2867"/>
      <c r="AY98" s="2867"/>
      <c r="AZ98" s="2867"/>
      <c r="BA98" s="2867"/>
      <c r="BB98" s="2867"/>
      <c r="BC98" s="2867"/>
      <c r="BD98" s="2867"/>
      <c r="BE98" s="2867"/>
      <c r="BF98" s="2867"/>
      <c r="BG98" s="2867"/>
      <c r="BH98" s="2867"/>
      <c r="BI98" s="2867"/>
      <c r="BJ98" s="2867"/>
      <c r="BK98" s="2867"/>
      <c r="BL98" s="2867"/>
      <c r="BM98" s="2867"/>
      <c r="BN98" s="2867"/>
      <c r="BO98" s="2867"/>
      <c r="BP98" s="2867"/>
      <c r="BQ98" s="2867"/>
      <c r="BR98" s="2867"/>
      <c r="BS98" s="2867"/>
      <c r="BT98" s="2867"/>
      <c r="BU98" s="2867"/>
      <c r="BV98" s="2867"/>
      <c r="BW98" s="2867"/>
      <c r="BX98" s="2867"/>
      <c r="BY98" s="2867"/>
      <c r="BZ98" s="2867"/>
      <c r="CA98" s="2867"/>
      <c r="CB98" s="2867"/>
      <c r="CC98" s="2867"/>
      <c r="CD98" s="2867"/>
      <c r="CE98" s="2867"/>
      <c r="CF98" s="2867"/>
      <c r="CG98" s="2867"/>
      <c r="CH98" s="2867"/>
      <c r="CI98" s="2867"/>
      <c r="CJ98" s="2867"/>
      <c r="CK98" s="2867"/>
      <c r="CL98" s="2867"/>
      <c r="CM98" s="2867"/>
      <c r="CN98" s="2867"/>
      <c r="CO98" s="2867"/>
      <c r="CP98" s="2867"/>
      <c r="CQ98" s="2867"/>
      <c r="CR98" s="2867"/>
      <c r="CS98" s="2867"/>
      <c r="CT98" s="2867"/>
      <c r="CU98" s="2867"/>
      <c r="CV98" s="2867"/>
      <c r="CW98" s="2867"/>
    </row>
    <row r="99" spans="1:101">
      <c r="A99" s="2922"/>
      <c r="B99" s="2867"/>
      <c r="C99" s="2910"/>
      <c r="D99" s="2867"/>
      <c r="E99" s="2870"/>
      <c r="F99" s="2870"/>
      <c r="G99" s="2870"/>
      <c r="H99" s="2867"/>
      <c r="I99" s="2867"/>
      <c r="J99" s="2867"/>
      <c r="K99" s="2867"/>
      <c r="L99" s="2867"/>
      <c r="M99" s="2867"/>
      <c r="O99" s="2922"/>
      <c r="P99" s="2910"/>
      <c r="Q99" s="2867"/>
      <c r="T99" s="2867"/>
      <c r="U99" s="2870"/>
      <c r="V99" s="2870"/>
      <c r="W99" s="2870"/>
      <c r="X99" s="2867"/>
      <c r="Y99" s="2867"/>
      <c r="Z99" s="2867"/>
      <c r="AA99" s="2867"/>
      <c r="AB99" s="2867"/>
      <c r="AC99" s="2867"/>
      <c r="AD99" s="2867"/>
      <c r="AE99" s="2867"/>
      <c r="AF99" s="2867"/>
      <c r="AG99" s="2867"/>
      <c r="AH99" s="2940"/>
      <c r="AI99" s="2922"/>
      <c r="AJ99" s="2935"/>
      <c r="AK99" s="2910"/>
      <c r="AL99" s="2867"/>
      <c r="AM99" s="2867"/>
      <c r="AN99" s="2867"/>
      <c r="AO99" s="2870"/>
      <c r="AP99" s="2941"/>
      <c r="AQ99" s="2885"/>
      <c r="AR99" s="2870"/>
      <c r="AS99" s="2870"/>
      <c r="AT99" s="2867"/>
      <c r="AU99" s="2867"/>
      <c r="AV99" s="2867"/>
      <c r="AW99" s="2867"/>
      <c r="AX99" s="2867"/>
      <c r="AY99" s="2867"/>
      <c r="AZ99" s="2867"/>
      <c r="BA99" s="2867"/>
      <c r="BB99" s="2867"/>
      <c r="BC99" s="2867"/>
      <c r="BD99" s="2867"/>
      <c r="BE99" s="2867"/>
      <c r="BF99" s="2867"/>
      <c r="BG99" s="2867"/>
      <c r="BH99" s="2867"/>
      <c r="BI99" s="2867"/>
      <c r="BJ99" s="2867"/>
      <c r="BK99" s="2867"/>
      <c r="BL99" s="2867"/>
      <c r="BM99" s="2867"/>
      <c r="BN99" s="2867"/>
      <c r="BO99" s="2867"/>
      <c r="BP99" s="2867"/>
      <c r="BQ99" s="2867"/>
      <c r="BR99" s="2867"/>
      <c r="BS99" s="2867"/>
      <c r="BT99" s="2867"/>
      <c r="BU99" s="2867"/>
      <c r="BV99" s="2867"/>
      <c r="BW99" s="2867"/>
      <c r="BX99" s="2867"/>
      <c r="BY99" s="2867"/>
      <c r="BZ99" s="2867"/>
      <c r="CA99" s="2867"/>
      <c r="CB99" s="2867"/>
      <c r="CC99" s="2867"/>
      <c r="CD99" s="2867"/>
      <c r="CE99" s="2867"/>
      <c r="CF99" s="2867"/>
      <c r="CG99" s="2867"/>
      <c r="CH99" s="2867"/>
      <c r="CI99" s="2867"/>
      <c r="CJ99" s="2867"/>
      <c r="CK99" s="2867"/>
      <c r="CL99" s="2867"/>
      <c r="CM99" s="2867"/>
      <c r="CN99" s="2867"/>
      <c r="CO99" s="2867"/>
      <c r="CP99" s="2867"/>
      <c r="CQ99" s="2867"/>
      <c r="CR99" s="2867"/>
      <c r="CS99" s="2867"/>
      <c r="CT99" s="2867"/>
      <c r="CU99" s="2867"/>
      <c r="CV99" s="2867"/>
      <c r="CW99" s="2867"/>
    </row>
    <row r="100" spans="1:101">
      <c r="A100" s="2922"/>
      <c r="B100" s="2867"/>
      <c r="C100" s="2867"/>
      <c r="D100" s="2867"/>
      <c r="E100" s="2942"/>
      <c r="F100" s="2942"/>
      <c r="G100" s="2942"/>
      <c r="H100" s="2867"/>
      <c r="I100" s="2867"/>
      <c r="J100" s="2867"/>
      <c r="K100" s="2867"/>
      <c r="L100" s="2867"/>
      <c r="M100" s="2867"/>
      <c r="O100" s="2922"/>
      <c r="P100" s="2910"/>
      <c r="Q100" s="2867"/>
      <c r="T100" s="2867"/>
      <c r="U100" s="2870"/>
      <c r="V100" s="2870"/>
      <c r="W100" s="2870"/>
      <c r="X100" s="2867"/>
      <c r="Y100" s="2867"/>
      <c r="Z100" s="2867"/>
      <c r="AA100" s="2867"/>
      <c r="AB100" s="2867"/>
      <c r="AC100" s="2867"/>
      <c r="AD100" s="2867"/>
      <c r="AE100" s="2867"/>
      <c r="AF100" s="2867"/>
      <c r="AG100" s="2867"/>
      <c r="AH100" s="2940"/>
      <c r="AI100" s="2922"/>
      <c r="AJ100" s="2935"/>
      <c r="AK100" s="2910"/>
      <c r="AL100" s="2867"/>
      <c r="AM100" s="2867"/>
      <c r="AN100" s="2867"/>
      <c r="AO100" s="2870"/>
      <c r="AP100" s="2941"/>
      <c r="AQ100" s="2885"/>
      <c r="AR100" s="2870"/>
      <c r="AS100" s="2870"/>
      <c r="AT100" s="2867"/>
      <c r="AU100" s="2867"/>
      <c r="AV100" s="2867"/>
      <c r="AW100" s="2867"/>
      <c r="AX100" s="2867"/>
      <c r="AY100" s="2867"/>
      <c r="AZ100" s="2867"/>
      <c r="BA100" s="2867"/>
      <c r="BB100" s="2867"/>
      <c r="BC100" s="2867"/>
      <c r="BD100" s="2867"/>
      <c r="BE100" s="2867"/>
      <c r="BF100" s="2867"/>
      <c r="BG100" s="2867"/>
      <c r="BH100" s="2867"/>
      <c r="BI100" s="2867"/>
      <c r="BJ100" s="2867"/>
      <c r="BK100" s="2867"/>
      <c r="BL100" s="2867"/>
      <c r="BM100" s="2867"/>
      <c r="BN100" s="2867"/>
      <c r="BO100" s="2867"/>
      <c r="BP100" s="2867"/>
      <c r="BQ100" s="2867"/>
      <c r="BR100" s="2867"/>
      <c r="BS100" s="2867"/>
      <c r="BT100" s="2867"/>
      <c r="BU100" s="2867"/>
      <c r="BV100" s="2867"/>
      <c r="BW100" s="2867"/>
      <c r="BX100" s="2867"/>
      <c r="BY100" s="2867"/>
      <c r="BZ100" s="2867"/>
      <c r="CA100" s="2867"/>
      <c r="CB100" s="2867"/>
      <c r="CC100" s="2867"/>
      <c r="CD100" s="2867"/>
      <c r="CE100" s="2867"/>
      <c r="CF100" s="2867"/>
      <c r="CG100" s="2867"/>
      <c r="CH100" s="2867"/>
      <c r="CI100" s="2867"/>
      <c r="CJ100" s="2867"/>
      <c r="CK100" s="2867"/>
      <c r="CL100" s="2867"/>
      <c r="CM100" s="2867"/>
      <c r="CN100" s="2867"/>
      <c r="CO100" s="2867"/>
      <c r="CP100" s="2867"/>
      <c r="CQ100" s="2867"/>
      <c r="CR100" s="2867"/>
      <c r="CS100" s="2867"/>
      <c r="CT100" s="2867"/>
      <c r="CU100" s="2867"/>
      <c r="CV100" s="2867"/>
      <c r="CW100" s="2867"/>
    </row>
    <row r="101" spans="1:101">
      <c r="A101" s="2922"/>
      <c r="B101" s="2867"/>
      <c r="C101" s="2867"/>
      <c r="D101" s="2867"/>
      <c r="E101" s="2870"/>
      <c r="F101" s="2870"/>
      <c r="G101" s="2870"/>
      <c r="H101" s="2867"/>
      <c r="I101" s="2867"/>
      <c r="J101" s="2867"/>
      <c r="K101" s="2867"/>
      <c r="L101" s="2867"/>
      <c r="M101" s="2867"/>
      <c r="O101" s="2922"/>
      <c r="P101" s="2910"/>
      <c r="Q101" s="2867"/>
      <c r="T101" s="2867"/>
      <c r="U101" s="2870"/>
      <c r="V101" s="2870"/>
      <c r="W101" s="2870"/>
      <c r="X101" s="2867"/>
      <c r="Y101" s="2867"/>
      <c r="Z101" s="2867"/>
      <c r="AA101" s="2867"/>
      <c r="AB101" s="2867"/>
      <c r="AC101" s="2867"/>
      <c r="AD101" s="2867"/>
      <c r="AE101" s="2867"/>
      <c r="AF101" s="2867"/>
      <c r="AG101" s="2867"/>
      <c r="AH101" s="2940"/>
      <c r="AI101" s="2922"/>
      <c r="AJ101" s="2935"/>
      <c r="AK101" s="2910"/>
      <c r="AL101" s="2867"/>
      <c r="AM101" s="2867"/>
      <c r="AN101" s="2867"/>
      <c r="AO101" s="2870"/>
      <c r="AP101" s="2941"/>
      <c r="AQ101" s="2885"/>
      <c r="AR101" s="2870"/>
      <c r="AS101" s="2870"/>
      <c r="AT101" s="2867"/>
      <c r="AU101" s="2867"/>
      <c r="AV101" s="2867"/>
      <c r="AW101" s="2867"/>
      <c r="AX101" s="2867"/>
      <c r="AY101" s="2867"/>
      <c r="AZ101" s="2867"/>
      <c r="BA101" s="2867"/>
      <c r="BB101" s="2867"/>
      <c r="BC101" s="2867"/>
      <c r="BD101" s="2867"/>
      <c r="BE101" s="2867"/>
      <c r="BF101" s="2867"/>
      <c r="BG101" s="2867"/>
      <c r="BH101" s="2867"/>
      <c r="BI101" s="2867"/>
      <c r="BJ101" s="2867"/>
      <c r="BK101" s="2867"/>
      <c r="BL101" s="2867"/>
      <c r="BM101" s="2867"/>
      <c r="BN101" s="2867"/>
      <c r="BO101" s="2867"/>
      <c r="BP101" s="2867"/>
      <c r="BQ101" s="2867"/>
      <c r="BR101" s="2867"/>
      <c r="BS101" s="2867"/>
      <c r="BT101" s="2867"/>
      <c r="BU101" s="2867"/>
      <c r="BV101" s="2867"/>
      <c r="BW101" s="2867"/>
      <c r="BX101" s="2867"/>
      <c r="BY101" s="2867"/>
      <c r="BZ101" s="2867"/>
      <c r="CA101" s="2867"/>
      <c r="CB101" s="2867"/>
      <c r="CC101" s="2867"/>
      <c r="CD101" s="2867"/>
      <c r="CE101" s="2867"/>
      <c r="CF101" s="2867"/>
      <c r="CG101" s="2867"/>
      <c r="CH101" s="2867"/>
      <c r="CI101" s="2867"/>
      <c r="CJ101" s="2867"/>
      <c r="CK101" s="2867"/>
      <c r="CL101" s="2867"/>
      <c r="CM101" s="2867"/>
      <c r="CN101" s="2867"/>
      <c r="CO101" s="2867"/>
      <c r="CP101" s="2867"/>
      <c r="CQ101" s="2867"/>
      <c r="CR101" s="2867"/>
      <c r="CS101" s="2867"/>
      <c r="CT101" s="2867"/>
      <c r="CU101" s="2867"/>
      <c r="CV101" s="2867"/>
      <c r="CW101" s="2867"/>
    </row>
    <row r="102" spans="1:101">
      <c r="A102" s="2922"/>
      <c r="B102" s="2867"/>
      <c r="C102" s="2910"/>
      <c r="D102" s="2867"/>
      <c r="E102" s="2870"/>
      <c r="F102" s="2870"/>
      <c r="G102" s="2870"/>
      <c r="H102" s="2867"/>
      <c r="I102" s="2867"/>
      <c r="J102" s="2867"/>
      <c r="K102" s="2867"/>
      <c r="L102" s="2867"/>
      <c r="M102" s="2867"/>
      <c r="O102" s="2922"/>
      <c r="P102" s="2910"/>
      <c r="Q102" s="2867"/>
      <c r="T102" s="2867"/>
      <c r="U102" s="2870"/>
      <c r="V102" s="2870"/>
      <c r="W102" s="2870"/>
      <c r="X102" s="2867"/>
      <c r="Y102" s="2867"/>
      <c r="Z102" s="2867"/>
      <c r="AA102" s="2867"/>
      <c r="AB102" s="2867"/>
      <c r="AC102" s="2867"/>
      <c r="AD102" s="2867"/>
      <c r="AE102" s="2867"/>
      <c r="AF102" s="2867"/>
      <c r="AG102" s="2867"/>
      <c r="AH102" s="2940"/>
      <c r="AI102" s="2922"/>
      <c r="AJ102" s="2935"/>
      <c r="AK102" s="2910"/>
      <c r="AL102" s="2867"/>
      <c r="AM102" s="2867"/>
      <c r="AN102" s="2867"/>
      <c r="AO102" s="2870"/>
      <c r="AP102" s="2941"/>
      <c r="AQ102" s="2885"/>
      <c r="AR102" s="2870"/>
      <c r="AS102" s="2870"/>
      <c r="AT102" s="2867"/>
      <c r="AU102" s="2867"/>
      <c r="AV102" s="2867"/>
      <c r="AW102" s="2867"/>
      <c r="AX102" s="2867"/>
      <c r="AY102" s="2867"/>
      <c r="AZ102" s="2867"/>
      <c r="BA102" s="2867"/>
      <c r="BB102" s="2867"/>
      <c r="BC102" s="2867"/>
      <c r="BD102" s="2867"/>
      <c r="BE102" s="2867"/>
      <c r="BF102" s="2867"/>
      <c r="BG102" s="2867"/>
      <c r="BH102" s="2867"/>
      <c r="BI102" s="2867"/>
      <c r="BJ102" s="2867"/>
      <c r="BK102" s="2867"/>
      <c r="BL102" s="2867"/>
      <c r="BM102" s="2867"/>
      <c r="BN102" s="2867"/>
      <c r="BO102" s="2867"/>
      <c r="BP102" s="2867"/>
      <c r="BQ102" s="2867"/>
      <c r="BR102" s="2867"/>
      <c r="BS102" s="2867"/>
      <c r="BT102" s="2867"/>
      <c r="BU102" s="2867"/>
      <c r="BV102" s="2867"/>
      <c r="BW102" s="2867"/>
      <c r="BX102" s="2867"/>
      <c r="BY102" s="2867"/>
      <c r="BZ102" s="2867"/>
      <c r="CA102" s="2867"/>
      <c r="CB102" s="2867"/>
      <c r="CC102" s="2867"/>
      <c r="CD102" s="2867"/>
      <c r="CE102" s="2867"/>
      <c r="CF102" s="2867"/>
      <c r="CG102" s="2867"/>
      <c r="CH102" s="2867"/>
      <c r="CI102" s="2867"/>
      <c r="CJ102" s="2867"/>
      <c r="CK102" s="2867"/>
      <c r="CL102" s="2867"/>
      <c r="CM102" s="2867"/>
      <c r="CN102" s="2867"/>
      <c r="CO102" s="2867"/>
      <c r="CP102" s="2867"/>
      <c r="CQ102" s="2867"/>
      <c r="CR102" s="2867"/>
      <c r="CS102" s="2867"/>
      <c r="CT102" s="2867"/>
      <c r="CU102" s="2867"/>
      <c r="CV102" s="2867"/>
      <c r="CW102" s="2867"/>
    </row>
    <row r="103" spans="1:101">
      <c r="A103" s="2922"/>
      <c r="B103" s="2867"/>
      <c r="C103" s="2910"/>
      <c r="D103" s="2867"/>
      <c r="E103" s="2867"/>
      <c r="F103" s="2867"/>
      <c r="G103" s="2867"/>
      <c r="H103" s="2885"/>
      <c r="I103" s="2885"/>
      <c r="J103" s="2885"/>
      <c r="K103" s="2885"/>
      <c r="L103" s="2885"/>
      <c r="M103" s="2885"/>
      <c r="O103" s="2922"/>
      <c r="P103" s="2910"/>
      <c r="Q103" s="2867"/>
      <c r="T103" s="2867"/>
      <c r="U103" s="2870"/>
      <c r="V103" s="2870"/>
      <c r="W103" s="2870"/>
      <c r="X103" s="2867"/>
      <c r="Y103" s="2867"/>
      <c r="Z103" s="2867"/>
      <c r="AA103" s="2867"/>
      <c r="AB103" s="2867"/>
      <c r="AC103" s="2867"/>
      <c r="AD103" s="2867"/>
      <c r="AE103" s="2867"/>
      <c r="AF103" s="2867"/>
      <c r="AG103" s="2867"/>
      <c r="AH103" s="2940"/>
      <c r="AI103" s="2922"/>
      <c r="AJ103" s="2935"/>
      <c r="AK103" s="2910"/>
      <c r="AL103" s="2867"/>
      <c r="AM103" s="2867"/>
      <c r="AN103" s="2867"/>
      <c r="AO103" s="2870"/>
      <c r="AP103" s="2941"/>
      <c r="AQ103" s="2885"/>
      <c r="AR103" s="2870"/>
      <c r="AS103" s="2870"/>
      <c r="AT103" s="2867"/>
      <c r="AU103" s="2867"/>
      <c r="AV103" s="2867"/>
      <c r="AW103" s="2867"/>
      <c r="AX103" s="2867"/>
      <c r="AY103" s="2867"/>
      <c r="AZ103" s="2867"/>
      <c r="BA103" s="2867"/>
      <c r="BB103" s="2867"/>
      <c r="BC103" s="2867"/>
      <c r="BD103" s="2867"/>
      <c r="BE103" s="2867"/>
      <c r="BF103" s="2867"/>
      <c r="BG103" s="2867"/>
      <c r="BH103" s="2867"/>
      <c r="BI103" s="2867"/>
      <c r="BJ103" s="2867"/>
      <c r="BK103" s="2867"/>
      <c r="BL103" s="2867"/>
      <c r="BM103" s="2867"/>
      <c r="BN103" s="2867"/>
      <c r="BO103" s="2867"/>
      <c r="BP103" s="2867"/>
      <c r="BQ103" s="2867"/>
      <c r="BR103" s="2867"/>
      <c r="BS103" s="2867"/>
      <c r="BT103" s="2867"/>
      <c r="BU103" s="2867"/>
      <c r="BV103" s="2867"/>
      <c r="BW103" s="2867"/>
      <c r="BX103" s="2867"/>
      <c r="BY103" s="2867"/>
      <c r="BZ103" s="2867"/>
      <c r="CA103" s="2867"/>
      <c r="CB103" s="2867"/>
      <c r="CC103" s="2867"/>
      <c r="CD103" s="2867"/>
      <c r="CE103" s="2867"/>
      <c r="CF103" s="2867"/>
      <c r="CG103" s="2867"/>
      <c r="CH103" s="2867"/>
      <c r="CI103" s="2867"/>
      <c r="CJ103" s="2867"/>
      <c r="CK103" s="2867"/>
      <c r="CL103" s="2867"/>
      <c r="CM103" s="2867"/>
      <c r="CN103" s="2867"/>
      <c r="CO103" s="2867"/>
      <c r="CP103" s="2867"/>
      <c r="CQ103" s="2867"/>
      <c r="CR103" s="2867"/>
      <c r="CS103" s="2867"/>
      <c r="CT103" s="2867"/>
      <c r="CU103" s="2867"/>
      <c r="CV103" s="2867"/>
      <c r="CW103" s="2867"/>
    </row>
    <row r="104" spans="1:101">
      <c r="A104" s="2922"/>
      <c r="B104" s="2867"/>
      <c r="C104" s="2910"/>
      <c r="D104" s="2867"/>
      <c r="E104" s="2867"/>
      <c r="F104" s="2867"/>
      <c r="G104" s="2867"/>
      <c r="H104" s="2885"/>
      <c r="I104" s="2885"/>
      <c r="J104" s="2885"/>
      <c r="K104" s="2885"/>
      <c r="L104" s="2885"/>
      <c r="M104" s="2885"/>
      <c r="O104" s="2922"/>
      <c r="P104" s="2935"/>
      <c r="Q104" s="2867"/>
      <c r="T104" s="2870"/>
      <c r="U104" s="2870"/>
      <c r="V104" s="2870"/>
      <c r="W104" s="2870"/>
      <c r="X104" s="2867"/>
      <c r="Y104" s="2867"/>
      <c r="Z104" s="2867"/>
      <c r="AA104" s="2867"/>
      <c r="AB104" s="2867"/>
      <c r="AC104" s="2867"/>
      <c r="AD104" s="2867"/>
      <c r="AE104" s="2867"/>
      <c r="AF104" s="2867"/>
      <c r="AG104" s="2867"/>
      <c r="AH104" s="2940"/>
      <c r="AI104" s="2922"/>
      <c r="AJ104" s="2935"/>
      <c r="AK104" s="2910"/>
      <c r="AL104" s="2867"/>
      <c r="AM104" s="2867"/>
      <c r="AN104" s="2867"/>
      <c r="AO104" s="2870"/>
      <c r="AP104" s="2941"/>
      <c r="AQ104" s="2885"/>
      <c r="AR104" s="2870"/>
      <c r="AS104" s="2870"/>
      <c r="AT104" s="2867"/>
      <c r="AU104" s="2867"/>
      <c r="AV104" s="2867"/>
      <c r="AW104" s="2867"/>
      <c r="AX104" s="2867"/>
      <c r="AY104" s="2867"/>
      <c r="AZ104" s="2867"/>
      <c r="BA104" s="2867"/>
      <c r="BB104" s="2867"/>
      <c r="BC104" s="2867"/>
      <c r="BD104" s="2867"/>
      <c r="BE104" s="2867"/>
      <c r="BF104" s="2867"/>
      <c r="BG104" s="2867"/>
      <c r="BH104" s="2867"/>
      <c r="BI104" s="2867"/>
      <c r="BJ104" s="2867"/>
      <c r="BK104" s="2867"/>
      <c r="BL104" s="2867"/>
      <c r="BM104" s="2867"/>
      <c r="BN104" s="2867"/>
      <c r="BO104" s="2867"/>
      <c r="BP104" s="2867"/>
      <c r="BQ104" s="2867"/>
      <c r="BR104" s="2867"/>
      <c r="BS104" s="2867"/>
      <c r="BT104" s="2867"/>
      <c r="BU104" s="2867"/>
      <c r="BV104" s="2867"/>
      <c r="BW104" s="2867"/>
      <c r="BX104" s="2867"/>
      <c r="BY104" s="2867"/>
      <c r="BZ104" s="2867"/>
      <c r="CA104" s="2867"/>
      <c r="CB104" s="2867"/>
      <c r="CC104" s="2867"/>
      <c r="CD104" s="2867"/>
      <c r="CE104" s="2867"/>
      <c r="CF104" s="2867"/>
      <c r="CG104" s="2867"/>
      <c r="CH104" s="2867"/>
      <c r="CI104" s="2867"/>
      <c r="CJ104" s="2867"/>
      <c r="CK104" s="2867"/>
      <c r="CL104" s="2867"/>
      <c r="CM104" s="2867"/>
      <c r="CN104" s="2867"/>
      <c r="CO104" s="2867"/>
      <c r="CP104" s="2867"/>
      <c r="CQ104" s="2867"/>
      <c r="CR104" s="2867"/>
      <c r="CS104" s="2867"/>
      <c r="CT104" s="2867"/>
      <c r="CU104" s="2867"/>
      <c r="CV104" s="2867"/>
      <c r="CW104" s="2867"/>
    </row>
    <row r="105" spans="1:101">
      <c r="A105" s="2922"/>
      <c r="B105" s="2867"/>
      <c r="C105" s="2910"/>
      <c r="D105" s="2867"/>
      <c r="E105" s="2867"/>
      <c r="F105" s="2867"/>
      <c r="G105" s="2867"/>
      <c r="H105" s="2885"/>
      <c r="I105" s="2885"/>
      <c r="J105" s="2885"/>
      <c r="K105" s="2885"/>
      <c r="L105" s="2885"/>
      <c r="M105" s="2885"/>
      <c r="O105" s="2922"/>
      <c r="P105" s="2867"/>
      <c r="Q105" s="2867"/>
      <c r="T105" s="2942"/>
      <c r="U105" s="2867"/>
      <c r="V105" s="2943"/>
      <c r="W105" s="2943"/>
      <c r="X105" s="2867"/>
      <c r="Y105" s="2867"/>
      <c r="Z105" s="2867"/>
      <c r="AA105" s="2867"/>
      <c r="AB105" s="2867"/>
      <c r="AC105" s="2867"/>
      <c r="AD105" s="2867"/>
      <c r="AE105" s="2867"/>
      <c r="AF105" s="2867"/>
      <c r="AG105" s="2867"/>
      <c r="AH105" s="2940"/>
      <c r="AI105" s="2922"/>
      <c r="AJ105" s="2935"/>
      <c r="AK105" s="2910"/>
      <c r="AL105" s="2867"/>
      <c r="AM105" s="2867"/>
      <c r="AN105" s="2867"/>
      <c r="AO105" s="2870"/>
      <c r="AP105" s="2941"/>
      <c r="AQ105" s="2885"/>
      <c r="AR105" s="2870"/>
      <c r="AS105" s="2870"/>
      <c r="AT105" s="2867"/>
      <c r="AU105" s="2867"/>
      <c r="AV105" s="2867"/>
      <c r="AW105" s="2867"/>
      <c r="AX105" s="2867"/>
      <c r="AY105" s="2867"/>
      <c r="AZ105" s="2867"/>
      <c r="BA105" s="2867"/>
      <c r="BB105" s="2867"/>
      <c r="BC105" s="2867"/>
      <c r="BD105" s="2867"/>
      <c r="BE105" s="2867"/>
      <c r="BF105" s="2867"/>
      <c r="BG105" s="2867"/>
      <c r="BH105" s="2867"/>
      <c r="BI105" s="2867"/>
      <c r="BJ105" s="2867"/>
      <c r="BK105" s="2867"/>
      <c r="BL105" s="2867"/>
      <c r="BM105" s="2867"/>
      <c r="BN105" s="2867"/>
      <c r="BO105" s="2867"/>
      <c r="BP105" s="2867"/>
      <c r="BQ105" s="2867"/>
      <c r="BR105" s="2867"/>
      <c r="BS105" s="2867"/>
      <c r="BT105" s="2867"/>
      <c r="BU105" s="2867"/>
      <c r="BV105" s="2867"/>
      <c r="BW105" s="2867"/>
      <c r="BX105" s="2867"/>
      <c r="BY105" s="2867"/>
      <c r="BZ105" s="2867"/>
      <c r="CA105" s="2867"/>
      <c r="CB105" s="2867"/>
      <c r="CC105" s="2867"/>
      <c r="CD105" s="2867"/>
      <c r="CE105" s="2867"/>
      <c r="CF105" s="2867"/>
      <c r="CG105" s="2867"/>
      <c r="CH105" s="2867"/>
      <c r="CI105" s="2867"/>
      <c r="CJ105" s="2867"/>
      <c r="CK105" s="2867"/>
      <c r="CL105" s="2867"/>
      <c r="CM105" s="2867"/>
      <c r="CN105" s="2867"/>
      <c r="CO105" s="2867"/>
      <c r="CP105" s="2867"/>
      <c r="CQ105" s="2867"/>
      <c r="CR105" s="2867"/>
      <c r="CS105" s="2867"/>
      <c r="CT105" s="2867"/>
      <c r="CU105" s="2867"/>
      <c r="CV105" s="2867"/>
      <c r="CW105" s="2867"/>
    </row>
    <row r="106" spans="1:101">
      <c r="A106" s="2922"/>
      <c r="B106" s="2867"/>
      <c r="C106" s="2910"/>
      <c r="D106" s="2867"/>
      <c r="E106" s="2867"/>
      <c r="F106" s="2867"/>
      <c r="G106" s="2867"/>
      <c r="H106" s="2885"/>
      <c r="I106" s="2885"/>
      <c r="J106" s="2885"/>
      <c r="K106" s="2885"/>
      <c r="L106" s="2885"/>
      <c r="M106" s="2885"/>
      <c r="O106" s="2922"/>
      <c r="P106" s="2910"/>
      <c r="Q106" s="2867"/>
      <c r="T106" s="2870"/>
      <c r="U106" s="2867"/>
      <c r="V106" s="2870"/>
      <c r="W106" s="2870"/>
      <c r="X106" s="2867"/>
      <c r="Y106" s="2867"/>
      <c r="Z106" s="2867"/>
      <c r="AA106" s="2867"/>
      <c r="AB106" s="2867"/>
      <c r="AC106" s="2867"/>
      <c r="AD106" s="2867"/>
      <c r="AE106" s="2867"/>
      <c r="AF106" s="2867"/>
      <c r="AG106" s="2867"/>
      <c r="AH106" s="2940"/>
      <c r="AI106" s="2922"/>
      <c r="AJ106" s="2935"/>
      <c r="AK106" s="2935"/>
      <c r="AL106" s="2867"/>
      <c r="AM106" s="2867"/>
      <c r="AN106" s="2867"/>
      <c r="AO106" s="2870"/>
      <c r="AP106" s="2941"/>
      <c r="AQ106" s="2885"/>
      <c r="AR106" s="2870"/>
      <c r="AS106" s="2870"/>
      <c r="AT106" s="2867"/>
      <c r="AU106" s="2867"/>
      <c r="AV106" s="2867"/>
      <c r="AW106" s="2867"/>
      <c r="AX106" s="2867"/>
      <c r="AY106" s="2867"/>
      <c r="AZ106" s="2867"/>
      <c r="BA106" s="2867"/>
      <c r="BB106" s="2867"/>
      <c r="BC106" s="2867"/>
      <c r="BD106" s="2867"/>
      <c r="BE106" s="2867"/>
      <c r="BF106" s="2867"/>
      <c r="BG106" s="2867"/>
      <c r="BH106" s="2867"/>
      <c r="BI106" s="2867"/>
      <c r="BJ106" s="2867"/>
      <c r="BK106" s="2867"/>
      <c r="BL106" s="2867"/>
      <c r="BM106" s="2867"/>
      <c r="BN106" s="2867"/>
      <c r="BO106" s="2867"/>
      <c r="BP106" s="2867"/>
      <c r="BQ106" s="2867"/>
      <c r="BR106" s="2867"/>
      <c r="BS106" s="2867"/>
      <c r="BT106" s="2867"/>
      <c r="BU106" s="2867"/>
      <c r="BV106" s="2867"/>
      <c r="BW106" s="2867"/>
      <c r="BX106" s="2867"/>
      <c r="BY106" s="2867"/>
      <c r="BZ106" s="2867"/>
      <c r="CA106" s="2867"/>
      <c r="CB106" s="2867"/>
      <c r="CC106" s="2867"/>
      <c r="CD106" s="2867"/>
      <c r="CE106" s="2867"/>
      <c r="CF106" s="2867"/>
      <c r="CG106" s="2867"/>
      <c r="CH106" s="2867"/>
      <c r="CI106" s="2867"/>
      <c r="CJ106" s="2867"/>
      <c r="CK106" s="2867"/>
      <c r="CL106" s="2867"/>
      <c r="CM106" s="2867"/>
      <c r="CN106" s="2867"/>
      <c r="CO106" s="2867"/>
      <c r="CP106" s="2867"/>
      <c r="CQ106" s="2867"/>
      <c r="CR106" s="2867"/>
      <c r="CS106" s="2867"/>
      <c r="CT106" s="2867"/>
      <c r="CU106" s="2867"/>
      <c r="CV106" s="2867"/>
      <c r="CW106" s="2867"/>
    </row>
    <row r="107" spans="1:101">
      <c r="A107" s="2922"/>
      <c r="B107" s="2867"/>
      <c r="C107" s="2910"/>
      <c r="D107" s="2867"/>
      <c r="E107" s="2867"/>
      <c r="F107" s="2867"/>
      <c r="G107" s="2867"/>
      <c r="H107" s="2885"/>
      <c r="I107" s="2885"/>
      <c r="J107" s="2885"/>
      <c r="K107" s="2885"/>
      <c r="L107" s="2885"/>
      <c r="M107" s="2885"/>
      <c r="O107" s="2922"/>
      <c r="P107" s="2935"/>
      <c r="Q107" s="2867"/>
      <c r="T107" s="2942"/>
      <c r="U107" s="2867"/>
      <c r="V107" s="2942"/>
      <c r="W107" s="2942"/>
      <c r="X107" s="2867"/>
      <c r="Y107" s="2867"/>
      <c r="Z107" s="2867"/>
      <c r="AA107" s="2867"/>
      <c r="AB107" s="2867"/>
      <c r="AC107" s="2867"/>
      <c r="AD107" s="2867"/>
      <c r="AE107" s="2867"/>
      <c r="AF107" s="2867"/>
      <c r="AG107" s="2867"/>
      <c r="AH107" s="2940"/>
      <c r="AI107" s="2922"/>
      <c r="AJ107" s="2935"/>
      <c r="AK107" s="2910"/>
      <c r="AL107" s="2867"/>
      <c r="AM107" s="2867"/>
      <c r="AN107" s="2867"/>
      <c r="AO107" s="2870"/>
      <c r="AP107" s="2941"/>
      <c r="AQ107" s="2885"/>
      <c r="AR107" s="2870"/>
      <c r="AS107" s="2870"/>
      <c r="AT107" s="2867"/>
      <c r="AU107" s="2867"/>
      <c r="AV107" s="2867"/>
      <c r="AW107" s="2867"/>
      <c r="AX107" s="2867"/>
      <c r="AY107" s="2867"/>
      <c r="AZ107" s="2867"/>
      <c r="BA107" s="2867"/>
      <c r="BB107" s="2867"/>
      <c r="BC107" s="2867"/>
      <c r="BD107" s="2867"/>
      <c r="BE107" s="2867"/>
      <c r="BF107" s="2867"/>
      <c r="BG107" s="2867"/>
      <c r="BH107" s="2867"/>
      <c r="BI107" s="2867"/>
      <c r="BJ107" s="2867"/>
      <c r="BK107" s="2867"/>
      <c r="BL107" s="2867"/>
      <c r="BM107" s="2867"/>
      <c r="BN107" s="2867"/>
      <c r="BO107" s="2867"/>
      <c r="BP107" s="2867"/>
      <c r="BQ107" s="2867"/>
      <c r="BR107" s="2867"/>
      <c r="BS107" s="2867"/>
      <c r="BT107" s="2867"/>
      <c r="BU107" s="2867"/>
      <c r="BV107" s="2867"/>
      <c r="BW107" s="2867"/>
      <c r="BX107" s="2867"/>
      <c r="BY107" s="2867"/>
      <c r="BZ107" s="2867"/>
      <c r="CA107" s="2867"/>
      <c r="CB107" s="2867"/>
      <c r="CC107" s="2867"/>
      <c r="CD107" s="2867"/>
      <c r="CE107" s="2867"/>
      <c r="CF107" s="2867"/>
      <c r="CG107" s="2867"/>
      <c r="CH107" s="2867"/>
      <c r="CI107" s="2867"/>
      <c r="CJ107" s="2867"/>
      <c r="CK107" s="2867"/>
      <c r="CL107" s="2867"/>
      <c r="CM107" s="2867"/>
      <c r="CN107" s="2867"/>
      <c r="CO107" s="2867"/>
      <c r="CP107" s="2867"/>
      <c r="CQ107" s="2867"/>
      <c r="CR107" s="2867"/>
      <c r="CS107" s="2867"/>
      <c r="CT107" s="2867"/>
      <c r="CU107" s="2867"/>
      <c r="CV107" s="2867"/>
      <c r="CW107" s="2867"/>
    </row>
    <row r="108" spans="1:101">
      <c r="A108" s="2922"/>
      <c r="B108" s="2867"/>
      <c r="C108" s="2935"/>
      <c r="D108" s="2867"/>
      <c r="E108" s="2867"/>
      <c r="F108" s="2867"/>
      <c r="G108" s="2867"/>
      <c r="H108" s="2870"/>
      <c r="I108" s="2870"/>
      <c r="J108" s="2870"/>
      <c r="K108" s="2870"/>
      <c r="L108" s="2870"/>
      <c r="M108" s="2870"/>
      <c r="O108" s="2922"/>
      <c r="P108" s="2867"/>
      <c r="Q108" s="2870"/>
      <c r="T108" s="2939"/>
      <c r="U108" s="2867"/>
      <c r="V108" s="2870"/>
      <c r="W108" s="2870"/>
      <c r="X108" s="2867"/>
      <c r="Y108" s="2867"/>
      <c r="Z108" s="2867"/>
      <c r="AA108" s="2867"/>
      <c r="AB108" s="2867"/>
      <c r="AC108" s="2867"/>
      <c r="AD108" s="2867"/>
      <c r="AE108" s="2867"/>
      <c r="AF108" s="2867"/>
      <c r="AG108" s="2867"/>
      <c r="AH108" s="2940"/>
      <c r="AI108" s="2922"/>
      <c r="AJ108" s="2935"/>
      <c r="AK108" s="2910"/>
      <c r="AL108" s="2867"/>
      <c r="AM108" s="2867"/>
      <c r="AN108" s="2867"/>
      <c r="AO108" s="2870"/>
      <c r="AP108" s="2941"/>
      <c r="AQ108" s="2885"/>
      <c r="AR108" s="2870"/>
      <c r="AS108" s="2870"/>
      <c r="AT108" s="2867"/>
      <c r="AU108" s="2867"/>
      <c r="AV108" s="2867"/>
      <c r="AW108" s="2867"/>
      <c r="AX108" s="2867"/>
      <c r="AY108" s="2867"/>
      <c r="AZ108" s="2867"/>
      <c r="BA108" s="2867"/>
      <c r="BB108" s="2867"/>
      <c r="BC108" s="2867"/>
      <c r="BD108" s="2867"/>
      <c r="BE108" s="2867"/>
      <c r="BF108" s="2867"/>
      <c r="BG108" s="2867"/>
      <c r="BH108" s="2867"/>
      <c r="BI108" s="2867"/>
      <c r="BJ108" s="2867"/>
      <c r="BK108" s="2867"/>
      <c r="BL108" s="2867"/>
      <c r="BM108" s="2867"/>
      <c r="BN108" s="2867"/>
      <c r="BO108" s="2867"/>
      <c r="BP108" s="2867"/>
      <c r="BQ108" s="2867"/>
      <c r="BR108" s="2867"/>
      <c r="BS108" s="2867"/>
      <c r="BT108" s="2867"/>
      <c r="BU108" s="2867"/>
      <c r="BV108" s="2867"/>
      <c r="BW108" s="2867"/>
      <c r="BX108" s="2867"/>
      <c r="BY108" s="2867"/>
      <c r="BZ108" s="2867"/>
      <c r="CA108" s="2867"/>
      <c r="CB108" s="2867"/>
      <c r="CC108" s="2867"/>
      <c r="CD108" s="2867"/>
      <c r="CE108" s="2867"/>
      <c r="CF108" s="2867"/>
      <c r="CG108" s="2867"/>
      <c r="CH108" s="2867"/>
      <c r="CI108" s="2867"/>
      <c r="CJ108" s="2867"/>
      <c r="CK108" s="2867"/>
      <c r="CL108" s="2867"/>
      <c r="CM108" s="2867"/>
      <c r="CN108" s="2867"/>
      <c r="CO108" s="2867"/>
      <c r="CP108" s="2867"/>
      <c r="CQ108" s="2867"/>
      <c r="CR108" s="2867"/>
      <c r="CS108" s="2867"/>
      <c r="CT108" s="2867"/>
      <c r="CU108" s="2867"/>
      <c r="CV108" s="2867"/>
      <c r="CW108" s="2867"/>
    </row>
    <row r="109" spans="1:101">
      <c r="A109" s="2922"/>
      <c r="B109" s="2867"/>
      <c r="C109" s="2867"/>
      <c r="D109" s="2867"/>
      <c r="E109" s="2867"/>
      <c r="F109" s="2867"/>
      <c r="G109" s="2867"/>
      <c r="H109" s="2942"/>
      <c r="I109" s="2942"/>
      <c r="J109" s="2942"/>
      <c r="K109" s="2942"/>
      <c r="L109" s="2942"/>
      <c r="M109" s="2942"/>
      <c r="O109" s="2922"/>
      <c r="P109" s="2867"/>
      <c r="Q109" s="2870"/>
      <c r="T109" s="2867"/>
      <c r="U109" s="2867"/>
      <c r="V109" s="2870"/>
      <c r="W109" s="2870"/>
      <c r="X109" s="2867"/>
      <c r="Y109" s="2867"/>
      <c r="Z109" s="2867"/>
      <c r="AA109" s="2867"/>
      <c r="AB109" s="2867"/>
      <c r="AC109" s="2867"/>
      <c r="AD109" s="2867"/>
      <c r="AE109" s="2867"/>
      <c r="AF109" s="2867"/>
      <c r="AG109" s="2867"/>
      <c r="AH109" s="2940"/>
      <c r="AI109" s="2922"/>
      <c r="AJ109" s="2935"/>
      <c r="AK109" s="2910"/>
      <c r="AL109" s="2867"/>
      <c r="AM109" s="2867"/>
      <c r="AN109" s="2867"/>
      <c r="AO109" s="2870"/>
      <c r="AP109" s="2941"/>
      <c r="AQ109" s="2885"/>
      <c r="AR109" s="2870"/>
      <c r="AS109" s="2870"/>
      <c r="AT109" s="2867"/>
      <c r="AU109" s="2867"/>
      <c r="AV109" s="2867"/>
      <c r="AW109" s="2867"/>
      <c r="AX109" s="2867"/>
      <c r="AY109" s="2867"/>
      <c r="AZ109" s="2867"/>
      <c r="BA109" s="2867"/>
      <c r="BB109" s="2867"/>
      <c r="BC109" s="2867"/>
      <c r="BD109" s="2867"/>
      <c r="BE109" s="2867"/>
      <c r="BF109" s="2867"/>
      <c r="BG109" s="2867"/>
      <c r="BH109" s="2867"/>
      <c r="BI109" s="2867"/>
      <c r="BJ109" s="2867"/>
      <c r="BK109" s="2867"/>
      <c r="BL109" s="2867"/>
      <c r="BM109" s="2867"/>
      <c r="BN109" s="2867"/>
      <c r="BO109" s="2867"/>
      <c r="BP109" s="2867"/>
      <c r="BQ109" s="2867"/>
      <c r="BR109" s="2867"/>
      <c r="BS109" s="2867"/>
      <c r="BT109" s="2867"/>
      <c r="BU109" s="2867"/>
      <c r="BV109" s="2867"/>
      <c r="BW109" s="2867"/>
      <c r="BX109" s="2867"/>
      <c r="BY109" s="2867"/>
      <c r="BZ109" s="2867"/>
      <c r="CA109" s="2867"/>
      <c r="CB109" s="2867"/>
      <c r="CC109" s="2867"/>
      <c r="CD109" s="2867"/>
      <c r="CE109" s="2867"/>
      <c r="CF109" s="2867"/>
      <c r="CG109" s="2867"/>
      <c r="CH109" s="2867"/>
      <c r="CI109" s="2867"/>
      <c r="CJ109" s="2867"/>
      <c r="CK109" s="2867"/>
      <c r="CL109" s="2867"/>
      <c r="CM109" s="2867"/>
      <c r="CN109" s="2867"/>
      <c r="CO109" s="2867"/>
      <c r="CP109" s="2867"/>
      <c r="CQ109" s="2867"/>
      <c r="CR109" s="2867"/>
      <c r="CS109" s="2867"/>
      <c r="CT109" s="2867"/>
      <c r="CU109" s="2867"/>
      <c r="CV109" s="2867"/>
      <c r="CW109" s="2867"/>
    </row>
    <row r="110" spans="1:101">
      <c r="A110" s="2922"/>
      <c r="B110" s="2867"/>
      <c r="C110" s="2910"/>
      <c r="D110" s="2867"/>
      <c r="E110" s="2870"/>
      <c r="F110" s="2870"/>
      <c r="G110" s="2870"/>
      <c r="H110" s="2870"/>
      <c r="I110" s="2870"/>
      <c r="J110" s="2870"/>
      <c r="K110" s="2870"/>
      <c r="L110" s="2870"/>
      <c r="M110" s="2870"/>
      <c r="O110" s="2922"/>
      <c r="P110" s="2867"/>
      <c r="Q110" s="2867"/>
      <c r="T110" s="2867"/>
      <c r="U110" s="2867"/>
      <c r="V110" s="2867"/>
      <c r="W110" s="2867"/>
      <c r="X110" s="2867"/>
      <c r="Y110" s="2867"/>
      <c r="Z110" s="2867"/>
      <c r="AA110" s="2867"/>
      <c r="AB110" s="2867"/>
      <c r="AC110" s="2867"/>
      <c r="AD110" s="2867"/>
      <c r="AE110" s="2867"/>
      <c r="AF110" s="2867"/>
      <c r="AG110" s="2867"/>
      <c r="AH110" s="2940"/>
      <c r="AI110" s="2922"/>
      <c r="AJ110" s="2935"/>
      <c r="AK110" s="2910"/>
      <c r="AL110" s="2867"/>
      <c r="AM110" s="2867"/>
      <c r="AN110" s="2867"/>
      <c r="AO110" s="2870"/>
      <c r="AP110" s="2941"/>
      <c r="AQ110" s="2885"/>
      <c r="AR110" s="2870"/>
      <c r="AS110" s="2870"/>
      <c r="AT110" s="2867"/>
      <c r="AU110" s="2867"/>
      <c r="AV110" s="2867"/>
      <c r="AW110" s="2867"/>
      <c r="AX110" s="2867"/>
      <c r="AY110" s="2867"/>
      <c r="AZ110" s="2867"/>
      <c r="BA110" s="2867"/>
      <c r="BB110" s="2867"/>
      <c r="BC110" s="2867"/>
      <c r="BD110" s="2867"/>
      <c r="BE110" s="2867"/>
      <c r="BF110" s="2867"/>
      <c r="BG110" s="2867"/>
      <c r="BH110" s="2867"/>
      <c r="BI110" s="2867"/>
      <c r="BJ110" s="2867"/>
      <c r="BK110" s="2867"/>
      <c r="BL110" s="2867"/>
      <c r="BM110" s="2867"/>
      <c r="BN110" s="2867"/>
      <c r="BO110" s="2867"/>
      <c r="BP110" s="2867"/>
      <c r="BQ110" s="2867"/>
      <c r="BR110" s="2867"/>
      <c r="BS110" s="2867"/>
      <c r="BT110" s="2867"/>
      <c r="BU110" s="2867"/>
      <c r="BV110" s="2867"/>
      <c r="BW110" s="2867"/>
      <c r="BX110" s="2867"/>
      <c r="BY110" s="2867"/>
      <c r="BZ110" s="2867"/>
      <c r="CA110" s="2867"/>
      <c r="CB110" s="2867"/>
      <c r="CC110" s="2867"/>
      <c r="CD110" s="2867"/>
      <c r="CE110" s="2867"/>
      <c r="CF110" s="2867"/>
      <c r="CG110" s="2867"/>
      <c r="CH110" s="2867"/>
      <c r="CI110" s="2867"/>
      <c r="CJ110" s="2867"/>
      <c r="CK110" s="2867"/>
      <c r="CL110" s="2867"/>
      <c r="CM110" s="2867"/>
      <c r="CN110" s="2867"/>
      <c r="CO110" s="2867"/>
      <c r="CP110" s="2867"/>
      <c r="CQ110" s="2867"/>
      <c r="CR110" s="2867"/>
      <c r="CS110" s="2867"/>
      <c r="CT110" s="2867"/>
      <c r="CU110" s="2867"/>
      <c r="CV110" s="2867"/>
      <c r="CW110" s="2867"/>
    </row>
    <row r="111" spans="1:101">
      <c r="A111" s="2922"/>
      <c r="B111" s="2867"/>
      <c r="C111" s="2935"/>
      <c r="D111" s="2867"/>
      <c r="E111" s="2942"/>
      <c r="F111" s="2942"/>
      <c r="G111" s="2942"/>
      <c r="H111" s="2942"/>
      <c r="I111" s="2942"/>
      <c r="J111" s="2942"/>
      <c r="K111" s="2942"/>
      <c r="L111" s="2942"/>
      <c r="M111" s="2942"/>
      <c r="O111" s="2922"/>
      <c r="P111" s="2867"/>
      <c r="Q111" s="2867"/>
      <c r="T111" s="2872"/>
      <c r="U111" s="2867"/>
      <c r="V111" s="2870"/>
      <c r="W111" s="2870"/>
      <c r="X111" s="2867"/>
      <c r="Y111" s="2867"/>
      <c r="Z111" s="2867"/>
      <c r="AA111" s="2867"/>
      <c r="AB111" s="2867"/>
      <c r="AC111" s="2867"/>
      <c r="AD111" s="2867"/>
      <c r="AE111" s="2867"/>
      <c r="AF111" s="2867"/>
      <c r="AG111" s="2867"/>
      <c r="AH111" s="2940"/>
      <c r="AI111" s="2922"/>
      <c r="AJ111" s="2935"/>
      <c r="AK111" s="2910"/>
      <c r="AL111" s="2867"/>
      <c r="AM111" s="2867"/>
      <c r="AN111" s="2867"/>
      <c r="AO111" s="2870"/>
      <c r="AP111" s="2941"/>
      <c r="AQ111" s="2885"/>
      <c r="AR111" s="2870"/>
      <c r="AS111" s="2870"/>
      <c r="AT111" s="2867"/>
      <c r="AU111" s="2867"/>
      <c r="AV111" s="2867"/>
      <c r="AW111" s="2867"/>
      <c r="AX111" s="2867"/>
      <c r="AY111" s="2867"/>
      <c r="AZ111" s="2867"/>
      <c r="BA111" s="2867"/>
      <c r="BB111" s="2867"/>
      <c r="BC111" s="2867"/>
      <c r="BD111" s="2867"/>
      <c r="BE111" s="2867"/>
      <c r="BF111" s="2867"/>
      <c r="BG111" s="2867"/>
      <c r="BH111" s="2867"/>
      <c r="BI111" s="2867"/>
      <c r="BJ111" s="2867"/>
      <c r="BK111" s="2867"/>
      <c r="BL111" s="2867"/>
      <c r="BM111" s="2867"/>
      <c r="BN111" s="2867"/>
      <c r="BO111" s="2867"/>
      <c r="BP111" s="2867"/>
      <c r="BQ111" s="2867"/>
      <c r="BR111" s="2867"/>
      <c r="BS111" s="2867"/>
      <c r="BT111" s="2867"/>
      <c r="BU111" s="2867"/>
      <c r="BV111" s="2867"/>
      <c r="BW111" s="2867"/>
      <c r="BX111" s="2867"/>
      <c r="BY111" s="2867"/>
      <c r="BZ111" s="2867"/>
      <c r="CA111" s="2867"/>
      <c r="CB111" s="2867"/>
      <c r="CC111" s="2867"/>
      <c r="CD111" s="2867"/>
      <c r="CE111" s="2867"/>
      <c r="CF111" s="2867"/>
      <c r="CG111" s="2867"/>
      <c r="CH111" s="2867"/>
      <c r="CI111" s="2867"/>
      <c r="CJ111" s="2867"/>
      <c r="CK111" s="2867"/>
      <c r="CL111" s="2867"/>
      <c r="CM111" s="2867"/>
      <c r="CN111" s="2867"/>
      <c r="CO111" s="2867"/>
      <c r="CP111" s="2867"/>
      <c r="CQ111" s="2867"/>
      <c r="CR111" s="2867"/>
      <c r="CS111" s="2867"/>
      <c r="CT111" s="2867"/>
      <c r="CU111" s="2867"/>
      <c r="CV111" s="2867"/>
      <c r="CW111" s="2867"/>
    </row>
    <row r="112" spans="1:101">
      <c r="A112" s="2922"/>
      <c r="B112" s="2867"/>
      <c r="C112" s="2867"/>
      <c r="D112" s="2870"/>
      <c r="E112" s="2944"/>
      <c r="F112" s="2944"/>
      <c r="G112" s="2944"/>
      <c r="H112" s="2935"/>
      <c r="I112" s="2935"/>
      <c r="J112" s="2935"/>
      <c r="K112" s="2935"/>
      <c r="L112" s="2935"/>
      <c r="M112" s="2935"/>
      <c r="O112" s="2922"/>
      <c r="P112" s="2867"/>
      <c r="Q112" s="2867"/>
      <c r="T112" s="2867"/>
      <c r="U112" s="2867"/>
      <c r="V112" s="2870"/>
      <c r="W112" s="2870"/>
      <c r="X112" s="2867"/>
      <c r="Y112" s="2867"/>
      <c r="Z112" s="2867"/>
      <c r="AA112" s="2867"/>
      <c r="AB112" s="2867"/>
      <c r="AC112" s="2867"/>
      <c r="AD112" s="2867"/>
      <c r="AE112" s="2867"/>
      <c r="AF112" s="2867"/>
      <c r="AG112" s="2867"/>
      <c r="AH112" s="2940"/>
      <c r="AI112" s="2922"/>
      <c r="AJ112" s="2935"/>
      <c r="AK112" s="2910"/>
      <c r="AL112" s="2867"/>
      <c r="AM112" s="2867"/>
      <c r="AN112" s="2867"/>
      <c r="AO112" s="2870"/>
      <c r="AP112" s="2941"/>
      <c r="AQ112" s="2885"/>
      <c r="AR112" s="2870"/>
      <c r="AS112" s="2870"/>
      <c r="AT112" s="2867"/>
      <c r="AU112" s="2867"/>
      <c r="AV112" s="2867"/>
      <c r="AW112" s="2867"/>
      <c r="AX112" s="2867"/>
      <c r="AY112" s="2867"/>
      <c r="AZ112" s="2867"/>
      <c r="BA112" s="2867"/>
      <c r="BB112" s="2867"/>
      <c r="BC112" s="2867"/>
      <c r="BD112" s="2867"/>
      <c r="BE112" s="2867"/>
      <c r="BF112" s="2867"/>
      <c r="BG112" s="2867"/>
      <c r="BH112" s="2867"/>
      <c r="BI112" s="2867"/>
      <c r="BJ112" s="2867"/>
      <c r="BK112" s="2867"/>
      <c r="BL112" s="2867"/>
      <c r="BM112" s="2867"/>
      <c r="BN112" s="2867"/>
      <c r="BO112" s="2867"/>
      <c r="BP112" s="2867"/>
      <c r="BQ112" s="2867"/>
      <c r="BR112" s="2867"/>
      <c r="BS112" s="2867"/>
      <c r="BT112" s="2867"/>
      <c r="BU112" s="2867"/>
      <c r="BV112" s="2867"/>
      <c r="BW112" s="2867"/>
      <c r="BX112" s="2867"/>
      <c r="BY112" s="2867"/>
      <c r="BZ112" s="2867"/>
      <c r="CA112" s="2867"/>
      <c r="CB112" s="2867"/>
      <c r="CC112" s="2867"/>
      <c r="CD112" s="2867"/>
      <c r="CE112" s="2867"/>
      <c r="CF112" s="2867"/>
      <c r="CG112" s="2867"/>
      <c r="CH112" s="2867"/>
      <c r="CI112" s="2867"/>
      <c r="CJ112" s="2867"/>
      <c r="CK112" s="2867"/>
      <c r="CL112" s="2867"/>
      <c r="CM112" s="2867"/>
      <c r="CN112" s="2867"/>
      <c r="CO112" s="2867"/>
      <c r="CP112" s="2867"/>
      <c r="CQ112" s="2867"/>
      <c r="CR112" s="2867"/>
      <c r="CS112" s="2867"/>
      <c r="CT112" s="2867"/>
      <c r="CU112" s="2867"/>
      <c r="CV112" s="2867"/>
      <c r="CW112" s="2867"/>
    </row>
    <row r="113" spans="1:101">
      <c r="A113" s="2922"/>
      <c r="B113" s="2867"/>
      <c r="C113" s="2867"/>
      <c r="D113" s="2870"/>
      <c r="E113" s="2944"/>
      <c r="F113" s="2944"/>
      <c r="G113" s="2944"/>
      <c r="H113" s="2867"/>
      <c r="I113" s="2867"/>
      <c r="J113" s="2867"/>
      <c r="K113" s="2867"/>
      <c r="L113" s="2867"/>
      <c r="M113" s="2867"/>
      <c r="O113" s="2922"/>
      <c r="P113" s="2867"/>
      <c r="Q113" s="2867"/>
      <c r="T113" s="2867"/>
      <c r="U113" s="2867"/>
      <c r="V113" s="2867"/>
      <c r="W113" s="2867"/>
      <c r="X113" s="2867"/>
      <c r="Y113" s="2867"/>
      <c r="Z113" s="2867"/>
      <c r="AA113" s="2867"/>
      <c r="AB113" s="2867"/>
      <c r="AC113" s="2867"/>
      <c r="AD113" s="2867"/>
      <c r="AE113" s="2867"/>
      <c r="AF113" s="2867"/>
      <c r="AG113" s="2867"/>
      <c r="AH113" s="2940"/>
      <c r="AI113" s="2922"/>
      <c r="AJ113" s="2935"/>
      <c r="AK113" s="2910"/>
      <c r="AL113" s="2867"/>
      <c r="AM113" s="2867"/>
      <c r="AN113" s="2867"/>
      <c r="AO113" s="2870"/>
      <c r="AP113" s="2941"/>
      <c r="AQ113" s="2885"/>
      <c r="AR113" s="2870"/>
      <c r="AS113" s="2870"/>
      <c r="AT113" s="2867"/>
      <c r="AU113" s="2867"/>
      <c r="AV113" s="2867"/>
      <c r="AW113" s="2867"/>
      <c r="AX113" s="2867"/>
      <c r="AY113" s="2867"/>
      <c r="AZ113" s="2867"/>
      <c r="BA113" s="2867"/>
      <c r="BB113" s="2867"/>
      <c r="BC113" s="2867"/>
      <c r="BD113" s="2867"/>
      <c r="BE113" s="2867"/>
      <c r="BF113" s="2867"/>
      <c r="BG113" s="2867"/>
      <c r="BH113" s="2867"/>
      <c r="BI113" s="2867"/>
      <c r="BJ113" s="2867"/>
      <c r="BK113" s="2867"/>
      <c r="BL113" s="2867"/>
      <c r="BM113" s="2867"/>
      <c r="BN113" s="2867"/>
      <c r="BO113" s="2867"/>
      <c r="BP113" s="2867"/>
      <c r="BQ113" s="2867"/>
      <c r="BR113" s="2867"/>
      <c r="BS113" s="2867"/>
      <c r="BT113" s="2867"/>
      <c r="BU113" s="2867"/>
      <c r="BV113" s="2867"/>
      <c r="BW113" s="2867"/>
      <c r="BX113" s="2867"/>
      <c r="BY113" s="2867"/>
      <c r="BZ113" s="2867"/>
      <c r="CA113" s="2867"/>
      <c r="CB113" s="2867"/>
      <c r="CC113" s="2867"/>
      <c r="CD113" s="2867"/>
      <c r="CE113" s="2867"/>
      <c r="CF113" s="2867"/>
      <c r="CG113" s="2867"/>
      <c r="CH113" s="2867"/>
      <c r="CI113" s="2867"/>
      <c r="CJ113" s="2867"/>
      <c r="CK113" s="2867"/>
      <c r="CL113" s="2867"/>
      <c r="CM113" s="2867"/>
      <c r="CN113" s="2867"/>
      <c r="CO113" s="2867"/>
      <c r="CP113" s="2867"/>
      <c r="CQ113" s="2867"/>
      <c r="CR113" s="2867"/>
      <c r="CS113" s="2867"/>
      <c r="CT113" s="2867"/>
      <c r="CU113" s="2867"/>
      <c r="CV113" s="2867"/>
      <c r="CW113" s="2867"/>
    </row>
    <row r="114" spans="1:101">
      <c r="A114" s="2922"/>
      <c r="B114" s="2867"/>
      <c r="C114" s="2867"/>
      <c r="D114" s="2867"/>
      <c r="E114" s="2935"/>
      <c r="F114" s="2935"/>
      <c r="G114" s="2935"/>
      <c r="H114" s="2867"/>
      <c r="I114" s="2867"/>
      <c r="J114" s="2867"/>
      <c r="K114" s="2867"/>
      <c r="L114" s="2867"/>
      <c r="M114" s="2867"/>
      <c r="O114" s="2922"/>
      <c r="P114" s="2867"/>
      <c r="Q114" s="2867"/>
      <c r="T114" s="2870"/>
      <c r="U114" s="2867"/>
      <c r="V114" s="2870"/>
      <c r="W114" s="2870"/>
      <c r="X114" s="2867"/>
      <c r="Y114" s="2867"/>
      <c r="Z114" s="2867"/>
      <c r="AA114" s="2867"/>
      <c r="AB114" s="2867"/>
      <c r="AC114" s="2867"/>
      <c r="AD114" s="2867"/>
      <c r="AE114" s="2867"/>
      <c r="AF114" s="2867"/>
      <c r="AG114" s="2867"/>
      <c r="AH114" s="2940"/>
      <c r="AI114" s="2922"/>
      <c r="AJ114" s="2935"/>
      <c r="AK114" s="2910"/>
      <c r="AL114" s="2867"/>
      <c r="AM114" s="2867"/>
      <c r="AN114" s="2867"/>
      <c r="AO114" s="2870"/>
      <c r="AP114" s="2941"/>
      <c r="AQ114" s="2885"/>
      <c r="AR114" s="2870"/>
      <c r="AS114" s="2870"/>
      <c r="AT114" s="2867"/>
      <c r="AU114" s="2867"/>
      <c r="AV114" s="2867"/>
      <c r="AW114" s="2867"/>
      <c r="AX114" s="2867"/>
      <c r="AY114" s="2867"/>
      <c r="AZ114" s="2867"/>
      <c r="BA114" s="2867"/>
      <c r="BB114" s="2867"/>
      <c r="BC114" s="2867"/>
      <c r="BD114" s="2867"/>
      <c r="BE114" s="2867"/>
      <c r="BF114" s="2867"/>
      <c r="BG114" s="2867"/>
      <c r="BH114" s="2867"/>
      <c r="BI114" s="2867"/>
      <c r="BJ114" s="2867"/>
      <c r="BK114" s="2867"/>
      <c r="BL114" s="2867"/>
      <c r="BM114" s="2867"/>
      <c r="BN114" s="2867"/>
      <c r="BO114" s="2867"/>
      <c r="BP114" s="2867"/>
      <c r="BQ114" s="2867"/>
      <c r="BR114" s="2867"/>
      <c r="BS114" s="2867"/>
      <c r="BT114" s="2867"/>
      <c r="BU114" s="2867"/>
      <c r="BV114" s="2867"/>
      <c r="BW114" s="2867"/>
      <c r="BX114" s="2867"/>
      <c r="BY114" s="2867"/>
      <c r="BZ114" s="2867"/>
      <c r="CA114" s="2867"/>
      <c r="CB114" s="2867"/>
      <c r="CC114" s="2867"/>
      <c r="CD114" s="2867"/>
      <c r="CE114" s="2867"/>
      <c r="CF114" s="2867"/>
      <c r="CG114" s="2867"/>
      <c r="CH114" s="2867"/>
      <c r="CI114" s="2867"/>
      <c r="CJ114" s="2867"/>
      <c r="CK114" s="2867"/>
      <c r="CL114" s="2867"/>
      <c r="CM114" s="2867"/>
      <c r="CN114" s="2867"/>
      <c r="CO114" s="2867"/>
      <c r="CP114" s="2867"/>
      <c r="CQ114" s="2867"/>
      <c r="CR114" s="2867"/>
      <c r="CS114" s="2867"/>
      <c r="CT114" s="2867"/>
      <c r="CU114" s="2867"/>
      <c r="CV114" s="2867"/>
      <c r="CW114" s="2867"/>
    </row>
    <row r="115" spans="1:101">
      <c r="A115" s="2922"/>
      <c r="B115" s="2867"/>
      <c r="C115" s="2867"/>
      <c r="D115" s="2867"/>
      <c r="E115" s="2945"/>
      <c r="F115" s="2945"/>
      <c r="G115" s="2945"/>
      <c r="H115" s="2872"/>
      <c r="I115" s="2872"/>
      <c r="J115" s="2872"/>
      <c r="K115" s="2872"/>
      <c r="L115" s="2872"/>
      <c r="M115" s="2872"/>
      <c r="O115" s="2922"/>
      <c r="P115" s="2910"/>
      <c r="Q115" s="2867"/>
      <c r="T115" s="2870"/>
      <c r="U115" s="2867"/>
      <c r="V115" s="2870"/>
      <c r="W115" s="2870"/>
      <c r="X115" s="2867"/>
      <c r="Y115" s="2867"/>
      <c r="Z115" s="2867"/>
      <c r="AA115" s="2867"/>
      <c r="AB115" s="2867"/>
      <c r="AC115" s="2867"/>
      <c r="AD115" s="2867"/>
      <c r="AE115" s="2867"/>
      <c r="AF115" s="2867"/>
      <c r="AG115" s="2867"/>
      <c r="AH115" s="2940"/>
      <c r="AI115" s="2922"/>
      <c r="AJ115" s="2935"/>
      <c r="AK115" s="2910"/>
      <c r="AL115" s="2867"/>
      <c r="AM115" s="2867"/>
      <c r="AN115" s="2867"/>
      <c r="AO115" s="2870"/>
      <c r="AP115" s="2941"/>
      <c r="AQ115" s="2885"/>
      <c r="AR115" s="2870"/>
      <c r="AS115" s="2870"/>
      <c r="AT115" s="2867"/>
      <c r="AU115" s="2867"/>
      <c r="AV115" s="2867"/>
      <c r="AW115" s="2867"/>
      <c r="AX115" s="2867"/>
      <c r="AY115" s="2867"/>
      <c r="AZ115" s="2867"/>
      <c r="BA115" s="2867"/>
      <c r="BB115" s="2867"/>
      <c r="BC115" s="2867"/>
      <c r="BD115" s="2867"/>
      <c r="BE115" s="2867"/>
      <c r="BF115" s="2867"/>
      <c r="BG115" s="2867"/>
      <c r="BH115" s="2867"/>
      <c r="BI115" s="2867"/>
      <c r="BJ115" s="2867"/>
      <c r="BK115" s="2867"/>
      <c r="BL115" s="2867"/>
      <c r="BM115" s="2867"/>
      <c r="BN115" s="2867"/>
      <c r="BO115" s="2867"/>
      <c r="BP115" s="2867"/>
      <c r="BQ115" s="2867"/>
      <c r="BR115" s="2867"/>
      <c r="BS115" s="2867"/>
      <c r="BT115" s="2867"/>
      <c r="BU115" s="2867"/>
      <c r="BV115" s="2867"/>
      <c r="BW115" s="2867"/>
      <c r="BX115" s="2867"/>
      <c r="BY115" s="2867"/>
      <c r="BZ115" s="2867"/>
      <c r="CA115" s="2867"/>
      <c r="CB115" s="2867"/>
      <c r="CC115" s="2867"/>
      <c r="CD115" s="2867"/>
      <c r="CE115" s="2867"/>
      <c r="CF115" s="2867"/>
      <c r="CG115" s="2867"/>
      <c r="CH115" s="2867"/>
      <c r="CI115" s="2867"/>
      <c r="CJ115" s="2867"/>
      <c r="CK115" s="2867"/>
      <c r="CL115" s="2867"/>
      <c r="CM115" s="2867"/>
      <c r="CN115" s="2867"/>
      <c r="CO115" s="2867"/>
      <c r="CP115" s="2867"/>
      <c r="CQ115" s="2867"/>
      <c r="CR115" s="2867"/>
      <c r="CS115" s="2867"/>
      <c r="CT115" s="2867"/>
      <c r="CU115" s="2867"/>
      <c r="CV115" s="2867"/>
      <c r="CW115" s="2867"/>
    </row>
    <row r="116" spans="1:101">
      <c r="A116" s="2922"/>
      <c r="B116" s="2867"/>
      <c r="C116" s="2867"/>
      <c r="D116" s="2867"/>
      <c r="E116" s="2870"/>
      <c r="F116" s="2870"/>
      <c r="G116" s="2870"/>
      <c r="H116" s="2867"/>
      <c r="I116" s="2867"/>
      <c r="J116" s="2867"/>
      <c r="K116" s="2867"/>
      <c r="L116" s="2867"/>
      <c r="M116" s="2867"/>
      <c r="O116" s="2922"/>
      <c r="P116" s="2867"/>
      <c r="Q116" s="2867"/>
      <c r="T116" s="2870"/>
      <c r="U116" s="2870"/>
      <c r="V116" s="2870"/>
      <c r="W116" s="2870"/>
      <c r="X116" s="2867"/>
      <c r="Y116" s="2867"/>
      <c r="Z116" s="2867"/>
      <c r="AA116" s="2867"/>
      <c r="AB116" s="2867"/>
      <c r="AC116" s="2867"/>
      <c r="AD116" s="2867"/>
      <c r="AE116" s="2867"/>
      <c r="AF116" s="2867"/>
      <c r="AG116" s="2867"/>
      <c r="AH116" s="2940"/>
      <c r="AI116" s="2922"/>
      <c r="AJ116" s="2935"/>
      <c r="AK116" s="2910"/>
      <c r="AL116" s="2867"/>
      <c r="AM116" s="2867"/>
      <c r="AN116" s="2867"/>
      <c r="AO116" s="2870"/>
      <c r="AP116" s="2941"/>
      <c r="AQ116" s="2885"/>
      <c r="AR116" s="2870"/>
      <c r="AS116" s="2870"/>
      <c r="AT116" s="2867"/>
      <c r="AU116" s="2867"/>
      <c r="AV116" s="2867"/>
      <c r="AW116" s="2867"/>
      <c r="AX116" s="2867"/>
      <c r="AY116" s="2867"/>
      <c r="AZ116" s="2867"/>
      <c r="BA116" s="2867"/>
      <c r="BB116" s="2867"/>
      <c r="BC116" s="2867"/>
      <c r="BD116" s="2867"/>
      <c r="BE116" s="2867"/>
      <c r="BF116" s="2867"/>
      <c r="BG116" s="2867"/>
      <c r="BH116" s="2867"/>
      <c r="BI116" s="2867"/>
      <c r="BJ116" s="2867"/>
      <c r="BK116" s="2867"/>
      <c r="BL116" s="2867"/>
      <c r="BM116" s="2867"/>
      <c r="BN116" s="2867"/>
      <c r="BO116" s="2867"/>
      <c r="BP116" s="2867"/>
      <c r="BQ116" s="2867"/>
      <c r="BR116" s="2867"/>
      <c r="BS116" s="2867"/>
      <c r="BT116" s="2867"/>
      <c r="BU116" s="2867"/>
      <c r="BV116" s="2867"/>
      <c r="BW116" s="2867"/>
      <c r="BX116" s="2867"/>
      <c r="BY116" s="2867"/>
      <c r="BZ116" s="2867"/>
      <c r="CA116" s="2867"/>
      <c r="CB116" s="2867"/>
      <c r="CC116" s="2867"/>
      <c r="CD116" s="2867"/>
      <c r="CE116" s="2867"/>
      <c r="CF116" s="2867"/>
      <c r="CG116" s="2867"/>
      <c r="CH116" s="2867"/>
      <c r="CI116" s="2867"/>
      <c r="CJ116" s="2867"/>
      <c r="CK116" s="2867"/>
      <c r="CL116" s="2867"/>
      <c r="CM116" s="2867"/>
      <c r="CN116" s="2867"/>
      <c r="CO116" s="2867"/>
      <c r="CP116" s="2867"/>
      <c r="CQ116" s="2867"/>
      <c r="CR116" s="2867"/>
      <c r="CS116" s="2867"/>
      <c r="CT116" s="2867"/>
      <c r="CU116" s="2867"/>
      <c r="CV116" s="2867"/>
      <c r="CW116" s="2867"/>
    </row>
    <row r="117" spans="1:101">
      <c r="A117" s="2922"/>
      <c r="B117" s="2867"/>
      <c r="C117" s="2867"/>
      <c r="D117" s="2867"/>
      <c r="E117" s="2867"/>
      <c r="F117" s="2867"/>
      <c r="G117" s="2867"/>
      <c r="H117" s="2867"/>
      <c r="I117" s="2867"/>
      <c r="J117" s="2867"/>
      <c r="K117" s="2867"/>
      <c r="L117" s="2867"/>
      <c r="M117" s="2867"/>
      <c r="O117" s="2922"/>
      <c r="P117" s="2910"/>
      <c r="Q117" s="2867"/>
      <c r="T117" s="2867"/>
      <c r="U117" s="2867"/>
      <c r="V117" s="2867"/>
      <c r="W117" s="2867"/>
      <c r="X117" s="2867"/>
      <c r="Y117" s="2867"/>
      <c r="Z117" s="2867"/>
      <c r="AA117" s="2867"/>
      <c r="AB117" s="2867"/>
      <c r="AC117" s="2867"/>
      <c r="AD117" s="2867"/>
      <c r="AE117" s="2867"/>
      <c r="AF117" s="2867"/>
      <c r="AG117" s="2867"/>
      <c r="AH117" s="2867"/>
      <c r="AI117" s="2867"/>
      <c r="AJ117" s="2867"/>
      <c r="AK117" s="2867"/>
      <c r="AL117" s="2867"/>
      <c r="AM117" s="2867"/>
      <c r="AN117" s="2867"/>
      <c r="AO117" s="2870"/>
      <c r="AP117" s="2941"/>
      <c r="AQ117" s="2942"/>
      <c r="AR117" s="2942"/>
      <c r="AS117" s="2942"/>
      <c r="AT117" s="2867"/>
      <c r="AU117" s="2867"/>
      <c r="AV117" s="2867"/>
      <c r="AW117" s="2867"/>
      <c r="AX117" s="2867"/>
      <c r="AY117" s="2867"/>
      <c r="AZ117" s="2867"/>
      <c r="BA117" s="2867"/>
      <c r="BB117" s="2867"/>
      <c r="BC117" s="2867"/>
      <c r="BD117" s="2867"/>
      <c r="BE117" s="2867"/>
      <c r="BF117" s="2867"/>
      <c r="BG117" s="2867"/>
      <c r="BH117" s="2867"/>
      <c r="BI117" s="2867"/>
      <c r="BJ117" s="2867"/>
      <c r="BK117" s="2867"/>
      <c r="BL117" s="2867"/>
      <c r="BM117" s="2867"/>
      <c r="BN117" s="2867"/>
      <c r="BO117" s="2867"/>
      <c r="BP117" s="2867"/>
      <c r="BQ117" s="2867"/>
      <c r="BR117" s="2867"/>
      <c r="BS117" s="2867"/>
      <c r="BT117" s="2867"/>
      <c r="BU117" s="2867"/>
      <c r="BV117" s="2867"/>
      <c r="BW117" s="2867"/>
      <c r="BX117" s="2867"/>
      <c r="BY117" s="2867"/>
      <c r="BZ117" s="2867"/>
      <c r="CA117" s="2867"/>
      <c r="CB117" s="2867"/>
      <c r="CC117" s="2867"/>
      <c r="CD117" s="2867"/>
      <c r="CE117" s="2867"/>
      <c r="CF117" s="2867"/>
      <c r="CG117" s="2867"/>
      <c r="CH117" s="2867"/>
      <c r="CI117" s="2867"/>
      <c r="CJ117" s="2867"/>
      <c r="CK117" s="2867"/>
      <c r="CL117" s="2867"/>
      <c r="CM117" s="2867"/>
      <c r="CN117" s="2867"/>
      <c r="CO117" s="2867"/>
      <c r="CP117" s="2867"/>
      <c r="CQ117" s="2867"/>
      <c r="CR117" s="2867"/>
      <c r="CS117" s="2867"/>
      <c r="CT117" s="2867"/>
      <c r="CU117" s="2867"/>
      <c r="CV117" s="2867"/>
      <c r="CW117" s="2867"/>
    </row>
    <row r="118" spans="1:101">
      <c r="A118" s="2922"/>
      <c r="B118" s="2867"/>
      <c r="C118" s="2867"/>
      <c r="D118" s="2867"/>
      <c r="E118" s="2867"/>
      <c r="F118" s="2867"/>
      <c r="G118" s="2867"/>
      <c r="H118" s="2870"/>
      <c r="I118" s="2870"/>
      <c r="J118" s="2870"/>
      <c r="K118" s="2870"/>
      <c r="L118" s="2870"/>
      <c r="M118" s="2870"/>
      <c r="O118" s="2867"/>
      <c r="P118" s="2867"/>
      <c r="Q118" s="2867"/>
      <c r="T118" s="2867"/>
      <c r="U118" s="2867"/>
      <c r="V118" s="2867"/>
      <c r="W118" s="2867"/>
      <c r="X118" s="2934"/>
      <c r="Y118" s="2867"/>
      <c r="Z118" s="2867"/>
      <c r="AA118" s="2867"/>
      <c r="AB118" s="2867"/>
      <c r="AC118" s="2867"/>
      <c r="AD118" s="2867"/>
      <c r="AE118" s="2910"/>
      <c r="AF118" s="2867"/>
      <c r="AG118" s="2867"/>
      <c r="AH118" s="2867"/>
      <c r="AI118" s="2922"/>
      <c r="AJ118" s="2867"/>
      <c r="AK118" s="2910"/>
      <c r="AL118" s="2867"/>
      <c r="AM118" s="2867"/>
      <c r="AN118" s="2867"/>
      <c r="AO118" s="2870"/>
      <c r="AP118" s="2867"/>
      <c r="AQ118" s="2870"/>
      <c r="AR118" s="2870"/>
      <c r="AS118" s="2870"/>
      <c r="AT118" s="2867"/>
      <c r="AU118" s="2867"/>
      <c r="AV118" s="2867"/>
      <c r="AW118" s="2867"/>
      <c r="AX118" s="2867"/>
      <c r="AY118" s="2867"/>
      <c r="AZ118" s="2867"/>
      <c r="BA118" s="2867"/>
      <c r="BB118" s="2867"/>
      <c r="BC118" s="2867"/>
      <c r="BD118" s="2867"/>
      <c r="BE118" s="2867"/>
      <c r="BF118" s="2867"/>
      <c r="BG118" s="2867"/>
      <c r="BH118" s="2867"/>
      <c r="BI118" s="2867"/>
      <c r="BJ118" s="2867"/>
      <c r="BK118" s="2867"/>
      <c r="BL118" s="2867"/>
      <c r="BM118" s="2867"/>
      <c r="BN118" s="2867"/>
      <c r="BO118" s="2867"/>
      <c r="BP118" s="2867"/>
      <c r="BQ118" s="2867"/>
      <c r="BR118" s="2867"/>
      <c r="BS118" s="2867"/>
      <c r="BT118" s="2867"/>
      <c r="BU118" s="2867"/>
      <c r="BV118" s="2867"/>
      <c r="BW118" s="2867"/>
      <c r="BX118" s="2867"/>
      <c r="BY118" s="2867"/>
      <c r="BZ118" s="2867"/>
      <c r="CA118" s="2867"/>
      <c r="CB118" s="2867"/>
      <c r="CC118" s="2867"/>
      <c r="CD118" s="2867"/>
      <c r="CE118" s="2867"/>
      <c r="CF118" s="2867"/>
      <c r="CG118" s="2867"/>
      <c r="CH118" s="2867"/>
      <c r="CI118" s="2867"/>
      <c r="CJ118" s="2867"/>
      <c r="CK118" s="2867"/>
      <c r="CL118" s="2867"/>
      <c r="CM118" s="2867"/>
      <c r="CN118" s="2867"/>
      <c r="CO118" s="2867"/>
      <c r="CP118" s="2867"/>
      <c r="CQ118" s="2867"/>
      <c r="CR118" s="2867"/>
      <c r="CS118" s="2867"/>
      <c r="CT118" s="2867"/>
      <c r="CU118" s="2867"/>
      <c r="CV118" s="2867"/>
      <c r="CW118" s="2867"/>
    </row>
    <row r="119" spans="1:101">
      <c r="A119" s="2922"/>
      <c r="B119" s="2867"/>
      <c r="C119" s="2910"/>
      <c r="D119" s="2867"/>
      <c r="E119" s="2867"/>
      <c r="F119" s="2867"/>
      <c r="G119" s="2867"/>
      <c r="H119" s="2870"/>
      <c r="I119" s="2870"/>
      <c r="J119" s="2870"/>
      <c r="K119" s="2870"/>
      <c r="L119" s="2870"/>
      <c r="M119" s="2870"/>
      <c r="O119" s="2867"/>
      <c r="P119" s="2867"/>
      <c r="Q119" s="2867"/>
      <c r="T119" s="2867"/>
      <c r="U119" s="2867"/>
      <c r="V119" s="2867"/>
      <c r="W119" s="2867"/>
      <c r="X119" s="2934"/>
      <c r="Y119" s="2867"/>
      <c r="Z119" s="2867"/>
      <c r="AA119" s="2867"/>
      <c r="AB119" s="2867"/>
      <c r="AC119" s="2867"/>
      <c r="AD119" s="2867"/>
      <c r="AE119" s="2910"/>
      <c r="AF119" s="2867"/>
      <c r="AG119" s="2867"/>
      <c r="AH119" s="2867"/>
      <c r="AI119" s="2867"/>
      <c r="AJ119" s="2867"/>
      <c r="AK119" s="2867"/>
      <c r="AL119" s="2867"/>
      <c r="AM119" s="2867"/>
      <c r="AN119" s="2867"/>
      <c r="AO119" s="2870"/>
      <c r="AP119" s="2867"/>
      <c r="AQ119" s="2942"/>
      <c r="AR119" s="2942"/>
      <c r="AS119" s="2942"/>
      <c r="AT119" s="2867"/>
      <c r="AU119" s="2867"/>
      <c r="AV119" s="2867"/>
      <c r="AW119" s="2867"/>
      <c r="AX119" s="2867"/>
      <c r="AY119" s="2867"/>
      <c r="AZ119" s="2867"/>
      <c r="BA119" s="2867"/>
      <c r="BB119" s="2867"/>
      <c r="BC119" s="2867"/>
      <c r="BD119" s="2867"/>
      <c r="BE119" s="2867"/>
      <c r="BF119" s="2867"/>
      <c r="BG119" s="2867"/>
      <c r="BH119" s="2867"/>
      <c r="BI119" s="2867"/>
      <c r="BJ119" s="2867"/>
      <c r="BK119" s="2867"/>
      <c r="BL119" s="2867"/>
      <c r="BM119" s="2867"/>
      <c r="BN119" s="2867"/>
      <c r="BO119" s="2867"/>
      <c r="BP119" s="2867"/>
      <c r="BQ119" s="2867"/>
      <c r="BR119" s="2867"/>
      <c r="BS119" s="2867"/>
      <c r="BT119" s="2867"/>
      <c r="BU119" s="2867"/>
      <c r="BV119" s="2867"/>
      <c r="BW119" s="2867"/>
      <c r="BX119" s="2867"/>
      <c r="BY119" s="2867"/>
      <c r="BZ119" s="2867"/>
      <c r="CA119" s="2867"/>
      <c r="CB119" s="2867"/>
      <c r="CC119" s="2867"/>
      <c r="CD119" s="2867"/>
      <c r="CE119" s="2867"/>
      <c r="CF119" s="2867"/>
      <c r="CG119" s="2867"/>
      <c r="CH119" s="2867"/>
      <c r="CI119" s="2867"/>
      <c r="CJ119" s="2867"/>
      <c r="CK119" s="2867"/>
      <c r="CL119" s="2867"/>
      <c r="CM119" s="2867"/>
      <c r="CN119" s="2867"/>
      <c r="CO119" s="2867"/>
      <c r="CP119" s="2867"/>
      <c r="CQ119" s="2867"/>
      <c r="CR119" s="2867"/>
      <c r="CS119" s="2867"/>
      <c r="CT119" s="2867"/>
      <c r="CU119" s="2867"/>
      <c r="CV119" s="2867"/>
      <c r="CW119" s="2867"/>
    </row>
    <row r="120" spans="1:101">
      <c r="A120" s="2922"/>
      <c r="B120" s="2867"/>
      <c r="C120" s="2867"/>
      <c r="D120" s="2867"/>
      <c r="E120" s="2867"/>
      <c r="F120" s="2867"/>
      <c r="G120" s="2867"/>
      <c r="H120" s="2870"/>
      <c r="I120" s="2870"/>
      <c r="J120" s="2870"/>
      <c r="K120" s="2870"/>
      <c r="L120" s="2870"/>
      <c r="M120" s="2870"/>
      <c r="O120" s="2867"/>
      <c r="P120" s="2867"/>
      <c r="Q120" s="2867"/>
      <c r="T120" s="2867"/>
      <c r="U120" s="2867"/>
      <c r="V120" s="2867"/>
      <c r="W120" s="2867"/>
      <c r="X120" s="2934"/>
      <c r="Y120" s="2867"/>
      <c r="Z120" s="2867"/>
      <c r="AA120" s="2867"/>
      <c r="AB120" s="2867"/>
      <c r="AC120" s="2867"/>
      <c r="AD120" s="2867"/>
      <c r="AE120" s="2867"/>
      <c r="AF120" s="2867"/>
      <c r="AG120" s="2867"/>
      <c r="AH120" s="2867"/>
      <c r="AI120" s="2910"/>
      <c r="AJ120" s="2867"/>
      <c r="AK120" s="2867"/>
      <c r="AL120" s="2867"/>
      <c r="AM120" s="2867"/>
      <c r="AN120" s="2867"/>
      <c r="AO120" s="2867"/>
      <c r="AP120" s="2867"/>
      <c r="AQ120" s="2870"/>
      <c r="AR120" s="2870"/>
      <c r="AS120" s="2867"/>
      <c r="AT120" s="2867"/>
      <c r="AU120" s="2867"/>
      <c r="AV120" s="2867"/>
      <c r="AW120" s="2867"/>
      <c r="AX120" s="2867"/>
      <c r="AY120" s="2867"/>
      <c r="AZ120" s="2867"/>
      <c r="BA120" s="2867"/>
      <c r="BB120" s="2867"/>
      <c r="BC120" s="2867"/>
      <c r="BD120" s="2867"/>
      <c r="BE120" s="2867"/>
      <c r="BF120" s="2867"/>
      <c r="BG120" s="2867"/>
      <c r="BH120" s="2867"/>
      <c r="BI120" s="2867"/>
      <c r="BJ120" s="2867"/>
      <c r="BK120" s="2867"/>
      <c r="BL120" s="2867"/>
      <c r="BM120" s="2867"/>
      <c r="BN120" s="2867"/>
      <c r="BO120" s="2867"/>
      <c r="BP120" s="2867"/>
      <c r="BQ120" s="2867"/>
      <c r="BR120" s="2867"/>
      <c r="BS120" s="2867"/>
      <c r="BT120" s="2867"/>
      <c r="BU120" s="2867"/>
      <c r="BV120" s="2867"/>
      <c r="BW120" s="2867"/>
      <c r="BX120" s="2867"/>
      <c r="BY120" s="2867"/>
      <c r="BZ120" s="2867"/>
      <c r="CA120" s="2867"/>
      <c r="CB120" s="2867"/>
      <c r="CC120" s="2867"/>
      <c r="CD120" s="2867"/>
      <c r="CE120" s="2867"/>
      <c r="CF120" s="2867"/>
      <c r="CG120" s="2867"/>
      <c r="CH120" s="2867"/>
      <c r="CI120" s="2867"/>
      <c r="CJ120" s="2867"/>
      <c r="CK120" s="2867"/>
      <c r="CL120" s="2867"/>
      <c r="CM120" s="2867"/>
      <c r="CN120" s="2867"/>
      <c r="CO120" s="2867"/>
      <c r="CP120" s="2867"/>
      <c r="CQ120" s="2867"/>
      <c r="CR120" s="2867"/>
      <c r="CS120" s="2867"/>
      <c r="CT120" s="2867"/>
      <c r="CU120" s="2867"/>
      <c r="CV120" s="2867"/>
      <c r="CW120" s="2867"/>
    </row>
    <row r="121" spans="1:101">
      <c r="A121" s="2922"/>
      <c r="B121" s="2867"/>
      <c r="C121" s="2910"/>
      <c r="D121" s="2867"/>
      <c r="E121" s="2867"/>
      <c r="F121" s="2867"/>
      <c r="G121" s="2867"/>
      <c r="H121" s="2867"/>
      <c r="I121" s="2867"/>
      <c r="J121" s="2867"/>
      <c r="K121" s="2867"/>
      <c r="L121" s="2867"/>
      <c r="M121" s="2867"/>
      <c r="O121" s="2867"/>
      <c r="P121" s="2867"/>
      <c r="Q121" s="2867"/>
      <c r="T121" s="2867"/>
      <c r="U121" s="2867"/>
      <c r="V121" s="2867"/>
      <c r="W121" s="2867"/>
      <c r="X121" s="2934"/>
      <c r="Y121" s="2867"/>
      <c r="Z121" s="2867"/>
      <c r="AA121" s="2867"/>
      <c r="AB121" s="2867"/>
      <c r="AC121" s="2867"/>
      <c r="AD121" s="2867"/>
      <c r="AE121" s="2910"/>
      <c r="AF121" s="2867"/>
      <c r="AG121" s="2867"/>
      <c r="AH121" s="2867"/>
      <c r="AI121" s="2910"/>
      <c r="AJ121" s="2867"/>
      <c r="AK121" s="2867"/>
      <c r="AL121" s="2867"/>
      <c r="AM121" s="2867"/>
      <c r="AN121" s="2867"/>
      <c r="AO121" s="2867"/>
      <c r="AP121" s="2867"/>
      <c r="AQ121" s="2870"/>
      <c r="AR121" s="2870"/>
      <c r="AS121" s="2867"/>
      <c r="AT121" s="2867"/>
      <c r="AU121" s="2867"/>
      <c r="AV121" s="2867"/>
      <c r="AW121" s="2867"/>
      <c r="AX121" s="2867"/>
      <c r="AY121" s="2867"/>
      <c r="AZ121" s="2867"/>
      <c r="BA121" s="2867"/>
      <c r="BB121" s="2867"/>
      <c r="BC121" s="2867"/>
      <c r="BD121" s="2867"/>
      <c r="BE121" s="2867"/>
      <c r="BF121" s="2867"/>
      <c r="BG121" s="2867"/>
      <c r="BH121" s="2867"/>
      <c r="BI121" s="2867"/>
      <c r="BJ121" s="2867"/>
      <c r="BK121" s="2867"/>
      <c r="BL121" s="2867"/>
      <c r="BM121" s="2867"/>
      <c r="BN121" s="2867"/>
      <c r="BO121" s="2867"/>
      <c r="BP121" s="2867"/>
      <c r="BQ121" s="2867"/>
      <c r="BR121" s="2867"/>
      <c r="BS121" s="2867"/>
      <c r="BT121" s="2867"/>
      <c r="BU121" s="2867"/>
      <c r="BV121" s="2867"/>
      <c r="BW121" s="2867"/>
      <c r="BX121" s="2867"/>
      <c r="BY121" s="2867"/>
      <c r="BZ121" s="2867"/>
      <c r="CA121" s="2867"/>
      <c r="CB121" s="2867"/>
      <c r="CC121" s="2867"/>
      <c r="CD121" s="2867"/>
      <c r="CE121" s="2867"/>
      <c r="CF121" s="2867"/>
      <c r="CG121" s="2867"/>
      <c r="CH121" s="2867"/>
      <c r="CI121" s="2867"/>
      <c r="CJ121" s="2867"/>
      <c r="CK121" s="2867"/>
      <c r="CL121" s="2867"/>
      <c r="CM121" s="2867"/>
      <c r="CN121" s="2867"/>
      <c r="CO121" s="2867"/>
      <c r="CP121" s="2867"/>
      <c r="CQ121" s="2867"/>
      <c r="CR121" s="2867"/>
      <c r="CS121" s="2867"/>
      <c r="CT121" s="2867"/>
      <c r="CU121" s="2867"/>
      <c r="CV121" s="2867"/>
      <c r="CW121" s="2867"/>
    </row>
    <row r="122" spans="1:101">
      <c r="A122" s="2867"/>
      <c r="B122" s="2867"/>
      <c r="C122" s="2867"/>
      <c r="D122" s="2867"/>
      <c r="E122" s="2867"/>
      <c r="F122" s="2867"/>
      <c r="G122" s="2867"/>
      <c r="H122" s="2870"/>
      <c r="I122" s="2870"/>
      <c r="J122" s="2870"/>
      <c r="K122" s="2870"/>
      <c r="L122" s="2870"/>
      <c r="M122" s="2870"/>
      <c r="O122" s="2867"/>
      <c r="P122" s="2867"/>
      <c r="Q122" s="2867"/>
      <c r="T122" s="2867"/>
      <c r="U122" s="2867"/>
      <c r="V122" s="2867"/>
      <c r="W122" s="2867"/>
      <c r="X122" s="2934"/>
      <c r="Y122" s="2867"/>
      <c r="Z122" s="2867"/>
      <c r="AA122" s="2867"/>
      <c r="AB122" s="2867"/>
      <c r="AC122" s="2867"/>
      <c r="AD122" s="2867"/>
      <c r="AE122" s="2867"/>
      <c r="AF122" s="2867"/>
      <c r="AG122" s="2921"/>
      <c r="AH122" s="2867"/>
      <c r="AI122" s="2910"/>
      <c r="AJ122" s="2867"/>
      <c r="AK122" s="2867"/>
      <c r="AL122" s="2867"/>
      <c r="AM122" s="2867"/>
      <c r="AN122" s="2867"/>
      <c r="AO122" s="2867"/>
      <c r="AP122" s="2867"/>
      <c r="AQ122" s="2867"/>
      <c r="AR122" s="2867"/>
      <c r="AS122" s="2867"/>
      <c r="AT122" s="2867"/>
      <c r="AU122" s="2867"/>
      <c r="AV122" s="2867"/>
      <c r="AW122" s="2867"/>
      <c r="AX122" s="2867"/>
      <c r="AY122" s="2867"/>
      <c r="AZ122" s="2867"/>
      <c r="BA122" s="2867"/>
      <c r="BB122" s="2867"/>
      <c r="BC122" s="2867"/>
      <c r="BD122" s="2867"/>
      <c r="BE122" s="2867"/>
      <c r="BF122" s="2867"/>
      <c r="BG122" s="2867"/>
      <c r="BH122" s="2867"/>
      <c r="BI122" s="2867"/>
      <c r="BJ122" s="2867"/>
      <c r="BK122" s="2867"/>
      <c r="BL122" s="2867"/>
      <c r="BM122" s="2867"/>
      <c r="BN122" s="2867"/>
      <c r="BO122" s="2867"/>
      <c r="BP122" s="2867"/>
      <c r="BQ122" s="2867"/>
      <c r="BR122" s="2867"/>
      <c r="BS122" s="2867"/>
      <c r="BT122" s="2867"/>
      <c r="BU122" s="2867"/>
      <c r="BV122" s="2867"/>
      <c r="BW122" s="2867"/>
      <c r="BX122" s="2867"/>
      <c r="BY122" s="2867"/>
      <c r="BZ122" s="2867"/>
      <c r="CA122" s="2867"/>
      <c r="CB122" s="2867"/>
      <c r="CC122" s="2867"/>
      <c r="CD122" s="2867"/>
      <c r="CE122" s="2867"/>
      <c r="CF122" s="2867"/>
      <c r="CG122" s="2867"/>
      <c r="CH122" s="2867"/>
      <c r="CI122" s="2867"/>
      <c r="CJ122" s="2867"/>
      <c r="CK122" s="2867"/>
      <c r="CL122" s="2867"/>
      <c r="CM122" s="2867"/>
      <c r="CN122" s="2867"/>
      <c r="CO122" s="2867"/>
      <c r="CP122" s="2867"/>
      <c r="CQ122" s="2867"/>
      <c r="CR122" s="2867"/>
      <c r="CS122" s="2867"/>
      <c r="CT122" s="2867"/>
      <c r="CU122" s="2867"/>
      <c r="CV122" s="2867"/>
      <c r="CW122" s="2867"/>
    </row>
    <row r="123" spans="1:101">
      <c r="A123" s="2910"/>
      <c r="B123" s="2867"/>
      <c r="C123" s="2867"/>
      <c r="D123" s="2867"/>
      <c r="E123" s="2867"/>
      <c r="F123" s="2867"/>
      <c r="G123" s="2867"/>
      <c r="H123" s="2870"/>
      <c r="I123" s="2870"/>
      <c r="J123" s="2870"/>
      <c r="K123" s="2870"/>
      <c r="L123" s="2870"/>
      <c r="M123" s="2870"/>
      <c r="O123" s="2867"/>
      <c r="P123" s="2867"/>
      <c r="Q123" s="2867"/>
      <c r="T123" s="2867"/>
      <c r="U123" s="2867"/>
      <c r="V123" s="2867"/>
      <c r="W123" s="2867"/>
      <c r="X123" s="2867"/>
      <c r="Y123" s="2867"/>
      <c r="Z123" s="2867"/>
      <c r="AA123" s="2867"/>
      <c r="AB123" s="2867"/>
      <c r="AC123" s="2867"/>
      <c r="AD123" s="2935"/>
      <c r="AE123" s="2867"/>
      <c r="AF123" s="2867"/>
      <c r="AG123" s="2867"/>
      <c r="AH123" s="2867"/>
      <c r="AI123" s="2910"/>
      <c r="AJ123" s="2867"/>
      <c r="AK123" s="2867"/>
      <c r="AL123" s="2867"/>
      <c r="AM123" s="2867"/>
      <c r="AN123" s="2867"/>
      <c r="AO123" s="2867"/>
      <c r="AP123" s="2867"/>
      <c r="AQ123" s="2870"/>
      <c r="AR123" s="2870"/>
      <c r="AS123" s="2867"/>
      <c r="AT123" s="2867"/>
      <c r="AU123" s="2867"/>
      <c r="AV123" s="2867"/>
      <c r="AW123" s="2867"/>
      <c r="AX123" s="2867"/>
      <c r="AY123" s="2867"/>
      <c r="AZ123" s="2867"/>
      <c r="BA123" s="2867"/>
      <c r="BB123" s="2867"/>
      <c r="BC123" s="2867"/>
      <c r="BD123" s="2867"/>
      <c r="BE123" s="2867"/>
      <c r="BF123" s="2867"/>
      <c r="BG123" s="2867"/>
      <c r="BH123" s="2867"/>
      <c r="BI123" s="2867"/>
      <c r="BJ123" s="2867"/>
      <c r="BK123" s="2867"/>
      <c r="BL123" s="2867"/>
      <c r="BM123" s="2867"/>
      <c r="BN123" s="2867"/>
      <c r="BO123" s="2867"/>
      <c r="BP123" s="2867"/>
      <c r="BQ123" s="2867"/>
      <c r="BR123" s="2867"/>
      <c r="BS123" s="2867"/>
      <c r="BT123" s="2867"/>
      <c r="BU123" s="2867"/>
      <c r="BV123" s="2867"/>
      <c r="BW123" s="2867"/>
      <c r="BX123" s="2867"/>
      <c r="BY123" s="2867"/>
      <c r="BZ123" s="2867"/>
      <c r="CA123" s="2867"/>
      <c r="CB123" s="2867"/>
      <c r="CC123" s="2867"/>
      <c r="CD123" s="2867"/>
      <c r="CE123" s="2867"/>
      <c r="CF123" s="2867"/>
      <c r="CG123" s="2867"/>
      <c r="CH123" s="2867"/>
      <c r="CI123" s="2867"/>
      <c r="CJ123" s="2867"/>
      <c r="CK123" s="2867"/>
      <c r="CL123" s="2867"/>
      <c r="CM123" s="2867"/>
      <c r="CN123" s="2867"/>
      <c r="CO123" s="2867"/>
      <c r="CP123" s="2867"/>
      <c r="CQ123" s="2867"/>
      <c r="CR123" s="2867"/>
      <c r="CS123" s="2867"/>
      <c r="CT123" s="2867"/>
      <c r="CU123" s="2867"/>
      <c r="CV123" s="2867"/>
      <c r="CW123" s="2867"/>
    </row>
    <row r="124" spans="1:101">
      <c r="A124" s="2867"/>
      <c r="B124" s="2867"/>
      <c r="C124" s="2867"/>
      <c r="D124" s="2867"/>
      <c r="E124" s="2867"/>
      <c r="F124" s="2867"/>
      <c r="G124" s="2867"/>
      <c r="H124" s="2867"/>
      <c r="I124" s="2867"/>
      <c r="J124" s="2867"/>
      <c r="K124" s="2867"/>
      <c r="L124" s="2867"/>
      <c r="M124" s="2867"/>
      <c r="O124" s="2867"/>
      <c r="P124" s="2867"/>
      <c r="Q124" s="2867"/>
      <c r="T124" s="2867"/>
      <c r="U124" s="2867"/>
      <c r="V124" s="2867"/>
      <c r="W124" s="2867"/>
      <c r="X124" s="2935"/>
      <c r="Y124" s="2867"/>
      <c r="Z124" s="2935"/>
      <c r="AA124" s="2867"/>
      <c r="AB124" s="2935"/>
      <c r="AC124" s="2935"/>
      <c r="AD124" s="2935"/>
      <c r="AE124" s="2875"/>
      <c r="AF124" s="2872"/>
      <c r="AG124" s="2875"/>
      <c r="AH124" s="2872"/>
      <c r="AI124" s="2867"/>
      <c r="AJ124" s="2867"/>
      <c r="AK124" s="2867"/>
      <c r="AL124" s="2922"/>
      <c r="AM124" s="2867"/>
      <c r="AN124" s="2867"/>
      <c r="AO124" s="2867"/>
      <c r="AP124" s="2867"/>
      <c r="AQ124" s="2870"/>
      <c r="AR124" s="2870"/>
      <c r="AS124" s="2867"/>
      <c r="AT124" s="2867"/>
      <c r="AU124" s="2867"/>
      <c r="AV124" s="2867"/>
      <c r="AW124" s="2867"/>
      <c r="AX124" s="2867"/>
      <c r="AY124" s="2867"/>
      <c r="AZ124" s="2867"/>
      <c r="BA124" s="2867"/>
      <c r="BB124" s="2867"/>
      <c r="BC124" s="2867"/>
      <c r="BD124" s="2867"/>
      <c r="BE124" s="2867"/>
      <c r="BF124" s="2867"/>
      <c r="BG124" s="2867"/>
      <c r="BH124" s="2867"/>
      <c r="BI124" s="2867"/>
      <c r="BJ124" s="2867"/>
      <c r="BK124" s="2867"/>
      <c r="BL124" s="2867"/>
      <c r="BM124" s="2867"/>
      <c r="BN124" s="2867"/>
      <c r="BO124" s="2867"/>
      <c r="BP124" s="2867"/>
      <c r="BQ124" s="2867"/>
      <c r="BR124" s="2867"/>
      <c r="BS124" s="2867"/>
      <c r="BT124" s="2867"/>
      <c r="BU124" s="2867"/>
      <c r="BV124" s="2867"/>
      <c r="BW124" s="2867"/>
      <c r="BX124" s="2867"/>
      <c r="BY124" s="2867"/>
      <c r="BZ124" s="2867"/>
      <c r="CA124" s="2867"/>
      <c r="CB124" s="2867"/>
      <c r="CC124" s="2867"/>
      <c r="CD124" s="2867"/>
      <c r="CE124" s="2867"/>
      <c r="CF124" s="2867"/>
      <c r="CG124" s="2867"/>
      <c r="CH124" s="2867"/>
      <c r="CI124" s="2867"/>
      <c r="CJ124" s="2867"/>
      <c r="CK124" s="2867"/>
      <c r="CL124" s="2867"/>
      <c r="CM124" s="2867"/>
      <c r="CN124" s="2867"/>
      <c r="CO124" s="2867"/>
      <c r="CP124" s="2867"/>
      <c r="CQ124" s="2867"/>
      <c r="CR124" s="2867"/>
      <c r="CS124" s="2867"/>
      <c r="CT124" s="2867"/>
      <c r="CU124" s="2867"/>
      <c r="CV124" s="2867"/>
      <c r="CW124" s="2867"/>
    </row>
    <row r="125" spans="1:101">
      <c r="A125" s="2867"/>
      <c r="B125" s="2867"/>
      <c r="C125" s="2867"/>
      <c r="D125" s="2867"/>
      <c r="E125" s="2867"/>
      <c r="F125" s="2867"/>
      <c r="G125" s="2867"/>
      <c r="H125" s="2870"/>
      <c r="I125" s="2870"/>
      <c r="J125" s="2870"/>
      <c r="K125" s="2870"/>
      <c r="L125" s="2870"/>
      <c r="M125" s="2870"/>
      <c r="O125" s="2867"/>
      <c r="P125" s="2867"/>
      <c r="Q125" s="2867"/>
      <c r="T125" s="2867"/>
      <c r="U125" s="2867"/>
      <c r="V125" s="2867"/>
      <c r="W125" s="2867"/>
      <c r="X125" s="2937"/>
      <c r="Y125" s="2946"/>
      <c r="Z125" s="2937"/>
      <c r="AA125" s="2937"/>
      <c r="AB125" s="2937"/>
      <c r="AC125" s="2937"/>
      <c r="AD125" s="2937"/>
      <c r="AE125" s="2937"/>
      <c r="AF125" s="2937"/>
      <c r="AG125" s="2937"/>
      <c r="AH125" s="2937"/>
      <c r="AI125" s="2867"/>
      <c r="AJ125" s="2867"/>
      <c r="AK125" s="2867"/>
      <c r="AL125" s="2922"/>
      <c r="AM125" s="2867"/>
      <c r="AN125" s="2867"/>
      <c r="AO125" s="2867"/>
      <c r="AP125" s="2867"/>
      <c r="AQ125" s="2870"/>
      <c r="AR125" s="2870"/>
      <c r="AS125" s="2867"/>
      <c r="AT125" s="2867"/>
      <c r="AU125" s="2867"/>
      <c r="AV125" s="2867"/>
      <c r="AW125" s="2867"/>
      <c r="AX125" s="2867"/>
      <c r="AY125" s="2867"/>
      <c r="AZ125" s="2867"/>
      <c r="BA125" s="2867"/>
      <c r="BB125" s="2867"/>
      <c r="BC125" s="2867"/>
      <c r="BD125" s="2867"/>
      <c r="BE125" s="2867"/>
      <c r="BF125" s="2867"/>
      <c r="BG125" s="2867"/>
      <c r="BH125" s="2867"/>
      <c r="BI125" s="2867"/>
      <c r="BJ125" s="2867"/>
      <c r="BK125" s="2867"/>
      <c r="BL125" s="2867"/>
      <c r="BM125" s="2867"/>
      <c r="BN125" s="2867"/>
      <c r="BO125" s="2867"/>
      <c r="BP125" s="2867"/>
      <c r="BQ125" s="2867"/>
      <c r="BR125" s="2867"/>
      <c r="BS125" s="2867"/>
      <c r="BT125" s="2867"/>
      <c r="BU125" s="2867"/>
      <c r="BV125" s="2867"/>
      <c r="BW125" s="2867"/>
      <c r="BX125" s="2867"/>
      <c r="BY125" s="2867"/>
      <c r="BZ125" s="2867"/>
      <c r="CA125" s="2867"/>
      <c r="CB125" s="2867"/>
      <c r="CC125" s="2867"/>
      <c r="CD125" s="2867"/>
      <c r="CE125" s="2867"/>
      <c r="CF125" s="2867"/>
      <c r="CG125" s="2867"/>
      <c r="CH125" s="2867"/>
      <c r="CI125" s="2867"/>
      <c r="CJ125" s="2867"/>
      <c r="CK125" s="2867"/>
      <c r="CL125" s="2867"/>
      <c r="CM125" s="2867"/>
      <c r="CN125" s="2867"/>
      <c r="CO125" s="2867"/>
      <c r="CP125" s="2867"/>
      <c r="CQ125" s="2867"/>
      <c r="CR125" s="2867"/>
      <c r="CS125" s="2867"/>
      <c r="CT125" s="2867"/>
      <c r="CU125" s="2867"/>
      <c r="CV125" s="2867"/>
      <c r="CW125" s="2867"/>
    </row>
    <row r="126" spans="1:101">
      <c r="A126" s="2867"/>
      <c r="B126" s="2867"/>
      <c r="C126" s="2867"/>
      <c r="D126" s="2867"/>
      <c r="E126" s="2867"/>
      <c r="F126" s="2867"/>
      <c r="G126" s="2867"/>
      <c r="H126" s="2870"/>
      <c r="I126" s="2870"/>
      <c r="J126" s="2870"/>
      <c r="K126" s="2870"/>
      <c r="L126" s="2870"/>
      <c r="M126" s="2870"/>
      <c r="O126" s="2867"/>
      <c r="P126" s="2867"/>
      <c r="Q126" s="2867"/>
      <c r="T126" s="2867"/>
      <c r="U126" s="2867"/>
      <c r="V126" s="2867"/>
      <c r="W126" s="2867"/>
      <c r="X126" s="2910"/>
      <c r="Y126" s="2867"/>
      <c r="Z126" s="2935"/>
      <c r="AA126" s="2935"/>
      <c r="AB126" s="2935"/>
      <c r="AC126" s="2935"/>
      <c r="AD126" s="2935"/>
      <c r="AE126" s="2935"/>
      <c r="AF126" s="2935"/>
      <c r="AG126" s="2935"/>
      <c r="AH126" s="2935"/>
      <c r="AI126" s="2867"/>
      <c r="AJ126" s="2867"/>
      <c r="AK126" s="2910"/>
      <c r="AL126" s="2867"/>
      <c r="AM126" s="2867"/>
      <c r="AN126" s="2867"/>
      <c r="AO126" s="2867"/>
      <c r="AP126" s="2867"/>
      <c r="AQ126" s="2870"/>
      <c r="AR126" s="2870"/>
      <c r="AS126" s="2867"/>
      <c r="AT126" s="2867"/>
      <c r="AU126" s="2867"/>
      <c r="AV126" s="2867"/>
      <c r="AW126" s="2867"/>
      <c r="AX126" s="2867"/>
      <c r="AY126" s="2867"/>
      <c r="AZ126" s="2867"/>
      <c r="BA126" s="2867"/>
      <c r="BB126" s="2867"/>
      <c r="BC126" s="2867"/>
      <c r="BD126" s="2867"/>
      <c r="BE126" s="2867"/>
      <c r="BF126" s="2867"/>
      <c r="BG126" s="2867"/>
      <c r="BH126" s="2867"/>
      <c r="BI126" s="2867"/>
      <c r="BJ126" s="2867"/>
      <c r="BK126" s="2867"/>
      <c r="BL126" s="2867"/>
      <c r="BM126" s="2867"/>
      <c r="BN126" s="2867"/>
      <c r="BO126" s="2867"/>
      <c r="BP126" s="2867"/>
      <c r="BQ126" s="2867"/>
      <c r="BR126" s="2867"/>
      <c r="BS126" s="2867"/>
      <c r="BT126" s="2867"/>
      <c r="BU126" s="2867"/>
      <c r="BV126" s="2867"/>
      <c r="BW126" s="2867"/>
      <c r="BX126" s="2867"/>
      <c r="BY126" s="2867"/>
      <c r="BZ126" s="2867"/>
      <c r="CA126" s="2867"/>
      <c r="CB126" s="2867"/>
      <c r="CC126" s="2867"/>
      <c r="CD126" s="2867"/>
      <c r="CE126" s="2867"/>
      <c r="CF126" s="2867"/>
      <c r="CG126" s="2867"/>
      <c r="CH126" s="2867"/>
      <c r="CI126" s="2867"/>
      <c r="CJ126" s="2867"/>
      <c r="CK126" s="2867"/>
      <c r="CL126" s="2867"/>
      <c r="CM126" s="2867"/>
      <c r="CN126" s="2867"/>
      <c r="CO126" s="2867"/>
      <c r="CP126" s="2867"/>
      <c r="CQ126" s="2867"/>
      <c r="CR126" s="2867"/>
      <c r="CS126" s="2867"/>
      <c r="CT126" s="2867"/>
      <c r="CU126" s="2867"/>
      <c r="CV126" s="2867"/>
      <c r="CW126" s="2867"/>
    </row>
    <row r="127" spans="1:101">
      <c r="A127" s="2867"/>
      <c r="B127" s="2867"/>
      <c r="C127" s="2867"/>
      <c r="D127" s="2867"/>
      <c r="E127" s="2867"/>
      <c r="F127" s="2867"/>
      <c r="G127" s="2867"/>
      <c r="H127" s="2867"/>
      <c r="I127" s="2867"/>
      <c r="J127" s="2867"/>
      <c r="K127" s="2867"/>
      <c r="L127" s="2867"/>
      <c r="M127" s="2867"/>
      <c r="O127" s="2867"/>
      <c r="P127" s="2867"/>
      <c r="Q127" s="2867"/>
      <c r="R127" s="2867"/>
      <c r="S127" s="2867"/>
      <c r="T127" s="2867"/>
      <c r="U127" s="2867"/>
      <c r="V127" s="2867"/>
      <c r="W127" s="2867"/>
      <c r="X127" s="2922"/>
      <c r="Y127" s="2867"/>
      <c r="Z127" s="2867"/>
      <c r="AA127" s="2867"/>
      <c r="AB127" s="2867"/>
      <c r="AC127" s="2867"/>
      <c r="AD127" s="2867"/>
      <c r="AE127" s="2867"/>
      <c r="AF127" s="2867"/>
      <c r="AG127" s="2867"/>
      <c r="AH127" s="2867"/>
      <c r="AI127" s="2867"/>
      <c r="AJ127" s="2867"/>
      <c r="AK127" s="2867"/>
      <c r="AL127" s="2867"/>
      <c r="AM127" s="2910"/>
      <c r="AN127" s="2867"/>
      <c r="AO127" s="2867"/>
      <c r="AP127" s="2867"/>
      <c r="AQ127" s="2870"/>
      <c r="AR127" s="2870"/>
      <c r="AS127" s="2867"/>
      <c r="AT127" s="2867"/>
      <c r="AU127" s="2867"/>
      <c r="AV127" s="2867"/>
      <c r="AW127" s="2867"/>
      <c r="AX127" s="2867"/>
      <c r="AY127" s="2867"/>
      <c r="AZ127" s="2867"/>
      <c r="BA127" s="2867"/>
      <c r="BB127" s="2867"/>
      <c r="BC127" s="2867"/>
      <c r="BD127" s="2867"/>
      <c r="BE127" s="2867"/>
      <c r="BF127" s="2867"/>
      <c r="BG127" s="2867"/>
      <c r="BH127" s="2867"/>
      <c r="BI127" s="2867"/>
      <c r="BJ127" s="2867"/>
      <c r="BK127" s="2867"/>
      <c r="BL127" s="2867"/>
      <c r="BM127" s="2867"/>
      <c r="BN127" s="2867"/>
      <c r="BO127" s="2867"/>
      <c r="BP127" s="2867"/>
      <c r="BQ127" s="2867"/>
      <c r="BR127" s="2867"/>
      <c r="BS127" s="2867"/>
      <c r="BT127" s="2867"/>
      <c r="BU127" s="2867"/>
      <c r="BV127" s="2867"/>
      <c r="BW127" s="2867"/>
      <c r="BX127" s="2867"/>
      <c r="BY127" s="2867"/>
      <c r="BZ127" s="2867"/>
      <c r="CA127" s="2867"/>
      <c r="CB127" s="2867"/>
      <c r="CC127" s="2867"/>
      <c r="CD127" s="2867"/>
      <c r="CE127" s="2867"/>
      <c r="CF127" s="2867"/>
      <c r="CG127" s="2867"/>
      <c r="CH127" s="2867"/>
      <c r="CI127" s="2867"/>
      <c r="CJ127" s="2867"/>
      <c r="CK127" s="2867"/>
      <c r="CL127" s="2867"/>
      <c r="CM127" s="2867"/>
      <c r="CN127" s="2867"/>
      <c r="CO127" s="2867"/>
      <c r="CP127" s="2867"/>
      <c r="CQ127" s="2867"/>
      <c r="CR127" s="2867"/>
      <c r="CS127" s="2867"/>
      <c r="CT127" s="2867"/>
      <c r="CU127" s="2867"/>
      <c r="CV127" s="2867"/>
      <c r="CW127" s="2867"/>
    </row>
    <row r="128" spans="1:101">
      <c r="A128" s="2867"/>
      <c r="B128" s="2867"/>
      <c r="C128" s="2867"/>
      <c r="D128" s="2867"/>
      <c r="E128" s="2867"/>
      <c r="F128" s="2867"/>
      <c r="G128" s="2867"/>
      <c r="H128" s="2867"/>
      <c r="I128" s="2867"/>
      <c r="J128" s="2867"/>
      <c r="K128" s="2867"/>
      <c r="L128" s="2867"/>
      <c r="M128" s="2867"/>
      <c r="O128" s="2867"/>
      <c r="P128" s="2867"/>
      <c r="Q128" s="2867"/>
      <c r="R128" s="2867"/>
      <c r="S128" s="2867"/>
      <c r="T128" s="2867"/>
      <c r="U128" s="2867"/>
      <c r="V128" s="2867"/>
      <c r="W128" s="2867"/>
      <c r="X128" s="2922"/>
      <c r="Y128" s="2867"/>
      <c r="Z128" s="2935"/>
      <c r="AA128" s="2910"/>
      <c r="AB128" s="2870"/>
      <c r="AC128" s="2944"/>
      <c r="AD128" s="2867"/>
      <c r="AE128" s="2867"/>
      <c r="AF128" s="2867"/>
      <c r="AG128" s="2867"/>
      <c r="AH128" s="2867"/>
      <c r="AI128" s="2867"/>
      <c r="AJ128" s="2867"/>
      <c r="AK128" s="2867"/>
      <c r="AL128" s="2922"/>
      <c r="AM128" s="2867"/>
      <c r="AN128" s="2867"/>
      <c r="AO128" s="2867"/>
      <c r="AP128" s="2867"/>
      <c r="AQ128" s="2870"/>
      <c r="AR128" s="2870"/>
      <c r="AS128" s="2867"/>
      <c r="AT128" s="2867"/>
      <c r="AU128" s="2867"/>
      <c r="AV128" s="2867"/>
      <c r="AW128" s="2867"/>
      <c r="AX128" s="2867"/>
      <c r="AY128" s="2867"/>
      <c r="AZ128" s="2867"/>
      <c r="BA128" s="2867"/>
      <c r="BB128" s="2867"/>
      <c r="BC128" s="2867"/>
      <c r="BD128" s="2867"/>
      <c r="BE128" s="2867"/>
      <c r="BF128" s="2867"/>
      <c r="BG128" s="2867"/>
      <c r="BH128" s="2867"/>
      <c r="BI128" s="2867"/>
      <c r="BJ128" s="2867"/>
      <c r="BK128" s="2867"/>
      <c r="BL128" s="2867"/>
      <c r="BM128" s="2867"/>
      <c r="BN128" s="2867"/>
      <c r="BO128" s="2867"/>
      <c r="BP128" s="2867"/>
      <c r="BQ128" s="2867"/>
      <c r="BR128" s="2867"/>
      <c r="BS128" s="2867"/>
      <c r="BT128" s="2867"/>
      <c r="BU128" s="2867"/>
      <c r="BV128" s="2867"/>
      <c r="BW128" s="2867"/>
      <c r="BX128" s="2867"/>
      <c r="BY128" s="2867"/>
      <c r="BZ128" s="2867"/>
      <c r="CA128" s="2867"/>
      <c r="CB128" s="2867"/>
      <c r="CC128" s="2867"/>
      <c r="CD128" s="2867"/>
      <c r="CE128" s="2867"/>
      <c r="CF128" s="2867"/>
      <c r="CG128" s="2867"/>
      <c r="CH128" s="2867"/>
      <c r="CI128" s="2867"/>
      <c r="CJ128" s="2867"/>
      <c r="CK128" s="2867"/>
      <c r="CL128" s="2867"/>
      <c r="CM128" s="2867"/>
      <c r="CN128" s="2867"/>
      <c r="CO128" s="2867"/>
      <c r="CP128" s="2867"/>
      <c r="CQ128" s="2867"/>
      <c r="CR128" s="2867"/>
      <c r="CS128" s="2867"/>
      <c r="CT128" s="2867"/>
      <c r="CU128" s="2867"/>
      <c r="CV128" s="2867"/>
      <c r="CW128" s="2867"/>
    </row>
    <row r="129" spans="1:101">
      <c r="A129" s="2867"/>
      <c r="B129" s="2867"/>
      <c r="C129" s="2867"/>
      <c r="D129" s="2867"/>
      <c r="E129" s="2867"/>
      <c r="F129" s="2867"/>
      <c r="G129" s="2867"/>
      <c r="H129" s="2867"/>
      <c r="I129" s="2867"/>
      <c r="J129" s="2867"/>
      <c r="K129" s="2867"/>
      <c r="L129" s="2867"/>
      <c r="M129" s="2867"/>
      <c r="O129" s="2867"/>
      <c r="P129" s="2867"/>
      <c r="Q129" s="2867"/>
      <c r="R129" s="2867"/>
      <c r="S129" s="2867"/>
      <c r="T129" s="2867"/>
      <c r="U129" s="2867"/>
      <c r="V129" s="2867"/>
      <c r="W129" s="2867"/>
      <c r="X129" s="2922"/>
      <c r="Y129" s="2867"/>
      <c r="Z129" s="2935"/>
      <c r="AA129" s="2910"/>
      <c r="AB129" s="2870"/>
      <c r="AC129" s="2944"/>
      <c r="AD129" s="2867"/>
      <c r="AE129" s="2867"/>
      <c r="AF129" s="2867"/>
      <c r="AG129" s="2867"/>
      <c r="AH129" s="2867"/>
      <c r="AI129" s="2867"/>
      <c r="AJ129" s="2867"/>
      <c r="AK129" s="2867"/>
      <c r="AL129" s="2867"/>
      <c r="AM129" s="2867"/>
      <c r="AN129" s="2867"/>
      <c r="AO129" s="2867"/>
      <c r="AP129" s="2867"/>
      <c r="AQ129" s="2870"/>
      <c r="AR129" s="2870"/>
      <c r="AS129" s="2867"/>
      <c r="AT129" s="2867"/>
      <c r="AU129" s="2867"/>
      <c r="AV129" s="2867"/>
      <c r="AW129" s="2867"/>
      <c r="AX129" s="2867"/>
      <c r="AY129" s="2867"/>
      <c r="AZ129" s="2867"/>
      <c r="BA129" s="2867"/>
      <c r="BB129" s="2867"/>
      <c r="BC129" s="2867"/>
      <c r="BD129" s="2867"/>
      <c r="BE129" s="2867"/>
      <c r="BF129" s="2867"/>
      <c r="BG129" s="2867"/>
      <c r="BH129" s="2867"/>
      <c r="BI129" s="2867"/>
      <c r="BJ129" s="2867"/>
      <c r="BK129" s="2867"/>
      <c r="BL129" s="2867"/>
      <c r="BM129" s="2867"/>
      <c r="BN129" s="2867"/>
      <c r="BO129" s="2867"/>
      <c r="BP129" s="2867"/>
      <c r="BQ129" s="2867"/>
      <c r="BR129" s="2867"/>
      <c r="BS129" s="2867"/>
      <c r="BT129" s="2867"/>
      <c r="BU129" s="2867"/>
      <c r="BV129" s="2867"/>
      <c r="BW129" s="2867"/>
      <c r="BX129" s="2867"/>
      <c r="BY129" s="2867"/>
      <c r="BZ129" s="2867"/>
      <c r="CA129" s="2867"/>
      <c r="CB129" s="2867"/>
      <c r="CC129" s="2867"/>
      <c r="CD129" s="2867"/>
      <c r="CE129" s="2867"/>
      <c r="CF129" s="2867"/>
      <c r="CG129" s="2867"/>
      <c r="CH129" s="2867"/>
      <c r="CI129" s="2867"/>
      <c r="CJ129" s="2867"/>
      <c r="CK129" s="2867"/>
      <c r="CL129" s="2867"/>
      <c r="CM129" s="2867"/>
      <c r="CN129" s="2867"/>
      <c r="CO129" s="2867"/>
      <c r="CP129" s="2867"/>
      <c r="CQ129" s="2867"/>
      <c r="CR129" s="2867"/>
      <c r="CS129" s="2867"/>
      <c r="CT129" s="2867"/>
      <c r="CU129" s="2867"/>
      <c r="CV129" s="2867"/>
      <c r="CW129" s="2867"/>
    </row>
    <row r="130" spans="1:101">
      <c r="A130" s="2867"/>
      <c r="B130" s="2867"/>
      <c r="C130" s="2867"/>
      <c r="D130" s="2867"/>
      <c r="E130" s="2867"/>
      <c r="F130" s="2867"/>
      <c r="G130" s="2867"/>
      <c r="H130" s="2867"/>
      <c r="I130" s="2867"/>
      <c r="J130" s="2867"/>
      <c r="K130" s="2867"/>
      <c r="L130" s="2867"/>
      <c r="M130" s="2867"/>
      <c r="O130" s="2867"/>
      <c r="P130" s="2867"/>
      <c r="Q130" s="2867"/>
      <c r="R130" s="2867"/>
      <c r="S130" s="2867"/>
      <c r="T130" s="2867"/>
      <c r="U130" s="2867"/>
      <c r="V130" s="2867"/>
      <c r="W130" s="2867"/>
      <c r="X130" s="2922"/>
      <c r="Y130" s="2867"/>
      <c r="Z130" s="2867"/>
      <c r="AA130" s="2867"/>
      <c r="AB130" s="2935"/>
      <c r="AC130" s="2867"/>
      <c r="AD130" s="2867"/>
      <c r="AE130" s="2867"/>
      <c r="AF130" s="2867"/>
      <c r="AG130" s="2867"/>
      <c r="AH130" s="2867"/>
      <c r="AI130" s="2922"/>
      <c r="AJ130" s="2867"/>
      <c r="AK130" s="2867"/>
      <c r="AL130" s="2867"/>
      <c r="AM130" s="2867"/>
      <c r="AN130" s="2867"/>
      <c r="AO130" s="2867"/>
      <c r="AP130" s="2867"/>
      <c r="AQ130" s="2870"/>
      <c r="AR130" s="2947"/>
      <c r="AS130" s="2867"/>
      <c r="AT130" s="2867"/>
      <c r="AU130" s="2867"/>
      <c r="AV130" s="2867"/>
      <c r="AW130" s="2867"/>
      <c r="AX130" s="2867"/>
      <c r="AY130" s="2867"/>
      <c r="AZ130" s="2867"/>
      <c r="BA130" s="2867"/>
      <c r="BB130" s="2867"/>
      <c r="BC130" s="2867"/>
      <c r="BD130" s="2867"/>
      <c r="BE130" s="2867"/>
      <c r="BF130" s="2867"/>
      <c r="BG130" s="2867"/>
      <c r="BH130" s="2867"/>
      <c r="BI130" s="2867"/>
      <c r="BJ130" s="2867"/>
      <c r="BK130" s="2867"/>
      <c r="BL130" s="2867"/>
      <c r="BM130" s="2867"/>
      <c r="BN130" s="2867"/>
      <c r="BO130" s="2867"/>
      <c r="BP130" s="2867"/>
      <c r="BQ130" s="2867"/>
      <c r="BR130" s="2867"/>
      <c r="BS130" s="2867"/>
      <c r="BT130" s="2867"/>
      <c r="BU130" s="2867"/>
      <c r="BV130" s="2867"/>
      <c r="BW130" s="2867"/>
      <c r="BX130" s="2867"/>
      <c r="BY130" s="2867"/>
      <c r="BZ130" s="2867"/>
      <c r="CA130" s="2867"/>
      <c r="CB130" s="2867"/>
      <c r="CC130" s="2867"/>
      <c r="CD130" s="2867"/>
      <c r="CE130" s="2867"/>
      <c r="CF130" s="2867"/>
      <c r="CG130" s="2867"/>
      <c r="CH130" s="2867"/>
      <c r="CI130" s="2867"/>
      <c r="CJ130" s="2867"/>
      <c r="CK130" s="2867"/>
      <c r="CL130" s="2867"/>
      <c r="CM130" s="2867"/>
      <c r="CN130" s="2867"/>
      <c r="CO130" s="2867"/>
      <c r="CP130" s="2867"/>
      <c r="CQ130" s="2867"/>
      <c r="CR130" s="2867"/>
      <c r="CS130" s="2867"/>
      <c r="CT130" s="2867"/>
      <c r="CU130" s="2867"/>
      <c r="CV130" s="2867"/>
      <c r="CW130" s="2867"/>
    </row>
    <row r="131" spans="1:101">
      <c r="A131" s="2867"/>
      <c r="B131" s="2867"/>
      <c r="C131" s="2867"/>
      <c r="D131" s="2867"/>
      <c r="E131" s="2867"/>
      <c r="F131" s="2867"/>
      <c r="G131" s="2867"/>
      <c r="H131" s="2867"/>
      <c r="I131" s="2867"/>
      <c r="J131" s="2867"/>
      <c r="K131" s="2867"/>
      <c r="L131" s="2867"/>
      <c r="M131" s="2867"/>
      <c r="O131" s="2867"/>
      <c r="P131" s="2867"/>
      <c r="Q131" s="2867"/>
      <c r="R131" s="2867"/>
      <c r="S131" s="2867"/>
      <c r="T131" s="2867"/>
      <c r="U131" s="2867"/>
      <c r="V131" s="2867"/>
      <c r="W131" s="2867"/>
      <c r="X131" s="2922"/>
      <c r="Y131" s="2867"/>
      <c r="Z131" s="2867"/>
      <c r="AA131" s="2910"/>
      <c r="AB131" s="2870"/>
      <c r="AC131" s="2867"/>
      <c r="AD131" s="2867"/>
      <c r="AE131" s="2867"/>
      <c r="AF131" s="2867"/>
      <c r="AG131" s="2867"/>
      <c r="AH131" s="2867"/>
      <c r="AI131" s="2922"/>
      <c r="AJ131" s="2867"/>
      <c r="AK131" s="2867"/>
      <c r="AL131" s="2867"/>
      <c r="AM131" s="2867"/>
      <c r="AN131" s="2867"/>
      <c r="AO131" s="2867"/>
      <c r="AP131" s="2867"/>
      <c r="AQ131" s="2870"/>
      <c r="AR131" s="2947"/>
      <c r="AS131" s="2867"/>
      <c r="AT131" s="2867"/>
      <c r="AU131" s="2867"/>
      <c r="AV131" s="2867"/>
      <c r="AW131" s="2867"/>
      <c r="AX131" s="2867"/>
      <c r="AY131" s="2867"/>
      <c r="AZ131" s="2867"/>
      <c r="BA131" s="2867"/>
      <c r="BB131" s="2867"/>
      <c r="BC131" s="2867"/>
      <c r="BD131" s="2867"/>
      <c r="BE131" s="2867"/>
      <c r="BF131" s="2867"/>
      <c r="BG131" s="2867"/>
      <c r="BH131" s="2867"/>
      <c r="BI131" s="2867"/>
      <c r="BJ131" s="2867"/>
      <c r="BK131" s="2867"/>
      <c r="BL131" s="2867"/>
      <c r="BM131" s="2867"/>
      <c r="BN131" s="2867"/>
      <c r="BO131" s="2867"/>
      <c r="BP131" s="2867"/>
      <c r="BQ131" s="2867"/>
      <c r="BR131" s="2867"/>
      <c r="BS131" s="2867"/>
      <c r="BT131" s="2867"/>
      <c r="BU131" s="2867"/>
      <c r="BV131" s="2867"/>
      <c r="BW131" s="2867"/>
      <c r="BX131" s="2867"/>
      <c r="BY131" s="2867"/>
      <c r="BZ131" s="2867"/>
      <c r="CA131" s="2867"/>
      <c r="CB131" s="2867"/>
      <c r="CC131" s="2867"/>
      <c r="CD131" s="2867"/>
      <c r="CE131" s="2867"/>
      <c r="CF131" s="2867"/>
      <c r="CG131" s="2867"/>
      <c r="CH131" s="2867"/>
      <c r="CI131" s="2867"/>
      <c r="CJ131" s="2867"/>
      <c r="CK131" s="2867"/>
      <c r="CL131" s="2867"/>
      <c r="CM131" s="2867"/>
      <c r="CN131" s="2867"/>
      <c r="CO131" s="2867"/>
      <c r="CP131" s="2867"/>
      <c r="CQ131" s="2867"/>
      <c r="CR131" s="2867"/>
      <c r="CS131" s="2867"/>
      <c r="CT131" s="2867"/>
      <c r="CU131" s="2867"/>
      <c r="CV131" s="2867"/>
      <c r="CW131" s="2867"/>
    </row>
    <row r="132" spans="1:101">
      <c r="A132" s="2867"/>
      <c r="B132" s="2867"/>
      <c r="C132" s="2867"/>
      <c r="D132" s="2867"/>
      <c r="E132" s="2867"/>
      <c r="F132" s="2867"/>
      <c r="G132" s="2867"/>
      <c r="H132" s="2867"/>
      <c r="I132" s="2867"/>
      <c r="J132" s="2867"/>
      <c r="K132" s="2867"/>
      <c r="L132" s="2867"/>
      <c r="M132" s="2867"/>
      <c r="O132" s="2867"/>
      <c r="P132" s="2867"/>
      <c r="Q132" s="2867"/>
      <c r="R132" s="2867"/>
      <c r="S132" s="2867"/>
      <c r="T132" s="2867"/>
      <c r="U132" s="2867"/>
      <c r="V132" s="2867"/>
      <c r="W132" s="2867"/>
      <c r="X132" s="2922"/>
      <c r="Y132" s="2867"/>
      <c r="Z132" s="2867"/>
      <c r="AA132" s="2910"/>
      <c r="AB132" s="2867"/>
      <c r="AC132" s="2867"/>
      <c r="AD132" s="2867"/>
      <c r="AE132" s="2867"/>
      <c r="AF132" s="2867"/>
      <c r="AG132" s="2867"/>
      <c r="AH132" s="2867"/>
      <c r="AI132" s="2910"/>
      <c r="AJ132" s="2867"/>
      <c r="AK132" s="2867"/>
      <c r="AL132" s="2867"/>
      <c r="AM132" s="2867"/>
      <c r="AN132" s="2867"/>
      <c r="AO132" s="2867"/>
      <c r="AP132" s="2867"/>
      <c r="AQ132" s="2870"/>
      <c r="AR132" s="2947"/>
      <c r="AS132" s="2867"/>
      <c r="AT132" s="2867"/>
      <c r="AU132" s="2867"/>
      <c r="AV132" s="2867"/>
      <c r="AW132" s="2867"/>
      <c r="AX132" s="2867"/>
      <c r="AY132" s="2867"/>
      <c r="AZ132" s="2867"/>
      <c r="BA132" s="2867"/>
      <c r="BB132" s="2867"/>
      <c r="BC132" s="2867"/>
      <c r="BD132" s="2867"/>
      <c r="BE132" s="2867"/>
      <c r="BF132" s="2867"/>
      <c r="BG132" s="2867"/>
      <c r="BH132" s="2867"/>
      <c r="BI132" s="2867"/>
      <c r="BJ132" s="2867"/>
      <c r="BK132" s="2867"/>
      <c r="BL132" s="2867"/>
      <c r="BM132" s="2867"/>
      <c r="BN132" s="2867"/>
      <c r="BO132" s="2867"/>
      <c r="BP132" s="2867"/>
      <c r="BQ132" s="2867"/>
      <c r="BR132" s="2867"/>
      <c r="BS132" s="2867"/>
      <c r="BT132" s="2867"/>
      <c r="BU132" s="2867"/>
      <c r="BV132" s="2867"/>
      <c r="BW132" s="2867"/>
      <c r="BX132" s="2867"/>
      <c r="BY132" s="2867"/>
      <c r="BZ132" s="2867"/>
      <c r="CA132" s="2867"/>
      <c r="CB132" s="2867"/>
      <c r="CC132" s="2867"/>
      <c r="CD132" s="2867"/>
      <c r="CE132" s="2867"/>
      <c r="CF132" s="2867"/>
      <c r="CG132" s="2867"/>
      <c r="CH132" s="2867"/>
      <c r="CI132" s="2867"/>
      <c r="CJ132" s="2867"/>
      <c r="CK132" s="2867"/>
      <c r="CL132" s="2867"/>
      <c r="CM132" s="2867"/>
      <c r="CN132" s="2867"/>
      <c r="CO132" s="2867"/>
      <c r="CP132" s="2867"/>
      <c r="CQ132" s="2867"/>
      <c r="CR132" s="2867"/>
      <c r="CS132" s="2867"/>
      <c r="CT132" s="2867"/>
      <c r="CU132" s="2867"/>
      <c r="CV132" s="2867"/>
      <c r="CW132" s="2867"/>
    </row>
    <row r="133" spans="1:101">
      <c r="A133" s="2867"/>
      <c r="B133" s="2867"/>
      <c r="C133" s="2867"/>
      <c r="D133" s="2867"/>
      <c r="E133" s="2867"/>
      <c r="F133" s="2867"/>
      <c r="G133" s="2867"/>
      <c r="H133" s="2867"/>
      <c r="I133" s="2867"/>
      <c r="J133" s="2867"/>
      <c r="K133" s="2867"/>
      <c r="L133" s="2867"/>
      <c r="M133" s="2867"/>
      <c r="O133" s="2867"/>
      <c r="P133" s="2867"/>
      <c r="Q133" s="2867"/>
      <c r="R133" s="2867"/>
      <c r="S133" s="2867"/>
      <c r="T133" s="2867"/>
      <c r="U133" s="2867"/>
      <c r="V133" s="2867"/>
      <c r="W133" s="2867"/>
      <c r="X133" s="2922"/>
      <c r="Y133" s="2867"/>
      <c r="Z133" s="2867"/>
      <c r="AA133" s="2910"/>
      <c r="AB133" s="2870"/>
      <c r="AC133" s="2944"/>
      <c r="AD133" s="2867"/>
      <c r="AE133" s="2867"/>
      <c r="AF133" s="2867"/>
      <c r="AG133" s="2867"/>
      <c r="AH133" s="2867"/>
      <c r="AI133" s="2867"/>
      <c r="AJ133" s="2867"/>
      <c r="AK133" s="2867"/>
      <c r="AL133" s="2867"/>
      <c r="AM133" s="2867"/>
      <c r="AN133" s="2867"/>
      <c r="AO133" s="2867"/>
      <c r="AP133" s="2867"/>
      <c r="AQ133" s="2870"/>
      <c r="AR133" s="2935"/>
      <c r="AS133" s="2867"/>
      <c r="AT133" s="2867"/>
      <c r="AU133" s="2867"/>
      <c r="AV133" s="2867"/>
      <c r="AW133" s="2867"/>
      <c r="AX133" s="2867"/>
      <c r="AY133" s="2867"/>
      <c r="AZ133" s="2867"/>
      <c r="BA133" s="2867"/>
      <c r="BB133" s="2867"/>
      <c r="BC133" s="2867"/>
      <c r="BD133" s="2867"/>
      <c r="BE133" s="2867"/>
      <c r="BF133" s="2867"/>
      <c r="BG133" s="2867"/>
      <c r="BH133" s="2867"/>
      <c r="BI133" s="2867"/>
      <c r="BJ133" s="2867"/>
      <c r="BK133" s="2867"/>
      <c r="BL133" s="2867"/>
      <c r="BM133" s="2867"/>
      <c r="BN133" s="2867"/>
      <c r="BO133" s="2867"/>
      <c r="BP133" s="2867"/>
      <c r="BQ133" s="2867"/>
      <c r="BR133" s="2867"/>
      <c r="BS133" s="2867"/>
      <c r="BT133" s="2867"/>
      <c r="BU133" s="2867"/>
      <c r="BV133" s="2867"/>
      <c r="BW133" s="2867"/>
      <c r="BX133" s="2867"/>
      <c r="BY133" s="2867"/>
      <c r="BZ133" s="2867"/>
      <c r="CA133" s="2867"/>
      <c r="CB133" s="2867"/>
      <c r="CC133" s="2867"/>
      <c r="CD133" s="2867"/>
      <c r="CE133" s="2867"/>
      <c r="CF133" s="2867"/>
      <c r="CG133" s="2867"/>
      <c r="CH133" s="2867"/>
      <c r="CI133" s="2867"/>
      <c r="CJ133" s="2867"/>
      <c r="CK133" s="2867"/>
      <c r="CL133" s="2867"/>
      <c r="CM133" s="2867"/>
      <c r="CN133" s="2867"/>
      <c r="CO133" s="2867"/>
      <c r="CP133" s="2867"/>
      <c r="CQ133" s="2867"/>
      <c r="CR133" s="2867"/>
      <c r="CS133" s="2867"/>
      <c r="CT133" s="2867"/>
      <c r="CU133" s="2867"/>
      <c r="CV133" s="2867"/>
      <c r="CW133" s="2867"/>
    </row>
    <row r="134" spans="1:101">
      <c r="A134" s="2867"/>
      <c r="B134" s="2867"/>
      <c r="C134" s="2867"/>
      <c r="D134" s="2867"/>
      <c r="E134" s="2867"/>
      <c r="F134" s="2867"/>
      <c r="G134" s="2867"/>
      <c r="H134" s="2867"/>
      <c r="I134" s="2867"/>
      <c r="J134" s="2867"/>
      <c r="K134" s="2867"/>
      <c r="L134" s="2867"/>
      <c r="M134" s="2867"/>
      <c r="O134" s="2867"/>
      <c r="P134" s="2867"/>
      <c r="Q134" s="2867"/>
      <c r="R134" s="2867"/>
      <c r="S134" s="2867"/>
      <c r="T134" s="2867"/>
      <c r="U134" s="2867"/>
      <c r="V134" s="2867"/>
      <c r="W134" s="2867"/>
      <c r="X134" s="2922"/>
      <c r="Y134" s="2867"/>
      <c r="Z134" s="2867"/>
      <c r="AA134" s="2867"/>
      <c r="AB134" s="2935"/>
      <c r="AC134" s="2867"/>
      <c r="AD134" s="2867"/>
      <c r="AE134" s="2867"/>
      <c r="AF134" s="2867"/>
      <c r="AG134" s="2867"/>
      <c r="AH134" s="2867"/>
      <c r="AI134" s="2938"/>
      <c r="AJ134" s="2938"/>
      <c r="AK134" s="2938"/>
      <c r="AL134" s="2938"/>
      <c r="AM134" s="2938"/>
      <c r="AN134" s="2938"/>
      <c r="AO134" s="2938"/>
      <c r="AP134" s="2938"/>
      <c r="AQ134" s="2943"/>
      <c r="AR134" s="2943"/>
      <c r="AS134" s="2938"/>
      <c r="AT134" s="2867"/>
      <c r="AU134" s="2867"/>
      <c r="AV134" s="2867"/>
      <c r="AW134" s="2867"/>
      <c r="AX134" s="2867"/>
      <c r="AY134" s="2867"/>
      <c r="AZ134" s="2867"/>
      <c r="BA134" s="2867"/>
      <c r="BB134" s="2867"/>
      <c r="BC134" s="2867"/>
      <c r="BD134" s="2867"/>
      <c r="BE134" s="2867"/>
      <c r="BF134" s="2867"/>
      <c r="BG134" s="2867"/>
      <c r="BH134" s="2867"/>
      <c r="BI134" s="2867"/>
      <c r="BJ134" s="2867"/>
      <c r="BK134" s="2867"/>
      <c r="BL134" s="2867"/>
      <c r="BM134" s="2867"/>
      <c r="BN134" s="2867"/>
      <c r="BO134" s="2867"/>
      <c r="BP134" s="2867"/>
      <c r="BQ134" s="2867"/>
      <c r="BR134" s="2867"/>
      <c r="BS134" s="2867"/>
      <c r="BT134" s="2867"/>
      <c r="BU134" s="2867"/>
      <c r="BV134" s="2867"/>
      <c r="BW134" s="2867"/>
      <c r="BX134" s="2867"/>
      <c r="BY134" s="2867"/>
      <c r="BZ134" s="2867"/>
      <c r="CA134" s="2867"/>
      <c r="CB134" s="2867"/>
      <c r="CC134" s="2867"/>
      <c r="CD134" s="2867"/>
      <c r="CE134" s="2867"/>
      <c r="CF134" s="2867"/>
      <c r="CG134" s="2867"/>
      <c r="CH134" s="2867"/>
      <c r="CI134" s="2867"/>
      <c r="CJ134" s="2867"/>
      <c r="CK134" s="2867"/>
      <c r="CL134" s="2867"/>
      <c r="CM134" s="2867"/>
      <c r="CN134" s="2867"/>
      <c r="CO134" s="2867"/>
      <c r="CP134" s="2867"/>
      <c r="CQ134" s="2867"/>
      <c r="CR134" s="2867"/>
      <c r="CS134" s="2867"/>
      <c r="CT134" s="2867"/>
      <c r="CU134" s="2867"/>
      <c r="CV134" s="2867"/>
      <c r="CW134" s="2867"/>
    </row>
    <row r="135" spans="1:101">
      <c r="A135" s="2867"/>
      <c r="B135" s="2867"/>
      <c r="C135" s="2867"/>
      <c r="D135" s="2867"/>
      <c r="E135" s="2867"/>
      <c r="F135" s="2867"/>
      <c r="G135" s="2867"/>
      <c r="H135" s="2867"/>
      <c r="I135" s="2867"/>
      <c r="J135" s="2867"/>
      <c r="K135" s="2867"/>
      <c r="L135" s="2867"/>
      <c r="M135" s="2867"/>
      <c r="O135" s="2867"/>
      <c r="P135" s="2867"/>
      <c r="Q135" s="2867"/>
      <c r="R135" s="2867"/>
      <c r="S135" s="2867"/>
      <c r="T135" s="2867"/>
      <c r="U135" s="2867"/>
      <c r="V135" s="2867"/>
      <c r="W135" s="2867"/>
      <c r="X135" s="2922"/>
      <c r="Y135" s="2867"/>
      <c r="Z135" s="2867"/>
      <c r="AA135" s="2867"/>
      <c r="AB135" s="2870"/>
      <c r="AC135" s="2944"/>
      <c r="AD135" s="2935"/>
      <c r="AE135" s="2941"/>
      <c r="AF135" s="2870"/>
      <c r="AG135" s="2941"/>
      <c r="AH135" s="2870"/>
      <c r="AI135" s="2867"/>
      <c r="AJ135" s="2867"/>
      <c r="AK135" s="2867"/>
      <c r="AL135" s="2867"/>
      <c r="AM135" s="2867"/>
      <c r="AN135" s="2867"/>
      <c r="AO135" s="2867"/>
      <c r="AP135" s="2867"/>
      <c r="AQ135" s="2867"/>
      <c r="AR135" s="2867"/>
      <c r="AS135" s="2935"/>
      <c r="AT135" s="2867"/>
      <c r="AU135" s="2867"/>
      <c r="AV135" s="2867"/>
      <c r="AW135" s="2867"/>
      <c r="AX135" s="2867"/>
      <c r="AY135" s="2867"/>
      <c r="AZ135" s="2867"/>
      <c r="BA135" s="2867"/>
      <c r="BB135" s="2867"/>
      <c r="BC135" s="2867"/>
      <c r="BD135" s="2867"/>
      <c r="BE135" s="2867"/>
      <c r="BF135" s="2867"/>
      <c r="BG135" s="2867"/>
      <c r="BH135" s="2867"/>
      <c r="BI135" s="2867"/>
      <c r="BJ135" s="2867"/>
      <c r="BK135" s="2867"/>
      <c r="BL135" s="2867"/>
      <c r="BM135" s="2867"/>
      <c r="BN135" s="2867"/>
      <c r="BO135" s="2867"/>
      <c r="BP135" s="2867"/>
      <c r="BQ135" s="2867"/>
      <c r="BR135" s="2867"/>
      <c r="BS135" s="2867"/>
      <c r="BT135" s="2867"/>
      <c r="BU135" s="2867"/>
      <c r="BV135" s="2867"/>
      <c r="BW135" s="2867"/>
      <c r="BX135" s="2867"/>
      <c r="BY135" s="2867"/>
      <c r="BZ135" s="2867"/>
      <c r="CA135" s="2867"/>
      <c r="CB135" s="2867"/>
      <c r="CC135" s="2867"/>
      <c r="CD135" s="2867"/>
      <c r="CE135" s="2867"/>
      <c r="CF135" s="2867"/>
      <c r="CG135" s="2867"/>
      <c r="CH135" s="2867"/>
      <c r="CI135" s="2867"/>
      <c r="CJ135" s="2867"/>
      <c r="CK135" s="2867"/>
      <c r="CL135" s="2867"/>
      <c r="CM135" s="2867"/>
      <c r="CN135" s="2867"/>
      <c r="CO135" s="2867"/>
      <c r="CP135" s="2867"/>
      <c r="CQ135" s="2867"/>
      <c r="CR135" s="2867"/>
      <c r="CS135" s="2867"/>
      <c r="CT135" s="2867"/>
      <c r="CU135" s="2867"/>
      <c r="CV135" s="2867"/>
      <c r="CW135" s="2867"/>
    </row>
    <row r="136" spans="1:101">
      <c r="A136" s="2867"/>
      <c r="B136" s="2867"/>
      <c r="C136" s="2867"/>
      <c r="D136" s="2867"/>
      <c r="E136" s="2867"/>
      <c r="F136" s="2867"/>
      <c r="G136" s="2867"/>
      <c r="H136" s="2867"/>
      <c r="I136" s="2867"/>
      <c r="J136" s="2867"/>
      <c r="K136" s="2867"/>
      <c r="L136" s="2867"/>
      <c r="M136" s="2867"/>
      <c r="O136" s="2867"/>
      <c r="P136" s="2867"/>
      <c r="Q136" s="2867"/>
      <c r="R136" s="2867"/>
      <c r="S136" s="2867"/>
      <c r="T136" s="2867"/>
      <c r="U136" s="2867"/>
      <c r="V136" s="2867"/>
      <c r="W136" s="2867"/>
      <c r="X136" s="2922"/>
      <c r="Y136" s="2867"/>
      <c r="Z136" s="2867"/>
      <c r="AA136" s="2867"/>
      <c r="AB136" s="2867"/>
      <c r="AC136" s="2867"/>
      <c r="AD136" s="2867"/>
      <c r="AE136" s="2867"/>
      <c r="AF136" s="2867"/>
      <c r="AG136" s="2867"/>
      <c r="AH136" s="2867"/>
      <c r="AI136" s="2935"/>
      <c r="AJ136" s="2935"/>
      <c r="AK136" s="2867"/>
      <c r="AL136" s="2867"/>
      <c r="AM136" s="2867"/>
      <c r="AN136" s="2867"/>
      <c r="AO136" s="2867"/>
      <c r="AP136" s="2867"/>
      <c r="AQ136" s="2867"/>
      <c r="AR136" s="2935"/>
      <c r="AS136" s="2935"/>
      <c r="AT136" s="2867"/>
      <c r="AU136" s="2867"/>
      <c r="AV136" s="2867"/>
      <c r="AW136" s="2867"/>
      <c r="AX136" s="2867"/>
      <c r="AY136" s="2867"/>
      <c r="AZ136" s="2867"/>
      <c r="BA136" s="2867"/>
      <c r="BB136" s="2867"/>
      <c r="BC136" s="2867"/>
      <c r="BD136" s="2867"/>
      <c r="BE136" s="2867"/>
      <c r="BF136" s="2867"/>
      <c r="BG136" s="2867"/>
      <c r="BH136" s="2867"/>
      <c r="BI136" s="2867"/>
      <c r="BJ136" s="2867"/>
      <c r="BK136" s="2867"/>
      <c r="BL136" s="2867"/>
      <c r="BM136" s="2867"/>
      <c r="BN136" s="2867"/>
      <c r="BO136" s="2867"/>
      <c r="BP136" s="2867"/>
      <c r="BQ136" s="2867"/>
      <c r="BR136" s="2867"/>
      <c r="BS136" s="2867"/>
      <c r="BT136" s="2867"/>
      <c r="BU136" s="2867"/>
      <c r="BV136" s="2867"/>
      <c r="BW136" s="2867"/>
      <c r="BX136" s="2867"/>
      <c r="BY136" s="2867"/>
      <c r="BZ136" s="2867"/>
      <c r="CA136" s="2867"/>
      <c r="CB136" s="2867"/>
      <c r="CC136" s="2867"/>
      <c r="CD136" s="2867"/>
      <c r="CE136" s="2867"/>
      <c r="CF136" s="2867"/>
      <c r="CG136" s="2867"/>
      <c r="CH136" s="2867"/>
      <c r="CI136" s="2867"/>
      <c r="CJ136" s="2867"/>
      <c r="CK136" s="2867"/>
      <c r="CL136" s="2867"/>
      <c r="CM136" s="2867"/>
      <c r="CN136" s="2867"/>
      <c r="CO136" s="2867"/>
      <c r="CP136" s="2867"/>
      <c r="CQ136" s="2867"/>
      <c r="CR136" s="2867"/>
      <c r="CS136" s="2867"/>
      <c r="CT136" s="2867"/>
      <c r="CU136" s="2867"/>
      <c r="CV136" s="2867"/>
      <c r="CW136" s="2867"/>
    </row>
    <row r="137" spans="1:101">
      <c r="A137" s="2867"/>
      <c r="B137" s="2867"/>
      <c r="C137" s="2867"/>
      <c r="D137" s="2867"/>
      <c r="E137" s="2867"/>
      <c r="F137" s="2867"/>
      <c r="G137" s="2867"/>
      <c r="H137" s="2867"/>
      <c r="I137" s="2867"/>
      <c r="J137" s="2867"/>
      <c r="K137" s="2867"/>
      <c r="L137" s="2867"/>
      <c r="M137" s="2867"/>
      <c r="O137" s="2867"/>
      <c r="P137" s="2867"/>
      <c r="Q137" s="2867"/>
      <c r="R137" s="2867"/>
      <c r="S137" s="2867"/>
      <c r="T137" s="2867"/>
      <c r="U137" s="2867"/>
      <c r="V137" s="2867"/>
      <c r="W137" s="2867"/>
      <c r="X137" s="2922"/>
      <c r="Y137" s="2867"/>
      <c r="Z137" s="2935"/>
      <c r="AA137" s="2910"/>
      <c r="AB137" s="2867"/>
      <c r="AC137" s="2867"/>
      <c r="AD137" s="2867"/>
      <c r="AE137" s="2867"/>
      <c r="AF137" s="2867"/>
      <c r="AG137" s="2867"/>
      <c r="AH137" s="2867"/>
      <c r="AI137" s="2935"/>
      <c r="AJ137" s="2935"/>
      <c r="AK137" s="2935"/>
      <c r="AL137" s="2867"/>
      <c r="AM137" s="2867"/>
      <c r="AN137" s="2867"/>
      <c r="AO137" s="2867"/>
      <c r="AP137" s="2867"/>
      <c r="AQ137" s="2935"/>
      <c r="AR137" s="2935"/>
      <c r="AS137" s="2935"/>
      <c r="AT137" s="2867"/>
      <c r="AU137" s="2867"/>
      <c r="AV137" s="2867"/>
      <c r="AW137" s="2867"/>
      <c r="AX137" s="2867"/>
      <c r="AY137" s="2867"/>
      <c r="AZ137" s="2867"/>
      <c r="BA137" s="2867"/>
      <c r="BB137" s="2867"/>
      <c r="BC137" s="2867"/>
      <c r="BD137" s="2867"/>
      <c r="BE137" s="2867"/>
      <c r="BF137" s="2867"/>
      <c r="BG137" s="2867"/>
      <c r="BH137" s="2867"/>
      <c r="BI137" s="2867"/>
      <c r="BJ137" s="2867"/>
      <c r="BK137" s="2867"/>
      <c r="BL137" s="2867"/>
      <c r="BM137" s="2867"/>
      <c r="BN137" s="2867"/>
      <c r="BO137" s="2867"/>
      <c r="BP137" s="2867"/>
      <c r="BQ137" s="2867"/>
      <c r="BR137" s="2867"/>
      <c r="BS137" s="2867"/>
      <c r="BT137" s="2867"/>
      <c r="BU137" s="2867"/>
      <c r="BV137" s="2867"/>
      <c r="BW137" s="2867"/>
      <c r="BX137" s="2867"/>
      <c r="BY137" s="2867"/>
      <c r="BZ137" s="2867"/>
      <c r="CA137" s="2867"/>
      <c r="CB137" s="2867"/>
      <c r="CC137" s="2867"/>
      <c r="CD137" s="2867"/>
      <c r="CE137" s="2867"/>
      <c r="CF137" s="2867"/>
      <c r="CG137" s="2867"/>
      <c r="CH137" s="2867"/>
      <c r="CI137" s="2867"/>
      <c r="CJ137" s="2867"/>
      <c r="CK137" s="2867"/>
      <c r="CL137" s="2867"/>
      <c r="CM137" s="2867"/>
      <c r="CN137" s="2867"/>
      <c r="CO137" s="2867"/>
      <c r="CP137" s="2867"/>
      <c r="CQ137" s="2867"/>
      <c r="CR137" s="2867"/>
      <c r="CS137" s="2867"/>
      <c r="CT137" s="2867"/>
      <c r="CU137" s="2867"/>
      <c r="CV137" s="2867"/>
      <c r="CW137" s="2867"/>
    </row>
    <row r="138" spans="1:101">
      <c r="A138" s="2867"/>
      <c r="B138" s="2867"/>
      <c r="C138" s="2867"/>
      <c r="D138" s="2867"/>
      <c r="E138" s="2867"/>
      <c r="F138" s="2867"/>
      <c r="G138" s="2867"/>
      <c r="H138" s="2867"/>
      <c r="I138" s="2867"/>
      <c r="J138" s="2867"/>
      <c r="K138" s="2867"/>
      <c r="L138" s="2867"/>
      <c r="M138" s="2867"/>
      <c r="O138" s="2867"/>
      <c r="P138" s="2867"/>
      <c r="Q138" s="2867"/>
      <c r="R138" s="2867"/>
      <c r="S138" s="2867"/>
      <c r="T138" s="2867"/>
      <c r="U138" s="2867"/>
      <c r="V138" s="2867"/>
      <c r="W138" s="2867"/>
      <c r="X138" s="2922"/>
      <c r="Y138" s="2867"/>
      <c r="Z138" s="2867"/>
      <c r="AA138" s="2910"/>
      <c r="AB138" s="2870"/>
      <c r="AC138" s="2944"/>
      <c r="AD138" s="2867"/>
      <c r="AE138" s="2867"/>
      <c r="AF138" s="2867"/>
      <c r="AG138" s="2867"/>
      <c r="AH138" s="2867"/>
      <c r="AI138" s="2867"/>
      <c r="AJ138" s="2867"/>
      <c r="AK138" s="2867"/>
      <c r="AL138" s="2867"/>
      <c r="AM138" s="2867"/>
      <c r="AN138" s="2867"/>
      <c r="AO138" s="2867"/>
      <c r="AP138" s="2867"/>
      <c r="AQ138" s="2867"/>
      <c r="AR138" s="2867"/>
      <c r="AS138" s="2935"/>
      <c r="AT138" s="2867"/>
      <c r="AU138" s="2867"/>
      <c r="AV138" s="2867"/>
      <c r="AW138" s="2867"/>
      <c r="AX138" s="2867"/>
      <c r="AY138" s="2867"/>
      <c r="AZ138" s="2867"/>
      <c r="BA138" s="2867"/>
      <c r="BB138" s="2867"/>
      <c r="BC138" s="2867"/>
      <c r="BD138" s="2867"/>
      <c r="BE138" s="2867"/>
      <c r="BF138" s="2867"/>
      <c r="BG138" s="2867"/>
      <c r="BH138" s="2867"/>
      <c r="BI138" s="2867"/>
      <c r="BJ138" s="2867"/>
      <c r="BK138" s="2867"/>
      <c r="BL138" s="2867"/>
      <c r="BM138" s="2867"/>
      <c r="BN138" s="2867"/>
      <c r="BO138" s="2867"/>
      <c r="BP138" s="2867"/>
      <c r="BQ138" s="2867"/>
      <c r="BR138" s="2867"/>
      <c r="BS138" s="2867"/>
      <c r="BT138" s="2867"/>
      <c r="BU138" s="2867"/>
      <c r="BV138" s="2867"/>
      <c r="BW138" s="2867"/>
      <c r="BX138" s="2867"/>
      <c r="BY138" s="2867"/>
      <c r="BZ138" s="2867"/>
      <c r="CA138" s="2867"/>
      <c r="CB138" s="2867"/>
      <c r="CC138" s="2867"/>
      <c r="CD138" s="2867"/>
      <c r="CE138" s="2867"/>
      <c r="CF138" s="2867"/>
      <c r="CG138" s="2867"/>
      <c r="CH138" s="2867"/>
      <c r="CI138" s="2867"/>
      <c r="CJ138" s="2867"/>
      <c r="CK138" s="2867"/>
      <c r="CL138" s="2867"/>
      <c r="CM138" s="2867"/>
      <c r="CN138" s="2867"/>
      <c r="CO138" s="2867"/>
      <c r="CP138" s="2867"/>
      <c r="CQ138" s="2867"/>
      <c r="CR138" s="2867"/>
      <c r="CS138" s="2867"/>
      <c r="CT138" s="2867"/>
      <c r="CU138" s="2867"/>
      <c r="CV138" s="2867"/>
      <c r="CW138" s="2867"/>
    </row>
    <row r="139" spans="1:101">
      <c r="A139" s="2867"/>
      <c r="B139" s="2867"/>
      <c r="C139" s="2867"/>
      <c r="D139" s="2870"/>
      <c r="E139" s="2867"/>
      <c r="F139" s="2867"/>
      <c r="G139" s="2867"/>
      <c r="H139" s="2870"/>
      <c r="I139" s="2870"/>
      <c r="J139" s="2870"/>
      <c r="K139" s="2870"/>
      <c r="L139" s="2870"/>
      <c r="M139" s="2870"/>
      <c r="O139" s="2867"/>
      <c r="P139" s="2867"/>
      <c r="Q139" s="2867"/>
      <c r="R139" s="2867"/>
      <c r="S139" s="2867"/>
      <c r="T139" s="2867"/>
      <c r="U139" s="2867"/>
      <c r="V139" s="2867"/>
      <c r="W139" s="2867"/>
      <c r="X139" s="2922"/>
      <c r="Y139" s="2867"/>
      <c r="Z139" s="2867"/>
      <c r="AA139" s="2910"/>
      <c r="AB139" s="2867"/>
      <c r="AC139" s="2867"/>
      <c r="AD139" s="2867"/>
      <c r="AE139" s="2867"/>
      <c r="AF139" s="2867"/>
      <c r="AG139" s="2867"/>
      <c r="AH139" s="2867"/>
      <c r="AI139" s="2938"/>
      <c r="AJ139" s="2938"/>
      <c r="AK139" s="2938"/>
      <c r="AL139" s="2938"/>
      <c r="AM139" s="2938"/>
      <c r="AN139" s="2938"/>
      <c r="AO139" s="2938"/>
      <c r="AP139" s="2938"/>
      <c r="AQ139" s="2938"/>
      <c r="AR139" s="2938"/>
      <c r="AS139" s="2938"/>
      <c r="AT139" s="2867"/>
      <c r="AU139" s="2867"/>
      <c r="AV139" s="2867"/>
      <c r="AW139" s="2867"/>
      <c r="AX139" s="2867"/>
      <c r="AY139" s="2867"/>
      <c r="AZ139" s="2867"/>
      <c r="BA139" s="2867"/>
      <c r="BB139" s="2867"/>
      <c r="BC139" s="2867"/>
      <c r="BD139" s="2867"/>
      <c r="BE139" s="2867"/>
      <c r="BF139" s="2867"/>
      <c r="BG139" s="2867"/>
      <c r="BH139" s="2867"/>
      <c r="BI139" s="2867"/>
      <c r="BJ139" s="2867"/>
      <c r="BK139" s="2867"/>
      <c r="BL139" s="2867"/>
      <c r="BM139" s="2867"/>
      <c r="BN139" s="2867"/>
      <c r="BO139" s="2867"/>
      <c r="BP139" s="2867"/>
      <c r="BQ139" s="2867"/>
      <c r="BR139" s="2867"/>
      <c r="BS139" s="2867"/>
      <c r="BT139" s="2867"/>
      <c r="BU139" s="2867"/>
      <c r="BV139" s="2867"/>
      <c r="BW139" s="2867"/>
      <c r="BX139" s="2867"/>
      <c r="BY139" s="2867"/>
      <c r="BZ139" s="2867"/>
      <c r="CA139" s="2867"/>
      <c r="CB139" s="2867"/>
      <c r="CC139" s="2867"/>
      <c r="CD139" s="2867"/>
      <c r="CE139" s="2867"/>
      <c r="CF139" s="2867"/>
      <c r="CG139" s="2867"/>
      <c r="CH139" s="2867"/>
      <c r="CI139" s="2867"/>
      <c r="CJ139" s="2867"/>
      <c r="CK139" s="2867"/>
      <c r="CL139" s="2867"/>
      <c r="CM139" s="2867"/>
      <c r="CN139" s="2867"/>
      <c r="CO139" s="2867"/>
      <c r="CP139" s="2867"/>
      <c r="CQ139" s="2867"/>
      <c r="CR139" s="2867"/>
      <c r="CS139" s="2867"/>
      <c r="CT139" s="2867"/>
      <c r="CU139" s="2867"/>
      <c r="CV139" s="2867"/>
      <c r="CW139" s="2867"/>
    </row>
    <row r="140" spans="1:101">
      <c r="A140" s="2867"/>
      <c r="B140" s="2867"/>
      <c r="C140" s="2867"/>
      <c r="D140" s="2867"/>
      <c r="E140" s="2867"/>
      <c r="F140" s="2867"/>
      <c r="G140" s="2867"/>
      <c r="H140" s="2870"/>
      <c r="I140" s="2870"/>
      <c r="J140" s="2870"/>
      <c r="K140" s="2870"/>
      <c r="L140" s="2870"/>
      <c r="M140" s="2870"/>
      <c r="O140" s="2867"/>
      <c r="P140" s="2867"/>
      <c r="Q140" s="2867"/>
      <c r="R140" s="2867"/>
      <c r="S140" s="2867"/>
      <c r="T140" s="2867"/>
      <c r="U140" s="2867"/>
      <c r="V140" s="2867"/>
      <c r="W140" s="2867"/>
      <c r="X140" s="2922"/>
      <c r="Y140" s="2867"/>
      <c r="Z140" s="2867"/>
      <c r="AA140" s="2910"/>
      <c r="AB140" s="2870"/>
      <c r="AC140" s="2944"/>
      <c r="AD140" s="2867"/>
      <c r="AE140" s="2867"/>
      <c r="AF140" s="2867"/>
      <c r="AG140" s="2867"/>
      <c r="AH140" s="2867"/>
      <c r="AI140" s="2867"/>
      <c r="AJ140" s="2867"/>
      <c r="AK140" s="2867"/>
      <c r="AL140" s="2867"/>
      <c r="AM140" s="2867"/>
      <c r="AN140" s="2867"/>
      <c r="AO140" s="2867"/>
      <c r="AP140" s="2867"/>
      <c r="AQ140" s="2935"/>
      <c r="AR140" s="2935"/>
      <c r="AS140" s="2935"/>
      <c r="AT140" s="2867"/>
      <c r="AU140" s="2867"/>
      <c r="AV140" s="2867"/>
      <c r="AW140" s="2867"/>
      <c r="AX140" s="2867"/>
      <c r="AY140" s="2867"/>
      <c r="AZ140" s="2867"/>
      <c r="BA140" s="2867"/>
      <c r="BB140" s="2867"/>
      <c r="BC140" s="2867"/>
      <c r="BD140" s="2867"/>
      <c r="BE140" s="2867"/>
      <c r="BF140" s="2867"/>
      <c r="BG140" s="2867"/>
      <c r="BH140" s="2867"/>
      <c r="BI140" s="2867"/>
      <c r="BJ140" s="2867"/>
      <c r="BK140" s="2867"/>
      <c r="BL140" s="2867"/>
      <c r="BM140" s="2867"/>
      <c r="BN140" s="2867"/>
      <c r="BO140" s="2867"/>
      <c r="BP140" s="2867"/>
      <c r="BQ140" s="2867"/>
      <c r="BR140" s="2867"/>
      <c r="BS140" s="2867"/>
      <c r="BT140" s="2867"/>
      <c r="BU140" s="2867"/>
      <c r="BV140" s="2867"/>
      <c r="BW140" s="2867"/>
      <c r="BX140" s="2867"/>
      <c r="BY140" s="2867"/>
      <c r="BZ140" s="2867"/>
      <c r="CA140" s="2867"/>
      <c r="CB140" s="2867"/>
      <c r="CC140" s="2867"/>
      <c r="CD140" s="2867"/>
      <c r="CE140" s="2867"/>
      <c r="CF140" s="2867"/>
      <c r="CG140" s="2867"/>
      <c r="CH140" s="2867"/>
      <c r="CI140" s="2867"/>
      <c r="CJ140" s="2867"/>
      <c r="CK140" s="2867"/>
      <c r="CL140" s="2867"/>
      <c r="CM140" s="2867"/>
      <c r="CN140" s="2867"/>
      <c r="CO140" s="2867"/>
      <c r="CP140" s="2867"/>
      <c r="CQ140" s="2867"/>
      <c r="CR140" s="2867"/>
      <c r="CS140" s="2867"/>
      <c r="CT140" s="2867"/>
      <c r="CU140" s="2867"/>
      <c r="CV140" s="2867"/>
      <c r="CW140" s="2867"/>
    </row>
    <row r="141" spans="1:101">
      <c r="A141" s="2867"/>
      <c r="B141" s="2867"/>
      <c r="C141" s="2867"/>
      <c r="D141" s="2867"/>
      <c r="E141" s="2884"/>
      <c r="F141" s="2884"/>
      <c r="G141" s="2884"/>
      <c r="H141" s="2885"/>
      <c r="I141" s="2885"/>
      <c r="J141" s="2885"/>
      <c r="K141" s="2885"/>
      <c r="L141" s="2885"/>
      <c r="M141" s="2885"/>
      <c r="O141" s="2867"/>
      <c r="P141" s="2867"/>
      <c r="Q141" s="2867"/>
      <c r="R141" s="2867"/>
      <c r="S141" s="2867"/>
      <c r="T141" s="2867"/>
      <c r="U141" s="2867"/>
      <c r="V141" s="2867"/>
      <c r="W141" s="2867"/>
      <c r="X141" s="2922"/>
      <c r="Y141" s="2867"/>
      <c r="Z141" s="2867"/>
      <c r="AA141" s="2867"/>
      <c r="AB141" s="2935"/>
      <c r="AC141" s="2867"/>
      <c r="AD141" s="2867"/>
      <c r="AE141" s="2867"/>
      <c r="AF141" s="2867"/>
      <c r="AG141" s="2867"/>
      <c r="AH141" s="2867"/>
      <c r="AI141" s="2922"/>
      <c r="AJ141" s="2867"/>
      <c r="AK141" s="2910"/>
      <c r="AL141" s="2867"/>
      <c r="AM141" s="2867"/>
      <c r="AN141" s="2867"/>
      <c r="AO141" s="2867"/>
      <c r="AP141" s="2867"/>
      <c r="AQ141" s="2870"/>
      <c r="AR141" s="2870"/>
      <c r="AS141" s="2867"/>
      <c r="AT141" s="2867"/>
      <c r="AU141" s="2867"/>
      <c r="AV141" s="2867"/>
      <c r="AW141" s="2867"/>
      <c r="AX141" s="2867"/>
      <c r="AY141" s="2867"/>
      <c r="AZ141" s="2867"/>
      <c r="BA141" s="2867"/>
      <c r="BB141" s="2867"/>
      <c r="BC141" s="2867"/>
      <c r="BD141" s="2867"/>
      <c r="BE141" s="2867"/>
      <c r="BF141" s="2867"/>
      <c r="BG141" s="2867"/>
      <c r="BH141" s="2867"/>
      <c r="BI141" s="2867"/>
      <c r="BJ141" s="2867"/>
      <c r="BK141" s="2867"/>
      <c r="BL141" s="2867"/>
      <c r="BM141" s="2867"/>
      <c r="BN141" s="2867"/>
      <c r="BO141" s="2867"/>
      <c r="BP141" s="2867"/>
      <c r="BQ141" s="2867"/>
      <c r="BR141" s="2867"/>
      <c r="BS141" s="2867"/>
      <c r="BT141" s="2867"/>
      <c r="BU141" s="2867"/>
      <c r="BV141" s="2867"/>
      <c r="BW141" s="2867"/>
      <c r="BX141" s="2867"/>
      <c r="BY141" s="2867"/>
      <c r="BZ141" s="2867"/>
      <c r="CA141" s="2867"/>
      <c r="CB141" s="2867"/>
      <c r="CC141" s="2867"/>
      <c r="CD141" s="2867"/>
      <c r="CE141" s="2867"/>
      <c r="CF141" s="2867"/>
      <c r="CG141" s="2867"/>
      <c r="CH141" s="2867"/>
      <c r="CI141" s="2867"/>
      <c r="CJ141" s="2867"/>
      <c r="CK141" s="2867"/>
      <c r="CL141" s="2867"/>
      <c r="CM141" s="2867"/>
      <c r="CN141" s="2867"/>
      <c r="CO141" s="2867"/>
      <c r="CP141" s="2867"/>
      <c r="CQ141" s="2867"/>
      <c r="CR141" s="2867"/>
      <c r="CS141" s="2867"/>
      <c r="CT141" s="2867"/>
      <c r="CU141" s="2867"/>
      <c r="CV141" s="2867"/>
      <c r="CW141" s="2867"/>
    </row>
    <row r="142" spans="1:101">
      <c r="A142" s="2867"/>
      <c r="B142" s="2867"/>
      <c r="C142" s="2867"/>
      <c r="D142" s="2867"/>
      <c r="E142" s="2867"/>
      <c r="F142" s="2867"/>
      <c r="G142" s="2867"/>
      <c r="H142" s="2870"/>
      <c r="I142" s="2870"/>
      <c r="J142" s="2870"/>
      <c r="K142" s="2870"/>
      <c r="L142" s="2870"/>
      <c r="M142" s="2870"/>
      <c r="O142" s="2867"/>
      <c r="P142" s="2867"/>
      <c r="Q142" s="2867"/>
      <c r="R142" s="2867"/>
      <c r="S142" s="2867"/>
      <c r="T142" s="2867"/>
      <c r="U142" s="2867"/>
      <c r="V142" s="2867"/>
      <c r="W142" s="2867"/>
      <c r="X142" s="2922"/>
      <c r="Y142" s="2867"/>
      <c r="Z142" s="2867"/>
      <c r="AA142" s="2867"/>
      <c r="AB142" s="2870"/>
      <c r="AC142" s="2944"/>
      <c r="AD142" s="2935"/>
      <c r="AE142" s="2941"/>
      <c r="AF142" s="2870"/>
      <c r="AG142" s="2941"/>
      <c r="AH142" s="2870"/>
      <c r="AI142" s="2867"/>
      <c r="AJ142" s="2867"/>
      <c r="AK142" s="2867"/>
      <c r="AL142" s="2867"/>
      <c r="AM142" s="2867"/>
      <c r="AN142" s="2867"/>
      <c r="AO142" s="2867"/>
      <c r="AP142" s="2867"/>
      <c r="AQ142" s="2870"/>
      <c r="AR142" s="2870"/>
      <c r="AS142" s="2867"/>
      <c r="AT142" s="2867"/>
      <c r="AU142" s="2867"/>
      <c r="AV142" s="2867"/>
      <c r="AW142" s="2867"/>
      <c r="AX142" s="2867"/>
      <c r="AY142" s="2867"/>
      <c r="AZ142" s="2867"/>
      <c r="BA142" s="2867"/>
      <c r="BB142" s="2867"/>
      <c r="BC142" s="2867"/>
      <c r="BD142" s="2867"/>
      <c r="BE142" s="2867"/>
      <c r="BF142" s="2867"/>
      <c r="BG142" s="2867"/>
      <c r="BH142" s="2867"/>
      <c r="BI142" s="2867"/>
      <c r="BJ142" s="2867"/>
      <c r="BK142" s="2867"/>
      <c r="BL142" s="2867"/>
      <c r="BM142" s="2867"/>
      <c r="BN142" s="2867"/>
      <c r="BO142" s="2867"/>
      <c r="BP142" s="2867"/>
      <c r="BQ142" s="2867"/>
      <c r="BR142" s="2867"/>
      <c r="BS142" s="2867"/>
      <c r="BT142" s="2867"/>
      <c r="BU142" s="2867"/>
      <c r="BV142" s="2867"/>
      <c r="BW142" s="2867"/>
      <c r="BX142" s="2867"/>
      <c r="BY142" s="2867"/>
      <c r="BZ142" s="2867"/>
      <c r="CA142" s="2867"/>
      <c r="CB142" s="2867"/>
      <c r="CC142" s="2867"/>
      <c r="CD142" s="2867"/>
      <c r="CE142" s="2867"/>
      <c r="CF142" s="2867"/>
      <c r="CG142" s="2867"/>
      <c r="CH142" s="2867"/>
      <c r="CI142" s="2867"/>
      <c r="CJ142" s="2867"/>
      <c r="CK142" s="2867"/>
      <c r="CL142" s="2867"/>
      <c r="CM142" s="2867"/>
      <c r="CN142" s="2867"/>
      <c r="CO142" s="2867"/>
      <c r="CP142" s="2867"/>
      <c r="CQ142" s="2867"/>
      <c r="CR142" s="2867"/>
      <c r="CS142" s="2867"/>
      <c r="CT142" s="2867"/>
      <c r="CU142" s="2867"/>
      <c r="CV142" s="2867"/>
      <c r="CW142" s="2867"/>
    </row>
    <row r="143" spans="1:101">
      <c r="A143" s="2867"/>
      <c r="B143" s="2867"/>
      <c r="C143" s="2867"/>
      <c r="D143" s="2867"/>
      <c r="E143" s="2867"/>
      <c r="F143" s="2867"/>
      <c r="G143" s="2867"/>
      <c r="H143" s="2867"/>
      <c r="I143" s="2867"/>
      <c r="J143" s="2867"/>
      <c r="K143" s="2867"/>
      <c r="L143" s="2867"/>
      <c r="M143" s="2867"/>
      <c r="O143" s="2867"/>
      <c r="P143" s="2867"/>
      <c r="Q143" s="2867"/>
      <c r="R143" s="2867"/>
      <c r="S143" s="2867"/>
      <c r="T143" s="2867"/>
      <c r="U143" s="2867"/>
      <c r="V143" s="2867"/>
      <c r="W143" s="2867"/>
      <c r="X143" s="2922"/>
      <c r="Y143" s="2867"/>
      <c r="Z143" s="2867"/>
      <c r="AA143" s="2867"/>
      <c r="AB143" s="2867"/>
      <c r="AC143" s="2867"/>
      <c r="AD143" s="2867"/>
      <c r="AE143" s="2867"/>
      <c r="AF143" s="2867"/>
      <c r="AG143" s="2867"/>
      <c r="AH143" s="2867"/>
      <c r="AI143" s="2922"/>
      <c r="AJ143" s="2935"/>
      <c r="AK143" s="2910"/>
      <c r="AL143" s="2867"/>
      <c r="AM143" s="2867"/>
      <c r="AN143" s="2867"/>
      <c r="AO143" s="2870"/>
      <c r="AP143" s="2941"/>
      <c r="AQ143" s="2885"/>
      <c r="AR143" s="2870"/>
      <c r="AS143" s="2870"/>
      <c r="AT143" s="2867"/>
      <c r="AU143" s="2867"/>
      <c r="AV143" s="2867"/>
      <c r="AW143" s="2867"/>
      <c r="AX143" s="2867"/>
      <c r="AY143" s="2867"/>
      <c r="AZ143" s="2867"/>
      <c r="BA143" s="2867"/>
      <c r="BB143" s="2867"/>
      <c r="BC143" s="2867"/>
      <c r="BD143" s="2867"/>
      <c r="BE143" s="2867"/>
      <c r="BF143" s="2867"/>
      <c r="BG143" s="2867"/>
      <c r="BH143" s="2867"/>
      <c r="BI143" s="2867"/>
      <c r="BJ143" s="2867"/>
      <c r="BK143" s="2867"/>
      <c r="BL143" s="2867"/>
      <c r="BM143" s="2867"/>
      <c r="BN143" s="2867"/>
      <c r="BO143" s="2867"/>
      <c r="BP143" s="2867"/>
      <c r="BQ143" s="2867"/>
      <c r="BR143" s="2867"/>
      <c r="BS143" s="2867"/>
      <c r="BT143" s="2867"/>
      <c r="BU143" s="2867"/>
      <c r="BV143" s="2867"/>
      <c r="BW143" s="2867"/>
      <c r="BX143" s="2867"/>
      <c r="BY143" s="2867"/>
      <c r="BZ143" s="2867"/>
      <c r="CA143" s="2867"/>
      <c r="CB143" s="2867"/>
      <c r="CC143" s="2867"/>
      <c r="CD143" s="2867"/>
      <c r="CE143" s="2867"/>
      <c r="CF143" s="2867"/>
      <c r="CG143" s="2867"/>
      <c r="CH143" s="2867"/>
      <c r="CI143" s="2867"/>
      <c r="CJ143" s="2867"/>
      <c r="CK143" s="2867"/>
      <c r="CL143" s="2867"/>
      <c r="CM143" s="2867"/>
      <c r="CN143" s="2867"/>
      <c r="CO143" s="2867"/>
      <c r="CP143" s="2867"/>
      <c r="CQ143" s="2867"/>
      <c r="CR143" s="2867"/>
      <c r="CS143" s="2867"/>
      <c r="CT143" s="2867"/>
      <c r="CU143" s="2867"/>
      <c r="CV143" s="2867"/>
      <c r="CW143" s="2867"/>
    </row>
    <row r="144" spans="1:101">
      <c r="A144" s="2867"/>
      <c r="B144" s="2867"/>
      <c r="C144" s="2867"/>
      <c r="D144" s="2867"/>
      <c r="E144" s="2898"/>
      <c r="F144" s="2898"/>
      <c r="G144" s="2898"/>
      <c r="H144" s="2870"/>
      <c r="I144" s="2870"/>
      <c r="J144" s="2870"/>
      <c r="K144" s="2870"/>
      <c r="L144" s="2870"/>
      <c r="M144" s="2870"/>
      <c r="O144" s="2867"/>
      <c r="P144" s="2867"/>
      <c r="Q144" s="2867"/>
      <c r="R144" s="2867"/>
      <c r="S144" s="2867"/>
      <c r="T144" s="2867"/>
      <c r="U144" s="2867"/>
      <c r="V144" s="2867"/>
      <c r="W144" s="2867"/>
      <c r="X144" s="2922"/>
      <c r="Y144" s="2867"/>
      <c r="Z144" s="2935"/>
      <c r="AA144" s="2910"/>
      <c r="AB144" s="2867"/>
      <c r="AC144" s="2867"/>
      <c r="AD144" s="2867"/>
      <c r="AE144" s="2867"/>
      <c r="AF144" s="2867"/>
      <c r="AG144" s="2867"/>
      <c r="AH144" s="2867"/>
      <c r="AI144" s="2922"/>
      <c r="AJ144" s="2935"/>
      <c r="AK144" s="2910"/>
      <c r="AL144" s="2867"/>
      <c r="AM144" s="2867"/>
      <c r="AN144" s="2867"/>
      <c r="AO144" s="2870"/>
      <c r="AP144" s="2941"/>
      <c r="AQ144" s="2885"/>
      <c r="AR144" s="2870"/>
      <c r="AS144" s="2870"/>
      <c r="AT144" s="2867"/>
      <c r="AU144" s="2867"/>
      <c r="AV144" s="2867"/>
      <c r="AW144" s="2867"/>
      <c r="AX144" s="2867"/>
      <c r="AY144" s="2867"/>
      <c r="AZ144" s="2867"/>
      <c r="BA144" s="2867"/>
      <c r="BB144" s="2867"/>
      <c r="BC144" s="2867"/>
      <c r="BD144" s="2867"/>
      <c r="BE144" s="2867"/>
      <c r="BF144" s="2867"/>
      <c r="BG144" s="2867"/>
      <c r="BH144" s="2867"/>
      <c r="BI144" s="2867"/>
      <c r="BJ144" s="2867"/>
      <c r="BK144" s="2867"/>
      <c r="BL144" s="2867"/>
      <c r="BM144" s="2867"/>
      <c r="BN144" s="2867"/>
      <c r="BO144" s="2867"/>
      <c r="BP144" s="2867"/>
      <c r="BQ144" s="2867"/>
      <c r="BR144" s="2867"/>
      <c r="BS144" s="2867"/>
      <c r="BT144" s="2867"/>
      <c r="BU144" s="2867"/>
      <c r="BV144" s="2867"/>
      <c r="BW144" s="2867"/>
      <c r="BX144" s="2867"/>
      <c r="BY144" s="2867"/>
      <c r="BZ144" s="2867"/>
      <c r="CA144" s="2867"/>
      <c r="CB144" s="2867"/>
      <c r="CC144" s="2867"/>
      <c r="CD144" s="2867"/>
      <c r="CE144" s="2867"/>
      <c r="CF144" s="2867"/>
      <c r="CG144" s="2867"/>
      <c r="CH144" s="2867"/>
      <c r="CI144" s="2867"/>
      <c r="CJ144" s="2867"/>
      <c r="CK144" s="2867"/>
      <c r="CL144" s="2867"/>
      <c r="CM144" s="2867"/>
      <c r="CN144" s="2867"/>
      <c r="CO144" s="2867"/>
      <c r="CP144" s="2867"/>
      <c r="CQ144" s="2867"/>
      <c r="CR144" s="2867"/>
      <c r="CS144" s="2867"/>
      <c r="CT144" s="2867"/>
      <c r="CU144" s="2867"/>
      <c r="CV144" s="2867"/>
      <c r="CW144" s="2867"/>
    </row>
    <row r="145" spans="1:101">
      <c r="A145" s="2867"/>
      <c r="B145" s="2867"/>
      <c r="C145" s="2867"/>
      <c r="D145" s="2867"/>
      <c r="E145" s="2867"/>
      <c r="F145" s="2867"/>
      <c r="G145" s="2867"/>
      <c r="H145" s="2870"/>
      <c r="I145" s="2870"/>
      <c r="J145" s="2870"/>
      <c r="K145" s="2870"/>
      <c r="L145" s="2870"/>
      <c r="M145" s="2870"/>
      <c r="O145" s="2898"/>
      <c r="P145" s="2867"/>
      <c r="Q145" s="2867"/>
      <c r="R145" s="2867"/>
      <c r="S145" s="2867"/>
      <c r="T145" s="2867"/>
      <c r="U145" s="2867"/>
      <c r="V145" s="2867"/>
      <c r="W145" s="2867"/>
      <c r="X145" s="2922"/>
      <c r="Y145" s="2867"/>
      <c r="Z145" s="2867"/>
      <c r="AA145" s="2910"/>
      <c r="AB145" s="2870"/>
      <c r="AC145" s="2944"/>
      <c r="AD145" s="2867"/>
      <c r="AE145" s="2867"/>
      <c r="AF145" s="2867"/>
      <c r="AG145" s="2867"/>
      <c r="AH145" s="2867"/>
      <c r="AI145" s="2922"/>
      <c r="AJ145" s="2935"/>
      <c r="AK145" s="2910"/>
      <c r="AL145" s="2867"/>
      <c r="AM145" s="2867"/>
      <c r="AN145" s="2867"/>
      <c r="AO145" s="2870"/>
      <c r="AP145" s="2941"/>
      <c r="AQ145" s="2885"/>
      <c r="AR145" s="2870"/>
      <c r="AS145" s="2870"/>
      <c r="AT145" s="2867"/>
      <c r="AU145" s="2867"/>
      <c r="AV145" s="2867"/>
      <c r="AW145" s="2867"/>
      <c r="AX145" s="2867"/>
      <c r="AY145" s="2867"/>
      <c r="AZ145" s="2867"/>
      <c r="BA145" s="2867"/>
      <c r="BB145" s="2867"/>
      <c r="BC145" s="2867"/>
      <c r="BD145" s="2867"/>
      <c r="BE145" s="2867"/>
      <c r="BF145" s="2867"/>
      <c r="BG145" s="2867"/>
      <c r="BH145" s="2867"/>
      <c r="BI145" s="2867"/>
      <c r="BJ145" s="2867"/>
      <c r="BK145" s="2867"/>
      <c r="BL145" s="2867"/>
      <c r="BM145" s="2867"/>
      <c r="BN145" s="2867"/>
      <c r="BO145" s="2867"/>
      <c r="BP145" s="2867"/>
      <c r="BQ145" s="2867"/>
      <c r="BR145" s="2867"/>
      <c r="BS145" s="2867"/>
      <c r="BT145" s="2867"/>
      <c r="BU145" s="2867"/>
      <c r="BV145" s="2867"/>
      <c r="BW145" s="2867"/>
      <c r="BX145" s="2867"/>
      <c r="BY145" s="2867"/>
      <c r="BZ145" s="2867"/>
      <c r="CA145" s="2867"/>
      <c r="CB145" s="2867"/>
      <c r="CC145" s="2867"/>
      <c r="CD145" s="2867"/>
      <c r="CE145" s="2867"/>
      <c r="CF145" s="2867"/>
      <c r="CG145" s="2867"/>
      <c r="CH145" s="2867"/>
      <c r="CI145" s="2867"/>
      <c r="CJ145" s="2867"/>
      <c r="CK145" s="2867"/>
      <c r="CL145" s="2867"/>
      <c r="CM145" s="2867"/>
      <c r="CN145" s="2867"/>
      <c r="CO145" s="2867"/>
      <c r="CP145" s="2867"/>
      <c r="CQ145" s="2867"/>
      <c r="CR145" s="2867"/>
      <c r="CS145" s="2867"/>
      <c r="CT145" s="2867"/>
      <c r="CU145" s="2867"/>
      <c r="CV145" s="2867"/>
      <c r="CW145" s="2867"/>
    </row>
    <row r="146" spans="1:101">
      <c r="A146" s="2867"/>
      <c r="B146" s="2867"/>
      <c r="C146" s="2867"/>
      <c r="D146" s="2867"/>
      <c r="E146" s="2867"/>
      <c r="F146" s="2867"/>
      <c r="G146" s="2867"/>
      <c r="H146" s="2867"/>
      <c r="I146" s="2867"/>
      <c r="J146" s="2867"/>
      <c r="K146" s="2867"/>
      <c r="L146" s="2867"/>
      <c r="M146" s="2867"/>
      <c r="O146" s="2867"/>
      <c r="P146" s="2867"/>
      <c r="Q146" s="2867"/>
      <c r="R146" s="2867"/>
      <c r="S146" s="2867"/>
      <c r="T146" s="2867"/>
      <c r="U146" s="2867"/>
      <c r="V146" s="2867"/>
      <c r="W146" s="2867"/>
      <c r="X146" s="2922"/>
      <c r="Y146" s="2867"/>
      <c r="Z146" s="2867"/>
      <c r="AA146" s="2910"/>
      <c r="AB146" s="2867"/>
      <c r="AC146" s="2867"/>
      <c r="AD146" s="2867"/>
      <c r="AE146" s="2867"/>
      <c r="AF146" s="2867"/>
      <c r="AG146" s="2867"/>
      <c r="AH146" s="2867"/>
      <c r="AI146" s="2922"/>
      <c r="AJ146" s="2935"/>
      <c r="AK146" s="2910"/>
      <c r="AL146" s="2867"/>
      <c r="AM146" s="2867"/>
      <c r="AN146" s="2867"/>
      <c r="AO146" s="2870"/>
      <c r="AP146" s="2941"/>
      <c r="AQ146" s="2885"/>
      <c r="AR146" s="2870"/>
      <c r="AS146" s="2870"/>
      <c r="AT146" s="2867"/>
      <c r="AU146" s="2867"/>
      <c r="AV146" s="2867"/>
      <c r="AW146" s="2867"/>
      <c r="AX146" s="2867"/>
      <c r="AY146" s="2867"/>
      <c r="AZ146" s="2867"/>
      <c r="BA146" s="2867"/>
      <c r="BB146" s="2867"/>
      <c r="BC146" s="2867"/>
      <c r="BD146" s="2867"/>
      <c r="BE146" s="2867"/>
      <c r="BF146" s="2867"/>
      <c r="BG146" s="2867"/>
      <c r="BH146" s="2867"/>
      <c r="BI146" s="2867"/>
      <c r="BJ146" s="2867"/>
      <c r="BK146" s="2867"/>
      <c r="BL146" s="2867"/>
      <c r="BM146" s="2867"/>
      <c r="BN146" s="2867"/>
      <c r="BO146" s="2867"/>
      <c r="BP146" s="2867"/>
      <c r="BQ146" s="2867"/>
      <c r="BR146" s="2867"/>
      <c r="BS146" s="2867"/>
      <c r="BT146" s="2867"/>
      <c r="BU146" s="2867"/>
      <c r="BV146" s="2867"/>
      <c r="BW146" s="2867"/>
      <c r="BX146" s="2867"/>
      <c r="BY146" s="2867"/>
      <c r="BZ146" s="2867"/>
      <c r="CA146" s="2867"/>
      <c r="CB146" s="2867"/>
      <c r="CC146" s="2867"/>
      <c r="CD146" s="2867"/>
      <c r="CE146" s="2867"/>
      <c r="CF146" s="2867"/>
      <c r="CG146" s="2867"/>
      <c r="CH146" s="2867"/>
      <c r="CI146" s="2867"/>
      <c r="CJ146" s="2867"/>
      <c r="CK146" s="2867"/>
      <c r="CL146" s="2867"/>
      <c r="CM146" s="2867"/>
      <c r="CN146" s="2867"/>
      <c r="CO146" s="2867"/>
      <c r="CP146" s="2867"/>
      <c r="CQ146" s="2867"/>
      <c r="CR146" s="2867"/>
      <c r="CS146" s="2867"/>
      <c r="CT146" s="2867"/>
      <c r="CU146" s="2867"/>
      <c r="CV146" s="2867"/>
      <c r="CW146" s="2867"/>
    </row>
    <row r="147" spans="1:101">
      <c r="A147" s="2867"/>
      <c r="B147" s="2867"/>
      <c r="C147" s="2867"/>
      <c r="D147" s="2867"/>
      <c r="E147" s="2867"/>
      <c r="F147" s="2867"/>
      <c r="G147" s="2867"/>
      <c r="H147" s="2867"/>
      <c r="I147" s="2867"/>
      <c r="J147" s="2867"/>
      <c r="K147" s="2867"/>
      <c r="L147" s="2867"/>
      <c r="M147" s="2867"/>
      <c r="O147" s="2867"/>
      <c r="P147" s="2867"/>
      <c r="Q147" s="2867"/>
      <c r="R147" s="2867"/>
      <c r="S147" s="2867"/>
      <c r="T147" s="2867"/>
      <c r="U147" s="2867"/>
      <c r="V147" s="2867"/>
      <c r="W147" s="2867"/>
      <c r="X147" s="2922"/>
      <c r="Y147" s="2867"/>
      <c r="Z147" s="2867"/>
      <c r="AA147" s="2910"/>
      <c r="AB147" s="2870"/>
      <c r="AC147" s="2944"/>
      <c r="AD147" s="2867"/>
      <c r="AE147" s="2867"/>
      <c r="AF147" s="2867"/>
      <c r="AG147" s="2867"/>
      <c r="AH147" s="2867"/>
      <c r="AI147" s="2922"/>
      <c r="AJ147" s="2935"/>
      <c r="AK147" s="2910"/>
      <c r="AL147" s="2867"/>
      <c r="AM147" s="2867"/>
      <c r="AN147" s="2867"/>
      <c r="AO147" s="2870"/>
      <c r="AP147" s="2941"/>
      <c r="AQ147" s="2885"/>
      <c r="AR147" s="2870"/>
      <c r="AS147" s="2870"/>
      <c r="AT147" s="2867"/>
      <c r="AU147" s="2867"/>
      <c r="AV147" s="2867"/>
      <c r="AW147" s="2867"/>
      <c r="AX147" s="2867"/>
      <c r="AY147" s="2867"/>
      <c r="AZ147" s="2867"/>
      <c r="BA147" s="2867"/>
      <c r="BB147" s="2867"/>
      <c r="BC147" s="2867"/>
      <c r="BD147" s="2867"/>
      <c r="BE147" s="2867"/>
      <c r="BF147" s="2867"/>
      <c r="BG147" s="2867"/>
      <c r="BH147" s="2867"/>
      <c r="BI147" s="2867"/>
      <c r="BJ147" s="2867"/>
      <c r="BK147" s="2867"/>
      <c r="BL147" s="2867"/>
      <c r="BM147" s="2867"/>
      <c r="BN147" s="2867"/>
      <c r="BO147" s="2867"/>
      <c r="BP147" s="2867"/>
      <c r="BQ147" s="2867"/>
      <c r="BR147" s="2867"/>
      <c r="BS147" s="2867"/>
      <c r="BT147" s="2867"/>
      <c r="BU147" s="2867"/>
      <c r="BV147" s="2867"/>
      <c r="BW147" s="2867"/>
      <c r="BX147" s="2867"/>
      <c r="BY147" s="2867"/>
      <c r="BZ147" s="2867"/>
      <c r="CA147" s="2867"/>
      <c r="CB147" s="2867"/>
      <c r="CC147" s="2867"/>
      <c r="CD147" s="2867"/>
      <c r="CE147" s="2867"/>
      <c r="CF147" s="2867"/>
      <c r="CG147" s="2867"/>
      <c r="CH147" s="2867"/>
      <c r="CI147" s="2867"/>
      <c r="CJ147" s="2867"/>
      <c r="CK147" s="2867"/>
      <c r="CL147" s="2867"/>
      <c r="CM147" s="2867"/>
      <c r="CN147" s="2867"/>
      <c r="CO147" s="2867"/>
      <c r="CP147" s="2867"/>
      <c r="CQ147" s="2867"/>
      <c r="CR147" s="2867"/>
      <c r="CS147" s="2867"/>
      <c r="CT147" s="2867"/>
      <c r="CU147" s="2867"/>
      <c r="CV147" s="2867"/>
      <c r="CW147" s="2867"/>
    </row>
    <row r="148" spans="1:101">
      <c r="A148" s="2867"/>
      <c r="B148" s="2867"/>
      <c r="C148" s="2867"/>
      <c r="D148" s="2870"/>
      <c r="E148" s="2867"/>
      <c r="F148" s="2867"/>
      <c r="G148" s="2867"/>
      <c r="H148" s="2867"/>
      <c r="I148" s="2867"/>
      <c r="J148" s="2867"/>
      <c r="K148" s="2867"/>
      <c r="L148" s="2867"/>
      <c r="M148" s="2867"/>
      <c r="O148" s="2867"/>
      <c r="P148" s="2867"/>
      <c r="Q148" s="2867"/>
      <c r="R148" s="2867"/>
      <c r="S148" s="2867"/>
      <c r="T148" s="2867"/>
      <c r="U148" s="2867"/>
      <c r="V148" s="2867"/>
      <c r="W148" s="2867"/>
      <c r="X148" s="2922"/>
      <c r="Y148" s="2867"/>
      <c r="Z148" s="2867"/>
      <c r="AA148" s="2867"/>
      <c r="AB148" s="2935"/>
      <c r="AC148" s="2867"/>
      <c r="AD148" s="2867"/>
      <c r="AE148" s="2867"/>
      <c r="AF148" s="2867"/>
      <c r="AG148" s="2867"/>
      <c r="AH148" s="2867"/>
      <c r="AI148" s="2867"/>
      <c r="AJ148" s="2867"/>
      <c r="AK148" s="2867"/>
      <c r="AL148" s="2867"/>
      <c r="AM148" s="2867"/>
      <c r="AN148" s="2867"/>
      <c r="AO148" s="2870"/>
      <c r="AP148" s="2941"/>
      <c r="AQ148" s="2942"/>
      <c r="AR148" s="2942"/>
      <c r="AS148" s="2942"/>
      <c r="AT148" s="2867"/>
      <c r="AU148" s="2867"/>
      <c r="AV148" s="2867"/>
      <c r="AW148" s="2867"/>
      <c r="AX148" s="2867"/>
      <c r="AY148" s="2867"/>
      <c r="AZ148" s="2867"/>
      <c r="BA148" s="2867"/>
      <c r="BB148" s="2867"/>
      <c r="BC148" s="2867"/>
      <c r="BD148" s="2867"/>
      <c r="BE148" s="2867"/>
      <c r="BF148" s="2867"/>
      <c r="BG148" s="2867"/>
      <c r="BH148" s="2867"/>
      <c r="BI148" s="2867"/>
      <c r="BJ148" s="2867"/>
      <c r="BK148" s="2867"/>
      <c r="BL148" s="2867"/>
      <c r="BM148" s="2867"/>
      <c r="BN148" s="2867"/>
      <c r="BO148" s="2867"/>
      <c r="BP148" s="2867"/>
      <c r="BQ148" s="2867"/>
      <c r="BR148" s="2867"/>
      <c r="BS148" s="2867"/>
      <c r="BT148" s="2867"/>
      <c r="BU148" s="2867"/>
      <c r="BV148" s="2867"/>
      <c r="BW148" s="2867"/>
      <c r="BX148" s="2867"/>
      <c r="BY148" s="2867"/>
      <c r="BZ148" s="2867"/>
      <c r="CA148" s="2867"/>
      <c r="CB148" s="2867"/>
      <c r="CC148" s="2867"/>
      <c r="CD148" s="2867"/>
      <c r="CE148" s="2867"/>
      <c r="CF148" s="2867"/>
      <c r="CG148" s="2867"/>
      <c r="CH148" s="2867"/>
      <c r="CI148" s="2867"/>
      <c r="CJ148" s="2867"/>
      <c r="CK148" s="2867"/>
      <c r="CL148" s="2867"/>
      <c r="CM148" s="2867"/>
      <c r="CN148" s="2867"/>
      <c r="CO148" s="2867"/>
      <c r="CP148" s="2867"/>
      <c r="CQ148" s="2867"/>
      <c r="CR148" s="2867"/>
      <c r="CS148" s="2867"/>
      <c r="CT148" s="2867"/>
      <c r="CU148" s="2867"/>
      <c r="CV148" s="2867"/>
      <c r="CW148" s="2867"/>
    </row>
    <row r="149" spans="1:101">
      <c r="A149" s="2867"/>
      <c r="B149" s="2867"/>
      <c r="C149" s="2867"/>
      <c r="D149" s="2867"/>
      <c r="E149" s="2867"/>
      <c r="F149" s="2867"/>
      <c r="G149" s="2867"/>
      <c r="H149" s="2867"/>
      <c r="I149" s="2867"/>
      <c r="J149" s="2867"/>
      <c r="K149" s="2867"/>
      <c r="L149" s="2867"/>
      <c r="M149" s="2867"/>
      <c r="O149" s="2867"/>
      <c r="P149" s="2867"/>
      <c r="Q149" s="2867"/>
      <c r="R149" s="2867"/>
      <c r="S149" s="2867"/>
      <c r="T149" s="2867"/>
      <c r="U149" s="2867"/>
      <c r="V149" s="2867"/>
      <c r="W149" s="2867"/>
      <c r="X149" s="2922"/>
      <c r="Y149" s="2867"/>
      <c r="Z149" s="2867"/>
      <c r="AA149" s="2867"/>
      <c r="AB149" s="2870"/>
      <c r="AC149" s="2944"/>
      <c r="AD149" s="2935"/>
      <c r="AE149" s="2941"/>
      <c r="AF149" s="2870"/>
      <c r="AG149" s="2941"/>
      <c r="AH149" s="2870"/>
      <c r="AI149" s="2922"/>
      <c r="AJ149" s="2867"/>
      <c r="AK149" s="2910"/>
      <c r="AL149" s="2867"/>
      <c r="AM149" s="2867"/>
      <c r="AN149" s="2867"/>
      <c r="AO149" s="2870"/>
      <c r="AP149" s="2867"/>
      <c r="AQ149" s="2870"/>
      <c r="AR149" s="2870"/>
      <c r="AS149" s="2870"/>
      <c r="AT149" s="2867"/>
      <c r="AU149" s="2867"/>
      <c r="AV149" s="2867"/>
      <c r="AW149" s="2867"/>
      <c r="AX149" s="2867"/>
      <c r="AY149" s="2867"/>
      <c r="AZ149" s="2867"/>
      <c r="BA149" s="2867"/>
      <c r="BB149" s="2867"/>
      <c r="BC149" s="2867"/>
      <c r="BD149" s="2867"/>
      <c r="BE149" s="2867"/>
      <c r="BF149" s="2867"/>
      <c r="BG149" s="2867"/>
      <c r="BH149" s="2867"/>
      <c r="BI149" s="2867"/>
      <c r="BJ149" s="2867"/>
      <c r="BK149" s="2867"/>
      <c r="BL149" s="2867"/>
      <c r="BM149" s="2867"/>
      <c r="BN149" s="2867"/>
      <c r="BO149" s="2867"/>
      <c r="BP149" s="2867"/>
      <c r="BQ149" s="2867"/>
      <c r="BR149" s="2867"/>
      <c r="BS149" s="2867"/>
      <c r="BT149" s="2867"/>
      <c r="BU149" s="2867"/>
      <c r="BV149" s="2867"/>
      <c r="BW149" s="2867"/>
      <c r="BX149" s="2867"/>
      <c r="BY149" s="2867"/>
      <c r="BZ149" s="2867"/>
      <c r="CA149" s="2867"/>
      <c r="CB149" s="2867"/>
      <c r="CC149" s="2867"/>
      <c r="CD149" s="2867"/>
      <c r="CE149" s="2867"/>
      <c r="CF149" s="2867"/>
      <c r="CG149" s="2867"/>
      <c r="CH149" s="2867"/>
      <c r="CI149" s="2867"/>
      <c r="CJ149" s="2867"/>
      <c r="CK149" s="2867"/>
      <c r="CL149" s="2867"/>
      <c r="CM149" s="2867"/>
      <c r="CN149" s="2867"/>
      <c r="CO149" s="2867"/>
      <c r="CP149" s="2867"/>
      <c r="CQ149" s="2867"/>
      <c r="CR149" s="2867"/>
      <c r="CS149" s="2867"/>
      <c r="CT149" s="2867"/>
      <c r="CU149" s="2867"/>
      <c r="CV149" s="2867"/>
      <c r="CW149" s="2867"/>
    </row>
    <row r="150" spans="1:101">
      <c r="A150" s="2867"/>
      <c r="B150" s="2867"/>
      <c r="C150" s="2867"/>
      <c r="D150" s="2867"/>
      <c r="E150" s="2867"/>
      <c r="F150" s="2867"/>
      <c r="G150" s="2867"/>
      <c r="H150" s="2867"/>
      <c r="I150" s="2867"/>
      <c r="J150" s="2867"/>
      <c r="K150" s="2867"/>
      <c r="L150" s="2867"/>
      <c r="M150" s="2867"/>
      <c r="O150" s="2867"/>
      <c r="P150" s="2867"/>
      <c r="Q150" s="2867"/>
      <c r="R150" s="2867"/>
      <c r="S150" s="2867"/>
      <c r="T150" s="2867"/>
      <c r="U150" s="2867"/>
      <c r="V150" s="2867"/>
      <c r="W150" s="2867"/>
      <c r="X150" s="2922"/>
      <c r="Y150" s="2867"/>
      <c r="Z150" s="2867"/>
      <c r="AA150" s="2870"/>
      <c r="AB150" s="2867"/>
      <c r="AC150" s="2867"/>
      <c r="AD150" s="2867"/>
      <c r="AE150" s="2867"/>
      <c r="AF150" s="2867"/>
      <c r="AG150" s="2867"/>
      <c r="AH150" s="2867"/>
      <c r="AI150" s="2867"/>
      <c r="AJ150" s="2867"/>
      <c r="AK150" s="2867"/>
      <c r="AL150" s="2867"/>
      <c r="AM150" s="2867"/>
      <c r="AN150" s="2867"/>
      <c r="AO150" s="2870"/>
      <c r="AP150" s="2941"/>
      <c r="AQ150" s="2942"/>
      <c r="AR150" s="2942"/>
      <c r="AS150" s="2942"/>
      <c r="AT150" s="2867"/>
      <c r="AU150" s="2867"/>
      <c r="AV150" s="2867"/>
      <c r="AW150" s="2867"/>
      <c r="AX150" s="2867"/>
      <c r="AY150" s="2867"/>
      <c r="AZ150" s="2867"/>
      <c r="BA150" s="2867"/>
      <c r="BB150" s="2867"/>
      <c r="BC150" s="2867"/>
      <c r="BD150" s="2867"/>
      <c r="BE150" s="2867"/>
      <c r="BF150" s="2867"/>
      <c r="BG150" s="2867"/>
      <c r="BH150" s="2867"/>
      <c r="BI150" s="2867"/>
      <c r="BJ150" s="2867"/>
      <c r="BK150" s="2867"/>
      <c r="BL150" s="2867"/>
      <c r="BM150" s="2867"/>
      <c r="BN150" s="2867"/>
      <c r="BO150" s="2867"/>
      <c r="BP150" s="2867"/>
      <c r="BQ150" s="2867"/>
      <c r="BR150" s="2867"/>
      <c r="BS150" s="2867"/>
      <c r="BT150" s="2867"/>
      <c r="BU150" s="2867"/>
      <c r="BV150" s="2867"/>
      <c r="BW150" s="2867"/>
      <c r="BX150" s="2867"/>
      <c r="BY150" s="2867"/>
      <c r="BZ150" s="2867"/>
      <c r="CA150" s="2867"/>
      <c r="CB150" s="2867"/>
      <c r="CC150" s="2867"/>
      <c r="CD150" s="2867"/>
      <c r="CE150" s="2867"/>
      <c r="CF150" s="2867"/>
      <c r="CG150" s="2867"/>
      <c r="CH150" s="2867"/>
      <c r="CI150" s="2867"/>
      <c r="CJ150" s="2867"/>
      <c r="CK150" s="2867"/>
      <c r="CL150" s="2867"/>
      <c r="CM150" s="2867"/>
      <c r="CN150" s="2867"/>
      <c r="CO150" s="2867"/>
      <c r="CP150" s="2867"/>
      <c r="CQ150" s="2867"/>
      <c r="CR150" s="2867"/>
      <c r="CS150" s="2867"/>
      <c r="CT150" s="2867"/>
      <c r="CU150" s="2867"/>
      <c r="CV150" s="2867"/>
      <c r="CW150" s="2867"/>
    </row>
    <row r="151" spans="1:101">
      <c r="A151" s="2867"/>
      <c r="B151" s="2867"/>
      <c r="C151" s="2867"/>
      <c r="D151" s="2867"/>
      <c r="E151" s="2867"/>
      <c r="F151" s="2867"/>
      <c r="G151" s="2867"/>
      <c r="H151" s="2867"/>
      <c r="I151" s="2867"/>
      <c r="J151" s="2867"/>
      <c r="K151" s="2867"/>
      <c r="L151" s="2867"/>
      <c r="M151" s="2867"/>
      <c r="O151" s="2867"/>
      <c r="P151" s="2867"/>
      <c r="Q151" s="2867"/>
      <c r="R151" s="2867"/>
      <c r="S151" s="2867"/>
      <c r="T151" s="2867"/>
      <c r="U151" s="2867"/>
      <c r="V151" s="2867"/>
      <c r="W151" s="2867"/>
      <c r="X151" s="2922"/>
      <c r="Y151" s="2867"/>
      <c r="Z151" s="2867"/>
      <c r="AA151" s="2910"/>
      <c r="AB151" s="2870"/>
      <c r="AC151" s="2867"/>
      <c r="AD151" s="2867"/>
      <c r="AE151" s="2941"/>
      <c r="AF151" s="2870"/>
      <c r="AG151" s="2910"/>
      <c r="AH151" s="2870"/>
      <c r="AI151" s="2867"/>
      <c r="AJ151" s="2867"/>
      <c r="AK151" s="2867"/>
      <c r="AL151" s="2867"/>
      <c r="AM151" s="2867"/>
      <c r="AN151" s="2867"/>
      <c r="AO151" s="2867"/>
      <c r="AP151" s="2867"/>
      <c r="AQ151" s="2870"/>
      <c r="AR151" s="2870"/>
      <c r="AS151" s="2867"/>
      <c r="AT151" s="2867"/>
      <c r="AU151" s="2867"/>
      <c r="AV151" s="2867"/>
      <c r="AW151" s="2867"/>
      <c r="AX151" s="2867"/>
      <c r="AY151" s="2867"/>
      <c r="AZ151" s="2867"/>
      <c r="BA151" s="2867"/>
      <c r="BB151" s="2867"/>
      <c r="BC151" s="2867"/>
      <c r="BD151" s="2867"/>
      <c r="BE151" s="2867"/>
      <c r="BF151" s="2867"/>
      <c r="BG151" s="2867"/>
      <c r="BH151" s="2867"/>
      <c r="BI151" s="2867"/>
      <c r="BJ151" s="2867"/>
      <c r="BK151" s="2867"/>
      <c r="BL151" s="2867"/>
      <c r="BM151" s="2867"/>
      <c r="BN151" s="2867"/>
      <c r="BO151" s="2867"/>
      <c r="BP151" s="2867"/>
      <c r="BQ151" s="2867"/>
      <c r="BR151" s="2867"/>
      <c r="BS151" s="2867"/>
      <c r="BT151" s="2867"/>
      <c r="BU151" s="2867"/>
      <c r="BV151" s="2867"/>
      <c r="BW151" s="2867"/>
      <c r="BX151" s="2867"/>
      <c r="BY151" s="2867"/>
      <c r="BZ151" s="2867"/>
      <c r="CA151" s="2867"/>
      <c r="CB151" s="2867"/>
      <c r="CC151" s="2867"/>
      <c r="CD151" s="2867"/>
      <c r="CE151" s="2867"/>
      <c r="CF151" s="2867"/>
      <c r="CG151" s="2867"/>
      <c r="CH151" s="2867"/>
      <c r="CI151" s="2867"/>
      <c r="CJ151" s="2867"/>
      <c r="CK151" s="2867"/>
      <c r="CL151" s="2867"/>
      <c r="CM151" s="2867"/>
      <c r="CN151" s="2867"/>
      <c r="CO151" s="2867"/>
      <c r="CP151" s="2867"/>
      <c r="CQ151" s="2867"/>
      <c r="CR151" s="2867"/>
      <c r="CS151" s="2867"/>
      <c r="CT151" s="2867"/>
      <c r="CU151" s="2867"/>
      <c r="CV151" s="2867"/>
      <c r="CW151" s="2867"/>
    </row>
    <row r="152" spans="1:101">
      <c r="A152" s="2867"/>
      <c r="B152" s="2867"/>
      <c r="C152" s="2867"/>
      <c r="D152" s="2867"/>
      <c r="E152" s="2867"/>
      <c r="F152" s="2867"/>
      <c r="G152" s="2867"/>
      <c r="H152" s="2867"/>
      <c r="I152" s="2867"/>
      <c r="J152" s="2867"/>
      <c r="K152" s="2867"/>
      <c r="L152" s="2867"/>
      <c r="M152" s="2867"/>
      <c r="O152" s="2867"/>
      <c r="P152" s="2867"/>
      <c r="Q152" s="2867"/>
      <c r="R152" s="2867"/>
      <c r="S152" s="2867"/>
      <c r="T152" s="2867"/>
      <c r="U152" s="2867"/>
      <c r="V152" s="2867"/>
      <c r="W152" s="2867"/>
      <c r="X152" s="2922"/>
      <c r="Y152" s="2867"/>
      <c r="Z152" s="2867"/>
      <c r="AA152" s="2867"/>
      <c r="AB152" s="2935"/>
      <c r="AC152" s="2867"/>
      <c r="AD152" s="2867"/>
      <c r="AE152" s="2867"/>
      <c r="AF152" s="2935"/>
      <c r="AG152" s="2867"/>
      <c r="AH152" s="2935"/>
      <c r="AI152" s="2922"/>
      <c r="AJ152" s="2867"/>
      <c r="AK152" s="2910"/>
      <c r="AL152" s="2867"/>
      <c r="AM152" s="2867"/>
      <c r="AN152" s="2867"/>
      <c r="AO152" s="2870"/>
      <c r="AP152" s="2867"/>
      <c r="AQ152" s="2870"/>
      <c r="AR152" s="2870"/>
      <c r="AS152" s="2870"/>
      <c r="AT152" s="2867"/>
      <c r="AU152" s="2867"/>
      <c r="AV152" s="2867"/>
      <c r="AW152" s="2867"/>
      <c r="AX152" s="2867"/>
      <c r="AY152" s="2867"/>
      <c r="AZ152" s="2867"/>
      <c r="BA152" s="2867"/>
      <c r="BB152" s="2867"/>
      <c r="BC152" s="2867"/>
      <c r="BD152" s="2867"/>
      <c r="BE152" s="2867"/>
      <c r="BF152" s="2867"/>
      <c r="BG152" s="2867"/>
      <c r="BH152" s="2867"/>
      <c r="BI152" s="2867"/>
      <c r="BJ152" s="2867"/>
      <c r="BK152" s="2867"/>
      <c r="BL152" s="2867"/>
      <c r="BM152" s="2867"/>
      <c r="BN152" s="2867"/>
      <c r="BO152" s="2867"/>
      <c r="BP152" s="2867"/>
      <c r="BQ152" s="2867"/>
      <c r="BR152" s="2867"/>
      <c r="BS152" s="2867"/>
      <c r="BT152" s="2867"/>
      <c r="BU152" s="2867"/>
      <c r="BV152" s="2867"/>
      <c r="BW152" s="2867"/>
      <c r="BX152" s="2867"/>
      <c r="BY152" s="2867"/>
      <c r="BZ152" s="2867"/>
      <c r="CA152" s="2867"/>
      <c r="CB152" s="2867"/>
      <c r="CC152" s="2867"/>
      <c r="CD152" s="2867"/>
      <c r="CE152" s="2867"/>
      <c r="CF152" s="2867"/>
      <c r="CG152" s="2867"/>
      <c r="CH152" s="2867"/>
      <c r="CI152" s="2867"/>
      <c r="CJ152" s="2867"/>
      <c r="CK152" s="2867"/>
      <c r="CL152" s="2867"/>
      <c r="CM152" s="2867"/>
      <c r="CN152" s="2867"/>
      <c r="CO152" s="2867"/>
      <c r="CP152" s="2867"/>
      <c r="CQ152" s="2867"/>
      <c r="CR152" s="2867"/>
      <c r="CS152" s="2867"/>
      <c r="CT152" s="2867"/>
      <c r="CU152" s="2867"/>
      <c r="CV152" s="2867"/>
      <c r="CW152" s="2867"/>
    </row>
    <row r="153" spans="1:101">
      <c r="A153" s="2867"/>
      <c r="B153" s="2867"/>
      <c r="C153" s="2867"/>
      <c r="D153" s="2867"/>
      <c r="E153" s="2867"/>
      <c r="F153" s="2867"/>
      <c r="G153" s="2867"/>
      <c r="H153" s="2867"/>
      <c r="I153" s="2867"/>
      <c r="J153" s="2867"/>
      <c r="K153" s="2867"/>
      <c r="L153" s="2867"/>
      <c r="M153" s="2867"/>
      <c r="O153" s="2867"/>
      <c r="P153" s="2867"/>
      <c r="Q153" s="2867"/>
      <c r="R153" s="2867"/>
      <c r="S153" s="2867"/>
      <c r="T153" s="2867"/>
      <c r="U153" s="2867"/>
      <c r="V153" s="2867"/>
      <c r="W153" s="2867"/>
      <c r="X153" s="2922"/>
      <c r="Y153" s="2867"/>
      <c r="Z153" s="2867"/>
      <c r="AA153" s="2867"/>
      <c r="AB153" s="2867"/>
      <c r="AC153" s="2867"/>
      <c r="AD153" s="2935"/>
      <c r="AE153" s="2867"/>
      <c r="AF153" s="2867"/>
      <c r="AG153" s="2867"/>
      <c r="AH153" s="2867"/>
      <c r="AI153" s="2867"/>
      <c r="AJ153" s="2867"/>
      <c r="AK153" s="2867"/>
      <c r="AL153" s="2867"/>
      <c r="AM153" s="2867"/>
      <c r="AN153" s="2867"/>
      <c r="AO153" s="2870"/>
      <c r="AP153" s="2867"/>
      <c r="AQ153" s="2942"/>
      <c r="AR153" s="2942"/>
      <c r="AS153" s="2942"/>
      <c r="AT153" s="2867"/>
      <c r="AU153" s="2867"/>
      <c r="AV153" s="2867"/>
      <c r="AW153" s="2867"/>
      <c r="AX153" s="2867"/>
      <c r="AY153" s="2867"/>
      <c r="AZ153" s="2867"/>
      <c r="BA153" s="2867"/>
      <c r="BB153" s="2867"/>
      <c r="BC153" s="2867"/>
      <c r="BD153" s="2867"/>
      <c r="BE153" s="2867"/>
      <c r="BF153" s="2867"/>
      <c r="BG153" s="2867"/>
      <c r="BH153" s="2867"/>
      <c r="BI153" s="2867"/>
      <c r="BJ153" s="2867"/>
      <c r="BK153" s="2867"/>
      <c r="BL153" s="2867"/>
      <c r="BM153" s="2867"/>
      <c r="BN153" s="2867"/>
      <c r="BO153" s="2867"/>
      <c r="BP153" s="2867"/>
      <c r="BQ153" s="2867"/>
      <c r="BR153" s="2867"/>
      <c r="BS153" s="2867"/>
      <c r="BT153" s="2867"/>
      <c r="BU153" s="2867"/>
      <c r="BV153" s="2867"/>
      <c r="BW153" s="2867"/>
      <c r="BX153" s="2867"/>
      <c r="BY153" s="2867"/>
      <c r="BZ153" s="2867"/>
      <c r="CA153" s="2867"/>
      <c r="CB153" s="2867"/>
      <c r="CC153" s="2867"/>
      <c r="CD153" s="2867"/>
      <c r="CE153" s="2867"/>
      <c r="CF153" s="2867"/>
      <c r="CG153" s="2867"/>
      <c r="CH153" s="2867"/>
      <c r="CI153" s="2867"/>
      <c r="CJ153" s="2867"/>
      <c r="CK153" s="2867"/>
      <c r="CL153" s="2867"/>
      <c r="CM153" s="2867"/>
      <c r="CN153" s="2867"/>
      <c r="CO153" s="2867"/>
      <c r="CP153" s="2867"/>
      <c r="CQ153" s="2867"/>
      <c r="CR153" s="2867"/>
      <c r="CS153" s="2867"/>
      <c r="CT153" s="2867"/>
      <c r="CU153" s="2867"/>
      <c r="CV153" s="2867"/>
      <c r="CW153" s="2867"/>
    </row>
    <row r="154" spans="1:101">
      <c r="A154" s="2867"/>
      <c r="B154" s="2867"/>
      <c r="C154" s="2867"/>
      <c r="D154" s="2867"/>
      <c r="E154" s="2867"/>
      <c r="F154" s="2867"/>
      <c r="G154" s="2867"/>
      <c r="H154" s="2867"/>
      <c r="I154" s="2867"/>
      <c r="J154" s="2867"/>
      <c r="K154" s="2867"/>
      <c r="L154" s="2867"/>
      <c r="M154" s="2867"/>
      <c r="O154" s="2867"/>
      <c r="P154" s="2867"/>
      <c r="Q154" s="2867"/>
      <c r="R154" s="2867"/>
      <c r="S154" s="2867"/>
      <c r="T154" s="2867"/>
      <c r="U154" s="2867"/>
      <c r="V154" s="2867"/>
      <c r="W154" s="2867"/>
      <c r="X154" s="2922"/>
      <c r="Y154" s="2867"/>
      <c r="Z154" s="2867"/>
      <c r="AA154" s="2910"/>
      <c r="AB154" s="2870"/>
      <c r="AC154" s="2867"/>
      <c r="AD154" s="2935"/>
      <c r="AE154" s="2867"/>
      <c r="AF154" s="2870"/>
      <c r="AG154" s="2867"/>
      <c r="AH154" s="2870"/>
      <c r="AI154" s="2867"/>
      <c r="AJ154" s="2867"/>
      <c r="AK154" s="2867"/>
      <c r="AL154" s="2867"/>
      <c r="AM154" s="2867"/>
      <c r="AN154" s="2867"/>
      <c r="AO154" s="2867"/>
      <c r="AP154" s="2867"/>
      <c r="AQ154" s="2870"/>
      <c r="AR154" s="2870"/>
      <c r="AS154" s="2867"/>
      <c r="AT154" s="2867"/>
      <c r="AU154" s="2867"/>
      <c r="AV154" s="2867"/>
      <c r="AW154" s="2867"/>
      <c r="AX154" s="2867"/>
      <c r="AY154" s="2867"/>
      <c r="AZ154" s="2867"/>
      <c r="BA154" s="2867"/>
      <c r="BB154" s="2867"/>
      <c r="BC154" s="2867"/>
      <c r="BD154" s="2867"/>
      <c r="BE154" s="2867"/>
      <c r="BF154" s="2867"/>
      <c r="BG154" s="2867"/>
      <c r="BH154" s="2867"/>
      <c r="BI154" s="2867"/>
      <c r="BJ154" s="2867"/>
      <c r="BK154" s="2867"/>
      <c r="BL154" s="2867"/>
      <c r="BM154" s="2867"/>
      <c r="BN154" s="2867"/>
      <c r="BO154" s="2867"/>
      <c r="BP154" s="2867"/>
      <c r="BQ154" s="2867"/>
      <c r="BR154" s="2867"/>
      <c r="BS154" s="2867"/>
      <c r="BT154" s="2867"/>
      <c r="BU154" s="2867"/>
      <c r="BV154" s="2867"/>
      <c r="BW154" s="2867"/>
      <c r="BX154" s="2867"/>
      <c r="BY154" s="2867"/>
      <c r="BZ154" s="2867"/>
      <c r="CA154" s="2867"/>
      <c r="CB154" s="2867"/>
      <c r="CC154" s="2867"/>
      <c r="CD154" s="2867"/>
      <c r="CE154" s="2867"/>
      <c r="CF154" s="2867"/>
      <c r="CG154" s="2867"/>
      <c r="CH154" s="2867"/>
      <c r="CI154" s="2867"/>
      <c r="CJ154" s="2867"/>
      <c r="CK154" s="2867"/>
      <c r="CL154" s="2867"/>
      <c r="CM154" s="2867"/>
      <c r="CN154" s="2867"/>
      <c r="CO154" s="2867"/>
      <c r="CP154" s="2867"/>
      <c r="CQ154" s="2867"/>
      <c r="CR154" s="2867"/>
      <c r="CS154" s="2867"/>
      <c r="CT154" s="2867"/>
      <c r="CU154" s="2867"/>
      <c r="CV154" s="2867"/>
      <c r="CW154" s="2867"/>
    </row>
    <row r="155" spans="1:101">
      <c r="A155" s="2867"/>
      <c r="B155" s="2867"/>
      <c r="C155" s="2867"/>
      <c r="D155" s="2867"/>
      <c r="E155" s="2867"/>
      <c r="F155" s="2867"/>
      <c r="G155" s="2867"/>
      <c r="H155" s="2867"/>
      <c r="I155" s="2867"/>
      <c r="J155" s="2867"/>
      <c r="K155" s="2867"/>
      <c r="L155" s="2867"/>
      <c r="M155" s="2867"/>
      <c r="O155" s="2867"/>
      <c r="P155" s="2867"/>
      <c r="Q155" s="2867"/>
      <c r="R155" s="2867"/>
      <c r="S155" s="2867"/>
      <c r="T155" s="2867"/>
      <c r="U155" s="2867"/>
      <c r="V155" s="2867"/>
      <c r="W155" s="2867"/>
      <c r="X155" s="2922"/>
      <c r="Y155" s="2867"/>
      <c r="Z155" s="2867"/>
      <c r="AA155" s="2867"/>
      <c r="AB155" s="2935"/>
      <c r="AC155" s="2867"/>
      <c r="AD155" s="2867"/>
      <c r="AE155" s="2867"/>
      <c r="AF155" s="2935"/>
      <c r="AG155" s="2867"/>
      <c r="AH155" s="2935"/>
      <c r="AI155" s="2922"/>
      <c r="AJ155" s="2867"/>
      <c r="AK155" s="2910"/>
      <c r="AL155" s="2867"/>
      <c r="AM155" s="2867"/>
      <c r="AN155" s="2867"/>
      <c r="AO155" s="2867"/>
      <c r="AP155" s="2867"/>
      <c r="AQ155" s="2870"/>
      <c r="AR155" s="2870"/>
      <c r="AS155" s="2867"/>
      <c r="AT155" s="2867"/>
      <c r="AU155" s="2867"/>
      <c r="AV155" s="2867"/>
      <c r="AW155" s="2867"/>
      <c r="AX155" s="2867"/>
      <c r="AY155" s="2867"/>
      <c r="AZ155" s="2867"/>
      <c r="BA155" s="2867"/>
      <c r="BB155" s="2867"/>
      <c r="BC155" s="2867"/>
      <c r="BD155" s="2867"/>
      <c r="BE155" s="2867"/>
      <c r="BF155" s="2867"/>
      <c r="BG155" s="2867"/>
      <c r="BH155" s="2867"/>
      <c r="BI155" s="2867"/>
      <c r="BJ155" s="2867"/>
      <c r="BK155" s="2867"/>
      <c r="BL155" s="2867"/>
      <c r="BM155" s="2867"/>
      <c r="BN155" s="2867"/>
      <c r="BO155" s="2867"/>
      <c r="BP155" s="2867"/>
      <c r="BQ155" s="2867"/>
      <c r="BR155" s="2867"/>
      <c r="BS155" s="2867"/>
      <c r="BT155" s="2867"/>
      <c r="BU155" s="2867"/>
      <c r="BV155" s="2867"/>
      <c r="BW155" s="2867"/>
      <c r="BX155" s="2867"/>
      <c r="BY155" s="2867"/>
      <c r="BZ155" s="2867"/>
      <c r="CA155" s="2867"/>
      <c r="CB155" s="2867"/>
      <c r="CC155" s="2867"/>
      <c r="CD155" s="2867"/>
      <c r="CE155" s="2867"/>
      <c r="CF155" s="2867"/>
      <c r="CG155" s="2867"/>
      <c r="CH155" s="2867"/>
      <c r="CI155" s="2867"/>
      <c r="CJ155" s="2867"/>
      <c r="CK155" s="2867"/>
      <c r="CL155" s="2867"/>
      <c r="CM155" s="2867"/>
      <c r="CN155" s="2867"/>
      <c r="CO155" s="2867"/>
      <c r="CP155" s="2867"/>
      <c r="CQ155" s="2867"/>
      <c r="CR155" s="2867"/>
      <c r="CS155" s="2867"/>
      <c r="CT155" s="2867"/>
      <c r="CU155" s="2867"/>
      <c r="CV155" s="2867"/>
      <c r="CW155" s="2867"/>
    </row>
    <row r="156" spans="1:101">
      <c r="A156" s="2867"/>
      <c r="B156" s="2867"/>
      <c r="C156" s="2867"/>
      <c r="D156" s="2867"/>
      <c r="E156" s="2867"/>
      <c r="F156" s="2867"/>
      <c r="G156" s="2867"/>
      <c r="H156" s="2867"/>
      <c r="I156" s="2867"/>
      <c r="J156" s="2867"/>
      <c r="K156" s="2867"/>
      <c r="L156" s="2867"/>
      <c r="M156" s="2867"/>
      <c r="O156" s="2867"/>
      <c r="P156" s="2867"/>
      <c r="Q156" s="2867"/>
      <c r="R156" s="2867"/>
      <c r="S156" s="2867"/>
      <c r="T156" s="2867"/>
      <c r="U156" s="2867"/>
      <c r="V156" s="2867"/>
      <c r="W156" s="2867"/>
      <c r="X156" s="2922"/>
      <c r="Y156" s="2867"/>
      <c r="Z156" s="2867"/>
      <c r="AA156" s="2867"/>
      <c r="AB156" s="2867"/>
      <c r="AC156" s="2867"/>
      <c r="AD156" s="2867"/>
      <c r="AE156" s="2867"/>
      <c r="AF156" s="2867"/>
      <c r="AG156" s="2867"/>
      <c r="AH156" s="2867"/>
      <c r="AI156" s="2867"/>
      <c r="AJ156" s="2867"/>
      <c r="AK156" s="2867"/>
      <c r="AL156" s="2867"/>
      <c r="AM156" s="2867"/>
      <c r="AN156" s="2867"/>
      <c r="AO156" s="2867"/>
      <c r="AP156" s="2867"/>
      <c r="AQ156" s="2870"/>
      <c r="AR156" s="2870"/>
      <c r="AS156" s="2867"/>
      <c r="AT156" s="2867"/>
      <c r="AU156" s="2867"/>
      <c r="AV156" s="2867"/>
      <c r="AW156" s="2867"/>
      <c r="AX156" s="2867"/>
      <c r="AY156" s="2867"/>
      <c r="AZ156" s="2867"/>
      <c r="BA156" s="2867"/>
      <c r="BB156" s="2867"/>
      <c r="BC156" s="2867"/>
      <c r="BD156" s="2867"/>
      <c r="BE156" s="2867"/>
      <c r="BF156" s="2867"/>
      <c r="BG156" s="2867"/>
      <c r="BH156" s="2867"/>
      <c r="BI156" s="2867"/>
      <c r="BJ156" s="2867"/>
      <c r="BK156" s="2867"/>
      <c r="BL156" s="2867"/>
      <c r="BM156" s="2867"/>
      <c r="BN156" s="2867"/>
      <c r="BO156" s="2867"/>
      <c r="BP156" s="2867"/>
      <c r="BQ156" s="2867"/>
      <c r="BR156" s="2867"/>
      <c r="BS156" s="2867"/>
      <c r="BT156" s="2867"/>
      <c r="BU156" s="2867"/>
      <c r="BV156" s="2867"/>
      <c r="BW156" s="2867"/>
      <c r="BX156" s="2867"/>
      <c r="BY156" s="2867"/>
      <c r="BZ156" s="2867"/>
      <c r="CA156" s="2867"/>
      <c r="CB156" s="2867"/>
      <c r="CC156" s="2867"/>
      <c r="CD156" s="2867"/>
      <c r="CE156" s="2867"/>
      <c r="CF156" s="2867"/>
      <c r="CG156" s="2867"/>
      <c r="CH156" s="2867"/>
      <c r="CI156" s="2867"/>
      <c r="CJ156" s="2867"/>
      <c r="CK156" s="2867"/>
      <c r="CL156" s="2867"/>
      <c r="CM156" s="2867"/>
      <c r="CN156" s="2867"/>
      <c r="CO156" s="2867"/>
      <c r="CP156" s="2867"/>
      <c r="CQ156" s="2867"/>
      <c r="CR156" s="2867"/>
      <c r="CS156" s="2867"/>
      <c r="CT156" s="2867"/>
      <c r="CU156" s="2867"/>
      <c r="CV156" s="2867"/>
      <c r="CW156" s="2867"/>
    </row>
    <row r="157" spans="1:101">
      <c r="A157" s="2870"/>
      <c r="B157" s="2867"/>
      <c r="C157" s="2867"/>
      <c r="D157" s="2867"/>
      <c r="E157" s="2867"/>
      <c r="F157" s="2867"/>
      <c r="G157" s="2867"/>
      <c r="H157" s="2867"/>
      <c r="I157" s="2867"/>
      <c r="J157" s="2867"/>
      <c r="K157" s="2867"/>
      <c r="L157" s="2867"/>
      <c r="M157" s="2867"/>
      <c r="O157" s="2867"/>
      <c r="P157" s="2867"/>
      <c r="Q157" s="2867"/>
      <c r="R157" s="2867"/>
      <c r="S157" s="2867"/>
      <c r="T157" s="2867"/>
      <c r="U157" s="2867"/>
      <c r="V157" s="2867"/>
      <c r="W157" s="2867"/>
      <c r="X157" s="2922"/>
      <c r="Y157" s="2867"/>
      <c r="Z157" s="2867"/>
      <c r="AA157" s="2910"/>
      <c r="AB157" s="2867"/>
      <c r="AC157" s="2867"/>
      <c r="AD157" s="2867"/>
      <c r="AE157" s="2867"/>
      <c r="AF157" s="2870"/>
      <c r="AG157" s="2867"/>
      <c r="AH157" s="2867"/>
      <c r="AI157" s="2922"/>
      <c r="AJ157" s="2935"/>
      <c r="AK157" s="2910"/>
      <c r="AL157" s="2867"/>
      <c r="AM157" s="2867"/>
      <c r="AN157" s="2867"/>
      <c r="AO157" s="2870"/>
      <c r="AP157" s="2941"/>
      <c r="AQ157" s="2885"/>
      <c r="AR157" s="2870"/>
      <c r="AS157" s="2870"/>
      <c r="AT157" s="2867"/>
      <c r="AU157" s="2867"/>
      <c r="AV157" s="2867"/>
      <c r="AW157" s="2867"/>
      <c r="AX157" s="2867"/>
      <c r="AY157" s="2867"/>
      <c r="AZ157" s="2867"/>
      <c r="BA157" s="2867"/>
      <c r="BB157" s="2867"/>
      <c r="BC157" s="2867"/>
      <c r="BD157" s="2867"/>
      <c r="BE157" s="2867"/>
      <c r="BF157" s="2867"/>
      <c r="BG157" s="2867"/>
      <c r="BH157" s="2867"/>
      <c r="BI157" s="2867"/>
      <c r="BJ157" s="2867"/>
      <c r="BK157" s="2867"/>
      <c r="BL157" s="2867"/>
      <c r="BM157" s="2867"/>
      <c r="BN157" s="2867"/>
      <c r="BO157" s="2867"/>
      <c r="BP157" s="2867"/>
      <c r="BQ157" s="2867"/>
      <c r="BR157" s="2867"/>
      <c r="BS157" s="2867"/>
      <c r="BT157" s="2867"/>
      <c r="BU157" s="2867"/>
      <c r="BV157" s="2867"/>
      <c r="BW157" s="2867"/>
      <c r="BX157" s="2867"/>
      <c r="BY157" s="2867"/>
      <c r="BZ157" s="2867"/>
      <c r="CA157" s="2867"/>
      <c r="CB157" s="2867"/>
      <c r="CC157" s="2867"/>
      <c r="CD157" s="2867"/>
      <c r="CE157" s="2867"/>
      <c r="CF157" s="2867"/>
      <c r="CG157" s="2867"/>
      <c r="CH157" s="2867"/>
      <c r="CI157" s="2867"/>
      <c r="CJ157" s="2867"/>
      <c r="CK157" s="2867"/>
      <c r="CL157" s="2867"/>
      <c r="CM157" s="2867"/>
      <c r="CN157" s="2867"/>
      <c r="CO157" s="2867"/>
      <c r="CP157" s="2867"/>
      <c r="CQ157" s="2867"/>
      <c r="CR157" s="2867"/>
      <c r="CS157" s="2867"/>
      <c r="CT157" s="2867"/>
      <c r="CU157" s="2867"/>
      <c r="CV157" s="2867"/>
      <c r="CW157" s="2867"/>
    </row>
    <row r="158" spans="1:101">
      <c r="A158" s="2867"/>
      <c r="B158" s="2867"/>
      <c r="C158" s="2867"/>
      <c r="D158" s="2867"/>
      <c r="E158" s="2867"/>
      <c r="F158" s="2867"/>
      <c r="G158" s="2867"/>
      <c r="H158" s="2867"/>
      <c r="I158" s="2867"/>
      <c r="J158" s="2867"/>
      <c r="K158" s="2867"/>
      <c r="L158" s="2867"/>
      <c r="M158" s="2867"/>
      <c r="O158" s="2867"/>
      <c r="P158" s="2867"/>
      <c r="Q158" s="2867"/>
      <c r="R158" s="2867"/>
      <c r="S158" s="2867"/>
      <c r="T158" s="2867"/>
      <c r="U158" s="2867"/>
      <c r="V158" s="2867"/>
      <c r="W158" s="2867"/>
      <c r="X158" s="2922"/>
      <c r="Y158" s="2867"/>
      <c r="Z158" s="2867"/>
      <c r="AA158" s="2910"/>
      <c r="AB158" s="2867"/>
      <c r="AC158" s="2867"/>
      <c r="AD158" s="2867"/>
      <c r="AE158" s="2867"/>
      <c r="AF158" s="2867"/>
      <c r="AG158" s="2867"/>
      <c r="AH158" s="2867"/>
      <c r="AI158" s="2867"/>
      <c r="AJ158" s="2867"/>
      <c r="AK158" s="2867"/>
      <c r="AL158" s="2867"/>
      <c r="AM158" s="2867"/>
      <c r="AN158" s="2867"/>
      <c r="AO158" s="2870"/>
      <c r="AP158" s="2867"/>
      <c r="AQ158" s="2942"/>
      <c r="AR158" s="2942"/>
      <c r="AS158" s="2942"/>
      <c r="AT158" s="2867"/>
      <c r="AU158" s="2867"/>
      <c r="AV158" s="2867"/>
      <c r="AW158" s="2867"/>
      <c r="AX158" s="2867"/>
      <c r="AY158" s="2867"/>
      <c r="AZ158" s="2867"/>
      <c r="BA158" s="2867"/>
      <c r="BB158" s="2867"/>
      <c r="BC158" s="2867"/>
      <c r="BD158" s="2867"/>
      <c r="BE158" s="2867"/>
      <c r="BF158" s="2867"/>
      <c r="BG158" s="2867"/>
      <c r="BH158" s="2867"/>
      <c r="BI158" s="2867"/>
      <c r="BJ158" s="2867"/>
      <c r="BK158" s="2867"/>
      <c r="BL158" s="2867"/>
      <c r="BM158" s="2867"/>
      <c r="BN158" s="2867"/>
      <c r="BO158" s="2867"/>
      <c r="BP158" s="2867"/>
      <c r="BQ158" s="2867"/>
      <c r="BR158" s="2867"/>
      <c r="BS158" s="2867"/>
      <c r="BT158" s="2867"/>
      <c r="BU158" s="2867"/>
      <c r="BV158" s="2867"/>
      <c r="BW158" s="2867"/>
      <c r="BX158" s="2867"/>
      <c r="BY158" s="2867"/>
      <c r="BZ158" s="2867"/>
      <c r="CA158" s="2867"/>
      <c r="CB158" s="2867"/>
      <c r="CC158" s="2867"/>
      <c r="CD158" s="2867"/>
      <c r="CE158" s="2867"/>
      <c r="CF158" s="2867"/>
      <c r="CG158" s="2867"/>
      <c r="CH158" s="2867"/>
      <c r="CI158" s="2867"/>
      <c r="CJ158" s="2867"/>
      <c r="CK158" s="2867"/>
      <c r="CL158" s="2867"/>
      <c r="CM158" s="2867"/>
      <c r="CN158" s="2867"/>
      <c r="CO158" s="2867"/>
      <c r="CP158" s="2867"/>
      <c r="CQ158" s="2867"/>
      <c r="CR158" s="2867"/>
      <c r="CS158" s="2867"/>
      <c r="CT158" s="2867"/>
      <c r="CU158" s="2867"/>
      <c r="CV158" s="2867"/>
      <c r="CW158" s="2867"/>
    </row>
    <row r="159" spans="1:101">
      <c r="A159" s="2867"/>
      <c r="B159" s="2867"/>
      <c r="C159" s="2867"/>
      <c r="D159" s="2867"/>
      <c r="E159" s="2867"/>
      <c r="F159" s="2867"/>
      <c r="G159" s="2867"/>
      <c r="H159" s="2867"/>
      <c r="I159" s="2867"/>
      <c r="J159" s="2867"/>
      <c r="K159" s="2867"/>
      <c r="L159" s="2867"/>
      <c r="M159" s="2867"/>
      <c r="O159" s="2867"/>
      <c r="P159" s="2867"/>
      <c r="Q159" s="2867"/>
      <c r="R159" s="2867"/>
      <c r="S159" s="2867"/>
      <c r="T159" s="2867"/>
      <c r="U159" s="2867"/>
      <c r="V159" s="2867"/>
      <c r="W159" s="2867"/>
      <c r="X159" s="2922"/>
      <c r="Y159" s="2867"/>
      <c r="Z159" s="2935"/>
      <c r="AA159" s="2910"/>
      <c r="AB159" s="2867"/>
      <c r="AC159" s="2867"/>
      <c r="AD159" s="2867"/>
      <c r="AE159" s="2867"/>
      <c r="AF159" s="2870"/>
      <c r="AG159" s="2910"/>
      <c r="AH159" s="2867"/>
      <c r="AI159" s="2922"/>
      <c r="AJ159" s="2867"/>
      <c r="AK159" s="2910"/>
      <c r="AL159" s="2867"/>
      <c r="AM159" s="2867"/>
      <c r="AN159" s="2867"/>
      <c r="AO159" s="2870"/>
      <c r="AP159" s="2867"/>
      <c r="AQ159" s="2870"/>
      <c r="AR159" s="2870"/>
      <c r="AS159" s="2870"/>
      <c r="AT159" s="2867"/>
      <c r="AU159" s="2867"/>
      <c r="AV159" s="2867"/>
      <c r="AW159" s="2867"/>
      <c r="AX159" s="2867"/>
      <c r="AY159" s="2867"/>
      <c r="AZ159" s="2867"/>
      <c r="BA159" s="2867"/>
      <c r="BB159" s="2867"/>
      <c r="BC159" s="2867"/>
      <c r="BD159" s="2867"/>
      <c r="BE159" s="2867"/>
      <c r="BF159" s="2867"/>
      <c r="BG159" s="2867"/>
      <c r="BH159" s="2867"/>
      <c r="BI159" s="2867"/>
      <c r="BJ159" s="2867"/>
      <c r="BK159" s="2867"/>
      <c r="BL159" s="2867"/>
      <c r="BM159" s="2867"/>
      <c r="BN159" s="2867"/>
      <c r="BO159" s="2867"/>
      <c r="BP159" s="2867"/>
      <c r="BQ159" s="2867"/>
      <c r="BR159" s="2867"/>
      <c r="BS159" s="2867"/>
      <c r="BT159" s="2867"/>
      <c r="BU159" s="2867"/>
      <c r="BV159" s="2867"/>
      <c r="BW159" s="2867"/>
      <c r="BX159" s="2867"/>
      <c r="BY159" s="2867"/>
      <c r="BZ159" s="2867"/>
      <c r="CA159" s="2867"/>
      <c r="CB159" s="2867"/>
      <c r="CC159" s="2867"/>
      <c r="CD159" s="2867"/>
      <c r="CE159" s="2867"/>
      <c r="CF159" s="2867"/>
      <c r="CG159" s="2867"/>
      <c r="CH159" s="2867"/>
      <c r="CI159" s="2867"/>
      <c r="CJ159" s="2867"/>
      <c r="CK159" s="2867"/>
      <c r="CL159" s="2867"/>
      <c r="CM159" s="2867"/>
      <c r="CN159" s="2867"/>
      <c r="CO159" s="2867"/>
      <c r="CP159" s="2867"/>
      <c r="CQ159" s="2867"/>
      <c r="CR159" s="2867"/>
      <c r="CS159" s="2867"/>
      <c r="CT159" s="2867"/>
      <c r="CU159" s="2867"/>
      <c r="CV159" s="2867"/>
      <c r="CW159" s="2867"/>
    </row>
    <row r="160" spans="1:101">
      <c r="A160" s="2867"/>
      <c r="B160" s="2867"/>
      <c r="C160" s="2867"/>
      <c r="D160" s="2867"/>
      <c r="E160" s="2867"/>
      <c r="F160" s="2867"/>
      <c r="G160" s="2867"/>
      <c r="H160" s="2867"/>
      <c r="I160" s="2867"/>
      <c r="J160" s="2867"/>
      <c r="K160" s="2867"/>
      <c r="L160" s="2867"/>
      <c r="M160" s="2867"/>
      <c r="O160" s="2867"/>
      <c r="P160" s="2867"/>
      <c r="Q160" s="2867"/>
      <c r="R160" s="2867"/>
      <c r="S160" s="2867"/>
      <c r="T160" s="2867"/>
      <c r="U160" s="2867"/>
      <c r="V160" s="2867"/>
      <c r="W160" s="2867"/>
      <c r="X160" s="2922"/>
      <c r="Y160" s="2867"/>
      <c r="Z160" s="2935"/>
      <c r="AA160" s="2910"/>
      <c r="AB160" s="2867"/>
      <c r="AC160" s="2867"/>
      <c r="AD160" s="2867"/>
      <c r="AE160" s="2867"/>
      <c r="AF160" s="2870"/>
      <c r="AG160" s="2910"/>
      <c r="AH160" s="2867"/>
      <c r="AI160" s="2867"/>
      <c r="AJ160" s="2867"/>
      <c r="AK160" s="2867"/>
      <c r="AL160" s="2867"/>
      <c r="AM160" s="2867"/>
      <c r="AN160" s="2867"/>
      <c r="AO160" s="2870"/>
      <c r="AP160" s="2867"/>
      <c r="AQ160" s="2942"/>
      <c r="AR160" s="2942"/>
      <c r="AS160" s="2942"/>
      <c r="AT160" s="2867"/>
      <c r="AU160" s="2867"/>
      <c r="AV160" s="2867"/>
      <c r="AW160" s="2867"/>
      <c r="AX160" s="2867"/>
      <c r="AY160" s="2867"/>
      <c r="AZ160" s="2867"/>
      <c r="BA160" s="2867"/>
      <c r="BB160" s="2867"/>
      <c r="BC160" s="2867"/>
      <c r="BD160" s="2867"/>
      <c r="BE160" s="2867"/>
      <c r="BF160" s="2867"/>
      <c r="BG160" s="2867"/>
      <c r="BH160" s="2867"/>
      <c r="BI160" s="2867"/>
      <c r="BJ160" s="2867"/>
      <c r="BK160" s="2867"/>
      <c r="BL160" s="2867"/>
      <c r="BM160" s="2867"/>
      <c r="BN160" s="2867"/>
      <c r="BO160" s="2867"/>
      <c r="BP160" s="2867"/>
      <c r="BQ160" s="2867"/>
      <c r="BR160" s="2867"/>
      <c r="BS160" s="2867"/>
      <c r="BT160" s="2867"/>
      <c r="BU160" s="2867"/>
      <c r="BV160" s="2867"/>
      <c r="BW160" s="2867"/>
      <c r="BX160" s="2867"/>
      <c r="BY160" s="2867"/>
      <c r="BZ160" s="2867"/>
      <c r="CA160" s="2867"/>
      <c r="CB160" s="2867"/>
      <c r="CC160" s="2867"/>
      <c r="CD160" s="2867"/>
      <c r="CE160" s="2867"/>
      <c r="CF160" s="2867"/>
      <c r="CG160" s="2867"/>
      <c r="CH160" s="2867"/>
      <c r="CI160" s="2867"/>
      <c r="CJ160" s="2867"/>
      <c r="CK160" s="2867"/>
      <c r="CL160" s="2867"/>
      <c r="CM160" s="2867"/>
      <c r="CN160" s="2867"/>
      <c r="CO160" s="2867"/>
      <c r="CP160" s="2867"/>
      <c r="CQ160" s="2867"/>
      <c r="CR160" s="2867"/>
      <c r="CS160" s="2867"/>
      <c r="CT160" s="2867"/>
      <c r="CU160" s="2867"/>
      <c r="CV160" s="2867"/>
      <c r="CW160" s="2867"/>
    </row>
    <row r="161" spans="1:101">
      <c r="A161" s="2867"/>
      <c r="B161" s="2867"/>
      <c r="C161" s="2867"/>
      <c r="D161" s="2867"/>
      <c r="E161" s="2867"/>
      <c r="F161" s="2867"/>
      <c r="G161" s="2867"/>
      <c r="H161" s="2870"/>
      <c r="I161" s="2870"/>
      <c r="J161" s="2870"/>
      <c r="K161" s="2870"/>
      <c r="L161" s="2870"/>
      <c r="M161" s="2870"/>
      <c r="O161" s="2867"/>
      <c r="P161" s="2867"/>
      <c r="Q161" s="2867"/>
      <c r="R161" s="2867"/>
      <c r="S161" s="2867"/>
      <c r="T161" s="2867"/>
      <c r="U161" s="2867"/>
      <c r="V161" s="2867"/>
      <c r="W161" s="2867"/>
      <c r="X161" s="2922"/>
      <c r="Y161" s="2867"/>
      <c r="Z161" s="2935"/>
      <c r="AA161" s="2910"/>
      <c r="AB161" s="2867"/>
      <c r="AC161" s="2867"/>
      <c r="AD161" s="2867"/>
      <c r="AE161" s="2867"/>
      <c r="AF161" s="2870"/>
      <c r="AG161" s="2910"/>
      <c r="AH161" s="2867"/>
      <c r="AI161" s="2867"/>
      <c r="AJ161" s="2867"/>
      <c r="AK161" s="2867"/>
      <c r="AL161" s="2867"/>
      <c r="AM161" s="2867"/>
      <c r="AN161" s="2867"/>
      <c r="AO161" s="2867"/>
      <c r="AP161" s="2867"/>
      <c r="AQ161" s="2870"/>
      <c r="AR161" s="2870"/>
      <c r="AS161" s="2867"/>
      <c r="AT161" s="2867"/>
      <c r="AU161" s="2867"/>
      <c r="AV161" s="2867"/>
      <c r="AW161" s="2867"/>
      <c r="AX161" s="2867"/>
      <c r="AY161" s="2867"/>
      <c r="AZ161" s="2867"/>
      <c r="BA161" s="2867"/>
      <c r="BB161" s="2867"/>
      <c r="BC161" s="2867"/>
      <c r="BD161" s="2867"/>
      <c r="BE161" s="2867"/>
      <c r="BF161" s="2867"/>
      <c r="BG161" s="2867"/>
      <c r="BH161" s="2867"/>
      <c r="BI161" s="2867"/>
      <c r="BJ161" s="2867"/>
      <c r="BK161" s="2867"/>
      <c r="BL161" s="2867"/>
      <c r="BM161" s="2867"/>
      <c r="BN161" s="2867"/>
      <c r="BO161" s="2867"/>
      <c r="BP161" s="2867"/>
      <c r="BQ161" s="2867"/>
      <c r="BR161" s="2867"/>
      <c r="BS161" s="2867"/>
      <c r="BT161" s="2867"/>
      <c r="BU161" s="2867"/>
      <c r="BV161" s="2867"/>
      <c r="BW161" s="2867"/>
      <c r="BX161" s="2867"/>
      <c r="BY161" s="2867"/>
      <c r="BZ161" s="2867"/>
      <c r="CA161" s="2867"/>
      <c r="CB161" s="2867"/>
      <c r="CC161" s="2867"/>
      <c r="CD161" s="2867"/>
      <c r="CE161" s="2867"/>
      <c r="CF161" s="2867"/>
      <c r="CG161" s="2867"/>
      <c r="CH161" s="2867"/>
      <c r="CI161" s="2867"/>
      <c r="CJ161" s="2867"/>
      <c r="CK161" s="2867"/>
      <c r="CL161" s="2867"/>
      <c r="CM161" s="2867"/>
      <c r="CN161" s="2867"/>
      <c r="CO161" s="2867"/>
      <c r="CP161" s="2867"/>
      <c r="CQ161" s="2867"/>
      <c r="CR161" s="2867"/>
      <c r="CS161" s="2867"/>
      <c r="CT161" s="2867"/>
      <c r="CU161" s="2867"/>
      <c r="CV161" s="2867"/>
      <c r="CW161" s="2867"/>
    </row>
    <row r="162" spans="1:101">
      <c r="A162" s="2867"/>
      <c r="B162" s="2867"/>
      <c r="C162" s="2867"/>
      <c r="D162" s="2867"/>
      <c r="E162" s="2867"/>
      <c r="F162" s="2867"/>
      <c r="G162" s="2867"/>
      <c r="H162" s="2867"/>
      <c r="I162" s="2867"/>
      <c r="J162" s="2867"/>
      <c r="K162" s="2867"/>
      <c r="L162" s="2867"/>
      <c r="M162" s="2867"/>
      <c r="O162" s="2867"/>
      <c r="P162" s="2867"/>
      <c r="Q162" s="2867"/>
      <c r="R162" s="2867"/>
      <c r="S162" s="2867"/>
      <c r="T162" s="2867"/>
      <c r="U162" s="2867"/>
      <c r="V162" s="2867"/>
      <c r="W162" s="2867"/>
      <c r="X162" s="2922"/>
      <c r="Y162" s="2867"/>
      <c r="Z162" s="2935"/>
      <c r="AA162" s="2910"/>
      <c r="AB162" s="2867"/>
      <c r="AC162" s="2867"/>
      <c r="AD162" s="2867"/>
      <c r="AE162" s="2867"/>
      <c r="AF162" s="2870"/>
      <c r="AG162" s="2910"/>
      <c r="AH162" s="2867"/>
      <c r="AI162" s="2922"/>
      <c r="AJ162" s="2935"/>
      <c r="AK162" s="2910"/>
      <c r="AL162" s="2867"/>
      <c r="AM162" s="2867"/>
      <c r="AN162" s="2867"/>
      <c r="AO162" s="2870"/>
      <c r="AP162" s="2941"/>
      <c r="AQ162" s="2885"/>
      <c r="AR162" s="2870"/>
      <c r="AS162" s="2870"/>
      <c r="AT162" s="2867"/>
      <c r="AU162" s="2867"/>
      <c r="AV162" s="2867"/>
      <c r="AW162" s="2867"/>
      <c r="AX162" s="2867"/>
      <c r="AY162" s="2867"/>
      <c r="AZ162" s="2867"/>
      <c r="BA162" s="2867"/>
      <c r="BB162" s="2867"/>
      <c r="BC162" s="2867"/>
      <c r="BD162" s="2867"/>
      <c r="BE162" s="2867"/>
      <c r="BF162" s="2867"/>
      <c r="BG162" s="2867"/>
      <c r="BH162" s="2867"/>
      <c r="BI162" s="2867"/>
      <c r="BJ162" s="2867"/>
      <c r="BK162" s="2867"/>
      <c r="BL162" s="2867"/>
      <c r="BM162" s="2867"/>
      <c r="BN162" s="2867"/>
      <c r="BO162" s="2867"/>
      <c r="BP162" s="2867"/>
      <c r="BQ162" s="2867"/>
      <c r="BR162" s="2867"/>
      <c r="BS162" s="2867"/>
      <c r="BT162" s="2867"/>
      <c r="BU162" s="2867"/>
      <c r="BV162" s="2867"/>
      <c r="BW162" s="2867"/>
      <c r="BX162" s="2867"/>
      <c r="BY162" s="2867"/>
      <c r="BZ162" s="2867"/>
      <c r="CA162" s="2867"/>
      <c r="CB162" s="2867"/>
      <c r="CC162" s="2867"/>
      <c r="CD162" s="2867"/>
      <c r="CE162" s="2867"/>
      <c r="CF162" s="2867"/>
      <c r="CG162" s="2867"/>
      <c r="CH162" s="2867"/>
      <c r="CI162" s="2867"/>
      <c r="CJ162" s="2867"/>
      <c r="CK162" s="2867"/>
      <c r="CL162" s="2867"/>
      <c r="CM162" s="2867"/>
      <c r="CN162" s="2867"/>
      <c r="CO162" s="2867"/>
      <c r="CP162" s="2867"/>
      <c r="CQ162" s="2867"/>
      <c r="CR162" s="2867"/>
      <c r="CS162" s="2867"/>
      <c r="CT162" s="2867"/>
      <c r="CU162" s="2867"/>
      <c r="CV162" s="2867"/>
      <c r="CW162" s="2867"/>
    </row>
    <row r="163" spans="1:101">
      <c r="A163" s="2867"/>
      <c r="B163" s="2867"/>
      <c r="C163" s="2867"/>
      <c r="D163" s="2867"/>
      <c r="E163" s="2867"/>
      <c r="F163" s="2867"/>
      <c r="G163" s="2867"/>
      <c r="H163" s="2867"/>
      <c r="I163" s="2867"/>
      <c r="J163" s="2867"/>
      <c r="K163" s="2867"/>
      <c r="L163" s="2867"/>
      <c r="M163" s="2867"/>
      <c r="O163" s="2867"/>
      <c r="P163" s="2867"/>
      <c r="Q163" s="2867"/>
      <c r="R163" s="2867"/>
      <c r="S163" s="2867"/>
      <c r="T163" s="2867"/>
      <c r="U163" s="2867"/>
      <c r="V163" s="2867"/>
      <c r="W163" s="2867"/>
      <c r="X163" s="2922"/>
      <c r="Y163" s="2867"/>
      <c r="Z163" s="2867"/>
      <c r="AA163" s="2867"/>
      <c r="AB163" s="2867"/>
      <c r="AC163" s="2867"/>
      <c r="AD163" s="2867"/>
      <c r="AE163" s="2867"/>
      <c r="AF163" s="2938"/>
      <c r="AG163" s="2867"/>
      <c r="AH163" s="2867"/>
      <c r="AI163" s="2922"/>
      <c r="AJ163" s="2935"/>
      <c r="AK163" s="2910"/>
      <c r="AL163" s="2867"/>
      <c r="AM163" s="2867"/>
      <c r="AN163" s="2867"/>
      <c r="AO163" s="2870"/>
      <c r="AP163" s="2941"/>
      <c r="AQ163" s="2885"/>
      <c r="AR163" s="2870"/>
      <c r="AS163" s="2870"/>
      <c r="AT163" s="2867"/>
      <c r="AU163" s="2867"/>
      <c r="AV163" s="2867"/>
      <c r="AW163" s="2867"/>
      <c r="AX163" s="2867"/>
      <c r="AY163" s="2867"/>
      <c r="AZ163" s="2867"/>
      <c r="BA163" s="2867"/>
      <c r="BB163" s="2867"/>
      <c r="BC163" s="2867"/>
      <c r="BD163" s="2867"/>
      <c r="BE163" s="2867"/>
      <c r="BF163" s="2867"/>
      <c r="BG163" s="2867"/>
      <c r="BH163" s="2867"/>
      <c r="BI163" s="2867"/>
      <c r="BJ163" s="2867"/>
      <c r="BK163" s="2867"/>
      <c r="BL163" s="2867"/>
      <c r="BM163" s="2867"/>
      <c r="BN163" s="2867"/>
      <c r="BO163" s="2867"/>
      <c r="BP163" s="2867"/>
      <c r="BQ163" s="2867"/>
      <c r="BR163" s="2867"/>
      <c r="BS163" s="2867"/>
      <c r="BT163" s="2867"/>
      <c r="BU163" s="2867"/>
      <c r="BV163" s="2867"/>
      <c r="BW163" s="2867"/>
      <c r="BX163" s="2867"/>
      <c r="BY163" s="2867"/>
      <c r="BZ163" s="2867"/>
      <c r="CA163" s="2867"/>
      <c r="CB163" s="2867"/>
      <c r="CC163" s="2867"/>
      <c r="CD163" s="2867"/>
      <c r="CE163" s="2867"/>
      <c r="CF163" s="2867"/>
      <c r="CG163" s="2867"/>
      <c r="CH163" s="2867"/>
      <c r="CI163" s="2867"/>
      <c r="CJ163" s="2867"/>
      <c r="CK163" s="2867"/>
      <c r="CL163" s="2867"/>
      <c r="CM163" s="2867"/>
      <c r="CN163" s="2867"/>
      <c r="CO163" s="2867"/>
      <c r="CP163" s="2867"/>
      <c r="CQ163" s="2867"/>
      <c r="CR163" s="2867"/>
      <c r="CS163" s="2867"/>
      <c r="CT163" s="2867"/>
      <c r="CU163" s="2867"/>
      <c r="CV163" s="2867"/>
      <c r="CW163" s="2867"/>
    </row>
    <row r="164" spans="1:101">
      <c r="A164" s="2867"/>
      <c r="B164" s="2867"/>
      <c r="C164" s="2867"/>
      <c r="D164" s="2867"/>
      <c r="E164" s="2867"/>
      <c r="F164" s="2867"/>
      <c r="G164" s="2867"/>
      <c r="H164" s="2867"/>
      <c r="I164" s="2867"/>
      <c r="J164" s="2867"/>
      <c r="K164" s="2867"/>
      <c r="L164" s="2867"/>
      <c r="M164" s="2867"/>
      <c r="O164" s="2867"/>
      <c r="P164" s="2867"/>
      <c r="Q164" s="2867"/>
      <c r="R164" s="2867"/>
      <c r="S164" s="2867"/>
      <c r="T164" s="2867"/>
      <c r="U164" s="2867"/>
      <c r="V164" s="2867"/>
      <c r="W164" s="2867"/>
      <c r="X164" s="2922"/>
      <c r="Y164" s="2867"/>
      <c r="Z164" s="2867"/>
      <c r="AA164" s="2867"/>
      <c r="AB164" s="2867"/>
      <c r="AC164" s="2867"/>
      <c r="AD164" s="2910"/>
      <c r="AE164" s="2867"/>
      <c r="AF164" s="2870"/>
      <c r="AG164" s="2867"/>
      <c r="AH164" s="2867"/>
      <c r="AI164" s="2922"/>
      <c r="AJ164" s="2935"/>
      <c r="AK164" s="2910"/>
      <c r="AL164" s="2867"/>
      <c r="AM164" s="2867"/>
      <c r="AN164" s="2867"/>
      <c r="AO164" s="2870"/>
      <c r="AP164" s="2941"/>
      <c r="AQ164" s="2885"/>
      <c r="AR164" s="2870"/>
      <c r="AS164" s="2870"/>
      <c r="AT164" s="2867"/>
      <c r="AU164" s="2867"/>
      <c r="AV164" s="2867"/>
      <c r="AW164" s="2867"/>
      <c r="AX164" s="2867"/>
      <c r="AY164" s="2867"/>
      <c r="AZ164" s="2867"/>
      <c r="BA164" s="2867"/>
      <c r="BB164" s="2867"/>
      <c r="BC164" s="2867"/>
      <c r="BD164" s="2867"/>
      <c r="BE164" s="2867"/>
      <c r="BF164" s="2867"/>
      <c r="BG164" s="2867"/>
      <c r="BH164" s="2867"/>
      <c r="BI164" s="2867"/>
      <c r="BJ164" s="2867"/>
      <c r="BK164" s="2867"/>
      <c r="BL164" s="2867"/>
      <c r="BM164" s="2867"/>
      <c r="BN164" s="2867"/>
      <c r="BO164" s="2867"/>
      <c r="BP164" s="2867"/>
      <c r="BQ164" s="2867"/>
      <c r="BR164" s="2867"/>
      <c r="BS164" s="2867"/>
      <c r="BT164" s="2867"/>
      <c r="BU164" s="2867"/>
      <c r="BV164" s="2867"/>
      <c r="BW164" s="2867"/>
      <c r="BX164" s="2867"/>
      <c r="BY164" s="2867"/>
      <c r="BZ164" s="2867"/>
      <c r="CA164" s="2867"/>
      <c r="CB164" s="2867"/>
      <c r="CC164" s="2867"/>
      <c r="CD164" s="2867"/>
      <c r="CE164" s="2867"/>
      <c r="CF164" s="2867"/>
      <c r="CG164" s="2867"/>
      <c r="CH164" s="2867"/>
      <c r="CI164" s="2867"/>
      <c r="CJ164" s="2867"/>
      <c r="CK164" s="2867"/>
      <c r="CL164" s="2867"/>
      <c r="CM164" s="2867"/>
      <c r="CN164" s="2867"/>
      <c r="CO164" s="2867"/>
      <c r="CP164" s="2867"/>
      <c r="CQ164" s="2867"/>
      <c r="CR164" s="2867"/>
      <c r="CS164" s="2867"/>
      <c r="CT164" s="2867"/>
      <c r="CU164" s="2867"/>
      <c r="CV164" s="2867"/>
      <c r="CW164" s="2867"/>
    </row>
    <row r="165" spans="1:101">
      <c r="A165" s="2867"/>
      <c r="B165" s="2867"/>
      <c r="C165" s="2867"/>
      <c r="D165" s="2867"/>
      <c r="E165" s="2867"/>
      <c r="F165" s="2867"/>
      <c r="G165" s="2867"/>
      <c r="H165" s="2867"/>
      <c r="I165" s="2867"/>
      <c r="J165" s="2867"/>
      <c r="K165" s="2867"/>
      <c r="L165" s="2867"/>
      <c r="M165" s="2867"/>
      <c r="O165" s="2867"/>
      <c r="P165" s="2867"/>
      <c r="Q165" s="2867"/>
      <c r="R165" s="2867"/>
      <c r="S165" s="2867"/>
      <c r="T165" s="2867"/>
      <c r="U165" s="2867"/>
      <c r="V165" s="2867"/>
      <c r="W165" s="2867"/>
      <c r="X165" s="2922"/>
      <c r="Y165" s="2867"/>
      <c r="Z165" s="2867"/>
      <c r="AA165" s="2910"/>
      <c r="AB165" s="2867"/>
      <c r="AC165" s="2867"/>
      <c r="AD165" s="2867"/>
      <c r="AE165" s="2867"/>
      <c r="AF165" s="2938"/>
      <c r="AG165" s="2867"/>
      <c r="AH165" s="2867"/>
      <c r="AI165" s="2922"/>
      <c r="AJ165" s="2935"/>
      <c r="AK165" s="2910"/>
      <c r="AL165" s="2867"/>
      <c r="AM165" s="2867"/>
      <c r="AN165" s="2867"/>
      <c r="AO165" s="2870"/>
      <c r="AP165" s="2941"/>
      <c r="AQ165" s="2885"/>
      <c r="AR165" s="2870"/>
      <c r="AS165" s="2870"/>
      <c r="AT165" s="2867"/>
      <c r="AU165" s="2867"/>
      <c r="AV165" s="2867"/>
      <c r="AW165" s="2867"/>
      <c r="AX165" s="2867"/>
      <c r="AY165" s="2867"/>
      <c r="AZ165" s="2867"/>
      <c r="BA165" s="2867"/>
      <c r="BB165" s="2867"/>
      <c r="BC165" s="2867"/>
      <c r="BD165" s="2867"/>
      <c r="BE165" s="2867"/>
      <c r="BF165" s="2867"/>
      <c r="BG165" s="2867"/>
      <c r="BH165" s="2867"/>
      <c r="BI165" s="2867"/>
      <c r="BJ165" s="2867"/>
      <c r="BK165" s="2867"/>
      <c r="BL165" s="2867"/>
      <c r="BM165" s="2867"/>
      <c r="BN165" s="2867"/>
      <c r="BO165" s="2867"/>
      <c r="BP165" s="2867"/>
      <c r="BQ165" s="2867"/>
      <c r="BR165" s="2867"/>
      <c r="BS165" s="2867"/>
      <c r="BT165" s="2867"/>
      <c r="BU165" s="2867"/>
      <c r="BV165" s="2867"/>
      <c r="BW165" s="2867"/>
      <c r="BX165" s="2867"/>
      <c r="BY165" s="2867"/>
      <c r="BZ165" s="2867"/>
      <c r="CA165" s="2867"/>
      <c r="CB165" s="2867"/>
      <c r="CC165" s="2867"/>
      <c r="CD165" s="2867"/>
      <c r="CE165" s="2867"/>
      <c r="CF165" s="2867"/>
      <c r="CG165" s="2867"/>
      <c r="CH165" s="2867"/>
      <c r="CI165" s="2867"/>
      <c r="CJ165" s="2867"/>
      <c r="CK165" s="2867"/>
      <c r="CL165" s="2867"/>
      <c r="CM165" s="2867"/>
      <c r="CN165" s="2867"/>
      <c r="CO165" s="2867"/>
      <c r="CP165" s="2867"/>
      <c r="CQ165" s="2867"/>
      <c r="CR165" s="2867"/>
      <c r="CS165" s="2867"/>
      <c r="CT165" s="2867"/>
      <c r="CU165" s="2867"/>
      <c r="CV165" s="2867"/>
      <c r="CW165" s="2867"/>
    </row>
    <row r="166" spans="1:101">
      <c r="A166" s="2867"/>
      <c r="B166" s="2867"/>
      <c r="C166" s="2867"/>
      <c r="D166" s="2867"/>
      <c r="E166" s="2867"/>
      <c r="F166" s="2867"/>
      <c r="G166" s="2867"/>
      <c r="H166" s="2867"/>
      <c r="I166" s="2867"/>
      <c r="J166" s="2867"/>
      <c r="K166" s="2867"/>
      <c r="L166" s="2867"/>
      <c r="M166" s="2867"/>
      <c r="O166" s="2867"/>
      <c r="P166" s="2867"/>
      <c r="Q166" s="2867"/>
      <c r="R166" s="2867"/>
      <c r="S166" s="2867"/>
      <c r="T166" s="2867"/>
      <c r="U166" s="2867"/>
      <c r="V166" s="2867"/>
      <c r="W166" s="2867"/>
      <c r="X166" s="2922"/>
      <c r="Y166" s="2867"/>
      <c r="Z166" s="2867"/>
      <c r="AA166" s="2910"/>
      <c r="AB166" s="2867"/>
      <c r="AC166" s="2867"/>
      <c r="AD166" s="2867"/>
      <c r="AE166" s="2867"/>
      <c r="AF166" s="2867"/>
      <c r="AG166" s="2867"/>
      <c r="AH166" s="2867"/>
      <c r="AI166" s="2922"/>
      <c r="AJ166" s="2935"/>
      <c r="AK166" s="2910"/>
      <c r="AL166" s="2867"/>
      <c r="AM166" s="2867"/>
      <c r="AN166" s="2867"/>
      <c r="AO166" s="2870"/>
      <c r="AP166" s="2941"/>
      <c r="AQ166" s="2885"/>
      <c r="AR166" s="2870"/>
      <c r="AS166" s="2870"/>
      <c r="AT166" s="2867"/>
      <c r="AU166" s="2867"/>
      <c r="AV166" s="2867"/>
      <c r="AW166" s="2867"/>
      <c r="AX166" s="2867"/>
      <c r="AY166" s="2867"/>
      <c r="AZ166" s="2867"/>
      <c r="BA166" s="2867"/>
      <c r="BB166" s="2867"/>
      <c r="BC166" s="2867"/>
      <c r="BD166" s="2867"/>
      <c r="BE166" s="2867"/>
      <c r="BF166" s="2867"/>
      <c r="BG166" s="2867"/>
      <c r="BH166" s="2867"/>
      <c r="BI166" s="2867"/>
      <c r="BJ166" s="2867"/>
      <c r="BK166" s="2867"/>
      <c r="BL166" s="2867"/>
      <c r="BM166" s="2867"/>
      <c r="BN166" s="2867"/>
      <c r="BO166" s="2867"/>
      <c r="BP166" s="2867"/>
      <c r="BQ166" s="2867"/>
      <c r="BR166" s="2867"/>
      <c r="BS166" s="2867"/>
      <c r="BT166" s="2867"/>
      <c r="BU166" s="2867"/>
      <c r="BV166" s="2867"/>
      <c r="BW166" s="2867"/>
      <c r="BX166" s="2867"/>
      <c r="BY166" s="2867"/>
      <c r="BZ166" s="2867"/>
      <c r="CA166" s="2867"/>
      <c r="CB166" s="2867"/>
      <c r="CC166" s="2867"/>
      <c r="CD166" s="2867"/>
      <c r="CE166" s="2867"/>
      <c r="CF166" s="2867"/>
      <c r="CG166" s="2867"/>
      <c r="CH166" s="2867"/>
      <c r="CI166" s="2867"/>
      <c r="CJ166" s="2867"/>
      <c r="CK166" s="2867"/>
      <c r="CL166" s="2867"/>
      <c r="CM166" s="2867"/>
      <c r="CN166" s="2867"/>
      <c r="CO166" s="2867"/>
      <c r="CP166" s="2867"/>
      <c r="CQ166" s="2867"/>
      <c r="CR166" s="2867"/>
      <c r="CS166" s="2867"/>
      <c r="CT166" s="2867"/>
      <c r="CU166" s="2867"/>
      <c r="CV166" s="2867"/>
      <c r="CW166" s="2867"/>
    </row>
    <row r="167" spans="1:101">
      <c r="A167" s="2867"/>
      <c r="B167" s="2867"/>
      <c r="C167" s="2867"/>
      <c r="D167" s="2867"/>
      <c r="E167" s="2867"/>
      <c r="F167" s="2867"/>
      <c r="G167" s="2867"/>
      <c r="H167" s="2867"/>
      <c r="I167" s="2867"/>
      <c r="J167" s="2867"/>
      <c r="K167" s="2867"/>
      <c r="L167" s="2867"/>
      <c r="M167" s="2867"/>
      <c r="O167" s="2867"/>
      <c r="P167" s="2867"/>
      <c r="Q167" s="2867"/>
      <c r="R167" s="2867"/>
      <c r="S167" s="2867"/>
      <c r="T167" s="2867"/>
      <c r="U167" s="2867"/>
      <c r="V167" s="2867"/>
      <c r="W167" s="2867"/>
      <c r="X167" s="2910"/>
      <c r="Y167" s="2867"/>
      <c r="Z167" s="2867"/>
      <c r="AA167" s="2867"/>
      <c r="AB167" s="2867"/>
      <c r="AC167" s="2867"/>
      <c r="AD167" s="2867"/>
      <c r="AE167" s="2867"/>
      <c r="AF167" s="2867"/>
      <c r="AG167" s="2867"/>
      <c r="AH167" s="2867"/>
      <c r="AI167" s="2922"/>
      <c r="AJ167" s="2935"/>
      <c r="AK167" s="2910"/>
      <c r="AL167" s="2867"/>
      <c r="AM167" s="2867"/>
      <c r="AN167" s="2867"/>
      <c r="AO167" s="2870"/>
      <c r="AP167" s="2941"/>
      <c r="AQ167" s="2885"/>
      <c r="AR167" s="2870"/>
      <c r="AS167" s="2870"/>
      <c r="AT167" s="2867"/>
      <c r="AU167" s="2867"/>
      <c r="AV167" s="2867"/>
      <c r="AW167" s="2867"/>
      <c r="AX167" s="2867"/>
      <c r="AY167" s="2867"/>
      <c r="AZ167" s="2867"/>
      <c r="BA167" s="2867"/>
      <c r="BB167" s="2867"/>
      <c r="BC167" s="2867"/>
      <c r="BD167" s="2867"/>
      <c r="BE167" s="2867"/>
      <c r="BF167" s="2867"/>
      <c r="BG167" s="2867"/>
      <c r="BH167" s="2867"/>
      <c r="BI167" s="2867"/>
      <c r="BJ167" s="2867"/>
      <c r="BK167" s="2867"/>
      <c r="BL167" s="2867"/>
      <c r="BM167" s="2867"/>
      <c r="BN167" s="2867"/>
      <c r="BO167" s="2867"/>
      <c r="BP167" s="2867"/>
      <c r="BQ167" s="2867"/>
      <c r="BR167" s="2867"/>
      <c r="BS167" s="2867"/>
      <c r="BT167" s="2867"/>
      <c r="BU167" s="2867"/>
      <c r="BV167" s="2867"/>
      <c r="BW167" s="2867"/>
      <c r="BX167" s="2867"/>
      <c r="BY167" s="2867"/>
      <c r="BZ167" s="2867"/>
      <c r="CA167" s="2867"/>
      <c r="CB167" s="2867"/>
      <c r="CC167" s="2867"/>
      <c r="CD167" s="2867"/>
      <c r="CE167" s="2867"/>
      <c r="CF167" s="2867"/>
      <c r="CG167" s="2867"/>
      <c r="CH167" s="2867"/>
      <c r="CI167" s="2867"/>
      <c r="CJ167" s="2867"/>
      <c r="CK167" s="2867"/>
      <c r="CL167" s="2867"/>
      <c r="CM167" s="2867"/>
      <c r="CN167" s="2867"/>
      <c r="CO167" s="2867"/>
      <c r="CP167" s="2867"/>
      <c r="CQ167" s="2867"/>
      <c r="CR167" s="2867"/>
      <c r="CS167" s="2867"/>
      <c r="CT167" s="2867"/>
      <c r="CU167" s="2867"/>
      <c r="CV167" s="2867"/>
      <c r="CW167" s="2867"/>
    </row>
    <row r="168" spans="1:101">
      <c r="A168" s="2867"/>
      <c r="B168" s="2867"/>
      <c r="C168" s="2867"/>
      <c r="D168" s="2867"/>
      <c r="E168" s="2867"/>
      <c r="F168" s="2867"/>
      <c r="G168" s="2867"/>
      <c r="H168" s="2867"/>
      <c r="I168" s="2867"/>
      <c r="J168" s="2867"/>
      <c r="K168" s="2867"/>
      <c r="L168" s="2867"/>
      <c r="M168" s="2867"/>
      <c r="O168" s="2867"/>
      <c r="P168" s="2867"/>
      <c r="Q168" s="2867"/>
      <c r="R168" s="2867"/>
      <c r="S168" s="2867"/>
      <c r="T168" s="2867"/>
      <c r="U168" s="2867"/>
      <c r="V168" s="2867"/>
      <c r="W168" s="2867"/>
      <c r="X168" s="2867"/>
      <c r="Y168" s="2867"/>
      <c r="Z168" s="2867"/>
      <c r="AA168" s="2867"/>
      <c r="AB168" s="2867"/>
      <c r="AC168" s="2867"/>
      <c r="AD168" s="2867"/>
      <c r="AE168" s="2867"/>
      <c r="AF168" s="2867"/>
      <c r="AG168" s="2867"/>
      <c r="AH168" s="2867"/>
      <c r="AI168" s="2922"/>
      <c r="AJ168" s="2935"/>
      <c r="AK168" s="2910"/>
      <c r="AL168" s="2867"/>
      <c r="AM168" s="2867"/>
      <c r="AN168" s="2867"/>
      <c r="AO168" s="2870"/>
      <c r="AP168" s="2941"/>
      <c r="AQ168" s="2885"/>
      <c r="AR168" s="2870"/>
      <c r="AS168" s="2870"/>
      <c r="AT168" s="2867"/>
      <c r="AU168" s="2867"/>
      <c r="AV168" s="2867"/>
      <c r="AW168" s="2867"/>
      <c r="AX168" s="2867"/>
      <c r="AY168" s="2867"/>
      <c r="AZ168" s="2867"/>
      <c r="BA168" s="2867"/>
      <c r="BB168" s="2867"/>
      <c r="BC168" s="2867"/>
      <c r="BD168" s="2867"/>
      <c r="BE168" s="2867"/>
      <c r="BF168" s="2867"/>
      <c r="BG168" s="2867"/>
      <c r="BH168" s="2867"/>
      <c r="BI168" s="2867"/>
      <c r="BJ168" s="2867"/>
      <c r="BK168" s="2867"/>
      <c r="BL168" s="2867"/>
      <c r="BM168" s="2867"/>
      <c r="BN168" s="2867"/>
      <c r="BO168" s="2867"/>
      <c r="BP168" s="2867"/>
      <c r="BQ168" s="2867"/>
      <c r="BR168" s="2867"/>
      <c r="BS168" s="2867"/>
      <c r="BT168" s="2867"/>
      <c r="BU168" s="2867"/>
      <c r="BV168" s="2867"/>
      <c r="BW168" s="2867"/>
      <c r="BX168" s="2867"/>
      <c r="BY168" s="2867"/>
      <c r="BZ168" s="2867"/>
      <c r="CA168" s="2867"/>
      <c r="CB168" s="2867"/>
      <c r="CC168" s="2867"/>
      <c r="CD168" s="2867"/>
      <c r="CE168" s="2867"/>
      <c r="CF168" s="2867"/>
      <c r="CG168" s="2867"/>
      <c r="CH168" s="2867"/>
      <c r="CI168" s="2867"/>
      <c r="CJ168" s="2867"/>
      <c r="CK168" s="2867"/>
      <c r="CL168" s="2867"/>
      <c r="CM168" s="2867"/>
      <c r="CN168" s="2867"/>
      <c r="CO168" s="2867"/>
      <c r="CP168" s="2867"/>
      <c r="CQ168" s="2867"/>
      <c r="CR168" s="2867"/>
      <c r="CS168" s="2867"/>
      <c r="CT168" s="2867"/>
      <c r="CU168" s="2867"/>
      <c r="CV168" s="2867"/>
      <c r="CW168" s="2867"/>
    </row>
    <row r="169" spans="1:101">
      <c r="A169" s="2867"/>
      <c r="B169" s="2867"/>
      <c r="C169" s="2867"/>
      <c r="D169" s="2867"/>
      <c r="E169" s="2867"/>
      <c r="F169" s="2867"/>
      <c r="G169" s="2867"/>
      <c r="H169" s="2867"/>
      <c r="I169" s="2867"/>
      <c r="J169" s="2867"/>
      <c r="K169" s="2867"/>
      <c r="L169" s="2867"/>
      <c r="M169" s="2867"/>
      <c r="O169" s="2867"/>
      <c r="P169" s="2867"/>
      <c r="Q169" s="2867"/>
      <c r="R169" s="2867"/>
      <c r="S169" s="2867"/>
      <c r="T169" s="2867"/>
      <c r="U169" s="2867"/>
      <c r="V169" s="2867"/>
      <c r="W169" s="2867"/>
      <c r="X169" s="2867"/>
      <c r="Y169" s="2867"/>
      <c r="Z169" s="2867"/>
      <c r="AA169" s="2867"/>
      <c r="AB169" s="2867"/>
      <c r="AC169" s="2867"/>
      <c r="AD169" s="2867"/>
      <c r="AE169" s="2867"/>
      <c r="AF169" s="2867"/>
      <c r="AG169" s="2867"/>
      <c r="AH169" s="2867"/>
      <c r="AI169" s="2922"/>
      <c r="AJ169" s="2935"/>
      <c r="AK169" s="2910"/>
      <c r="AL169" s="2867"/>
      <c r="AM169" s="2867"/>
      <c r="AN169" s="2867"/>
      <c r="AO169" s="2870"/>
      <c r="AP169" s="2941"/>
      <c r="AQ169" s="2885"/>
      <c r="AR169" s="2870"/>
      <c r="AS169" s="2870"/>
      <c r="AT169" s="2867"/>
      <c r="AU169" s="2867"/>
      <c r="AV169" s="2867"/>
      <c r="AW169" s="2867"/>
      <c r="AX169" s="2867"/>
      <c r="AY169" s="2867"/>
      <c r="AZ169" s="2867"/>
      <c r="BA169" s="2867"/>
      <c r="BB169" s="2867"/>
      <c r="BC169" s="2867"/>
      <c r="BD169" s="2867"/>
      <c r="BE169" s="2867"/>
      <c r="BF169" s="2867"/>
      <c r="BG169" s="2867"/>
      <c r="BH169" s="2867"/>
      <c r="BI169" s="2867"/>
      <c r="BJ169" s="2867"/>
      <c r="BK169" s="2867"/>
      <c r="BL169" s="2867"/>
      <c r="BM169" s="2867"/>
      <c r="BN169" s="2867"/>
      <c r="BO169" s="2867"/>
      <c r="BP169" s="2867"/>
      <c r="BQ169" s="2867"/>
      <c r="BR169" s="2867"/>
      <c r="BS169" s="2867"/>
      <c r="BT169" s="2867"/>
      <c r="BU169" s="2867"/>
      <c r="BV169" s="2867"/>
      <c r="BW169" s="2867"/>
      <c r="BX169" s="2867"/>
      <c r="BY169" s="2867"/>
      <c r="BZ169" s="2867"/>
      <c r="CA169" s="2867"/>
      <c r="CB169" s="2867"/>
      <c r="CC169" s="2867"/>
      <c r="CD169" s="2867"/>
      <c r="CE169" s="2867"/>
      <c r="CF169" s="2867"/>
      <c r="CG169" s="2867"/>
      <c r="CH169" s="2867"/>
      <c r="CI169" s="2867"/>
      <c r="CJ169" s="2867"/>
      <c r="CK169" s="2867"/>
      <c r="CL169" s="2867"/>
      <c r="CM169" s="2867"/>
      <c r="CN169" s="2867"/>
      <c r="CO169" s="2867"/>
      <c r="CP169" s="2867"/>
      <c r="CQ169" s="2867"/>
      <c r="CR169" s="2867"/>
      <c r="CS169" s="2867"/>
      <c r="CT169" s="2867"/>
      <c r="CU169" s="2867"/>
      <c r="CV169" s="2867"/>
      <c r="CW169" s="2867"/>
    </row>
    <row r="170" spans="1:101">
      <c r="A170" s="2867"/>
      <c r="B170" s="2867"/>
      <c r="C170" s="2867"/>
      <c r="D170" s="2867"/>
      <c r="E170" s="2867"/>
      <c r="F170" s="2867"/>
      <c r="G170" s="2867"/>
      <c r="H170" s="2867"/>
      <c r="I170" s="2867"/>
      <c r="J170" s="2867"/>
      <c r="K170" s="2867"/>
      <c r="L170" s="2867"/>
      <c r="M170" s="2867"/>
      <c r="O170" s="2867"/>
      <c r="P170" s="2867"/>
      <c r="Q170" s="2867"/>
      <c r="R170" s="2867"/>
      <c r="S170" s="2867"/>
      <c r="T170" s="2867"/>
      <c r="U170" s="2867"/>
      <c r="V170" s="2867"/>
      <c r="W170" s="2867"/>
      <c r="X170" s="2867"/>
      <c r="Y170" s="2867"/>
      <c r="Z170" s="2867"/>
      <c r="AA170" s="2867"/>
      <c r="AB170" s="2867"/>
      <c r="AC170" s="2867"/>
      <c r="AD170" s="2867"/>
      <c r="AE170" s="2867"/>
      <c r="AF170" s="2867"/>
      <c r="AG170" s="2867"/>
      <c r="AH170" s="2867"/>
      <c r="AI170" s="2922"/>
      <c r="AJ170" s="2935"/>
      <c r="AK170" s="2910"/>
      <c r="AL170" s="2867"/>
      <c r="AM170" s="2867"/>
      <c r="AN170" s="2867"/>
      <c r="AO170" s="2870"/>
      <c r="AP170" s="2941"/>
      <c r="AQ170" s="2885"/>
      <c r="AR170" s="2870"/>
      <c r="AS170" s="2870"/>
      <c r="AT170" s="2867"/>
      <c r="AU170" s="2867"/>
      <c r="AV170" s="2867"/>
      <c r="AW170" s="2867"/>
      <c r="AX170" s="2867"/>
      <c r="AY170" s="2867"/>
      <c r="AZ170" s="2867"/>
      <c r="BA170" s="2867"/>
      <c r="BB170" s="2867"/>
      <c r="BC170" s="2867"/>
      <c r="BD170" s="2867"/>
      <c r="BE170" s="2867"/>
      <c r="BF170" s="2867"/>
      <c r="BG170" s="2867"/>
      <c r="BH170" s="2867"/>
      <c r="BI170" s="2867"/>
      <c r="BJ170" s="2867"/>
      <c r="BK170" s="2867"/>
      <c r="BL170" s="2867"/>
      <c r="BM170" s="2867"/>
      <c r="BN170" s="2867"/>
      <c r="BO170" s="2867"/>
      <c r="BP170" s="2867"/>
      <c r="BQ170" s="2867"/>
      <c r="BR170" s="2867"/>
      <c r="BS170" s="2867"/>
      <c r="BT170" s="2867"/>
      <c r="BU170" s="2867"/>
      <c r="BV170" s="2867"/>
      <c r="BW170" s="2867"/>
      <c r="BX170" s="2867"/>
      <c r="BY170" s="2867"/>
      <c r="BZ170" s="2867"/>
      <c r="CA170" s="2867"/>
      <c r="CB170" s="2867"/>
      <c r="CC170" s="2867"/>
      <c r="CD170" s="2867"/>
      <c r="CE170" s="2867"/>
      <c r="CF170" s="2867"/>
      <c r="CG170" s="2867"/>
      <c r="CH170" s="2867"/>
      <c r="CI170" s="2867"/>
      <c r="CJ170" s="2867"/>
      <c r="CK170" s="2867"/>
      <c r="CL170" s="2867"/>
      <c r="CM170" s="2867"/>
      <c r="CN170" s="2867"/>
      <c r="CO170" s="2867"/>
      <c r="CP170" s="2867"/>
      <c r="CQ170" s="2867"/>
      <c r="CR170" s="2867"/>
      <c r="CS170" s="2867"/>
      <c r="CT170" s="2867"/>
      <c r="CU170" s="2867"/>
      <c r="CV170" s="2867"/>
      <c r="CW170" s="2867"/>
    </row>
    <row r="171" spans="1:101">
      <c r="A171" s="2867"/>
      <c r="B171" s="2867"/>
      <c r="C171" s="2867"/>
      <c r="D171" s="2867"/>
      <c r="E171" s="2867"/>
      <c r="F171" s="2867"/>
      <c r="G171" s="2867"/>
      <c r="H171" s="2867"/>
      <c r="I171" s="2867"/>
      <c r="J171" s="2867"/>
      <c r="K171" s="2867"/>
      <c r="L171" s="2867"/>
      <c r="M171" s="2867"/>
      <c r="O171" s="2867"/>
      <c r="P171" s="2867"/>
      <c r="Q171" s="2867"/>
      <c r="R171" s="2867"/>
      <c r="S171" s="2867"/>
      <c r="T171" s="2867"/>
      <c r="U171" s="2867"/>
      <c r="V171" s="2867"/>
      <c r="W171" s="2867"/>
      <c r="X171" s="2867"/>
      <c r="Y171" s="2867"/>
      <c r="Z171" s="2867"/>
      <c r="AA171" s="2867"/>
      <c r="AB171" s="2867"/>
      <c r="AC171" s="2867"/>
      <c r="AD171" s="2867"/>
      <c r="AE171" s="2867"/>
      <c r="AF171" s="2867"/>
      <c r="AG171" s="2867"/>
      <c r="AH171" s="2867"/>
      <c r="AI171" s="2922"/>
      <c r="AJ171" s="2935"/>
      <c r="AK171" s="2910"/>
      <c r="AL171" s="2867"/>
      <c r="AM171" s="2867"/>
      <c r="AN171" s="2867"/>
      <c r="AO171" s="2870"/>
      <c r="AP171" s="2941"/>
      <c r="AQ171" s="2885"/>
      <c r="AR171" s="2870"/>
      <c r="AS171" s="2870"/>
      <c r="AT171" s="2867"/>
      <c r="AU171" s="2867"/>
      <c r="AV171" s="2867"/>
      <c r="AW171" s="2867"/>
      <c r="AX171" s="2867"/>
      <c r="AY171" s="2867"/>
      <c r="AZ171" s="2867"/>
      <c r="BA171" s="2867"/>
      <c r="BB171" s="2867"/>
      <c r="BC171" s="2867"/>
      <c r="BD171" s="2867"/>
      <c r="BE171" s="2867"/>
      <c r="BF171" s="2867"/>
      <c r="BG171" s="2867"/>
      <c r="BH171" s="2867"/>
      <c r="BI171" s="2867"/>
      <c r="BJ171" s="2867"/>
      <c r="BK171" s="2867"/>
      <c r="BL171" s="2867"/>
      <c r="BM171" s="2867"/>
      <c r="BN171" s="2867"/>
      <c r="BO171" s="2867"/>
      <c r="BP171" s="2867"/>
      <c r="BQ171" s="2867"/>
      <c r="BR171" s="2867"/>
      <c r="BS171" s="2867"/>
      <c r="BT171" s="2867"/>
      <c r="BU171" s="2867"/>
      <c r="BV171" s="2867"/>
      <c r="BW171" s="2867"/>
      <c r="BX171" s="2867"/>
      <c r="BY171" s="2867"/>
      <c r="BZ171" s="2867"/>
      <c r="CA171" s="2867"/>
      <c r="CB171" s="2867"/>
      <c r="CC171" s="2867"/>
      <c r="CD171" s="2867"/>
      <c r="CE171" s="2867"/>
      <c r="CF171" s="2867"/>
      <c r="CG171" s="2867"/>
      <c r="CH171" s="2867"/>
      <c r="CI171" s="2867"/>
      <c r="CJ171" s="2867"/>
      <c r="CK171" s="2867"/>
      <c r="CL171" s="2867"/>
      <c r="CM171" s="2867"/>
      <c r="CN171" s="2867"/>
      <c r="CO171" s="2867"/>
      <c r="CP171" s="2867"/>
      <c r="CQ171" s="2867"/>
      <c r="CR171" s="2867"/>
      <c r="CS171" s="2867"/>
      <c r="CT171" s="2867"/>
      <c r="CU171" s="2867"/>
      <c r="CV171" s="2867"/>
      <c r="CW171" s="2867"/>
    </row>
    <row r="172" spans="1:101">
      <c r="A172" s="2867"/>
      <c r="B172" s="2867"/>
      <c r="C172" s="2867"/>
      <c r="D172" s="2867"/>
      <c r="E172" s="2867"/>
      <c r="F172" s="2867"/>
      <c r="G172" s="2867"/>
      <c r="H172" s="2867"/>
      <c r="I172" s="2867"/>
      <c r="J172" s="2867"/>
      <c r="K172" s="2867"/>
      <c r="L172" s="2867"/>
      <c r="M172" s="2867"/>
      <c r="O172" s="2867"/>
      <c r="P172" s="2867"/>
      <c r="Q172" s="2867"/>
      <c r="R172" s="2867"/>
      <c r="S172" s="2867"/>
      <c r="T172" s="2867"/>
      <c r="U172" s="2867"/>
      <c r="V172" s="2867"/>
      <c r="W172" s="2867"/>
      <c r="X172" s="2867"/>
      <c r="Y172" s="2867"/>
      <c r="Z172" s="2867"/>
      <c r="AA172" s="2867"/>
      <c r="AB172" s="2867"/>
      <c r="AC172" s="2867"/>
      <c r="AD172" s="2867"/>
      <c r="AE172" s="2867"/>
      <c r="AF172" s="2867"/>
      <c r="AG172" s="2867"/>
      <c r="AH172" s="2867"/>
      <c r="AI172" s="2922"/>
      <c r="AJ172" s="2935"/>
      <c r="AK172" s="2935"/>
      <c r="AL172" s="2867"/>
      <c r="AM172" s="2867"/>
      <c r="AN172" s="2867"/>
      <c r="AO172" s="2870"/>
      <c r="AP172" s="2941"/>
      <c r="AQ172" s="2885"/>
      <c r="AR172" s="2870"/>
      <c r="AS172" s="2870"/>
      <c r="AT172" s="2867"/>
      <c r="AU172" s="2867"/>
      <c r="AV172" s="2867"/>
      <c r="AW172" s="2867"/>
      <c r="AX172" s="2867"/>
      <c r="AY172" s="2867"/>
      <c r="AZ172" s="2867"/>
      <c r="BA172" s="2867"/>
      <c r="BB172" s="2867"/>
      <c r="BC172" s="2867"/>
      <c r="BD172" s="2867"/>
      <c r="BE172" s="2867"/>
      <c r="BF172" s="2867"/>
      <c r="BG172" s="2867"/>
      <c r="BH172" s="2867"/>
      <c r="BI172" s="2867"/>
      <c r="BJ172" s="2867"/>
      <c r="BK172" s="2867"/>
      <c r="BL172" s="2867"/>
      <c r="BM172" s="2867"/>
      <c r="BN172" s="2867"/>
      <c r="BO172" s="2867"/>
      <c r="BP172" s="2867"/>
      <c r="BQ172" s="2867"/>
      <c r="BR172" s="2867"/>
      <c r="BS172" s="2867"/>
      <c r="BT172" s="2867"/>
      <c r="BU172" s="2867"/>
      <c r="BV172" s="2867"/>
      <c r="BW172" s="2867"/>
      <c r="BX172" s="2867"/>
      <c r="BY172" s="2867"/>
      <c r="BZ172" s="2867"/>
      <c r="CA172" s="2867"/>
      <c r="CB172" s="2867"/>
      <c r="CC172" s="2867"/>
      <c r="CD172" s="2867"/>
      <c r="CE172" s="2867"/>
      <c r="CF172" s="2867"/>
      <c r="CG172" s="2867"/>
      <c r="CH172" s="2867"/>
      <c r="CI172" s="2867"/>
      <c r="CJ172" s="2867"/>
      <c r="CK172" s="2867"/>
      <c r="CL172" s="2867"/>
      <c r="CM172" s="2867"/>
      <c r="CN172" s="2867"/>
      <c r="CO172" s="2867"/>
      <c r="CP172" s="2867"/>
      <c r="CQ172" s="2867"/>
      <c r="CR172" s="2867"/>
      <c r="CS172" s="2867"/>
      <c r="CT172" s="2867"/>
      <c r="CU172" s="2867"/>
      <c r="CV172" s="2867"/>
      <c r="CW172" s="2867"/>
    </row>
    <row r="173" spans="1:101">
      <c r="A173" s="2867"/>
      <c r="B173" s="2867"/>
      <c r="C173" s="2867"/>
      <c r="D173" s="2867"/>
      <c r="E173" s="2867"/>
      <c r="F173" s="2867"/>
      <c r="G173" s="2867"/>
      <c r="H173" s="2867"/>
      <c r="I173" s="2867"/>
      <c r="J173" s="2867"/>
      <c r="K173" s="2867"/>
      <c r="L173" s="2867"/>
      <c r="M173" s="2867"/>
      <c r="O173" s="2867"/>
      <c r="P173" s="2867"/>
      <c r="Q173" s="2867"/>
      <c r="R173" s="2867"/>
      <c r="S173" s="2867"/>
      <c r="T173" s="2867"/>
      <c r="U173" s="2867"/>
      <c r="V173" s="2867"/>
      <c r="W173" s="2867"/>
      <c r="X173" s="2867"/>
      <c r="Y173" s="2867"/>
      <c r="Z173" s="2867"/>
      <c r="AA173" s="2867"/>
      <c r="AB173" s="2867"/>
      <c r="AC173" s="2867"/>
      <c r="AD173" s="2867"/>
      <c r="AE173" s="2867"/>
      <c r="AF173" s="2867"/>
      <c r="AG173" s="2867"/>
      <c r="AH173" s="2867"/>
      <c r="AI173" s="2922"/>
      <c r="AJ173" s="2935"/>
      <c r="AK173" s="2910"/>
      <c r="AL173" s="2867"/>
      <c r="AM173" s="2867"/>
      <c r="AN173" s="2867"/>
      <c r="AO173" s="2870"/>
      <c r="AP173" s="2941"/>
      <c r="AQ173" s="2885"/>
      <c r="AR173" s="2870"/>
      <c r="AS173" s="2870"/>
      <c r="AT173" s="2867"/>
      <c r="AU173" s="2867"/>
      <c r="AV173" s="2867"/>
      <c r="AW173" s="2867"/>
      <c r="AX173" s="2867"/>
      <c r="AY173" s="2867"/>
      <c r="AZ173" s="2867"/>
      <c r="BA173" s="2867"/>
      <c r="BB173" s="2867"/>
      <c r="BC173" s="2867"/>
      <c r="BD173" s="2867"/>
      <c r="BE173" s="2867"/>
      <c r="BF173" s="2867"/>
      <c r="BG173" s="2867"/>
      <c r="BH173" s="2867"/>
      <c r="BI173" s="2867"/>
      <c r="BJ173" s="2867"/>
      <c r="BK173" s="2867"/>
      <c r="BL173" s="2867"/>
      <c r="BM173" s="2867"/>
      <c r="BN173" s="2867"/>
      <c r="BO173" s="2867"/>
      <c r="BP173" s="2867"/>
      <c r="BQ173" s="2867"/>
      <c r="BR173" s="2867"/>
      <c r="BS173" s="2867"/>
      <c r="BT173" s="2867"/>
      <c r="BU173" s="2867"/>
      <c r="BV173" s="2867"/>
      <c r="BW173" s="2867"/>
      <c r="BX173" s="2867"/>
      <c r="BY173" s="2867"/>
      <c r="BZ173" s="2867"/>
      <c r="CA173" s="2867"/>
      <c r="CB173" s="2867"/>
      <c r="CC173" s="2867"/>
      <c r="CD173" s="2867"/>
      <c r="CE173" s="2867"/>
      <c r="CF173" s="2867"/>
      <c r="CG173" s="2867"/>
      <c r="CH173" s="2867"/>
      <c r="CI173" s="2867"/>
      <c r="CJ173" s="2867"/>
      <c r="CK173" s="2867"/>
      <c r="CL173" s="2867"/>
      <c r="CM173" s="2867"/>
      <c r="CN173" s="2867"/>
      <c r="CO173" s="2867"/>
      <c r="CP173" s="2867"/>
      <c r="CQ173" s="2867"/>
      <c r="CR173" s="2867"/>
      <c r="CS173" s="2867"/>
      <c r="CT173" s="2867"/>
      <c r="CU173" s="2867"/>
      <c r="CV173" s="2867"/>
      <c r="CW173" s="2867"/>
    </row>
    <row r="174" spans="1:101">
      <c r="A174" s="2867"/>
      <c r="B174" s="2867"/>
      <c r="C174" s="2867"/>
      <c r="D174" s="2867"/>
      <c r="E174" s="2867"/>
      <c r="F174" s="2867"/>
      <c r="G174" s="2867"/>
      <c r="H174" s="2867"/>
      <c r="I174" s="2867"/>
      <c r="J174" s="2867"/>
      <c r="K174" s="2867"/>
      <c r="L174" s="2867"/>
      <c r="M174" s="2867"/>
      <c r="O174" s="2867"/>
      <c r="P174" s="2867"/>
      <c r="Q174" s="2867"/>
      <c r="R174" s="2867"/>
      <c r="S174" s="2867"/>
      <c r="T174" s="2867"/>
      <c r="U174" s="2867"/>
      <c r="V174" s="2867"/>
      <c r="W174" s="2867"/>
      <c r="X174" s="2867"/>
      <c r="Y174" s="2867"/>
      <c r="Z174" s="2867"/>
      <c r="AA174" s="2867"/>
      <c r="AB174" s="2867"/>
      <c r="AC174" s="2867"/>
      <c r="AD174" s="2867"/>
      <c r="AE174" s="2867"/>
      <c r="AF174" s="2867"/>
      <c r="AG174" s="2867"/>
      <c r="AH174" s="2867"/>
      <c r="AI174" s="2922"/>
      <c r="AJ174" s="2935"/>
      <c r="AK174" s="2910"/>
      <c r="AL174" s="2867"/>
      <c r="AM174" s="2867"/>
      <c r="AN174" s="2867"/>
      <c r="AO174" s="2870"/>
      <c r="AP174" s="2941"/>
      <c r="AQ174" s="2885"/>
      <c r="AR174" s="2870"/>
      <c r="AS174" s="2870"/>
      <c r="AT174" s="2867"/>
      <c r="AU174" s="2867"/>
      <c r="AV174" s="2867"/>
      <c r="AW174" s="2867"/>
      <c r="AX174" s="2867"/>
      <c r="AY174" s="2867"/>
      <c r="AZ174" s="2867"/>
      <c r="BA174" s="2867"/>
      <c r="BB174" s="2867"/>
      <c r="BC174" s="2867"/>
      <c r="BD174" s="2867"/>
      <c r="BE174" s="2867"/>
      <c r="BF174" s="2867"/>
      <c r="BG174" s="2867"/>
      <c r="BH174" s="2867"/>
      <c r="BI174" s="2867"/>
      <c r="BJ174" s="2867"/>
      <c r="BK174" s="2867"/>
      <c r="BL174" s="2867"/>
      <c r="BM174" s="2867"/>
      <c r="BN174" s="2867"/>
      <c r="BO174" s="2867"/>
      <c r="BP174" s="2867"/>
      <c r="BQ174" s="2867"/>
      <c r="BR174" s="2867"/>
      <c r="BS174" s="2867"/>
      <c r="BT174" s="2867"/>
      <c r="BU174" s="2867"/>
      <c r="BV174" s="2867"/>
      <c r="BW174" s="2867"/>
      <c r="BX174" s="2867"/>
      <c r="BY174" s="2867"/>
      <c r="BZ174" s="2867"/>
      <c r="CA174" s="2867"/>
      <c r="CB174" s="2867"/>
      <c r="CC174" s="2867"/>
      <c r="CD174" s="2867"/>
      <c r="CE174" s="2867"/>
      <c r="CF174" s="2867"/>
      <c r="CG174" s="2867"/>
      <c r="CH174" s="2867"/>
      <c r="CI174" s="2867"/>
      <c r="CJ174" s="2867"/>
      <c r="CK174" s="2867"/>
      <c r="CL174" s="2867"/>
      <c r="CM174" s="2867"/>
      <c r="CN174" s="2867"/>
      <c r="CO174" s="2867"/>
      <c r="CP174" s="2867"/>
      <c r="CQ174" s="2867"/>
      <c r="CR174" s="2867"/>
      <c r="CS174" s="2867"/>
      <c r="CT174" s="2867"/>
      <c r="CU174" s="2867"/>
      <c r="CV174" s="2867"/>
      <c r="CW174" s="2867"/>
    </row>
    <row r="175" spans="1:101">
      <c r="A175" s="2867"/>
      <c r="B175" s="2867"/>
      <c r="C175" s="2867"/>
      <c r="D175" s="2867"/>
      <c r="E175" s="2867"/>
      <c r="F175" s="2867"/>
      <c r="G175" s="2867"/>
      <c r="H175" s="2867"/>
      <c r="I175" s="2867"/>
      <c r="J175" s="2867"/>
      <c r="K175" s="2867"/>
      <c r="L175" s="2867"/>
      <c r="M175" s="2867"/>
      <c r="O175" s="2867"/>
      <c r="P175" s="2867"/>
      <c r="Q175" s="2867"/>
      <c r="R175" s="2867"/>
      <c r="S175" s="2867"/>
      <c r="T175" s="2867"/>
      <c r="U175" s="2867"/>
      <c r="V175" s="2867"/>
      <c r="W175" s="2867"/>
      <c r="X175" s="2867"/>
      <c r="Y175" s="2867"/>
      <c r="Z175" s="2867"/>
      <c r="AA175" s="2867"/>
      <c r="AB175" s="2867"/>
      <c r="AC175" s="2867"/>
      <c r="AD175" s="2867"/>
      <c r="AE175" s="2867"/>
      <c r="AF175" s="2867"/>
      <c r="AG175" s="2867"/>
      <c r="AH175" s="2867"/>
      <c r="AI175" s="2867"/>
      <c r="AJ175" s="2867"/>
      <c r="AK175" s="2867"/>
      <c r="AL175" s="2867"/>
      <c r="AM175" s="2867"/>
      <c r="AN175" s="2867"/>
      <c r="AO175" s="2870"/>
      <c r="AP175" s="2867"/>
      <c r="AQ175" s="2942"/>
      <c r="AR175" s="2942"/>
      <c r="AS175" s="2942"/>
      <c r="AT175" s="2867"/>
      <c r="AU175" s="2867"/>
      <c r="AV175" s="2867"/>
      <c r="AW175" s="2867"/>
      <c r="AX175" s="2867"/>
      <c r="AY175" s="2867"/>
      <c r="AZ175" s="2867"/>
      <c r="BA175" s="2867"/>
      <c r="BB175" s="2867"/>
      <c r="BC175" s="2867"/>
      <c r="BD175" s="2867"/>
      <c r="BE175" s="2867"/>
      <c r="BF175" s="2867"/>
      <c r="BG175" s="2867"/>
      <c r="BH175" s="2867"/>
      <c r="BI175" s="2867"/>
      <c r="BJ175" s="2867"/>
      <c r="BK175" s="2867"/>
      <c r="BL175" s="2867"/>
      <c r="BM175" s="2867"/>
      <c r="BN175" s="2867"/>
      <c r="BO175" s="2867"/>
      <c r="BP175" s="2867"/>
      <c r="BQ175" s="2867"/>
      <c r="BR175" s="2867"/>
      <c r="BS175" s="2867"/>
      <c r="BT175" s="2867"/>
      <c r="BU175" s="2867"/>
      <c r="BV175" s="2867"/>
      <c r="BW175" s="2867"/>
      <c r="BX175" s="2867"/>
      <c r="BY175" s="2867"/>
      <c r="BZ175" s="2867"/>
      <c r="CA175" s="2867"/>
      <c r="CB175" s="2867"/>
      <c r="CC175" s="2867"/>
      <c r="CD175" s="2867"/>
      <c r="CE175" s="2867"/>
      <c r="CF175" s="2867"/>
      <c r="CG175" s="2867"/>
      <c r="CH175" s="2867"/>
      <c r="CI175" s="2867"/>
      <c r="CJ175" s="2867"/>
      <c r="CK175" s="2867"/>
      <c r="CL175" s="2867"/>
      <c r="CM175" s="2867"/>
      <c r="CN175" s="2867"/>
      <c r="CO175" s="2867"/>
      <c r="CP175" s="2867"/>
      <c r="CQ175" s="2867"/>
      <c r="CR175" s="2867"/>
      <c r="CS175" s="2867"/>
      <c r="CT175" s="2867"/>
      <c r="CU175" s="2867"/>
      <c r="CV175" s="2867"/>
      <c r="CW175" s="2867"/>
    </row>
    <row r="176" spans="1:101">
      <c r="A176" s="2867"/>
      <c r="B176" s="2867"/>
      <c r="C176" s="2867"/>
      <c r="D176" s="2867"/>
      <c r="E176" s="2867"/>
      <c r="F176" s="2867"/>
      <c r="G176" s="2867"/>
      <c r="H176" s="2867"/>
      <c r="I176" s="2867"/>
      <c r="J176" s="2867"/>
      <c r="K176" s="2867"/>
      <c r="L176" s="2867"/>
      <c r="M176" s="2867"/>
      <c r="O176" s="2867"/>
      <c r="P176" s="2867"/>
      <c r="Q176" s="2867"/>
      <c r="R176" s="2867"/>
      <c r="S176" s="2867"/>
      <c r="T176" s="2867"/>
      <c r="U176" s="2867"/>
      <c r="V176" s="2867"/>
      <c r="W176" s="2867"/>
      <c r="X176" s="2867"/>
      <c r="Y176" s="2867"/>
      <c r="Z176" s="2867"/>
      <c r="AA176" s="2867"/>
      <c r="AB176" s="2867"/>
      <c r="AC176" s="2867"/>
      <c r="AD176" s="2867"/>
      <c r="AE176" s="2867"/>
      <c r="AF176" s="2867"/>
      <c r="AG176" s="2867"/>
      <c r="AH176" s="2867"/>
      <c r="AI176" s="2922"/>
      <c r="AJ176" s="2867"/>
      <c r="AK176" s="2910"/>
      <c r="AL176" s="2867"/>
      <c r="AM176" s="2867"/>
      <c r="AN176" s="2867"/>
      <c r="AO176" s="2870"/>
      <c r="AP176" s="2867"/>
      <c r="AQ176" s="2870"/>
      <c r="AR176" s="2870"/>
      <c r="AS176" s="2870"/>
      <c r="AT176" s="2867"/>
      <c r="AU176" s="2867"/>
      <c r="AV176" s="2867"/>
      <c r="AW176" s="2867"/>
      <c r="AX176" s="2867"/>
      <c r="AY176" s="2867"/>
      <c r="AZ176" s="2867"/>
      <c r="BA176" s="2867"/>
      <c r="BB176" s="2867"/>
      <c r="BC176" s="2867"/>
      <c r="BD176" s="2867"/>
      <c r="BE176" s="2867"/>
      <c r="BF176" s="2867"/>
      <c r="BG176" s="2867"/>
      <c r="BH176" s="2867"/>
      <c r="BI176" s="2867"/>
      <c r="BJ176" s="2867"/>
      <c r="BK176" s="2867"/>
      <c r="BL176" s="2867"/>
      <c r="BM176" s="2867"/>
      <c r="BN176" s="2867"/>
      <c r="BO176" s="2867"/>
      <c r="BP176" s="2867"/>
      <c r="BQ176" s="2867"/>
      <c r="BR176" s="2867"/>
      <c r="BS176" s="2867"/>
      <c r="BT176" s="2867"/>
      <c r="BU176" s="2867"/>
      <c r="BV176" s="2867"/>
      <c r="BW176" s="2867"/>
      <c r="BX176" s="2867"/>
      <c r="BY176" s="2867"/>
      <c r="BZ176" s="2867"/>
      <c r="CA176" s="2867"/>
      <c r="CB176" s="2867"/>
      <c r="CC176" s="2867"/>
      <c r="CD176" s="2867"/>
      <c r="CE176" s="2867"/>
      <c r="CF176" s="2867"/>
      <c r="CG176" s="2867"/>
      <c r="CH176" s="2867"/>
      <c r="CI176" s="2867"/>
      <c r="CJ176" s="2867"/>
      <c r="CK176" s="2867"/>
      <c r="CL176" s="2867"/>
      <c r="CM176" s="2867"/>
      <c r="CN176" s="2867"/>
      <c r="CO176" s="2867"/>
      <c r="CP176" s="2867"/>
      <c r="CQ176" s="2867"/>
      <c r="CR176" s="2867"/>
      <c r="CS176" s="2867"/>
      <c r="CT176" s="2867"/>
      <c r="CU176" s="2867"/>
      <c r="CV176" s="2867"/>
      <c r="CW176" s="2867"/>
    </row>
    <row r="177" spans="1:101">
      <c r="A177" s="2867"/>
      <c r="B177" s="2867"/>
      <c r="C177" s="2867"/>
      <c r="D177" s="2867"/>
      <c r="E177" s="2867"/>
      <c r="F177" s="2867"/>
      <c r="G177" s="2867"/>
      <c r="H177" s="2867"/>
      <c r="I177" s="2867"/>
      <c r="J177" s="2867"/>
      <c r="K177" s="2867"/>
      <c r="L177" s="2867"/>
      <c r="M177" s="2867"/>
      <c r="O177" s="2867"/>
      <c r="P177" s="2867"/>
      <c r="Q177" s="2867"/>
      <c r="R177" s="2867"/>
      <c r="S177" s="2867"/>
      <c r="T177" s="2867"/>
      <c r="U177" s="2867"/>
      <c r="V177" s="2867"/>
      <c r="W177" s="2867"/>
      <c r="X177" s="2867"/>
      <c r="Y177" s="2867"/>
      <c r="Z177" s="2867"/>
      <c r="AA177" s="2867"/>
      <c r="AB177" s="2867"/>
      <c r="AC177" s="2867"/>
      <c r="AD177" s="2867"/>
      <c r="AE177" s="2867"/>
      <c r="AF177" s="2867"/>
      <c r="AG177" s="2867"/>
      <c r="AH177" s="2867"/>
      <c r="AI177" s="2867"/>
      <c r="AJ177" s="2867"/>
      <c r="AK177" s="2867"/>
      <c r="AL177" s="2867"/>
      <c r="AM177" s="2867"/>
      <c r="AN177" s="2867"/>
      <c r="AO177" s="2870"/>
      <c r="AP177" s="2867"/>
      <c r="AQ177" s="2942"/>
      <c r="AR177" s="2942"/>
      <c r="AS177" s="2942"/>
      <c r="AT177" s="2867"/>
      <c r="AU177" s="2867"/>
      <c r="AV177" s="2867"/>
      <c r="AW177" s="2867"/>
      <c r="AX177" s="2867"/>
      <c r="AY177" s="2867"/>
      <c r="AZ177" s="2867"/>
      <c r="BA177" s="2867"/>
      <c r="BB177" s="2867"/>
      <c r="BC177" s="2867"/>
      <c r="BD177" s="2867"/>
      <c r="BE177" s="2867"/>
      <c r="BF177" s="2867"/>
      <c r="BG177" s="2867"/>
      <c r="BH177" s="2867"/>
      <c r="BI177" s="2867"/>
      <c r="BJ177" s="2867"/>
      <c r="BK177" s="2867"/>
      <c r="BL177" s="2867"/>
      <c r="BM177" s="2867"/>
      <c r="BN177" s="2867"/>
      <c r="BO177" s="2867"/>
      <c r="BP177" s="2867"/>
      <c r="BQ177" s="2867"/>
      <c r="BR177" s="2867"/>
      <c r="BS177" s="2867"/>
      <c r="BT177" s="2867"/>
      <c r="BU177" s="2867"/>
      <c r="BV177" s="2867"/>
      <c r="BW177" s="2867"/>
      <c r="BX177" s="2867"/>
      <c r="BY177" s="2867"/>
      <c r="BZ177" s="2867"/>
      <c r="CA177" s="2867"/>
      <c r="CB177" s="2867"/>
      <c r="CC177" s="2867"/>
      <c r="CD177" s="2867"/>
      <c r="CE177" s="2867"/>
      <c r="CF177" s="2867"/>
      <c r="CG177" s="2867"/>
      <c r="CH177" s="2867"/>
      <c r="CI177" s="2867"/>
      <c r="CJ177" s="2867"/>
      <c r="CK177" s="2867"/>
      <c r="CL177" s="2867"/>
      <c r="CM177" s="2867"/>
      <c r="CN177" s="2867"/>
      <c r="CO177" s="2867"/>
      <c r="CP177" s="2867"/>
      <c r="CQ177" s="2867"/>
      <c r="CR177" s="2867"/>
      <c r="CS177" s="2867"/>
      <c r="CT177" s="2867"/>
      <c r="CU177" s="2867"/>
      <c r="CV177" s="2867"/>
      <c r="CW177" s="2867"/>
    </row>
    <row r="178" spans="1:101">
      <c r="A178" s="2867"/>
      <c r="B178" s="2867"/>
      <c r="C178" s="2867"/>
      <c r="D178" s="2867"/>
      <c r="E178" s="2867"/>
      <c r="F178" s="2867"/>
      <c r="G178" s="2867"/>
      <c r="H178" s="2867"/>
      <c r="I178" s="2867"/>
      <c r="J178" s="2867"/>
      <c r="K178" s="2867"/>
      <c r="L178" s="2867"/>
      <c r="M178" s="2867"/>
      <c r="O178" s="2867"/>
      <c r="P178" s="2867"/>
      <c r="Q178" s="2867"/>
      <c r="R178" s="2867"/>
      <c r="S178" s="2867"/>
      <c r="T178" s="2867"/>
      <c r="U178" s="2867"/>
      <c r="V178" s="2867"/>
      <c r="W178" s="2867"/>
      <c r="X178" s="2867"/>
      <c r="Y178" s="2867"/>
      <c r="Z178" s="2867"/>
      <c r="AA178" s="2867"/>
      <c r="AB178" s="2867"/>
      <c r="AC178" s="2867"/>
      <c r="AD178" s="2867"/>
      <c r="AE178" s="2867"/>
      <c r="AF178" s="2867"/>
      <c r="AG178" s="2867"/>
      <c r="AH178" s="2867"/>
      <c r="AI178" s="2867"/>
      <c r="AJ178" s="2867"/>
      <c r="AK178" s="2867"/>
      <c r="AL178" s="2867"/>
      <c r="AM178" s="2867"/>
      <c r="AN178" s="2867"/>
      <c r="AO178" s="2867"/>
      <c r="AP178" s="2867"/>
      <c r="AQ178" s="2870"/>
      <c r="AR178" s="2870"/>
      <c r="AS178" s="2867"/>
      <c r="AT178" s="2867"/>
      <c r="AU178" s="2867"/>
      <c r="AV178" s="2867"/>
      <c r="AW178" s="2867"/>
      <c r="AX178" s="2867"/>
      <c r="AY178" s="2867"/>
      <c r="AZ178" s="2867"/>
      <c r="BA178" s="2867"/>
      <c r="BB178" s="2867"/>
      <c r="BC178" s="2867"/>
      <c r="BD178" s="2867"/>
      <c r="BE178" s="2867"/>
      <c r="BF178" s="2867"/>
      <c r="BG178" s="2867"/>
      <c r="BH178" s="2867"/>
      <c r="BI178" s="2867"/>
      <c r="BJ178" s="2867"/>
      <c r="BK178" s="2867"/>
      <c r="BL178" s="2867"/>
      <c r="BM178" s="2867"/>
      <c r="BN178" s="2867"/>
      <c r="BO178" s="2867"/>
      <c r="BP178" s="2867"/>
      <c r="BQ178" s="2867"/>
      <c r="BR178" s="2867"/>
      <c r="BS178" s="2867"/>
      <c r="BT178" s="2867"/>
      <c r="BU178" s="2867"/>
      <c r="BV178" s="2867"/>
      <c r="BW178" s="2867"/>
      <c r="BX178" s="2867"/>
      <c r="BY178" s="2867"/>
      <c r="BZ178" s="2867"/>
      <c r="CA178" s="2867"/>
      <c r="CB178" s="2867"/>
      <c r="CC178" s="2867"/>
      <c r="CD178" s="2867"/>
      <c r="CE178" s="2867"/>
      <c r="CF178" s="2867"/>
      <c r="CG178" s="2867"/>
      <c r="CH178" s="2867"/>
      <c r="CI178" s="2867"/>
      <c r="CJ178" s="2867"/>
      <c r="CK178" s="2867"/>
      <c r="CL178" s="2867"/>
      <c r="CM178" s="2867"/>
      <c r="CN178" s="2867"/>
      <c r="CO178" s="2867"/>
      <c r="CP178" s="2867"/>
      <c r="CQ178" s="2867"/>
      <c r="CR178" s="2867"/>
      <c r="CS178" s="2867"/>
      <c r="CT178" s="2867"/>
      <c r="CU178" s="2867"/>
      <c r="CV178" s="2867"/>
      <c r="CW178" s="2867"/>
    </row>
    <row r="179" spans="1:101">
      <c r="A179" s="2867"/>
      <c r="B179" s="2867"/>
      <c r="C179" s="2867"/>
      <c r="D179" s="2867"/>
      <c r="E179" s="2867"/>
      <c r="F179" s="2867"/>
      <c r="G179" s="2867"/>
      <c r="H179" s="2867"/>
      <c r="I179" s="2867"/>
      <c r="J179" s="2867"/>
      <c r="K179" s="2867"/>
      <c r="L179" s="2867"/>
      <c r="M179" s="2867"/>
      <c r="O179" s="2867"/>
      <c r="P179" s="2867"/>
      <c r="Q179" s="2867"/>
      <c r="R179" s="2867"/>
      <c r="S179" s="2867"/>
      <c r="T179" s="2867"/>
      <c r="U179" s="2867"/>
      <c r="V179" s="2867"/>
      <c r="W179" s="2867"/>
      <c r="X179" s="2867"/>
      <c r="Y179" s="2867"/>
      <c r="Z179" s="2867"/>
      <c r="AA179" s="2867"/>
      <c r="AB179" s="2867"/>
      <c r="AC179" s="2867"/>
      <c r="AD179" s="2867"/>
      <c r="AE179" s="2867"/>
      <c r="AF179" s="2867"/>
      <c r="AG179" s="2867"/>
      <c r="AH179" s="2867"/>
      <c r="AI179" s="2922"/>
      <c r="AJ179" s="2935"/>
      <c r="AK179" s="2910"/>
      <c r="AL179" s="2867"/>
      <c r="AM179" s="2867"/>
      <c r="AN179" s="2867"/>
      <c r="AO179" s="2870"/>
      <c r="AP179" s="2941"/>
      <c r="AQ179" s="2870"/>
      <c r="AR179" s="2870"/>
      <c r="AS179" s="2870"/>
      <c r="AT179" s="2867"/>
      <c r="AU179" s="2867"/>
      <c r="AV179" s="2867"/>
      <c r="AW179" s="2867"/>
      <c r="AX179" s="2867"/>
      <c r="AY179" s="2867"/>
      <c r="AZ179" s="2867"/>
      <c r="BA179" s="2867"/>
      <c r="BB179" s="2867"/>
      <c r="BC179" s="2867"/>
      <c r="BD179" s="2867"/>
      <c r="BE179" s="2867"/>
      <c r="BF179" s="2867"/>
      <c r="BG179" s="2867"/>
      <c r="BH179" s="2867"/>
      <c r="BI179" s="2867"/>
      <c r="BJ179" s="2867"/>
      <c r="BK179" s="2867"/>
      <c r="BL179" s="2867"/>
      <c r="BM179" s="2867"/>
      <c r="BN179" s="2867"/>
      <c r="BO179" s="2867"/>
      <c r="BP179" s="2867"/>
      <c r="BQ179" s="2867"/>
      <c r="BR179" s="2867"/>
      <c r="BS179" s="2867"/>
      <c r="BT179" s="2867"/>
      <c r="BU179" s="2867"/>
      <c r="BV179" s="2867"/>
      <c r="BW179" s="2867"/>
      <c r="BX179" s="2867"/>
      <c r="BY179" s="2867"/>
      <c r="BZ179" s="2867"/>
      <c r="CA179" s="2867"/>
      <c r="CB179" s="2867"/>
      <c r="CC179" s="2867"/>
      <c r="CD179" s="2867"/>
      <c r="CE179" s="2867"/>
      <c r="CF179" s="2867"/>
      <c r="CG179" s="2867"/>
      <c r="CH179" s="2867"/>
      <c r="CI179" s="2867"/>
      <c r="CJ179" s="2867"/>
      <c r="CK179" s="2867"/>
      <c r="CL179" s="2867"/>
      <c r="CM179" s="2867"/>
      <c r="CN179" s="2867"/>
      <c r="CO179" s="2867"/>
      <c r="CP179" s="2867"/>
      <c r="CQ179" s="2867"/>
      <c r="CR179" s="2867"/>
      <c r="CS179" s="2867"/>
      <c r="CT179" s="2867"/>
      <c r="CU179" s="2867"/>
      <c r="CV179" s="2867"/>
      <c r="CW179" s="2867"/>
    </row>
    <row r="180" spans="1:101">
      <c r="A180" s="2867"/>
      <c r="B180" s="2867"/>
      <c r="C180" s="2867"/>
      <c r="D180" s="2867"/>
      <c r="E180" s="2867"/>
      <c r="F180" s="2867"/>
      <c r="G180" s="2867"/>
      <c r="H180" s="2867"/>
      <c r="I180" s="2867"/>
      <c r="J180" s="2867"/>
      <c r="K180" s="2867"/>
      <c r="L180" s="2867"/>
      <c r="M180" s="2867"/>
      <c r="O180" s="2867"/>
      <c r="P180" s="2867"/>
      <c r="Q180" s="2867"/>
      <c r="R180" s="2867"/>
      <c r="S180" s="2867"/>
      <c r="T180" s="2867"/>
      <c r="U180" s="2867"/>
      <c r="V180" s="2867"/>
      <c r="W180" s="2867"/>
      <c r="X180" s="2867"/>
      <c r="Y180" s="2867"/>
      <c r="Z180" s="2867"/>
      <c r="AA180" s="2867"/>
      <c r="AB180" s="2867"/>
      <c r="AC180" s="2867"/>
      <c r="AD180" s="2867"/>
      <c r="AE180" s="2867"/>
      <c r="AF180" s="2867"/>
      <c r="AG180" s="2867"/>
      <c r="AH180" s="2867"/>
      <c r="AI180" s="2867"/>
      <c r="AJ180" s="2867"/>
      <c r="AK180" s="2867"/>
      <c r="AL180" s="2867"/>
      <c r="AM180" s="2867"/>
      <c r="AN180" s="2867"/>
      <c r="AO180" s="2870"/>
      <c r="AP180" s="2867"/>
      <c r="AQ180" s="2942"/>
      <c r="AR180" s="2942"/>
      <c r="AS180" s="2942"/>
      <c r="AT180" s="2867"/>
      <c r="AU180" s="2867"/>
      <c r="AV180" s="2867"/>
      <c r="AW180" s="2867"/>
      <c r="AX180" s="2867"/>
      <c r="AY180" s="2867"/>
      <c r="AZ180" s="2867"/>
      <c r="BA180" s="2867"/>
      <c r="BB180" s="2867"/>
      <c r="BC180" s="2867"/>
      <c r="BD180" s="2867"/>
      <c r="BE180" s="2867"/>
      <c r="BF180" s="2867"/>
      <c r="BG180" s="2867"/>
      <c r="BH180" s="2867"/>
      <c r="BI180" s="2867"/>
      <c r="BJ180" s="2867"/>
      <c r="BK180" s="2867"/>
      <c r="BL180" s="2867"/>
      <c r="BM180" s="2867"/>
      <c r="BN180" s="2867"/>
      <c r="BO180" s="2867"/>
      <c r="BP180" s="2867"/>
      <c r="BQ180" s="2867"/>
      <c r="BR180" s="2867"/>
      <c r="BS180" s="2867"/>
      <c r="BT180" s="2867"/>
      <c r="BU180" s="2867"/>
      <c r="BV180" s="2867"/>
      <c r="BW180" s="2867"/>
      <c r="BX180" s="2867"/>
      <c r="BY180" s="2867"/>
      <c r="BZ180" s="2867"/>
      <c r="CA180" s="2867"/>
      <c r="CB180" s="2867"/>
      <c r="CC180" s="2867"/>
      <c r="CD180" s="2867"/>
      <c r="CE180" s="2867"/>
      <c r="CF180" s="2867"/>
      <c r="CG180" s="2867"/>
      <c r="CH180" s="2867"/>
      <c r="CI180" s="2867"/>
      <c r="CJ180" s="2867"/>
      <c r="CK180" s="2867"/>
      <c r="CL180" s="2867"/>
      <c r="CM180" s="2867"/>
      <c r="CN180" s="2867"/>
      <c r="CO180" s="2867"/>
      <c r="CP180" s="2867"/>
      <c r="CQ180" s="2867"/>
      <c r="CR180" s="2867"/>
      <c r="CS180" s="2867"/>
      <c r="CT180" s="2867"/>
      <c r="CU180" s="2867"/>
      <c r="CV180" s="2867"/>
      <c r="CW180" s="2867"/>
    </row>
    <row r="181" spans="1:101">
      <c r="A181" s="2867"/>
      <c r="B181" s="2867"/>
      <c r="C181" s="2867"/>
      <c r="D181" s="2867"/>
      <c r="E181" s="2867"/>
      <c r="F181" s="2867"/>
      <c r="G181" s="2867"/>
      <c r="H181" s="2867"/>
      <c r="I181" s="2867"/>
      <c r="J181" s="2867"/>
      <c r="K181" s="2867"/>
      <c r="L181" s="2867"/>
      <c r="M181" s="2867"/>
      <c r="O181" s="2867"/>
      <c r="P181" s="2867"/>
      <c r="Q181" s="2867"/>
      <c r="R181" s="2867"/>
      <c r="S181" s="2867"/>
      <c r="T181" s="2867"/>
      <c r="U181" s="2867"/>
      <c r="V181" s="2867"/>
      <c r="W181" s="2867"/>
      <c r="X181" s="2867"/>
      <c r="Y181" s="2867"/>
      <c r="Z181" s="2867"/>
      <c r="AA181" s="2867"/>
      <c r="AB181" s="2867"/>
      <c r="AC181" s="2867"/>
      <c r="AD181" s="2867"/>
      <c r="AE181" s="2867"/>
      <c r="AF181" s="2867"/>
      <c r="AG181" s="2867"/>
      <c r="AH181" s="2867"/>
      <c r="AI181" s="2922"/>
      <c r="AJ181" s="2867"/>
      <c r="AK181" s="2910"/>
      <c r="AL181" s="2867"/>
      <c r="AM181" s="2867"/>
      <c r="AN181" s="2867"/>
      <c r="AO181" s="2870"/>
      <c r="AP181" s="2867"/>
      <c r="AQ181" s="2870"/>
      <c r="AR181" s="2870"/>
      <c r="AS181" s="2870"/>
      <c r="AT181" s="2867"/>
      <c r="AU181" s="2867"/>
      <c r="AV181" s="2867"/>
      <c r="AW181" s="2867"/>
      <c r="AX181" s="2867"/>
      <c r="AY181" s="2867"/>
      <c r="AZ181" s="2867"/>
      <c r="BA181" s="2867"/>
      <c r="BB181" s="2867"/>
      <c r="BC181" s="2867"/>
      <c r="BD181" s="2867"/>
      <c r="BE181" s="2867"/>
      <c r="BF181" s="2867"/>
      <c r="BG181" s="2867"/>
      <c r="BH181" s="2867"/>
      <c r="BI181" s="2867"/>
      <c r="BJ181" s="2867"/>
      <c r="BK181" s="2867"/>
      <c r="BL181" s="2867"/>
      <c r="BM181" s="2867"/>
      <c r="BN181" s="2867"/>
      <c r="BO181" s="2867"/>
      <c r="BP181" s="2867"/>
      <c r="BQ181" s="2867"/>
      <c r="BR181" s="2867"/>
      <c r="BS181" s="2867"/>
      <c r="BT181" s="2867"/>
      <c r="BU181" s="2867"/>
      <c r="BV181" s="2867"/>
      <c r="BW181" s="2867"/>
      <c r="BX181" s="2867"/>
      <c r="BY181" s="2867"/>
      <c r="BZ181" s="2867"/>
      <c r="CA181" s="2867"/>
      <c r="CB181" s="2867"/>
      <c r="CC181" s="2867"/>
      <c r="CD181" s="2867"/>
      <c r="CE181" s="2867"/>
      <c r="CF181" s="2867"/>
      <c r="CG181" s="2867"/>
      <c r="CH181" s="2867"/>
      <c r="CI181" s="2867"/>
      <c r="CJ181" s="2867"/>
      <c r="CK181" s="2867"/>
      <c r="CL181" s="2867"/>
      <c r="CM181" s="2867"/>
      <c r="CN181" s="2867"/>
      <c r="CO181" s="2867"/>
      <c r="CP181" s="2867"/>
      <c r="CQ181" s="2867"/>
      <c r="CR181" s="2867"/>
      <c r="CS181" s="2867"/>
      <c r="CT181" s="2867"/>
      <c r="CU181" s="2867"/>
      <c r="CV181" s="2867"/>
      <c r="CW181" s="2867"/>
    </row>
    <row r="182" spans="1:101">
      <c r="A182" s="2867"/>
      <c r="B182" s="2867"/>
      <c r="C182" s="2867"/>
      <c r="D182" s="2867"/>
      <c r="E182" s="2867"/>
      <c r="F182" s="2867"/>
      <c r="G182" s="2867"/>
      <c r="H182" s="2867"/>
      <c r="I182" s="2867"/>
      <c r="J182" s="2867"/>
      <c r="K182" s="2867"/>
      <c r="L182" s="2867"/>
      <c r="M182" s="2867"/>
      <c r="O182" s="2867"/>
      <c r="P182" s="2867"/>
      <c r="Q182" s="2867"/>
      <c r="R182" s="2867"/>
      <c r="S182" s="2867"/>
      <c r="T182" s="2867"/>
      <c r="U182" s="2867"/>
      <c r="V182" s="2867"/>
      <c r="W182" s="2867"/>
      <c r="X182" s="2867"/>
      <c r="Y182" s="2867"/>
      <c r="Z182" s="2867"/>
      <c r="AA182" s="2867"/>
      <c r="AB182" s="2867"/>
      <c r="AC182" s="2867"/>
      <c r="AD182" s="2867"/>
      <c r="AE182" s="2867"/>
      <c r="AF182" s="2867"/>
      <c r="AG182" s="2867"/>
      <c r="AH182" s="2867"/>
      <c r="AI182" s="2867"/>
      <c r="AJ182" s="2867"/>
      <c r="AK182" s="2867"/>
      <c r="AL182" s="2867"/>
      <c r="AM182" s="2867"/>
      <c r="AN182" s="2867"/>
      <c r="AO182" s="2870"/>
      <c r="AP182" s="2867"/>
      <c r="AQ182" s="2942"/>
      <c r="AR182" s="2942"/>
      <c r="AS182" s="2942"/>
      <c r="AT182" s="2867"/>
      <c r="AU182" s="2867"/>
      <c r="AV182" s="2867"/>
      <c r="AW182" s="2867"/>
      <c r="AX182" s="2867"/>
      <c r="AY182" s="2867"/>
      <c r="AZ182" s="2867"/>
      <c r="BA182" s="2867"/>
      <c r="BB182" s="2867"/>
      <c r="BC182" s="2867"/>
      <c r="BD182" s="2867"/>
      <c r="BE182" s="2867"/>
      <c r="BF182" s="2867"/>
      <c r="BG182" s="2867"/>
      <c r="BH182" s="2867"/>
      <c r="BI182" s="2867"/>
      <c r="BJ182" s="2867"/>
      <c r="BK182" s="2867"/>
      <c r="BL182" s="2867"/>
      <c r="BM182" s="2867"/>
      <c r="BN182" s="2867"/>
      <c r="BO182" s="2867"/>
      <c r="BP182" s="2867"/>
      <c r="BQ182" s="2867"/>
      <c r="BR182" s="2867"/>
      <c r="BS182" s="2867"/>
      <c r="BT182" s="2867"/>
      <c r="BU182" s="2867"/>
      <c r="BV182" s="2867"/>
      <c r="BW182" s="2867"/>
      <c r="BX182" s="2867"/>
      <c r="BY182" s="2867"/>
      <c r="BZ182" s="2867"/>
      <c r="CA182" s="2867"/>
      <c r="CB182" s="2867"/>
      <c r="CC182" s="2867"/>
      <c r="CD182" s="2867"/>
      <c r="CE182" s="2867"/>
      <c r="CF182" s="2867"/>
      <c r="CG182" s="2867"/>
      <c r="CH182" s="2867"/>
      <c r="CI182" s="2867"/>
      <c r="CJ182" s="2867"/>
      <c r="CK182" s="2867"/>
      <c r="CL182" s="2867"/>
      <c r="CM182" s="2867"/>
      <c r="CN182" s="2867"/>
      <c r="CO182" s="2867"/>
      <c r="CP182" s="2867"/>
      <c r="CQ182" s="2867"/>
      <c r="CR182" s="2867"/>
      <c r="CS182" s="2867"/>
      <c r="CT182" s="2867"/>
      <c r="CU182" s="2867"/>
      <c r="CV182" s="2867"/>
      <c r="CW182" s="2867"/>
    </row>
    <row r="183" spans="1:101">
      <c r="A183" s="2867"/>
      <c r="B183" s="2867"/>
      <c r="C183" s="2867"/>
      <c r="D183" s="2867"/>
      <c r="E183" s="2867"/>
      <c r="F183" s="2867"/>
      <c r="G183" s="2867"/>
      <c r="H183" s="2867"/>
      <c r="I183" s="2867"/>
      <c r="J183" s="2867"/>
      <c r="K183" s="2867"/>
      <c r="L183" s="2867"/>
      <c r="M183" s="2867"/>
      <c r="O183" s="2867"/>
      <c r="P183" s="2867"/>
      <c r="Q183" s="2867"/>
      <c r="R183" s="2867"/>
      <c r="S183" s="2867"/>
      <c r="T183" s="2867"/>
      <c r="U183" s="2867"/>
      <c r="V183" s="2867"/>
      <c r="W183" s="2867"/>
      <c r="X183" s="2867"/>
      <c r="Y183" s="2867"/>
      <c r="Z183" s="2867"/>
      <c r="AA183" s="2867"/>
      <c r="AB183" s="2867"/>
      <c r="AC183" s="2867"/>
      <c r="AD183" s="2867"/>
      <c r="AE183" s="2867"/>
      <c r="AF183" s="2867"/>
      <c r="AG183" s="2867"/>
      <c r="AH183" s="2867"/>
      <c r="AI183" s="2867"/>
      <c r="AJ183" s="2867"/>
      <c r="AK183" s="2867"/>
      <c r="AL183" s="2867"/>
      <c r="AM183" s="2867"/>
      <c r="AN183" s="2867"/>
      <c r="AO183" s="2867"/>
      <c r="AP183" s="2867"/>
      <c r="AQ183" s="2870"/>
      <c r="AR183" s="2870"/>
      <c r="AS183" s="2867"/>
      <c r="AT183" s="2867"/>
      <c r="AU183" s="2867"/>
      <c r="AV183" s="2867"/>
      <c r="AW183" s="2867"/>
      <c r="AX183" s="2867"/>
      <c r="AY183" s="2867"/>
      <c r="AZ183" s="2867"/>
      <c r="BA183" s="2867"/>
      <c r="BB183" s="2867"/>
      <c r="BC183" s="2867"/>
      <c r="BD183" s="2867"/>
      <c r="BE183" s="2867"/>
      <c r="BF183" s="2867"/>
      <c r="BG183" s="2867"/>
      <c r="BH183" s="2867"/>
      <c r="BI183" s="2867"/>
      <c r="BJ183" s="2867"/>
      <c r="BK183" s="2867"/>
      <c r="BL183" s="2867"/>
      <c r="BM183" s="2867"/>
      <c r="BN183" s="2867"/>
      <c r="BO183" s="2867"/>
      <c r="BP183" s="2867"/>
      <c r="BQ183" s="2867"/>
      <c r="BR183" s="2867"/>
      <c r="BS183" s="2867"/>
      <c r="BT183" s="2867"/>
      <c r="BU183" s="2867"/>
      <c r="BV183" s="2867"/>
      <c r="BW183" s="2867"/>
      <c r="BX183" s="2867"/>
      <c r="BY183" s="2867"/>
      <c r="BZ183" s="2867"/>
      <c r="CA183" s="2867"/>
      <c r="CB183" s="2867"/>
      <c r="CC183" s="2867"/>
      <c r="CD183" s="2867"/>
      <c r="CE183" s="2867"/>
      <c r="CF183" s="2867"/>
      <c r="CG183" s="2867"/>
      <c r="CH183" s="2867"/>
      <c r="CI183" s="2867"/>
      <c r="CJ183" s="2867"/>
      <c r="CK183" s="2867"/>
      <c r="CL183" s="2867"/>
      <c r="CM183" s="2867"/>
      <c r="CN183" s="2867"/>
      <c r="CO183" s="2867"/>
      <c r="CP183" s="2867"/>
      <c r="CQ183" s="2867"/>
      <c r="CR183" s="2867"/>
      <c r="CS183" s="2867"/>
      <c r="CT183" s="2867"/>
      <c r="CU183" s="2867"/>
      <c r="CV183" s="2867"/>
      <c r="CW183" s="2867"/>
    </row>
    <row r="184" spans="1:101">
      <c r="A184" s="2867"/>
      <c r="B184" s="2867"/>
      <c r="C184" s="2867"/>
      <c r="D184" s="2867"/>
      <c r="E184" s="2867"/>
      <c r="F184" s="2867"/>
      <c r="G184" s="2867"/>
      <c r="H184" s="2867"/>
      <c r="I184" s="2867"/>
      <c r="J184" s="2867"/>
      <c r="K184" s="2867"/>
      <c r="L184" s="2867"/>
      <c r="M184" s="2867"/>
      <c r="O184" s="2867"/>
      <c r="P184" s="2867"/>
      <c r="Q184" s="2867"/>
      <c r="R184" s="2867"/>
      <c r="S184" s="2867"/>
      <c r="T184" s="2867"/>
      <c r="U184" s="2867"/>
      <c r="V184" s="2867"/>
      <c r="W184" s="2867"/>
      <c r="X184" s="2867"/>
      <c r="Y184" s="2867"/>
      <c r="Z184" s="2867"/>
      <c r="AA184" s="2867"/>
      <c r="AB184" s="2867"/>
      <c r="AC184" s="2867"/>
      <c r="AD184" s="2867"/>
      <c r="AE184" s="2867"/>
      <c r="AF184" s="2867"/>
      <c r="AG184" s="2867"/>
      <c r="AH184" s="2867"/>
      <c r="AI184" s="2922"/>
      <c r="AJ184" s="2867"/>
      <c r="AK184" s="2910"/>
      <c r="AL184" s="2867"/>
      <c r="AM184" s="2867"/>
      <c r="AN184" s="2867"/>
      <c r="AO184" s="2870"/>
      <c r="AP184" s="2867"/>
      <c r="AQ184" s="2870"/>
      <c r="AR184" s="2870"/>
      <c r="AS184" s="2870"/>
      <c r="AT184" s="2867"/>
      <c r="AU184" s="2867"/>
      <c r="AV184" s="2867"/>
      <c r="AW184" s="2867"/>
      <c r="AX184" s="2867"/>
      <c r="AY184" s="2867"/>
      <c r="AZ184" s="2867"/>
      <c r="BA184" s="2867"/>
      <c r="BB184" s="2867"/>
      <c r="BC184" s="2867"/>
      <c r="BD184" s="2867"/>
      <c r="BE184" s="2867"/>
      <c r="BF184" s="2867"/>
      <c r="BG184" s="2867"/>
      <c r="BH184" s="2867"/>
      <c r="BI184" s="2867"/>
      <c r="BJ184" s="2867"/>
      <c r="BK184" s="2867"/>
      <c r="BL184" s="2867"/>
      <c r="BM184" s="2867"/>
      <c r="BN184" s="2867"/>
      <c r="BO184" s="2867"/>
      <c r="BP184" s="2867"/>
      <c r="BQ184" s="2867"/>
      <c r="BR184" s="2867"/>
      <c r="BS184" s="2867"/>
      <c r="BT184" s="2867"/>
      <c r="BU184" s="2867"/>
      <c r="BV184" s="2867"/>
      <c r="BW184" s="2867"/>
      <c r="BX184" s="2867"/>
      <c r="BY184" s="2867"/>
      <c r="BZ184" s="2867"/>
      <c r="CA184" s="2867"/>
      <c r="CB184" s="2867"/>
      <c r="CC184" s="2867"/>
      <c r="CD184" s="2867"/>
      <c r="CE184" s="2867"/>
      <c r="CF184" s="2867"/>
      <c r="CG184" s="2867"/>
      <c r="CH184" s="2867"/>
      <c r="CI184" s="2867"/>
      <c r="CJ184" s="2867"/>
      <c r="CK184" s="2867"/>
      <c r="CL184" s="2867"/>
      <c r="CM184" s="2867"/>
      <c r="CN184" s="2867"/>
      <c r="CO184" s="2867"/>
      <c r="CP184" s="2867"/>
      <c r="CQ184" s="2867"/>
      <c r="CR184" s="2867"/>
      <c r="CS184" s="2867"/>
      <c r="CT184" s="2867"/>
      <c r="CU184" s="2867"/>
      <c r="CV184" s="2867"/>
      <c r="CW184" s="2867"/>
    </row>
    <row r="185" spans="1:101">
      <c r="A185" s="2867"/>
      <c r="B185" s="2867"/>
      <c r="C185" s="2867"/>
      <c r="D185" s="2867"/>
      <c r="E185" s="2867"/>
      <c r="F185" s="2867"/>
      <c r="G185" s="2867"/>
      <c r="H185" s="2867"/>
      <c r="I185" s="2867"/>
      <c r="J185" s="2867"/>
      <c r="K185" s="2867"/>
      <c r="L185" s="2867"/>
      <c r="M185" s="2867"/>
      <c r="O185" s="2867"/>
      <c r="P185" s="2867"/>
      <c r="Q185" s="2867"/>
      <c r="R185" s="2867"/>
      <c r="S185" s="2867"/>
      <c r="T185" s="2867"/>
      <c r="U185" s="2867"/>
      <c r="V185" s="2867"/>
      <c r="W185" s="2867"/>
      <c r="X185" s="2867"/>
      <c r="Y185" s="2867"/>
      <c r="Z185" s="2867"/>
      <c r="AA185" s="2867"/>
      <c r="AB185" s="2867"/>
      <c r="AC185" s="2867"/>
      <c r="AD185" s="2867"/>
      <c r="AE185" s="2867"/>
      <c r="AF185" s="2867"/>
      <c r="AG185" s="2867"/>
      <c r="AH185" s="2867"/>
      <c r="AI185" s="2867"/>
      <c r="AJ185" s="2867"/>
      <c r="AK185" s="2867"/>
      <c r="AL185" s="2867"/>
      <c r="AM185" s="2867"/>
      <c r="AN185" s="2867"/>
      <c r="AO185" s="2870"/>
      <c r="AP185" s="2867"/>
      <c r="AQ185" s="2942"/>
      <c r="AR185" s="2942"/>
      <c r="AS185" s="2942"/>
      <c r="AT185" s="2867"/>
      <c r="AU185" s="2867"/>
      <c r="AV185" s="2867"/>
      <c r="AW185" s="2867"/>
      <c r="AX185" s="2867"/>
      <c r="AY185" s="2867"/>
      <c r="AZ185" s="2867"/>
      <c r="BA185" s="2867"/>
      <c r="BB185" s="2867"/>
      <c r="BC185" s="2867"/>
      <c r="BD185" s="2867"/>
      <c r="BE185" s="2867"/>
      <c r="BF185" s="2867"/>
      <c r="BG185" s="2867"/>
      <c r="BH185" s="2867"/>
      <c r="BI185" s="2867"/>
      <c r="BJ185" s="2867"/>
      <c r="BK185" s="2867"/>
      <c r="BL185" s="2867"/>
      <c r="BM185" s="2867"/>
      <c r="BN185" s="2867"/>
      <c r="BO185" s="2867"/>
      <c r="BP185" s="2867"/>
      <c r="BQ185" s="2867"/>
      <c r="BR185" s="2867"/>
      <c r="BS185" s="2867"/>
      <c r="BT185" s="2867"/>
      <c r="BU185" s="2867"/>
      <c r="BV185" s="2867"/>
      <c r="BW185" s="2867"/>
      <c r="BX185" s="2867"/>
      <c r="BY185" s="2867"/>
      <c r="BZ185" s="2867"/>
      <c r="CA185" s="2867"/>
      <c r="CB185" s="2867"/>
      <c r="CC185" s="2867"/>
      <c r="CD185" s="2867"/>
      <c r="CE185" s="2867"/>
      <c r="CF185" s="2867"/>
      <c r="CG185" s="2867"/>
      <c r="CH185" s="2867"/>
      <c r="CI185" s="2867"/>
      <c r="CJ185" s="2867"/>
      <c r="CK185" s="2867"/>
      <c r="CL185" s="2867"/>
      <c r="CM185" s="2867"/>
      <c r="CN185" s="2867"/>
      <c r="CO185" s="2867"/>
      <c r="CP185" s="2867"/>
      <c r="CQ185" s="2867"/>
      <c r="CR185" s="2867"/>
      <c r="CS185" s="2867"/>
      <c r="CT185" s="2867"/>
      <c r="CU185" s="2867"/>
      <c r="CV185" s="2867"/>
      <c r="CW185" s="2867"/>
    </row>
    <row r="186" spans="1:101">
      <c r="A186" s="2867"/>
      <c r="B186" s="2867"/>
      <c r="C186" s="2867"/>
      <c r="D186" s="2867"/>
      <c r="E186" s="2867"/>
      <c r="F186" s="2867"/>
      <c r="G186" s="2867"/>
      <c r="H186" s="2867"/>
      <c r="I186" s="2867"/>
      <c r="J186" s="2867"/>
      <c r="K186" s="2867"/>
      <c r="L186" s="2867"/>
      <c r="M186" s="2867"/>
      <c r="O186" s="2867"/>
      <c r="P186" s="2867"/>
      <c r="Q186" s="2867"/>
      <c r="R186" s="2867"/>
      <c r="S186" s="2867"/>
      <c r="T186" s="2867"/>
      <c r="U186" s="2867"/>
      <c r="V186" s="2867"/>
      <c r="W186" s="2867"/>
      <c r="X186" s="2867"/>
      <c r="Y186" s="2867"/>
      <c r="Z186" s="2867"/>
      <c r="AA186" s="2867"/>
      <c r="AB186" s="2867"/>
      <c r="AC186" s="2867"/>
      <c r="AD186" s="2867"/>
      <c r="AE186" s="2867"/>
      <c r="AF186" s="2867"/>
      <c r="AG186" s="2867"/>
      <c r="AH186" s="2867"/>
      <c r="AI186" s="2867"/>
      <c r="AJ186" s="2867"/>
      <c r="AK186" s="2867"/>
      <c r="AL186" s="2867"/>
      <c r="AM186" s="2867"/>
      <c r="AN186" s="2867"/>
      <c r="AO186" s="2867"/>
      <c r="AP186" s="2867"/>
      <c r="AQ186" s="2870"/>
      <c r="AR186" s="2870"/>
      <c r="AS186" s="2867"/>
      <c r="AT186" s="2867"/>
      <c r="AU186" s="2867"/>
      <c r="AV186" s="2867"/>
      <c r="AW186" s="2867"/>
      <c r="AX186" s="2867"/>
      <c r="AY186" s="2867"/>
      <c r="AZ186" s="2867"/>
      <c r="BA186" s="2867"/>
      <c r="BB186" s="2867"/>
      <c r="BC186" s="2867"/>
      <c r="BD186" s="2867"/>
      <c r="BE186" s="2867"/>
      <c r="BF186" s="2867"/>
      <c r="BG186" s="2867"/>
      <c r="BH186" s="2867"/>
      <c r="BI186" s="2867"/>
      <c r="BJ186" s="2867"/>
      <c r="BK186" s="2867"/>
      <c r="BL186" s="2867"/>
      <c r="BM186" s="2867"/>
      <c r="BN186" s="2867"/>
      <c r="BO186" s="2867"/>
      <c r="BP186" s="2867"/>
      <c r="BQ186" s="2867"/>
      <c r="BR186" s="2867"/>
      <c r="BS186" s="2867"/>
      <c r="BT186" s="2867"/>
      <c r="BU186" s="2867"/>
      <c r="BV186" s="2867"/>
      <c r="BW186" s="2867"/>
      <c r="BX186" s="2867"/>
      <c r="BY186" s="2867"/>
      <c r="BZ186" s="2867"/>
      <c r="CA186" s="2867"/>
      <c r="CB186" s="2867"/>
      <c r="CC186" s="2867"/>
      <c r="CD186" s="2867"/>
      <c r="CE186" s="2867"/>
      <c r="CF186" s="2867"/>
      <c r="CG186" s="2867"/>
      <c r="CH186" s="2867"/>
      <c r="CI186" s="2867"/>
      <c r="CJ186" s="2867"/>
      <c r="CK186" s="2867"/>
      <c r="CL186" s="2867"/>
      <c r="CM186" s="2867"/>
      <c r="CN186" s="2867"/>
      <c r="CO186" s="2867"/>
      <c r="CP186" s="2867"/>
      <c r="CQ186" s="2867"/>
      <c r="CR186" s="2867"/>
      <c r="CS186" s="2867"/>
      <c r="CT186" s="2867"/>
      <c r="CU186" s="2867"/>
      <c r="CV186" s="2867"/>
      <c r="CW186" s="2867"/>
    </row>
    <row r="187" spans="1:101">
      <c r="A187" s="2867"/>
      <c r="B187" s="2867"/>
      <c r="C187" s="2867"/>
      <c r="D187" s="2867"/>
      <c r="E187" s="2867"/>
      <c r="F187" s="2867"/>
      <c r="G187" s="2867"/>
      <c r="H187" s="2867"/>
      <c r="I187" s="2867"/>
      <c r="J187" s="2867"/>
      <c r="K187" s="2867"/>
      <c r="L187" s="2867"/>
      <c r="M187" s="2867"/>
      <c r="O187" s="2867"/>
      <c r="P187" s="2867"/>
      <c r="Q187" s="2867"/>
      <c r="R187" s="2867"/>
      <c r="S187" s="2867"/>
      <c r="T187" s="2867"/>
      <c r="U187" s="2867"/>
      <c r="V187" s="2867"/>
      <c r="W187" s="2867"/>
      <c r="X187" s="2867"/>
      <c r="Y187" s="2867"/>
      <c r="Z187" s="2867"/>
      <c r="AA187" s="2867"/>
      <c r="AB187" s="2867"/>
      <c r="AC187" s="2867"/>
      <c r="AD187" s="2867"/>
      <c r="AE187" s="2867"/>
      <c r="AF187" s="2867"/>
      <c r="AG187" s="2867"/>
      <c r="AH187" s="2867"/>
      <c r="AI187" s="2910"/>
      <c r="AJ187" s="2867"/>
      <c r="AK187" s="2867"/>
      <c r="AL187" s="2867"/>
      <c r="AM187" s="2867"/>
      <c r="AN187" s="2867"/>
      <c r="AO187" s="2867"/>
      <c r="AP187" s="2867"/>
      <c r="AQ187" s="2870"/>
      <c r="AR187" s="2870"/>
      <c r="AS187" s="2867"/>
      <c r="AT187" s="2867"/>
      <c r="AU187" s="2867"/>
      <c r="AV187" s="2867"/>
      <c r="AW187" s="2867"/>
      <c r="AX187" s="2867"/>
      <c r="AY187" s="2867"/>
      <c r="AZ187" s="2867"/>
      <c r="BA187" s="2867"/>
      <c r="BB187" s="2867"/>
      <c r="BC187" s="2867"/>
      <c r="BD187" s="2867"/>
      <c r="BE187" s="2867"/>
      <c r="BF187" s="2867"/>
      <c r="BG187" s="2867"/>
      <c r="BH187" s="2867"/>
      <c r="BI187" s="2867"/>
      <c r="BJ187" s="2867"/>
      <c r="BK187" s="2867"/>
      <c r="BL187" s="2867"/>
      <c r="BM187" s="2867"/>
      <c r="BN187" s="2867"/>
      <c r="BO187" s="2867"/>
      <c r="BP187" s="2867"/>
      <c r="BQ187" s="2867"/>
      <c r="BR187" s="2867"/>
      <c r="BS187" s="2867"/>
      <c r="BT187" s="2867"/>
      <c r="BU187" s="2867"/>
      <c r="BV187" s="2867"/>
      <c r="BW187" s="2867"/>
      <c r="BX187" s="2867"/>
      <c r="BY187" s="2867"/>
      <c r="BZ187" s="2867"/>
      <c r="CA187" s="2867"/>
      <c r="CB187" s="2867"/>
      <c r="CC187" s="2867"/>
      <c r="CD187" s="2867"/>
      <c r="CE187" s="2867"/>
      <c r="CF187" s="2867"/>
      <c r="CG187" s="2867"/>
      <c r="CH187" s="2867"/>
      <c r="CI187" s="2867"/>
      <c r="CJ187" s="2867"/>
      <c r="CK187" s="2867"/>
      <c r="CL187" s="2867"/>
      <c r="CM187" s="2867"/>
      <c r="CN187" s="2867"/>
      <c r="CO187" s="2867"/>
      <c r="CP187" s="2867"/>
      <c r="CQ187" s="2867"/>
      <c r="CR187" s="2867"/>
      <c r="CS187" s="2867"/>
      <c r="CT187" s="2867"/>
      <c r="CU187" s="2867"/>
      <c r="CV187" s="2867"/>
      <c r="CW187" s="2867"/>
    </row>
    <row r="188" spans="1:101">
      <c r="A188" s="2867"/>
      <c r="B188" s="2867"/>
      <c r="C188" s="2867"/>
      <c r="D188" s="2867"/>
      <c r="E188" s="2867"/>
      <c r="F188" s="2867"/>
      <c r="G188" s="2867"/>
      <c r="H188" s="2867"/>
      <c r="I188" s="2867"/>
      <c r="J188" s="2867"/>
      <c r="K188" s="2867"/>
      <c r="L188" s="2867"/>
      <c r="M188" s="2867"/>
      <c r="O188" s="2867"/>
      <c r="P188" s="2867"/>
      <c r="Q188" s="2867"/>
      <c r="R188" s="2867"/>
      <c r="S188" s="2867"/>
      <c r="T188" s="2867"/>
      <c r="U188" s="2867"/>
      <c r="V188" s="2867"/>
      <c r="W188" s="2867"/>
      <c r="X188" s="2867"/>
      <c r="Y188" s="2867"/>
      <c r="Z188" s="2867"/>
      <c r="AA188" s="2867"/>
      <c r="AB188" s="2867"/>
      <c r="AC188" s="2867"/>
      <c r="AD188" s="2867"/>
      <c r="AE188" s="2867"/>
      <c r="AF188" s="2867"/>
      <c r="AG188" s="2867"/>
      <c r="AH188" s="2867"/>
      <c r="AI188" s="2910"/>
      <c r="AJ188" s="2867"/>
      <c r="AK188" s="2867"/>
      <c r="AL188" s="2867"/>
      <c r="AM188" s="2867"/>
      <c r="AN188" s="2867"/>
      <c r="AO188" s="2867"/>
      <c r="AP188" s="2867"/>
      <c r="AQ188" s="2870"/>
      <c r="AR188" s="2870"/>
      <c r="AS188" s="2867"/>
      <c r="AT188" s="2867"/>
      <c r="AU188" s="2867"/>
      <c r="AV188" s="2867"/>
      <c r="AW188" s="2867"/>
      <c r="AX188" s="2867"/>
      <c r="AY188" s="2867"/>
      <c r="AZ188" s="2867"/>
      <c r="BA188" s="2867"/>
      <c r="BB188" s="2867"/>
      <c r="BC188" s="2867"/>
      <c r="BD188" s="2867"/>
      <c r="BE188" s="2867"/>
      <c r="BF188" s="2867"/>
      <c r="BG188" s="2867"/>
      <c r="BH188" s="2867"/>
      <c r="BI188" s="2867"/>
      <c r="BJ188" s="2867"/>
      <c r="BK188" s="2867"/>
      <c r="BL188" s="2867"/>
      <c r="BM188" s="2867"/>
      <c r="BN188" s="2867"/>
      <c r="BO188" s="2867"/>
      <c r="BP188" s="2867"/>
      <c r="BQ188" s="2867"/>
      <c r="BR188" s="2867"/>
      <c r="BS188" s="2867"/>
      <c r="BT188" s="2867"/>
      <c r="BU188" s="2867"/>
      <c r="BV188" s="2867"/>
      <c r="BW188" s="2867"/>
      <c r="BX188" s="2867"/>
      <c r="BY188" s="2867"/>
      <c r="BZ188" s="2867"/>
      <c r="CA188" s="2867"/>
      <c r="CB188" s="2867"/>
      <c r="CC188" s="2867"/>
      <c r="CD188" s="2867"/>
      <c r="CE188" s="2867"/>
      <c r="CF188" s="2867"/>
      <c r="CG188" s="2867"/>
      <c r="CH188" s="2867"/>
      <c r="CI188" s="2867"/>
      <c r="CJ188" s="2867"/>
      <c r="CK188" s="2867"/>
      <c r="CL188" s="2867"/>
      <c r="CM188" s="2867"/>
      <c r="CN188" s="2867"/>
      <c r="CO188" s="2867"/>
      <c r="CP188" s="2867"/>
      <c r="CQ188" s="2867"/>
      <c r="CR188" s="2867"/>
      <c r="CS188" s="2867"/>
      <c r="CT188" s="2867"/>
      <c r="CU188" s="2867"/>
      <c r="CV188" s="2867"/>
      <c r="CW188" s="2867"/>
    </row>
    <row r="189" spans="1:101">
      <c r="A189" s="2867"/>
      <c r="B189" s="2867"/>
      <c r="C189" s="2867"/>
      <c r="D189" s="2867"/>
      <c r="E189" s="2867"/>
      <c r="F189" s="2867"/>
      <c r="G189" s="2867"/>
      <c r="H189" s="2867"/>
      <c r="I189" s="2867"/>
      <c r="J189" s="2867"/>
      <c r="K189" s="2867"/>
      <c r="L189" s="2867"/>
      <c r="M189" s="2867"/>
      <c r="O189" s="2867"/>
      <c r="P189" s="2867"/>
      <c r="Q189" s="2867"/>
      <c r="R189" s="2867"/>
      <c r="S189" s="2867"/>
      <c r="T189" s="2867"/>
      <c r="U189" s="2867"/>
      <c r="V189" s="2867"/>
      <c r="W189" s="2867"/>
      <c r="X189" s="2867"/>
      <c r="Y189" s="2867"/>
      <c r="Z189" s="2867"/>
      <c r="AA189" s="2867"/>
      <c r="AB189" s="2867"/>
      <c r="AC189" s="2867"/>
      <c r="AD189" s="2867"/>
      <c r="AE189" s="2867"/>
      <c r="AF189" s="2867"/>
      <c r="AG189" s="2867"/>
      <c r="AH189" s="2867"/>
      <c r="AI189" s="2867"/>
      <c r="AJ189" s="2867"/>
      <c r="AK189" s="2867"/>
      <c r="AL189" s="2867"/>
      <c r="AM189" s="2867"/>
      <c r="AN189" s="2867"/>
      <c r="AO189" s="2867"/>
      <c r="AP189" s="2867"/>
      <c r="AQ189" s="2867"/>
      <c r="AR189" s="2867"/>
      <c r="AS189" s="2867"/>
      <c r="AT189" s="2867"/>
      <c r="AU189" s="2867"/>
      <c r="AV189" s="2867"/>
      <c r="AW189" s="2867"/>
      <c r="AX189" s="2867"/>
      <c r="AY189" s="2867"/>
      <c r="AZ189" s="2867"/>
      <c r="BA189" s="2867"/>
      <c r="BB189" s="2867"/>
      <c r="BC189" s="2867"/>
      <c r="BD189" s="2867"/>
      <c r="BE189" s="2867"/>
      <c r="BF189" s="2867"/>
      <c r="BG189" s="2867"/>
      <c r="BH189" s="2867"/>
      <c r="BI189" s="2867"/>
      <c r="BJ189" s="2867"/>
      <c r="BK189" s="2867"/>
      <c r="BL189" s="2867"/>
      <c r="BM189" s="2867"/>
      <c r="BN189" s="2867"/>
      <c r="BO189" s="2867"/>
      <c r="BP189" s="2867"/>
      <c r="BQ189" s="2867"/>
      <c r="BR189" s="2867"/>
      <c r="BS189" s="2867"/>
      <c r="BT189" s="2867"/>
      <c r="BU189" s="2867"/>
      <c r="BV189" s="2867"/>
      <c r="BW189" s="2867"/>
      <c r="BX189" s="2867"/>
      <c r="BY189" s="2867"/>
      <c r="BZ189" s="2867"/>
      <c r="CA189" s="2867"/>
      <c r="CB189" s="2867"/>
      <c r="CC189" s="2867"/>
      <c r="CD189" s="2867"/>
      <c r="CE189" s="2867"/>
      <c r="CF189" s="2867"/>
      <c r="CG189" s="2867"/>
      <c r="CH189" s="2867"/>
      <c r="CI189" s="2867"/>
      <c r="CJ189" s="2867"/>
      <c r="CK189" s="2867"/>
      <c r="CL189" s="2867"/>
      <c r="CM189" s="2867"/>
      <c r="CN189" s="2867"/>
      <c r="CO189" s="2867"/>
      <c r="CP189" s="2867"/>
      <c r="CQ189" s="2867"/>
      <c r="CR189" s="2867"/>
      <c r="CS189" s="2867"/>
      <c r="CT189" s="2867"/>
      <c r="CU189" s="2867"/>
      <c r="CV189" s="2867"/>
      <c r="CW189" s="2867"/>
    </row>
    <row r="190" spans="1:101">
      <c r="A190" s="2867"/>
      <c r="B190" s="2867"/>
      <c r="C190" s="2867"/>
      <c r="D190" s="2867"/>
      <c r="E190" s="2867"/>
      <c r="F190" s="2867"/>
      <c r="G190" s="2867"/>
      <c r="H190" s="2867"/>
      <c r="I190" s="2867"/>
      <c r="J190" s="2867"/>
      <c r="K190" s="2867"/>
      <c r="L190" s="2867"/>
      <c r="M190" s="2867"/>
      <c r="O190" s="2867"/>
      <c r="P190" s="2867"/>
      <c r="Q190" s="2867"/>
      <c r="R190" s="2867"/>
      <c r="S190" s="2867"/>
      <c r="T190" s="2867"/>
      <c r="U190" s="2867"/>
      <c r="V190" s="2867"/>
      <c r="W190" s="2867"/>
      <c r="X190" s="2867"/>
      <c r="Y190" s="2867"/>
      <c r="Z190" s="2867"/>
      <c r="AA190" s="2867"/>
      <c r="AB190" s="2867"/>
      <c r="AC190" s="2867"/>
      <c r="AD190" s="2867"/>
      <c r="AE190" s="2867"/>
      <c r="AF190" s="2867"/>
      <c r="AG190" s="2867"/>
      <c r="AH190" s="2867"/>
      <c r="AI190" s="2867"/>
      <c r="AJ190" s="2867"/>
      <c r="AK190" s="2867"/>
      <c r="AL190" s="2867"/>
      <c r="AM190" s="2867"/>
      <c r="AN190" s="2867"/>
      <c r="AO190" s="2867"/>
      <c r="AP190" s="2867"/>
      <c r="AQ190" s="2867"/>
      <c r="AR190" s="2867"/>
      <c r="AS190" s="2867"/>
      <c r="AT190" s="2867"/>
      <c r="AU190" s="2867"/>
      <c r="AV190" s="2867"/>
      <c r="AW190" s="2867"/>
      <c r="AX190" s="2867"/>
      <c r="AY190" s="2867"/>
      <c r="AZ190" s="2867"/>
      <c r="BA190" s="2867"/>
      <c r="BB190" s="2867"/>
      <c r="BC190" s="2867"/>
      <c r="BD190" s="2867"/>
      <c r="BE190" s="2867"/>
      <c r="BF190" s="2867"/>
      <c r="BG190" s="2867"/>
      <c r="BH190" s="2867"/>
      <c r="BI190" s="2867"/>
      <c r="BJ190" s="2867"/>
      <c r="BK190" s="2867"/>
      <c r="BL190" s="2867"/>
      <c r="BM190" s="2867"/>
      <c r="BN190" s="2867"/>
      <c r="BO190" s="2867"/>
      <c r="BP190" s="2867"/>
      <c r="BQ190" s="2867"/>
      <c r="BR190" s="2867"/>
      <c r="BS190" s="2867"/>
      <c r="BT190" s="2867"/>
      <c r="BU190" s="2867"/>
      <c r="BV190" s="2867"/>
      <c r="BW190" s="2867"/>
      <c r="BX190" s="2867"/>
      <c r="BY190" s="2867"/>
      <c r="BZ190" s="2867"/>
      <c r="CA190" s="2867"/>
      <c r="CB190" s="2867"/>
      <c r="CC190" s="2867"/>
      <c r="CD190" s="2867"/>
      <c r="CE190" s="2867"/>
      <c r="CF190" s="2867"/>
      <c r="CG190" s="2867"/>
      <c r="CH190" s="2867"/>
      <c r="CI190" s="2867"/>
      <c r="CJ190" s="2867"/>
      <c r="CK190" s="2867"/>
      <c r="CL190" s="2867"/>
      <c r="CM190" s="2867"/>
      <c r="CN190" s="2867"/>
      <c r="CO190" s="2867"/>
      <c r="CP190" s="2867"/>
      <c r="CQ190" s="2867"/>
      <c r="CR190" s="2867"/>
      <c r="CS190" s="2867"/>
      <c r="CT190" s="2867"/>
      <c r="CU190" s="2867"/>
      <c r="CV190" s="2867"/>
      <c r="CW190" s="2867"/>
    </row>
    <row r="191" spans="1:101">
      <c r="A191" s="2867"/>
      <c r="B191" s="2867"/>
      <c r="C191" s="2867"/>
      <c r="D191" s="2867"/>
      <c r="E191" s="2867"/>
      <c r="F191" s="2867"/>
      <c r="G191" s="2867"/>
      <c r="H191" s="2867"/>
      <c r="I191" s="2867"/>
      <c r="J191" s="2867"/>
      <c r="K191" s="2867"/>
      <c r="L191" s="2867"/>
      <c r="M191" s="2867"/>
      <c r="O191" s="2867"/>
      <c r="P191" s="2867"/>
      <c r="Q191" s="2867"/>
      <c r="R191" s="2867"/>
      <c r="S191" s="2867"/>
      <c r="T191" s="2867"/>
      <c r="U191" s="2867"/>
      <c r="V191" s="2867"/>
      <c r="W191" s="2867"/>
      <c r="X191" s="2867"/>
      <c r="Y191" s="2867"/>
      <c r="Z191" s="2867"/>
      <c r="AA191" s="2867"/>
      <c r="AB191" s="2867"/>
      <c r="AC191" s="2867"/>
      <c r="AD191" s="2867"/>
      <c r="AE191" s="2867"/>
      <c r="AF191" s="2867"/>
      <c r="AG191" s="2867"/>
      <c r="AH191" s="2867"/>
      <c r="AI191" s="2867"/>
      <c r="AJ191" s="2867"/>
      <c r="AK191" s="2867"/>
      <c r="AL191" s="2867"/>
      <c r="AM191" s="2867"/>
      <c r="AN191" s="2867"/>
      <c r="AO191" s="2867"/>
      <c r="AP191" s="2867"/>
      <c r="AQ191" s="2867"/>
      <c r="AR191" s="2867"/>
      <c r="AS191" s="2867"/>
      <c r="AT191" s="2867"/>
      <c r="AU191" s="2867"/>
      <c r="AV191" s="2867"/>
      <c r="AW191" s="2867"/>
      <c r="AX191" s="2867"/>
      <c r="AY191" s="2867"/>
      <c r="AZ191" s="2867"/>
      <c r="BA191" s="2867"/>
      <c r="BB191" s="2867"/>
      <c r="BC191" s="2867"/>
      <c r="BD191" s="2867"/>
      <c r="BE191" s="2867"/>
      <c r="BF191" s="2867"/>
      <c r="BG191" s="2867"/>
      <c r="BH191" s="2867"/>
      <c r="BI191" s="2867"/>
      <c r="BJ191" s="2867"/>
      <c r="BK191" s="2867"/>
      <c r="BL191" s="2867"/>
      <c r="BM191" s="2867"/>
      <c r="BN191" s="2867"/>
      <c r="BO191" s="2867"/>
      <c r="BP191" s="2867"/>
      <c r="BQ191" s="2867"/>
      <c r="BR191" s="2867"/>
      <c r="BS191" s="2867"/>
      <c r="BT191" s="2867"/>
      <c r="BU191" s="2867"/>
      <c r="BV191" s="2867"/>
      <c r="BW191" s="2867"/>
      <c r="BX191" s="2867"/>
      <c r="BY191" s="2867"/>
      <c r="BZ191" s="2867"/>
      <c r="CA191" s="2867"/>
      <c r="CB191" s="2867"/>
      <c r="CC191" s="2867"/>
      <c r="CD191" s="2867"/>
      <c r="CE191" s="2867"/>
      <c r="CF191" s="2867"/>
      <c r="CG191" s="2867"/>
      <c r="CH191" s="2867"/>
      <c r="CI191" s="2867"/>
      <c r="CJ191" s="2867"/>
      <c r="CK191" s="2867"/>
      <c r="CL191" s="2867"/>
      <c r="CM191" s="2867"/>
      <c r="CN191" s="2867"/>
      <c r="CO191" s="2867"/>
      <c r="CP191" s="2867"/>
      <c r="CQ191" s="2867"/>
      <c r="CR191" s="2867"/>
      <c r="CS191" s="2867"/>
      <c r="CT191" s="2867"/>
      <c r="CU191" s="2867"/>
      <c r="CV191" s="2867"/>
      <c r="CW191" s="2867"/>
    </row>
    <row r="192" spans="1:101">
      <c r="A192" s="2867"/>
      <c r="B192" s="2867"/>
      <c r="C192" s="2867"/>
      <c r="D192" s="2867"/>
      <c r="E192" s="2867"/>
      <c r="F192" s="2867"/>
      <c r="G192" s="2867"/>
      <c r="H192" s="2867"/>
      <c r="I192" s="2867"/>
      <c r="J192" s="2867"/>
      <c r="K192" s="2867"/>
      <c r="L192" s="2867"/>
      <c r="M192" s="2867"/>
      <c r="O192" s="2867"/>
      <c r="P192" s="2867"/>
      <c r="Q192" s="2867"/>
      <c r="R192" s="2867"/>
      <c r="S192" s="2867"/>
      <c r="T192" s="2867"/>
      <c r="U192" s="2867"/>
      <c r="V192" s="2867"/>
      <c r="W192" s="2867"/>
      <c r="X192" s="2867"/>
      <c r="Y192" s="2867"/>
      <c r="Z192" s="2867"/>
      <c r="AA192" s="2867"/>
      <c r="AB192" s="2867"/>
      <c r="AC192" s="2867"/>
      <c r="AD192" s="2867"/>
      <c r="AE192" s="2867"/>
      <c r="AF192" s="2867"/>
      <c r="AG192" s="2867"/>
      <c r="AH192" s="2867"/>
      <c r="AI192" s="2867"/>
      <c r="AJ192" s="2867"/>
      <c r="AK192" s="2867"/>
      <c r="AL192" s="2867"/>
      <c r="AM192" s="2867"/>
      <c r="AN192" s="2867"/>
      <c r="AO192" s="2867"/>
      <c r="AP192" s="2867"/>
      <c r="AQ192" s="2867"/>
      <c r="AR192" s="2867"/>
      <c r="AS192" s="2867"/>
      <c r="AT192" s="2867"/>
      <c r="AU192" s="2867"/>
      <c r="AV192" s="2867"/>
      <c r="AW192" s="2867"/>
      <c r="AX192" s="2867"/>
      <c r="AY192" s="2867"/>
      <c r="AZ192" s="2867"/>
      <c r="BA192" s="2867"/>
      <c r="BB192" s="2867"/>
      <c r="BC192" s="2867"/>
      <c r="BD192" s="2867"/>
      <c r="BE192" s="2867"/>
      <c r="BF192" s="2867"/>
      <c r="BG192" s="2867"/>
      <c r="BH192" s="2867"/>
      <c r="BI192" s="2867"/>
      <c r="BJ192" s="2867"/>
      <c r="BK192" s="2867"/>
      <c r="BL192" s="2867"/>
      <c r="BM192" s="2867"/>
      <c r="BN192" s="2867"/>
      <c r="BO192" s="2867"/>
      <c r="BP192" s="2867"/>
      <c r="BQ192" s="2867"/>
      <c r="BR192" s="2867"/>
      <c r="BS192" s="2867"/>
      <c r="BT192" s="2867"/>
      <c r="BU192" s="2867"/>
      <c r="BV192" s="2867"/>
      <c r="BW192" s="2867"/>
      <c r="BX192" s="2867"/>
      <c r="BY192" s="2867"/>
      <c r="BZ192" s="2867"/>
      <c r="CA192" s="2867"/>
      <c r="CB192" s="2867"/>
      <c r="CC192" s="2867"/>
      <c r="CD192" s="2867"/>
      <c r="CE192" s="2867"/>
      <c r="CF192" s="2867"/>
      <c r="CG192" s="2867"/>
      <c r="CH192" s="2867"/>
      <c r="CI192" s="2867"/>
      <c r="CJ192" s="2867"/>
      <c r="CK192" s="2867"/>
      <c r="CL192" s="2867"/>
      <c r="CM192" s="2867"/>
      <c r="CN192" s="2867"/>
      <c r="CO192" s="2867"/>
      <c r="CP192" s="2867"/>
      <c r="CQ192" s="2867"/>
      <c r="CR192" s="2867"/>
      <c r="CS192" s="2867"/>
      <c r="CT192" s="2867"/>
      <c r="CU192" s="2867"/>
      <c r="CV192" s="2867"/>
      <c r="CW192" s="2867"/>
    </row>
    <row r="193" spans="1:101">
      <c r="A193" s="2867"/>
      <c r="B193" s="2867"/>
      <c r="C193" s="2867"/>
      <c r="D193" s="2867"/>
      <c r="E193" s="2867"/>
      <c r="F193" s="2867"/>
      <c r="G193" s="2867"/>
      <c r="H193" s="2867"/>
      <c r="I193" s="2867"/>
      <c r="J193" s="2867"/>
      <c r="K193" s="2867"/>
      <c r="L193" s="2867"/>
      <c r="M193" s="2867"/>
      <c r="O193" s="2867"/>
      <c r="P193" s="2867"/>
      <c r="Q193" s="2867"/>
      <c r="R193" s="2867"/>
      <c r="S193" s="2867"/>
      <c r="T193" s="2867"/>
      <c r="U193" s="2867"/>
      <c r="V193" s="2867"/>
      <c r="W193" s="2867"/>
      <c r="X193" s="2867"/>
      <c r="Z193" s="2867"/>
      <c r="AA193" s="2867"/>
      <c r="AB193" s="2867"/>
      <c r="AC193" s="2867"/>
      <c r="AD193" s="2867"/>
      <c r="AE193" s="2867"/>
      <c r="AF193" s="2867"/>
      <c r="AG193" s="2867"/>
      <c r="AH193" s="2867"/>
      <c r="AI193" s="2867"/>
      <c r="AJ193" s="2867"/>
      <c r="AK193" s="2867"/>
      <c r="AL193" s="2867"/>
      <c r="AM193" s="2867"/>
      <c r="AN193" s="2867"/>
      <c r="AO193" s="2867"/>
      <c r="AP193" s="2867"/>
      <c r="AQ193" s="2867"/>
      <c r="AR193" s="2867"/>
      <c r="AS193" s="2867"/>
      <c r="AT193" s="2867"/>
      <c r="AU193" s="2867"/>
      <c r="AV193" s="2867"/>
      <c r="AW193" s="2867"/>
      <c r="AX193" s="2867"/>
      <c r="AY193" s="2867"/>
      <c r="AZ193" s="2867"/>
      <c r="BA193" s="2867"/>
      <c r="BB193" s="2867"/>
      <c r="BC193" s="2867"/>
      <c r="BD193" s="2867"/>
      <c r="BE193" s="2867"/>
      <c r="BF193" s="2867"/>
      <c r="BG193" s="2867"/>
      <c r="BH193" s="2867"/>
      <c r="BI193" s="2867"/>
      <c r="BJ193" s="2867"/>
      <c r="BK193" s="2867"/>
      <c r="BL193" s="2867"/>
      <c r="BM193" s="2867"/>
      <c r="BN193" s="2867"/>
      <c r="BO193" s="2867"/>
      <c r="BP193" s="2867"/>
      <c r="BQ193" s="2867"/>
      <c r="BR193" s="2867"/>
      <c r="BS193" s="2867"/>
      <c r="BT193" s="2867"/>
      <c r="BU193" s="2867"/>
      <c r="BV193" s="2867"/>
      <c r="BW193" s="2867"/>
      <c r="BX193" s="2867"/>
      <c r="BY193" s="2867"/>
      <c r="BZ193" s="2867"/>
      <c r="CA193" s="2867"/>
      <c r="CB193" s="2867"/>
      <c r="CC193" s="2867"/>
      <c r="CD193" s="2867"/>
      <c r="CE193" s="2867"/>
      <c r="CF193" s="2867"/>
      <c r="CG193" s="2867"/>
      <c r="CH193" s="2867"/>
      <c r="CI193" s="2867"/>
      <c r="CJ193" s="2867"/>
      <c r="CK193" s="2867"/>
      <c r="CL193" s="2867"/>
      <c r="CM193" s="2867"/>
      <c r="CN193" s="2867"/>
      <c r="CO193" s="2867"/>
      <c r="CP193" s="2867"/>
      <c r="CQ193" s="2867"/>
      <c r="CR193" s="2867"/>
      <c r="CS193" s="2867"/>
      <c r="CT193" s="2867"/>
      <c r="CU193" s="2867"/>
      <c r="CV193" s="2867"/>
      <c r="CW193" s="2867"/>
    </row>
    <row r="194" spans="1:101">
      <c r="A194" s="2867"/>
      <c r="B194" s="2867"/>
      <c r="C194" s="2867"/>
      <c r="D194" s="2867"/>
      <c r="E194" s="2867"/>
      <c r="F194" s="2867"/>
      <c r="G194" s="2867"/>
      <c r="H194" s="2867"/>
      <c r="I194" s="2867"/>
      <c r="J194" s="2867"/>
      <c r="K194" s="2867"/>
      <c r="L194" s="2867"/>
      <c r="M194" s="2867"/>
      <c r="O194" s="2867"/>
      <c r="P194" s="2867"/>
      <c r="Q194" s="2867"/>
      <c r="R194" s="2867"/>
      <c r="S194" s="2867"/>
      <c r="T194" s="2867"/>
      <c r="U194" s="2867"/>
      <c r="V194" s="2867"/>
      <c r="W194" s="2867"/>
      <c r="X194" s="2867"/>
      <c r="Z194" s="2867"/>
      <c r="AA194" s="2867"/>
      <c r="AB194" s="2867"/>
      <c r="AC194" s="2867"/>
      <c r="AD194" s="2867"/>
      <c r="AE194" s="2867"/>
      <c r="AF194" s="2867"/>
      <c r="AG194" s="2867"/>
      <c r="AH194" s="2867"/>
      <c r="AI194" s="2867"/>
      <c r="AJ194" s="2867"/>
      <c r="AK194" s="2867"/>
      <c r="AL194" s="2922"/>
      <c r="AM194" s="2867"/>
      <c r="AN194" s="2867"/>
      <c r="AO194" s="2867"/>
      <c r="AP194" s="2867"/>
      <c r="AQ194" s="2870"/>
      <c r="AR194" s="2870"/>
      <c r="AS194" s="2867"/>
      <c r="AT194" s="2867"/>
      <c r="AU194" s="2867"/>
      <c r="AV194" s="2867"/>
      <c r="AW194" s="2867"/>
      <c r="AX194" s="2867"/>
      <c r="AY194" s="2867"/>
      <c r="AZ194" s="2867"/>
      <c r="BA194" s="2867"/>
      <c r="BB194" s="2867"/>
      <c r="BC194" s="2867"/>
      <c r="BD194" s="2867"/>
      <c r="BE194" s="2867"/>
      <c r="BF194" s="2867"/>
      <c r="BG194" s="2867"/>
      <c r="BH194" s="2867"/>
      <c r="BI194" s="2867"/>
      <c r="BJ194" s="2867"/>
      <c r="BK194" s="2867"/>
      <c r="BL194" s="2867"/>
      <c r="BM194" s="2867"/>
      <c r="BN194" s="2867"/>
      <c r="BO194" s="2867"/>
      <c r="BP194" s="2867"/>
      <c r="BQ194" s="2867"/>
      <c r="BR194" s="2867"/>
      <c r="BS194" s="2867"/>
      <c r="BT194" s="2867"/>
      <c r="BU194" s="2867"/>
      <c r="BV194" s="2867"/>
      <c r="BW194" s="2867"/>
      <c r="BX194" s="2867"/>
      <c r="BY194" s="2867"/>
      <c r="BZ194" s="2867"/>
      <c r="CA194" s="2867"/>
      <c r="CB194" s="2867"/>
      <c r="CC194" s="2867"/>
      <c r="CD194" s="2867"/>
      <c r="CE194" s="2867"/>
      <c r="CF194" s="2867"/>
      <c r="CG194" s="2867"/>
      <c r="CH194" s="2867"/>
      <c r="CI194" s="2867"/>
      <c r="CJ194" s="2867"/>
      <c r="CK194" s="2867"/>
      <c r="CL194" s="2867"/>
      <c r="CM194" s="2867"/>
      <c r="CN194" s="2867"/>
      <c r="CO194" s="2867"/>
      <c r="CP194" s="2867"/>
      <c r="CQ194" s="2867"/>
      <c r="CR194" s="2867"/>
      <c r="CS194" s="2867"/>
      <c r="CT194" s="2867"/>
      <c r="CU194" s="2867"/>
      <c r="CV194" s="2867"/>
      <c r="CW194" s="2867"/>
    </row>
    <row r="195" spans="1:101">
      <c r="A195" s="2867"/>
      <c r="B195" s="2867"/>
      <c r="C195" s="2867"/>
      <c r="D195" s="2867"/>
      <c r="E195" s="2867"/>
      <c r="F195" s="2867"/>
      <c r="G195" s="2867"/>
      <c r="H195" s="2867"/>
      <c r="I195" s="2867"/>
      <c r="J195" s="2867"/>
      <c r="K195" s="2867"/>
      <c r="L195" s="2867"/>
      <c r="M195" s="2867"/>
      <c r="O195" s="2867"/>
      <c r="P195" s="2867"/>
      <c r="Q195" s="2867"/>
      <c r="R195" s="2867"/>
      <c r="S195" s="2867"/>
      <c r="T195" s="2867"/>
      <c r="U195" s="2867"/>
      <c r="V195" s="2867"/>
      <c r="W195" s="2867"/>
      <c r="X195" s="2867"/>
      <c r="Z195" s="2867"/>
      <c r="AA195" s="2867"/>
      <c r="AB195" s="2867"/>
      <c r="AC195" s="2867"/>
      <c r="AD195" s="2867"/>
      <c r="AE195" s="2867"/>
      <c r="AF195" s="2867"/>
      <c r="AG195" s="2867"/>
      <c r="AH195" s="2867"/>
      <c r="AI195" s="2867"/>
      <c r="AJ195" s="2867"/>
      <c r="AK195" s="2867"/>
      <c r="AL195" s="2922"/>
      <c r="AM195" s="2867"/>
      <c r="AN195" s="2867"/>
      <c r="AO195" s="2867"/>
      <c r="AP195" s="2867"/>
      <c r="AQ195" s="2870"/>
      <c r="AR195" s="2870"/>
      <c r="AS195" s="2867"/>
      <c r="AT195" s="2867"/>
      <c r="AU195" s="2867"/>
      <c r="AV195" s="2867"/>
      <c r="AW195" s="2867"/>
      <c r="AX195" s="2867"/>
      <c r="AY195" s="2867"/>
      <c r="AZ195" s="2867"/>
      <c r="BA195" s="2867"/>
      <c r="BB195" s="2867"/>
      <c r="BC195" s="2867"/>
      <c r="BD195" s="2867"/>
      <c r="BE195" s="2867"/>
      <c r="BF195" s="2867"/>
      <c r="BG195" s="2867"/>
      <c r="BH195" s="2867"/>
      <c r="BI195" s="2867"/>
      <c r="BJ195" s="2867"/>
      <c r="BK195" s="2867"/>
      <c r="BL195" s="2867"/>
      <c r="BM195" s="2867"/>
      <c r="BN195" s="2867"/>
      <c r="BO195" s="2867"/>
      <c r="BP195" s="2867"/>
      <c r="BQ195" s="2867"/>
      <c r="BR195" s="2867"/>
      <c r="BS195" s="2867"/>
      <c r="BT195" s="2867"/>
      <c r="BU195" s="2867"/>
      <c r="BV195" s="2867"/>
      <c r="BW195" s="2867"/>
      <c r="BX195" s="2867"/>
      <c r="BY195" s="2867"/>
      <c r="BZ195" s="2867"/>
      <c r="CA195" s="2867"/>
      <c r="CB195" s="2867"/>
      <c r="CC195" s="2867"/>
      <c r="CD195" s="2867"/>
      <c r="CE195" s="2867"/>
      <c r="CF195" s="2867"/>
      <c r="CG195" s="2867"/>
      <c r="CH195" s="2867"/>
      <c r="CI195" s="2867"/>
      <c r="CJ195" s="2867"/>
      <c r="CK195" s="2867"/>
      <c r="CL195" s="2867"/>
      <c r="CM195" s="2867"/>
      <c r="CN195" s="2867"/>
      <c r="CO195" s="2867"/>
      <c r="CP195" s="2867"/>
      <c r="CQ195" s="2867"/>
      <c r="CR195" s="2867"/>
      <c r="CS195" s="2867"/>
      <c r="CT195" s="2867"/>
      <c r="CU195" s="2867"/>
      <c r="CV195" s="2867"/>
      <c r="CW195" s="2867"/>
    </row>
    <row r="196" spans="1:101">
      <c r="A196" s="2867"/>
      <c r="B196" s="2867"/>
      <c r="C196" s="2867"/>
      <c r="D196" s="2867"/>
      <c r="E196" s="2867"/>
      <c r="F196" s="2867"/>
      <c r="G196" s="2867"/>
      <c r="H196" s="2867"/>
      <c r="I196" s="2867"/>
      <c r="J196" s="2867"/>
      <c r="K196" s="2867"/>
      <c r="L196" s="2867"/>
      <c r="M196" s="2867"/>
      <c r="O196" s="2867"/>
      <c r="P196" s="2867"/>
      <c r="Q196" s="2867"/>
      <c r="R196" s="2867"/>
      <c r="S196" s="2867"/>
      <c r="T196" s="2867"/>
      <c r="U196" s="2867"/>
      <c r="V196" s="2867"/>
      <c r="W196" s="2867"/>
      <c r="X196" s="2867"/>
      <c r="Z196" s="2867"/>
      <c r="AA196" s="2867"/>
      <c r="AB196" s="2867"/>
      <c r="AC196" s="2867"/>
      <c r="AD196" s="2867"/>
      <c r="AE196" s="2867"/>
      <c r="AF196" s="2867"/>
      <c r="AG196" s="2867"/>
      <c r="AH196" s="2867"/>
      <c r="AI196" s="2867"/>
      <c r="AJ196" s="2867"/>
      <c r="AK196" s="2910"/>
      <c r="AL196" s="2867"/>
      <c r="AM196" s="2867"/>
      <c r="AN196" s="2867"/>
      <c r="AO196" s="2867"/>
      <c r="AP196" s="2867"/>
      <c r="AQ196" s="2870"/>
      <c r="AR196" s="2870"/>
      <c r="AS196" s="2867"/>
      <c r="AT196" s="2867"/>
      <c r="AU196" s="2867"/>
      <c r="AV196" s="2867"/>
      <c r="AW196" s="2867"/>
      <c r="AX196" s="2867"/>
      <c r="AY196" s="2867"/>
      <c r="AZ196" s="2867"/>
      <c r="BA196" s="2867"/>
      <c r="BB196" s="2867"/>
      <c r="BC196" s="2867"/>
      <c r="BD196" s="2867"/>
      <c r="BE196" s="2867"/>
      <c r="BF196" s="2867"/>
      <c r="BG196" s="2867"/>
      <c r="BH196" s="2867"/>
      <c r="BI196" s="2867"/>
      <c r="BJ196" s="2867"/>
      <c r="BK196" s="2867"/>
      <c r="BL196" s="2867"/>
      <c r="BM196" s="2867"/>
      <c r="BN196" s="2867"/>
      <c r="BO196" s="2867"/>
      <c r="BP196" s="2867"/>
      <c r="BQ196" s="2867"/>
      <c r="BR196" s="2867"/>
      <c r="BS196" s="2867"/>
      <c r="BT196" s="2867"/>
      <c r="BU196" s="2867"/>
      <c r="BV196" s="2867"/>
      <c r="BW196" s="2867"/>
      <c r="BX196" s="2867"/>
      <c r="BY196" s="2867"/>
      <c r="BZ196" s="2867"/>
      <c r="CA196" s="2867"/>
      <c r="CB196" s="2867"/>
      <c r="CC196" s="2867"/>
      <c r="CD196" s="2867"/>
      <c r="CE196" s="2867"/>
      <c r="CF196" s="2867"/>
      <c r="CG196" s="2867"/>
      <c r="CH196" s="2867"/>
      <c r="CI196" s="2867"/>
      <c r="CJ196" s="2867"/>
      <c r="CK196" s="2867"/>
      <c r="CL196" s="2867"/>
      <c r="CM196" s="2867"/>
      <c r="CN196" s="2867"/>
      <c r="CO196" s="2867"/>
      <c r="CP196" s="2867"/>
      <c r="CQ196" s="2867"/>
      <c r="CR196" s="2867"/>
      <c r="CS196" s="2867"/>
      <c r="CT196" s="2867"/>
      <c r="CU196" s="2867"/>
      <c r="CV196" s="2867"/>
      <c r="CW196" s="2867"/>
    </row>
    <row r="197" spans="1:101">
      <c r="A197" s="2867"/>
      <c r="B197" s="2867"/>
      <c r="C197" s="2867"/>
      <c r="D197" s="2867"/>
      <c r="E197" s="2867"/>
      <c r="F197" s="2867"/>
      <c r="G197" s="2867"/>
      <c r="H197" s="2867"/>
      <c r="I197" s="2867"/>
      <c r="J197" s="2867"/>
      <c r="K197" s="2867"/>
      <c r="L197" s="2867"/>
      <c r="M197" s="2867"/>
      <c r="O197" s="2867"/>
      <c r="P197" s="2867"/>
      <c r="Q197" s="2867"/>
      <c r="R197" s="2867"/>
      <c r="S197" s="2867"/>
      <c r="T197" s="2867"/>
      <c r="U197" s="2867"/>
      <c r="V197" s="2867"/>
      <c r="W197" s="2867"/>
      <c r="X197" s="2867"/>
      <c r="Z197" s="2867"/>
      <c r="AA197" s="2867"/>
      <c r="AB197" s="2867"/>
      <c r="AC197" s="2867"/>
      <c r="AD197" s="2867"/>
      <c r="AE197" s="2867"/>
      <c r="AF197" s="2867"/>
      <c r="AG197" s="2867"/>
      <c r="AH197" s="2867"/>
      <c r="AI197" s="2867"/>
      <c r="AJ197" s="2867"/>
      <c r="AK197" s="2867"/>
      <c r="AL197" s="2867"/>
      <c r="AM197" s="2910"/>
      <c r="AN197" s="2867"/>
      <c r="AO197" s="2867"/>
      <c r="AP197" s="2867"/>
      <c r="AQ197" s="2870"/>
      <c r="AR197" s="2870"/>
      <c r="AS197" s="2867"/>
      <c r="AT197" s="2867"/>
      <c r="AU197" s="2867"/>
      <c r="AV197" s="2867"/>
      <c r="AW197" s="2867"/>
      <c r="AX197" s="2867"/>
      <c r="AY197" s="2867"/>
      <c r="AZ197" s="2867"/>
      <c r="BA197" s="2867"/>
      <c r="BB197" s="2867"/>
      <c r="BC197" s="2867"/>
      <c r="BD197" s="2867"/>
      <c r="BE197" s="2867"/>
      <c r="BF197" s="2867"/>
      <c r="BG197" s="2867"/>
      <c r="BH197" s="2867"/>
      <c r="BI197" s="2867"/>
      <c r="BJ197" s="2867"/>
      <c r="BK197" s="2867"/>
      <c r="BL197" s="2867"/>
      <c r="BM197" s="2867"/>
      <c r="BN197" s="2867"/>
      <c r="BO197" s="2867"/>
      <c r="BP197" s="2867"/>
      <c r="BQ197" s="2867"/>
      <c r="BR197" s="2867"/>
      <c r="BS197" s="2867"/>
      <c r="BT197" s="2867"/>
      <c r="BU197" s="2867"/>
      <c r="BV197" s="2867"/>
      <c r="BW197" s="2867"/>
      <c r="BX197" s="2867"/>
      <c r="BY197" s="2867"/>
      <c r="BZ197" s="2867"/>
      <c r="CA197" s="2867"/>
      <c r="CB197" s="2867"/>
      <c r="CC197" s="2867"/>
      <c r="CD197" s="2867"/>
      <c r="CE197" s="2867"/>
      <c r="CF197" s="2867"/>
      <c r="CG197" s="2867"/>
      <c r="CH197" s="2867"/>
      <c r="CI197" s="2867"/>
      <c r="CJ197" s="2867"/>
      <c r="CK197" s="2867"/>
      <c r="CL197" s="2867"/>
      <c r="CM197" s="2867"/>
      <c r="CN197" s="2867"/>
      <c r="CO197" s="2867"/>
      <c r="CP197" s="2867"/>
      <c r="CQ197" s="2867"/>
      <c r="CR197" s="2867"/>
      <c r="CS197" s="2867"/>
      <c r="CT197" s="2867"/>
      <c r="CU197" s="2867"/>
      <c r="CV197" s="2867"/>
      <c r="CW197" s="2867"/>
    </row>
    <row r="198" spans="1:101">
      <c r="A198" s="2867"/>
      <c r="B198" s="2867"/>
      <c r="C198" s="2867"/>
      <c r="D198" s="2867"/>
      <c r="E198" s="2867"/>
      <c r="F198" s="2867"/>
      <c r="G198" s="2867"/>
      <c r="H198" s="2867"/>
      <c r="I198" s="2867"/>
      <c r="J198" s="2867"/>
      <c r="K198" s="2867"/>
      <c r="L198" s="2867"/>
      <c r="M198" s="2867"/>
      <c r="O198" s="2867"/>
      <c r="P198" s="2867"/>
      <c r="Q198" s="2867"/>
      <c r="R198" s="2867"/>
      <c r="S198" s="2867"/>
      <c r="T198" s="2867"/>
      <c r="U198" s="2867"/>
      <c r="V198" s="2867"/>
      <c r="W198" s="2867"/>
      <c r="X198" s="2867"/>
      <c r="Z198" s="2867"/>
      <c r="AA198" s="2867"/>
      <c r="AB198" s="2867"/>
      <c r="AC198" s="2867"/>
      <c r="AD198" s="2867"/>
      <c r="AE198" s="2867"/>
      <c r="AF198" s="2867"/>
      <c r="AG198" s="2867"/>
      <c r="AH198" s="2867"/>
      <c r="AI198" s="2867"/>
      <c r="AJ198" s="2867"/>
      <c r="AK198" s="2867"/>
      <c r="AL198" s="2922"/>
      <c r="AM198" s="2867"/>
      <c r="AN198" s="2867"/>
      <c r="AO198" s="2867"/>
      <c r="AP198" s="2867"/>
      <c r="AQ198" s="2870"/>
      <c r="AR198" s="2870"/>
      <c r="AS198" s="2867"/>
      <c r="AT198" s="2867"/>
      <c r="AU198" s="2867"/>
      <c r="AV198" s="2867"/>
      <c r="AW198" s="2867"/>
      <c r="AX198" s="2867"/>
      <c r="AY198" s="2867"/>
      <c r="AZ198" s="2867"/>
      <c r="BA198" s="2867"/>
      <c r="BB198" s="2867"/>
      <c r="BC198" s="2867"/>
      <c r="BD198" s="2867"/>
      <c r="BE198" s="2867"/>
      <c r="BF198" s="2867"/>
      <c r="BG198" s="2867"/>
      <c r="BH198" s="2867"/>
      <c r="BI198" s="2867"/>
      <c r="BJ198" s="2867"/>
      <c r="BK198" s="2867"/>
      <c r="BL198" s="2867"/>
      <c r="BM198" s="2867"/>
      <c r="BN198" s="2867"/>
      <c r="BO198" s="2867"/>
      <c r="BP198" s="2867"/>
      <c r="BQ198" s="2867"/>
      <c r="BR198" s="2867"/>
      <c r="BS198" s="2867"/>
      <c r="BT198" s="2867"/>
      <c r="BU198" s="2867"/>
      <c r="BV198" s="2867"/>
      <c r="BW198" s="2867"/>
      <c r="BX198" s="2867"/>
      <c r="BY198" s="2867"/>
      <c r="BZ198" s="2867"/>
      <c r="CA198" s="2867"/>
      <c r="CB198" s="2867"/>
      <c r="CC198" s="2867"/>
      <c r="CD198" s="2867"/>
      <c r="CE198" s="2867"/>
      <c r="CF198" s="2867"/>
      <c r="CG198" s="2867"/>
      <c r="CH198" s="2867"/>
      <c r="CI198" s="2867"/>
      <c r="CJ198" s="2867"/>
      <c r="CK198" s="2867"/>
      <c r="CL198" s="2867"/>
      <c r="CM198" s="2867"/>
      <c r="CN198" s="2867"/>
      <c r="CO198" s="2867"/>
      <c r="CP198" s="2867"/>
      <c r="CQ198" s="2867"/>
      <c r="CR198" s="2867"/>
      <c r="CS198" s="2867"/>
      <c r="CT198" s="2867"/>
      <c r="CU198" s="2867"/>
      <c r="CV198" s="2867"/>
      <c r="CW198" s="2867"/>
    </row>
    <row r="199" spans="1:101">
      <c r="A199" s="2867"/>
      <c r="B199" s="2867"/>
      <c r="C199" s="2867"/>
      <c r="D199" s="2867"/>
      <c r="E199" s="2867"/>
      <c r="F199" s="2867"/>
      <c r="G199" s="2867"/>
      <c r="H199" s="2867"/>
      <c r="I199" s="2867"/>
      <c r="J199" s="2867"/>
      <c r="K199" s="2867"/>
      <c r="L199" s="2867"/>
      <c r="M199" s="2867"/>
      <c r="O199" s="2867"/>
      <c r="P199" s="2867"/>
      <c r="Q199" s="2867"/>
      <c r="R199" s="2867"/>
      <c r="S199" s="2867"/>
      <c r="T199" s="2867"/>
      <c r="U199" s="2867"/>
      <c r="V199" s="2867"/>
      <c r="W199" s="2867"/>
      <c r="X199" s="2867"/>
      <c r="Z199" s="2867"/>
      <c r="AA199" s="2867"/>
      <c r="AB199" s="2867"/>
      <c r="AC199" s="2867"/>
      <c r="AD199" s="2867"/>
      <c r="AE199" s="2867"/>
      <c r="AF199" s="2867"/>
      <c r="AG199" s="2867"/>
      <c r="AH199" s="2867"/>
      <c r="AI199" s="2867"/>
      <c r="AJ199" s="2867"/>
      <c r="AK199" s="2867"/>
      <c r="AL199" s="2867"/>
      <c r="AM199" s="2867"/>
      <c r="AN199" s="2867"/>
      <c r="AO199" s="2867"/>
      <c r="AP199" s="2867"/>
      <c r="AQ199" s="2870"/>
      <c r="AR199" s="2870"/>
      <c r="AS199" s="2867"/>
      <c r="AT199" s="2867"/>
      <c r="AU199" s="2867"/>
      <c r="AV199" s="2867"/>
      <c r="AW199" s="2867"/>
      <c r="AX199" s="2867"/>
      <c r="AY199" s="2867"/>
      <c r="AZ199" s="2867"/>
      <c r="BA199" s="2867"/>
      <c r="BB199" s="2867"/>
      <c r="BC199" s="2867"/>
      <c r="BD199" s="2867"/>
      <c r="BE199" s="2867"/>
      <c r="BF199" s="2867"/>
      <c r="BG199" s="2867"/>
      <c r="BH199" s="2867"/>
      <c r="BI199" s="2867"/>
      <c r="BJ199" s="2867"/>
      <c r="BK199" s="2867"/>
      <c r="BL199" s="2867"/>
      <c r="BM199" s="2867"/>
      <c r="BN199" s="2867"/>
      <c r="BO199" s="2867"/>
      <c r="BP199" s="2867"/>
      <c r="BQ199" s="2867"/>
      <c r="BR199" s="2867"/>
      <c r="BS199" s="2867"/>
      <c r="BT199" s="2867"/>
      <c r="BU199" s="2867"/>
      <c r="BV199" s="2867"/>
      <c r="BW199" s="2867"/>
      <c r="BX199" s="2867"/>
      <c r="BY199" s="2867"/>
      <c r="BZ199" s="2867"/>
      <c r="CA199" s="2867"/>
      <c r="CB199" s="2867"/>
      <c r="CC199" s="2867"/>
      <c r="CD199" s="2867"/>
      <c r="CE199" s="2867"/>
      <c r="CF199" s="2867"/>
      <c r="CG199" s="2867"/>
      <c r="CH199" s="2867"/>
      <c r="CI199" s="2867"/>
      <c r="CJ199" s="2867"/>
      <c r="CK199" s="2867"/>
      <c r="CL199" s="2867"/>
      <c r="CM199" s="2867"/>
      <c r="CN199" s="2867"/>
      <c r="CO199" s="2867"/>
      <c r="CP199" s="2867"/>
      <c r="CQ199" s="2867"/>
      <c r="CR199" s="2867"/>
      <c r="CS199" s="2867"/>
      <c r="CT199" s="2867"/>
      <c r="CU199" s="2867"/>
      <c r="CV199" s="2867"/>
      <c r="CW199" s="2867"/>
    </row>
    <row r="200" spans="1:101">
      <c r="A200" s="2867"/>
      <c r="B200" s="2867"/>
      <c r="C200" s="2867"/>
      <c r="D200" s="2867"/>
      <c r="E200" s="2867"/>
      <c r="F200" s="2867"/>
      <c r="G200" s="2867"/>
      <c r="H200" s="2867"/>
      <c r="I200" s="2867"/>
      <c r="J200" s="2867"/>
      <c r="K200" s="2867"/>
      <c r="L200" s="2867"/>
      <c r="M200" s="2867"/>
      <c r="O200" s="2867"/>
      <c r="P200" s="2910"/>
      <c r="Q200" s="2867"/>
      <c r="R200" s="2867"/>
      <c r="S200" s="2867"/>
      <c r="T200" s="2867"/>
      <c r="U200" s="2867"/>
      <c r="V200" s="2867"/>
      <c r="W200" s="2867"/>
      <c r="X200" s="2867"/>
      <c r="Z200" s="2867"/>
      <c r="AA200" s="2867"/>
      <c r="AB200" s="2867"/>
      <c r="AC200" s="2867"/>
      <c r="AD200" s="2867"/>
      <c r="AE200" s="2867"/>
      <c r="AF200" s="2867"/>
      <c r="AG200" s="2867"/>
      <c r="AH200" s="2867"/>
      <c r="AI200" s="2922"/>
      <c r="AJ200" s="2867"/>
      <c r="AK200" s="2867"/>
      <c r="AL200" s="2867"/>
      <c r="AM200" s="2867"/>
      <c r="AN200" s="2867"/>
      <c r="AO200" s="2867"/>
      <c r="AP200" s="2867"/>
      <c r="AQ200" s="2870"/>
      <c r="AR200" s="2947"/>
      <c r="AS200" s="2867"/>
      <c r="AT200" s="2867"/>
      <c r="AU200" s="2867"/>
      <c r="AV200" s="2867"/>
      <c r="AW200" s="2867"/>
      <c r="AX200" s="2867"/>
      <c r="AY200" s="2867"/>
      <c r="AZ200" s="2867"/>
      <c r="BA200" s="2867"/>
      <c r="BB200" s="2867"/>
      <c r="BC200" s="2867"/>
      <c r="BD200" s="2867"/>
      <c r="BE200" s="2867"/>
      <c r="BF200" s="2867"/>
      <c r="BG200" s="2867"/>
      <c r="BH200" s="2867"/>
      <c r="BI200" s="2867"/>
      <c r="BJ200" s="2867"/>
      <c r="BK200" s="2867"/>
      <c r="BL200" s="2867"/>
      <c r="BM200" s="2867"/>
      <c r="BN200" s="2867"/>
      <c r="BO200" s="2867"/>
      <c r="BP200" s="2867"/>
      <c r="BQ200" s="2867"/>
      <c r="BR200" s="2867"/>
      <c r="BS200" s="2867"/>
      <c r="BT200" s="2867"/>
      <c r="BU200" s="2867"/>
      <c r="BV200" s="2867"/>
      <c r="BW200" s="2867"/>
      <c r="BX200" s="2867"/>
      <c r="BY200" s="2867"/>
      <c r="BZ200" s="2867"/>
      <c r="CA200" s="2867"/>
      <c r="CB200" s="2867"/>
      <c r="CC200" s="2867"/>
      <c r="CD200" s="2867"/>
      <c r="CE200" s="2867"/>
      <c r="CF200" s="2867"/>
      <c r="CG200" s="2867"/>
      <c r="CH200" s="2867"/>
      <c r="CI200" s="2867"/>
      <c r="CJ200" s="2867"/>
      <c r="CK200" s="2867"/>
      <c r="CL200" s="2867"/>
      <c r="CM200" s="2867"/>
      <c r="CN200" s="2867"/>
      <c r="CO200" s="2867"/>
      <c r="CP200" s="2867"/>
      <c r="CQ200" s="2867"/>
      <c r="CR200" s="2867"/>
      <c r="CS200" s="2867"/>
      <c r="CT200" s="2867"/>
      <c r="CU200" s="2867"/>
      <c r="CV200" s="2867"/>
      <c r="CW200" s="2867"/>
    </row>
    <row r="201" spans="1:101">
      <c r="A201" s="2910"/>
      <c r="B201" s="2867"/>
      <c r="C201" s="2867"/>
      <c r="D201" s="2867"/>
      <c r="E201" s="2867"/>
      <c r="F201" s="2867"/>
      <c r="G201" s="2867"/>
      <c r="H201" s="2867"/>
      <c r="I201" s="2867"/>
      <c r="J201" s="2867"/>
      <c r="K201" s="2867"/>
      <c r="L201" s="2867"/>
      <c r="M201" s="2867"/>
      <c r="O201" s="2867"/>
      <c r="P201" s="2867"/>
      <c r="Q201" s="2867"/>
      <c r="R201" s="2867"/>
      <c r="S201" s="2867"/>
      <c r="T201" s="2867"/>
      <c r="U201" s="2935"/>
      <c r="V201" s="2867"/>
      <c r="W201" s="2867"/>
      <c r="X201" s="2867"/>
      <c r="Z201" s="2867"/>
      <c r="AA201" s="2867"/>
      <c r="AB201" s="2867"/>
      <c r="AC201" s="2867"/>
      <c r="AD201" s="2867"/>
      <c r="AE201" s="2867"/>
      <c r="AF201" s="2867"/>
      <c r="AG201" s="2867"/>
      <c r="AH201" s="2867"/>
      <c r="AI201" s="2922"/>
      <c r="AJ201" s="2867"/>
      <c r="AK201" s="2867"/>
      <c r="AL201" s="2867"/>
      <c r="AM201" s="2867"/>
      <c r="AN201" s="2867"/>
      <c r="AO201" s="2867"/>
      <c r="AP201" s="2867"/>
      <c r="AQ201" s="2870"/>
      <c r="AR201" s="2947"/>
      <c r="AS201" s="2867"/>
      <c r="AT201" s="2867"/>
      <c r="AU201" s="2867"/>
      <c r="AV201" s="2867"/>
      <c r="AW201" s="2867"/>
      <c r="AX201" s="2867"/>
      <c r="AY201" s="2867"/>
      <c r="AZ201" s="2867"/>
      <c r="BA201" s="2867"/>
      <c r="BB201" s="2867"/>
      <c r="BC201" s="2867"/>
      <c r="BD201" s="2867"/>
      <c r="BE201" s="2867"/>
      <c r="BF201" s="2867"/>
      <c r="BG201" s="2867"/>
      <c r="BH201" s="2867"/>
      <c r="BI201" s="2867"/>
      <c r="BJ201" s="2867"/>
      <c r="BK201" s="2867"/>
      <c r="BL201" s="2867"/>
      <c r="BM201" s="2867"/>
      <c r="BN201" s="2867"/>
      <c r="BO201" s="2867"/>
      <c r="BP201" s="2867"/>
      <c r="BQ201" s="2867"/>
      <c r="BR201" s="2867"/>
      <c r="BS201" s="2867"/>
      <c r="BT201" s="2867"/>
      <c r="BU201" s="2867"/>
      <c r="BV201" s="2867"/>
      <c r="BW201" s="2867"/>
      <c r="BX201" s="2867"/>
      <c r="BY201" s="2867"/>
      <c r="BZ201" s="2867"/>
      <c r="CA201" s="2867"/>
      <c r="CB201" s="2867"/>
      <c r="CC201" s="2867"/>
      <c r="CD201" s="2867"/>
      <c r="CE201" s="2867"/>
      <c r="CF201" s="2867"/>
      <c r="CG201" s="2867"/>
      <c r="CH201" s="2867"/>
      <c r="CI201" s="2867"/>
      <c r="CJ201" s="2867"/>
      <c r="CK201" s="2867"/>
      <c r="CL201" s="2867"/>
      <c r="CM201" s="2867"/>
      <c r="CN201" s="2867"/>
      <c r="CO201" s="2867"/>
      <c r="CP201" s="2867"/>
      <c r="CQ201" s="2867"/>
      <c r="CR201" s="2867"/>
      <c r="CS201" s="2867"/>
      <c r="CT201" s="2867"/>
      <c r="CU201" s="2867"/>
      <c r="CV201" s="2867"/>
      <c r="CW201" s="2867"/>
    </row>
    <row r="202" spans="1:101">
      <c r="A202" s="2867"/>
      <c r="B202" s="2910"/>
      <c r="C202" s="2867"/>
      <c r="D202" s="2867"/>
      <c r="E202" s="2867"/>
      <c r="F202" s="2867"/>
      <c r="G202" s="2867"/>
      <c r="H202" s="2867"/>
      <c r="I202" s="2867"/>
      <c r="J202" s="2867"/>
      <c r="K202" s="2867"/>
      <c r="L202" s="2867"/>
      <c r="M202" s="2867"/>
      <c r="O202" s="2867"/>
      <c r="P202" s="2867"/>
      <c r="Q202" s="2867"/>
      <c r="R202" s="2867"/>
      <c r="S202" s="2867"/>
      <c r="T202" s="2867"/>
      <c r="U202" s="2938"/>
      <c r="V202" s="2867"/>
      <c r="W202" s="2867"/>
      <c r="X202" s="2867"/>
      <c r="Z202" s="2867"/>
      <c r="AA202" s="2867"/>
      <c r="AB202" s="2867"/>
      <c r="AC202" s="2867"/>
      <c r="AD202" s="2867"/>
      <c r="AE202" s="2867"/>
      <c r="AF202" s="2867"/>
      <c r="AG202" s="2867"/>
      <c r="AH202" s="2867"/>
      <c r="AI202" s="2910"/>
      <c r="AJ202" s="2867"/>
      <c r="AK202" s="2867"/>
      <c r="AL202" s="2867"/>
      <c r="AM202" s="2867"/>
      <c r="AN202" s="2867"/>
      <c r="AO202" s="2867"/>
      <c r="AP202" s="2867"/>
      <c r="AQ202" s="2870"/>
      <c r="AR202" s="2947"/>
      <c r="AS202" s="2867"/>
      <c r="AT202" s="2867"/>
      <c r="AU202" s="2867"/>
      <c r="AV202" s="2867"/>
      <c r="AW202" s="2867"/>
      <c r="AX202" s="2867"/>
      <c r="AY202" s="2867"/>
      <c r="AZ202" s="2867"/>
      <c r="BA202" s="2867"/>
      <c r="BB202" s="2867"/>
      <c r="BC202" s="2867"/>
      <c r="BD202" s="2867"/>
      <c r="BE202" s="2867"/>
      <c r="BF202" s="2867"/>
      <c r="BG202" s="2867"/>
      <c r="BH202" s="2867"/>
      <c r="BI202" s="2867"/>
      <c r="BJ202" s="2867"/>
      <c r="BK202" s="2867"/>
      <c r="BL202" s="2867"/>
      <c r="BM202" s="2867"/>
      <c r="BN202" s="2867"/>
      <c r="BO202" s="2867"/>
      <c r="BP202" s="2867"/>
      <c r="BQ202" s="2867"/>
      <c r="BR202" s="2867"/>
      <c r="BS202" s="2867"/>
      <c r="BT202" s="2867"/>
      <c r="BU202" s="2867"/>
      <c r="BV202" s="2867"/>
      <c r="BW202" s="2867"/>
      <c r="BX202" s="2867"/>
      <c r="BY202" s="2867"/>
      <c r="BZ202" s="2867"/>
      <c r="CA202" s="2867"/>
      <c r="CB202" s="2867"/>
      <c r="CC202" s="2867"/>
      <c r="CD202" s="2867"/>
      <c r="CE202" s="2867"/>
      <c r="CF202" s="2867"/>
      <c r="CG202" s="2867"/>
      <c r="CH202" s="2867"/>
      <c r="CI202" s="2867"/>
      <c r="CJ202" s="2867"/>
      <c r="CK202" s="2867"/>
      <c r="CL202" s="2867"/>
      <c r="CM202" s="2867"/>
      <c r="CN202" s="2867"/>
      <c r="CO202" s="2867"/>
      <c r="CP202" s="2867"/>
      <c r="CQ202" s="2867"/>
      <c r="CR202" s="2867"/>
      <c r="CS202" s="2867"/>
      <c r="CT202" s="2867"/>
      <c r="CU202" s="2867"/>
      <c r="CV202" s="2867"/>
      <c r="CW202" s="2867"/>
    </row>
    <row r="203" spans="1:101">
      <c r="A203" s="2935"/>
      <c r="B203" s="2867"/>
      <c r="C203" s="2867"/>
      <c r="D203" s="2867"/>
      <c r="E203" s="2867"/>
      <c r="F203" s="2867"/>
      <c r="G203" s="2867"/>
      <c r="H203" s="2867"/>
      <c r="I203" s="2867"/>
      <c r="J203" s="2867"/>
      <c r="K203" s="2867"/>
      <c r="L203" s="2867"/>
      <c r="M203" s="2867"/>
      <c r="O203" s="2910"/>
      <c r="P203" s="2867"/>
      <c r="Q203" s="2867"/>
      <c r="R203" s="2867"/>
      <c r="S203" s="2867"/>
      <c r="T203" s="2867"/>
      <c r="U203" s="2935"/>
      <c r="V203" s="2867"/>
      <c r="W203" s="2867"/>
      <c r="X203" s="2867"/>
      <c r="Z203" s="2867"/>
      <c r="AA203" s="2867"/>
      <c r="AB203" s="2867"/>
      <c r="AC203" s="2867"/>
      <c r="AD203" s="2867"/>
      <c r="AE203" s="2867"/>
      <c r="AF203" s="2867"/>
      <c r="AG203" s="2867"/>
      <c r="AH203" s="2867"/>
      <c r="AI203" s="2867"/>
      <c r="AJ203" s="2867"/>
      <c r="AK203" s="2867"/>
      <c r="AL203" s="2867"/>
      <c r="AM203" s="2867"/>
      <c r="AN203" s="2867"/>
      <c r="AO203" s="2867"/>
      <c r="AP203" s="2867"/>
      <c r="AQ203" s="2870"/>
      <c r="AR203" s="2935"/>
      <c r="AS203" s="2867"/>
      <c r="AT203" s="2867"/>
      <c r="AU203" s="2867"/>
      <c r="AV203" s="2867"/>
      <c r="AW203" s="2867"/>
      <c r="AX203" s="2867"/>
      <c r="AY203" s="2867"/>
      <c r="AZ203" s="2867"/>
      <c r="BA203" s="2867"/>
      <c r="BB203" s="2867"/>
      <c r="BC203" s="2867"/>
      <c r="BD203" s="2867"/>
      <c r="BE203" s="2867"/>
      <c r="BF203" s="2867"/>
      <c r="BG203" s="2867"/>
      <c r="BH203" s="2867"/>
      <c r="BI203" s="2867"/>
      <c r="BJ203" s="2867"/>
      <c r="BK203" s="2867"/>
      <c r="BL203" s="2867"/>
      <c r="BM203" s="2867"/>
      <c r="BN203" s="2867"/>
      <c r="BO203" s="2867"/>
      <c r="BP203" s="2867"/>
      <c r="BQ203" s="2867"/>
      <c r="BR203" s="2867"/>
      <c r="BS203" s="2867"/>
      <c r="BT203" s="2867"/>
      <c r="BU203" s="2867"/>
      <c r="BV203" s="2867"/>
      <c r="BW203" s="2867"/>
      <c r="BX203" s="2867"/>
      <c r="BY203" s="2867"/>
      <c r="BZ203" s="2867"/>
      <c r="CA203" s="2867"/>
      <c r="CB203" s="2867"/>
      <c r="CC203" s="2867"/>
      <c r="CD203" s="2867"/>
      <c r="CE203" s="2867"/>
      <c r="CF203" s="2867"/>
      <c r="CG203" s="2867"/>
      <c r="CH203" s="2867"/>
      <c r="CI203" s="2867"/>
      <c r="CJ203" s="2867"/>
      <c r="CK203" s="2867"/>
      <c r="CL203" s="2867"/>
      <c r="CM203" s="2867"/>
      <c r="CN203" s="2867"/>
      <c r="CO203" s="2867"/>
      <c r="CP203" s="2867"/>
      <c r="CQ203" s="2867"/>
      <c r="CR203" s="2867"/>
      <c r="CS203" s="2867"/>
      <c r="CT203" s="2867"/>
      <c r="CU203" s="2867"/>
      <c r="CV203" s="2867"/>
      <c r="CW203" s="2867"/>
    </row>
    <row r="204" spans="1:101">
      <c r="A204" s="2867"/>
      <c r="B204" s="2867"/>
      <c r="C204" s="2867"/>
      <c r="D204" s="2867"/>
      <c r="E204" s="2867"/>
      <c r="F204" s="2867"/>
      <c r="G204" s="2867"/>
      <c r="H204" s="2867"/>
      <c r="I204" s="2867"/>
      <c r="J204" s="2867"/>
      <c r="K204" s="2867"/>
      <c r="L204" s="2867"/>
      <c r="M204" s="2867"/>
      <c r="O204" s="2867"/>
      <c r="P204" s="2867"/>
      <c r="Q204" s="2867"/>
      <c r="R204" s="2867"/>
      <c r="S204" s="2867"/>
      <c r="T204" s="2867"/>
      <c r="U204" s="2867"/>
      <c r="V204" s="2867"/>
      <c r="W204" s="2867"/>
      <c r="X204" s="2867"/>
      <c r="Z204" s="2867"/>
      <c r="AA204" s="2867"/>
      <c r="AB204" s="2867"/>
      <c r="AC204" s="2867"/>
      <c r="AD204" s="2867"/>
      <c r="AE204" s="2867"/>
      <c r="AF204" s="2867"/>
      <c r="AG204" s="2867"/>
      <c r="AH204" s="2867"/>
      <c r="AI204" s="2938"/>
      <c r="AJ204" s="2938"/>
      <c r="AK204" s="2938"/>
      <c r="AL204" s="2938"/>
      <c r="AM204" s="2938"/>
      <c r="AN204" s="2938"/>
      <c r="AO204" s="2938"/>
      <c r="AP204" s="2938"/>
      <c r="AQ204" s="2943"/>
      <c r="AR204" s="2943"/>
      <c r="AS204" s="2938"/>
      <c r="AT204" s="2867"/>
      <c r="AU204" s="2867"/>
      <c r="AV204" s="2867"/>
      <c r="AW204" s="2867"/>
      <c r="AX204" s="2867"/>
      <c r="AY204" s="2867"/>
      <c r="AZ204" s="2867"/>
      <c r="BA204" s="2867"/>
      <c r="BB204" s="2867"/>
      <c r="BC204" s="2867"/>
      <c r="BD204" s="2867"/>
      <c r="BE204" s="2867"/>
      <c r="BF204" s="2867"/>
      <c r="BG204" s="2867"/>
      <c r="BH204" s="2867"/>
      <c r="BI204" s="2867"/>
      <c r="BJ204" s="2867"/>
      <c r="BK204" s="2867"/>
      <c r="BL204" s="2867"/>
      <c r="BM204" s="2867"/>
      <c r="BN204" s="2867"/>
      <c r="BO204" s="2867"/>
      <c r="BP204" s="2867"/>
      <c r="BQ204" s="2867"/>
      <c r="BR204" s="2867"/>
      <c r="BS204" s="2867"/>
      <c r="BT204" s="2867"/>
      <c r="BU204" s="2867"/>
      <c r="BV204" s="2867"/>
      <c r="BW204" s="2867"/>
      <c r="BX204" s="2867"/>
      <c r="BY204" s="2867"/>
      <c r="BZ204" s="2867"/>
      <c r="CA204" s="2867"/>
      <c r="CB204" s="2867"/>
      <c r="CC204" s="2867"/>
      <c r="CD204" s="2867"/>
      <c r="CE204" s="2867"/>
      <c r="CF204" s="2867"/>
      <c r="CG204" s="2867"/>
      <c r="CH204" s="2867"/>
      <c r="CI204" s="2867"/>
      <c r="CJ204" s="2867"/>
      <c r="CK204" s="2867"/>
      <c r="CL204" s="2867"/>
      <c r="CM204" s="2867"/>
      <c r="CN204" s="2867"/>
      <c r="CO204" s="2867"/>
      <c r="CP204" s="2867"/>
      <c r="CQ204" s="2867"/>
      <c r="CR204" s="2867"/>
      <c r="CS204" s="2867"/>
      <c r="CT204" s="2867"/>
      <c r="CU204" s="2867"/>
      <c r="CV204" s="2867"/>
      <c r="CW204" s="2867"/>
    </row>
    <row r="205" spans="1:101">
      <c r="A205" s="2910"/>
      <c r="B205" s="2910"/>
      <c r="C205" s="2867"/>
      <c r="D205" s="2867"/>
      <c r="E205" s="2867"/>
      <c r="F205" s="2867"/>
      <c r="G205" s="2867"/>
      <c r="H205" s="2867"/>
      <c r="I205" s="2867"/>
      <c r="J205" s="2867"/>
      <c r="K205" s="2867"/>
      <c r="L205" s="2867"/>
      <c r="M205" s="2867"/>
      <c r="O205" s="2910"/>
      <c r="P205" s="2867"/>
      <c r="Q205" s="2867"/>
      <c r="R205" s="2867"/>
      <c r="S205" s="2867"/>
      <c r="T205" s="2867"/>
      <c r="U205" s="2935"/>
      <c r="V205" s="2867"/>
      <c r="W205" s="2867"/>
      <c r="X205" s="2867"/>
      <c r="Z205" s="2867"/>
      <c r="AA205" s="2867"/>
      <c r="AB205" s="2867"/>
      <c r="AC205" s="2867"/>
      <c r="AD205" s="2867"/>
      <c r="AE205" s="2867"/>
      <c r="AF205" s="2867"/>
      <c r="AG205" s="2867"/>
      <c r="AH205" s="2867"/>
      <c r="AI205" s="2867"/>
      <c r="AJ205" s="2867"/>
      <c r="AK205" s="2867"/>
      <c r="AL205" s="2867"/>
      <c r="AM205" s="2867"/>
      <c r="AN205" s="2867"/>
      <c r="AO205" s="2867"/>
      <c r="AP205" s="2867"/>
      <c r="AQ205" s="2867"/>
      <c r="AR205" s="2867"/>
      <c r="AS205" s="2935"/>
      <c r="AT205" s="2867"/>
      <c r="AU205" s="2867"/>
      <c r="AV205" s="2867"/>
      <c r="AW205" s="2867"/>
      <c r="AX205" s="2867"/>
      <c r="AY205" s="2867"/>
      <c r="AZ205" s="2867"/>
      <c r="BA205" s="2867"/>
      <c r="BB205" s="2867"/>
      <c r="BC205" s="2867"/>
      <c r="BD205" s="2867"/>
      <c r="BE205" s="2867"/>
      <c r="BF205" s="2867"/>
      <c r="BG205" s="2867"/>
      <c r="BH205" s="2867"/>
      <c r="BI205" s="2867"/>
      <c r="BJ205" s="2867"/>
      <c r="BK205" s="2867"/>
      <c r="BL205" s="2867"/>
      <c r="BM205" s="2867"/>
      <c r="BN205" s="2867"/>
      <c r="BO205" s="2867"/>
      <c r="BP205" s="2867"/>
      <c r="BQ205" s="2867"/>
      <c r="BR205" s="2867"/>
      <c r="BS205" s="2867"/>
      <c r="BT205" s="2867"/>
      <c r="BU205" s="2867"/>
      <c r="BV205" s="2867"/>
      <c r="BW205" s="2867"/>
      <c r="BX205" s="2867"/>
      <c r="BY205" s="2867"/>
      <c r="BZ205" s="2867"/>
      <c r="CA205" s="2867"/>
      <c r="CB205" s="2867"/>
      <c r="CC205" s="2867"/>
      <c r="CD205" s="2867"/>
      <c r="CE205" s="2867"/>
      <c r="CF205" s="2867"/>
      <c r="CG205" s="2867"/>
      <c r="CH205" s="2867"/>
      <c r="CI205" s="2867"/>
      <c r="CJ205" s="2867"/>
      <c r="CK205" s="2867"/>
      <c r="CL205" s="2867"/>
      <c r="CM205" s="2867"/>
      <c r="CN205" s="2867"/>
      <c r="CO205" s="2867"/>
      <c r="CP205" s="2867"/>
      <c r="CQ205" s="2867"/>
      <c r="CR205" s="2867"/>
      <c r="CS205" s="2867"/>
      <c r="CT205" s="2867"/>
      <c r="CU205" s="2867"/>
      <c r="CV205" s="2867"/>
      <c r="CW205" s="2867"/>
    </row>
    <row r="206" spans="1:101">
      <c r="A206" s="2867"/>
      <c r="B206" s="2910"/>
      <c r="C206" s="2867"/>
      <c r="D206" s="2867"/>
      <c r="E206" s="2867"/>
      <c r="F206" s="2867"/>
      <c r="G206" s="2867"/>
      <c r="H206" s="2867"/>
      <c r="I206" s="2867"/>
      <c r="J206" s="2867"/>
      <c r="K206" s="2867"/>
      <c r="L206" s="2867"/>
      <c r="M206" s="2867"/>
      <c r="O206" s="2867"/>
      <c r="P206" s="2867"/>
      <c r="Q206" s="2867"/>
      <c r="R206" s="2867"/>
      <c r="S206" s="2867"/>
      <c r="T206" s="2867"/>
      <c r="U206" s="2867"/>
      <c r="V206" s="2867"/>
      <c r="W206" s="2867"/>
      <c r="X206" s="2867"/>
      <c r="Z206" s="2867"/>
      <c r="AA206" s="2867"/>
      <c r="AB206" s="2867"/>
      <c r="AC206" s="2867"/>
      <c r="AD206" s="2867"/>
      <c r="AE206" s="2867"/>
      <c r="AF206" s="2867"/>
      <c r="AG206" s="2867"/>
      <c r="AH206" s="2867"/>
      <c r="AI206" s="2935"/>
      <c r="AJ206" s="2935"/>
      <c r="AK206" s="2867"/>
      <c r="AL206" s="2867"/>
      <c r="AM206" s="2867"/>
      <c r="AN206" s="2867"/>
      <c r="AO206" s="2867"/>
      <c r="AP206" s="2867"/>
      <c r="AQ206" s="2867"/>
      <c r="AR206" s="2935"/>
      <c r="AS206" s="2935"/>
      <c r="AT206" s="2867"/>
      <c r="AU206" s="2867"/>
      <c r="AV206" s="2867"/>
      <c r="AW206" s="2867"/>
      <c r="AX206" s="2867"/>
      <c r="AY206" s="2867"/>
      <c r="AZ206" s="2867"/>
      <c r="BA206" s="2867"/>
      <c r="BB206" s="2867"/>
      <c r="BC206" s="2867"/>
      <c r="BD206" s="2867"/>
      <c r="BE206" s="2867"/>
      <c r="BF206" s="2867"/>
      <c r="BG206" s="2867"/>
      <c r="BH206" s="2867"/>
      <c r="BI206" s="2867"/>
      <c r="BJ206" s="2867"/>
      <c r="BK206" s="2867"/>
      <c r="BL206" s="2867"/>
      <c r="BM206" s="2867"/>
      <c r="BN206" s="2867"/>
      <c r="BO206" s="2867"/>
      <c r="BP206" s="2867"/>
      <c r="BQ206" s="2867"/>
      <c r="BR206" s="2867"/>
      <c r="BS206" s="2867"/>
      <c r="BT206" s="2867"/>
      <c r="BU206" s="2867"/>
      <c r="BV206" s="2867"/>
      <c r="BW206" s="2867"/>
      <c r="BX206" s="2867"/>
      <c r="BY206" s="2867"/>
      <c r="BZ206" s="2867"/>
      <c r="CA206" s="2867"/>
      <c r="CB206" s="2867"/>
      <c r="CC206" s="2867"/>
      <c r="CD206" s="2867"/>
      <c r="CE206" s="2867"/>
      <c r="CF206" s="2867"/>
      <c r="CG206" s="2867"/>
      <c r="CH206" s="2867"/>
      <c r="CI206" s="2867"/>
      <c r="CJ206" s="2867"/>
      <c r="CK206" s="2867"/>
      <c r="CL206" s="2867"/>
      <c r="CM206" s="2867"/>
      <c r="CN206" s="2867"/>
      <c r="CO206" s="2867"/>
      <c r="CP206" s="2867"/>
      <c r="CQ206" s="2867"/>
      <c r="CR206" s="2867"/>
      <c r="CS206" s="2867"/>
      <c r="CT206" s="2867"/>
      <c r="CU206" s="2867"/>
      <c r="CV206" s="2867"/>
      <c r="CW206" s="2867"/>
    </row>
    <row r="207" spans="1:101">
      <c r="A207" s="2867"/>
      <c r="B207" s="2910"/>
      <c r="C207" s="2867"/>
      <c r="D207" s="2867"/>
      <c r="E207" s="2867"/>
      <c r="F207" s="2867"/>
      <c r="G207" s="2867"/>
      <c r="H207" s="2867"/>
      <c r="I207" s="2867"/>
      <c r="J207" s="2867"/>
      <c r="K207" s="2867"/>
      <c r="L207" s="2867"/>
      <c r="M207" s="2867"/>
      <c r="O207" s="2910"/>
      <c r="P207" s="2867"/>
      <c r="Q207" s="2867"/>
      <c r="R207" s="2867"/>
      <c r="S207" s="2867"/>
      <c r="T207" s="2867"/>
      <c r="U207" s="2935"/>
      <c r="V207" s="2867"/>
      <c r="W207" s="2867"/>
      <c r="X207" s="2867"/>
      <c r="Z207" s="2867"/>
      <c r="AA207" s="2867"/>
      <c r="AB207" s="2867"/>
      <c r="AC207" s="2867"/>
      <c r="AD207" s="2867"/>
      <c r="AE207" s="2867"/>
      <c r="AF207" s="2867"/>
      <c r="AG207" s="2867"/>
      <c r="AH207" s="2867"/>
      <c r="AI207" s="2935"/>
      <c r="AJ207" s="2935"/>
      <c r="AK207" s="2935"/>
      <c r="AL207" s="2867"/>
      <c r="AM207" s="2867"/>
      <c r="AN207" s="2867"/>
      <c r="AO207" s="2867"/>
      <c r="AP207" s="2867"/>
      <c r="AQ207" s="2935"/>
      <c r="AR207" s="2935"/>
      <c r="AS207" s="2935"/>
      <c r="AT207" s="2867"/>
      <c r="AU207" s="2867"/>
      <c r="AV207" s="2867"/>
      <c r="AW207" s="2867"/>
      <c r="AX207" s="2867"/>
      <c r="AY207" s="2867"/>
      <c r="AZ207" s="2867"/>
      <c r="BA207" s="2867"/>
      <c r="BB207" s="2867"/>
      <c r="BC207" s="2867"/>
      <c r="BD207" s="2867"/>
      <c r="BE207" s="2867"/>
      <c r="BF207" s="2867"/>
      <c r="BG207" s="2867"/>
      <c r="BH207" s="2867"/>
      <c r="BI207" s="2867"/>
      <c r="BJ207" s="2867"/>
      <c r="BK207" s="2867"/>
      <c r="BL207" s="2867"/>
      <c r="BM207" s="2867"/>
      <c r="BN207" s="2867"/>
      <c r="BO207" s="2867"/>
      <c r="BP207" s="2867"/>
      <c r="BQ207" s="2867"/>
      <c r="BR207" s="2867"/>
      <c r="BS207" s="2867"/>
      <c r="BT207" s="2867"/>
      <c r="BU207" s="2867"/>
      <c r="BV207" s="2867"/>
      <c r="BW207" s="2867"/>
      <c r="BX207" s="2867"/>
      <c r="BY207" s="2867"/>
      <c r="BZ207" s="2867"/>
      <c r="CA207" s="2867"/>
      <c r="CB207" s="2867"/>
      <c r="CC207" s="2867"/>
      <c r="CD207" s="2867"/>
      <c r="CE207" s="2867"/>
      <c r="CF207" s="2867"/>
      <c r="CG207" s="2867"/>
      <c r="CH207" s="2867"/>
      <c r="CI207" s="2867"/>
      <c r="CJ207" s="2867"/>
      <c r="CK207" s="2867"/>
      <c r="CL207" s="2867"/>
      <c r="CM207" s="2867"/>
      <c r="CN207" s="2867"/>
      <c r="CO207" s="2867"/>
      <c r="CP207" s="2867"/>
      <c r="CQ207" s="2867"/>
      <c r="CR207" s="2867"/>
      <c r="CS207" s="2867"/>
      <c r="CT207" s="2867"/>
      <c r="CU207" s="2867"/>
      <c r="CV207" s="2867"/>
      <c r="CW207" s="2867"/>
    </row>
    <row r="208" spans="1:101">
      <c r="A208" s="2867"/>
      <c r="B208" s="2910"/>
      <c r="C208" s="2867"/>
      <c r="D208" s="2867"/>
      <c r="E208" s="2867"/>
      <c r="F208" s="2867"/>
      <c r="G208" s="2867"/>
      <c r="H208" s="2867"/>
      <c r="I208" s="2867"/>
      <c r="J208" s="2867"/>
      <c r="K208" s="2867"/>
      <c r="L208" s="2867"/>
      <c r="M208" s="2867"/>
      <c r="O208" s="2867"/>
      <c r="P208" s="2867"/>
      <c r="Q208" s="2867"/>
      <c r="R208" s="2867"/>
      <c r="S208" s="2867"/>
      <c r="T208" s="2867"/>
      <c r="U208" s="2867"/>
      <c r="V208" s="2867"/>
      <c r="W208" s="2867"/>
      <c r="X208" s="2867"/>
      <c r="Z208" s="2867"/>
      <c r="AA208" s="2867"/>
      <c r="AB208" s="2867"/>
      <c r="AC208" s="2867"/>
      <c r="AD208" s="2867"/>
      <c r="AE208" s="2867"/>
      <c r="AF208" s="2867"/>
      <c r="AG208" s="2867"/>
      <c r="AH208" s="2867"/>
      <c r="AI208" s="2867"/>
      <c r="AJ208" s="2867"/>
      <c r="AK208" s="2867"/>
      <c r="AL208" s="2867"/>
      <c r="AM208" s="2867"/>
      <c r="AN208" s="2867"/>
      <c r="AO208" s="2867"/>
      <c r="AP208" s="2867"/>
      <c r="AQ208" s="2867"/>
      <c r="AR208" s="2867"/>
      <c r="AS208" s="2935"/>
      <c r="AT208" s="2867"/>
      <c r="AU208" s="2867"/>
      <c r="AV208" s="2867"/>
      <c r="AW208" s="2867"/>
      <c r="AX208" s="2867"/>
      <c r="AY208" s="2867"/>
      <c r="AZ208" s="2867"/>
      <c r="BA208" s="2867"/>
      <c r="BB208" s="2867"/>
      <c r="BC208" s="2867"/>
      <c r="BD208" s="2867"/>
      <c r="BE208" s="2867"/>
      <c r="BF208" s="2867"/>
      <c r="BG208" s="2867"/>
      <c r="BH208" s="2867"/>
      <c r="BI208" s="2867"/>
      <c r="BJ208" s="2867"/>
      <c r="BK208" s="2867"/>
      <c r="BL208" s="2867"/>
      <c r="BM208" s="2867"/>
      <c r="BN208" s="2867"/>
      <c r="BO208" s="2867"/>
      <c r="BP208" s="2867"/>
      <c r="BQ208" s="2867"/>
      <c r="BR208" s="2867"/>
      <c r="BS208" s="2867"/>
      <c r="BT208" s="2867"/>
      <c r="BU208" s="2867"/>
      <c r="BV208" s="2867"/>
      <c r="BW208" s="2867"/>
      <c r="BX208" s="2867"/>
      <c r="BY208" s="2867"/>
      <c r="BZ208" s="2867"/>
      <c r="CA208" s="2867"/>
      <c r="CB208" s="2867"/>
      <c r="CC208" s="2867"/>
      <c r="CD208" s="2867"/>
      <c r="CE208" s="2867"/>
      <c r="CF208" s="2867"/>
      <c r="CG208" s="2867"/>
      <c r="CH208" s="2867"/>
      <c r="CI208" s="2867"/>
      <c r="CJ208" s="2867"/>
      <c r="CK208" s="2867"/>
      <c r="CL208" s="2867"/>
      <c r="CM208" s="2867"/>
      <c r="CN208" s="2867"/>
      <c r="CO208" s="2867"/>
      <c r="CP208" s="2867"/>
      <c r="CQ208" s="2867"/>
      <c r="CR208" s="2867"/>
      <c r="CS208" s="2867"/>
      <c r="CT208" s="2867"/>
      <c r="CU208" s="2867"/>
      <c r="CV208" s="2867"/>
      <c r="CW208" s="2867"/>
    </row>
    <row r="209" spans="1:101">
      <c r="A209" s="2867"/>
      <c r="B209" s="2910"/>
      <c r="C209" s="2867"/>
      <c r="D209" s="2867"/>
      <c r="E209" s="2867"/>
      <c r="F209" s="2867"/>
      <c r="G209" s="2867"/>
      <c r="H209" s="2867"/>
      <c r="I209" s="2867"/>
      <c r="J209" s="2867"/>
      <c r="K209" s="2867"/>
      <c r="L209" s="2867"/>
      <c r="M209" s="2867"/>
      <c r="O209" s="2910"/>
      <c r="P209" s="2867"/>
      <c r="Q209" s="2867"/>
      <c r="R209" s="2867"/>
      <c r="S209" s="2867"/>
      <c r="T209" s="2867"/>
      <c r="U209" s="2935"/>
      <c r="V209" s="2867"/>
      <c r="W209" s="2867"/>
      <c r="X209" s="2867"/>
      <c r="Z209" s="2867"/>
      <c r="AA209" s="2867"/>
      <c r="AB209" s="2867"/>
      <c r="AC209" s="2867"/>
      <c r="AD209" s="2867"/>
      <c r="AE209" s="2867"/>
      <c r="AF209" s="2867"/>
      <c r="AG209" s="2867"/>
      <c r="AH209" s="2867"/>
      <c r="AI209" s="2938"/>
      <c r="AJ209" s="2938"/>
      <c r="AK209" s="2938"/>
      <c r="AL209" s="2938"/>
      <c r="AM209" s="2938"/>
      <c r="AN209" s="2938"/>
      <c r="AO209" s="2938"/>
      <c r="AP209" s="2938"/>
      <c r="AQ209" s="2938"/>
      <c r="AR209" s="2938"/>
      <c r="AS209" s="2938"/>
      <c r="AT209" s="2867"/>
      <c r="AU209" s="2867"/>
      <c r="AV209" s="2867"/>
      <c r="AW209" s="2867"/>
      <c r="AX209" s="2867"/>
      <c r="AY209" s="2867"/>
      <c r="AZ209" s="2867"/>
      <c r="BA209" s="2867"/>
      <c r="BB209" s="2867"/>
      <c r="BC209" s="2867"/>
      <c r="BD209" s="2867"/>
      <c r="BE209" s="2867"/>
      <c r="BF209" s="2867"/>
      <c r="BG209" s="2867"/>
      <c r="BH209" s="2867"/>
      <c r="BI209" s="2867"/>
      <c r="BJ209" s="2867"/>
      <c r="BK209" s="2867"/>
      <c r="BL209" s="2867"/>
      <c r="BM209" s="2867"/>
      <c r="BN209" s="2867"/>
      <c r="BO209" s="2867"/>
      <c r="BP209" s="2867"/>
      <c r="BQ209" s="2867"/>
      <c r="BR209" s="2867"/>
      <c r="BS209" s="2867"/>
      <c r="BT209" s="2867"/>
      <c r="BU209" s="2867"/>
      <c r="BV209" s="2867"/>
      <c r="BW209" s="2867"/>
      <c r="BX209" s="2867"/>
      <c r="BY209" s="2867"/>
      <c r="BZ209" s="2867"/>
      <c r="CA209" s="2867"/>
      <c r="CB209" s="2867"/>
      <c r="CC209" s="2867"/>
      <c r="CD209" s="2867"/>
      <c r="CE209" s="2867"/>
      <c r="CF209" s="2867"/>
      <c r="CG209" s="2867"/>
      <c r="CH209" s="2867"/>
      <c r="CI209" s="2867"/>
      <c r="CJ209" s="2867"/>
      <c r="CK209" s="2867"/>
      <c r="CL209" s="2867"/>
      <c r="CM209" s="2867"/>
      <c r="CN209" s="2867"/>
      <c r="CO209" s="2867"/>
      <c r="CP209" s="2867"/>
      <c r="CQ209" s="2867"/>
      <c r="CR209" s="2867"/>
      <c r="CS209" s="2867"/>
      <c r="CT209" s="2867"/>
      <c r="CU209" s="2867"/>
      <c r="CV209" s="2867"/>
      <c r="CW209" s="2867"/>
    </row>
    <row r="210" spans="1:101">
      <c r="A210" s="2867"/>
      <c r="B210" s="2867"/>
      <c r="C210" s="2867"/>
      <c r="D210" s="2867"/>
      <c r="E210" s="2867"/>
      <c r="F210" s="2867"/>
      <c r="G210" s="2867"/>
      <c r="H210" s="2867"/>
      <c r="I210" s="2867"/>
      <c r="J210" s="2867"/>
      <c r="K210" s="2867"/>
      <c r="L210" s="2867"/>
      <c r="M210" s="2867"/>
      <c r="O210" s="2867"/>
      <c r="P210" s="2867"/>
      <c r="Q210" s="2867"/>
      <c r="R210" s="2867"/>
      <c r="S210" s="2867"/>
      <c r="T210" s="2867"/>
      <c r="U210" s="2867"/>
      <c r="V210" s="2867"/>
      <c r="W210" s="2867"/>
      <c r="X210" s="2867"/>
      <c r="Z210" s="2867"/>
      <c r="AA210" s="2867"/>
      <c r="AB210" s="2867"/>
      <c r="AC210" s="2867"/>
      <c r="AD210" s="2867"/>
      <c r="AE210" s="2867"/>
      <c r="AF210" s="2867"/>
      <c r="AG210" s="2867"/>
      <c r="AH210" s="2867"/>
      <c r="AI210" s="2867"/>
      <c r="AJ210" s="2867"/>
      <c r="AK210" s="2867"/>
      <c r="AL210" s="2867"/>
      <c r="AM210" s="2867"/>
      <c r="AN210" s="2867"/>
      <c r="AO210" s="2867"/>
      <c r="AP210" s="2867"/>
      <c r="AQ210" s="2935"/>
      <c r="AR210" s="2935"/>
      <c r="AS210" s="2935"/>
      <c r="AT210" s="2867"/>
      <c r="AU210" s="2867"/>
      <c r="AV210" s="2867"/>
      <c r="AW210" s="2867"/>
      <c r="AX210" s="2867"/>
      <c r="AY210" s="2867"/>
      <c r="AZ210" s="2867"/>
      <c r="BA210" s="2867"/>
      <c r="BB210" s="2867"/>
      <c r="BC210" s="2867"/>
      <c r="BD210" s="2867"/>
      <c r="BE210" s="2867"/>
      <c r="BF210" s="2867"/>
      <c r="BG210" s="2867"/>
      <c r="BH210" s="2867"/>
      <c r="BI210" s="2867"/>
      <c r="BJ210" s="2867"/>
      <c r="BK210" s="2867"/>
      <c r="BL210" s="2867"/>
      <c r="BM210" s="2867"/>
      <c r="BN210" s="2867"/>
      <c r="BO210" s="2867"/>
      <c r="BP210" s="2867"/>
      <c r="BQ210" s="2867"/>
      <c r="BR210" s="2867"/>
      <c r="BS210" s="2867"/>
      <c r="BT210" s="2867"/>
      <c r="BU210" s="2867"/>
      <c r="BV210" s="2867"/>
      <c r="BW210" s="2867"/>
      <c r="BX210" s="2867"/>
      <c r="BY210" s="2867"/>
      <c r="BZ210" s="2867"/>
      <c r="CA210" s="2867"/>
      <c r="CB210" s="2867"/>
      <c r="CC210" s="2867"/>
      <c r="CD210" s="2867"/>
      <c r="CE210" s="2867"/>
      <c r="CF210" s="2867"/>
      <c r="CG210" s="2867"/>
      <c r="CH210" s="2867"/>
      <c r="CI210" s="2867"/>
      <c r="CJ210" s="2867"/>
      <c r="CK210" s="2867"/>
      <c r="CL210" s="2867"/>
      <c r="CM210" s="2867"/>
      <c r="CN210" s="2867"/>
      <c r="CO210" s="2867"/>
      <c r="CP210" s="2867"/>
      <c r="CQ210" s="2867"/>
      <c r="CR210" s="2867"/>
      <c r="CS210" s="2867"/>
      <c r="CT210" s="2867"/>
      <c r="CU210" s="2867"/>
      <c r="CV210" s="2867"/>
      <c r="CW210" s="2867"/>
    </row>
    <row r="211" spans="1:101">
      <c r="A211" s="2867"/>
      <c r="B211" s="2867"/>
      <c r="C211" s="2867"/>
      <c r="D211" s="2867"/>
      <c r="E211" s="2867"/>
      <c r="F211" s="2867"/>
      <c r="G211" s="2867"/>
      <c r="H211" s="2867"/>
      <c r="I211" s="2867"/>
      <c r="J211" s="2867"/>
      <c r="K211" s="2867"/>
      <c r="L211" s="2867"/>
      <c r="M211" s="2867"/>
      <c r="O211" s="2910"/>
      <c r="P211" s="2867"/>
      <c r="Q211" s="2867"/>
      <c r="R211" s="2867"/>
      <c r="S211" s="2867"/>
      <c r="T211" s="2867"/>
      <c r="U211" s="2935"/>
      <c r="V211" s="2867"/>
      <c r="W211" s="2867"/>
      <c r="X211" s="2867"/>
      <c r="Z211" s="2867"/>
      <c r="AA211" s="2867"/>
      <c r="AB211" s="2867"/>
      <c r="AC211" s="2867"/>
      <c r="AD211" s="2867"/>
      <c r="AE211" s="2867"/>
      <c r="AF211" s="2867"/>
      <c r="AG211" s="2867"/>
      <c r="AH211" s="2867"/>
      <c r="AI211" s="2867"/>
      <c r="AJ211" s="2867"/>
      <c r="AK211" s="2867"/>
      <c r="AL211" s="2867"/>
      <c r="AM211" s="2867"/>
      <c r="AN211" s="2867"/>
      <c r="AO211" s="2867"/>
      <c r="AP211" s="2867"/>
      <c r="AQ211" s="2870"/>
      <c r="AR211" s="2870"/>
      <c r="AS211" s="2867"/>
      <c r="AT211" s="2867"/>
      <c r="AU211" s="2867"/>
      <c r="AV211" s="2867"/>
      <c r="AW211" s="2867"/>
      <c r="AX211" s="2867"/>
      <c r="AY211" s="2867"/>
      <c r="AZ211" s="2867"/>
      <c r="BA211" s="2867"/>
      <c r="BB211" s="2867"/>
      <c r="BC211" s="2867"/>
      <c r="BD211" s="2867"/>
      <c r="BE211" s="2867"/>
      <c r="BF211" s="2867"/>
      <c r="BG211" s="2867"/>
      <c r="BH211" s="2867"/>
      <c r="BI211" s="2867"/>
      <c r="BJ211" s="2867"/>
      <c r="BK211" s="2867"/>
      <c r="BL211" s="2867"/>
      <c r="BM211" s="2867"/>
      <c r="BN211" s="2867"/>
      <c r="BO211" s="2867"/>
      <c r="BP211" s="2867"/>
      <c r="BQ211" s="2867"/>
      <c r="BR211" s="2867"/>
      <c r="BS211" s="2867"/>
      <c r="BT211" s="2867"/>
      <c r="BU211" s="2867"/>
      <c r="BV211" s="2867"/>
      <c r="BW211" s="2867"/>
      <c r="BX211" s="2867"/>
      <c r="BY211" s="2867"/>
      <c r="BZ211" s="2867"/>
      <c r="CA211" s="2867"/>
      <c r="CB211" s="2867"/>
      <c r="CC211" s="2867"/>
      <c r="CD211" s="2867"/>
      <c r="CE211" s="2867"/>
      <c r="CF211" s="2867"/>
      <c r="CG211" s="2867"/>
      <c r="CH211" s="2867"/>
      <c r="CI211" s="2867"/>
      <c r="CJ211" s="2867"/>
      <c r="CK211" s="2867"/>
      <c r="CL211" s="2867"/>
      <c r="CM211" s="2867"/>
      <c r="CN211" s="2867"/>
      <c r="CO211" s="2867"/>
      <c r="CP211" s="2867"/>
      <c r="CQ211" s="2867"/>
      <c r="CR211" s="2867"/>
      <c r="CS211" s="2867"/>
      <c r="CT211" s="2867"/>
      <c r="CU211" s="2867"/>
      <c r="CV211" s="2867"/>
      <c r="CW211" s="2867"/>
    </row>
    <row r="212" spans="1:101">
      <c r="A212" s="2867"/>
      <c r="B212" s="2867"/>
      <c r="C212" s="2867"/>
      <c r="D212" s="2867"/>
      <c r="E212" s="2867"/>
      <c r="F212" s="2867"/>
      <c r="G212" s="2867"/>
      <c r="H212" s="2867"/>
      <c r="I212" s="2867"/>
      <c r="J212" s="2867"/>
      <c r="K212" s="2867"/>
      <c r="L212" s="2867"/>
      <c r="M212" s="2867"/>
      <c r="O212" s="2867"/>
      <c r="P212" s="2867"/>
      <c r="Q212" s="2867"/>
      <c r="R212" s="2867"/>
      <c r="S212" s="2867"/>
      <c r="T212" s="2867"/>
      <c r="U212" s="2867"/>
      <c r="V212" s="2867"/>
      <c r="W212" s="2867"/>
      <c r="X212" s="2867"/>
      <c r="Z212" s="2867"/>
      <c r="AA212" s="2867"/>
      <c r="AB212" s="2867"/>
      <c r="AC212" s="2867"/>
      <c r="AD212" s="2867"/>
      <c r="AE212" s="2867"/>
      <c r="AF212" s="2867"/>
      <c r="AG212" s="2867"/>
      <c r="AH212" s="2867"/>
      <c r="AI212" s="2922"/>
      <c r="AJ212" s="2867"/>
      <c r="AK212" s="2910"/>
      <c r="AL212" s="2867"/>
      <c r="AM212" s="2867"/>
      <c r="AN212" s="2867"/>
      <c r="AO212" s="2867"/>
      <c r="AP212" s="2867"/>
      <c r="AQ212" s="2870"/>
      <c r="AR212" s="2870"/>
      <c r="AS212" s="2867"/>
      <c r="AT212" s="2867"/>
      <c r="AU212" s="2867"/>
      <c r="AV212" s="2867"/>
      <c r="AW212" s="2867"/>
      <c r="AX212" s="2867"/>
      <c r="AY212" s="2867"/>
      <c r="AZ212" s="2867"/>
      <c r="BA212" s="2867"/>
      <c r="BB212" s="2867"/>
      <c r="BC212" s="2867"/>
      <c r="BD212" s="2867"/>
      <c r="BE212" s="2867"/>
      <c r="BF212" s="2867"/>
      <c r="BG212" s="2867"/>
      <c r="BH212" s="2867"/>
      <c r="BI212" s="2867"/>
      <c r="BJ212" s="2867"/>
      <c r="BK212" s="2867"/>
      <c r="BL212" s="2867"/>
      <c r="BM212" s="2867"/>
      <c r="BN212" s="2867"/>
      <c r="BO212" s="2867"/>
      <c r="BP212" s="2867"/>
      <c r="BQ212" s="2867"/>
      <c r="BR212" s="2867"/>
      <c r="BS212" s="2867"/>
      <c r="BT212" s="2867"/>
      <c r="BU212" s="2867"/>
      <c r="BV212" s="2867"/>
      <c r="BW212" s="2867"/>
      <c r="BX212" s="2867"/>
      <c r="BY212" s="2867"/>
      <c r="BZ212" s="2867"/>
      <c r="CA212" s="2867"/>
      <c r="CB212" s="2867"/>
      <c r="CC212" s="2867"/>
      <c r="CD212" s="2867"/>
      <c r="CE212" s="2867"/>
      <c r="CF212" s="2867"/>
      <c r="CG212" s="2867"/>
      <c r="CH212" s="2867"/>
      <c r="CI212" s="2867"/>
      <c r="CJ212" s="2867"/>
      <c r="CK212" s="2867"/>
      <c r="CL212" s="2867"/>
      <c r="CM212" s="2867"/>
      <c r="CN212" s="2867"/>
      <c r="CO212" s="2867"/>
      <c r="CP212" s="2867"/>
      <c r="CQ212" s="2867"/>
      <c r="CR212" s="2867"/>
      <c r="CS212" s="2867"/>
      <c r="CT212" s="2867"/>
      <c r="CU212" s="2867"/>
      <c r="CV212" s="2867"/>
      <c r="CW212" s="2867"/>
    </row>
    <row r="213" spans="1:101">
      <c r="A213" s="2935"/>
      <c r="B213" s="2910"/>
      <c r="C213" s="2867"/>
      <c r="D213" s="2867"/>
      <c r="E213" s="2867"/>
      <c r="F213" s="2867"/>
      <c r="G213" s="2867"/>
      <c r="H213" s="2867"/>
      <c r="I213" s="2867"/>
      <c r="J213" s="2867"/>
      <c r="K213" s="2867"/>
      <c r="L213" s="2867"/>
      <c r="M213" s="2867"/>
      <c r="O213" s="2910"/>
      <c r="P213" s="2867"/>
      <c r="Q213" s="2867"/>
      <c r="R213" s="2867"/>
      <c r="S213" s="2867"/>
      <c r="T213" s="2867"/>
      <c r="U213" s="2935"/>
      <c r="V213" s="2867"/>
      <c r="W213" s="2867"/>
      <c r="X213" s="2867"/>
      <c r="Z213" s="2867"/>
      <c r="AA213" s="2867"/>
      <c r="AB213" s="2867"/>
      <c r="AC213" s="2867"/>
      <c r="AD213" s="2867"/>
      <c r="AE213" s="2867"/>
      <c r="AF213" s="2867"/>
      <c r="AG213" s="2867"/>
      <c r="AH213" s="2867"/>
      <c r="AI213" s="2867"/>
      <c r="AJ213" s="2867"/>
      <c r="AK213" s="2867"/>
      <c r="AL213" s="2867"/>
      <c r="AM213" s="2867"/>
      <c r="AN213" s="2867"/>
      <c r="AO213" s="2867"/>
      <c r="AP213" s="2867"/>
      <c r="AQ213" s="2870"/>
      <c r="AR213" s="2870"/>
      <c r="AS213" s="2867"/>
      <c r="AT213" s="2867"/>
      <c r="AU213" s="2867"/>
      <c r="AV213" s="2867"/>
      <c r="AW213" s="2867"/>
      <c r="AX213" s="2867"/>
      <c r="AY213" s="2867"/>
      <c r="AZ213" s="2867"/>
      <c r="BA213" s="2867"/>
      <c r="BB213" s="2867"/>
      <c r="BC213" s="2867"/>
      <c r="BD213" s="2867"/>
      <c r="BE213" s="2867"/>
      <c r="BF213" s="2867"/>
      <c r="BG213" s="2867"/>
      <c r="BH213" s="2867"/>
      <c r="BI213" s="2867"/>
      <c r="BJ213" s="2867"/>
      <c r="BK213" s="2867"/>
      <c r="BL213" s="2867"/>
      <c r="BM213" s="2867"/>
      <c r="BN213" s="2867"/>
      <c r="BO213" s="2867"/>
      <c r="BP213" s="2867"/>
      <c r="BQ213" s="2867"/>
      <c r="BR213" s="2867"/>
      <c r="BS213" s="2867"/>
      <c r="BT213" s="2867"/>
      <c r="BU213" s="2867"/>
      <c r="BV213" s="2867"/>
      <c r="BW213" s="2867"/>
      <c r="BX213" s="2867"/>
      <c r="BY213" s="2867"/>
      <c r="BZ213" s="2867"/>
      <c r="CA213" s="2867"/>
      <c r="CB213" s="2867"/>
      <c r="CC213" s="2867"/>
      <c r="CD213" s="2867"/>
      <c r="CE213" s="2867"/>
      <c r="CF213" s="2867"/>
      <c r="CG213" s="2867"/>
      <c r="CH213" s="2867"/>
      <c r="CI213" s="2867"/>
      <c r="CJ213" s="2867"/>
      <c r="CK213" s="2867"/>
      <c r="CL213" s="2867"/>
      <c r="CM213" s="2867"/>
      <c r="CN213" s="2867"/>
      <c r="CO213" s="2867"/>
      <c r="CP213" s="2867"/>
      <c r="CQ213" s="2867"/>
      <c r="CR213" s="2867"/>
      <c r="CS213" s="2867"/>
      <c r="CT213" s="2867"/>
      <c r="CU213" s="2867"/>
      <c r="CV213" s="2867"/>
      <c r="CW213" s="2867"/>
    </row>
    <row r="214" spans="1:101">
      <c r="A214" s="2867"/>
      <c r="B214" s="2910"/>
      <c r="C214" s="2867"/>
      <c r="D214" s="2867"/>
      <c r="E214" s="2867"/>
      <c r="F214" s="2867"/>
      <c r="G214" s="2867"/>
      <c r="H214" s="2867"/>
      <c r="I214" s="2867"/>
      <c r="J214" s="2867"/>
      <c r="K214" s="2867"/>
      <c r="L214" s="2867"/>
      <c r="M214" s="2867"/>
      <c r="O214" s="2867"/>
      <c r="P214" s="2867"/>
      <c r="Q214" s="2867"/>
      <c r="R214" s="2867"/>
      <c r="S214" s="2867"/>
      <c r="T214" s="2867"/>
      <c r="U214" s="2867"/>
      <c r="V214" s="2867"/>
      <c r="W214" s="2867"/>
      <c r="X214" s="2867"/>
      <c r="Z214" s="2867"/>
      <c r="AA214" s="2867"/>
      <c r="AB214" s="2867"/>
      <c r="AC214" s="2867"/>
      <c r="AD214" s="2867"/>
      <c r="AE214" s="2867"/>
      <c r="AF214" s="2867"/>
      <c r="AG214" s="2867"/>
      <c r="AH214" s="2867"/>
      <c r="AI214" s="2922"/>
      <c r="AJ214" s="2935"/>
      <c r="AK214" s="2910"/>
      <c r="AL214" s="2867"/>
      <c r="AM214" s="2867"/>
      <c r="AN214" s="2867"/>
      <c r="AO214" s="2870"/>
      <c r="AP214" s="2941"/>
      <c r="AQ214" s="2885"/>
      <c r="AR214" s="2870"/>
      <c r="AS214" s="2870"/>
      <c r="AT214" s="2867"/>
      <c r="AU214" s="2867"/>
      <c r="AV214" s="2867"/>
      <c r="AW214" s="2867"/>
      <c r="AX214" s="2867"/>
      <c r="AY214" s="2867"/>
      <c r="AZ214" s="2867"/>
      <c r="BA214" s="2867"/>
      <c r="BB214" s="2867"/>
      <c r="BC214" s="2867"/>
      <c r="BD214" s="2867"/>
      <c r="BE214" s="2867"/>
      <c r="BF214" s="2867"/>
      <c r="BG214" s="2867"/>
      <c r="BH214" s="2867"/>
      <c r="BI214" s="2867"/>
      <c r="BJ214" s="2867"/>
      <c r="BK214" s="2867"/>
      <c r="BL214" s="2867"/>
      <c r="BM214" s="2867"/>
      <c r="BN214" s="2867"/>
      <c r="BO214" s="2867"/>
      <c r="BP214" s="2867"/>
      <c r="BQ214" s="2867"/>
      <c r="BR214" s="2867"/>
      <c r="BS214" s="2867"/>
      <c r="BT214" s="2867"/>
      <c r="BU214" s="2867"/>
      <c r="BV214" s="2867"/>
      <c r="BW214" s="2867"/>
      <c r="BX214" s="2867"/>
      <c r="BY214" s="2867"/>
      <c r="BZ214" s="2867"/>
      <c r="CA214" s="2867"/>
      <c r="CB214" s="2867"/>
      <c r="CC214" s="2867"/>
      <c r="CD214" s="2867"/>
      <c r="CE214" s="2867"/>
      <c r="CF214" s="2867"/>
      <c r="CG214" s="2867"/>
      <c r="CH214" s="2867"/>
      <c r="CI214" s="2867"/>
      <c r="CJ214" s="2867"/>
      <c r="CK214" s="2867"/>
      <c r="CL214" s="2867"/>
      <c r="CM214" s="2867"/>
      <c r="CN214" s="2867"/>
      <c r="CO214" s="2867"/>
      <c r="CP214" s="2867"/>
      <c r="CQ214" s="2867"/>
      <c r="CR214" s="2867"/>
      <c r="CS214" s="2867"/>
      <c r="CT214" s="2867"/>
      <c r="CU214" s="2867"/>
      <c r="CV214" s="2867"/>
      <c r="CW214" s="2867"/>
    </row>
    <row r="215" spans="1:101">
      <c r="A215" s="2867"/>
      <c r="B215" s="2910"/>
      <c r="C215" s="2867"/>
      <c r="D215" s="2867"/>
      <c r="E215" s="2867"/>
      <c r="F215" s="2867"/>
      <c r="G215" s="2867"/>
      <c r="H215" s="2910"/>
      <c r="I215" s="2910"/>
      <c r="J215" s="2910"/>
      <c r="K215" s="2910"/>
      <c r="L215" s="2910"/>
      <c r="M215" s="2910"/>
      <c r="O215" s="2935"/>
      <c r="P215" s="2867"/>
      <c r="Q215" s="2867"/>
      <c r="R215" s="2867"/>
      <c r="S215" s="2867"/>
      <c r="T215" s="2867"/>
      <c r="U215" s="2935"/>
      <c r="V215" s="2867"/>
      <c r="W215" s="2867"/>
      <c r="X215" s="2867"/>
      <c r="Z215" s="2867"/>
      <c r="AA215" s="2867"/>
      <c r="AB215" s="2867"/>
      <c r="AC215" s="2867"/>
      <c r="AD215" s="2867"/>
      <c r="AE215" s="2867"/>
      <c r="AF215" s="2867"/>
      <c r="AG215" s="2867"/>
      <c r="AH215" s="2867"/>
      <c r="AI215" s="2922"/>
      <c r="AJ215" s="2935"/>
      <c r="AK215" s="2910"/>
      <c r="AL215" s="2867"/>
      <c r="AM215" s="2867"/>
      <c r="AN215" s="2867"/>
      <c r="AO215" s="2870"/>
      <c r="AP215" s="2941"/>
      <c r="AQ215" s="2885"/>
      <c r="AR215" s="2870"/>
      <c r="AS215" s="2870"/>
      <c r="AT215" s="2867"/>
      <c r="AU215" s="2867"/>
      <c r="AV215" s="2867"/>
      <c r="AW215" s="2867"/>
      <c r="AX215" s="2867"/>
      <c r="AY215" s="2867"/>
      <c r="AZ215" s="2867"/>
      <c r="BA215" s="2867"/>
      <c r="BB215" s="2867"/>
      <c r="BC215" s="2867"/>
      <c r="BD215" s="2867"/>
      <c r="BE215" s="2867"/>
      <c r="BF215" s="2867"/>
      <c r="BG215" s="2867"/>
      <c r="BH215" s="2867"/>
      <c r="BI215" s="2867"/>
      <c r="BJ215" s="2867"/>
      <c r="BK215" s="2867"/>
      <c r="BL215" s="2867"/>
      <c r="BM215" s="2867"/>
      <c r="BN215" s="2867"/>
      <c r="BO215" s="2867"/>
      <c r="BP215" s="2867"/>
      <c r="BQ215" s="2867"/>
      <c r="BR215" s="2867"/>
      <c r="BS215" s="2867"/>
      <c r="BT215" s="2867"/>
      <c r="BU215" s="2867"/>
      <c r="BV215" s="2867"/>
      <c r="BW215" s="2867"/>
      <c r="BX215" s="2867"/>
      <c r="BY215" s="2867"/>
      <c r="BZ215" s="2867"/>
      <c r="CA215" s="2867"/>
      <c r="CB215" s="2867"/>
      <c r="CC215" s="2867"/>
      <c r="CD215" s="2867"/>
      <c r="CE215" s="2867"/>
      <c r="CF215" s="2867"/>
      <c r="CG215" s="2867"/>
      <c r="CH215" s="2867"/>
      <c r="CI215" s="2867"/>
      <c r="CJ215" s="2867"/>
      <c r="CK215" s="2867"/>
      <c r="CL215" s="2867"/>
      <c r="CM215" s="2867"/>
      <c r="CN215" s="2867"/>
      <c r="CO215" s="2867"/>
      <c r="CP215" s="2867"/>
      <c r="CQ215" s="2867"/>
      <c r="CR215" s="2867"/>
      <c r="CS215" s="2867"/>
      <c r="CT215" s="2867"/>
      <c r="CU215" s="2867"/>
      <c r="CV215" s="2867"/>
      <c r="CW215" s="2867"/>
    </row>
    <row r="216" spans="1:101">
      <c r="A216" s="2867"/>
      <c r="B216" s="2910"/>
      <c r="C216" s="2867"/>
      <c r="D216" s="2867"/>
      <c r="E216" s="2867"/>
      <c r="F216" s="2867"/>
      <c r="G216" s="2867"/>
      <c r="H216" s="2867"/>
      <c r="I216" s="2867"/>
      <c r="J216" s="2867"/>
      <c r="K216" s="2867"/>
      <c r="L216" s="2867"/>
      <c r="M216" s="2867"/>
      <c r="O216" s="2867"/>
      <c r="P216" s="2867"/>
      <c r="Q216" s="2867"/>
      <c r="R216" s="2867"/>
      <c r="S216" s="2867"/>
      <c r="T216" s="2867"/>
      <c r="U216" s="2867"/>
      <c r="V216" s="2867"/>
      <c r="W216" s="2867"/>
      <c r="X216" s="2867"/>
      <c r="Z216" s="2867"/>
      <c r="AA216" s="2867"/>
      <c r="AB216" s="2867"/>
      <c r="AC216" s="2867"/>
      <c r="AD216" s="2867"/>
      <c r="AE216" s="2867"/>
      <c r="AF216" s="2867"/>
      <c r="AG216" s="2867"/>
      <c r="AH216" s="2867"/>
      <c r="AI216" s="2922"/>
      <c r="AJ216" s="2935"/>
      <c r="AK216" s="2910"/>
      <c r="AL216" s="2867"/>
      <c r="AM216" s="2867"/>
      <c r="AN216" s="2867"/>
      <c r="AO216" s="2870"/>
      <c r="AP216" s="2941"/>
      <c r="AQ216" s="2885"/>
      <c r="AR216" s="2870"/>
      <c r="AS216" s="2870"/>
      <c r="AT216" s="2867"/>
      <c r="AU216" s="2867"/>
      <c r="AV216" s="2867"/>
      <c r="AW216" s="2867"/>
      <c r="AX216" s="2867"/>
      <c r="AY216" s="2867"/>
      <c r="AZ216" s="2867"/>
      <c r="BA216" s="2867"/>
      <c r="BB216" s="2867"/>
      <c r="BC216" s="2867"/>
      <c r="BD216" s="2867"/>
      <c r="BE216" s="2867"/>
      <c r="BF216" s="2867"/>
      <c r="BG216" s="2867"/>
      <c r="BH216" s="2867"/>
      <c r="BI216" s="2867"/>
      <c r="BJ216" s="2867"/>
      <c r="BK216" s="2867"/>
      <c r="BL216" s="2867"/>
      <c r="BM216" s="2867"/>
      <c r="BN216" s="2867"/>
      <c r="BO216" s="2867"/>
      <c r="BP216" s="2867"/>
      <c r="BQ216" s="2867"/>
      <c r="BR216" s="2867"/>
      <c r="BS216" s="2867"/>
      <c r="BT216" s="2867"/>
      <c r="BU216" s="2867"/>
      <c r="BV216" s="2867"/>
      <c r="BW216" s="2867"/>
      <c r="BX216" s="2867"/>
      <c r="BY216" s="2867"/>
      <c r="BZ216" s="2867"/>
      <c r="CA216" s="2867"/>
      <c r="CB216" s="2867"/>
      <c r="CC216" s="2867"/>
      <c r="CD216" s="2867"/>
      <c r="CE216" s="2867"/>
      <c r="CF216" s="2867"/>
      <c r="CG216" s="2867"/>
      <c r="CH216" s="2867"/>
      <c r="CI216" s="2867"/>
      <c r="CJ216" s="2867"/>
      <c r="CK216" s="2867"/>
      <c r="CL216" s="2867"/>
      <c r="CM216" s="2867"/>
      <c r="CN216" s="2867"/>
      <c r="CO216" s="2867"/>
      <c r="CP216" s="2867"/>
      <c r="CQ216" s="2867"/>
      <c r="CR216" s="2867"/>
      <c r="CS216" s="2867"/>
      <c r="CT216" s="2867"/>
      <c r="CU216" s="2867"/>
      <c r="CV216" s="2867"/>
      <c r="CW216" s="2867"/>
    </row>
    <row r="217" spans="1:101">
      <c r="A217" s="2867"/>
      <c r="B217" s="2867"/>
      <c r="C217" s="2867"/>
      <c r="D217" s="2867"/>
      <c r="E217" s="2867"/>
      <c r="F217" s="2867"/>
      <c r="G217" s="2867"/>
      <c r="H217" s="2867"/>
      <c r="I217" s="2867"/>
      <c r="J217" s="2867"/>
      <c r="K217" s="2867"/>
      <c r="L217" s="2867"/>
      <c r="M217" s="2867"/>
      <c r="O217" s="2910"/>
      <c r="P217" s="2867"/>
      <c r="Q217" s="2867"/>
      <c r="R217" s="2867"/>
      <c r="S217" s="2867"/>
      <c r="T217" s="2867"/>
      <c r="U217" s="2935"/>
      <c r="V217" s="2867"/>
      <c r="W217" s="2867"/>
      <c r="X217" s="2867"/>
      <c r="Z217" s="2867"/>
      <c r="AA217" s="2867"/>
      <c r="AB217" s="2867"/>
      <c r="AC217" s="2867"/>
      <c r="AD217" s="2867"/>
      <c r="AE217" s="2867"/>
      <c r="AF217" s="2867"/>
      <c r="AG217" s="2867"/>
      <c r="AH217" s="2867"/>
      <c r="AI217" s="2922"/>
      <c r="AJ217" s="2935"/>
      <c r="AK217" s="2910"/>
      <c r="AL217" s="2867"/>
      <c r="AM217" s="2867"/>
      <c r="AN217" s="2867"/>
      <c r="AO217" s="2870"/>
      <c r="AP217" s="2941"/>
      <c r="AQ217" s="2885"/>
      <c r="AR217" s="2870"/>
      <c r="AS217" s="2870"/>
      <c r="AT217" s="2867"/>
      <c r="AU217" s="2867"/>
      <c r="AV217" s="2867"/>
      <c r="AW217" s="2867"/>
      <c r="AX217" s="2867"/>
      <c r="AY217" s="2867"/>
      <c r="AZ217" s="2867"/>
      <c r="BA217" s="2867"/>
      <c r="BB217" s="2867"/>
      <c r="BC217" s="2867"/>
      <c r="BD217" s="2867"/>
      <c r="BE217" s="2867"/>
      <c r="BF217" s="2867"/>
      <c r="BG217" s="2867"/>
      <c r="BH217" s="2867"/>
      <c r="BI217" s="2867"/>
      <c r="BJ217" s="2867"/>
      <c r="BK217" s="2867"/>
      <c r="BL217" s="2867"/>
      <c r="BM217" s="2867"/>
      <c r="BN217" s="2867"/>
      <c r="BO217" s="2867"/>
      <c r="BP217" s="2867"/>
      <c r="BQ217" s="2867"/>
      <c r="BR217" s="2867"/>
      <c r="BS217" s="2867"/>
      <c r="BT217" s="2867"/>
      <c r="BU217" s="2867"/>
      <c r="BV217" s="2867"/>
      <c r="BW217" s="2867"/>
      <c r="BX217" s="2867"/>
      <c r="BY217" s="2867"/>
      <c r="BZ217" s="2867"/>
      <c r="CA217" s="2867"/>
      <c r="CB217" s="2867"/>
      <c r="CC217" s="2867"/>
      <c r="CD217" s="2867"/>
      <c r="CE217" s="2867"/>
      <c r="CF217" s="2867"/>
      <c r="CG217" s="2867"/>
      <c r="CH217" s="2867"/>
      <c r="CI217" s="2867"/>
      <c r="CJ217" s="2867"/>
      <c r="CK217" s="2867"/>
      <c r="CL217" s="2867"/>
      <c r="CM217" s="2867"/>
      <c r="CN217" s="2867"/>
      <c r="CO217" s="2867"/>
      <c r="CP217" s="2867"/>
      <c r="CQ217" s="2867"/>
      <c r="CR217" s="2867"/>
      <c r="CS217" s="2867"/>
      <c r="CT217" s="2867"/>
      <c r="CU217" s="2867"/>
      <c r="CV217" s="2867"/>
      <c r="CW217" s="2867"/>
    </row>
    <row r="218" spans="1:101">
      <c r="A218" s="2867"/>
      <c r="B218" s="2867"/>
      <c r="C218" s="2867"/>
      <c r="D218" s="2867"/>
      <c r="E218" s="2867"/>
      <c r="F218" s="2867"/>
      <c r="G218" s="2867"/>
      <c r="H218" s="2867"/>
      <c r="I218" s="2867"/>
      <c r="J218" s="2867"/>
      <c r="K218" s="2867"/>
      <c r="L218" s="2867"/>
      <c r="M218" s="2867"/>
      <c r="O218" s="2867"/>
      <c r="P218" s="2867"/>
      <c r="Q218" s="2867"/>
      <c r="R218" s="2867"/>
      <c r="S218" s="2867"/>
      <c r="T218" s="2867"/>
      <c r="U218" s="2867"/>
      <c r="V218" s="2867"/>
      <c r="W218" s="2867"/>
      <c r="X218" s="2867"/>
      <c r="Y218" s="2867"/>
      <c r="Z218" s="2867"/>
      <c r="AA218" s="2867"/>
      <c r="AB218" s="2867"/>
      <c r="AC218" s="2867"/>
      <c r="AD218" s="2867"/>
      <c r="AE218" s="2867"/>
      <c r="AF218" s="2867"/>
      <c r="AG218" s="2867"/>
      <c r="AH218" s="2940"/>
      <c r="AI218" s="2922"/>
      <c r="AJ218" s="2935"/>
      <c r="AK218" s="2910"/>
      <c r="AL218" s="2867"/>
      <c r="AM218" s="2867"/>
      <c r="AN218" s="2867"/>
      <c r="AO218" s="2867"/>
      <c r="AP218" s="2867"/>
      <c r="AQ218" s="2885"/>
      <c r="AR218" s="2870"/>
      <c r="AS218" s="2870"/>
      <c r="AT218" s="2867"/>
      <c r="AU218" s="2867"/>
      <c r="AV218" s="2867"/>
      <c r="AW218" s="2867"/>
      <c r="AX218" s="2867"/>
      <c r="AY218" s="2867"/>
      <c r="AZ218" s="2867"/>
      <c r="BA218" s="2867"/>
      <c r="BB218" s="2867"/>
      <c r="BC218" s="2867"/>
      <c r="BD218" s="2867"/>
      <c r="BE218" s="2867"/>
      <c r="BF218" s="2867"/>
      <c r="BG218" s="2867"/>
      <c r="BH218" s="2867"/>
      <c r="BI218" s="2867"/>
      <c r="BJ218" s="2867"/>
      <c r="BK218" s="2867"/>
      <c r="BL218" s="2867"/>
      <c r="BM218" s="2867"/>
      <c r="BN218" s="2867"/>
      <c r="BO218" s="2867"/>
      <c r="BP218" s="2867"/>
      <c r="BQ218" s="2867"/>
      <c r="BR218" s="2867"/>
      <c r="BS218" s="2867"/>
      <c r="BT218" s="2867"/>
      <c r="BU218" s="2867"/>
      <c r="BV218" s="2867"/>
      <c r="BW218" s="2867"/>
      <c r="BX218" s="2867"/>
      <c r="BY218" s="2867"/>
      <c r="BZ218" s="2867"/>
      <c r="CA218" s="2867"/>
      <c r="CB218" s="2867"/>
      <c r="CC218" s="2867"/>
      <c r="CD218" s="2867"/>
      <c r="CE218" s="2867"/>
      <c r="CF218" s="2867"/>
      <c r="CG218" s="2867"/>
      <c r="CH218" s="2867"/>
      <c r="CI218" s="2867"/>
      <c r="CJ218" s="2867"/>
      <c r="CK218" s="2867"/>
      <c r="CL218" s="2867"/>
      <c r="CM218" s="2867"/>
      <c r="CN218" s="2867"/>
      <c r="CO218" s="2867"/>
      <c r="CP218" s="2867"/>
      <c r="CQ218" s="2867"/>
      <c r="CR218" s="2867"/>
      <c r="CS218" s="2867"/>
      <c r="CT218" s="2867"/>
      <c r="CU218" s="2867"/>
      <c r="CV218" s="2867"/>
      <c r="CW218" s="2867"/>
    </row>
    <row r="219" spans="1:101">
      <c r="A219" s="2867"/>
      <c r="B219" s="2867"/>
      <c r="C219" s="2867"/>
      <c r="D219" s="2867"/>
      <c r="E219" s="2867"/>
      <c r="F219" s="2867"/>
      <c r="G219" s="2867"/>
      <c r="H219" s="2867"/>
      <c r="I219" s="2867"/>
      <c r="J219" s="2867"/>
      <c r="K219" s="2867"/>
      <c r="L219" s="2867"/>
      <c r="M219" s="2867"/>
      <c r="O219" s="2867"/>
      <c r="P219" s="2867"/>
      <c r="Q219" s="2867"/>
      <c r="R219" s="2867"/>
      <c r="S219" s="2867"/>
      <c r="T219" s="2867"/>
      <c r="U219" s="2867"/>
      <c r="V219" s="2867"/>
      <c r="W219" s="2867"/>
      <c r="X219" s="2867"/>
      <c r="Y219" s="2867"/>
      <c r="Z219" s="2867"/>
      <c r="AA219" s="2867"/>
      <c r="AB219" s="2867"/>
      <c r="AC219" s="2867"/>
      <c r="AD219" s="2867"/>
      <c r="AE219" s="2867"/>
      <c r="AF219" s="2867"/>
      <c r="AG219" s="2867"/>
      <c r="AH219" s="2940"/>
      <c r="AI219" s="2867"/>
      <c r="AJ219" s="2867"/>
      <c r="AK219" s="2867"/>
      <c r="AL219" s="2867"/>
      <c r="AM219" s="2867"/>
      <c r="AN219" s="2867"/>
      <c r="AO219" s="2870"/>
      <c r="AP219" s="2867"/>
      <c r="AQ219" s="2942"/>
      <c r="AR219" s="2942"/>
      <c r="AS219" s="2942"/>
      <c r="AT219" s="2867"/>
      <c r="AU219" s="2867"/>
      <c r="AV219" s="2867"/>
      <c r="AW219" s="2867"/>
      <c r="AX219" s="2867"/>
      <c r="AY219" s="2867"/>
      <c r="AZ219" s="2867"/>
      <c r="BA219" s="2867"/>
      <c r="BB219" s="2867"/>
      <c r="BC219" s="2867"/>
      <c r="BD219" s="2867"/>
      <c r="BE219" s="2867"/>
      <c r="BF219" s="2867"/>
      <c r="BG219" s="2867"/>
      <c r="BH219" s="2867"/>
      <c r="BI219" s="2867"/>
      <c r="BJ219" s="2867"/>
      <c r="BK219" s="2867"/>
      <c r="BL219" s="2867"/>
      <c r="BM219" s="2867"/>
      <c r="BN219" s="2867"/>
      <c r="BO219" s="2867"/>
      <c r="BP219" s="2867"/>
      <c r="BQ219" s="2867"/>
      <c r="BR219" s="2867"/>
      <c r="BS219" s="2867"/>
      <c r="BT219" s="2867"/>
      <c r="BU219" s="2867"/>
      <c r="BV219" s="2867"/>
      <c r="BW219" s="2867"/>
      <c r="BX219" s="2867"/>
      <c r="BY219" s="2867"/>
      <c r="BZ219" s="2867"/>
      <c r="CA219" s="2867"/>
      <c r="CB219" s="2867"/>
      <c r="CC219" s="2867"/>
      <c r="CD219" s="2867"/>
      <c r="CE219" s="2867"/>
      <c r="CF219" s="2867"/>
      <c r="CG219" s="2867"/>
      <c r="CH219" s="2867"/>
      <c r="CI219" s="2867"/>
      <c r="CJ219" s="2867"/>
      <c r="CK219" s="2867"/>
      <c r="CL219" s="2867"/>
      <c r="CM219" s="2867"/>
      <c r="CN219" s="2867"/>
      <c r="CO219" s="2867"/>
      <c r="CP219" s="2867"/>
      <c r="CQ219" s="2867"/>
      <c r="CR219" s="2867"/>
      <c r="CS219" s="2867"/>
      <c r="CT219" s="2867"/>
      <c r="CU219" s="2867"/>
      <c r="CV219" s="2867"/>
      <c r="CW219" s="2867"/>
    </row>
    <row r="220" spans="1:101">
      <c r="A220" s="2867"/>
      <c r="B220" s="2867"/>
      <c r="C220" s="2867"/>
      <c r="D220" s="2867"/>
      <c r="E220" s="2867"/>
      <c r="F220" s="2867"/>
      <c r="G220" s="2867"/>
      <c r="H220" s="2867"/>
      <c r="I220" s="2867"/>
      <c r="J220" s="2867"/>
      <c r="K220" s="2867"/>
      <c r="L220" s="2867"/>
      <c r="M220" s="2867"/>
      <c r="O220" s="2867"/>
      <c r="P220" s="2948"/>
      <c r="Q220" s="2867"/>
      <c r="R220" s="2867"/>
      <c r="S220" s="2910"/>
      <c r="T220" s="2867"/>
      <c r="U220" s="2867"/>
      <c r="V220" s="2867"/>
      <c r="W220" s="2867"/>
      <c r="X220" s="2867"/>
      <c r="Y220" s="2867"/>
      <c r="Z220" s="2867"/>
      <c r="AA220" s="2867"/>
      <c r="AB220" s="2867"/>
      <c r="AC220" s="2867"/>
      <c r="AD220" s="2867"/>
      <c r="AE220" s="2867"/>
      <c r="AF220" s="2867"/>
      <c r="AG220" s="2867"/>
      <c r="AH220" s="2940"/>
      <c r="AI220" s="2922"/>
      <c r="AJ220" s="2867"/>
      <c r="AK220" s="2910"/>
      <c r="AL220" s="2867"/>
      <c r="AM220" s="2867"/>
      <c r="AN220" s="2867"/>
      <c r="AO220" s="2870"/>
      <c r="AP220" s="2867"/>
      <c r="AQ220" s="2870"/>
      <c r="AR220" s="2870"/>
      <c r="AS220" s="2870"/>
      <c r="AT220" s="2867"/>
      <c r="AU220" s="2867"/>
      <c r="AV220" s="2867"/>
      <c r="AW220" s="2867"/>
      <c r="AX220" s="2867"/>
      <c r="AY220" s="2867"/>
      <c r="AZ220" s="2867"/>
      <c r="BA220" s="2867"/>
      <c r="BB220" s="2867"/>
      <c r="BC220" s="2867"/>
      <c r="BD220" s="2867"/>
      <c r="BE220" s="2867"/>
      <c r="BF220" s="2867"/>
      <c r="BG220" s="2867"/>
      <c r="BH220" s="2867"/>
      <c r="BI220" s="2867"/>
      <c r="BJ220" s="2867"/>
      <c r="BK220" s="2867"/>
      <c r="BL220" s="2867"/>
      <c r="BM220" s="2867"/>
      <c r="BN220" s="2867"/>
      <c r="BO220" s="2867"/>
      <c r="BP220" s="2867"/>
      <c r="BQ220" s="2867"/>
      <c r="BR220" s="2867"/>
      <c r="BS220" s="2867"/>
      <c r="BT220" s="2867"/>
      <c r="BU220" s="2867"/>
      <c r="BV220" s="2867"/>
      <c r="BW220" s="2867"/>
      <c r="BX220" s="2867"/>
      <c r="BY220" s="2867"/>
      <c r="BZ220" s="2867"/>
      <c r="CA220" s="2867"/>
      <c r="CB220" s="2867"/>
      <c r="CC220" s="2867"/>
      <c r="CD220" s="2867"/>
      <c r="CE220" s="2867"/>
      <c r="CF220" s="2867"/>
      <c r="CG220" s="2867"/>
      <c r="CH220" s="2867"/>
      <c r="CI220" s="2867"/>
      <c r="CJ220" s="2867"/>
      <c r="CK220" s="2867"/>
      <c r="CL220" s="2867"/>
      <c r="CM220" s="2867"/>
      <c r="CN220" s="2867"/>
      <c r="CO220" s="2867"/>
      <c r="CP220" s="2867"/>
      <c r="CQ220" s="2867"/>
      <c r="CR220" s="2867"/>
      <c r="CS220" s="2867"/>
      <c r="CT220" s="2867"/>
      <c r="CU220" s="2867"/>
      <c r="CV220" s="2867"/>
      <c r="CW220" s="2867"/>
    </row>
    <row r="221" spans="1:101">
      <c r="A221" s="2935"/>
      <c r="B221" s="2910"/>
      <c r="C221" s="2867"/>
      <c r="D221" s="2867"/>
      <c r="E221" s="2867"/>
      <c r="F221" s="2867"/>
      <c r="G221" s="2867"/>
      <c r="H221" s="2910"/>
      <c r="I221" s="2910"/>
      <c r="J221" s="2910"/>
      <c r="K221" s="2910"/>
      <c r="L221" s="2910"/>
      <c r="M221" s="2910"/>
      <c r="O221" s="2867"/>
      <c r="P221" s="2867"/>
      <c r="Q221" s="2867"/>
      <c r="R221" s="2867"/>
      <c r="S221" s="2867"/>
      <c r="T221" s="2867"/>
      <c r="U221" s="2867"/>
      <c r="V221" s="2867"/>
      <c r="W221" s="2867"/>
      <c r="X221" s="2867"/>
      <c r="Y221" s="2867"/>
      <c r="Z221" s="2867"/>
      <c r="AA221" s="2867"/>
      <c r="AB221" s="2867"/>
      <c r="AC221" s="2867"/>
      <c r="AD221" s="2867"/>
      <c r="AE221" s="2867"/>
      <c r="AF221" s="2867"/>
      <c r="AG221" s="2867"/>
      <c r="AH221" s="2940"/>
      <c r="AI221" s="2867"/>
      <c r="AJ221" s="2867"/>
      <c r="AK221" s="2867"/>
      <c r="AL221" s="2867"/>
      <c r="AM221" s="2867"/>
      <c r="AN221" s="2867"/>
      <c r="AO221" s="2870"/>
      <c r="AP221" s="2867"/>
      <c r="AQ221" s="2942"/>
      <c r="AR221" s="2942"/>
      <c r="AS221" s="2942"/>
      <c r="AT221" s="2867"/>
      <c r="AU221" s="2867"/>
      <c r="AV221" s="2867"/>
      <c r="AW221" s="2867"/>
      <c r="AX221" s="2867"/>
      <c r="AY221" s="2867"/>
      <c r="AZ221" s="2867"/>
      <c r="BA221" s="2867"/>
      <c r="BB221" s="2867"/>
      <c r="BC221" s="2867"/>
      <c r="BD221" s="2867"/>
      <c r="BE221" s="2867"/>
      <c r="BF221" s="2867"/>
      <c r="BG221" s="2867"/>
      <c r="BH221" s="2867"/>
      <c r="BI221" s="2867"/>
      <c r="BJ221" s="2867"/>
      <c r="BK221" s="2867"/>
      <c r="BL221" s="2867"/>
      <c r="BM221" s="2867"/>
      <c r="BN221" s="2867"/>
      <c r="BO221" s="2867"/>
      <c r="BP221" s="2867"/>
      <c r="BQ221" s="2867"/>
      <c r="BR221" s="2867"/>
      <c r="BS221" s="2867"/>
      <c r="BT221" s="2867"/>
      <c r="BU221" s="2867"/>
      <c r="BV221" s="2867"/>
      <c r="BW221" s="2867"/>
      <c r="BX221" s="2867"/>
      <c r="BY221" s="2867"/>
      <c r="BZ221" s="2867"/>
      <c r="CA221" s="2867"/>
      <c r="CB221" s="2867"/>
      <c r="CC221" s="2867"/>
      <c r="CD221" s="2867"/>
      <c r="CE221" s="2867"/>
      <c r="CF221" s="2867"/>
      <c r="CG221" s="2867"/>
      <c r="CH221" s="2867"/>
      <c r="CI221" s="2867"/>
      <c r="CJ221" s="2867"/>
      <c r="CK221" s="2867"/>
      <c r="CL221" s="2867"/>
      <c r="CM221" s="2867"/>
      <c r="CN221" s="2867"/>
      <c r="CO221" s="2867"/>
      <c r="CP221" s="2867"/>
      <c r="CQ221" s="2867"/>
      <c r="CR221" s="2867"/>
      <c r="CS221" s="2867"/>
      <c r="CT221" s="2867"/>
      <c r="CU221" s="2867"/>
      <c r="CV221" s="2867"/>
      <c r="CW221" s="2867"/>
    </row>
    <row r="222" spans="1:101">
      <c r="A222" s="2867"/>
      <c r="B222" s="2910"/>
      <c r="C222" s="2867"/>
      <c r="D222" s="2867"/>
      <c r="E222" s="2867"/>
      <c r="F222" s="2867"/>
      <c r="G222" s="2867"/>
      <c r="H222" s="2867"/>
      <c r="I222" s="2867"/>
      <c r="J222" s="2867"/>
      <c r="K222" s="2867"/>
      <c r="L222" s="2867"/>
      <c r="M222" s="2867"/>
      <c r="O222" s="2867"/>
      <c r="P222" s="2867"/>
      <c r="Q222" s="2867"/>
      <c r="R222" s="2867"/>
      <c r="S222" s="2867"/>
      <c r="T222" s="2867"/>
      <c r="U222" s="2867"/>
      <c r="V222" s="2867"/>
      <c r="W222" s="2867"/>
      <c r="X222" s="2867"/>
      <c r="Y222" s="2867"/>
      <c r="Z222" s="2867"/>
      <c r="AA222" s="2867"/>
      <c r="AB222" s="2867"/>
      <c r="AC222" s="2867"/>
      <c r="AD222" s="2867"/>
      <c r="AE222" s="2867"/>
      <c r="AF222" s="2867"/>
      <c r="AG222" s="2867"/>
      <c r="AH222" s="2940"/>
      <c r="AI222" s="2867"/>
      <c r="AJ222" s="2867"/>
      <c r="AK222" s="2867"/>
      <c r="AL222" s="2867"/>
      <c r="AM222" s="2867"/>
      <c r="AN222" s="2867"/>
      <c r="AO222" s="2867"/>
      <c r="AP222" s="2867"/>
      <c r="AQ222" s="2867"/>
      <c r="AR222" s="2870"/>
      <c r="AS222" s="2867"/>
      <c r="AT222" s="2867"/>
      <c r="AU222" s="2867"/>
      <c r="AV222" s="2867"/>
      <c r="AW222" s="2867"/>
      <c r="AX222" s="2867"/>
      <c r="AY222" s="2867"/>
      <c r="AZ222" s="2867"/>
      <c r="BA222" s="2867"/>
      <c r="BB222" s="2867"/>
      <c r="BC222" s="2867"/>
      <c r="BD222" s="2867"/>
      <c r="BE222" s="2867"/>
      <c r="BF222" s="2867"/>
      <c r="BG222" s="2867"/>
      <c r="BH222" s="2867"/>
      <c r="BI222" s="2867"/>
      <c r="BJ222" s="2867"/>
      <c r="BK222" s="2867"/>
      <c r="BL222" s="2867"/>
      <c r="BM222" s="2867"/>
      <c r="BN222" s="2867"/>
      <c r="BO222" s="2867"/>
      <c r="BP222" s="2867"/>
      <c r="BQ222" s="2867"/>
      <c r="BR222" s="2867"/>
      <c r="BS222" s="2867"/>
      <c r="BT222" s="2867"/>
      <c r="BU222" s="2867"/>
      <c r="BV222" s="2867"/>
      <c r="BW222" s="2867"/>
      <c r="BX222" s="2867"/>
      <c r="BY222" s="2867"/>
      <c r="BZ222" s="2867"/>
      <c r="CA222" s="2867"/>
      <c r="CB222" s="2867"/>
      <c r="CC222" s="2867"/>
      <c r="CD222" s="2867"/>
      <c r="CE222" s="2867"/>
      <c r="CF222" s="2867"/>
      <c r="CG222" s="2867"/>
      <c r="CH222" s="2867"/>
      <c r="CI222" s="2867"/>
      <c r="CJ222" s="2867"/>
      <c r="CK222" s="2867"/>
      <c r="CL222" s="2867"/>
      <c r="CM222" s="2867"/>
      <c r="CN222" s="2867"/>
      <c r="CO222" s="2867"/>
      <c r="CP222" s="2867"/>
      <c r="CQ222" s="2867"/>
      <c r="CR222" s="2867"/>
      <c r="CS222" s="2867"/>
      <c r="CT222" s="2867"/>
      <c r="CU222" s="2867"/>
      <c r="CV222" s="2867"/>
      <c r="CW222" s="2867"/>
    </row>
    <row r="223" spans="1:101">
      <c r="A223" s="2867"/>
      <c r="B223" s="2910"/>
      <c r="C223" s="2867"/>
      <c r="D223" s="2867"/>
      <c r="E223" s="2867"/>
      <c r="F223" s="2867"/>
      <c r="G223" s="2867"/>
      <c r="H223" s="2867"/>
      <c r="I223" s="2867"/>
      <c r="J223" s="2867"/>
      <c r="K223" s="2867"/>
      <c r="L223" s="2867"/>
      <c r="M223" s="2867"/>
      <c r="O223" s="2867"/>
      <c r="P223" s="2867"/>
      <c r="Q223" s="2867"/>
      <c r="R223" s="2867"/>
      <c r="S223" s="2867"/>
      <c r="T223" s="2867"/>
      <c r="U223" s="2867"/>
      <c r="V223" s="2867"/>
      <c r="W223" s="2867"/>
      <c r="X223" s="2867"/>
      <c r="Y223" s="2867"/>
      <c r="Z223" s="2867"/>
      <c r="AA223" s="2867"/>
      <c r="AB223" s="2867"/>
      <c r="AC223" s="2867"/>
      <c r="AD223" s="2867"/>
      <c r="AE223" s="2867"/>
      <c r="AF223" s="2867"/>
      <c r="AG223" s="2867"/>
      <c r="AH223" s="2940"/>
      <c r="AI223" s="2910"/>
      <c r="AJ223" s="2867"/>
      <c r="AK223" s="2867"/>
      <c r="AL223" s="2867"/>
      <c r="AM223" s="2867"/>
      <c r="AN223" s="2867"/>
      <c r="AO223" s="2867"/>
      <c r="AP223" s="2867"/>
      <c r="AQ223" s="2867"/>
      <c r="AR223" s="2867"/>
      <c r="AS223" s="2867"/>
      <c r="AT223" s="2867"/>
      <c r="AU223" s="2867"/>
      <c r="AV223" s="2867"/>
      <c r="AW223" s="2867"/>
      <c r="AX223" s="2867"/>
      <c r="AY223" s="2867"/>
      <c r="AZ223" s="2867"/>
      <c r="BA223" s="2867"/>
      <c r="BB223" s="2867"/>
      <c r="BC223" s="2867"/>
      <c r="BD223" s="2867"/>
      <c r="BE223" s="2867"/>
      <c r="BF223" s="2867"/>
      <c r="BG223" s="2867"/>
      <c r="BH223" s="2867"/>
      <c r="BI223" s="2867"/>
      <c r="BJ223" s="2867"/>
      <c r="BK223" s="2867"/>
      <c r="BL223" s="2867"/>
      <c r="BM223" s="2867"/>
      <c r="BN223" s="2867"/>
      <c r="BO223" s="2867"/>
      <c r="BP223" s="2867"/>
      <c r="BQ223" s="2867"/>
      <c r="BR223" s="2867"/>
      <c r="BS223" s="2867"/>
      <c r="BT223" s="2867"/>
      <c r="BU223" s="2867"/>
      <c r="BV223" s="2867"/>
      <c r="BW223" s="2867"/>
      <c r="BX223" s="2867"/>
      <c r="BY223" s="2867"/>
      <c r="BZ223" s="2867"/>
      <c r="CA223" s="2867"/>
      <c r="CB223" s="2867"/>
      <c r="CC223" s="2867"/>
      <c r="CD223" s="2867"/>
      <c r="CE223" s="2867"/>
      <c r="CF223" s="2867"/>
      <c r="CG223" s="2867"/>
      <c r="CH223" s="2867"/>
      <c r="CI223" s="2867"/>
      <c r="CJ223" s="2867"/>
      <c r="CK223" s="2867"/>
      <c r="CL223" s="2867"/>
      <c r="CM223" s="2867"/>
      <c r="CN223" s="2867"/>
      <c r="CO223" s="2867"/>
      <c r="CP223" s="2867"/>
      <c r="CQ223" s="2867"/>
      <c r="CR223" s="2867"/>
      <c r="CS223" s="2867"/>
      <c r="CT223" s="2867"/>
      <c r="CU223" s="2867"/>
      <c r="CV223" s="2867"/>
      <c r="CW223" s="2867"/>
    </row>
    <row r="224" spans="1:101">
      <c r="A224" s="2867"/>
      <c r="B224" s="2910"/>
      <c r="C224" s="2867"/>
      <c r="D224" s="2867"/>
      <c r="E224" s="2867"/>
      <c r="F224" s="2867"/>
      <c r="G224" s="2867"/>
      <c r="H224" s="2867"/>
      <c r="I224" s="2867"/>
      <c r="J224" s="2867"/>
      <c r="K224" s="2867"/>
      <c r="L224" s="2867"/>
      <c r="M224" s="2867"/>
      <c r="O224" s="2867"/>
      <c r="P224" s="2867"/>
      <c r="Q224" s="2867"/>
      <c r="R224" s="2867"/>
      <c r="S224" s="2867"/>
      <c r="T224" s="2867"/>
      <c r="U224" s="2867"/>
      <c r="V224" s="2867"/>
      <c r="W224" s="2867"/>
      <c r="X224" s="2867"/>
      <c r="Y224" s="2867"/>
      <c r="Z224" s="2867"/>
      <c r="AA224" s="2867"/>
      <c r="AB224" s="2867"/>
      <c r="AC224" s="2867"/>
      <c r="AD224" s="2867"/>
      <c r="AE224" s="2867"/>
      <c r="AF224" s="2867"/>
      <c r="AG224" s="2867"/>
      <c r="AH224" s="2867"/>
      <c r="AI224" s="2867"/>
      <c r="AJ224" s="2867"/>
      <c r="AK224" s="2867"/>
      <c r="AL224" s="2867"/>
      <c r="AM224" s="2867"/>
      <c r="AN224" s="2867"/>
      <c r="AO224" s="2867"/>
      <c r="AP224" s="2867"/>
      <c r="AQ224" s="2867"/>
      <c r="AR224" s="2867"/>
      <c r="AS224" s="2867"/>
      <c r="AT224" s="2867"/>
      <c r="AU224" s="2867"/>
      <c r="AV224" s="2867"/>
      <c r="AW224" s="2867"/>
      <c r="AX224" s="2867"/>
      <c r="AY224" s="2867"/>
      <c r="AZ224" s="2867"/>
      <c r="BA224" s="2867"/>
      <c r="BB224" s="2867"/>
      <c r="BC224" s="2867"/>
      <c r="BD224" s="2867"/>
      <c r="BE224" s="2867"/>
      <c r="BF224" s="2867"/>
      <c r="BG224" s="2867"/>
      <c r="BH224" s="2867"/>
      <c r="BI224" s="2867"/>
      <c r="BJ224" s="2867"/>
      <c r="BK224" s="2867"/>
      <c r="BL224" s="2867"/>
      <c r="BM224" s="2867"/>
      <c r="BN224" s="2867"/>
      <c r="BO224" s="2867"/>
      <c r="BP224" s="2867"/>
      <c r="BQ224" s="2867"/>
      <c r="BR224" s="2867"/>
      <c r="BS224" s="2867"/>
      <c r="BT224" s="2867"/>
      <c r="BU224" s="2867"/>
      <c r="BV224" s="2867"/>
      <c r="BW224" s="2867"/>
      <c r="BX224" s="2867"/>
      <c r="BY224" s="2867"/>
      <c r="BZ224" s="2867"/>
      <c r="CA224" s="2867"/>
      <c r="CB224" s="2867"/>
      <c r="CC224" s="2867"/>
      <c r="CD224" s="2867"/>
      <c r="CE224" s="2867"/>
      <c r="CF224" s="2867"/>
      <c r="CG224" s="2867"/>
      <c r="CH224" s="2867"/>
      <c r="CI224" s="2867"/>
      <c r="CJ224" s="2867"/>
      <c r="CK224" s="2867"/>
      <c r="CL224" s="2867"/>
      <c r="CM224" s="2867"/>
      <c r="CN224" s="2867"/>
      <c r="CO224" s="2867"/>
      <c r="CP224" s="2867"/>
      <c r="CQ224" s="2867"/>
      <c r="CR224" s="2867"/>
      <c r="CS224" s="2867"/>
      <c r="CT224" s="2867"/>
      <c r="CU224" s="2867"/>
      <c r="CV224" s="2867"/>
      <c r="CW224" s="2867"/>
    </row>
    <row r="225" spans="1:101">
      <c r="A225" s="2867"/>
      <c r="B225" s="2910"/>
      <c r="C225" s="2867"/>
      <c r="D225" s="2867"/>
      <c r="E225" s="2867"/>
      <c r="F225" s="2867"/>
      <c r="G225" s="2867"/>
      <c r="H225" s="2867"/>
      <c r="I225" s="2867"/>
      <c r="J225" s="2867"/>
      <c r="K225" s="2867"/>
      <c r="L225" s="2867"/>
      <c r="M225" s="2867"/>
      <c r="O225" s="2867"/>
      <c r="P225" s="2867"/>
      <c r="Q225" s="2867"/>
      <c r="R225" s="2867"/>
      <c r="S225" s="2867"/>
      <c r="T225" s="2867"/>
      <c r="U225" s="2867"/>
      <c r="V225" s="2867"/>
      <c r="W225" s="2867"/>
      <c r="X225" s="2867"/>
      <c r="Y225" s="2867"/>
      <c r="Z225" s="2867"/>
      <c r="AA225" s="2867"/>
      <c r="AB225" s="2867"/>
      <c r="AC225" s="2867"/>
      <c r="AD225" s="2867"/>
      <c r="AE225" s="2867"/>
      <c r="AF225" s="2867"/>
      <c r="AG225" s="2867"/>
      <c r="AH225" s="2867"/>
      <c r="AI225" s="2910"/>
      <c r="AJ225" s="2867"/>
      <c r="AK225" s="2867"/>
      <c r="AL225" s="2867"/>
      <c r="AM225" s="2867"/>
      <c r="AN225" s="2867"/>
      <c r="AO225" s="2867"/>
      <c r="AP225" s="2867"/>
      <c r="AQ225" s="2867"/>
      <c r="AR225" s="2867"/>
      <c r="AS225" s="2867"/>
      <c r="AT225" s="2867"/>
      <c r="AU225" s="2867"/>
      <c r="AV225" s="2867"/>
      <c r="AW225" s="2867"/>
      <c r="AX225" s="2867"/>
      <c r="AY225" s="2867"/>
      <c r="AZ225" s="2867"/>
      <c r="BA225" s="2867"/>
      <c r="BB225" s="2867"/>
      <c r="BC225" s="2867"/>
      <c r="BD225" s="2867"/>
      <c r="BE225" s="2867"/>
      <c r="BF225" s="2867"/>
      <c r="BG225" s="2867"/>
      <c r="BH225" s="2867"/>
      <c r="BI225" s="2867"/>
      <c r="BJ225" s="2867"/>
      <c r="BK225" s="2867"/>
      <c r="BL225" s="2867"/>
      <c r="BM225" s="2867"/>
      <c r="BN225" s="2867"/>
      <c r="BO225" s="2867"/>
      <c r="BP225" s="2867"/>
      <c r="BQ225" s="2867"/>
      <c r="BR225" s="2867"/>
      <c r="BS225" s="2867"/>
      <c r="BT225" s="2867"/>
      <c r="BU225" s="2867"/>
      <c r="BV225" s="2867"/>
      <c r="BW225" s="2867"/>
      <c r="BX225" s="2867"/>
      <c r="BY225" s="2867"/>
      <c r="BZ225" s="2867"/>
      <c r="CA225" s="2867"/>
      <c r="CB225" s="2867"/>
      <c r="CC225" s="2867"/>
      <c r="CD225" s="2867"/>
      <c r="CE225" s="2867"/>
      <c r="CF225" s="2867"/>
      <c r="CG225" s="2867"/>
      <c r="CH225" s="2867"/>
      <c r="CI225" s="2867"/>
      <c r="CJ225" s="2867"/>
      <c r="CK225" s="2867"/>
      <c r="CL225" s="2867"/>
      <c r="CM225" s="2867"/>
      <c r="CN225" s="2867"/>
      <c r="CO225" s="2867"/>
      <c r="CP225" s="2867"/>
      <c r="CQ225" s="2867"/>
      <c r="CR225" s="2867"/>
      <c r="CS225" s="2867"/>
      <c r="CT225" s="2867"/>
      <c r="CU225" s="2867"/>
      <c r="CV225" s="2867"/>
      <c r="CW225" s="2867"/>
    </row>
    <row r="226" spans="1:101">
      <c r="A226" s="2867"/>
      <c r="B226" s="2949"/>
      <c r="C226" s="2867"/>
      <c r="D226" s="2867"/>
      <c r="E226" s="2867"/>
      <c r="F226" s="2867"/>
      <c r="G226" s="2867"/>
      <c r="H226" s="2867"/>
      <c r="I226" s="2867"/>
      <c r="J226" s="2867"/>
      <c r="K226" s="2867"/>
      <c r="L226" s="2867"/>
      <c r="M226" s="2867"/>
      <c r="O226" s="2867"/>
      <c r="P226" s="2867"/>
      <c r="Q226" s="2867"/>
      <c r="R226" s="2867"/>
      <c r="S226" s="2867"/>
      <c r="T226" s="2867"/>
      <c r="U226" s="2867"/>
      <c r="V226" s="2867"/>
      <c r="W226" s="2867"/>
      <c r="X226" s="2867"/>
      <c r="Y226" s="2867"/>
      <c r="Z226" s="2867"/>
      <c r="AA226" s="2867"/>
      <c r="AB226" s="2867"/>
      <c r="AC226" s="2867"/>
      <c r="AD226" s="2867"/>
      <c r="AE226" s="2867"/>
      <c r="AF226" s="2867"/>
      <c r="AG226" s="2867"/>
      <c r="AH226" s="2867"/>
      <c r="AI226" s="2867"/>
      <c r="AJ226" s="2867"/>
      <c r="AK226" s="2867"/>
      <c r="AL226" s="2867"/>
      <c r="AM226" s="2867"/>
      <c r="AN226" s="2867"/>
      <c r="AO226" s="2867"/>
      <c r="AP226" s="2867"/>
      <c r="AQ226" s="2867"/>
      <c r="AR226" s="2867"/>
      <c r="AS226" s="2867"/>
      <c r="AT226" s="2867"/>
      <c r="AU226" s="2867"/>
      <c r="AV226" s="2867"/>
      <c r="AW226" s="2867"/>
      <c r="AX226" s="2867"/>
      <c r="AY226" s="2867"/>
      <c r="AZ226" s="2867"/>
      <c r="BA226" s="2867"/>
      <c r="BB226" s="2867"/>
      <c r="BC226" s="2867"/>
      <c r="BD226" s="2867"/>
      <c r="BE226" s="2867"/>
      <c r="BF226" s="2867"/>
      <c r="BG226" s="2867"/>
      <c r="BH226" s="2867"/>
      <c r="BI226" s="2867"/>
      <c r="BJ226" s="2867"/>
      <c r="BK226" s="2867"/>
      <c r="BL226" s="2867"/>
      <c r="BM226" s="2867"/>
      <c r="BN226" s="2867"/>
      <c r="BO226" s="2867"/>
      <c r="BP226" s="2867"/>
      <c r="BQ226" s="2867"/>
      <c r="BR226" s="2867"/>
      <c r="BS226" s="2867"/>
      <c r="BT226" s="2867"/>
      <c r="BU226" s="2867"/>
      <c r="BV226" s="2867"/>
      <c r="BW226" s="2867"/>
      <c r="BX226" s="2867"/>
      <c r="BY226" s="2867"/>
      <c r="BZ226" s="2867"/>
      <c r="CA226" s="2867"/>
      <c r="CB226" s="2867"/>
      <c r="CC226" s="2867"/>
      <c r="CD226" s="2867"/>
      <c r="CE226" s="2867"/>
      <c r="CF226" s="2867"/>
      <c r="CG226" s="2867"/>
      <c r="CH226" s="2867"/>
      <c r="CI226" s="2867"/>
      <c r="CJ226" s="2867"/>
      <c r="CK226" s="2867"/>
      <c r="CL226" s="2867"/>
      <c r="CM226" s="2867"/>
      <c r="CN226" s="2867"/>
      <c r="CO226" s="2867"/>
      <c r="CP226" s="2867"/>
      <c r="CQ226" s="2867"/>
      <c r="CR226" s="2867"/>
      <c r="CS226" s="2867"/>
      <c r="CT226" s="2867"/>
      <c r="CU226" s="2867"/>
      <c r="CV226" s="2867"/>
      <c r="CW226" s="2867"/>
    </row>
    <row r="227" spans="1:101">
      <c r="A227" s="2867"/>
      <c r="B227" s="2949"/>
      <c r="C227" s="2867"/>
      <c r="D227" s="2867"/>
      <c r="E227" s="2867"/>
      <c r="F227" s="2867"/>
      <c r="G227" s="2867"/>
      <c r="H227" s="2867"/>
      <c r="I227" s="2867"/>
      <c r="J227" s="2867"/>
      <c r="K227" s="2867"/>
      <c r="L227" s="2867"/>
      <c r="M227" s="2867"/>
      <c r="O227" s="2867"/>
      <c r="P227" s="2867"/>
      <c r="Q227" s="2867"/>
      <c r="R227" s="2867"/>
      <c r="S227" s="2867"/>
      <c r="T227" s="2867"/>
      <c r="U227" s="2867"/>
      <c r="V227" s="2867"/>
      <c r="W227" s="2867"/>
      <c r="X227" s="2867"/>
      <c r="Y227" s="2867"/>
      <c r="Z227" s="2867"/>
      <c r="AA227" s="2867"/>
      <c r="AB227" s="2867"/>
      <c r="AC227" s="2867"/>
      <c r="AD227" s="2867"/>
      <c r="AE227" s="2867"/>
      <c r="AF227" s="2867"/>
      <c r="AG227" s="2867"/>
      <c r="AH227" s="2867"/>
      <c r="AI227" s="2867"/>
      <c r="AJ227" s="2867"/>
      <c r="AK227" s="2867"/>
      <c r="AL227" s="2867"/>
      <c r="AM227" s="2867"/>
      <c r="AN227" s="2867"/>
      <c r="AO227" s="2867"/>
      <c r="AP227" s="2867"/>
      <c r="AQ227" s="2867"/>
      <c r="AR227" s="2867"/>
      <c r="AS227" s="2867"/>
      <c r="AT227" s="2867"/>
      <c r="AU227" s="2867"/>
      <c r="AV227" s="2867"/>
      <c r="AW227" s="2867"/>
      <c r="AX227" s="2867"/>
      <c r="AY227" s="2867"/>
      <c r="AZ227" s="2867"/>
      <c r="BA227" s="2867"/>
      <c r="BB227" s="2867"/>
      <c r="BC227" s="2867"/>
      <c r="BD227" s="2867"/>
      <c r="BE227" s="2867"/>
      <c r="BF227" s="2867"/>
      <c r="BG227" s="2867"/>
      <c r="BH227" s="2867"/>
      <c r="BI227" s="2867"/>
      <c r="BJ227" s="2867"/>
      <c r="BK227" s="2867"/>
      <c r="BL227" s="2867"/>
      <c r="BM227" s="2867"/>
      <c r="BN227" s="2867"/>
      <c r="BO227" s="2867"/>
      <c r="BP227" s="2867"/>
      <c r="BQ227" s="2867"/>
      <c r="BR227" s="2867"/>
      <c r="BS227" s="2867"/>
      <c r="BT227" s="2867"/>
      <c r="BU227" s="2867"/>
      <c r="BV227" s="2867"/>
      <c r="BW227" s="2867"/>
      <c r="BX227" s="2867"/>
      <c r="BY227" s="2867"/>
      <c r="BZ227" s="2867"/>
      <c r="CA227" s="2867"/>
      <c r="CB227" s="2867"/>
      <c r="CC227" s="2867"/>
      <c r="CD227" s="2867"/>
      <c r="CE227" s="2867"/>
      <c r="CF227" s="2867"/>
      <c r="CG227" s="2867"/>
      <c r="CH227" s="2867"/>
      <c r="CI227" s="2867"/>
      <c r="CJ227" s="2867"/>
      <c r="CK227" s="2867"/>
      <c r="CL227" s="2867"/>
      <c r="CM227" s="2867"/>
      <c r="CN227" s="2867"/>
      <c r="CO227" s="2867"/>
      <c r="CP227" s="2867"/>
      <c r="CQ227" s="2867"/>
      <c r="CR227" s="2867"/>
      <c r="CS227" s="2867"/>
      <c r="CT227" s="2867"/>
      <c r="CU227" s="2867"/>
      <c r="CV227" s="2867"/>
      <c r="CW227" s="2867"/>
    </row>
    <row r="228" spans="1:101">
      <c r="A228" s="2867"/>
      <c r="B228" s="2949"/>
      <c r="C228" s="2867"/>
      <c r="D228" s="2867"/>
      <c r="E228" s="2867"/>
      <c r="F228" s="2867"/>
      <c r="G228" s="2867"/>
      <c r="H228" s="2867"/>
      <c r="I228" s="2867"/>
      <c r="J228" s="2867"/>
      <c r="K228" s="2867"/>
      <c r="L228" s="2867"/>
      <c r="M228" s="2867"/>
      <c r="O228" s="2867"/>
      <c r="P228" s="2867"/>
      <c r="Q228" s="2867"/>
      <c r="R228" s="2867"/>
      <c r="S228" s="2867"/>
      <c r="T228" s="2867"/>
      <c r="U228" s="2867"/>
      <c r="V228" s="2867"/>
      <c r="W228" s="2867"/>
      <c r="X228" s="2867"/>
      <c r="Y228" s="2867"/>
      <c r="Z228" s="2867"/>
      <c r="AA228" s="2867"/>
      <c r="AB228" s="2867"/>
      <c r="AC228" s="2867"/>
      <c r="AD228" s="2867"/>
      <c r="AE228" s="2867"/>
      <c r="AF228" s="2867"/>
      <c r="AG228" s="2867"/>
      <c r="AH228" s="2867"/>
      <c r="AI228" s="2867"/>
      <c r="AJ228" s="2867"/>
      <c r="AK228" s="2867"/>
      <c r="AL228" s="2867"/>
      <c r="AM228" s="2867"/>
      <c r="AN228" s="2867"/>
      <c r="AO228" s="2867"/>
      <c r="AP228" s="2867"/>
      <c r="AQ228" s="2867"/>
      <c r="AR228" s="2867"/>
      <c r="AS228" s="2867"/>
      <c r="AT228" s="2867"/>
      <c r="AU228" s="2867"/>
      <c r="AV228" s="2867"/>
      <c r="AW228" s="2867"/>
      <c r="AX228" s="2867"/>
      <c r="AY228" s="2867"/>
      <c r="AZ228" s="2867"/>
      <c r="BA228" s="2867"/>
      <c r="BB228" s="2867"/>
      <c r="BC228" s="2867"/>
      <c r="BD228" s="2867"/>
      <c r="BE228" s="2867"/>
      <c r="BF228" s="2867"/>
      <c r="BG228" s="2867"/>
      <c r="BH228" s="2867"/>
      <c r="BI228" s="2867"/>
      <c r="BJ228" s="2867"/>
      <c r="BK228" s="2867"/>
      <c r="BL228" s="2867"/>
      <c r="BM228" s="2867"/>
      <c r="BN228" s="2867"/>
      <c r="BO228" s="2867"/>
      <c r="BP228" s="2867"/>
      <c r="BQ228" s="2867"/>
      <c r="BR228" s="2867"/>
      <c r="BS228" s="2867"/>
      <c r="BT228" s="2867"/>
      <c r="BU228" s="2867"/>
      <c r="BV228" s="2867"/>
      <c r="BW228" s="2867"/>
      <c r="BX228" s="2867"/>
      <c r="BY228" s="2867"/>
      <c r="BZ228" s="2867"/>
      <c r="CA228" s="2867"/>
      <c r="CB228" s="2867"/>
      <c r="CC228" s="2867"/>
      <c r="CD228" s="2867"/>
      <c r="CE228" s="2867"/>
      <c r="CF228" s="2867"/>
      <c r="CG228" s="2867"/>
      <c r="CH228" s="2867"/>
      <c r="CI228" s="2867"/>
      <c r="CJ228" s="2867"/>
      <c r="CK228" s="2867"/>
      <c r="CL228" s="2867"/>
      <c r="CM228" s="2867"/>
      <c r="CN228" s="2867"/>
      <c r="CO228" s="2867"/>
      <c r="CP228" s="2867"/>
      <c r="CQ228" s="2867"/>
      <c r="CR228" s="2867"/>
      <c r="CS228" s="2867"/>
      <c r="CT228" s="2867"/>
      <c r="CU228" s="2867"/>
      <c r="CV228" s="2867"/>
      <c r="CW228" s="2867"/>
    </row>
    <row r="229" spans="1:101">
      <c r="A229" s="2867"/>
      <c r="B229" s="2949"/>
      <c r="C229" s="2867"/>
      <c r="D229" s="2867"/>
      <c r="E229" s="2867"/>
      <c r="F229" s="2867"/>
      <c r="G229" s="2867"/>
      <c r="H229" s="2867"/>
      <c r="I229" s="2867"/>
      <c r="J229" s="2867"/>
      <c r="K229" s="2867"/>
      <c r="L229" s="2867"/>
      <c r="M229" s="2867"/>
      <c r="O229" s="2867"/>
      <c r="P229" s="2867"/>
      <c r="Q229" s="2867"/>
      <c r="R229" s="2867"/>
      <c r="S229" s="2867"/>
      <c r="T229" s="2867"/>
      <c r="U229" s="2867"/>
      <c r="V229" s="2867"/>
      <c r="W229" s="2867"/>
      <c r="X229" s="2867"/>
      <c r="Y229" s="2867"/>
      <c r="Z229" s="2867"/>
      <c r="AA229" s="2867"/>
      <c r="AB229" s="2867"/>
      <c r="AC229" s="2867"/>
      <c r="AD229" s="2867"/>
      <c r="AE229" s="2867"/>
      <c r="AF229" s="2867"/>
      <c r="AG229" s="2867"/>
      <c r="AH229" s="2940"/>
      <c r="AI229" s="2867"/>
      <c r="AJ229" s="2867"/>
      <c r="AK229" s="2867"/>
      <c r="AL229" s="2867"/>
      <c r="AM229" s="2867"/>
      <c r="AN229" s="2867"/>
      <c r="AO229" s="2867"/>
      <c r="AP229" s="2867"/>
      <c r="AQ229" s="2867"/>
      <c r="AR229" s="2870"/>
      <c r="AS229" s="2867"/>
      <c r="AT229" s="2867"/>
      <c r="AU229" s="2867"/>
      <c r="AV229" s="2867"/>
      <c r="AW229" s="2867"/>
      <c r="AX229" s="2867"/>
      <c r="AY229" s="2867"/>
      <c r="AZ229" s="2867"/>
      <c r="BA229" s="2867"/>
      <c r="BB229" s="2867"/>
      <c r="BC229" s="2867"/>
      <c r="BD229" s="2867"/>
      <c r="BE229" s="2867"/>
      <c r="BF229" s="2867"/>
      <c r="BG229" s="2867"/>
      <c r="BH229" s="2867"/>
      <c r="BI229" s="2867"/>
      <c r="BJ229" s="2867"/>
      <c r="BK229" s="2867"/>
      <c r="BL229" s="2867"/>
      <c r="BM229" s="2867"/>
      <c r="BN229" s="2867"/>
      <c r="BO229" s="2867"/>
      <c r="BP229" s="2867"/>
      <c r="BQ229" s="2867"/>
      <c r="BR229" s="2867"/>
      <c r="BS229" s="2867"/>
      <c r="BT229" s="2867"/>
      <c r="BU229" s="2867"/>
      <c r="BV229" s="2867"/>
      <c r="BW229" s="2867"/>
      <c r="BX229" s="2867"/>
      <c r="BY229" s="2867"/>
      <c r="BZ229" s="2867"/>
      <c r="CA229" s="2867"/>
      <c r="CB229" s="2867"/>
      <c r="CC229" s="2867"/>
      <c r="CD229" s="2867"/>
      <c r="CE229" s="2867"/>
      <c r="CF229" s="2867"/>
      <c r="CG229" s="2867"/>
      <c r="CH229" s="2867"/>
      <c r="CI229" s="2867"/>
      <c r="CJ229" s="2867"/>
      <c r="CK229" s="2867"/>
      <c r="CL229" s="2867"/>
      <c r="CM229" s="2867"/>
      <c r="CN229" s="2867"/>
      <c r="CO229" s="2867"/>
      <c r="CP229" s="2867"/>
      <c r="CQ229" s="2867"/>
      <c r="CR229" s="2867"/>
      <c r="CS229" s="2867"/>
      <c r="CT229" s="2867"/>
      <c r="CU229" s="2867"/>
      <c r="CV229" s="2867"/>
      <c r="CW229" s="2867"/>
    </row>
    <row r="230" spans="1:101">
      <c r="A230" s="2935"/>
      <c r="B230" s="2910"/>
      <c r="C230" s="2867"/>
      <c r="D230" s="2867"/>
      <c r="E230" s="2867"/>
      <c r="F230" s="2867"/>
      <c r="G230" s="2867"/>
      <c r="H230" s="2867"/>
      <c r="I230" s="2867"/>
      <c r="J230" s="2867"/>
      <c r="K230" s="2867"/>
      <c r="L230" s="2867"/>
      <c r="M230" s="2867"/>
      <c r="O230" s="2867"/>
      <c r="P230" s="2867"/>
      <c r="Q230" s="2867"/>
      <c r="R230" s="2867"/>
      <c r="S230" s="2867"/>
      <c r="T230" s="2867"/>
      <c r="U230" s="2867"/>
      <c r="V230" s="2867"/>
      <c r="W230" s="2867"/>
      <c r="X230" s="2867"/>
      <c r="Y230" s="2867"/>
      <c r="Z230" s="2867"/>
      <c r="AA230" s="2867"/>
      <c r="AB230" s="2867"/>
      <c r="AC230" s="2867"/>
      <c r="AD230" s="2867"/>
      <c r="AE230" s="2867"/>
      <c r="AF230" s="2867"/>
      <c r="AG230" s="2867"/>
      <c r="AH230" s="2940"/>
      <c r="AI230" s="2867"/>
      <c r="AJ230" s="2867"/>
      <c r="AK230" s="2867"/>
      <c r="AL230" s="2867"/>
      <c r="AM230" s="2867"/>
      <c r="AN230" s="2867"/>
      <c r="AO230" s="2867"/>
      <c r="AP230" s="2867"/>
      <c r="AQ230" s="2870"/>
      <c r="AR230" s="2867"/>
      <c r="AS230" s="2867"/>
      <c r="AT230" s="2867"/>
      <c r="AU230" s="2867"/>
      <c r="AV230" s="2867"/>
      <c r="AW230" s="2867"/>
      <c r="AX230" s="2867"/>
      <c r="AY230" s="2867"/>
      <c r="AZ230" s="2867"/>
      <c r="BA230" s="2867"/>
      <c r="BB230" s="2867"/>
      <c r="BC230" s="2867"/>
      <c r="BD230" s="2867"/>
      <c r="BE230" s="2867"/>
      <c r="BF230" s="2867"/>
      <c r="BG230" s="2867"/>
      <c r="BH230" s="2867"/>
      <c r="BI230" s="2867"/>
      <c r="BJ230" s="2867"/>
      <c r="BK230" s="2867"/>
      <c r="BL230" s="2867"/>
      <c r="BM230" s="2867"/>
      <c r="BN230" s="2867"/>
      <c r="BO230" s="2867"/>
      <c r="BP230" s="2867"/>
      <c r="BQ230" s="2867"/>
      <c r="BR230" s="2867"/>
      <c r="BS230" s="2867"/>
      <c r="BT230" s="2867"/>
      <c r="BU230" s="2867"/>
      <c r="BV230" s="2867"/>
      <c r="BW230" s="2867"/>
      <c r="BX230" s="2867"/>
      <c r="BY230" s="2867"/>
      <c r="BZ230" s="2867"/>
      <c r="CA230" s="2867"/>
      <c r="CB230" s="2867"/>
      <c r="CC230" s="2867"/>
      <c r="CD230" s="2867"/>
      <c r="CE230" s="2867"/>
      <c r="CF230" s="2867"/>
      <c r="CG230" s="2867"/>
      <c r="CH230" s="2867"/>
      <c r="CI230" s="2867"/>
      <c r="CJ230" s="2867"/>
      <c r="CK230" s="2867"/>
      <c r="CL230" s="2867"/>
      <c r="CM230" s="2867"/>
      <c r="CN230" s="2867"/>
      <c r="CO230" s="2867"/>
      <c r="CP230" s="2867"/>
      <c r="CQ230" s="2867"/>
      <c r="CR230" s="2867"/>
      <c r="CS230" s="2867"/>
      <c r="CT230" s="2867"/>
      <c r="CU230" s="2867"/>
      <c r="CV230" s="2867"/>
      <c r="CW230" s="2867"/>
    </row>
    <row r="231" spans="1:101">
      <c r="A231" s="2867"/>
      <c r="B231" s="2910"/>
      <c r="C231" s="2867"/>
      <c r="D231" s="2867"/>
      <c r="E231" s="2867"/>
      <c r="F231" s="2867"/>
      <c r="G231" s="2867"/>
      <c r="H231" s="2867"/>
      <c r="I231" s="2867"/>
      <c r="J231" s="2867"/>
      <c r="K231" s="2867"/>
      <c r="L231" s="2867"/>
      <c r="M231" s="2867"/>
      <c r="O231" s="2867"/>
      <c r="P231" s="2867"/>
      <c r="Q231" s="2867"/>
      <c r="R231" s="2867"/>
      <c r="S231" s="2867"/>
      <c r="T231" s="2867"/>
      <c r="U231" s="2867"/>
      <c r="V231" s="2867"/>
      <c r="W231" s="2867"/>
      <c r="X231" s="2867"/>
      <c r="Y231" s="2867"/>
      <c r="Z231" s="2867"/>
      <c r="AA231" s="2867"/>
      <c r="AB231" s="2867"/>
      <c r="AC231" s="2867"/>
      <c r="AD231" s="2867"/>
      <c r="AE231" s="2867"/>
      <c r="AF231" s="2867"/>
      <c r="AG231" s="2867"/>
      <c r="AH231" s="2940"/>
      <c r="AI231" s="2867"/>
      <c r="AJ231" s="2867"/>
      <c r="AK231" s="2867"/>
      <c r="AL231" s="2867"/>
      <c r="AM231" s="2867"/>
      <c r="AN231" s="2867"/>
      <c r="AO231" s="2867"/>
      <c r="AP231" s="2867"/>
      <c r="AQ231" s="2870"/>
      <c r="AR231" s="2867"/>
      <c r="AS231" s="2867"/>
      <c r="AT231" s="2867"/>
      <c r="AU231" s="2867"/>
      <c r="AV231" s="2867"/>
      <c r="AW231" s="2867"/>
      <c r="AX231" s="2867"/>
      <c r="AY231" s="2867"/>
      <c r="AZ231" s="2867"/>
      <c r="BA231" s="2867"/>
      <c r="BB231" s="2867"/>
      <c r="BC231" s="2867"/>
      <c r="BD231" s="2867"/>
      <c r="BE231" s="2867"/>
      <c r="BF231" s="2867"/>
      <c r="BG231" s="2867"/>
      <c r="BH231" s="2867"/>
      <c r="BI231" s="2867"/>
      <c r="BJ231" s="2867"/>
      <c r="BK231" s="2867"/>
      <c r="BL231" s="2867"/>
      <c r="BM231" s="2867"/>
      <c r="BN231" s="2867"/>
      <c r="BO231" s="2867"/>
      <c r="BP231" s="2867"/>
      <c r="BQ231" s="2867"/>
      <c r="BR231" s="2867"/>
      <c r="BS231" s="2867"/>
      <c r="BT231" s="2867"/>
      <c r="BU231" s="2867"/>
      <c r="BV231" s="2867"/>
      <c r="BW231" s="2867"/>
      <c r="BX231" s="2867"/>
      <c r="BY231" s="2867"/>
      <c r="BZ231" s="2867"/>
      <c r="CA231" s="2867"/>
      <c r="CB231" s="2867"/>
      <c r="CC231" s="2867"/>
      <c r="CD231" s="2867"/>
      <c r="CE231" s="2867"/>
      <c r="CF231" s="2867"/>
      <c r="CG231" s="2867"/>
      <c r="CH231" s="2867"/>
      <c r="CI231" s="2867"/>
      <c r="CJ231" s="2867"/>
      <c r="CK231" s="2867"/>
      <c r="CL231" s="2867"/>
      <c r="CM231" s="2867"/>
      <c r="CN231" s="2867"/>
      <c r="CO231" s="2867"/>
      <c r="CP231" s="2867"/>
      <c r="CQ231" s="2867"/>
      <c r="CR231" s="2867"/>
      <c r="CS231" s="2867"/>
      <c r="CT231" s="2867"/>
      <c r="CU231" s="2867"/>
      <c r="CV231" s="2867"/>
      <c r="CW231" s="2867"/>
    </row>
    <row r="232" spans="1:101">
      <c r="A232" s="2867"/>
      <c r="B232" s="2910"/>
      <c r="C232" s="2867"/>
      <c r="D232" s="2867"/>
      <c r="E232" s="2867"/>
      <c r="F232" s="2867"/>
      <c r="G232" s="2867"/>
      <c r="H232" s="2867"/>
      <c r="I232" s="2867"/>
      <c r="J232" s="2867"/>
      <c r="K232" s="2867"/>
      <c r="L232" s="2867"/>
      <c r="M232" s="2867"/>
      <c r="O232" s="2867"/>
      <c r="P232" s="2867"/>
      <c r="Q232" s="2867"/>
      <c r="R232" s="2867"/>
      <c r="S232" s="2867"/>
      <c r="T232" s="2867"/>
      <c r="U232" s="2867"/>
      <c r="V232" s="2867"/>
      <c r="W232" s="2867"/>
      <c r="X232" s="2867"/>
      <c r="Y232" s="2867"/>
      <c r="Z232" s="2867"/>
      <c r="AA232" s="2867"/>
      <c r="AB232" s="2867"/>
      <c r="AC232" s="2867"/>
      <c r="AD232" s="2867"/>
      <c r="AE232" s="2867"/>
      <c r="AF232" s="2867"/>
      <c r="AG232" s="2867"/>
      <c r="AH232" s="2940"/>
      <c r="AI232" s="2867"/>
      <c r="AJ232" s="2867"/>
      <c r="AK232" s="2867"/>
      <c r="AL232" s="2867"/>
      <c r="AM232" s="2867"/>
      <c r="AN232" s="2867"/>
      <c r="AO232" s="2867"/>
      <c r="AP232" s="2867"/>
      <c r="AQ232" s="2870"/>
      <c r="AR232" s="2867"/>
      <c r="AS232" s="2867"/>
      <c r="AT232" s="2867"/>
      <c r="AU232" s="2867"/>
      <c r="AV232" s="2867"/>
      <c r="AW232" s="2867"/>
      <c r="AX232" s="2867"/>
      <c r="AY232" s="2867"/>
      <c r="AZ232" s="2867"/>
      <c r="BA232" s="2867"/>
      <c r="BB232" s="2867"/>
      <c r="BC232" s="2867"/>
      <c r="BD232" s="2867"/>
      <c r="BE232" s="2867"/>
      <c r="BF232" s="2867"/>
      <c r="BG232" s="2867"/>
      <c r="BH232" s="2867"/>
      <c r="BI232" s="2867"/>
      <c r="BJ232" s="2867"/>
      <c r="BK232" s="2867"/>
      <c r="BL232" s="2867"/>
      <c r="BM232" s="2867"/>
      <c r="BN232" s="2867"/>
      <c r="BO232" s="2867"/>
      <c r="BP232" s="2867"/>
      <c r="BQ232" s="2867"/>
      <c r="BR232" s="2867"/>
      <c r="BS232" s="2867"/>
      <c r="BT232" s="2867"/>
      <c r="BU232" s="2867"/>
      <c r="BV232" s="2867"/>
      <c r="BW232" s="2867"/>
      <c r="BX232" s="2867"/>
      <c r="BY232" s="2867"/>
      <c r="BZ232" s="2867"/>
      <c r="CA232" s="2867"/>
      <c r="CB232" s="2867"/>
      <c r="CC232" s="2867"/>
      <c r="CD232" s="2867"/>
      <c r="CE232" s="2867"/>
      <c r="CF232" s="2867"/>
      <c r="CG232" s="2867"/>
      <c r="CH232" s="2867"/>
      <c r="CI232" s="2867"/>
      <c r="CJ232" s="2867"/>
      <c r="CK232" s="2867"/>
      <c r="CL232" s="2867"/>
      <c r="CM232" s="2867"/>
      <c r="CN232" s="2867"/>
      <c r="CO232" s="2867"/>
      <c r="CP232" s="2867"/>
      <c r="CQ232" s="2867"/>
      <c r="CR232" s="2867"/>
      <c r="CS232" s="2867"/>
      <c r="CT232" s="2867"/>
      <c r="CU232" s="2867"/>
      <c r="CV232" s="2867"/>
      <c r="CW232" s="2867"/>
    </row>
    <row r="233" spans="1:101">
      <c r="A233" s="2867"/>
      <c r="B233" s="2910"/>
      <c r="C233" s="2867"/>
      <c r="D233" s="2867"/>
      <c r="E233" s="2867"/>
      <c r="F233" s="2867"/>
      <c r="G233" s="2867"/>
      <c r="H233" s="2867"/>
      <c r="I233" s="2867"/>
      <c r="J233" s="2867"/>
      <c r="K233" s="2867"/>
      <c r="L233" s="2867"/>
      <c r="M233" s="2867"/>
      <c r="O233" s="2867"/>
      <c r="P233" s="2867"/>
      <c r="Q233" s="2867"/>
      <c r="R233" s="2867"/>
      <c r="S233" s="2867"/>
      <c r="T233" s="2867"/>
      <c r="U233" s="2867"/>
      <c r="V233" s="2867"/>
      <c r="W233" s="2867"/>
      <c r="X233" s="2867"/>
      <c r="Y233" s="2867"/>
      <c r="Z233" s="2867"/>
      <c r="AA233" s="2867"/>
      <c r="AB233" s="2867"/>
      <c r="AC233" s="2867"/>
      <c r="AD233" s="2867"/>
      <c r="AE233" s="2867"/>
      <c r="AF233" s="2867"/>
      <c r="AG233" s="2867"/>
      <c r="AH233" s="2940"/>
      <c r="AI233" s="2867"/>
      <c r="AJ233" s="2867"/>
      <c r="AK233" s="2867"/>
      <c r="AL233" s="2867"/>
      <c r="AM233" s="2867"/>
      <c r="AN233" s="2867"/>
      <c r="AO233" s="2867"/>
      <c r="AP233" s="2867"/>
      <c r="AQ233" s="2870"/>
      <c r="AR233" s="2870"/>
      <c r="AS233" s="2867"/>
      <c r="AT233" s="2867"/>
      <c r="AU233" s="2867"/>
      <c r="AV233" s="2867"/>
      <c r="AW233" s="2867"/>
      <c r="AX233" s="2867"/>
      <c r="AY233" s="2867"/>
      <c r="AZ233" s="2867"/>
      <c r="BA233" s="2867"/>
      <c r="BB233" s="2867"/>
      <c r="BC233" s="2867"/>
      <c r="BD233" s="2867"/>
      <c r="BE233" s="2867"/>
      <c r="BF233" s="2867"/>
      <c r="BG233" s="2867"/>
      <c r="BH233" s="2867"/>
      <c r="BI233" s="2867"/>
      <c r="BJ233" s="2867"/>
      <c r="BK233" s="2867"/>
      <c r="BL233" s="2867"/>
      <c r="BM233" s="2867"/>
      <c r="BN233" s="2867"/>
      <c r="BO233" s="2867"/>
      <c r="BP233" s="2867"/>
      <c r="BQ233" s="2867"/>
      <c r="BR233" s="2867"/>
      <c r="BS233" s="2867"/>
      <c r="BT233" s="2867"/>
      <c r="BU233" s="2867"/>
      <c r="BV233" s="2867"/>
      <c r="BW233" s="2867"/>
      <c r="BX233" s="2867"/>
      <c r="BY233" s="2867"/>
      <c r="BZ233" s="2867"/>
      <c r="CA233" s="2867"/>
      <c r="CB233" s="2867"/>
      <c r="CC233" s="2867"/>
      <c r="CD233" s="2867"/>
      <c r="CE233" s="2867"/>
      <c r="CF233" s="2867"/>
      <c r="CG233" s="2867"/>
      <c r="CH233" s="2867"/>
      <c r="CI233" s="2867"/>
      <c r="CJ233" s="2867"/>
      <c r="CK233" s="2867"/>
      <c r="CL233" s="2867"/>
      <c r="CM233" s="2867"/>
      <c r="CN233" s="2867"/>
      <c r="CO233" s="2867"/>
      <c r="CP233" s="2867"/>
      <c r="CQ233" s="2867"/>
      <c r="CR233" s="2867"/>
      <c r="CS233" s="2867"/>
      <c r="CT233" s="2867"/>
      <c r="CU233" s="2867"/>
      <c r="CV233" s="2867"/>
      <c r="CW233" s="2867"/>
    </row>
    <row r="234" spans="1:101">
      <c r="A234" s="2867"/>
      <c r="B234" s="2910"/>
      <c r="C234" s="2867"/>
      <c r="D234" s="2867"/>
      <c r="E234" s="2867"/>
      <c r="F234" s="2867"/>
      <c r="G234" s="2867"/>
      <c r="H234" s="2867"/>
      <c r="I234" s="2867"/>
      <c r="J234" s="2867"/>
      <c r="K234" s="2867"/>
      <c r="L234" s="2867"/>
      <c r="M234" s="2867"/>
      <c r="O234" s="2867"/>
      <c r="P234" s="2867"/>
      <c r="Q234" s="2867"/>
      <c r="R234" s="2867"/>
      <c r="S234" s="2867"/>
      <c r="T234" s="2867"/>
      <c r="U234" s="2867"/>
      <c r="V234" s="2867"/>
      <c r="W234" s="2867"/>
      <c r="X234" s="2867"/>
      <c r="Y234" s="2867"/>
      <c r="Z234" s="2867"/>
      <c r="AA234" s="2867"/>
      <c r="AB234" s="2867"/>
      <c r="AC234" s="2867"/>
      <c r="AD234" s="2867"/>
      <c r="AE234" s="2867"/>
      <c r="AF234" s="2867"/>
      <c r="AG234" s="2867"/>
      <c r="AH234" s="2940"/>
      <c r="AI234" s="2867"/>
      <c r="AJ234" s="2867"/>
      <c r="AK234" s="2867"/>
      <c r="AL234" s="2867"/>
      <c r="AM234" s="2867"/>
      <c r="AN234" s="2867"/>
      <c r="AO234" s="2867"/>
      <c r="AP234" s="2867"/>
      <c r="AQ234" s="2870"/>
      <c r="AR234" s="2870"/>
      <c r="AS234" s="2867"/>
      <c r="AT234" s="2867"/>
      <c r="AU234" s="2867"/>
      <c r="AV234" s="2867"/>
      <c r="AW234" s="2867"/>
      <c r="AX234" s="2867"/>
      <c r="AY234" s="2867"/>
      <c r="AZ234" s="2867"/>
      <c r="BA234" s="2867"/>
      <c r="BB234" s="2867"/>
      <c r="BC234" s="2867"/>
      <c r="BD234" s="2867"/>
      <c r="BE234" s="2867"/>
      <c r="BF234" s="2867"/>
      <c r="BG234" s="2867"/>
      <c r="BH234" s="2867"/>
      <c r="BI234" s="2867"/>
      <c r="BJ234" s="2867"/>
      <c r="BK234" s="2867"/>
      <c r="BL234" s="2867"/>
      <c r="BM234" s="2867"/>
      <c r="BN234" s="2867"/>
      <c r="BO234" s="2867"/>
      <c r="BP234" s="2867"/>
      <c r="BQ234" s="2867"/>
      <c r="BR234" s="2867"/>
      <c r="BS234" s="2867"/>
      <c r="BT234" s="2867"/>
      <c r="BU234" s="2867"/>
      <c r="BV234" s="2867"/>
      <c r="BW234" s="2867"/>
      <c r="BX234" s="2867"/>
      <c r="BY234" s="2867"/>
      <c r="BZ234" s="2867"/>
      <c r="CA234" s="2867"/>
      <c r="CB234" s="2867"/>
      <c r="CC234" s="2867"/>
      <c r="CD234" s="2867"/>
      <c r="CE234" s="2867"/>
      <c r="CF234" s="2867"/>
      <c r="CG234" s="2867"/>
      <c r="CH234" s="2867"/>
      <c r="CI234" s="2867"/>
      <c r="CJ234" s="2867"/>
      <c r="CK234" s="2867"/>
      <c r="CL234" s="2867"/>
      <c r="CM234" s="2867"/>
      <c r="CN234" s="2867"/>
      <c r="CO234" s="2867"/>
      <c r="CP234" s="2867"/>
      <c r="CQ234" s="2867"/>
      <c r="CR234" s="2867"/>
      <c r="CS234" s="2867"/>
      <c r="CT234" s="2867"/>
      <c r="CU234" s="2867"/>
      <c r="CV234" s="2867"/>
      <c r="CW234" s="2867"/>
    </row>
    <row r="235" spans="1:101">
      <c r="A235" s="2867"/>
      <c r="B235" s="2910"/>
      <c r="C235" s="2867"/>
      <c r="D235" s="2867"/>
      <c r="E235" s="2867"/>
      <c r="F235" s="2867"/>
      <c r="G235" s="2867"/>
      <c r="H235" s="2867"/>
      <c r="I235" s="2867"/>
      <c r="J235" s="2867"/>
      <c r="K235" s="2867"/>
      <c r="L235" s="2867"/>
      <c r="M235" s="2867"/>
      <c r="O235" s="2867"/>
      <c r="P235" s="2867"/>
      <c r="Q235" s="2867"/>
      <c r="R235" s="2867"/>
      <c r="S235" s="2867"/>
      <c r="T235" s="2867"/>
      <c r="U235" s="2867"/>
      <c r="V235" s="2867"/>
      <c r="W235" s="2867"/>
      <c r="X235" s="2867"/>
      <c r="Y235" s="2867"/>
      <c r="Z235" s="2867"/>
      <c r="AA235" s="2867"/>
      <c r="AB235" s="2867"/>
      <c r="AC235" s="2867"/>
      <c r="AD235" s="2867"/>
      <c r="AE235" s="2867"/>
      <c r="AF235" s="2867"/>
      <c r="AG235" s="2867"/>
      <c r="AH235" s="2940"/>
      <c r="AI235" s="2867"/>
      <c r="AJ235" s="2867"/>
      <c r="AK235" s="2867"/>
      <c r="AL235" s="2867"/>
      <c r="AM235" s="2867"/>
      <c r="AN235" s="2867"/>
      <c r="AO235" s="2867"/>
      <c r="AP235" s="2867"/>
      <c r="AQ235" s="2870"/>
      <c r="AR235" s="2870"/>
      <c r="AS235" s="2867"/>
      <c r="AT235" s="2867"/>
      <c r="AU235" s="2867"/>
      <c r="AV235" s="2867"/>
      <c r="AW235" s="2867"/>
      <c r="AX235" s="2867"/>
      <c r="AY235" s="2867"/>
      <c r="AZ235" s="2867"/>
      <c r="BA235" s="2867"/>
      <c r="BB235" s="2867"/>
      <c r="BC235" s="2867"/>
      <c r="BD235" s="2867"/>
      <c r="BE235" s="2867"/>
      <c r="BF235" s="2867"/>
      <c r="BG235" s="2867"/>
      <c r="BH235" s="2867"/>
      <c r="BI235" s="2867"/>
      <c r="BJ235" s="2867"/>
      <c r="BK235" s="2867"/>
      <c r="BL235" s="2867"/>
      <c r="BM235" s="2867"/>
      <c r="BN235" s="2867"/>
      <c r="BO235" s="2867"/>
      <c r="BP235" s="2867"/>
      <c r="BQ235" s="2867"/>
      <c r="BR235" s="2867"/>
      <c r="BS235" s="2867"/>
      <c r="BT235" s="2867"/>
      <c r="BU235" s="2867"/>
      <c r="BV235" s="2867"/>
      <c r="BW235" s="2867"/>
      <c r="BX235" s="2867"/>
      <c r="BY235" s="2867"/>
      <c r="BZ235" s="2867"/>
      <c r="CA235" s="2867"/>
      <c r="CB235" s="2867"/>
      <c r="CC235" s="2867"/>
      <c r="CD235" s="2867"/>
      <c r="CE235" s="2867"/>
      <c r="CF235" s="2867"/>
      <c r="CG235" s="2867"/>
      <c r="CH235" s="2867"/>
      <c r="CI235" s="2867"/>
      <c r="CJ235" s="2867"/>
      <c r="CK235" s="2867"/>
      <c r="CL235" s="2867"/>
      <c r="CM235" s="2867"/>
      <c r="CN235" s="2867"/>
      <c r="CO235" s="2867"/>
      <c r="CP235" s="2867"/>
      <c r="CQ235" s="2867"/>
      <c r="CR235" s="2867"/>
      <c r="CS235" s="2867"/>
      <c r="CT235" s="2867"/>
      <c r="CU235" s="2867"/>
      <c r="CV235" s="2867"/>
      <c r="CW235" s="2867"/>
    </row>
    <row r="236" spans="1:101">
      <c r="A236" s="2867"/>
      <c r="B236" s="2910"/>
      <c r="C236" s="2867"/>
      <c r="D236" s="2867"/>
      <c r="E236" s="2867"/>
      <c r="F236" s="2867"/>
      <c r="G236" s="2867"/>
      <c r="H236" s="2867"/>
      <c r="I236" s="2867"/>
      <c r="J236" s="2867"/>
      <c r="K236" s="2867"/>
      <c r="L236" s="2867"/>
      <c r="M236" s="2867"/>
      <c r="O236" s="2867"/>
      <c r="P236" s="2867"/>
      <c r="Q236" s="2867"/>
      <c r="R236" s="2867"/>
      <c r="S236" s="2867"/>
      <c r="T236" s="2867"/>
      <c r="U236" s="2867"/>
      <c r="V236" s="2867"/>
      <c r="W236" s="2867"/>
      <c r="X236" s="2867"/>
      <c r="Y236" s="2867"/>
      <c r="Z236" s="2867"/>
      <c r="AA236" s="2867"/>
      <c r="AB236" s="2867"/>
      <c r="AC236" s="2867"/>
      <c r="AD236" s="2867"/>
      <c r="AE236" s="2867"/>
      <c r="AF236" s="2867"/>
      <c r="AG236" s="2867"/>
      <c r="AH236" s="2940"/>
      <c r="AI236" s="2867"/>
      <c r="AJ236" s="2867"/>
      <c r="AK236" s="2867"/>
      <c r="AL236" s="2867"/>
      <c r="AM236" s="2867"/>
      <c r="AN236" s="2867"/>
      <c r="AO236" s="2867"/>
      <c r="AP236" s="2867"/>
      <c r="AQ236" s="2870"/>
      <c r="AR236" s="2867"/>
      <c r="AS236" s="2867"/>
      <c r="AT236" s="2867"/>
      <c r="AU236" s="2867"/>
      <c r="AV236" s="2867"/>
      <c r="AW236" s="2867"/>
      <c r="AX236" s="2867"/>
      <c r="AY236" s="2867"/>
      <c r="AZ236" s="2867"/>
      <c r="BA236" s="2867"/>
      <c r="BB236" s="2867"/>
      <c r="BC236" s="2867"/>
      <c r="BD236" s="2867"/>
      <c r="BE236" s="2867"/>
      <c r="BF236" s="2867"/>
      <c r="BG236" s="2867"/>
      <c r="BH236" s="2867"/>
      <c r="BI236" s="2867"/>
      <c r="BJ236" s="2867"/>
      <c r="BK236" s="2867"/>
      <c r="BL236" s="2867"/>
      <c r="BM236" s="2867"/>
      <c r="BN236" s="2867"/>
      <c r="BO236" s="2867"/>
      <c r="BP236" s="2867"/>
      <c r="BQ236" s="2867"/>
      <c r="BR236" s="2867"/>
      <c r="BS236" s="2867"/>
      <c r="BT236" s="2867"/>
      <c r="BU236" s="2867"/>
      <c r="BV236" s="2867"/>
      <c r="BW236" s="2867"/>
      <c r="BX236" s="2867"/>
      <c r="BY236" s="2867"/>
      <c r="BZ236" s="2867"/>
      <c r="CA236" s="2867"/>
      <c r="CB236" s="2867"/>
      <c r="CC236" s="2867"/>
      <c r="CD236" s="2867"/>
      <c r="CE236" s="2867"/>
      <c r="CF236" s="2867"/>
      <c r="CG236" s="2867"/>
      <c r="CH236" s="2867"/>
      <c r="CI236" s="2867"/>
      <c r="CJ236" s="2867"/>
      <c r="CK236" s="2867"/>
      <c r="CL236" s="2867"/>
      <c r="CM236" s="2867"/>
      <c r="CN236" s="2867"/>
      <c r="CO236" s="2867"/>
      <c r="CP236" s="2867"/>
      <c r="CQ236" s="2867"/>
      <c r="CR236" s="2867"/>
      <c r="CS236" s="2867"/>
      <c r="CT236" s="2867"/>
      <c r="CU236" s="2867"/>
      <c r="CV236" s="2867"/>
      <c r="CW236" s="2867"/>
    </row>
    <row r="237" spans="1:101">
      <c r="A237" s="2867"/>
      <c r="B237" s="2910"/>
      <c r="C237" s="2867"/>
      <c r="D237" s="2867"/>
      <c r="E237" s="2867"/>
      <c r="F237" s="2867"/>
      <c r="G237" s="2867"/>
      <c r="H237" s="2867"/>
      <c r="I237" s="2867"/>
      <c r="J237" s="2867"/>
      <c r="K237" s="2867"/>
      <c r="L237" s="2867"/>
      <c r="M237" s="2867"/>
      <c r="O237" s="2867"/>
      <c r="P237" s="2867"/>
      <c r="Q237" s="2867"/>
      <c r="R237" s="2867"/>
      <c r="S237" s="2867"/>
      <c r="T237" s="2867"/>
      <c r="U237" s="2867"/>
      <c r="V237" s="2867"/>
      <c r="W237" s="2867"/>
      <c r="X237" s="2867"/>
      <c r="Y237" s="2867"/>
      <c r="Z237" s="2867"/>
      <c r="AA237" s="2867"/>
      <c r="AB237" s="2867"/>
      <c r="AC237" s="2867"/>
      <c r="AD237" s="2867"/>
      <c r="AE237" s="2867"/>
      <c r="AF237" s="2867"/>
      <c r="AG237" s="2867"/>
      <c r="AH237" s="2940"/>
      <c r="AI237" s="2867"/>
      <c r="AJ237" s="2867"/>
      <c r="AK237" s="2867"/>
      <c r="AL237" s="2867"/>
      <c r="AM237" s="2867"/>
      <c r="AN237" s="2867"/>
      <c r="AO237" s="2870"/>
      <c r="AP237" s="2941"/>
      <c r="AQ237" s="2870"/>
      <c r="AR237" s="2867"/>
      <c r="AS237" s="2867"/>
      <c r="AT237" s="2867"/>
      <c r="AU237" s="2867"/>
      <c r="AV237" s="2867"/>
      <c r="AW237" s="2867"/>
      <c r="AX237" s="2867"/>
      <c r="AY237" s="2867"/>
      <c r="AZ237" s="2867"/>
      <c r="BA237" s="2867"/>
      <c r="BB237" s="2867"/>
      <c r="BC237" s="2867"/>
      <c r="BD237" s="2867"/>
      <c r="BE237" s="2867"/>
      <c r="BF237" s="2867"/>
      <c r="BG237" s="2867"/>
      <c r="BH237" s="2867"/>
      <c r="BI237" s="2867"/>
      <c r="BJ237" s="2867"/>
      <c r="BK237" s="2867"/>
      <c r="BL237" s="2867"/>
      <c r="BM237" s="2867"/>
      <c r="BN237" s="2867"/>
      <c r="BO237" s="2867"/>
      <c r="BP237" s="2867"/>
      <c r="BQ237" s="2867"/>
      <c r="BR237" s="2867"/>
      <c r="BS237" s="2867"/>
      <c r="BT237" s="2867"/>
      <c r="BU237" s="2867"/>
      <c r="BV237" s="2867"/>
      <c r="BW237" s="2867"/>
      <c r="BX237" s="2867"/>
      <c r="BY237" s="2867"/>
      <c r="BZ237" s="2867"/>
      <c r="CA237" s="2867"/>
      <c r="CB237" s="2867"/>
      <c r="CC237" s="2867"/>
      <c r="CD237" s="2867"/>
      <c r="CE237" s="2867"/>
      <c r="CF237" s="2867"/>
      <c r="CG237" s="2867"/>
      <c r="CH237" s="2867"/>
      <c r="CI237" s="2867"/>
      <c r="CJ237" s="2867"/>
      <c r="CK237" s="2867"/>
      <c r="CL237" s="2867"/>
      <c r="CM237" s="2867"/>
      <c r="CN237" s="2867"/>
      <c r="CO237" s="2867"/>
      <c r="CP237" s="2867"/>
      <c r="CQ237" s="2867"/>
      <c r="CR237" s="2867"/>
      <c r="CS237" s="2867"/>
      <c r="CT237" s="2867"/>
      <c r="CU237" s="2867"/>
      <c r="CV237" s="2867"/>
      <c r="CW237" s="2867"/>
    </row>
    <row r="238" spans="1:101">
      <c r="A238" s="2867"/>
      <c r="B238" s="2910"/>
      <c r="C238" s="2867"/>
      <c r="D238" s="2867"/>
      <c r="E238" s="2867"/>
      <c r="F238" s="2867"/>
      <c r="G238" s="2867"/>
      <c r="H238" s="2867"/>
      <c r="I238" s="2867"/>
      <c r="J238" s="2867"/>
      <c r="K238" s="2867"/>
      <c r="L238" s="2867"/>
      <c r="M238" s="2867"/>
      <c r="O238" s="2867"/>
      <c r="P238" s="2867"/>
      <c r="Q238" s="2867"/>
      <c r="R238" s="2867"/>
      <c r="S238" s="2867"/>
      <c r="T238" s="2867"/>
      <c r="U238" s="2867"/>
      <c r="V238" s="2867"/>
      <c r="W238" s="2867"/>
      <c r="X238" s="2867"/>
      <c r="Y238" s="2867"/>
      <c r="Z238" s="2867"/>
      <c r="AA238" s="2867"/>
      <c r="AB238" s="2867"/>
      <c r="AC238" s="2867"/>
      <c r="AD238" s="2867"/>
      <c r="AE238" s="2867"/>
      <c r="AF238" s="2867"/>
      <c r="AG238" s="2867"/>
      <c r="AH238" s="2867"/>
      <c r="AI238" s="2867"/>
      <c r="AJ238" s="2867"/>
      <c r="AK238" s="2867"/>
      <c r="AL238" s="2867"/>
      <c r="AM238" s="2867"/>
      <c r="AN238" s="2867"/>
      <c r="AO238" s="2867"/>
      <c r="AP238" s="2867"/>
      <c r="AQ238" s="2867"/>
      <c r="AR238" s="2867"/>
      <c r="AS238" s="2867"/>
      <c r="AT238" s="2867"/>
      <c r="AU238" s="2867"/>
      <c r="AV238" s="2867"/>
      <c r="AW238" s="2867"/>
      <c r="AX238" s="2867"/>
      <c r="AY238" s="2867"/>
      <c r="AZ238" s="2867"/>
      <c r="BA238" s="2867"/>
      <c r="BB238" s="2867"/>
      <c r="BC238" s="2867"/>
      <c r="BD238" s="2867"/>
      <c r="BE238" s="2867"/>
      <c r="BF238" s="2867"/>
      <c r="BG238" s="2867"/>
      <c r="BH238" s="2867"/>
      <c r="BI238" s="2867"/>
      <c r="BJ238" s="2867"/>
      <c r="BK238" s="2867"/>
      <c r="BL238" s="2867"/>
      <c r="BM238" s="2867"/>
      <c r="BN238" s="2867"/>
      <c r="BO238" s="2867"/>
      <c r="BP238" s="2867"/>
      <c r="BQ238" s="2867"/>
      <c r="BR238" s="2867"/>
      <c r="BS238" s="2867"/>
      <c r="BT238" s="2867"/>
      <c r="BU238" s="2867"/>
      <c r="BV238" s="2867"/>
      <c r="BW238" s="2867"/>
      <c r="BX238" s="2867"/>
      <c r="BY238" s="2867"/>
      <c r="BZ238" s="2867"/>
      <c r="CA238" s="2867"/>
      <c r="CB238" s="2867"/>
      <c r="CC238" s="2867"/>
      <c r="CD238" s="2867"/>
      <c r="CE238" s="2867"/>
      <c r="CF238" s="2867"/>
      <c r="CG238" s="2867"/>
      <c r="CH238" s="2867"/>
      <c r="CI238" s="2867"/>
      <c r="CJ238" s="2867"/>
      <c r="CK238" s="2867"/>
      <c r="CL238" s="2867"/>
      <c r="CM238" s="2867"/>
      <c r="CN238" s="2867"/>
      <c r="CO238" s="2867"/>
      <c r="CP238" s="2867"/>
      <c r="CQ238" s="2867"/>
      <c r="CR238" s="2867"/>
      <c r="CS238" s="2867"/>
      <c r="CT238" s="2867"/>
      <c r="CU238" s="2867"/>
      <c r="CV238" s="2867"/>
      <c r="CW238" s="2867"/>
    </row>
    <row r="239" spans="1:101">
      <c r="A239" s="2867"/>
      <c r="B239" s="2910"/>
      <c r="C239" s="2867"/>
      <c r="D239" s="2867"/>
      <c r="E239" s="2867"/>
      <c r="F239" s="2867"/>
      <c r="G239" s="2867"/>
      <c r="H239" s="2867"/>
      <c r="I239" s="2867"/>
      <c r="J239" s="2867"/>
      <c r="K239" s="2867"/>
      <c r="L239" s="2867"/>
      <c r="M239" s="2867"/>
      <c r="O239" s="2867"/>
      <c r="P239" s="2867"/>
      <c r="Q239" s="2867"/>
      <c r="R239" s="2867"/>
      <c r="S239" s="2867"/>
      <c r="T239" s="2867"/>
      <c r="U239" s="2867"/>
      <c r="V239" s="2867"/>
      <c r="W239" s="2867"/>
      <c r="X239" s="2867"/>
      <c r="Y239" s="2867"/>
      <c r="Z239" s="2867"/>
      <c r="AA239" s="2867"/>
      <c r="AB239" s="2867"/>
      <c r="AC239" s="2867"/>
      <c r="AD239" s="2867"/>
      <c r="AE239" s="2867"/>
      <c r="AF239" s="2867"/>
      <c r="AG239" s="2867"/>
      <c r="AH239" s="2867"/>
      <c r="AI239" s="2867"/>
      <c r="AJ239" s="2867"/>
      <c r="AK239" s="2867"/>
      <c r="AL239" s="2867"/>
      <c r="AM239" s="2867"/>
      <c r="AN239" s="2867"/>
      <c r="AO239" s="2867"/>
      <c r="AP239" s="2867"/>
      <c r="AQ239" s="2867"/>
      <c r="AR239" s="2870"/>
      <c r="AS239" s="2867"/>
      <c r="AT239" s="2867"/>
      <c r="AU239" s="2867"/>
      <c r="AV239" s="2867"/>
      <c r="AW239" s="2867"/>
      <c r="AX239" s="2867"/>
      <c r="AY239" s="2867"/>
      <c r="AZ239" s="2867"/>
      <c r="BA239" s="2867"/>
      <c r="BB239" s="2867"/>
      <c r="BC239" s="2867"/>
      <c r="BD239" s="2867"/>
      <c r="BE239" s="2867"/>
      <c r="BF239" s="2867"/>
      <c r="BG239" s="2867"/>
      <c r="BH239" s="2867"/>
      <c r="BI239" s="2867"/>
      <c r="BJ239" s="2867"/>
      <c r="BK239" s="2867"/>
      <c r="BL239" s="2867"/>
      <c r="BM239" s="2867"/>
      <c r="BN239" s="2867"/>
      <c r="BO239" s="2867"/>
      <c r="BP239" s="2867"/>
      <c r="BQ239" s="2867"/>
      <c r="BR239" s="2867"/>
      <c r="BS239" s="2867"/>
      <c r="BT239" s="2867"/>
      <c r="BU239" s="2867"/>
      <c r="BV239" s="2867"/>
      <c r="BW239" s="2867"/>
      <c r="BX239" s="2867"/>
      <c r="BY239" s="2867"/>
      <c r="BZ239" s="2867"/>
      <c r="CA239" s="2867"/>
      <c r="CB239" s="2867"/>
      <c r="CC239" s="2867"/>
      <c r="CD239" s="2867"/>
      <c r="CE239" s="2867"/>
      <c r="CF239" s="2867"/>
      <c r="CG239" s="2867"/>
      <c r="CH239" s="2867"/>
      <c r="CI239" s="2867"/>
      <c r="CJ239" s="2867"/>
      <c r="CK239" s="2867"/>
      <c r="CL239" s="2867"/>
      <c r="CM239" s="2867"/>
      <c r="CN239" s="2867"/>
      <c r="CO239" s="2867"/>
      <c r="CP239" s="2867"/>
      <c r="CQ239" s="2867"/>
      <c r="CR239" s="2867"/>
      <c r="CS239" s="2867"/>
      <c r="CT239" s="2867"/>
      <c r="CU239" s="2867"/>
      <c r="CV239" s="2867"/>
      <c r="CW239" s="2867"/>
    </row>
    <row r="240" spans="1:101">
      <c r="A240" s="2867"/>
      <c r="B240" s="2910"/>
      <c r="C240" s="2867"/>
      <c r="D240" s="2867"/>
      <c r="E240" s="2867"/>
      <c r="F240" s="2867"/>
      <c r="G240" s="2867"/>
      <c r="H240" s="2867"/>
      <c r="I240" s="2867"/>
      <c r="J240" s="2867"/>
      <c r="K240" s="2867"/>
      <c r="L240" s="2867"/>
      <c r="M240" s="2867"/>
      <c r="O240" s="2867"/>
      <c r="P240" s="2867"/>
      <c r="Q240" s="2867"/>
      <c r="R240" s="2867"/>
      <c r="S240" s="2867"/>
      <c r="T240" s="2867"/>
      <c r="U240" s="2867"/>
      <c r="V240" s="2867"/>
      <c r="W240" s="2867"/>
      <c r="X240" s="2867"/>
      <c r="Y240" s="2867"/>
      <c r="Z240" s="2867"/>
      <c r="AA240" s="2867"/>
      <c r="AB240" s="2867"/>
      <c r="AC240" s="2867"/>
      <c r="AD240" s="2867"/>
      <c r="AE240" s="2867"/>
      <c r="AF240" s="2867"/>
      <c r="AG240" s="2867"/>
      <c r="AH240" s="2867"/>
      <c r="AI240" s="2867"/>
      <c r="AJ240" s="2867"/>
      <c r="AK240" s="2867"/>
      <c r="AL240" s="2867"/>
      <c r="AM240" s="2867"/>
      <c r="AN240" s="2867"/>
      <c r="AO240" s="2867"/>
      <c r="AP240" s="2867"/>
      <c r="AQ240" s="2867"/>
      <c r="AR240" s="2870"/>
      <c r="AS240" s="2867"/>
      <c r="AT240" s="2867"/>
      <c r="AU240" s="2867"/>
      <c r="AV240" s="2867"/>
      <c r="AW240" s="2867"/>
      <c r="AX240" s="2867"/>
      <c r="AY240" s="2867"/>
      <c r="AZ240" s="2867"/>
      <c r="BA240" s="2867"/>
      <c r="BB240" s="2867"/>
      <c r="BC240" s="2867"/>
      <c r="BD240" s="2867"/>
      <c r="BE240" s="2867"/>
      <c r="BF240" s="2867"/>
      <c r="BG240" s="2867"/>
      <c r="BH240" s="2867"/>
      <c r="BI240" s="2867"/>
      <c r="BJ240" s="2867"/>
      <c r="BK240" s="2867"/>
      <c r="BL240" s="2867"/>
      <c r="BM240" s="2867"/>
      <c r="BN240" s="2867"/>
      <c r="BO240" s="2867"/>
      <c r="BP240" s="2867"/>
      <c r="BQ240" s="2867"/>
      <c r="BR240" s="2867"/>
      <c r="BS240" s="2867"/>
      <c r="BT240" s="2867"/>
      <c r="BU240" s="2867"/>
      <c r="BV240" s="2867"/>
      <c r="BW240" s="2867"/>
      <c r="BX240" s="2867"/>
      <c r="BY240" s="2867"/>
      <c r="BZ240" s="2867"/>
      <c r="CA240" s="2867"/>
      <c r="CB240" s="2867"/>
      <c r="CC240" s="2867"/>
      <c r="CD240" s="2867"/>
      <c r="CE240" s="2867"/>
      <c r="CF240" s="2867"/>
      <c r="CG240" s="2867"/>
      <c r="CH240" s="2867"/>
      <c r="CI240" s="2867"/>
      <c r="CJ240" s="2867"/>
      <c r="CK240" s="2867"/>
      <c r="CL240" s="2867"/>
      <c r="CM240" s="2867"/>
      <c r="CN240" s="2867"/>
      <c r="CO240" s="2867"/>
      <c r="CP240" s="2867"/>
      <c r="CQ240" s="2867"/>
      <c r="CR240" s="2867"/>
      <c r="CS240" s="2867"/>
      <c r="CT240" s="2867"/>
      <c r="CU240" s="2867"/>
      <c r="CV240" s="2867"/>
      <c r="CW240" s="2867"/>
    </row>
    <row r="241" spans="1:101">
      <c r="A241" s="2867"/>
      <c r="B241" s="2949"/>
      <c r="C241" s="2867"/>
      <c r="D241" s="2867"/>
      <c r="E241" s="2867"/>
      <c r="F241" s="2867"/>
      <c r="G241" s="2867"/>
      <c r="H241" s="2867"/>
      <c r="I241" s="2867"/>
      <c r="J241" s="2867"/>
      <c r="K241" s="2867"/>
      <c r="L241" s="2867"/>
      <c r="M241" s="2867"/>
      <c r="O241" s="2867"/>
      <c r="P241" s="2867"/>
      <c r="Q241" s="2867"/>
      <c r="R241" s="2867"/>
      <c r="S241" s="2867"/>
      <c r="T241" s="2867"/>
      <c r="U241" s="2867"/>
      <c r="V241" s="2867"/>
      <c r="W241" s="2867"/>
      <c r="X241" s="2867"/>
      <c r="Y241" s="2867"/>
      <c r="Z241" s="2867"/>
      <c r="AA241" s="2867"/>
      <c r="AB241" s="2867"/>
      <c r="AC241" s="2867"/>
      <c r="AD241" s="2867"/>
      <c r="AE241" s="2867"/>
      <c r="AF241" s="2867"/>
      <c r="AG241" s="2867"/>
      <c r="AH241" s="2867"/>
      <c r="AI241" s="2867"/>
      <c r="AJ241" s="2867"/>
      <c r="AK241" s="2867"/>
      <c r="AL241" s="2867"/>
      <c r="AM241" s="2867"/>
      <c r="AN241" s="2867"/>
      <c r="AO241" s="2867"/>
      <c r="AP241" s="2867"/>
      <c r="AQ241" s="2867"/>
      <c r="AR241" s="2870"/>
      <c r="AS241" s="2867"/>
      <c r="AT241" s="2867"/>
      <c r="AU241" s="2867"/>
      <c r="AV241" s="2867"/>
      <c r="AW241" s="2867"/>
      <c r="AX241" s="2867"/>
      <c r="AY241" s="2867"/>
      <c r="AZ241" s="2867"/>
      <c r="BA241" s="2867"/>
      <c r="BB241" s="2867"/>
      <c r="BC241" s="2867"/>
      <c r="BD241" s="2867"/>
      <c r="BE241" s="2867"/>
      <c r="BF241" s="2867"/>
      <c r="BG241" s="2867"/>
      <c r="BH241" s="2867"/>
      <c r="BI241" s="2867"/>
      <c r="BJ241" s="2867"/>
      <c r="BK241" s="2867"/>
      <c r="BL241" s="2867"/>
      <c r="BM241" s="2867"/>
      <c r="BN241" s="2867"/>
      <c r="BO241" s="2867"/>
      <c r="BP241" s="2867"/>
      <c r="BQ241" s="2867"/>
      <c r="BR241" s="2867"/>
      <c r="BS241" s="2867"/>
      <c r="BT241" s="2867"/>
      <c r="BU241" s="2867"/>
      <c r="BV241" s="2867"/>
      <c r="BW241" s="2867"/>
      <c r="BX241" s="2867"/>
      <c r="BY241" s="2867"/>
      <c r="BZ241" s="2867"/>
      <c r="CA241" s="2867"/>
      <c r="CB241" s="2867"/>
      <c r="CC241" s="2867"/>
      <c r="CD241" s="2867"/>
      <c r="CE241" s="2867"/>
      <c r="CF241" s="2867"/>
      <c r="CG241" s="2867"/>
      <c r="CH241" s="2867"/>
      <c r="CI241" s="2867"/>
      <c r="CJ241" s="2867"/>
      <c r="CK241" s="2867"/>
      <c r="CL241" s="2867"/>
      <c r="CM241" s="2867"/>
      <c r="CN241" s="2867"/>
      <c r="CO241" s="2867"/>
      <c r="CP241" s="2867"/>
      <c r="CQ241" s="2867"/>
      <c r="CR241" s="2867"/>
      <c r="CS241" s="2867"/>
      <c r="CT241" s="2867"/>
      <c r="CU241" s="2867"/>
      <c r="CV241" s="2867"/>
      <c r="CW241" s="2867"/>
    </row>
    <row r="242" spans="1:101">
      <c r="A242" s="2867"/>
      <c r="B242" s="2949"/>
      <c r="C242" s="2867"/>
      <c r="D242" s="2867"/>
      <c r="E242" s="2867"/>
      <c r="F242" s="2867"/>
      <c r="G242" s="2867"/>
      <c r="H242" s="2867"/>
      <c r="I242" s="2867"/>
      <c r="J242" s="2867"/>
      <c r="K242" s="2867"/>
      <c r="L242" s="2867"/>
      <c r="M242" s="2867"/>
      <c r="O242" s="2867"/>
      <c r="P242" s="2867"/>
      <c r="Q242" s="2867"/>
      <c r="R242" s="2867"/>
      <c r="S242" s="2867"/>
      <c r="T242" s="2867"/>
      <c r="U242" s="2867"/>
      <c r="V242" s="2867"/>
      <c r="W242" s="2867"/>
      <c r="X242" s="2867"/>
      <c r="Y242" s="2867"/>
      <c r="Z242" s="2867"/>
      <c r="AA242" s="2867"/>
      <c r="AB242" s="2867"/>
      <c r="AC242" s="2867"/>
      <c r="AD242" s="2867"/>
      <c r="AE242" s="2867"/>
      <c r="AF242" s="2867"/>
      <c r="AG242" s="2867"/>
      <c r="AH242" s="2867"/>
      <c r="AI242" s="2867"/>
      <c r="AJ242" s="2867"/>
      <c r="AK242" s="2867"/>
      <c r="AL242" s="2867"/>
      <c r="AM242" s="2867"/>
      <c r="AN242" s="2867"/>
      <c r="AO242" s="2867"/>
      <c r="AP242" s="2867"/>
      <c r="AQ242" s="2867"/>
      <c r="AR242" s="2867"/>
      <c r="AS242" s="2867"/>
      <c r="AT242" s="2867"/>
      <c r="AU242" s="2867"/>
      <c r="AV242" s="2867"/>
      <c r="AW242" s="2867"/>
      <c r="AX242" s="2867"/>
      <c r="AY242" s="2867"/>
      <c r="AZ242" s="2867"/>
      <c r="BA242" s="2867"/>
      <c r="BB242" s="2867"/>
      <c r="BC242" s="2867"/>
      <c r="BD242" s="2867"/>
      <c r="BE242" s="2867"/>
      <c r="BF242" s="2867"/>
      <c r="BG242" s="2867"/>
      <c r="BH242" s="2867"/>
      <c r="BI242" s="2867"/>
      <c r="BJ242" s="2867"/>
      <c r="BK242" s="2867"/>
      <c r="BL242" s="2867"/>
      <c r="BM242" s="2867"/>
      <c r="BN242" s="2867"/>
      <c r="BO242" s="2867"/>
      <c r="BP242" s="2867"/>
      <c r="BQ242" s="2867"/>
      <c r="BR242" s="2867"/>
      <c r="BS242" s="2867"/>
      <c r="BT242" s="2867"/>
      <c r="BU242" s="2867"/>
      <c r="BV242" s="2867"/>
      <c r="BW242" s="2867"/>
      <c r="BX242" s="2867"/>
      <c r="BY242" s="2867"/>
      <c r="BZ242" s="2867"/>
      <c r="CA242" s="2867"/>
      <c r="CB242" s="2867"/>
      <c r="CC242" s="2867"/>
      <c r="CD242" s="2867"/>
      <c r="CE242" s="2867"/>
      <c r="CF242" s="2867"/>
      <c r="CG242" s="2867"/>
      <c r="CH242" s="2867"/>
      <c r="CI242" s="2867"/>
      <c r="CJ242" s="2867"/>
      <c r="CK242" s="2867"/>
      <c r="CL242" s="2867"/>
      <c r="CM242" s="2867"/>
      <c r="CN242" s="2867"/>
      <c r="CO242" s="2867"/>
      <c r="CP242" s="2867"/>
      <c r="CQ242" s="2867"/>
      <c r="CR242" s="2867"/>
      <c r="CS242" s="2867"/>
      <c r="CT242" s="2867"/>
      <c r="CU242" s="2867"/>
      <c r="CV242" s="2867"/>
      <c r="CW242" s="2867"/>
    </row>
    <row r="243" spans="1:101">
      <c r="A243" s="2867"/>
      <c r="B243" s="2949"/>
      <c r="C243" s="2867"/>
      <c r="D243" s="2867"/>
      <c r="E243" s="2867"/>
      <c r="F243" s="2867"/>
      <c r="G243" s="2867"/>
      <c r="H243" s="2867"/>
      <c r="I243" s="2867"/>
      <c r="J243" s="2867"/>
      <c r="K243" s="2867"/>
      <c r="L243" s="2867"/>
      <c r="M243" s="2867"/>
      <c r="O243" s="2867"/>
      <c r="P243" s="2867"/>
      <c r="Q243" s="2867"/>
      <c r="R243" s="2867"/>
      <c r="S243" s="2867"/>
      <c r="T243" s="2867"/>
      <c r="U243" s="2867"/>
      <c r="V243" s="2867"/>
      <c r="W243" s="2867"/>
      <c r="X243" s="2867"/>
      <c r="Y243" s="2867"/>
      <c r="Z243" s="2867"/>
      <c r="AA243" s="2867"/>
      <c r="AB243" s="2867"/>
      <c r="AC243" s="2867"/>
      <c r="AD243" s="2867"/>
      <c r="AE243" s="2867"/>
      <c r="AF243" s="2867"/>
      <c r="AG243" s="2867"/>
      <c r="AH243" s="2867"/>
      <c r="AI243" s="2867"/>
      <c r="AJ243" s="2867"/>
      <c r="AK243" s="2867"/>
      <c r="AL243" s="2867"/>
      <c r="AM243" s="2867"/>
      <c r="AN243" s="2867"/>
      <c r="AO243" s="2867"/>
      <c r="AP243" s="2867"/>
      <c r="AQ243" s="2867"/>
      <c r="AR243" s="2867"/>
      <c r="AS243" s="2867"/>
      <c r="AT243" s="2867"/>
      <c r="AU243" s="2867"/>
      <c r="AV243" s="2867"/>
      <c r="AW243" s="2867"/>
      <c r="AX243" s="2867"/>
      <c r="AY243" s="2867"/>
      <c r="AZ243" s="2867"/>
      <c r="BA243" s="2867"/>
      <c r="BB243" s="2867"/>
      <c r="BC243" s="2867"/>
      <c r="BD243" s="2867"/>
      <c r="BE243" s="2867"/>
      <c r="BF243" s="2867"/>
      <c r="BG243" s="2867"/>
      <c r="BH243" s="2867"/>
      <c r="BI243" s="2867"/>
      <c r="BJ243" s="2867"/>
      <c r="BK243" s="2867"/>
      <c r="BL243" s="2867"/>
      <c r="BM243" s="2867"/>
      <c r="BN243" s="2867"/>
      <c r="BO243" s="2867"/>
      <c r="BP243" s="2867"/>
      <c r="BQ243" s="2867"/>
      <c r="BR243" s="2867"/>
      <c r="BS243" s="2867"/>
      <c r="BT243" s="2867"/>
      <c r="BU243" s="2867"/>
      <c r="BV243" s="2867"/>
      <c r="BW243" s="2867"/>
      <c r="BX243" s="2867"/>
      <c r="BY243" s="2867"/>
      <c r="BZ243" s="2867"/>
      <c r="CA243" s="2867"/>
      <c r="CB243" s="2867"/>
      <c r="CC243" s="2867"/>
      <c r="CD243" s="2867"/>
      <c r="CE243" s="2867"/>
      <c r="CF243" s="2867"/>
      <c r="CG243" s="2867"/>
      <c r="CH243" s="2867"/>
      <c r="CI243" s="2867"/>
      <c r="CJ243" s="2867"/>
      <c r="CK243" s="2867"/>
      <c r="CL243" s="2867"/>
      <c r="CM243" s="2867"/>
      <c r="CN243" s="2867"/>
      <c r="CO243" s="2867"/>
      <c r="CP243" s="2867"/>
      <c r="CQ243" s="2867"/>
      <c r="CR243" s="2867"/>
      <c r="CS243" s="2867"/>
      <c r="CT243" s="2867"/>
      <c r="CU243" s="2867"/>
      <c r="CV243" s="2867"/>
      <c r="CW243" s="2867"/>
    </row>
    <row r="244" spans="1:101">
      <c r="A244" s="2935"/>
      <c r="B244" s="2910"/>
      <c r="C244" s="2867"/>
      <c r="D244" s="2867"/>
      <c r="E244" s="2867"/>
      <c r="F244" s="2867"/>
      <c r="G244" s="2867"/>
      <c r="H244" s="2867"/>
      <c r="I244" s="2867"/>
      <c r="J244" s="2867"/>
      <c r="K244" s="2867"/>
      <c r="L244" s="2867"/>
      <c r="M244" s="2867"/>
      <c r="O244" s="2867"/>
      <c r="P244" s="2867"/>
      <c r="Q244" s="2867"/>
      <c r="R244" s="2867"/>
      <c r="S244" s="2867"/>
      <c r="T244" s="2867"/>
      <c r="U244" s="2867"/>
      <c r="V244" s="2867"/>
      <c r="W244" s="2867"/>
      <c r="X244" s="2867"/>
      <c r="Y244" s="2867"/>
      <c r="Z244" s="2867"/>
      <c r="AA244" s="2867"/>
      <c r="AB244" s="2867"/>
      <c r="AC244" s="2867"/>
      <c r="AD244" s="2867"/>
      <c r="AE244" s="2867"/>
      <c r="AF244" s="2867"/>
      <c r="AG244" s="2867"/>
      <c r="AH244" s="2867"/>
      <c r="AI244" s="2867"/>
      <c r="AJ244" s="2867"/>
      <c r="AK244" s="2867"/>
      <c r="AL244" s="2867"/>
      <c r="AM244" s="2867"/>
      <c r="AN244" s="2867"/>
      <c r="AO244" s="2867"/>
      <c r="AP244" s="2867"/>
      <c r="AQ244" s="2867"/>
      <c r="AR244" s="2867"/>
      <c r="AS244" s="2867"/>
      <c r="AT244" s="2867"/>
      <c r="AU244" s="2867"/>
      <c r="AV244" s="2867"/>
      <c r="AW244" s="2867"/>
      <c r="AX244" s="2867"/>
      <c r="AY244" s="2867"/>
      <c r="AZ244" s="2867"/>
      <c r="BA244" s="2867"/>
      <c r="BB244" s="2867"/>
      <c r="BC244" s="2867"/>
      <c r="BD244" s="2867"/>
      <c r="BE244" s="2867"/>
      <c r="BF244" s="2867"/>
      <c r="BG244" s="2867"/>
      <c r="BH244" s="2867"/>
      <c r="BI244" s="2867"/>
      <c r="BJ244" s="2867"/>
      <c r="BK244" s="2867"/>
      <c r="BL244" s="2867"/>
      <c r="BM244" s="2867"/>
      <c r="BN244" s="2867"/>
      <c r="BO244" s="2867"/>
      <c r="BP244" s="2867"/>
      <c r="BQ244" s="2867"/>
      <c r="BR244" s="2867"/>
      <c r="BS244" s="2867"/>
      <c r="BT244" s="2867"/>
      <c r="BU244" s="2867"/>
      <c r="BV244" s="2867"/>
      <c r="BW244" s="2867"/>
      <c r="BX244" s="2867"/>
      <c r="BY244" s="2867"/>
      <c r="BZ244" s="2867"/>
      <c r="CA244" s="2867"/>
      <c r="CB244" s="2867"/>
      <c r="CC244" s="2867"/>
      <c r="CD244" s="2867"/>
      <c r="CE244" s="2867"/>
      <c r="CF244" s="2867"/>
      <c r="CG244" s="2867"/>
      <c r="CH244" s="2867"/>
      <c r="CI244" s="2867"/>
      <c r="CJ244" s="2867"/>
      <c r="CK244" s="2867"/>
      <c r="CL244" s="2867"/>
      <c r="CM244" s="2867"/>
      <c r="CN244" s="2867"/>
      <c r="CO244" s="2867"/>
      <c r="CP244" s="2867"/>
      <c r="CQ244" s="2867"/>
      <c r="CR244" s="2867"/>
      <c r="CS244" s="2867"/>
      <c r="CT244" s="2867"/>
      <c r="CU244" s="2867"/>
      <c r="CV244" s="2867"/>
      <c r="CW244" s="2867"/>
    </row>
    <row r="245" spans="1:101">
      <c r="A245" s="2867"/>
      <c r="B245" s="2910"/>
      <c r="C245" s="2867"/>
      <c r="D245" s="2867"/>
      <c r="E245" s="2867"/>
      <c r="F245" s="2867"/>
      <c r="G245" s="2867"/>
      <c r="H245" s="2867"/>
      <c r="I245" s="2867"/>
      <c r="J245" s="2867"/>
      <c r="K245" s="2867"/>
      <c r="L245" s="2867"/>
      <c r="M245" s="2867"/>
      <c r="O245" s="2867"/>
      <c r="P245" s="2867"/>
      <c r="Q245" s="2867"/>
      <c r="R245" s="2867"/>
      <c r="S245" s="2867"/>
      <c r="T245" s="2867"/>
      <c r="U245" s="2867"/>
      <c r="V245" s="2867"/>
      <c r="W245" s="2867"/>
      <c r="X245" s="2867"/>
      <c r="Y245" s="2867"/>
      <c r="Z245" s="2867"/>
      <c r="AA245" s="2867"/>
      <c r="AB245" s="2867"/>
      <c r="AC245" s="2867"/>
      <c r="AD245" s="2867"/>
      <c r="AE245" s="2867"/>
      <c r="AF245" s="2867"/>
      <c r="AG245" s="2867"/>
      <c r="AH245" s="2867"/>
      <c r="AI245" s="2867"/>
      <c r="AJ245" s="2867"/>
      <c r="AK245" s="2867"/>
      <c r="AL245" s="2867"/>
      <c r="AM245" s="2867"/>
      <c r="AN245" s="2867"/>
      <c r="AO245" s="2867"/>
      <c r="AP245" s="2867"/>
      <c r="AQ245" s="2867"/>
      <c r="AR245" s="2867"/>
      <c r="AS245" s="2867"/>
      <c r="AT245" s="2867"/>
      <c r="AU245" s="2867"/>
      <c r="AV245" s="2867"/>
      <c r="AW245" s="2867"/>
      <c r="AX245" s="2867"/>
      <c r="AY245" s="2867"/>
      <c r="AZ245" s="2867"/>
      <c r="BA245" s="2867"/>
      <c r="BB245" s="2867"/>
      <c r="BC245" s="2867"/>
      <c r="BD245" s="2867"/>
      <c r="BE245" s="2867"/>
      <c r="BF245" s="2867"/>
      <c r="BG245" s="2867"/>
      <c r="BH245" s="2867"/>
      <c r="BI245" s="2867"/>
      <c r="BJ245" s="2867"/>
      <c r="BK245" s="2867"/>
      <c r="BL245" s="2867"/>
      <c r="BM245" s="2867"/>
      <c r="BN245" s="2867"/>
      <c r="BO245" s="2867"/>
      <c r="BP245" s="2867"/>
      <c r="BQ245" s="2867"/>
      <c r="BR245" s="2867"/>
      <c r="BS245" s="2867"/>
      <c r="BT245" s="2867"/>
      <c r="BU245" s="2867"/>
      <c r="BV245" s="2867"/>
      <c r="BW245" s="2867"/>
      <c r="BX245" s="2867"/>
      <c r="BY245" s="2867"/>
      <c r="BZ245" s="2867"/>
      <c r="CA245" s="2867"/>
      <c r="CB245" s="2867"/>
      <c r="CC245" s="2867"/>
      <c r="CD245" s="2867"/>
      <c r="CE245" s="2867"/>
      <c r="CF245" s="2867"/>
      <c r="CG245" s="2867"/>
      <c r="CH245" s="2867"/>
      <c r="CI245" s="2867"/>
      <c r="CJ245" s="2867"/>
      <c r="CK245" s="2867"/>
      <c r="CL245" s="2867"/>
      <c r="CM245" s="2867"/>
      <c r="CN245" s="2867"/>
      <c r="CO245" s="2867"/>
      <c r="CP245" s="2867"/>
      <c r="CQ245" s="2867"/>
      <c r="CR245" s="2867"/>
      <c r="CS245" s="2867"/>
      <c r="CT245" s="2867"/>
      <c r="CU245" s="2867"/>
      <c r="CV245" s="2867"/>
      <c r="CW245" s="2867"/>
    </row>
    <row r="246" spans="1:101">
      <c r="A246" s="2867"/>
      <c r="B246" s="2910"/>
      <c r="C246" s="2867"/>
      <c r="D246" s="2867"/>
      <c r="E246" s="2867"/>
      <c r="F246" s="2867"/>
      <c r="G246" s="2867"/>
      <c r="H246" s="2867"/>
      <c r="I246" s="2867"/>
      <c r="J246" s="2867"/>
      <c r="K246" s="2867"/>
      <c r="L246" s="2867"/>
      <c r="M246" s="2867"/>
      <c r="O246" s="2867"/>
      <c r="P246" s="2867"/>
      <c r="Q246" s="2867"/>
      <c r="R246" s="2867"/>
      <c r="S246" s="2867"/>
      <c r="T246" s="2867"/>
      <c r="U246" s="2867"/>
      <c r="V246" s="2867"/>
      <c r="W246" s="2867"/>
      <c r="X246" s="2867"/>
      <c r="Y246" s="2867"/>
      <c r="Z246" s="2867"/>
      <c r="AA246" s="2867"/>
      <c r="AB246" s="2867"/>
      <c r="AC246" s="2867"/>
      <c r="AD246" s="2867"/>
      <c r="AE246" s="2867"/>
      <c r="AF246" s="2867"/>
      <c r="AG246" s="2867"/>
      <c r="AH246" s="2867"/>
      <c r="AI246" s="2867"/>
      <c r="AJ246" s="2867"/>
      <c r="AK246" s="2867"/>
      <c r="AL246" s="2867"/>
      <c r="AM246" s="2867"/>
      <c r="AN246" s="2867"/>
      <c r="AO246" s="2867"/>
      <c r="AP246" s="2867"/>
      <c r="AQ246" s="2867"/>
      <c r="AR246" s="2867"/>
      <c r="AS246" s="2867"/>
      <c r="AT246" s="2867"/>
      <c r="AU246" s="2867"/>
      <c r="AV246" s="2867"/>
      <c r="AW246" s="2867"/>
      <c r="AX246" s="2867"/>
      <c r="AY246" s="2867"/>
      <c r="AZ246" s="2867"/>
      <c r="BA246" s="2867"/>
      <c r="BB246" s="2867"/>
      <c r="BC246" s="2867"/>
      <c r="BD246" s="2867"/>
      <c r="BE246" s="2867"/>
      <c r="BF246" s="2867"/>
      <c r="BG246" s="2867"/>
      <c r="BH246" s="2867"/>
      <c r="BI246" s="2867"/>
      <c r="BJ246" s="2867"/>
      <c r="BK246" s="2867"/>
      <c r="BL246" s="2867"/>
      <c r="BM246" s="2867"/>
      <c r="BN246" s="2867"/>
      <c r="BO246" s="2867"/>
      <c r="BP246" s="2867"/>
      <c r="BQ246" s="2867"/>
      <c r="BR246" s="2867"/>
      <c r="BS246" s="2867"/>
      <c r="BT246" s="2867"/>
      <c r="BU246" s="2867"/>
      <c r="BV246" s="2867"/>
      <c r="BW246" s="2867"/>
      <c r="BX246" s="2867"/>
      <c r="BY246" s="2867"/>
      <c r="BZ246" s="2867"/>
      <c r="CA246" s="2867"/>
      <c r="CB246" s="2867"/>
      <c r="CC246" s="2867"/>
      <c r="CD246" s="2867"/>
      <c r="CE246" s="2867"/>
      <c r="CF246" s="2867"/>
      <c r="CG246" s="2867"/>
      <c r="CH246" s="2867"/>
      <c r="CI246" s="2867"/>
      <c r="CJ246" s="2867"/>
      <c r="CK246" s="2867"/>
      <c r="CL246" s="2867"/>
      <c r="CM246" s="2867"/>
      <c r="CN246" s="2867"/>
      <c r="CO246" s="2867"/>
      <c r="CP246" s="2867"/>
      <c r="CQ246" s="2867"/>
      <c r="CR246" s="2867"/>
      <c r="CS246" s="2867"/>
      <c r="CT246" s="2867"/>
      <c r="CU246" s="2867"/>
      <c r="CV246" s="2867"/>
      <c r="CW246" s="2867"/>
    </row>
    <row r="247" spans="1:101">
      <c r="A247" s="2867"/>
      <c r="B247" s="2910"/>
      <c r="C247" s="2867"/>
      <c r="D247" s="2867"/>
      <c r="E247" s="2867"/>
      <c r="F247" s="2867"/>
      <c r="G247" s="2867"/>
      <c r="H247" s="2867"/>
      <c r="I247" s="2867"/>
      <c r="J247" s="2867"/>
      <c r="K247" s="2867"/>
      <c r="L247" s="2867"/>
      <c r="M247" s="2867"/>
      <c r="O247" s="2867"/>
      <c r="P247" s="2867"/>
      <c r="Q247" s="2867"/>
      <c r="R247" s="2867"/>
      <c r="S247" s="2867"/>
      <c r="T247" s="2867"/>
      <c r="U247" s="2867"/>
      <c r="V247" s="2867"/>
      <c r="W247" s="2867"/>
      <c r="X247" s="2867"/>
      <c r="Y247" s="2867"/>
      <c r="Z247" s="2867"/>
      <c r="AA247" s="2867"/>
      <c r="AB247" s="2867"/>
      <c r="AC247" s="2867"/>
      <c r="AD247" s="2867"/>
      <c r="AE247" s="2867"/>
      <c r="AF247" s="2867"/>
      <c r="AG247" s="2867"/>
      <c r="AH247" s="2867"/>
      <c r="AI247" s="2867"/>
      <c r="AJ247" s="2867"/>
      <c r="AK247" s="2867"/>
      <c r="AL247" s="2867"/>
      <c r="AM247" s="2867"/>
      <c r="AN247" s="2867"/>
      <c r="AO247" s="2867"/>
      <c r="AP247" s="2867"/>
      <c r="AQ247" s="2867"/>
      <c r="AR247" s="2867"/>
      <c r="AS247" s="2867"/>
      <c r="AT247" s="2867"/>
      <c r="AU247" s="2867"/>
      <c r="AV247" s="2867"/>
      <c r="AW247" s="2867"/>
      <c r="AX247" s="2867"/>
      <c r="AY247" s="2867"/>
      <c r="AZ247" s="2867"/>
      <c r="BA247" s="2867"/>
      <c r="BB247" s="2867"/>
      <c r="BC247" s="2867"/>
      <c r="BD247" s="2867"/>
      <c r="BE247" s="2867"/>
      <c r="BF247" s="2867"/>
      <c r="BG247" s="2867"/>
      <c r="BH247" s="2867"/>
      <c r="BI247" s="2867"/>
      <c r="BJ247" s="2867"/>
      <c r="BK247" s="2867"/>
      <c r="BL247" s="2867"/>
      <c r="BM247" s="2867"/>
      <c r="BN247" s="2867"/>
      <c r="BO247" s="2867"/>
      <c r="BP247" s="2867"/>
      <c r="BQ247" s="2867"/>
      <c r="BR247" s="2867"/>
      <c r="BS247" s="2867"/>
      <c r="BT247" s="2867"/>
      <c r="BU247" s="2867"/>
      <c r="BV247" s="2867"/>
      <c r="BW247" s="2867"/>
      <c r="BX247" s="2867"/>
      <c r="BY247" s="2867"/>
      <c r="BZ247" s="2867"/>
      <c r="CA247" s="2867"/>
      <c r="CB247" s="2867"/>
      <c r="CC247" s="2867"/>
      <c r="CD247" s="2867"/>
      <c r="CE247" s="2867"/>
      <c r="CF247" s="2867"/>
      <c r="CG247" s="2867"/>
      <c r="CH247" s="2867"/>
      <c r="CI247" s="2867"/>
      <c r="CJ247" s="2867"/>
      <c r="CK247" s="2867"/>
      <c r="CL247" s="2867"/>
      <c r="CM247" s="2867"/>
      <c r="CN247" s="2867"/>
      <c r="CO247" s="2867"/>
      <c r="CP247" s="2867"/>
      <c r="CQ247" s="2867"/>
      <c r="CR247" s="2867"/>
      <c r="CS247" s="2867"/>
      <c r="CT247" s="2867"/>
      <c r="CU247" s="2867"/>
      <c r="CV247" s="2867"/>
      <c r="CW247" s="2867"/>
    </row>
    <row r="248" spans="1:101">
      <c r="A248" s="2867"/>
      <c r="B248" s="2910"/>
      <c r="C248" s="2867"/>
      <c r="D248" s="2867"/>
      <c r="E248" s="2867"/>
      <c r="F248" s="2867"/>
      <c r="G248" s="2867"/>
      <c r="H248" s="2867"/>
      <c r="I248" s="2867"/>
      <c r="J248" s="2867"/>
      <c r="K248" s="2867"/>
      <c r="L248" s="2867"/>
      <c r="M248" s="2867"/>
      <c r="O248" s="2867"/>
      <c r="P248" s="2867"/>
      <c r="Q248" s="2867"/>
      <c r="R248" s="2867"/>
      <c r="S248" s="2867"/>
      <c r="T248" s="2867"/>
      <c r="U248" s="2867"/>
      <c r="V248" s="2867"/>
      <c r="W248" s="2867"/>
      <c r="X248" s="2867"/>
      <c r="Y248" s="2867"/>
      <c r="Z248" s="2867"/>
      <c r="AA248" s="2867"/>
      <c r="AB248" s="2867"/>
      <c r="AC248" s="2867"/>
      <c r="AD248" s="2867"/>
      <c r="AE248" s="2867"/>
      <c r="AF248" s="2867"/>
      <c r="AG248" s="2867"/>
      <c r="AH248" s="2867"/>
      <c r="AI248" s="2867"/>
      <c r="AJ248" s="2867"/>
      <c r="AK248" s="2867"/>
      <c r="AL248" s="2867"/>
      <c r="AM248" s="2867"/>
      <c r="AN248" s="2867"/>
      <c r="AO248" s="2867"/>
      <c r="AP248" s="2867"/>
      <c r="AQ248" s="2867"/>
      <c r="AR248" s="2867"/>
      <c r="AS248" s="2867"/>
      <c r="AT248" s="2867"/>
      <c r="AU248" s="2867"/>
      <c r="AV248" s="2867"/>
      <c r="AW248" s="2867"/>
      <c r="AX248" s="2867"/>
      <c r="AY248" s="2867"/>
      <c r="AZ248" s="2867"/>
      <c r="BA248" s="2867"/>
      <c r="BB248" s="2867"/>
      <c r="BC248" s="2867"/>
      <c r="BD248" s="2867"/>
      <c r="BE248" s="2867"/>
      <c r="BF248" s="2867"/>
      <c r="BG248" s="2867"/>
      <c r="BH248" s="2867"/>
      <c r="BI248" s="2867"/>
      <c r="BJ248" s="2867"/>
      <c r="BK248" s="2867"/>
      <c r="BL248" s="2867"/>
      <c r="BM248" s="2867"/>
      <c r="BN248" s="2867"/>
      <c r="BO248" s="2867"/>
      <c r="BP248" s="2867"/>
      <c r="BQ248" s="2867"/>
      <c r="BR248" s="2867"/>
      <c r="BS248" s="2867"/>
      <c r="BT248" s="2867"/>
      <c r="BU248" s="2867"/>
      <c r="BV248" s="2867"/>
      <c r="BW248" s="2867"/>
      <c r="BX248" s="2867"/>
      <c r="BY248" s="2867"/>
      <c r="BZ248" s="2867"/>
      <c r="CA248" s="2867"/>
      <c r="CB248" s="2867"/>
      <c r="CC248" s="2867"/>
      <c r="CD248" s="2867"/>
      <c r="CE248" s="2867"/>
      <c r="CF248" s="2867"/>
      <c r="CG248" s="2867"/>
      <c r="CH248" s="2867"/>
      <c r="CI248" s="2867"/>
      <c r="CJ248" s="2867"/>
      <c r="CK248" s="2867"/>
      <c r="CL248" s="2867"/>
      <c r="CM248" s="2867"/>
      <c r="CN248" s="2867"/>
      <c r="CO248" s="2867"/>
      <c r="CP248" s="2867"/>
      <c r="CQ248" s="2867"/>
      <c r="CR248" s="2867"/>
      <c r="CS248" s="2867"/>
      <c r="CT248" s="2867"/>
      <c r="CU248" s="2867"/>
      <c r="CV248" s="2867"/>
      <c r="CW248" s="2867"/>
    </row>
    <row r="249" spans="1:101">
      <c r="A249" s="2867"/>
      <c r="B249" s="2910"/>
      <c r="C249" s="2867"/>
      <c r="D249" s="2867"/>
      <c r="E249" s="2867"/>
      <c r="F249" s="2867"/>
      <c r="G249" s="2867"/>
      <c r="H249" s="2867"/>
      <c r="I249" s="2867"/>
      <c r="J249" s="2867"/>
      <c r="K249" s="2867"/>
      <c r="L249" s="2867"/>
      <c r="M249" s="2867"/>
      <c r="O249" s="2867"/>
      <c r="P249" s="2867"/>
      <c r="Q249" s="2867"/>
      <c r="R249" s="2867"/>
      <c r="S249" s="2867"/>
      <c r="T249" s="2867"/>
      <c r="U249" s="2867"/>
      <c r="V249" s="2867"/>
      <c r="W249" s="2867"/>
      <c r="X249" s="2867"/>
      <c r="Y249" s="2867"/>
      <c r="Z249" s="2867"/>
      <c r="AA249" s="2867"/>
      <c r="AB249" s="2867"/>
      <c r="AC249" s="2867"/>
      <c r="AD249" s="2867"/>
      <c r="AE249" s="2867"/>
      <c r="AF249" s="2867"/>
      <c r="AG249" s="2867"/>
      <c r="AH249" s="2867"/>
      <c r="AI249" s="2867"/>
      <c r="AJ249" s="2867"/>
      <c r="AK249" s="2867"/>
      <c r="AL249" s="2867"/>
      <c r="AM249" s="2867"/>
      <c r="AN249" s="2867"/>
      <c r="AO249" s="2867"/>
      <c r="AP249" s="2867"/>
      <c r="AQ249" s="2867"/>
      <c r="AR249" s="2867"/>
      <c r="AS249" s="2867"/>
      <c r="AT249" s="2867"/>
      <c r="AU249" s="2867"/>
      <c r="AV249" s="2867"/>
      <c r="AW249" s="2867"/>
      <c r="AX249" s="2867"/>
      <c r="AY249" s="2867"/>
      <c r="AZ249" s="2867"/>
      <c r="BA249" s="2867"/>
      <c r="BB249" s="2867"/>
      <c r="BC249" s="2867"/>
      <c r="BD249" s="2867"/>
      <c r="BE249" s="2867"/>
      <c r="BF249" s="2867"/>
      <c r="BG249" s="2867"/>
      <c r="BH249" s="2867"/>
      <c r="BI249" s="2867"/>
      <c r="BJ249" s="2867"/>
      <c r="BK249" s="2867"/>
      <c r="BL249" s="2867"/>
      <c r="BM249" s="2867"/>
      <c r="BN249" s="2867"/>
      <c r="BO249" s="2867"/>
      <c r="BP249" s="2867"/>
      <c r="BQ249" s="2867"/>
      <c r="BR249" s="2867"/>
      <c r="BS249" s="2867"/>
      <c r="BT249" s="2867"/>
      <c r="BU249" s="2867"/>
      <c r="BV249" s="2867"/>
      <c r="BW249" s="2867"/>
      <c r="BX249" s="2867"/>
      <c r="BY249" s="2867"/>
      <c r="BZ249" s="2867"/>
      <c r="CA249" s="2867"/>
      <c r="CB249" s="2867"/>
      <c r="CC249" s="2867"/>
      <c r="CD249" s="2867"/>
      <c r="CE249" s="2867"/>
      <c r="CF249" s="2867"/>
      <c r="CG249" s="2867"/>
      <c r="CH249" s="2867"/>
      <c r="CI249" s="2867"/>
      <c r="CJ249" s="2867"/>
      <c r="CK249" s="2867"/>
      <c r="CL249" s="2867"/>
      <c r="CM249" s="2867"/>
      <c r="CN249" s="2867"/>
      <c r="CO249" s="2867"/>
      <c r="CP249" s="2867"/>
      <c r="CQ249" s="2867"/>
      <c r="CR249" s="2867"/>
      <c r="CS249" s="2867"/>
      <c r="CT249" s="2867"/>
      <c r="CU249" s="2867"/>
      <c r="CV249" s="2867"/>
      <c r="CW249" s="2867"/>
    </row>
    <row r="250" spans="1:101">
      <c r="A250" s="2867"/>
      <c r="B250" s="2910"/>
      <c r="C250" s="2867"/>
      <c r="D250" s="2867"/>
      <c r="E250" s="2867"/>
      <c r="F250" s="2867"/>
      <c r="G250" s="2867"/>
      <c r="H250" s="2867"/>
      <c r="I250" s="2867"/>
      <c r="J250" s="2867"/>
      <c r="K250" s="2867"/>
      <c r="L250" s="2867"/>
      <c r="M250" s="2867"/>
      <c r="O250" s="2867"/>
      <c r="P250" s="2867"/>
      <c r="Q250" s="2867"/>
      <c r="R250" s="2867"/>
      <c r="S250" s="2867"/>
      <c r="T250" s="2867"/>
      <c r="U250" s="2867"/>
      <c r="V250" s="2867"/>
      <c r="W250" s="2867"/>
      <c r="X250" s="2867"/>
      <c r="Y250" s="2867"/>
      <c r="Z250" s="2867"/>
      <c r="AA250" s="2867"/>
      <c r="AB250" s="2867"/>
      <c r="AC250" s="2867"/>
      <c r="AD250" s="2867"/>
      <c r="AE250" s="2867"/>
      <c r="AF250" s="2867"/>
      <c r="AG250" s="2867"/>
      <c r="AH250" s="2867"/>
      <c r="AI250" s="2867"/>
      <c r="AJ250" s="2867"/>
      <c r="AK250" s="2867"/>
      <c r="AL250" s="2867"/>
      <c r="AM250" s="2867"/>
      <c r="AN250" s="2867"/>
      <c r="AO250" s="2867"/>
      <c r="AP250" s="2867"/>
      <c r="AQ250" s="2867"/>
      <c r="AR250" s="2867"/>
      <c r="AS250" s="2867"/>
      <c r="AT250" s="2867"/>
      <c r="AU250" s="2867"/>
      <c r="AV250" s="2867"/>
      <c r="AW250" s="2867"/>
      <c r="AX250" s="2867"/>
      <c r="AY250" s="2867"/>
      <c r="AZ250" s="2867"/>
      <c r="BA250" s="2867"/>
      <c r="BB250" s="2867"/>
      <c r="BC250" s="2867"/>
      <c r="BD250" s="2867"/>
      <c r="BE250" s="2867"/>
      <c r="BF250" s="2867"/>
      <c r="BG250" s="2867"/>
      <c r="BH250" s="2867"/>
      <c r="BI250" s="2867"/>
      <c r="BJ250" s="2867"/>
      <c r="BK250" s="2867"/>
      <c r="BL250" s="2867"/>
      <c r="BM250" s="2867"/>
      <c r="BN250" s="2867"/>
      <c r="BO250" s="2867"/>
      <c r="BP250" s="2867"/>
      <c r="BQ250" s="2867"/>
      <c r="BR250" s="2867"/>
      <c r="BS250" s="2867"/>
      <c r="BT250" s="2867"/>
      <c r="BU250" s="2867"/>
      <c r="BV250" s="2867"/>
      <c r="BW250" s="2867"/>
      <c r="BX250" s="2867"/>
      <c r="BY250" s="2867"/>
      <c r="BZ250" s="2867"/>
      <c r="CA250" s="2867"/>
      <c r="CB250" s="2867"/>
      <c r="CC250" s="2867"/>
      <c r="CD250" s="2867"/>
      <c r="CE250" s="2867"/>
      <c r="CF250" s="2867"/>
      <c r="CG250" s="2867"/>
      <c r="CH250" s="2867"/>
      <c r="CI250" s="2867"/>
      <c r="CJ250" s="2867"/>
      <c r="CK250" s="2867"/>
      <c r="CL250" s="2867"/>
      <c r="CM250" s="2867"/>
      <c r="CN250" s="2867"/>
      <c r="CO250" s="2867"/>
      <c r="CP250" s="2867"/>
      <c r="CQ250" s="2867"/>
      <c r="CR250" s="2867"/>
      <c r="CS250" s="2867"/>
      <c r="CT250" s="2867"/>
      <c r="CU250" s="2867"/>
      <c r="CV250" s="2867"/>
      <c r="CW250" s="2867"/>
    </row>
    <row r="251" spans="1:101">
      <c r="A251" s="2867"/>
      <c r="B251" s="2910"/>
      <c r="C251" s="2867"/>
      <c r="D251" s="2867"/>
      <c r="E251" s="2867"/>
      <c r="F251" s="2867"/>
      <c r="G251" s="2867"/>
      <c r="H251" s="2867"/>
      <c r="I251" s="2867"/>
      <c r="J251" s="2867"/>
      <c r="K251" s="2867"/>
      <c r="L251" s="2867"/>
      <c r="M251" s="2867"/>
      <c r="O251" s="2867"/>
      <c r="P251" s="2867"/>
      <c r="Q251" s="2867"/>
      <c r="R251" s="2867"/>
      <c r="S251" s="2867"/>
      <c r="T251" s="2867"/>
      <c r="U251" s="2867"/>
      <c r="V251" s="2867"/>
      <c r="W251" s="2867"/>
      <c r="X251" s="2867"/>
      <c r="Y251" s="2867"/>
      <c r="Z251" s="2867"/>
      <c r="AA251" s="2867"/>
      <c r="AB251" s="2867"/>
      <c r="AC251" s="2867"/>
      <c r="AD251" s="2867"/>
      <c r="AE251" s="2867"/>
      <c r="AF251" s="2867"/>
      <c r="AG251" s="2867"/>
      <c r="AH251" s="2867"/>
      <c r="AI251" s="2867"/>
      <c r="AJ251" s="2867"/>
      <c r="AK251" s="2867"/>
      <c r="AL251" s="2867"/>
      <c r="AM251" s="2867"/>
      <c r="AN251" s="2867"/>
      <c r="AO251" s="2867"/>
      <c r="AP251" s="2867"/>
      <c r="AQ251" s="2867"/>
      <c r="AR251" s="2867"/>
      <c r="AS251" s="2867"/>
      <c r="AT251" s="2867"/>
      <c r="AU251" s="2867"/>
      <c r="AV251" s="2867"/>
      <c r="AW251" s="2867"/>
      <c r="AX251" s="2867"/>
      <c r="AY251" s="2867"/>
      <c r="AZ251" s="2867"/>
      <c r="BA251" s="2867"/>
      <c r="BB251" s="2867"/>
      <c r="BC251" s="2867"/>
      <c r="BD251" s="2867"/>
      <c r="BE251" s="2867"/>
      <c r="BF251" s="2867"/>
      <c r="BG251" s="2867"/>
      <c r="BH251" s="2867"/>
      <c r="BI251" s="2867"/>
      <c r="BJ251" s="2867"/>
      <c r="BK251" s="2867"/>
      <c r="BL251" s="2867"/>
      <c r="BM251" s="2867"/>
      <c r="BN251" s="2867"/>
      <c r="BO251" s="2867"/>
      <c r="BP251" s="2867"/>
      <c r="BQ251" s="2867"/>
      <c r="BR251" s="2867"/>
      <c r="BS251" s="2867"/>
      <c r="BT251" s="2867"/>
      <c r="BU251" s="2867"/>
      <c r="BV251" s="2867"/>
      <c r="BW251" s="2867"/>
      <c r="BX251" s="2867"/>
      <c r="BY251" s="2867"/>
      <c r="BZ251" s="2867"/>
      <c r="CA251" s="2867"/>
      <c r="CB251" s="2867"/>
      <c r="CC251" s="2867"/>
      <c r="CD251" s="2867"/>
      <c r="CE251" s="2867"/>
      <c r="CF251" s="2867"/>
      <c r="CG251" s="2867"/>
      <c r="CH251" s="2867"/>
      <c r="CI251" s="2867"/>
      <c r="CJ251" s="2867"/>
      <c r="CK251" s="2867"/>
      <c r="CL251" s="2867"/>
      <c r="CM251" s="2867"/>
      <c r="CN251" s="2867"/>
      <c r="CO251" s="2867"/>
      <c r="CP251" s="2867"/>
      <c r="CQ251" s="2867"/>
      <c r="CR251" s="2867"/>
      <c r="CS251" s="2867"/>
      <c r="CT251" s="2867"/>
      <c r="CU251" s="2867"/>
      <c r="CV251" s="2867"/>
      <c r="CW251" s="2867"/>
    </row>
    <row r="252" spans="1:101">
      <c r="A252" s="2867"/>
      <c r="B252" s="2949"/>
      <c r="C252" s="2867"/>
      <c r="D252" s="2867"/>
      <c r="E252" s="2867"/>
      <c r="F252" s="2867"/>
      <c r="G252" s="2867"/>
      <c r="H252" s="2867"/>
      <c r="I252" s="2867"/>
      <c r="J252" s="2867"/>
      <c r="K252" s="2867"/>
      <c r="L252" s="2867"/>
      <c r="M252" s="2867"/>
      <c r="O252" s="2867"/>
      <c r="P252" s="2867"/>
      <c r="Q252" s="2867"/>
      <c r="R252" s="2867"/>
      <c r="S252" s="2867"/>
      <c r="T252" s="2867"/>
      <c r="U252" s="2867"/>
      <c r="V252" s="2867"/>
      <c r="W252" s="2867"/>
      <c r="X252" s="2867"/>
      <c r="Y252" s="2867"/>
      <c r="Z252" s="2867"/>
      <c r="AA252" s="2867"/>
      <c r="AB252" s="2867"/>
      <c r="AC252" s="2867"/>
      <c r="AD252" s="2867"/>
      <c r="AE252" s="2867"/>
      <c r="AF252" s="2867"/>
      <c r="AG252" s="2867"/>
      <c r="AH252" s="2867"/>
      <c r="AI252" s="2867"/>
      <c r="AJ252" s="2867"/>
      <c r="AK252" s="2867"/>
      <c r="AL252" s="2867"/>
      <c r="AM252" s="2867"/>
      <c r="AN252" s="2867"/>
      <c r="AO252" s="2867"/>
      <c r="AP252" s="2867"/>
      <c r="AQ252" s="2867"/>
      <c r="AR252" s="2867"/>
      <c r="AS252" s="2867"/>
      <c r="AT252" s="2867"/>
      <c r="AU252" s="2867"/>
      <c r="AV252" s="2867"/>
      <c r="AW252" s="2867"/>
      <c r="AX252" s="2867"/>
      <c r="AY252" s="2867"/>
      <c r="AZ252" s="2867"/>
      <c r="BA252" s="2867"/>
      <c r="BB252" s="2867"/>
      <c r="BC252" s="2867"/>
      <c r="BD252" s="2867"/>
      <c r="BE252" s="2867"/>
      <c r="BF252" s="2867"/>
      <c r="BG252" s="2867"/>
      <c r="BH252" s="2867"/>
      <c r="BI252" s="2867"/>
      <c r="BJ252" s="2867"/>
      <c r="BK252" s="2867"/>
      <c r="BL252" s="2867"/>
      <c r="BM252" s="2867"/>
      <c r="BN252" s="2867"/>
      <c r="BO252" s="2867"/>
      <c r="BP252" s="2867"/>
      <c r="BQ252" s="2867"/>
      <c r="BR252" s="2867"/>
      <c r="BS252" s="2867"/>
      <c r="BT252" s="2867"/>
      <c r="BU252" s="2867"/>
      <c r="BV252" s="2867"/>
      <c r="BW252" s="2867"/>
      <c r="BX252" s="2867"/>
      <c r="BY252" s="2867"/>
      <c r="BZ252" s="2867"/>
      <c r="CA252" s="2867"/>
      <c r="CB252" s="2867"/>
      <c r="CC252" s="2867"/>
      <c r="CD252" s="2867"/>
      <c r="CE252" s="2867"/>
      <c r="CF252" s="2867"/>
      <c r="CG252" s="2867"/>
      <c r="CH252" s="2867"/>
      <c r="CI252" s="2867"/>
      <c r="CJ252" s="2867"/>
      <c r="CK252" s="2867"/>
      <c r="CL252" s="2867"/>
      <c r="CM252" s="2867"/>
      <c r="CN252" s="2867"/>
      <c r="CO252" s="2867"/>
      <c r="CP252" s="2867"/>
      <c r="CQ252" s="2867"/>
      <c r="CR252" s="2867"/>
      <c r="CS252" s="2867"/>
      <c r="CT252" s="2867"/>
      <c r="CU252" s="2867"/>
      <c r="CV252" s="2867"/>
      <c r="CW252" s="2867"/>
    </row>
    <row r="253" spans="1:101">
      <c r="A253" s="2867"/>
      <c r="B253" s="2949"/>
      <c r="C253" s="2867"/>
      <c r="D253" s="2867"/>
      <c r="E253" s="2867"/>
      <c r="F253" s="2867"/>
      <c r="G253" s="2867"/>
      <c r="H253" s="2867"/>
      <c r="I253" s="2867"/>
      <c r="J253" s="2867"/>
      <c r="K253" s="2867"/>
      <c r="L253" s="2867"/>
      <c r="M253" s="2867"/>
      <c r="O253" s="2867"/>
      <c r="P253" s="2867"/>
      <c r="Q253" s="2867"/>
      <c r="R253" s="2867"/>
      <c r="S253" s="2867"/>
      <c r="T253" s="2867"/>
      <c r="U253" s="2867"/>
      <c r="V253" s="2867"/>
      <c r="W253" s="2867"/>
      <c r="X253" s="2867"/>
      <c r="Y253" s="2867"/>
      <c r="Z253" s="2867"/>
      <c r="AA253" s="2867"/>
      <c r="AB253" s="2867"/>
      <c r="AC253" s="2867"/>
      <c r="AD253" s="2867"/>
      <c r="AE253" s="2867"/>
      <c r="AF253" s="2867"/>
      <c r="AG253" s="2867"/>
      <c r="AH253" s="2867"/>
      <c r="AI253" s="2867"/>
      <c r="AJ253" s="2867"/>
      <c r="AK253" s="2867"/>
      <c r="AL253" s="2867"/>
      <c r="AM253" s="2867"/>
      <c r="AN253" s="2867"/>
      <c r="AO253" s="2867"/>
      <c r="AP253" s="2867"/>
      <c r="AQ253" s="2867"/>
      <c r="AR253" s="2867"/>
      <c r="AS253" s="2867"/>
      <c r="AT253" s="2867"/>
      <c r="AU253" s="2867"/>
      <c r="AV253" s="2867"/>
      <c r="AW253" s="2867"/>
      <c r="AX253" s="2867"/>
      <c r="AY253" s="2867"/>
      <c r="AZ253" s="2867"/>
      <c r="BA253" s="2867"/>
      <c r="BB253" s="2867"/>
      <c r="BC253" s="2867"/>
      <c r="BD253" s="2867"/>
      <c r="BE253" s="2867"/>
      <c r="BF253" s="2867"/>
      <c r="BG253" s="2867"/>
      <c r="BH253" s="2867"/>
      <c r="BI253" s="2867"/>
      <c r="BJ253" s="2867"/>
      <c r="BK253" s="2867"/>
      <c r="BL253" s="2867"/>
      <c r="BM253" s="2867"/>
      <c r="BN253" s="2867"/>
      <c r="BO253" s="2867"/>
      <c r="BP253" s="2867"/>
      <c r="BQ253" s="2867"/>
      <c r="BR253" s="2867"/>
      <c r="BS253" s="2867"/>
      <c r="BT253" s="2867"/>
      <c r="BU253" s="2867"/>
      <c r="BV253" s="2867"/>
      <c r="BW253" s="2867"/>
      <c r="BX253" s="2867"/>
      <c r="BY253" s="2867"/>
      <c r="BZ253" s="2867"/>
      <c r="CA253" s="2867"/>
      <c r="CB253" s="2867"/>
      <c r="CC253" s="2867"/>
      <c r="CD253" s="2867"/>
      <c r="CE253" s="2867"/>
      <c r="CF253" s="2867"/>
      <c r="CG253" s="2867"/>
      <c r="CH253" s="2867"/>
      <c r="CI253" s="2867"/>
      <c r="CJ253" s="2867"/>
      <c r="CK253" s="2867"/>
      <c r="CL253" s="2867"/>
      <c r="CM253" s="2867"/>
      <c r="CN253" s="2867"/>
      <c r="CO253" s="2867"/>
      <c r="CP253" s="2867"/>
      <c r="CQ253" s="2867"/>
      <c r="CR253" s="2867"/>
      <c r="CS253" s="2867"/>
      <c r="CT253" s="2867"/>
      <c r="CU253" s="2867"/>
      <c r="CV253" s="2867"/>
      <c r="CW253" s="2867"/>
    </row>
    <row r="254" spans="1:101">
      <c r="A254" s="2935"/>
      <c r="B254" s="2910"/>
      <c r="C254" s="2867"/>
      <c r="D254" s="2867"/>
      <c r="E254" s="2867"/>
      <c r="F254" s="2867"/>
      <c r="G254" s="2867"/>
      <c r="H254" s="2867"/>
      <c r="I254" s="2867"/>
      <c r="J254" s="2867"/>
      <c r="K254" s="2867"/>
      <c r="L254" s="2867"/>
      <c r="M254" s="2867"/>
      <c r="O254" s="2867"/>
      <c r="P254" s="2867"/>
      <c r="Q254" s="2867"/>
      <c r="R254" s="2867"/>
      <c r="S254" s="2867"/>
      <c r="T254" s="2867"/>
      <c r="U254" s="2867"/>
      <c r="V254" s="2867"/>
      <c r="W254" s="2867"/>
      <c r="X254" s="2867"/>
      <c r="Y254" s="2867"/>
      <c r="Z254" s="2867"/>
      <c r="AA254" s="2867"/>
      <c r="AB254" s="2867"/>
      <c r="AC254" s="2867"/>
      <c r="AD254" s="2867"/>
      <c r="AE254" s="2867"/>
      <c r="AF254" s="2867"/>
      <c r="AG254" s="2867"/>
      <c r="AH254" s="2867"/>
      <c r="AI254" s="2867"/>
      <c r="AJ254" s="2867"/>
      <c r="AK254" s="2867"/>
      <c r="AL254" s="2867"/>
      <c r="AM254" s="2867"/>
      <c r="AN254" s="2867"/>
      <c r="AO254" s="2867"/>
      <c r="AP254" s="2867"/>
      <c r="AQ254" s="2867"/>
      <c r="AR254" s="2867"/>
      <c r="AS254" s="2867"/>
      <c r="AT254" s="2867"/>
      <c r="AU254" s="2867"/>
      <c r="AV254" s="2867"/>
      <c r="AW254" s="2867"/>
      <c r="AX254" s="2867"/>
      <c r="AY254" s="2867"/>
      <c r="AZ254" s="2867"/>
      <c r="BA254" s="2867"/>
      <c r="BB254" s="2867"/>
      <c r="BC254" s="2867"/>
      <c r="BD254" s="2867"/>
      <c r="BE254" s="2867"/>
      <c r="BF254" s="2867"/>
      <c r="BG254" s="2867"/>
      <c r="BH254" s="2867"/>
      <c r="BI254" s="2867"/>
      <c r="BJ254" s="2867"/>
      <c r="BK254" s="2867"/>
      <c r="BL254" s="2867"/>
      <c r="BM254" s="2867"/>
      <c r="BN254" s="2867"/>
      <c r="BO254" s="2867"/>
      <c r="BP254" s="2867"/>
      <c r="BQ254" s="2867"/>
      <c r="BR254" s="2867"/>
      <c r="BS254" s="2867"/>
      <c r="BT254" s="2867"/>
      <c r="BU254" s="2867"/>
      <c r="BV254" s="2867"/>
      <c r="BW254" s="2867"/>
      <c r="BX254" s="2867"/>
      <c r="BY254" s="2867"/>
      <c r="BZ254" s="2867"/>
      <c r="CA254" s="2867"/>
      <c r="CB254" s="2867"/>
      <c r="CC254" s="2867"/>
      <c r="CD254" s="2867"/>
      <c r="CE254" s="2867"/>
      <c r="CF254" s="2867"/>
      <c r="CG254" s="2867"/>
      <c r="CH254" s="2867"/>
      <c r="CI254" s="2867"/>
      <c r="CJ254" s="2867"/>
      <c r="CK254" s="2867"/>
      <c r="CL254" s="2867"/>
      <c r="CM254" s="2867"/>
      <c r="CN254" s="2867"/>
      <c r="CO254" s="2867"/>
      <c r="CP254" s="2867"/>
      <c r="CQ254" s="2867"/>
      <c r="CR254" s="2867"/>
      <c r="CS254" s="2867"/>
      <c r="CT254" s="2867"/>
      <c r="CU254" s="2867"/>
      <c r="CV254" s="2867"/>
      <c r="CW254" s="2867"/>
    </row>
    <row r="255" spans="1:101">
      <c r="A255" s="2867"/>
      <c r="B255" s="2910"/>
      <c r="C255" s="2867"/>
      <c r="D255" s="2867"/>
      <c r="E255" s="2867"/>
      <c r="F255" s="2867"/>
      <c r="G255" s="2867"/>
      <c r="H255" s="2867"/>
      <c r="I255" s="2867"/>
      <c r="J255" s="2867"/>
      <c r="K255" s="2867"/>
      <c r="L255" s="2867"/>
      <c r="M255" s="2867"/>
      <c r="O255" s="2867"/>
      <c r="P255" s="2867"/>
      <c r="Q255" s="2867"/>
      <c r="R255" s="2867"/>
      <c r="S255" s="2867"/>
      <c r="T255" s="2867"/>
      <c r="U255" s="2867"/>
      <c r="V255" s="2867"/>
      <c r="W255" s="2867"/>
      <c r="X255" s="2867"/>
      <c r="Y255" s="2867"/>
      <c r="Z255" s="2867"/>
      <c r="AA255" s="2867"/>
      <c r="AB255" s="2867"/>
      <c r="AC255" s="2867"/>
      <c r="AD255" s="2867"/>
      <c r="AE255" s="2867"/>
      <c r="AF255" s="2867"/>
      <c r="AG255" s="2867"/>
      <c r="AH255" s="2867"/>
      <c r="AI255" s="2867"/>
      <c r="AJ255" s="2867"/>
      <c r="AK255" s="2867"/>
      <c r="AL255" s="2867"/>
      <c r="AM255" s="2867"/>
      <c r="AN255" s="2867"/>
      <c r="AO255" s="2867"/>
      <c r="AP255" s="2867"/>
      <c r="AQ255" s="2867"/>
      <c r="AR255" s="2867"/>
      <c r="AS255" s="2867"/>
      <c r="AT255" s="2867"/>
      <c r="AU255" s="2867"/>
      <c r="AV255" s="2867"/>
      <c r="AW255" s="2867"/>
      <c r="AX255" s="2867"/>
      <c r="AY255" s="2867"/>
      <c r="AZ255" s="2867"/>
      <c r="BA255" s="2867"/>
      <c r="BB255" s="2867"/>
      <c r="BC255" s="2867"/>
      <c r="BD255" s="2867"/>
      <c r="BE255" s="2867"/>
      <c r="BF255" s="2867"/>
      <c r="BG255" s="2867"/>
      <c r="BH255" s="2867"/>
      <c r="BI255" s="2867"/>
      <c r="BJ255" s="2867"/>
      <c r="BK255" s="2867"/>
      <c r="BL255" s="2867"/>
      <c r="BM255" s="2867"/>
      <c r="BN255" s="2867"/>
      <c r="BO255" s="2867"/>
      <c r="BP255" s="2867"/>
      <c r="BQ255" s="2867"/>
      <c r="BR255" s="2867"/>
      <c r="BS255" s="2867"/>
      <c r="BT255" s="2867"/>
      <c r="BU255" s="2867"/>
      <c r="BV255" s="2867"/>
      <c r="BW255" s="2867"/>
      <c r="BX255" s="2867"/>
      <c r="BY255" s="2867"/>
      <c r="BZ255" s="2867"/>
      <c r="CA255" s="2867"/>
      <c r="CB255" s="2867"/>
      <c r="CC255" s="2867"/>
      <c r="CD255" s="2867"/>
      <c r="CE255" s="2867"/>
      <c r="CF255" s="2867"/>
      <c r="CG255" s="2867"/>
      <c r="CH255" s="2867"/>
      <c r="CI255" s="2867"/>
      <c r="CJ255" s="2867"/>
      <c r="CK255" s="2867"/>
      <c r="CL255" s="2867"/>
      <c r="CM255" s="2867"/>
      <c r="CN255" s="2867"/>
      <c r="CO255" s="2867"/>
      <c r="CP255" s="2867"/>
      <c r="CQ255" s="2867"/>
      <c r="CR255" s="2867"/>
      <c r="CS255" s="2867"/>
      <c r="CT255" s="2867"/>
      <c r="CU255" s="2867"/>
      <c r="CV255" s="2867"/>
      <c r="CW255" s="2867"/>
    </row>
    <row r="256" spans="1:101">
      <c r="A256" s="2867"/>
      <c r="B256" s="2910"/>
      <c r="C256" s="2867"/>
      <c r="D256" s="2867"/>
      <c r="E256" s="2867"/>
      <c r="F256" s="2867"/>
      <c r="G256" s="2867"/>
      <c r="H256" s="2867"/>
      <c r="I256" s="2867"/>
      <c r="J256" s="2867"/>
      <c r="K256" s="2867"/>
      <c r="L256" s="2867"/>
      <c r="M256" s="2867"/>
      <c r="O256" s="2867"/>
      <c r="P256" s="2867"/>
      <c r="Q256" s="2867"/>
      <c r="R256" s="2867"/>
      <c r="S256" s="2867"/>
      <c r="T256" s="2867"/>
      <c r="U256" s="2867"/>
      <c r="V256" s="2867"/>
      <c r="W256" s="2867"/>
      <c r="X256" s="2867"/>
      <c r="Y256" s="2867"/>
      <c r="Z256" s="2867"/>
      <c r="AA256" s="2867"/>
      <c r="AB256" s="2867"/>
      <c r="AC256" s="2867"/>
      <c r="AD256" s="2867"/>
      <c r="AE256" s="2867"/>
      <c r="AF256" s="2867"/>
      <c r="AG256" s="2867"/>
      <c r="AH256" s="2867"/>
      <c r="AI256" s="2867"/>
      <c r="AJ256" s="2867"/>
      <c r="AK256" s="2867"/>
      <c r="AL256" s="2867"/>
      <c r="AM256" s="2867"/>
      <c r="AN256" s="2867"/>
      <c r="AO256" s="2867"/>
      <c r="AP256" s="2867"/>
      <c r="AQ256" s="2867"/>
      <c r="AR256" s="2867"/>
      <c r="AS256" s="2867"/>
      <c r="AT256" s="2867"/>
      <c r="AU256" s="2867"/>
      <c r="AV256" s="2867"/>
      <c r="AW256" s="2867"/>
      <c r="AX256" s="2867"/>
      <c r="AY256" s="2867"/>
      <c r="AZ256" s="2867"/>
      <c r="BA256" s="2867"/>
      <c r="BB256" s="2867"/>
      <c r="BC256" s="2867"/>
      <c r="BD256" s="2867"/>
      <c r="BE256" s="2867"/>
      <c r="BF256" s="2867"/>
      <c r="BG256" s="2867"/>
      <c r="BH256" s="2867"/>
      <c r="BI256" s="2867"/>
      <c r="BJ256" s="2867"/>
      <c r="BK256" s="2867"/>
      <c r="BL256" s="2867"/>
      <c r="BM256" s="2867"/>
      <c r="BN256" s="2867"/>
      <c r="BO256" s="2867"/>
      <c r="BP256" s="2867"/>
      <c r="BQ256" s="2867"/>
      <c r="BR256" s="2867"/>
      <c r="BS256" s="2867"/>
      <c r="BT256" s="2867"/>
      <c r="BU256" s="2867"/>
      <c r="BV256" s="2867"/>
      <c r="BW256" s="2867"/>
      <c r="BX256" s="2867"/>
      <c r="BY256" s="2867"/>
      <c r="BZ256" s="2867"/>
      <c r="CA256" s="2867"/>
      <c r="CB256" s="2867"/>
      <c r="CC256" s="2867"/>
      <c r="CD256" s="2867"/>
      <c r="CE256" s="2867"/>
      <c r="CF256" s="2867"/>
      <c r="CG256" s="2867"/>
      <c r="CH256" s="2867"/>
      <c r="CI256" s="2867"/>
      <c r="CJ256" s="2867"/>
      <c r="CK256" s="2867"/>
      <c r="CL256" s="2867"/>
      <c r="CM256" s="2867"/>
      <c r="CN256" s="2867"/>
      <c r="CO256" s="2867"/>
      <c r="CP256" s="2867"/>
      <c r="CQ256" s="2867"/>
      <c r="CR256" s="2867"/>
      <c r="CS256" s="2867"/>
      <c r="CT256" s="2867"/>
      <c r="CU256" s="2867"/>
      <c r="CV256" s="2867"/>
      <c r="CW256" s="2867"/>
    </row>
    <row r="257" spans="1:101">
      <c r="A257" s="2867"/>
      <c r="B257" s="2910"/>
      <c r="C257" s="2867"/>
      <c r="D257" s="2867"/>
      <c r="E257" s="2867"/>
      <c r="F257" s="2867"/>
      <c r="G257" s="2867"/>
      <c r="H257" s="2867"/>
      <c r="I257" s="2867"/>
      <c r="J257" s="2867"/>
      <c r="K257" s="2867"/>
      <c r="L257" s="2867"/>
      <c r="M257" s="2867"/>
      <c r="O257" s="2867"/>
      <c r="P257" s="2867"/>
      <c r="Q257" s="2867"/>
      <c r="R257" s="2867"/>
      <c r="S257" s="2867"/>
      <c r="T257" s="2867"/>
      <c r="U257" s="2867"/>
      <c r="V257" s="2867"/>
      <c r="W257" s="2867"/>
      <c r="X257" s="2867"/>
      <c r="Y257" s="2867"/>
      <c r="Z257" s="2867"/>
      <c r="AA257" s="2867"/>
      <c r="AB257" s="2867"/>
      <c r="AC257" s="2867"/>
      <c r="AD257" s="2867"/>
      <c r="AE257" s="2867"/>
      <c r="AF257" s="2867"/>
      <c r="AG257" s="2867"/>
      <c r="AH257" s="2867"/>
      <c r="AI257" s="2867"/>
      <c r="AJ257" s="2867"/>
      <c r="AK257" s="2867"/>
      <c r="AL257" s="2867"/>
      <c r="AM257" s="2867"/>
      <c r="AN257" s="2867"/>
      <c r="AO257" s="2867"/>
      <c r="AP257" s="2867"/>
      <c r="AQ257" s="2867"/>
      <c r="AR257" s="2867"/>
      <c r="AS257" s="2867"/>
      <c r="AT257" s="2867"/>
      <c r="AU257" s="2867"/>
      <c r="AV257" s="2867"/>
      <c r="AW257" s="2867"/>
      <c r="AX257" s="2867"/>
      <c r="AY257" s="2867"/>
      <c r="AZ257" s="2867"/>
      <c r="BA257" s="2867"/>
      <c r="BB257" s="2867"/>
      <c r="BC257" s="2867"/>
      <c r="BD257" s="2867"/>
      <c r="BE257" s="2867"/>
      <c r="BF257" s="2867"/>
      <c r="BG257" s="2867"/>
      <c r="BH257" s="2867"/>
      <c r="BI257" s="2867"/>
      <c r="BJ257" s="2867"/>
      <c r="BK257" s="2867"/>
      <c r="BL257" s="2867"/>
      <c r="BM257" s="2867"/>
      <c r="BN257" s="2867"/>
      <c r="BO257" s="2867"/>
      <c r="BP257" s="2867"/>
      <c r="BQ257" s="2867"/>
      <c r="BR257" s="2867"/>
      <c r="BS257" s="2867"/>
      <c r="BT257" s="2867"/>
      <c r="BU257" s="2867"/>
      <c r="BV257" s="2867"/>
      <c r="BW257" s="2867"/>
      <c r="BX257" s="2867"/>
      <c r="BY257" s="2867"/>
      <c r="BZ257" s="2867"/>
      <c r="CA257" s="2867"/>
      <c r="CB257" s="2867"/>
      <c r="CC257" s="2867"/>
      <c r="CD257" s="2867"/>
      <c r="CE257" s="2867"/>
      <c r="CF257" s="2867"/>
      <c r="CG257" s="2867"/>
      <c r="CH257" s="2867"/>
      <c r="CI257" s="2867"/>
      <c r="CJ257" s="2867"/>
      <c r="CK257" s="2867"/>
      <c r="CL257" s="2867"/>
      <c r="CM257" s="2867"/>
      <c r="CN257" s="2867"/>
      <c r="CO257" s="2867"/>
      <c r="CP257" s="2867"/>
      <c r="CQ257" s="2867"/>
      <c r="CR257" s="2867"/>
      <c r="CS257" s="2867"/>
      <c r="CT257" s="2867"/>
      <c r="CU257" s="2867"/>
      <c r="CV257" s="2867"/>
      <c r="CW257" s="2867"/>
    </row>
    <row r="258" spans="1:101">
      <c r="A258" s="2867"/>
      <c r="B258" s="2910"/>
      <c r="C258" s="2867"/>
      <c r="D258" s="2867"/>
      <c r="E258" s="2867"/>
      <c r="F258" s="2867"/>
      <c r="G258" s="2867"/>
      <c r="H258" s="2867"/>
      <c r="I258" s="2867"/>
      <c r="J258" s="2867"/>
      <c r="K258" s="2867"/>
      <c r="L258" s="2867"/>
      <c r="M258" s="2867"/>
      <c r="O258" s="2867"/>
      <c r="P258" s="2867"/>
      <c r="Q258" s="2867"/>
      <c r="R258" s="2867"/>
      <c r="S258" s="2867"/>
      <c r="T258" s="2867"/>
      <c r="U258" s="2867"/>
      <c r="V258" s="2867"/>
      <c r="W258" s="2867"/>
      <c r="X258" s="2867"/>
      <c r="Y258" s="2867"/>
      <c r="Z258" s="2867"/>
      <c r="AA258" s="2867"/>
      <c r="AB258" s="2867"/>
      <c r="AC258" s="2867"/>
      <c r="AD258" s="2867"/>
      <c r="AE258" s="2867"/>
      <c r="AF258" s="2867"/>
      <c r="AG258" s="2867"/>
      <c r="AH258" s="2867"/>
      <c r="AI258" s="2867"/>
      <c r="AJ258" s="2867"/>
      <c r="AK258" s="2867"/>
      <c r="AL258" s="2867"/>
      <c r="AM258" s="2867"/>
      <c r="AN258" s="2867"/>
      <c r="AO258" s="2867"/>
      <c r="AP258" s="2867"/>
      <c r="AQ258" s="2867"/>
      <c r="AR258" s="2867"/>
      <c r="AS258" s="2867"/>
      <c r="AT258" s="2867"/>
      <c r="AU258" s="2867"/>
      <c r="AV258" s="2867"/>
      <c r="AW258" s="2867"/>
      <c r="AX258" s="2867"/>
      <c r="AY258" s="2867"/>
      <c r="AZ258" s="2867"/>
      <c r="BA258" s="2867"/>
      <c r="BB258" s="2867"/>
      <c r="BC258" s="2867"/>
      <c r="BD258" s="2867"/>
      <c r="BE258" s="2867"/>
      <c r="BF258" s="2867"/>
      <c r="BG258" s="2867"/>
      <c r="BH258" s="2867"/>
      <c r="BI258" s="2867"/>
      <c r="BJ258" s="2867"/>
      <c r="BK258" s="2867"/>
      <c r="BL258" s="2867"/>
      <c r="BM258" s="2867"/>
      <c r="BN258" s="2867"/>
      <c r="BO258" s="2867"/>
      <c r="BP258" s="2867"/>
      <c r="BQ258" s="2867"/>
      <c r="BR258" s="2867"/>
      <c r="BS258" s="2867"/>
      <c r="BT258" s="2867"/>
      <c r="BU258" s="2867"/>
      <c r="BV258" s="2867"/>
      <c r="BW258" s="2867"/>
      <c r="BX258" s="2867"/>
      <c r="BY258" s="2867"/>
      <c r="BZ258" s="2867"/>
      <c r="CA258" s="2867"/>
      <c r="CB258" s="2867"/>
      <c r="CC258" s="2867"/>
      <c r="CD258" s="2867"/>
      <c r="CE258" s="2867"/>
      <c r="CF258" s="2867"/>
      <c r="CG258" s="2867"/>
      <c r="CH258" s="2867"/>
      <c r="CI258" s="2867"/>
      <c r="CJ258" s="2867"/>
      <c r="CK258" s="2867"/>
      <c r="CL258" s="2867"/>
      <c r="CM258" s="2867"/>
      <c r="CN258" s="2867"/>
      <c r="CO258" s="2867"/>
      <c r="CP258" s="2867"/>
      <c r="CQ258" s="2867"/>
      <c r="CR258" s="2867"/>
      <c r="CS258" s="2867"/>
      <c r="CT258" s="2867"/>
      <c r="CU258" s="2867"/>
      <c r="CV258" s="2867"/>
      <c r="CW258" s="2867"/>
    </row>
    <row r="259" spans="1:101">
      <c r="A259" s="2867"/>
      <c r="B259" s="2910"/>
      <c r="C259" s="2867"/>
      <c r="D259" s="2867"/>
      <c r="E259" s="2867"/>
      <c r="F259" s="2867"/>
      <c r="G259" s="2867"/>
      <c r="H259" s="2867"/>
      <c r="I259" s="2867"/>
      <c r="J259" s="2867"/>
      <c r="K259" s="2867"/>
      <c r="L259" s="2867"/>
      <c r="M259" s="2867"/>
      <c r="O259" s="2867"/>
      <c r="P259" s="2867"/>
      <c r="Q259" s="2867"/>
      <c r="R259" s="2867"/>
      <c r="S259" s="2867"/>
      <c r="T259" s="2867"/>
      <c r="U259" s="2867"/>
      <c r="V259" s="2867"/>
      <c r="W259" s="2867"/>
      <c r="X259" s="2867"/>
      <c r="Y259" s="2867"/>
      <c r="Z259" s="2867"/>
      <c r="AA259" s="2867"/>
      <c r="AB259" s="2867"/>
      <c r="AC259" s="2867"/>
      <c r="AD259" s="2867"/>
      <c r="AE259" s="2867"/>
      <c r="AF259" s="2867"/>
      <c r="AG259" s="2867"/>
      <c r="AH259" s="2867"/>
      <c r="AI259" s="2867"/>
      <c r="AJ259" s="2867"/>
      <c r="AK259" s="2867"/>
      <c r="AL259" s="2867"/>
      <c r="AM259" s="2867"/>
      <c r="AN259" s="2867"/>
      <c r="AO259" s="2867"/>
      <c r="AP259" s="2867"/>
      <c r="AQ259" s="2867"/>
      <c r="AR259" s="2867"/>
      <c r="AS259" s="2867"/>
      <c r="AT259" s="2867"/>
      <c r="AU259" s="2867"/>
      <c r="AV259" s="2867"/>
      <c r="AW259" s="2867"/>
      <c r="AX259" s="2867"/>
      <c r="AY259" s="2867"/>
      <c r="AZ259" s="2867"/>
      <c r="BA259" s="2867"/>
      <c r="BB259" s="2867"/>
      <c r="BC259" s="2867"/>
      <c r="BD259" s="2867"/>
      <c r="BE259" s="2867"/>
      <c r="BF259" s="2867"/>
      <c r="BG259" s="2867"/>
      <c r="BH259" s="2867"/>
      <c r="BI259" s="2867"/>
      <c r="BJ259" s="2867"/>
      <c r="BK259" s="2867"/>
      <c r="BL259" s="2867"/>
      <c r="BM259" s="2867"/>
      <c r="BN259" s="2867"/>
      <c r="BO259" s="2867"/>
      <c r="BP259" s="2867"/>
      <c r="BQ259" s="2867"/>
      <c r="BR259" s="2867"/>
      <c r="BS259" s="2867"/>
      <c r="BT259" s="2867"/>
      <c r="BU259" s="2867"/>
      <c r="BV259" s="2867"/>
      <c r="BW259" s="2867"/>
      <c r="BX259" s="2867"/>
      <c r="BY259" s="2867"/>
      <c r="BZ259" s="2867"/>
      <c r="CA259" s="2867"/>
      <c r="CB259" s="2867"/>
      <c r="CC259" s="2867"/>
      <c r="CD259" s="2867"/>
      <c r="CE259" s="2867"/>
      <c r="CF259" s="2867"/>
      <c r="CG259" s="2867"/>
      <c r="CH259" s="2867"/>
      <c r="CI259" s="2867"/>
      <c r="CJ259" s="2867"/>
      <c r="CK259" s="2867"/>
      <c r="CL259" s="2867"/>
      <c r="CM259" s="2867"/>
      <c r="CN259" s="2867"/>
      <c r="CO259" s="2867"/>
      <c r="CP259" s="2867"/>
      <c r="CQ259" s="2867"/>
      <c r="CR259" s="2867"/>
      <c r="CS259" s="2867"/>
      <c r="CT259" s="2867"/>
      <c r="CU259" s="2867"/>
      <c r="CV259" s="2867"/>
      <c r="CW259" s="2867"/>
    </row>
    <row r="260" spans="1:101">
      <c r="A260" s="2867"/>
      <c r="B260" s="2910"/>
      <c r="C260" s="2867"/>
      <c r="D260" s="2867"/>
      <c r="E260" s="2867"/>
      <c r="F260" s="2867"/>
      <c r="G260" s="2867"/>
      <c r="H260" s="2867"/>
      <c r="I260" s="2867"/>
      <c r="J260" s="2867"/>
      <c r="K260" s="2867"/>
      <c r="L260" s="2867"/>
      <c r="M260" s="2867"/>
      <c r="O260" s="2867"/>
      <c r="P260" s="2867"/>
      <c r="Q260" s="2867"/>
      <c r="R260" s="2867"/>
      <c r="S260" s="2867"/>
      <c r="T260" s="2867"/>
      <c r="U260" s="2867"/>
      <c r="V260" s="2867"/>
      <c r="W260" s="2867"/>
      <c r="X260" s="2867"/>
      <c r="Y260" s="2867"/>
      <c r="Z260" s="2867"/>
      <c r="AA260" s="2867"/>
      <c r="AB260" s="2867"/>
      <c r="AC260" s="2867"/>
      <c r="AD260" s="2867"/>
      <c r="AE260" s="2867"/>
      <c r="AF260" s="2867"/>
      <c r="AG260" s="2867"/>
      <c r="AH260" s="2867"/>
      <c r="AI260" s="2867"/>
      <c r="AJ260" s="2867"/>
      <c r="AK260" s="2867"/>
      <c r="AL260" s="2867"/>
      <c r="AM260" s="2867"/>
      <c r="AN260" s="2867"/>
      <c r="AO260" s="2867"/>
      <c r="AP260" s="2867"/>
      <c r="AQ260" s="2867"/>
      <c r="AR260" s="2867"/>
      <c r="AS260" s="2867"/>
      <c r="AT260" s="2867"/>
      <c r="AU260" s="2867"/>
      <c r="AV260" s="2867"/>
      <c r="AW260" s="2867"/>
      <c r="AX260" s="2867"/>
      <c r="AY260" s="2867"/>
      <c r="AZ260" s="2867"/>
      <c r="BA260" s="2867"/>
      <c r="BB260" s="2867"/>
      <c r="BC260" s="2867"/>
      <c r="BD260" s="2867"/>
      <c r="BE260" s="2867"/>
      <c r="BF260" s="2867"/>
      <c r="BG260" s="2867"/>
      <c r="BH260" s="2867"/>
      <c r="BI260" s="2867"/>
      <c r="BJ260" s="2867"/>
      <c r="BK260" s="2867"/>
      <c r="BL260" s="2867"/>
      <c r="BM260" s="2867"/>
      <c r="BN260" s="2867"/>
      <c r="BO260" s="2867"/>
      <c r="BP260" s="2867"/>
      <c r="BQ260" s="2867"/>
      <c r="BR260" s="2867"/>
      <c r="BS260" s="2867"/>
      <c r="BT260" s="2867"/>
      <c r="BU260" s="2867"/>
      <c r="BV260" s="2867"/>
      <c r="BW260" s="2867"/>
      <c r="BX260" s="2867"/>
      <c r="BY260" s="2867"/>
      <c r="BZ260" s="2867"/>
      <c r="CA260" s="2867"/>
      <c r="CB260" s="2867"/>
      <c r="CC260" s="2867"/>
      <c r="CD260" s="2867"/>
      <c r="CE260" s="2867"/>
      <c r="CF260" s="2867"/>
      <c r="CG260" s="2867"/>
      <c r="CH260" s="2867"/>
      <c r="CI260" s="2867"/>
      <c r="CJ260" s="2867"/>
      <c r="CK260" s="2867"/>
      <c r="CL260" s="2867"/>
      <c r="CM260" s="2867"/>
      <c r="CN260" s="2867"/>
      <c r="CO260" s="2867"/>
      <c r="CP260" s="2867"/>
      <c r="CQ260" s="2867"/>
      <c r="CR260" s="2867"/>
      <c r="CS260" s="2867"/>
      <c r="CT260" s="2867"/>
      <c r="CU260" s="2867"/>
      <c r="CV260" s="2867"/>
      <c r="CW260" s="2867"/>
    </row>
    <row r="261" spans="1:101">
      <c r="A261" s="2867"/>
      <c r="B261" s="2949"/>
      <c r="C261" s="2867"/>
      <c r="D261" s="2867"/>
      <c r="E261" s="2867"/>
      <c r="F261" s="2867"/>
      <c r="G261" s="2867"/>
      <c r="H261" s="2867"/>
      <c r="I261" s="2867"/>
      <c r="J261" s="2867"/>
      <c r="K261" s="2867"/>
      <c r="L261" s="2867"/>
      <c r="M261" s="2867"/>
      <c r="O261" s="2867"/>
      <c r="P261" s="2867"/>
      <c r="Q261" s="2867"/>
      <c r="R261" s="2867"/>
      <c r="S261" s="2867"/>
      <c r="T261" s="2867"/>
      <c r="U261" s="2867"/>
      <c r="V261" s="2867"/>
      <c r="W261" s="2867"/>
      <c r="X261" s="2867"/>
      <c r="Y261" s="2867"/>
      <c r="Z261" s="2867"/>
      <c r="AA261" s="2867"/>
      <c r="AB261" s="2867"/>
      <c r="AC261" s="2867"/>
      <c r="AD261" s="2867"/>
      <c r="AE261" s="2867"/>
      <c r="AF261" s="2867"/>
      <c r="AG261" s="2867"/>
      <c r="AH261" s="2867"/>
      <c r="AI261" s="2867"/>
      <c r="AJ261" s="2867"/>
      <c r="AK261" s="2867"/>
      <c r="AL261" s="2867"/>
      <c r="AM261" s="2867"/>
      <c r="AN261" s="2867"/>
      <c r="AO261" s="2867"/>
      <c r="AP261" s="2867"/>
      <c r="AQ261" s="2867"/>
      <c r="AR261" s="2867"/>
      <c r="AS261" s="2867"/>
      <c r="AT261" s="2867"/>
      <c r="AU261" s="2867"/>
      <c r="AV261" s="2867"/>
      <c r="AW261" s="2867"/>
      <c r="AX261" s="2867"/>
      <c r="AY261" s="2867"/>
      <c r="AZ261" s="2867"/>
      <c r="BA261" s="2867"/>
      <c r="BB261" s="2867"/>
      <c r="BC261" s="2867"/>
      <c r="BD261" s="2867"/>
      <c r="BE261" s="2867"/>
      <c r="BF261" s="2867"/>
      <c r="BG261" s="2867"/>
      <c r="BH261" s="2867"/>
      <c r="BI261" s="2867"/>
      <c r="BJ261" s="2867"/>
      <c r="BK261" s="2867"/>
      <c r="BL261" s="2867"/>
      <c r="BM261" s="2867"/>
      <c r="BN261" s="2867"/>
      <c r="BO261" s="2867"/>
      <c r="BP261" s="2867"/>
      <c r="BQ261" s="2867"/>
      <c r="BR261" s="2867"/>
      <c r="BS261" s="2867"/>
      <c r="BT261" s="2867"/>
      <c r="BU261" s="2867"/>
      <c r="BV261" s="2867"/>
      <c r="BW261" s="2867"/>
      <c r="BX261" s="2867"/>
      <c r="BY261" s="2867"/>
      <c r="BZ261" s="2867"/>
      <c r="CA261" s="2867"/>
      <c r="CB261" s="2867"/>
      <c r="CC261" s="2867"/>
      <c r="CD261" s="2867"/>
      <c r="CE261" s="2867"/>
      <c r="CF261" s="2867"/>
      <c r="CG261" s="2867"/>
      <c r="CH261" s="2867"/>
      <c r="CI261" s="2867"/>
      <c r="CJ261" s="2867"/>
      <c r="CK261" s="2867"/>
      <c r="CL261" s="2867"/>
      <c r="CM261" s="2867"/>
      <c r="CN261" s="2867"/>
      <c r="CO261" s="2867"/>
      <c r="CP261" s="2867"/>
      <c r="CQ261" s="2867"/>
      <c r="CR261" s="2867"/>
      <c r="CS261" s="2867"/>
      <c r="CT261" s="2867"/>
      <c r="CU261" s="2867"/>
      <c r="CV261" s="2867"/>
      <c r="CW261" s="2867"/>
    </row>
    <row r="262" spans="1:101">
      <c r="A262" s="2867"/>
      <c r="B262" s="2949"/>
      <c r="C262" s="2867"/>
      <c r="D262" s="2867"/>
      <c r="E262" s="2867"/>
      <c r="F262" s="2867"/>
      <c r="G262" s="2867"/>
      <c r="H262" s="2867"/>
      <c r="I262" s="2867"/>
      <c r="J262" s="2867"/>
      <c r="K262" s="2867"/>
      <c r="L262" s="2867"/>
      <c r="M262" s="2867"/>
      <c r="O262" s="2867"/>
      <c r="P262" s="2867"/>
      <c r="Q262" s="2867"/>
      <c r="R262" s="2867"/>
      <c r="S262" s="2867"/>
      <c r="T262" s="2867"/>
      <c r="U262" s="2867"/>
      <c r="V262" s="2867"/>
      <c r="W262" s="2867"/>
      <c r="X262" s="2867"/>
      <c r="Y262" s="2867"/>
      <c r="Z262" s="2867"/>
      <c r="AA262" s="2867"/>
      <c r="AB262" s="2867"/>
      <c r="AC262" s="2867"/>
      <c r="AD262" s="2867"/>
      <c r="AE262" s="2867"/>
      <c r="AF262" s="2867"/>
      <c r="AG262" s="2867"/>
      <c r="AH262" s="2867"/>
      <c r="AI262" s="2867"/>
      <c r="AJ262" s="2867"/>
      <c r="AK262" s="2867"/>
      <c r="AL262" s="2867"/>
      <c r="AM262" s="2867"/>
      <c r="AN262" s="2867"/>
      <c r="AO262" s="2867"/>
      <c r="AP262" s="2867"/>
      <c r="AQ262" s="2867"/>
      <c r="AR262" s="2867"/>
      <c r="AS262" s="2867"/>
      <c r="AT262" s="2867"/>
      <c r="AU262" s="2867"/>
      <c r="AV262" s="2867"/>
      <c r="AW262" s="2867"/>
      <c r="AX262" s="2867"/>
      <c r="AY262" s="2867"/>
      <c r="AZ262" s="2867"/>
      <c r="BA262" s="2867"/>
      <c r="BB262" s="2867"/>
      <c r="BC262" s="2867"/>
      <c r="BD262" s="2867"/>
      <c r="BE262" s="2867"/>
      <c r="BF262" s="2867"/>
      <c r="BG262" s="2867"/>
      <c r="BH262" s="2867"/>
      <c r="BI262" s="2867"/>
      <c r="BJ262" s="2867"/>
      <c r="BK262" s="2867"/>
      <c r="BL262" s="2867"/>
      <c r="BM262" s="2867"/>
      <c r="BN262" s="2867"/>
      <c r="BO262" s="2867"/>
      <c r="BP262" s="2867"/>
      <c r="BQ262" s="2867"/>
      <c r="BR262" s="2867"/>
      <c r="BS262" s="2867"/>
      <c r="BT262" s="2867"/>
      <c r="BU262" s="2867"/>
      <c r="BV262" s="2867"/>
      <c r="BW262" s="2867"/>
      <c r="BX262" s="2867"/>
      <c r="BY262" s="2867"/>
      <c r="BZ262" s="2867"/>
      <c r="CA262" s="2867"/>
      <c r="CB262" s="2867"/>
      <c r="CC262" s="2867"/>
      <c r="CD262" s="2867"/>
      <c r="CE262" s="2867"/>
      <c r="CF262" s="2867"/>
      <c r="CG262" s="2867"/>
      <c r="CH262" s="2867"/>
      <c r="CI262" s="2867"/>
      <c r="CJ262" s="2867"/>
      <c r="CK262" s="2867"/>
      <c r="CL262" s="2867"/>
      <c r="CM262" s="2867"/>
      <c r="CN262" s="2867"/>
      <c r="CO262" s="2867"/>
      <c r="CP262" s="2867"/>
      <c r="CQ262" s="2867"/>
      <c r="CR262" s="2867"/>
      <c r="CS262" s="2867"/>
      <c r="CT262" s="2867"/>
      <c r="CU262" s="2867"/>
      <c r="CV262" s="2867"/>
      <c r="CW262" s="2867"/>
    </row>
    <row r="263" spans="1:101">
      <c r="A263" s="2935"/>
      <c r="B263" s="2910"/>
      <c r="C263" s="2867"/>
      <c r="D263" s="2867"/>
      <c r="E263" s="2867"/>
      <c r="F263" s="2867"/>
      <c r="G263" s="2867"/>
      <c r="H263" s="2867"/>
      <c r="I263" s="2867"/>
      <c r="J263" s="2867"/>
      <c r="K263" s="2867"/>
      <c r="L263" s="2867"/>
      <c r="M263" s="2867"/>
      <c r="O263" s="2867"/>
      <c r="P263" s="2867"/>
      <c r="Q263" s="2867"/>
      <c r="R263" s="2867"/>
      <c r="S263" s="2867"/>
      <c r="T263" s="2867"/>
      <c r="U263" s="2867"/>
      <c r="V263" s="2867"/>
      <c r="W263" s="2867"/>
      <c r="X263" s="2867"/>
      <c r="Y263" s="2867"/>
      <c r="Z263" s="2867"/>
      <c r="AA263" s="2867"/>
      <c r="AB263" s="2867"/>
      <c r="AC263" s="2867"/>
      <c r="AD263" s="2867"/>
      <c r="AE263" s="2867"/>
      <c r="AF263" s="2867"/>
      <c r="AG263" s="2867"/>
      <c r="AH263" s="2867"/>
      <c r="AI263" s="2867"/>
      <c r="AJ263" s="2867"/>
      <c r="AK263" s="2867"/>
      <c r="AL263" s="2867"/>
      <c r="AM263" s="2867"/>
      <c r="AN263" s="2867"/>
      <c r="AO263" s="2867"/>
      <c r="AP263" s="2867"/>
      <c r="AQ263" s="2867"/>
      <c r="AR263" s="2867"/>
      <c r="AS263" s="2867"/>
      <c r="AT263" s="2867"/>
      <c r="AU263" s="2867"/>
      <c r="AV263" s="2867"/>
      <c r="AW263" s="2867"/>
      <c r="AX263" s="2867"/>
      <c r="AY263" s="2867"/>
      <c r="AZ263" s="2867"/>
      <c r="BA263" s="2867"/>
      <c r="BB263" s="2867"/>
      <c r="BC263" s="2867"/>
      <c r="BD263" s="2867"/>
      <c r="BE263" s="2867"/>
      <c r="BF263" s="2867"/>
      <c r="BG263" s="2867"/>
      <c r="BH263" s="2867"/>
      <c r="BI263" s="2867"/>
      <c r="BJ263" s="2867"/>
      <c r="BK263" s="2867"/>
      <c r="BL263" s="2867"/>
      <c r="BM263" s="2867"/>
      <c r="BN263" s="2867"/>
      <c r="BO263" s="2867"/>
      <c r="BP263" s="2867"/>
      <c r="BQ263" s="2867"/>
      <c r="BR263" s="2867"/>
      <c r="BS263" s="2867"/>
      <c r="BT263" s="2867"/>
      <c r="BU263" s="2867"/>
      <c r="BV263" s="2867"/>
      <c r="BW263" s="2867"/>
      <c r="BX263" s="2867"/>
      <c r="BY263" s="2867"/>
      <c r="BZ263" s="2867"/>
      <c r="CA263" s="2867"/>
      <c r="CB263" s="2867"/>
      <c r="CC263" s="2867"/>
      <c r="CD263" s="2867"/>
      <c r="CE263" s="2867"/>
      <c r="CF263" s="2867"/>
      <c r="CG263" s="2867"/>
      <c r="CH263" s="2867"/>
      <c r="CI263" s="2867"/>
      <c r="CJ263" s="2867"/>
      <c r="CK263" s="2867"/>
      <c r="CL263" s="2867"/>
      <c r="CM263" s="2867"/>
      <c r="CN263" s="2867"/>
      <c r="CO263" s="2867"/>
      <c r="CP263" s="2867"/>
      <c r="CQ263" s="2867"/>
      <c r="CR263" s="2867"/>
      <c r="CS263" s="2867"/>
      <c r="CT263" s="2867"/>
      <c r="CU263" s="2867"/>
      <c r="CV263" s="2867"/>
      <c r="CW263" s="2867"/>
    </row>
    <row r="264" spans="1:101">
      <c r="A264" s="2867"/>
      <c r="B264" s="2949"/>
      <c r="C264" s="2867"/>
      <c r="D264" s="2867"/>
      <c r="E264" s="2867"/>
      <c r="F264" s="2867"/>
      <c r="G264" s="2867"/>
      <c r="H264" s="2867"/>
      <c r="I264" s="2867"/>
      <c r="J264" s="2867"/>
      <c r="K264" s="2867"/>
      <c r="L264" s="2867"/>
      <c r="M264" s="2867"/>
      <c r="O264" s="2867"/>
      <c r="P264" s="2867"/>
      <c r="Q264" s="2867"/>
      <c r="R264" s="2867"/>
      <c r="S264" s="2867"/>
      <c r="T264" s="2867"/>
      <c r="U264" s="2867"/>
      <c r="V264" s="2867"/>
      <c r="W264" s="2867"/>
      <c r="X264" s="2867"/>
      <c r="Y264" s="2867"/>
      <c r="Z264" s="2867"/>
      <c r="AA264" s="2867"/>
      <c r="AB264" s="2867"/>
      <c r="AC264" s="2867"/>
      <c r="AD264" s="2867"/>
      <c r="AE264" s="2867"/>
      <c r="AF264" s="2867"/>
      <c r="AG264" s="2867"/>
      <c r="AH264" s="2867"/>
      <c r="AI264" s="2867"/>
      <c r="AJ264" s="2867"/>
      <c r="AK264" s="2867"/>
      <c r="AL264" s="2867"/>
      <c r="AM264" s="2867"/>
      <c r="AN264" s="2867"/>
      <c r="AO264" s="2867"/>
      <c r="AP264" s="2867"/>
      <c r="AQ264" s="2867"/>
      <c r="AR264" s="2867"/>
      <c r="AS264" s="2867"/>
      <c r="AT264" s="2867"/>
      <c r="AU264" s="2867"/>
      <c r="AV264" s="2867"/>
      <c r="AW264" s="2867"/>
      <c r="AX264" s="2867"/>
      <c r="AY264" s="2867"/>
      <c r="AZ264" s="2867"/>
      <c r="BA264" s="2867"/>
      <c r="BB264" s="2867"/>
      <c r="BC264" s="2867"/>
      <c r="BD264" s="2867"/>
      <c r="BE264" s="2867"/>
      <c r="BF264" s="2867"/>
      <c r="BG264" s="2867"/>
      <c r="BH264" s="2867"/>
      <c r="BI264" s="2867"/>
      <c r="BJ264" s="2867"/>
      <c r="BK264" s="2867"/>
      <c r="BL264" s="2867"/>
      <c r="BM264" s="2867"/>
      <c r="BN264" s="2867"/>
      <c r="BO264" s="2867"/>
      <c r="BP264" s="2867"/>
      <c r="BQ264" s="2867"/>
      <c r="BR264" s="2867"/>
      <c r="BS264" s="2867"/>
      <c r="BT264" s="2867"/>
      <c r="BU264" s="2867"/>
      <c r="BV264" s="2867"/>
      <c r="BW264" s="2867"/>
      <c r="BX264" s="2867"/>
      <c r="BY264" s="2867"/>
      <c r="BZ264" s="2867"/>
      <c r="CA264" s="2867"/>
      <c r="CB264" s="2867"/>
      <c r="CC264" s="2867"/>
      <c r="CD264" s="2867"/>
      <c r="CE264" s="2867"/>
      <c r="CF264" s="2867"/>
      <c r="CG264" s="2867"/>
      <c r="CH264" s="2867"/>
      <c r="CI264" s="2867"/>
      <c r="CJ264" s="2867"/>
      <c r="CK264" s="2867"/>
      <c r="CL264" s="2867"/>
      <c r="CM264" s="2867"/>
      <c r="CN264" s="2867"/>
      <c r="CO264" s="2867"/>
      <c r="CP264" s="2867"/>
      <c r="CQ264" s="2867"/>
      <c r="CR264" s="2867"/>
      <c r="CS264" s="2867"/>
      <c r="CT264" s="2867"/>
      <c r="CU264" s="2867"/>
      <c r="CV264" s="2867"/>
      <c r="CW264" s="2867"/>
    </row>
    <row r="265" spans="1:101">
      <c r="A265" s="2867"/>
      <c r="B265" s="2949"/>
      <c r="C265" s="2867"/>
      <c r="D265" s="2867"/>
      <c r="E265" s="2867"/>
      <c r="F265" s="2867"/>
      <c r="G265" s="2867"/>
      <c r="H265" s="2867"/>
      <c r="I265" s="2867"/>
      <c r="J265" s="2867"/>
      <c r="K265" s="2867"/>
      <c r="L265" s="2867"/>
      <c r="M265" s="2867"/>
      <c r="O265" s="2867"/>
      <c r="P265" s="2867"/>
      <c r="Q265" s="2867"/>
      <c r="R265" s="2867"/>
      <c r="S265" s="2867"/>
      <c r="T265" s="2867"/>
      <c r="U265" s="2867"/>
      <c r="V265" s="2867"/>
      <c r="W265" s="2867"/>
      <c r="X265" s="2867"/>
      <c r="Y265" s="2867"/>
      <c r="Z265" s="2867"/>
      <c r="AA265" s="2867"/>
      <c r="AB265" s="2867"/>
      <c r="AC265" s="2867"/>
      <c r="AD265" s="2867"/>
      <c r="AE265" s="2867"/>
      <c r="AF265" s="2867"/>
      <c r="AG265" s="2867"/>
      <c r="AH265" s="2867"/>
      <c r="AI265" s="2867"/>
      <c r="AJ265" s="2867"/>
      <c r="AK265" s="2867"/>
      <c r="AL265" s="2867"/>
      <c r="AM265" s="2867"/>
      <c r="AN265" s="2867"/>
      <c r="AO265" s="2870"/>
      <c r="AP265" s="2870"/>
      <c r="AQ265" s="2898"/>
      <c r="AR265" s="2870"/>
      <c r="AS265" s="2867"/>
      <c r="AT265" s="2867"/>
      <c r="AU265" s="2867"/>
      <c r="AV265" s="2867"/>
      <c r="AW265" s="2867"/>
      <c r="AX265" s="2867"/>
      <c r="AY265" s="2867"/>
      <c r="AZ265" s="2867"/>
      <c r="BA265" s="2867"/>
      <c r="BB265" s="2867"/>
      <c r="BC265" s="2867"/>
      <c r="BD265" s="2867"/>
      <c r="BE265" s="2867"/>
      <c r="BF265" s="2867"/>
      <c r="BG265" s="2867"/>
      <c r="BH265" s="2867"/>
      <c r="BI265" s="2867"/>
      <c r="BJ265" s="2867"/>
      <c r="BK265" s="2867"/>
      <c r="BL265" s="2867"/>
      <c r="BM265" s="2867"/>
      <c r="BN265" s="2867"/>
      <c r="BO265" s="2867"/>
      <c r="BP265" s="2867"/>
      <c r="BQ265" s="2867"/>
      <c r="BR265" s="2867"/>
      <c r="BS265" s="2867"/>
      <c r="BT265" s="2867"/>
      <c r="BU265" s="2867"/>
      <c r="BV265" s="2867"/>
      <c r="BW265" s="2867"/>
      <c r="BX265" s="2867"/>
      <c r="BY265" s="2867"/>
      <c r="BZ265" s="2867"/>
      <c r="CA265" s="2867"/>
      <c r="CB265" s="2867"/>
      <c r="CC265" s="2867"/>
      <c r="CD265" s="2867"/>
      <c r="CE265" s="2867"/>
      <c r="CF265" s="2867"/>
      <c r="CG265" s="2867"/>
      <c r="CH265" s="2867"/>
      <c r="CI265" s="2867"/>
      <c r="CJ265" s="2867"/>
      <c r="CK265" s="2867"/>
      <c r="CL265" s="2867"/>
      <c r="CM265" s="2867"/>
      <c r="CN265" s="2867"/>
      <c r="CO265" s="2867"/>
      <c r="CP265" s="2867"/>
      <c r="CQ265" s="2867"/>
      <c r="CR265" s="2867"/>
      <c r="CS265" s="2867"/>
      <c r="CT265" s="2867"/>
      <c r="CU265" s="2867"/>
      <c r="CV265" s="2867"/>
      <c r="CW265" s="2867"/>
    </row>
    <row r="266" spans="1:101">
      <c r="A266" s="2935"/>
      <c r="B266" s="2910"/>
      <c r="C266" s="2867"/>
      <c r="D266" s="2867"/>
      <c r="E266" s="2867"/>
      <c r="F266" s="2867"/>
      <c r="G266" s="2867"/>
      <c r="H266" s="2867"/>
      <c r="I266" s="2867"/>
      <c r="J266" s="2867"/>
      <c r="K266" s="2867"/>
      <c r="L266" s="2867"/>
      <c r="M266" s="2867"/>
      <c r="O266" s="2867"/>
      <c r="P266" s="2867"/>
      <c r="Q266" s="2867"/>
      <c r="R266" s="2867"/>
      <c r="S266" s="2867"/>
      <c r="T266" s="2867"/>
      <c r="U266" s="2867"/>
      <c r="V266" s="2867"/>
      <c r="W266" s="2867"/>
      <c r="X266" s="2867"/>
      <c r="Y266" s="2867"/>
      <c r="Z266" s="2867"/>
      <c r="AA266" s="2867"/>
      <c r="AB266" s="2867"/>
      <c r="AC266" s="2867"/>
      <c r="AD266" s="2867"/>
      <c r="AE266" s="2867"/>
      <c r="AF266" s="2867"/>
      <c r="AG266" s="2867"/>
      <c r="AH266" s="2867"/>
      <c r="AI266" s="2867"/>
      <c r="AJ266" s="2867"/>
      <c r="AK266" s="2867"/>
      <c r="AL266" s="2867"/>
      <c r="AM266" s="2867"/>
      <c r="AN266" s="2867"/>
      <c r="AO266" s="2870"/>
      <c r="AP266" s="2870"/>
      <c r="AQ266" s="2898"/>
      <c r="AR266" s="2870"/>
      <c r="AS266" s="2867"/>
      <c r="AT266" s="2867"/>
      <c r="AU266" s="2867"/>
      <c r="AV266" s="2867"/>
      <c r="AW266" s="2867"/>
      <c r="AX266" s="2867"/>
      <c r="AY266" s="2867"/>
      <c r="AZ266" s="2867"/>
      <c r="BA266" s="2867"/>
      <c r="BB266" s="2867"/>
      <c r="BC266" s="2867"/>
      <c r="BD266" s="2867"/>
      <c r="BE266" s="2867"/>
      <c r="BF266" s="2867"/>
      <c r="BG266" s="2867"/>
      <c r="BH266" s="2867"/>
      <c r="BI266" s="2867"/>
      <c r="BJ266" s="2867"/>
      <c r="BK266" s="2867"/>
      <c r="BL266" s="2867"/>
      <c r="BM266" s="2867"/>
      <c r="BN266" s="2867"/>
      <c r="BO266" s="2867"/>
      <c r="BP266" s="2867"/>
      <c r="BQ266" s="2867"/>
      <c r="BR266" s="2867"/>
      <c r="BS266" s="2867"/>
      <c r="BT266" s="2867"/>
      <c r="BU266" s="2867"/>
      <c r="BV266" s="2867"/>
      <c r="BW266" s="2867"/>
      <c r="BX266" s="2867"/>
      <c r="BY266" s="2867"/>
      <c r="BZ266" s="2867"/>
      <c r="CA266" s="2867"/>
      <c r="CB266" s="2867"/>
      <c r="CC266" s="2867"/>
      <c r="CD266" s="2867"/>
      <c r="CE266" s="2867"/>
      <c r="CF266" s="2867"/>
      <c r="CG266" s="2867"/>
      <c r="CH266" s="2867"/>
      <c r="CI266" s="2867"/>
      <c r="CJ266" s="2867"/>
      <c r="CK266" s="2867"/>
      <c r="CL266" s="2867"/>
      <c r="CM266" s="2867"/>
      <c r="CN266" s="2867"/>
      <c r="CO266" s="2867"/>
      <c r="CP266" s="2867"/>
      <c r="CQ266" s="2867"/>
      <c r="CR266" s="2867"/>
      <c r="CS266" s="2867"/>
      <c r="CT266" s="2867"/>
      <c r="CU266" s="2867"/>
      <c r="CV266" s="2867"/>
      <c r="CW266" s="2867"/>
    </row>
    <row r="267" spans="1:101">
      <c r="A267" s="2867"/>
      <c r="B267" s="2949"/>
      <c r="C267" s="2867"/>
      <c r="D267" s="2867"/>
      <c r="E267" s="2867"/>
      <c r="F267" s="2867"/>
      <c r="G267" s="2867"/>
      <c r="H267" s="2867"/>
      <c r="I267" s="2867"/>
      <c r="J267" s="2867"/>
      <c r="K267" s="2867"/>
      <c r="L267" s="2867"/>
      <c r="M267" s="2867"/>
      <c r="O267" s="2867"/>
      <c r="P267" s="2867"/>
      <c r="Q267" s="2867"/>
      <c r="R267" s="2867"/>
      <c r="S267" s="2867"/>
      <c r="T267" s="2867"/>
      <c r="U267" s="2867"/>
      <c r="V267" s="2867"/>
      <c r="W267" s="2867"/>
      <c r="X267" s="2867"/>
      <c r="Y267" s="2867"/>
      <c r="Z267" s="2867"/>
      <c r="AA267" s="2867"/>
      <c r="AB267" s="2867"/>
      <c r="AC267" s="2867"/>
      <c r="AD267" s="2867"/>
      <c r="AE267" s="2867"/>
      <c r="AF267" s="2867"/>
      <c r="AG267" s="2867"/>
      <c r="AH267" s="2867"/>
      <c r="AI267" s="2867"/>
      <c r="AJ267" s="2867"/>
      <c r="AK267" s="2867"/>
      <c r="AL267" s="2867"/>
      <c r="AM267" s="2867"/>
      <c r="AN267" s="2867"/>
      <c r="AO267" s="2870"/>
      <c r="AP267" s="2870"/>
      <c r="AQ267" s="2898"/>
      <c r="AR267" s="2870"/>
      <c r="AS267" s="2867"/>
      <c r="AT267" s="2867"/>
      <c r="AU267" s="2867"/>
      <c r="AV267" s="2867"/>
      <c r="AW267" s="2867"/>
      <c r="AX267" s="2867"/>
      <c r="AY267" s="2867"/>
      <c r="AZ267" s="2867"/>
      <c r="BA267" s="2867"/>
      <c r="BB267" s="2867"/>
      <c r="BC267" s="2867"/>
      <c r="BD267" s="2867"/>
      <c r="BE267" s="2867"/>
      <c r="BF267" s="2867"/>
      <c r="BG267" s="2867"/>
      <c r="BH267" s="2867"/>
      <c r="BI267" s="2867"/>
      <c r="BJ267" s="2867"/>
      <c r="BK267" s="2867"/>
      <c r="BL267" s="2867"/>
      <c r="BM267" s="2867"/>
      <c r="BN267" s="2867"/>
      <c r="BO267" s="2867"/>
      <c r="BP267" s="2867"/>
      <c r="BQ267" s="2867"/>
      <c r="BR267" s="2867"/>
      <c r="BS267" s="2867"/>
      <c r="BT267" s="2867"/>
      <c r="BU267" s="2867"/>
      <c r="BV267" s="2867"/>
      <c r="BW267" s="2867"/>
      <c r="BX267" s="2867"/>
      <c r="BY267" s="2867"/>
      <c r="BZ267" s="2867"/>
      <c r="CA267" s="2867"/>
      <c r="CB267" s="2867"/>
      <c r="CC267" s="2867"/>
      <c r="CD267" s="2867"/>
      <c r="CE267" s="2867"/>
      <c r="CF267" s="2867"/>
      <c r="CG267" s="2867"/>
      <c r="CH267" s="2867"/>
      <c r="CI267" s="2867"/>
      <c r="CJ267" s="2867"/>
      <c r="CK267" s="2867"/>
      <c r="CL267" s="2867"/>
      <c r="CM267" s="2867"/>
      <c r="CN267" s="2867"/>
      <c r="CO267" s="2867"/>
      <c r="CP267" s="2867"/>
      <c r="CQ267" s="2867"/>
      <c r="CR267" s="2867"/>
      <c r="CS267" s="2867"/>
      <c r="CT267" s="2867"/>
      <c r="CU267" s="2867"/>
      <c r="CV267" s="2867"/>
      <c r="CW267" s="2867"/>
    </row>
    <row r="268" spans="1:101">
      <c r="A268" s="2867"/>
      <c r="B268" s="2949"/>
      <c r="C268" s="2867"/>
      <c r="D268" s="2867"/>
      <c r="E268" s="2867"/>
      <c r="F268" s="2867"/>
      <c r="G268" s="2867"/>
      <c r="H268" s="2867"/>
      <c r="I268" s="2867"/>
      <c r="J268" s="2867"/>
      <c r="K268" s="2867"/>
      <c r="L268" s="2867"/>
      <c r="M268" s="2867"/>
      <c r="O268" s="2867"/>
      <c r="P268" s="2867"/>
      <c r="Q268" s="2867"/>
      <c r="R268" s="2867"/>
      <c r="S268" s="2867"/>
      <c r="T268" s="2867"/>
      <c r="U268" s="2867"/>
      <c r="V268" s="2867"/>
      <c r="W268" s="2867"/>
      <c r="X268" s="2867"/>
      <c r="Y268" s="2867"/>
      <c r="Z268" s="2867"/>
      <c r="AA268" s="2867"/>
      <c r="AB268" s="2867"/>
      <c r="AC268" s="2867"/>
      <c r="AD268" s="2867"/>
      <c r="AE268" s="2867"/>
      <c r="AF268" s="2867"/>
      <c r="AG268" s="2867"/>
      <c r="AH268" s="2867"/>
      <c r="AI268" s="2867"/>
      <c r="AJ268" s="2867"/>
      <c r="AK268" s="2867"/>
      <c r="AL268" s="2867"/>
      <c r="AM268" s="2867"/>
      <c r="AN268" s="2867"/>
      <c r="AO268" s="2867"/>
      <c r="AP268" s="2867"/>
      <c r="AQ268" s="2867"/>
      <c r="AR268" s="2867"/>
      <c r="AS268" s="2867"/>
      <c r="AT268" s="2867"/>
      <c r="AU268" s="2867"/>
      <c r="AV268" s="2867"/>
      <c r="AW268" s="2867"/>
      <c r="AX268" s="2867"/>
      <c r="AY268" s="2867"/>
      <c r="AZ268" s="2867"/>
      <c r="BA268" s="2867"/>
      <c r="BB268" s="2867"/>
      <c r="BC268" s="2867"/>
      <c r="BD268" s="2867"/>
      <c r="BE268" s="2867"/>
      <c r="BF268" s="2867"/>
      <c r="BG268" s="2867"/>
      <c r="BH268" s="2867"/>
      <c r="BI268" s="2867"/>
      <c r="BJ268" s="2867"/>
      <c r="BK268" s="2867"/>
      <c r="BL268" s="2867"/>
      <c r="BM268" s="2867"/>
      <c r="BN268" s="2867"/>
      <c r="BO268" s="2867"/>
      <c r="BP268" s="2867"/>
      <c r="BQ268" s="2867"/>
      <c r="BR268" s="2867"/>
      <c r="BS268" s="2867"/>
      <c r="BT268" s="2867"/>
      <c r="BU268" s="2867"/>
      <c r="BV268" s="2867"/>
      <c r="BW268" s="2867"/>
      <c r="BX268" s="2867"/>
      <c r="BY268" s="2867"/>
      <c r="BZ268" s="2867"/>
      <c r="CA268" s="2867"/>
      <c r="CB268" s="2867"/>
      <c r="CC268" s="2867"/>
      <c r="CD268" s="2867"/>
      <c r="CE268" s="2867"/>
      <c r="CF268" s="2867"/>
      <c r="CG268" s="2867"/>
      <c r="CH268" s="2867"/>
      <c r="CI268" s="2867"/>
      <c r="CJ268" s="2867"/>
      <c r="CK268" s="2867"/>
      <c r="CL268" s="2867"/>
      <c r="CM268" s="2867"/>
      <c r="CN268" s="2867"/>
      <c r="CO268" s="2867"/>
      <c r="CP268" s="2867"/>
      <c r="CQ268" s="2867"/>
      <c r="CR268" s="2867"/>
      <c r="CS268" s="2867"/>
      <c r="CT268" s="2867"/>
      <c r="CU268" s="2867"/>
      <c r="CV268" s="2867"/>
      <c r="CW268" s="2867"/>
    </row>
    <row r="269" spans="1:101">
      <c r="A269" s="2935"/>
      <c r="B269" s="2910"/>
      <c r="C269" s="2867"/>
      <c r="D269" s="2867"/>
      <c r="E269" s="2867"/>
      <c r="F269" s="2867"/>
      <c r="G269" s="2867"/>
      <c r="H269" s="2910"/>
      <c r="I269" s="2910"/>
      <c r="J269" s="2910"/>
      <c r="K269" s="2910"/>
      <c r="L269" s="2910"/>
      <c r="M269" s="2910"/>
      <c r="O269" s="2867"/>
      <c r="P269" s="2867"/>
      <c r="Q269" s="2867"/>
      <c r="R269" s="2867"/>
      <c r="S269" s="2867"/>
      <c r="T269" s="2867"/>
      <c r="U269" s="2867"/>
      <c r="V269" s="2867"/>
      <c r="W269" s="2867"/>
      <c r="X269" s="2867"/>
      <c r="Y269" s="2867"/>
      <c r="Z269" s="2867"/>
      <c r="AA269" s="2867"/>
      <c r="AB269" s="2867"/>
      <c r="AC269" s="2867"/>
      <c r="AD269" s="2867"/>
      <c r="AE269" s="2867"/>
      <c r="AF269" s="2867"/>
      <c r="AG269" s="2867"/>
      <c r="AH269" s="2867"/>
      <c r="AI269" s="2867"/>
      <c r="AJ269" s="2867"/>
      <c r="AK269" s="2867"/>
      <c r="AL269" s="2867"/>
      <c r="AM269" s="2867"/>
      <c r="AN269" s="2867"/>
      <c r="AO269" s="2867"/>
      <c r="AP269" s="2867"/>
      <c r="AQ269" s="2867"/>
      <c r="AR269" s="2867"/>
      <c r="AS269" s="2867"/>
      <c r="AT269" s="2867"/>
      <c r="AU269" s="2867"/>
      <c r="AV269" s="2867"/>
      <c r="AW269" s="2867"/>
      <c r="AX269" s="2867"/>
      <c r="AY269" s="2867"/>
      <c r="AZ269" s="2867"/>
      <c r="BA269" s="2867"/>
      <c r="BB269" s="2867"/>
      <c r="BC269" s="2867"/>
      <c r="BD269" s="2867"/>
      <c r="BE269" s="2867"/>
      <c r="BF269" s="2867"/>
      <c r="BG269" s="2867"/>
      <c r="BH269" s="2867"/>
      <c r="BI269" s="2867"/>
      <c r="BJ269" s="2867"/>
      <c r="BK269" s="2867"/>
      <c r="BL269" s="2867"/>
      <c r="BM269" s="2867"/>
      <c r="BN269" s="2867"/>
      <c r="BO269" s="2867"/>
      <c r="BP269" s="2867"/>
      <c r="BQ269" s="2867"/>
      <c r="BR269" s="2867"/>
      <c r="BS269" s="2867"/>
      <c r="BT269" s="2867"/>
      <c r="BU269" s="2867"/>
      <c r="BV269" s="2867"/>
      <c r="BW269" s="2867"/>
      <c r="BX269" s="2867"/>
      <c r="BY269" s="2867"/>
      <c r="BZ269" s="2867"/>
      <c r="CA269" s="2867"/>
      <c r="CB269" s="2867"/>
      <c r="CC269" s="2867"/>
      <c r="CD269" s="2867"/>
      <c r="CE269" s="2867"/>
      <c r="CF269" s="2867"/>
      <c r="CG269" s="2867"/>
      <c r="CH269" s="2867"/>
      <c r="CI269" s="2867"/>
      <c r="CJ269" s="2867"/>
      <c r="CK269" s="2867"/>
      <c r="CL269" s="2867"/>
      <c r="CM269" s="2867"/>
      <c r="CN269" s="2867"/>
      <c r="CO269" s="2867"/>
      <c r="CP269" s="2867"/>
      <c r="CQ269" s="2867"/>
      <c r="CR269" s="2867"/>
      <c r="CS269" s="2867"/>
      <c r="CT269" s="2867"/>
      <c r="CU269" s="2867"/>
      <c r="CV269" s="2867"/>
      <c r="CW269" s="2867"/>
    </row>
    <row r="270" spans="1:101">
      <c r="A270" s="2867"/>
      <c r="B270" s="2949"/>
      <c r="C270" s="2867"/>
      <c r="D270" s="2867"/>
      <c r="E270" s="2867"/>
      <c r="F270" s="2867"/>
      <c r="G270" s="2867"/>
      <c r="H270" s="2867"/>
      <c r="I270" s="2867"/>
      <c r="J270" s="2867"/>
      <c r="K270" s="2867"/>
      <c r="L270" s="2867"/>
      <c r="M270" s="2867"/>
      <c r="O270" s="2867"/>
      <c r="P270" s="2867"/>
      <c r="Q270" s="2867"/>
      <c r="R270" s="2867"/>
      <c r="S270" s="2867"/>
      <c r="T270" s="2867"/>
      <c r="U270" s="2867"/>
      <c r="V270" s="2867"/>
      <c r="W270" s="2867"/>
      <c r="X270" s="2867"/>
      <c r="Y270" s="2867"/>
      <c r="Z270" s="2867"/>
      <c r="AA270" s="2867"/>
      <c r="AB270" s="2867"/>
      <c r="AC270" s="2867"/>
      <c r="AD270" s="2867"/>
      <c r="AE270" s="2867"/>
      <c r="AF270" s="2867"/>
      <c r="AG270" s="2867"/>
      <c r="AH270" s="2867"/>
      <c r="AI270" s="2867"/>
      <c r="AJ270" s="2867"/>
      <c r="AK270" s="2867"/>
      <c r="AL270" s="2867"/>
      <c r="AM270" s="2867"/>
      <c r="AN270" s="2867"/>
      <c r="AO270" s="2870"/>
      <c r="AP270" s="2870"/>
      <c r="AQ270" s="2898"/>
      <c r="AR270" s="2870"/>
      <c r="AS270" s="2867"/>
      <c r="AT270" s="2867"/>
      <c r="AU270" s="2867"/>
      <c r="AV270" s="2867"/>
      <c r="AW270" s="2867"/>
      <c r="AX270" s="2867"/>
      <c r="AY270" s="2867"/>
      <c r="AZ270" s="2867"/>
      <c r="BA270" s="2867"/>
      <c r="BB270" s="2867"/>
      <c r="BC270" s="2867"/>
      <c r="BD270" s="2867"/>
      <c r="BE270" s="2867"/>
      <c r="BF270" s="2867"/>
      <c r="BG270" s="2867"/>
      <c r="BH270" s="2867"/>
      <c r="BI270" s="2867"/>
      <c r="BJ270" s="2867"/>
      <c r="BK270" s="2867"/>
      <c r="BL270" s="2867"/>
      <c r="BM270" s="2867"/>
      <c r="BN270" s="2867"/>
      <c r="BO270" s="2867"/>
      <c r="BP270" s="2867"/>
      <c r="BQ270" s="2867"/>
      <c r="BR270" s="2867"/>
      <c r="BS270" s="2867"/>
      <c r="BT270" s="2867"/>
      <c r="BU270" s="2867"/>
      <c r="BV270" s="2867"/>
      <c r="BW270" s="2867"/>
      <c r="BX270" s="2867"/>
      <c r="BY270" s="2867"/>
      <c r="BZ270" s="2867"/>
      <c r="CA270" s="2867"/>
      <c r="CB270" s="2867"/>
      <c r="CC270" s="2867"/>
      <c r="CD270" s="2867"/>
      <c r="CE270" s="2867"/>
      <c r="CF270" s="2867"/>
      <c r="CG270" s="2867"/>
      <c r="CH270" s="2867"/>
      <c r="CI270" s="2867"/>
      <c r="CJ270" s="2867"/>
      <c r="CK270" s="2867"/>
      <c r="CL270" s="2867"/>
      <c r="CM270" s="2867"/>
      <c r="CN270" s="2867"/>
      <c r="CO270" s="2867"/>
      <c r="CP270" s="2867"/>
      <c r="CQ270" s="2867"/>
      <c r="CR270" s="2867"/>
      <c r="CS270" s="2867"/>
      <c r="CT270" s="2867"/>
      <c r="CU270" s="2867"/>
      <c r="CV270" s="2867"/>
      <c r="CW270" s="2867"/>
    </row>
    <row r="271" spans="1:101">
      <c r="A271" s="2867"/>
      <c r="B271" s="2949"/>
      <c r="C271" s="2867"/>
      <c r="D271" s="2867"/>
      <c r="E271" s="2867"/>
      <c r="F271" s="2867"/>
      <c r="G271" s="2867"/>
      <c r="H271" s="2867"/>
      <c r="I271" s="2867"/>
      <c r="J271" s="2867"/>
      <c r="K271" s="2867"/>
      <c r="L271" s="2867"/>
      <c r="M271" s="2867"/>
      <c r="O271" s="2867"/>
      <c r="P271" s="2867"/>
      <c r="Q271" s="2867"/>
      <c r="R271" s="2867"/>
      <c r="S271" s="2867"/>
      <c r="T271" s="2867"/>
      <c r="U271" s="2867"/>
      <c r="V271" s="2867"/>
      <c r="W271" s="2867"/>
      <c r="X271" s="2867"/>
      <c r="Y271" s="2867"/>
      <c r="Z271" s="2867"/>
      <c r="AA271" s="2867"/>
      <c r="AB271" s="2867"/>
      <c r="AC271" s="2867"/>
      <c r="AD271" s="2867"/>
      <c r="AE271" s="2867"/>
      <c r="AF271" s="2867"/>
      <c r="AG271" s="2867"/>
      <c r="AH271" s="2867"/>
      <c r="AI271" s="2867"/>
      <c r="AJ271" s="2867"/>
      <c r="AK271" s="2867"/>
      <c r="AL271" s="2867"/>
      <c r="AM271" s="2867"/>
      <c r="AN271" s="2867"/>
      <c r="AO271" s="2870"/>
      <c r="AP271" s="2870"/>
      <c r="AQ271" s="2898"/>
      <c r="AR271" s="2870"/>
      <c r="AS271" s="2867"/>
      <c r="AT271" s="2867"/>
      <c r="AU271" s="2867"/>
      <c r="AV271" s="2867"/>
      <c r="AW271" s="2867"/>
      <c r="AX271" s="2867"/>
      <c r="AY271" s="2867"/>
      <c r="AZ271" s="2867"/>
      <c r="BA271" s="2867"/>
      <c r="BB271" s="2867"/>
      <c r="BC271" s="2867"/>
      <c r="BD271" s="2867"/>
      <c r="BE271" s="2867"/>
      <c r="BF271" s="2867"/>
      <c r="BG271" s="2867"/>
      <c r="BH271" s="2867"/>
      <c r="BI271" s="2867"/>
      <c r="BJ271" s="2867"/>
      <c r="BK271" s="2867"/>
      <c r="BL271" s="2867"/>
      <c r="BM271" s="2867"/>
      <c r="BN271" s="2867"/>
      <c r="BO271" s="2867"/>
      <c r="BP271" s="2867"/>
      <c r="BQ271" s="2867"/>
      <c r="BR271" s="2867"/>
      <c r="BS271" s="2867"/>
      <c r="BT271" s="2867"/>
      <c r="BU271" s="2867"/>
      <c r="BV271" s="2867"/>
      <c r="BW271" s="2867"/>
      <c r="BX271" s="2867"/>
      <c r="BY271" s="2867"/>
      <c r="BZ271" s="2867"/>
      <c r="CA271" s="2867"/>
      <c r="CB271" s="2867"/>
      <c r="CC271" s="2867"/>
      <c r="CD271" s="2867"/>
      <c r="CE271" s="2867"/>
      <c r="CF271" s="2867"/>
      <c r="CG271" s="2867"/>
      <c r="CH271" s="2867"/>
      <c r="CI271" s="2867"/>
      <c r="CJ271" s="2867"/>
      <c r="CK271" s="2867"/>
      <c r="CL271" s="2867"/>
      <c r="CM271" s="2867"/>
      <c r="CN271" s="2867"/>
      <c r="CO271" s="2867"/>
      <c r="CP271" s="2867"/>
      <c r="CQ271" s="2867"/>
      <c r="CR271" s="2867"/>
      <c r="CS271" s="2867"/>
      <c r="CT271" s="2867"/>
      <c r="CU271" s="2867"/>
      <c r="CV271" s="2867"/>
      <c r="CW271" s="2867"/>
    </row>
    <row r="272" spans="1:101">
      <c r="A272" s="2935"/>
      <c r="B272" s="2910"/>
      <c r="C272" s="2867"/>
      <c r="D272" s="2867"/>
      <c r="E272" s="2867"/>
      <c r="F272" s="2867"/>
      <c r="G272" s="2867"/>
      <c r="H272" s="2867"/>
      <c r="I272" s="2867"/>
      <c r="J272" s="2867"/>
      <c r="K272" s="2867"/>
      <c r="L272" s="2867"/>
      <c r="M272" s="2867"/>
      <c r="O272" s="2867"/>
      <c r="P272" s="2867"/>
      <c r="Q272" s="2867"/>
      <c r="R272" s="2867"/>
      <c r="S272" s="2867"/>
      <c r="T272" s="2867"/>
      <c r="U272" s="2867"/>
      <c r="V272" s="2867"/>
      <c r="W272" s="2867"/>
      <c r="X272" s="2867"/>
      <c r="Y272" s="2867"/>
      <c r="Z272" s="2867"/>
      <c r="AA272" s="2867"/>
      <c r="AB272" s="2867"/>
      <c r="AC272" s="2867"/>
      <c r="AD272" s="2867"/>
      <c r="AE272" s="2867"/>
      <c r="AF272" s="2867"/>
      <c r="AG272" s="2867"/>
      <c r="AH272" s="2867"/>
      <c r="AI272" s="2867"/>
      <c r="AJ272" s="2867"/>
      <c r="AK272" s="2867"/>
      <c r="AL272" s="2867"/>
      <c r="AM272" s="2867"/>
      <c r="AN272" s="2867"/>
      <c r="AO272" s="2870"/>
      <c r="AP272" s="2870"/>
      <c r="AQ272" s="2898"/>
      <c r="AR272" s="2870"/>
      <c r="AS272" s="2867"/>
      <c r="AT272" s="2867"/>
      <c r="AU272" s="2867"/>
      <c r="AV272" s="2867"/>
      <c r="AW272" s="2867"/>
      <c r="AX272" s="2867"/>
      <c r="AY272" s="2867"/>
      <c r="AZ272" s="2867"/>
      <c r="BA272" s="2867"/>
      <c r="BB272" s="2867"/>
      <c r="BC272" s="2867"/>
      <c r="BD272" s="2867"/>
      <c r="BE272" s="2867"/>
      <c r="BF272" s="2867"/>
      <c r="BG272" s="2867"/>
      <c r="BH272" s="2867"/>
      <c r="BI272" s="2867"/>
      <c r="BJ272" s="2867"/>
      <c r="BK272" s="2867"/>
      <c r="BL272" s="2867"/>
      <c r="BM272" s="2867"/>
      <c r="BN272" s="2867"/>
      <c r="BO272" s="2867"/>
      <c r="BP272" s="2867"/>
      <c r="BQ272" s="2867"/>
      <c r="BR272" s="2867"/>
      <c r="BS272" s="2867"/>
      <c r="BT272" s="2867"/>
      <c r="BU272" s="2867"/>
      <c r="BV272" s="2867"/>
      <c r="BW272" s="2867"/>
      <c r="BX272" s="2867"/>
      <c r="BY272" s="2867"/>
      <c r="BZ272" s="2867"/>
      <c r="CA272" s="2867"/>
      <c r="CB272" s="2867"/>
      <c r="CC272" s="2867"/>
      <c r="CD272" s="2867"/>
      <c r="CE272" s="2867"/>
      <c r="CF272" s="2867"/>
      <c r="CG272" s="2867"/>
      <c r="CH272" s="2867"/>
      <c r="CI272" s="2867"/>
      <c r="CJ272" s="2867"/>
      <c r="CK272" s="2867"/>
      <c r="CL272" s="2867"/>
      <c r="CM272" s="2867"/>
      <c r="CN272" s="2867"/>
      <c r="CO272" s="2867"/>
      <c r="CP272" s="2867"/>
      <c r="CQ272" s="2867"/>
      <c r="CR272" s="2867"/>
      <c r="CS272" s="2867"/>
      <c r="CT272" s="2867"/>
      <c r="CU272" s="2867"/>
      <c r="CV272" s="2867"/>
      <c r="CW272" s="2867"/>
    </row>
    <row r="273" spans="1:101">
      <c r="A273" s="2867"/>
      <c r="B273" s="2949"/>
      <c r="C273" s="2867"/>
      <c r="D273" s="2867"/>
      <c r="E273" s="2867"/>
      <c r="F273" s="2867"/>
      <c r="G273" s="2867"/>
      <c r="H273" s="2867"/>
      <c r="I273" s="2867"/>
      <c r="J273" s="2867"/>
      <c r="K273" s="2867"/>
      <c r="L273" s="2867"/>
      <c r="M273" s="2867"/>
      <c r="O273" s="2867"/>
      <c r="P273" s="2867"/>
      <c r="Q273" s="2867"/>
      <c r="R273" s="2867"/>
      <c r="S273" s="2867"/>
      <c r="T273" s="2867"/>
      <c r="U273" s="2867"/>
      <c r="V273" s="2867"/>
      <c r="W273" s="2867"/>
      <c r="X273" s="2867"/>
      <c r="Y273" s="2867"/>
      <c r="Z273" s="2867"/>
      <c r="AA273" s="2867"/>
      <c r="AB273" s="2867"/>
      <c r="AC273" s="2867"/>
      <c r="AD273" s="2867"/>
      <c r="AE273" s="2867"/>
      <c r="AF273" s="2867"/>
      <c r="AG273" s="2867"/>
      <c r="AH273" s="2867"/>
      <c r="AI273" s="2867"/>
      <c r="AJ273" s="2867"/>
      <c r="AK273" s="2867"/>
      <c r="AL273" s="2867"/>
      <c r="AM273" s="2867"/>
      <c r="AN273" s="2867"/>
      <c r="AO273" s="2870"/>
      <c r="AP273" s="2870"/>
      <c r="AQ273" s="2898"/>
      <c r="AR273" s="2870"/>
      <c r="AS273" s="2867"/>
      <c r="AT273" s="2867"/>
      <c r="AU273" s="2867"/>
      <c r="AV273" s="2867"/>
      <c r="AW273" s="2867"/>
      <c r="AX273" s="2867"/>
      <c r="AY273" s="2867"/>
      <c r="AZ273" s="2867"/>
      <c r="BA273" s="2867"/>
      <c r="BB273" s="2867"/>
      <c r="BC273" s="2867"/>
      <c r="BD273" s="2867"/>
      <c r="BE273" s="2867"/>
      <c r="BF273" s="2867"/>
      <c r="BG273" s="2867"/>
      <c r="BH273" s="2867"/>
      <c r="BI273" s="2867"/>
      <c r="BJ273" s="2867"/>
      <c r="BK273" s="2867"/>
      <c r="BL273" s="2867"/>
      <c r="BM273" s="2867"/>
      <c r="BN273" s="2867"/>
      <c r="BO273" s="2867"/>
      <c r="BP273" s="2867"/>
      <c r="BQ273" s="2867"/>
      <c r="BR273" s="2867"/>
      <c r="BS273" s="2867"/>
      <c r="BT273" s="2867"/>
      <c r="BU273" s="2867"/>
      <c r="BV273" s="2867"/>
      <c r="BW273" s="2867"/>
      <c r="BX273" s="2867"/>
      <c r="BY273" s="2867"/>
      <c r="BZ273" s="2867"/>
      <c r="CA273" s="2867"/>
      <c r="CB273" s="2867"/>
      <c r="CC273" s="2867"/>
      <c r="CD273" s="2867"/>
      <c r="CE273" s="2867"/>
      <c r="CF273" s="2867"/>
      <c r="CG273" s="2867"/>
      <c r="CH273" s="2867"/>
      <c r="CI273" s="2867"/>
      <c r="CJ273" s="2867"/>
      <c r="CK273" s="2867"/>
      <c r="CL273" s="2867"/>
      <c r="CM273" s="2867"/>
      <c r="CN273" s="2867"/>
      <c r="CO273" s="2867"/>
      <c r="CP273" s="2867"/>
      <c r="CQ273" s="2867"/>
      <c r="CR273" s="2867"/>
      <c r="CS273" s="2867"/>
      <c r="CT273" s="2867"/>
      <c r="CU273" s="2867"/>
      <c r="CV273" s="2867"/>
      <c r="CW273" s="2867"/>
    </row>
    <row r="274" spans="1:101">
      <c r="A274" s="2867"/>
      <c r="B274" s="2949"/>
      <c r="C274" s="2867"/>
      <c r="D274" s="2867"/>
      <c r="E274" s="2867"/>
      <c r="F274" s="2867"/>
      <c r="G274" s="2867"/>
      <c r="H274" s="2867"/>
      <c r="I274" s="2867"/>
      <c r="J274" s="2867"/>
      <c r="K274" s="2867"/>
      <c r="L274" s="2867"/>
      <c r="M274" s="2867"/>
      <c r="O274" s="2867"/>
      <c r="P274" s="2867"/>
      <c r="Q274" s="2867"/>
      <c r="R274" s="2867"/>
      <c r="S274" s="2867"/>
      <c r="T274" s="2867"/>
      <c r="U274" s="2867"/>
      <c r="V274" s="2867"/>
      <c r="W274" s="2867"/>
      <c r="X274" s="2867"/>
      <c r="Y274" s="2867"/>
      <c r="Z274" s="2867"/>
      <c r="AA274" s="2867"/>
      <c r="AB274" s="2867"/>
      <c r="AC274" s="2867"/>
      <c r="AD274" s="2867"/>
      <c r="AE274" s="2867"/>
      <c r="AF274" s="2867"/>
      <c r="AG274" s="2867"/>
      <c r="AH274" s="2867"/>
      <c r="AI274" s="2867"/>
      <c r="AJ274" s="2867"/>
      <c r="AK274" s="2867"/>
      <c r="AL274" s="2867"/>
      <c r="AM274" s="2867"/>
      <c r="AN274" s="2870"/>
      <c r="AO274" s="2870"/>
      <c r="AP274" s="2870"/>
      <c r="AQ274" s="2867"/>
      <c r="AR274" s="2870"/>
      <c r="AS274" s="2867"/>
      <c r="AT274" s="2867"/>
      <c r="AU274" s="2867"/>
      <c r="AV274" s="2867"/>
      <c r="AW274" s="2867"/>
      <c r="AX274" s="2867"/>
      <c r="AY274" s="2867"/>
      <c r="AZ274" s="2867"/>
      <c r="BA274" s="2867"/>
      <c r="BB274" s="2867"/>
      <c r="BC274" s="2867"/>
      <c r="BD274" s="2867"/>
      <c r="BE274" s="2867"/>
      <c r="BF274" s="2867"/>
      <c r="BG274" s="2867"/>
      <c r="BH274" s="2867"/>
      <c r="BI274" s="2867"/>
      <c r="BJ274" s="2867"/>
      <c r="BK274" s="2867"/>
      <c r="BL274" s="2867"/>
      <c r="BM274" s="2867"/>
      <c r="BN274" s="2867"/>
      <c r="BO274" s="2867"/>
      <c r="BP274" s="2867"/>
      <c r="BQ274" s="2867"/>
      <c r="BR274" s="2867"/>
      <c r="BS274" s="2867"/>
      <c r="BT274" s="2867"/>
      <c r="BU274" s="2867"/>
      <c r="BV274" s="2867"/>
      <c r="BW274" s="2867"/>
      <c r="BX274" s="2867"/>
      <c r="BY274" s="2867"/>
      <c r="BZ274" s="2867"/>
      <c r="CA274" s="2867"/>
      <c r="CB274" s="2867"/>
      <c r="CC274" s="2867"/>
      <c r="CD274" s="2867"/>
      <c r="CE274" s="2867"/>
      <c r="CF274" s="2867"/>
      <c r="CG274" s="2867"/>
      <c r="CH274" s="2867"/>
      <c r="CI274" s="2867"/>
      <c r="CJ274" s="2867"/>
      <c r="CK274" s="2867"/>
      <c r="CL274" s="2867"/>
      <c r="CM274" s="2867"/>
      <c r="CN274" s="2867"/>
      <c r="CO274" s="2867"/>
      <c r="CP274" s="2867"/>
      <c r="CQ274" s="2867"/>
      <c r="CR274" s="2867"/>
      <c r="CS274" s="2867"/>
      <c r="CT274" s="2867"/>
      <c r="CU274" s="2867"/>
      <c r="CV274" s="2867"/>
      <c r="CW274" s="2867"/>
    </row>
    <row r="275" spans="1:101">
      <c r="A275" s="2935"/>
      <c r="B275" s="2910"/>
      <c r="C275" s="2867"/>
      <c r="D275" s="2867"/>
      <c r="E275" s="2867"/>
      <c r="F275" s="2867"/>
      <c r="G275" s="2867"/>
      <c r="H275" s="2867"/>
      <c r="I275" s="2867"/>
      <c r="J275" s="2867"/>
      <c r="K275" s="2867"/>
      <c r="L275" s="2867"/>
      <c r="M275" s="2867"/>
      <c r="O275" s="2867"/>
      <c r="P275" s="2867"/>
      <c r="Q275" s="2867"/>
      <c r="R275" s="2867"/>
      <c r="S275" s="2867"/>
      <c r="T275" s="2867"/>
      <c r="U275" s="2867"/>
      <c r="V275" s="2867"/>
      <c r="W275" s="2867"/>
      <c r="X275" s="2867"/>
      <c r="Y275" s="2867"/>
      <c r="Z275" s="2867"/>
      <c r="AA275" s="2867"/>
      <c r="AB275" s="2867"/>
      <c r="AC275" s="2867"/>
      <c r="AD275" s="2867"/>
      <c r="AE275" s="2867"/>
      <c r="AF275" s="2867"/>
      <c r="AG275" s="2867"/>
      <c r="AH275" s="2867"/>
      <c r="AI275" s="2867"/>
      <c r="AJ275" s="2867"/>
      <c r="AK275" s="2867"/>
      <c r="AL275" s="2867"/>
      <c r="AM275" s="2867"/>
      <c r="AN275" s="2867"/>
      <c r="AO275" s="2867"/>
      <c r="AP275" s="2867"/>
      <c r="AQ275" s="2867"/>
      <c r="AR275" s="2867"/>
      <c r="AS275" s="2867"/>
      <c r="AT275" s="2867"/>
      <c r="AU275" s="2867"/>
      <c r="AV275" s="2867"/>
      <c r="AW275" s="2867"/>
      <c r="AX275" s="2867"/>
      <c r="AY275" s="2867"/>
      <c r="AZ275" s="2867"/>
      <c r="BA275" s="2867"/>
      <c r="BB275" s="2867"/>
      <c r="BC275" s="2867"/>
      <c r="BD275" s="2867"/>
      <c r="BE275" s="2867"/>
      <c r="BF275" s="2867"/>
      <c r="BG275" s="2867"/>
      <c r="BH275" s="2867"/>
      <c r="BI275" s="2867"/>
      <c r="BJ275" s="2867"/>
      <c r="BK275" s="2867"/>
      <c r="BL275" s="2867"/>
      <c r="BM275" s="2867"/>
      <c r="BN275" s="2867"/>
      <c r="BO275" s="2867"/>
      <c r="BP275" s="2867"/>
      <c r="BQ275" s="2867"/>
      <c r="BR275" s="2867"/>
      <c r="BS275" s="2867"/>
      <c r="BT275" s="2867"/>
      <c r="BU275" s="2867"/>
      <c r="BV275" s="2867"/>
      <c r="BW275" s="2867"/>
      <c r="BX275" s="2867"/>
      <c r="BY275" s="2867"/>
      <c r="BZ275" s="2867"/>
      <c r="CA275" s="2867"/>
      <c r="CB275" s="2867"/>
      <c r="CC275" s="2867"/>
      <c r="CD275" s="2867"/>
      <c r="CE275" s="2867"/>
      <c r="CF275" s="2867"/>
      <c r="CG275" s="2867"/>
      <c r="CH275" s="2867"/>
      <c r="CI275" s="2867"/>
      <c r="CJ275" s="2867"/>
      <c r="CK275" s="2867"/>
      <c r="CL275" s="2867"/>
      <c r="CM275" s="2867"/>
      <c r="CN275" s="2867"/>
      <c r="CO275" s="2867"/>
      <c r="CP275" s="2867"/>
      <c r="CQ275" s="2867"/>
      <c r="CR275" s="2867"/>
      <c r="CS275" s="2867"/>
      <c r="CT275" s="2867"/>
      <c r="CU275" s="2867"/>
      <c r="CV275" s="2867"/>
      <c r="CW275" s="2867"/>
    </row>
    <row r="276" spans="1:101">
      <c r="A276" s="2867"/>
      <c r="B276" s="2949"/>
      <c r="C276" s="2867"/>
      <c r="D276" s="2867"/>
      <c r="E276" s="2867"/>
      <c r="F276" s="2867"/>
      <c r="G276" s="2867"/>
      <c r="H276" s="2867"/>
      <c r="I276" s="2867"/>
      <c r="J276" s="2867"/>
      <c r="K276" s="2867"/>
      <c r="L276" s="2867"/>
      <c r="M276" s="2867"/>
      <c r="O276" s="2867"/>
      <c r="P276" s="2867"/>
      <c r="Q276" s="2867"/>
      <c r="R276" s="2867"/>
      <c r="S276" s="2867"/>
      <c r="T276" s="2867"/>
      <c r="U276" s="2867"/>
      <c r="V276" s="2867"/>
      <c r="W276" s="2867"/>
      <c r="X276" s="2867"/>
      <c r="Y276" s="2867"/>
      <c r="Z276" s="2867"/>
      <c r="AA276" s="2867"/>
      <c r="AB276" s="2867"/>
      <c r="AC276" s="2867"/>
      <c r="AD276" s="2867"/>
      <c r="AE276" s="2867"/>
      <c r="AF276" s="2867"/>
      <c r="AG276" s="2867"/>
      <c r="AH276" s="2867"/>
      <c r="AI276" s="2867"/>
      <c r="AJ276" s="2867"/>
      <c r="AK276" s="2867"/>
      <c r="AL276" s="2867"/>
      <c r="AM276" s="2867"/>
      <c r="AN276" s="2867"/>
      <c r="AO276" s="2867"/>
      <c r="AP276" s="2867"/>
      <c r="AQ276" s="2867"/>
      <c r="AR276" s="2867"/>
      <c r="AS276" s="2867"/>
      <c r="AT276" s="2867"/>
      <c r="AU276" s="2867"/>
      <c r="AV276" s="2867"/>
      <c r="AW276" s="2867"/>
      <c r="AX276" s="2867"/>
      <c r="AY276" s="2867"/>
      <c r="AZ276" s="2867"/>
      <c r="BA276" s="2867"/>
      <c r="BB276" s="2867"/>
      <c r="BC276" s="2867"/>
      <c r="BD276" s="2867"/>
      <c r="BE276" s="2867"/>
      <c r="BF276" s="2867"/>
      <c r="BG276" s="2867"/>
      <c r="BH276" s="2867"/>
      <c r="BI276" s="2867"/>
      <c r="BJ276" s="2867"/>
      <c r="BK276" s="2867"/>
      <c r="BL276" s="2867"/>
      <c r="BM276" s="2867"/>
      <c r="BN276" s="2867"/>
      <c r="BO276" s="2867"/>
      <c r="BP276" s="2867"/>
      <c r="BQ276" s="2867"/>
      <c r="BR276" s="2867"/>
      <c r="BS276" s="2867"/>
      <c r="BT276" s="2867"/>
      <c r="BU276" s="2867"/>
      <c r="BV276" s="2867"/>
      <c r="BW276" s="2867"/>
      <c r="BX276" s="2867"/>
      <c r="BY276" s="2867"/>
      <c r="BZ276" s="2867"/>
      <c r="CA276" s="2867"/>
      <c r="CB276" s="2867"/>
      <c r="CC276" s="2867"/>
      <c r="CD276" s="2867"/>
      <c r="CE276" s="2867"/>
      <c r="CF276" s="2867"/>
      <c r="CG276" s="2867"/>
      <c r="CH276" s="2867"/>
      <c r="CI276" s="2867"/>
      <c r="CJ276" s="2867"/>
      <c r="CK276" s="2867"/>
      <c r="CL276" s="2867"/>
      <c r="CM276" s="2867"/>
      <c r="CN276" s="2867"/>
      <c r="CO276" s="2867"/>
      <c r="CP276" s="2867"/>
      <c r="CQ276" s="2867"/>
      <c r="CR276" s="2867"/>
      <c r="CS276" s="2867"/>
      <c r="CT276" s="2867"/>
      <c r="CU276" s="2867"/>
      <c r="CV276" s="2867"/>
      <c r="CW276" s="2867"/>
    </row>
    <row r="277" spans="1:101">
      <c r="A277" s="2867"/>
      <c r="B277" s="2949"/>
      <c r="C277" s="2867"/>
      <c r="D277" s="2867"/>
      <c r="E277" s="2867"/>
      <c r="F277" s="2867"/>
      <c r="G277" s="2867"/>
      <c r="H277" s="2867"/>
      <c r="I277" s="2867"/>
      <c r="J277" s="2867"/>
      <c r="K277" s="2867"/>
      <c r="L277" s="2867"/>
      <c r="M277" s="2867"/>
      <c r="O277" s="2867"/>
      <c r="P277" s="2867"/>
      <c r="Q277" s="2867"/>
      <c r="R277" s="2867"/>
      <c r="S277" s="2867"/>
      <c r="T277" s="2867"/>
      <c r="U277" s="2867"/>
      <c r="V277" s="2867"/>
      <c r="W277" s="2867"/>
      <c r="X277" s="2867"/>
      <c r="Y277" s="2867"/>
      <c r="Z277" s="2867"/>
      <c r="AA277" s="2867"/>
      <c r="AB277" s="2867"/>
      <c r="AC277" s="2867"/>
      <c r="AD277" s="2867"/>
      <c r="AE277" s="2867"/>
      <c r="AF277" s="2867"/>
      <c r="AG277" s="2867"/>
      <c r="AH277" s="2867"/>
      <c r="AI277" s="2867"/>
      <c r="AJ277" s="2867"/>
      <c r="AK277" s="2867"/>
      <c r="AL277" s="2867"/>
      <c r="AM277" s="2867"/>
      <c r="AN277" s="2867"/>
      <c r="AO277" s="2867"/>
      <c r="AP277" s="2867"/>
      <c r="AQ277" s="2867"/>
      <c r="AR277" s="2867"/>
      <c r="AS277" s="2867"/>
      <c r="AT277" s="2867"/>
      <c r="AU277" s="2867"/>
      <c r="AV277" s="2867"/>
      <c r="AW277" s="2867"/>
      <c r="AX277" s="2867"/>
      <c r="AY277" s="2867"/>
      <c r="AZ277" s="2867"/>
      <c r="BA277" s="2867"/>
      <c r="BB277" s="2867"/>
      <c r="BC277" s="2867"/>
      <c r="BD277" s="2867"/>
      <c r="BE277" s="2867"/>
      <c r="BF277" s="2867"/>
      <c r="BG277" s="2867"/>
      <c r="BH277" s="2867"/>
      <c r="BI277" s="2867"/>
      <c r="BJ277" s="2867"/>
      <c r="BK277" s="2867"/>
      <c r="BL277" s="2867"/>
      <c r="BM277" s="2867"/>
      <c r="BN277" s="2867"/>
      <c r="BO277" s="2867"/>
      <c r="BP277" s="2867"/>
      <c r="BQ277" s="2867"/>
      <c r="BR277" s="2867"/>
      <c r="BS277" s="2867"/>
      <c r="BT277" s="2867"/>
      <c r="BU277" s="2867"/>
      <c r="BV277" s="2867"/>
      <c r="BW277" s="2867"/>
      <c r="BX277" s="2867"/>
      <c r="BY277" s="2867"/>
      <c r="BZ277" s="2867"/>
      <c r="CA277" s="2867"/>
      <c r="CB277" s="2867"/>
      <c r="CC277" s="2867"/>
      <c r="CD277" s="2867"/>
      <c r="CE277" s="2867"/>
      <c r="CF277" s="2867"/>
      <c r="CG277" s="2867"/>
      <c r="CH277" s="2867"/>
      <c r="CI277" s="2867"/>
      <c r="CJ277" s="2867"/>
      <c r="CK277" s="2867"/>
      <c r="CL277" s="2867"/>
      <c r="CM277" s="2867"/>
      <c r="CN277" s="2867"/>
      <c r="CO277" s="2867"/>
      <c r="CP277" s="2867"/>
      <c r="CQ277" s="2867"/>
      <c r="CR277" s="2867"/>
      <c r="CS277" s="2867"/>
      <c r="CT277" s="2867"/>
      <c r="CU277" s="2867"/>
      <c r="CV277" s="2867"/>
      <c r="CW277" s="2867"/>
    </row>
    <row r="278" spans="1:101">
      <c r="A278" s="2935"/>
      <c r="B278" s="2910"/>
      <c r="C278" s="2867"/>
      <c r="D278" s="2867"/>
      <c r="E278" s="2867"/>
      <c r="F278" s="2867"/>
      <c r="G278" s="2867"/>
      <c r="H278" s="2867"/>
      <c r="I278" s="2867"/>
      <c r="J278" s="2867"/>
      <c r="K278" s="2867"/>
      <c r="L278" s="2867"/>
      <c r="M278" s="2867"/>
      <c r="O278" s="2867"/>
      <c r="P278" s="2867"/>
      <c r="Q278" s="2867"/>
      <c r="R278" s="2867"/>
      <c r="S278" s="2867"/>
      <c r="T278" s="2867"/>
      <c r="U278" s="2867"/>
      <c r="V278" s="2867"/>
      <c r="W278" s="2867"/>
      <c r="X278" s="2867"/>
      <c r="Y278" s="2867"/>
      <c r="Z278" s="2867"/>
      <c r="AA278" s="2867"/>
      <c r="AB278" s="2867"/>
      <c r="AC278" s="2867"/>
      <c r="AD278" s="2867"/>
      <c r="AE278" s="2867"/>
      <c r="AF278" s="2867"/>
      <c r="AG278" s="2867"/>
      <c r="AH278" s="2867"/>
      <c r="AI278" s="2867"/>
      <c r="AJ278" s="2867"/>
      <c r="AK278" s="2867"/>
      <c r="AL278" s="2867"/>
      <c r="AM278" s="2867"/>
      <c r="AN278" s="2867"/>
      <c r="AO278" s="2867"/>
      <c r="AP278" s="2867"/>
      <c r="AQ278" s="2867"/>
      <c r="AR278" s="2867"/>
      <c r="AS278" s="2867"/>
      <c r="AT278" s="2867"/>
      <c r="AU278" s="2867"/>
      <c r="AV278" s="2867"/>
      <c r="AW278" s="2867"/>
      <c r="AX278" s="2867"/>
      <c r="AY278" s="2867"/>
      <c r="AZ278" s="2867"/>
      <c r="BA278" s="2867"/>
      <c r="BB278" s="2867"/>
      <c r="BC278" s="2867"/>
      <c r="BD278" s="2867"/>
      <c r="BE278" s="2867"/>
      <c r="BF278" s="2867"/>
      <c r="BG278" s="2867"/>
      <c r="BH278" s="2867"/>
      <c r="BI278" s="2867"/>
      <c r="BJ278" s="2867"/>
      <c r="BK278" s="2867"/>
      <c r="BL278" s="2867"/>
      <c r="BM278" s="2867"/>
      <c r="BN278" s="2867"/>
      <c r="BO278" s="2867"/>
      <c r="BP278" s="2867"/>
      <c r="BQ278" s="2867"/>
      <c r="BR278" s="2867"/>
      <c r="BS278" s="2867"/>
      <c r="BT278" s="2867"/>
      <c r="BU278" s="2867"/>
      <c r="BV278" s="2867"/>
      <c r="BW278" s="2867"/>
      <c r="BX278" s="2867"/>
      <c r="BY278" s="2867"/>
      <c r="BZ278" s="2867"/>
      <c r="CA278" s="2867"/>
      <c r="CB278" s="2867"/>
      <c r="CC278" s="2867"/>
      <c r="CD278" s="2867"/>
      <c r="CE278" s="2867"/>
      <c r="CF278" s="2867"/>
      <c r="CG278" s="2867"/>
      <c r="CH278" s="2867"/>
      <c r="CI278" s="2867"/>
      <c r="CJ278" s="2867"/>
      <c r="CK278" s="2867"/>
      <c r="CL278" s="2867"/>
      <c r="CM278" s="2867"/>
      <c r="CN278" s="2867"/>
      <c r="CO278" s="2867"/>
      <c r="CP278" s="2867"/>
      <c r="CQ278" s="2867"/>
      <c r="CR278" s="2867"/>
      <c r="CS278" s="2867"/>
      <c r="CT278" s="2867"/>
      <c r="CU278" s="2867"/>
      <c r="CV278" s="2867"/>
      <c r="CW278" s="2867"/>
    </row>
    <row r="279" spans="1:101">
      <c r="A279" s="2867"/>
      <c r="B279" s="2949"/>
      <c r="C279" s="2867"/>
      <c r="D279" s="2867"/>
      <c r="E279" s="2867"/>
      <c r="F279" s="2867"/>
      <c r="G279" s="2867"/>
      <c r="H279" s="2867"/>
      <c r="I279" s="2867"/>
      <c r="J279" s="2867"/>
      <c r="K279" s="2867"/>
      <c r="L279" s="2867"/>
      <c r="M279" s="2867"/>
      <c r="O279" s="2867"/>
      <c r="P279" s="2867"/>
      <c r="Q279" s="2867"/>
      <c r="R279" s="2867"/>
      <c r="S279" s="2867"/>
      <c r="T279" s="2867"/>
      <c r="U279" s="2867"/>
      <c r="V279" s="2867"/>
      <c r="W279" s="2867"/>
      <c r="X279" s="2867"/>
      <c r="Y279" s="2867"/>
      <c r="Z279" s="2867"/>
      <c r="AA279" s="2867"/>
      <c r="AB279" s="2867"/>
      <c r="AC279" s="2867"/>
      <c r="AD279" s="2867"/>
      <c r="AE279" s="2867"/>
      <c r="AF279" s="2867"/>
      <c r="AG279" s="2867"/>
      <c r="AH279" s="2867"/>
      <c r="AI279" s="2867"/>
      <c r="AJ279" s="2867"/>
      <c r="AK279" s="2867"/>
      <c r="AL279" s="2867"/>
      <c r="AM279" s="2867"/>
      <c r="AN279" s="2867"/>
      <c r="AO279" s="2867"/>
      <c r="AP279" s="2867"/>
      <c r="AQ279" s="2867"/>
      <c r="AR279" s="2867"/>
      <c r="AS279" s="2867"/>
      <c r="AT279" s="2867"/>
      <c r="AU279" s="2867"/>
      <c r="AV279" s="2867"/>
      <c r="AW279" s="2867"/>
      <c r="AX279" s="2867"/>
      <c r="AY279" s="2867"/>
      <c r="AZ279" s="2867"/>
      <c r="BA279" s="2867"/>
      <c r="BB279" s="2867"/>
      <c r="BC279" s="2867"/>
      <c r="BD279" s="2867"/>
      <c r="BE279" s="2867"/>
      <c r="BF279" s="2867"/>
      <c r="BG279" s="2867"/>
      <c r="BH279" s="2867"/>
      <c r="BI279" s="2867"/>
      <c r="BJ279" s="2867"/>
      <c r="BK279" s="2867"/>
      <c r="BL279" s="2867"/>
      <c r="BM279" s="2867"/>
      <c r="BN279" s="2867"/>
      <c r="BO279" s="2867"/>
      <c r="BP279" s="2867"/>
      <c r="BQ279" s="2867"/>
      <c r="BR279" s="2867"/>
      <c r="BS279" s="2867"/>
      <c r="BT279" s="2867"/>
      <c r="BU279" s="2867"/>
      <c r="BV279" s="2867"/>
      <c r="BW279" s="2867"/>
      <c r="BX279" s="2867"/>
      <c r="BY279" s="2867"/>
      <c r="BZ279" s="2867"/>
      <c r="CA279" s="2867"/>
      <c r="CB279" s="2867"/>
      <c r="CC279" s="2867"/>
      <c r="CD279" s="2867"/>
      <c r="CE279" s="2867"/>
      <c r="CF279" s="2867"/>
      <c r="CG279" s="2867"/>
      <c r="CH279" s="2867"/>
      <c r="CI279" s="2867"/>
      <c r="CJ279" s="2867"/>
      <c r="CK279" s="2867"/>
      <c r="CL279" s="2867"/>
      <c r="CM279" s="2867"/>
      <c r="CN279" s="2867"/>
      <c r="CO279" s="2867"/>
      <c r="CP279" s="2867"/>
      <c r="CQ279" s="2867"/>
      <c r="CR279" s="2867"/>
      <c r="CS279" s="2867"/>
      <c r="CT279" s="2867"/>
      <c r="CU279" s="2867"/>
      <c r="CV279" s="2867"/>
      <c r="CW279" s="2867"/>
    </row>
    <row r="280" spans="1:101">
      <c r="A280" s="2867"/>
      <c r="B280" s="2949"/>
      <c r="C280" s="2867"/>
      <c r="D280" s="2867"/>
      <c r="E280" s="2867"/>
      <c r="F280" s="2867"/>
      <c r="G280" s="2867"/>
      <c r="H280" s="2867"/>
      <c r="I280" s="2867"/>
      <c r="J280" s="2867"/>
      <c r="K280" s="2867"/>
      <c r="L280" s="2867"/>
      <c r="M280" s="2867"/>
      <c r="O280" s="2867"/>
      <c r="P280" s="2867"/>
      <c r="Q280" s="2867"/>
      <c r="R280" s="2867"/>
      <c r="S280" s="2867"/>
      <c r="T280" s="2867"/>
      <c r="U280" s="2867"/>
      <c r="V280" s="2867"/>
      <c r="W280" s="2867"/>
      <c r="X280" s="2867"/>
      <c r="Y280" s="2867"/>
      <c r="Z280" s="2867"/>
      <c r="AA280" s="2867"/>
      <c r="AB280" s="2867"/>
      <c r="AC280" s="2867"/>
      <c r="AD280" s="2867"/>
      <c r="AE280" s="2867"/>
      <c r="AF280" s="2867"/>
      <c r="AG280" s="2867"/>
      <c r="AH280" s="2867"/>
      <c r="AI280" s="2867"/>
      <c r="AJ280" s="2867"/>
      <c r="AK280" s="2867"/>
      <c r="AL280" s="2867"/>
      <c r="AM280" s="2867"/>
      <c r="AN280" s="2867"/>
      <c r="AO280" s="2867"/>
      <c r="AP280" s="2867"/>
      <c r="AQ280" s="2867"/>
      <c r="AR280" s="2867"/>
      <c r="AS280" s="2867"/>
      <c r="AT280" s="2867"/>
      <c r="AU280" s="2867"/>
      <c r="AV280" s="2867"/>
      <c r="AW280" s="2867"/>
      <c r="AX280" s="2867"/>
      <c r="AY280" s="2867"/>
      <c r="AZ280" s="2867"/>
      <c r="BA280" s="2867"/>
      <c r="BB280" s="2867"/>
      <c r="BC280" s="2867"/>
      <c r="BD280" s="2867"/>
      <c r="BE280" s="2867"/>
      <c r="BF280" s="2867"/>
      <c r="BG280" s="2867"/>
      <c r="BH280" s="2867"/>
      <c r="BI280" s="2867"/>
      <c r="BJ280" s="2867"/>
      <c r="BK280" s="2867"/>
      <c r="BL280" s="2867"/>
      <c r="BM280" s="2867"/>
      <c r="BN280" s="2867"/>
      <c r="BO280" s="2867"/>
      <c r="BP280" s="2867"/>
      <c r="BQ280" s="2867"/>
      <c r="BR280" s="2867"/>
      <c r="BS280" s="2867"/>
      <c r="BT280" s="2867"/>
      <c r="BU280" s="2867"/>
      <c r="BV280" s="2867"/>
      <c r="BW280" s="2867"/>
      <c r="BX280" s="2867"/>
      <c r="BY280" s="2867"/>
      <c r="BZ280" s="2867"/>
      <c r="CA280" s="2867"/>
      <c r="CB280" s="2867"/>
      <c r="CC280" s="2867"/>
      <c r="CD280" s="2867"/>
      <c r="CE280" s="2867"/>
      <c r="CF280" s="2867"/>
      <c r="CG280" s="2867"/>
      <c r="CH280" s="2867"/>
      <c r="CI280" s="2867"/>
      <c r="CJ280" s="2867"/>
      <c r="CK280" s="2867"/>
      <c r="CL280" s="2867"/>
      <c r="CM280" s="2867"/>
      <c r="CN280" s="2867"/>
      <c r="CO280" s="2867"/>
      <c r="CP280" s="2867"/>
      <c r="CQ280" s="2867"/>
      <c r="CR280" s="2867"/>
      <c r="CS280" s="2867"/>
      <c r="CT280" s="2867"/>
      <c r="CU280" s="2867"/>
      <c r="CV280" s="2867"/>
      <c r="CW280" s="2867"/>
    </row>
    <row r="281" spans="1:101">
      <c r="A281" s="2935"/>
      <c r="B281" s="2910"/>
      <c r="C281" s="2867"/>
      <c r="D281" s="2867"/>
      <c r="E281" s="2867"/>
      <c r="F281" s="2867"/>
      <c r="G281" s="2867"/>
      <c r="H281" s="2910"/>
      <c r="I281" s="2910"/>
      <c r="J281" s="2910"/>
      <c r="K281" s="2910"/>
      <c r="L281" s="2910"/>
      <c r="M281" s="2910"/>
      <c r="O281" s="2867"/>
      <c r="P281" s="2867"/>
      <c r="Q281" s="2867"/>
      <c r="R281" s="2867"/>
      <c r="S281" s="2867"/>
      <c r="T281" s="2867"/>
      <c r="U281" s="2867"/>
      <c r="V281" s="2867"/>
      <c r="W281" s="2867"/>
      <c r="X281" s="2867"/>
      <c r="Y281" s="2867"/>
      <c r="Z281" s="2867"/>
      <c r="AA281" s="2867"/>
      <c r="AB281" s="2867"/>
      <c r="AC281" s="2867"/>
      <c r="AD281" s="2867"/>
      <c r="AE281" s="2867"/>
      <c r="AF281" s="2867"/>
      <c r="AG281" s="2867"/>
      <c r="AH281" s="2867"/>
      <c r="AI281" s="2867"/>
      <c r="AJ281" s="2867"/>
      <c r="AK281" s="2867"/>
      <c r="AL281" s="2867"/>
      <c r="AM281" s="2867"/>
      <c r="AN281" s="2867"/>
      <c r="AO281" s="2867"/>
      <c r="AP281" s="2867"/>
      <c r="AQ281" s="2867"/>
      <c r="AR281" s="2867"/>
      <c r="AS281" s="2867"/>
      <c r="AT281" s="2867"/>
      <c r="AU281" s="2867"/>
      <c r="AV281" s="2867"/>
      <c r="AW281" s="2867"/>
      <c r="AX281" s="2867"/>
      <c r="AY281" s="2867"/>
      <c r="AZ281" s="2867"/>
      <c r="BA281" s="2867"/>
      <c r="BB281" s="2867"/>
      <c r="BC281" s="2867"/>
      <c r="BD281" s="2867"/>
      <c r="BE281" s="2867"/>
      <c r="BF281" s="2867"/>
      <c r="BG281" s="2867"/>
      <c r="BH281" s="2867"/>
      <c r="BI281" s="2867"/>
      <c r="BJ281" s="2867"/>
      <c r="BK281" s="2867"/>
      <c r="BL281" s="2867"/>
      <c r="BM281" s="2867"/>
      <c r="BN281" s="2867"/>
      <c r="BO281" s="2867"/>
      <c r="BP281" s="2867"/>
      <c r="BQ281" s="2867"/>
      <c r="BR281" s="2867"/>
      <c r="BS281" s="2867"/>
      <c r="BT281" s="2867"/>
      <c r="BU281" s="2867"/>
      <c r="BV281" s="2867"/>
      <c r="BW281" s="2867"/>
      <c r="BX281" s="2867"/>
      <c r="BY281" s="2867"/>
      <c r="BZ281" s="2867"/>
      <c r="CA281" s="2867"/>
      <c r="CB281" s="2867"/>
      <c r="CC281" s="2867"/>
      <c r="CD281" s="2867"/>
      <c r="CE281" s="2867"/>
      <c r="CF281" s="2867"/>
      <c r="CG281" s="2867"/>
      <c r="CH281" s="2867"/>
      <c r="CI281" s="2867"/>
      <c r="CJ281" s="2867"/>
      <c r="CK281" s="2867"/>
      <c r="CL281" s="2867"/>
      <c r="CM281" s="2867"/>
      <c r="CN281" s="2867"/>
      <c r="CO281" s="2867"/>
      <c r="CP281" s="2867"/>
      <c r="CQ281" s="2867"/>
      <c r="CR281" s="2867"/>
      <c r="CS281" s="2867"/>
      <c r="CT281" s="2867"/>
      <c r="CU281" s="2867"/>
      <c r="CV281" s="2867"/>
      <c r="CW281" s="2867"/>
    </row>
    <row r="282" spans="1:101">
      <c r="A282" s="2867"/>
      <c r="B282" s="2949"/>
      <c r="C282" s="2867"/>
      <c r="D282" s="2867"/>
      <c r="E282" s="2867"/>
      <c r="F282" s="2867"/>
      <c r="G282" s="2867"/>
      <c r="H282" s="2867"/>
      <c r="I282" s="2867"/>
      <c r="J282" s="2867"/>
      <c r="K282" s="2867"/>
      <c r="L282" s="2867"/>
      <c r="M282" s="2867"/>
      <c r="O282" s="2867"/>
      <c r="P282" s="2867"/>
      <c r="Q282" s="2867"/>
      <c r="R282" s="2867"/>
      <c r="S282" s="2867"/>
      <c r="T282" s="2867"/>
      <c r="U282" s="2867"/>
      <c r="V282" s="2867"/>
      <c r="W282" s="2867"/>
      <c r="X282" s="2867"/>
      <c r="Y282" s="2867"/>
      <c r="Z282" s="2867"/>
      <c r="AA282" s="2867"/>
      <c r="AB282" s="2867"/>
      <c r="AC282" s="2867"/>
      <c r="AD282" s="2867"/>
      <c r="AE282" s="2867"/>
      <c r="AF282" s="2867"/>
      <c r="AG282" s="2867"/>
      <c r="AH282" s="2867"/>
      <c r="AI282" s="2867"/>
      <c r="AJ282" s="2867"/>
      <c r="AK282" s="2867"/>
      <c r="AL282" s="2867"/>
      <c r="AM282" s="2867"/>
      <c r="AN282" s="2867"/>
      <c r="AO282" s="2867"/>
      <c r="AP282" s="2867"/>
      <c r="AQ282" s="2867"/>
      <c r="AR282" s="2867"/>
      <c r="AS282" s="2867"/>
      <c r="AT282" s="2867"/>
      <c r="AU282" s="2867"/>
      <c r="AV282" s="2867"/>
      <c r="AW282" s="2867"/>
      <c r="AX282" s="2867"/>
      <c r="AY282" s="2867"/>
      <c r="AZ282" s="2867"/>
      <c r="BA282" s="2867"/>
      <c r="BB282" s="2867"/>
      <c r="BC282" s="2867"/>
      <c r="BD282" s="2867"/>
      <c r="BE282" s="2867"/>
      <c r="BF282" s="2867"/>
      <c r="BG282" s="2867"/>
      <c r="BH282" s="2867"/>
      <c r="BI282" s="2867"/>
      <c r="BJ282" s="2867"/>
      <c r="BK282" s="2867"/>
      <c r="BL282" s="2867"/>
      <c r="BM282" s="2867"/>
      <c r="BN282" s="2867"/>
      <c r="BO282" s="2867"/>
      <c r="BP282" s="2867"/>
      <c r="BQ282" s="2867"/>
      <c r="BR282" s="2867"/>
      <c r="BS282" s="2867"/>
      <c r="BT282" s="2867"/>
      <c r="BU282" s="2867"/>
      <c r="BV282" s="2867"/>
      <c r="BW282" s="2867"/>
      <c r="BX282" s="2867"/>
      <c r="BY282" s="2867"/>
      <c r="BZ282" s="2867"/>
      <c r="CA282" s="2867"/>
      <c r="CB282" s="2867"/>
      <c r="CC282" s="2867"/>
      <c r="CD282" s="2867"/>
      <c r="CE282" s="2867"/>
      <c r="CF282" s="2867"/>
      <c r="CG282" s="2867"/>
      <c r="CH282" s="2867"/>
      <c r="CI282" s="2867"/>
      <c r="CJ282" s="2867"/>
      <c r="CK282" s="2867"/>
      <c r="CL282" s="2867"/>
      <c r="CM282" s="2867"/>
      <c r="CN282" s="2867"/>
      <c r="CO282" s="2867"/>
      <c r="CP282" s="2867"/>
      <c r="CQ282" s="2867"/>
      <c r="CR282" s="2867"/>
      <c r="CS282" s="2867"/>
      <c r="CT282" s="2867"/>
      <c r="CU282" s="2867"/>
      <c r="CV282" s="2867"/>
      <c r="CW282" s="2867"/>
    </row>
    <row r="283" spans="1:101">
      <c r="A283" s="2867"/>
      <c r="B283" s="2949"/>
      <c r="C283" s="2867"/>
      <c r="D283" s="2867"/>
      <c r="E283" s="2867"/>
      <c r="F283" s="2867"/>
      <c r="G283" s="2867"/>
      <c r="H283" s="2867"/>
      <c r="I283" s="2867"/>
      <c r="J283" s="2867"/>
      <c r="K283" s="2867"/>
      <c r="L283" s="2867"/>
      <c r="M283" s="2867"/>
      <c r="O283" s="2867"/>
      <c r="P283" s="2867"/>
      <c r="Q283" s="2867"/>
      <c r="R283" s="2867"/>
      <c r="S283" s="2867"/>
      <c r="T283" s="2867"/>
      <c r="U283" s="2867"/>
      <c r="V283" s="2867"/>
      <c r="W283" s="2867"/>
      <c r="X283" s="2867"/>
      <c r="Y283" s="2867"/>
      <c r="Z283" s="2867"/>
      <c r="AA283" s="2867"/>
      <c r="AB283" s="2867"/>
      <c r="AC283" s="2867"/>
      <c r="AD283" s="2867"/>
      <c r="AE283" s="2867"/>
      <c r="AF283" s="2867"/>
      <c r="AG283" s="2867"/>
      <c r="AH283" s="2867"/>
      <c r="AI283" s="2867"/>
      <c r="AJ283" s="2867"/>
      <c r="AK283" s="2867"/>
      <c r="AL283" s="2867"/>
      <c r="AM283" s="2867"/>
      <c r="AN283" s="2867"/>
      <c r="AO283" s="2867"/>
      <c r="AP283" s="2867"/>
      <c r="AQ283" s="2867"/>
      <c r="AR283" s="2867"/>
      <c r="AS283" s="2867"/>
      <c r="AT283" s="2867"/>
      <c r="AU283" s="2867"/>
      <c r="AV283" s="2867"/>
      <c r="AW283" s="2867"/>
      <c r="AX283" s="2867"/>
      <c r="AY283" s="2867"/>
      <c r="AZ283" s="2867"/>
      <c r="BA283" s="2867"/>
      <c r="BB283" s="2867"/>
      <c r="BC283" s="2867"/>
      <c r="BD283" s="2867"/>
      <c r="BE283" s="2867"/>
      <c r="BF283" s="2867"/>
      <c r="BG283" s="2867"/>
      <c r="BH283" s="2867"/>
      <c r="BI283" s="2867"/>
      <c r="BJ283" s="2867"/>
      <c r="BK283" s="2867"/>
      <c r="BL283" s="2867"/>
      <c r="BM283" s="2867"/>
      <c r="BN283" s="2867"/>
      <c r="BO283" s="2867"/>
      <c r="BP283" s="2867"/>
      <c r="BQ283" s="2867"/>
      <c r="BR283" s="2867"/>
      <c r="BS283" s="2867"/>
      <c r="BT283" s="2867"/>
      <c r="BU283" s="2867"/>
      <c r="BV283" s="2867"/>
      <c r="BW283" s="2867"/>
      <c r="BX283" s="2867"/>
      <c r="BY283" s="2867"/>
      <c r="BZ283" s="2867"/>
      <c r="CA283" s="2867"/>
      <c r="CB283" s="2867"/>
      <c r="CC283" s="2867"/>
      <c r="CD283" s="2867"/>
      <c r="CE283" s="2867"/>
      <c r="CF283" s="2867"/>
      <c r="CG283" s="2867"/>
      <c r="CH283" s="2867"/>
      <c r="CI283" s="2867"/>
      <c r="CJ283" s="2867"/>
      <c r="CK283" s="2867"/>
      <c r="CL283" s="2867"/>
      <c r="CM283" s="2867"/>
      <c r="CN283" s="2867"/>
      <c r="CO283" s="2867"/>
      <c r="CP283" s="2867"/>
      <c r="CQ283" s="2867"/>
      <c r="CR283" s="2867"/>
      <c r="CS283" s="2867"/>
      <c r="CT283" s="2867"/>
      <c r="CU283" s="2867"/>
      <c r="CV283" s="2867"/>
      <c r="CW283" s="2867"/>
    </row>
    <row r="284" spans="1:101">
      <c r="A284" s="2935"/>
      <c r="B284" s="2910"/>
      <c r="C284" s="2867"/>
      <c r="D284" s="2867"/>
      <c r="E284" s="2867"/>
      <c r="F284" s="2867"/>
      <c r="G284" s="2867"/>
      <c r="H284" s="2867"/>
      <c r="I284" s="2867"/>
      <c r="J284" s="2867"/>
      <c r="K284" s="2867"/>
      <c r="L284" s="2867"/>
      <c r="M284" s="2867"/>
      <c r="O284" s="2867"/>
      <c r="P284" s="2867"/>
      <c r="Q284" s="2867"/>
      <c r="R284" s="2867"/>
      <c r="S284" s="2867"/>
      <c r="T284" s="2867"/>
      <c r="U284" s="2867"/>
      <c r="V284" s="2867"/>
      <c r="W284" s="2867"/>
      <c r="X284" s="2867"/>
      <c r="Y284" s="2867"/>
      <c r="Z284" s="2867"/>
      <c r="AA284" s="2867"/>
      <c r="AB284" s="2867"/>
      <c r="AC284" s="2867"/>
      <c r="AD284" s="2867"/>
      <c r="AE284" s="2867"/>
      <c r="AF284" s="2867"/>
      <c r="AG284" s="2867"/>
      <c r="AH284" s="2867"/>
      <c r="AI284" s="2867"/>
      <c r="AJ284" s="2867"/>
      <c r="AK284" s="2867"/>
      <c r="AL284" s="2867"/>
      <c r="AM284" s="2867"/>
      <c r="AN284" s="2867"/>
      <c r="AO284" s="2867"/>
      <c r="AP284" s="2867"/>
      <c r="AQ284" s="2867"/>
      <c r="AR284" s="2867"/>
      <c r="AS284" s="2867"/>
      <c r="AT284" s="2867"/>
      <c r="AU284" s="2867"/>
      <c r="AV284" s="2867"/>
      <c r="AW284" s="2867"/>
      <c r="AX284" s="2867"/>
      <c r="AY284" s="2867"/>
      <c r="AZ284" s="2867"/>
      <c r="BA284" s="2867"/>
      <c r="BB284" s="2867"/>
      <c r="BC284" s="2867"/>
      <c r="BD284" s="2867"/>
      <c r="BE284" s="2867"/>
      <c r="BF284" s="2867"/>
      <c r="BG284" s="2867"/>
      <c r="BH284" s="2867"/>
      <c r="BI284" s="2867"/>
      <c r="BJ284" s="2867"/>
      <c r="BK284" s="2867"/>
      <c r="BL284" s="2867"/>
      <c r="BM284" s="2867"/>
      <c r="BN284" s="2867"/>
      <c r="BO284" s="2867"/>
      <c r="BP284" s="2867"/>
      <c r="BQ284" s="2867"/>
      <c r="BR284" s="2867"/>
      <c r="BS284" s="2867"/>
      <c r="BT284" s="2867"/>
      <c r="BU284" s="2867"/>
      <c r="BV284" s="2867"/>
      <c r="BW284" s="2867"/>
      <c r="BX284" s="2867"/>
      <c r="BY284" s="2867"/>
      <c r="BZ284" s="2867"/>
      <c r="CA284" s="2867"/>
      <c r="CB284" s="2867"/>
      <c r="CC284" s="2867"/>
      <c r="CD284" s="2867"/>
      <c r="CE284" s="2867"/>
      <c r="CF284" s="2867"/>
      <c r="CG284" s="2867"/>
      <c r="CH284" s="2867"/>
      <c r="CI284" s="2867"/>
      <c r="CJ284" s="2867"/>
      <c r="CK284" s="2867"/>
      <c r="CL284" s="2867"/>
      <c r="CM284" s="2867"/>
      <c r="CN284" s="2867"/>
      <c r="CO284" s="2867"/>
      <c r="CP284" s="2867"/>
      <c r="CQ284" s="2867"/>
      <c r="CR284" s="2867"/>
      <c r="CS284" s="2867"/>
      <c r="CT284" s="2867"/>
      <c r="CU284" s="2867"/>
      <c r="CV284" s="2867"/>
      <c r="CW284" s="2867"/>
    </row>
    <row r="285" spans="1:101">
      <c r="A285" s="2867"/>
      <c r="B285" s="2949"/>
      <c r="C285" s="2867"/>
      <c r="D285" s="2867"/>
      <c r="E285" s="2867"/>
      <c r="F285" s="2867"/>
      <c r="G285" s="2867"/>
      <c r="H285" s="2867"/>
      <c r="I285" s="2867"/>
      <c r="J285" s="2867"/>
      <c r="K285" s="2867"/>
      <c r="L285" s="2867"/>
      <c r="M285" s="2867"/>
      <c r="O285" s="2867"/>
      <c r="P285" s="2867"/>
      <c r="Q285" s="2867"/>
      <c r="R285" s="2867"/>
      <c r="S285" s="2867"/>
      <c r="T285" s="2867"/>
      <c r="U285" s="2867"/>
      <c r="V285" s="2867"/>
      <c r="W285" s="2867"/>
      <c r="X285" s="2867"/>
      <c r="Y285" s="2867"/>
      <c r="Z285" s="2867"/>
      <c r="AA285" s="2867"/>
      <c r="AB285" s="2867"/>
      <c r="AC285" s="2867"/>
      <c r="AD285" s="2867"/>
      <c r="AE285" s="2867"/>
      <c r="AF285" s="2867"/>
      <c r="AG285" s="2867"/>
      <c r="AH285" s="2867"/>
      <c r="AI285" s="2867"/>
      <c r="AJ285" s="2867"/>
      <c r="AK285" s="2867"/>
      <c r="AL285" s="2867"/>
      <c r="AM285" s="2867"/>
      <c r="AN285" s="2867"/>
      <c r="AO285" s="2867"/>
      <c r="AP285" s="2867"/>
      <c r="AQ285" s="2867"/>
      <c r="AR285" s="2867"/>
      <c r="AS285" s="2867"/>
      <c r="AT285" s="2867"/>
      <c r="AU285" s="2867"/>
      <c r="AV285" s="2867"/>
      <c r="AW285" s="2867"/>
      <c r="AX285" s="2867"/>
      <c r="AY285" s="2867"/>
      <c r="AZ285" s="2867"/>
      <c r="BA285" s="2867"/>
      <c r="BB285" s="2867"/>
      <c r="BC285" s="2867"/>
      <c r="BD285" s="2867"/>
      <c r="BE285" s="2867"/>
      <c r="BF285" s="2867"/>
      <c r="BG285" s="2867"/>
      <c r="BH285" s="2867"/>
      <c r="BI285" s="2867"/>
      <c r="BJ285" s="2867"/>
      <c r="BK285" s="2867"/>
      <c r="BL285" s="2867"/>
      <c r="BM285" s="2867"/>
      <c r="BN285" s="2867"/>
      <c r="BO285" s="2867"/>
      <c r="BP285" s="2867"/>
      <c r="BQ285" s="2867"/>
      <c r="BR285" s="2867"/>
      <c r="BS285" s="2867"/>
      <c r="BT285" s="2867"/>
      <c r="BU285" s="2867"/>
      <c r="BV285" s="2867"/>
      <c r="BW285" s="2867"/>
      <c r="BX285" s="2867"/>
      <c r="BY285" s="2867"/>
      <c r="BZ285" s="2867"/>
      <c r="CA285" s="2867"/>
      <c r="CB285" s="2867"/>
      <c r="CC285" s="2867"/>
      <c r="CD285" s="2867"/>
      <c r="CE285" s="2867"/>
      <c r="CF285" s="2867"/>
      <c r="CG285" s="2867"/>
      <c r="CH285" s="2867"/>
      <c r="CI285" s="2867"/>
      <c r="CJ285" s="2867"/>
      <c r="CK285" s="2867"/>
      <c r="CL285" s="2867"/>
      <c r="CM285" s="2867"/>
      <c r="CN285" s="2867"/>
      <c r="CO285" s="2867"/>
      <c r="CP285" s="2867"/>
      <c r="CQ285" s="2867"/>
      <c r="CR285" s="2867"/>
      <c r="CS285" s="2867"/>
      <c r="CT285" s="2867"/>
      <c r="CU285" s="2867"/>
      <c r="CV285" s="2867"/>
      <c r="CW285" s="2867"/>
    </row>
    <row r="286" spans="1:101">
      <c r="A286" s="2867"/>
      <c r="B286" s="2949"/>
      <c r="C286" s="2867"/>
      <c r="D286" s="2867"/>
      <c r="E286" s="2867"/>
      <c r="F286" s="2867"/>
      <c r="G286" s="2867"/>
      <c r="H286" s="2867"/>
      <c r="I286" s="2867"/>
      <c r="J286" s="2867"/>
      <c r="K286" s="2867"/>
      <c r="L286" s="2867"/>
      <c r="M286" s="2867"/>
      <c r="O286" s="2867"/>
      <c r="P286" s="2867"/>
      <c r="Q286" s="2867"/>
      <c r="R286" s="2867"/>
      <c r="S286" s="2867"/>
      <c r="T286" s="2867"/>
      <c r="U286" s="2867"/>
      <c r="V286" s="2867"/>
      <c r="W286" s="2867"/>
      <c r="X286" s="2867"/>
      <c r="Y286" s="2867"/>
      <c r="Z286" s="2867"/>
      <c r="AA286" s="2867"/>
      <c r="AB286" s="2867"/>
      <c r="AC286" s="2867"/>
      <c r="AD286" s="2867"/>
      <c r="AE286" s="2867"/>
      <c r="AF286" s="2867"/>
      <c r="AG286" s="2867"/>
      <c r="AH286" s="2867"/>
      <c r="AI286" s="2867"/>
      <c r="AJ286" s="2867"/>
      <c r="AK286" s="2867"/>
      <c r="AL286" s="2867"/>
      <c r="AM286" s="2867"/>
      <c r="AN286" s="2867"/>
      <c r="AO286" s="2867"/>
      <c r="AP286" s="2867"/>
      <c r="AQ286" s="2867"/>
      <c r="AR286" s="2867"/>
      <c r="AS286" s="2867"/>
      <c r="AT286" s="2867"/>
      <c r="AU286" s="2867"/>
      <c r="AV286" s="2867"/>
      <c r="AW286" s="2867"/>
      <c r="AX286" s="2867"/>
      <c r="AY286" s="2867"/>
      <c r="AZ286" s="2867"/>
      <c r="BA286" s="2867"/>
      <c r="BB286" s="2867"/>
      <c r="BC286" s="2867"/>
      <c r="BD286" s="2867"/>
      <c r="BE286" s="2867"/>
      <c r="BF286" s="2867"/>
      <c r="BG286" s="2867"/>
      <c r="BH286" s="2867"/>
      <c r="BI286" s="2867"/>
      <c r="BJ286" s="2867"/>
      <c r="BK286" s="2867"/>
      <c r="BL286" s="2867"/>
      <c r="BM286" s="2867"/>
      <c r="BN286" s="2867"/>
      <c r="BO286" s="2867"/>
      <c r="BP286" s="2867"/>
      <c r="BQ286" s="2867"/>
      <c r="BR286" s="2867"/>
      <c r="BS286" s="2867"/>
      <c r="BT286" s="2867"/>
      <c r="BU286" s="2867"/>
      <c r="BV286" s="2867"/>
      <c r="BW286" s="2867"/>
      <c r="BX286" s="2867"/>
      <c r="BY286" s="2867"/>
      <c r="BZ286" s="2867"/>
      <c r="CA286" s="2867"/>
      <c r="CB286" s="2867"/>
      <c r="CC286" s="2867"/>
      <c r="CD286" s="2867"/>
      <c r="CE286" s="2867"/>
      <c r="CF286" s="2867"/>
      <c r="CG286" s="2867"/>
      <c r="CH286" s="2867"/>
      <c r="CI286" s="2867"/>
      <c r="CJ286" s="2867"/>
      <c r="CK286" s="2867"/>
      <c r="CL286" s="2867"/>
      <c r="CM286" s="2867"/>
      <c r="CN286" s="2867"/>
      <c r="CO286" s="2867"/>
      <c r="CP286" s="2867"/>
      <c r="CQ286" s="2867"/>
      <c r="CR286" s="2867"/>
      <c r="CS286" s="2867"/>
      <c r="CT286" s="2867"/>
      <c r="CU286" s="2867"/>
      <c r="CV286" s="2867"/>
      <c r="CW286" s="2867"/>
    </row>
    <row r="287" spans="1:101">
      <c r="A287" s="2867"/>
      <c r="B287" s="2949"/>
      <c r="C287" s="2867"/>
      <c r="D287" s="2867"/>
      <c r="E287" s="2867"/>
      <c r="F287" s="2867"/>
      <c r="G287" s="2867"/>
      <c r="H287" s="2867"/>
      <c r="I287" s="2867"/>
      <c r="J287" s="2867"/>
      <c r="K287" s="2867"/>
      <c r="L287" s="2867"/>
      <c r="M287" s="2867"/>
      <c r="O287" s="2867"/>
      <c r="P287" s="2867"/>
      <c r="Q287" s="2867"/>
      <c r="R287" s="2867"/>
      <c r="S287" s="2867"/>
      <c r="T287" s="2867"/>
      <c r="U287" s="2867"/>
      <c r="V287" s="2867"/>
      <c r="W287" s="2867"/>
      <c r="X287" s="2867"/>
      <c r="Y287" s="2867"/>
      <c r="Z287" s="2867"/>
      <c r="AA287" s="2867"/>
      <c r="AB287" s="2867"/>
      <c r="AC287" s="2867"/>
      <c r="AD287" s="2867"/>
      <c r="AE287" s="2867"/>
      <c r="AF287" s="2867"/>
      <c r="AG287" s="2867"/>
      <c r="AH287" s="2867"/>
      <c r="AI287" s="2867"/>
      <c r="AJ287" s="2867"/>
      <c r="AK287" s="2867"/>
      <c r="AL287" s="2867"/>
      <c r="AM287" s="2867"/>
      <c r="AN287" s="2867"/>
      <c r="AO287" s="2867"/>
      <c r="AP287" s="2867"/>
      <c r="AQ287" s="2867"/>
      <c r="AR287" s="2867"/>
      <c r="AS287" s="2867"/>
      <c r="AT287" s="2867"/>
      <c r="AU287" s="2867"/>
      <c r="AV287" s="2867"/>
      <c r="AW287" s="2867"/>
      <c r="AX287" s="2867"/>
      <c r="AY287" s="2867"/>
      <c r="AZ287" s="2867"/>
      <c r="BA287" s="2867"/>
      <c r="BB287" s="2867"/>
      <c r="BC287" s="2867"/>
      <c r="BD287" s="2867"/>
      <c r="BE287" s="2867"/>
      <c r="BF287" s="2867"/>
      <c r="BG287" s="2867"/>
      <c r="BH287" s="2867"/>
      <c r="BI287" s="2867"/>
      <c r="BJ287" s="2867"/>
      <c r="BK287" s="2867"/>
      <c r="BL287" s="2867"/>
      <c r="BM287" s="2867"/>
      <c r="BN287" s="2867"/>
      <c r="BO287" s="2867"/>
      <c r="BP287" s="2867"/>
      <c r="BQ287" s="2867"/>
      <c r="BR287" s="2867"/>
      <c r="BS287" s="2867"/>
      <c r="BT287" s="2867"/>
      <c r="BU287" s="2867"/>
      <c r="BV287" s="2867"/>
      <c r="BW287" s="2867"/>
      <c r="BX287" s="2867"/>
      <c r="BY287" s="2867"/>
      <c r="BZ287" s="2867"/>
      <c r="CA287" s="2867"/>
      <c r="CB287" s="2867"/>
      <c r="CC287" s="2867"/>
      <c r="CD287" s="2867"/>
      <c r="CE287" s="2867"/>
      <c r="CF287" s="2867"/>
      <c r="CG287" s="2867"/>
      <c r="CH287" s="2867"/>
      <c r="CI287" s="2867"/>
      <c r="CJ287" s="2867"/>
      <c r="CK287" s="2867"/>
      <c r="CL287" s="2867"/>
      <c r="CM287" s="2867"/>
      <c r="CN287" s="2867"/>
      <c r="CO287" s="2867"/>
      <c r="CP287" s="2867"/>
      <c r="CQ287" s="2867"/>
      <c r="CR287" s="2867"/>
      <c r="CS287" s="2867"/>
      <c r="CT287" s="2867"/>
      <c r="CU287" s="2867"/>
      <c r="CV287" s="2867"/>
      <c r="CW287" s="2867"/>
    </row>
    <row r="288" spans="1:101">
      <c r="A288" s="2867"/>
      <c r="B288" s="2949"/>
      <c r="C288" s="2867"/>
      <c r="D288" s="2867"/>
      <c r="E288" s="2867"/>
      <c r="F288" s="2867"/>
      <c r="G288" s="2867"/>
      <c r="H288" s="2867"/>
      <c r="I288" s="2867"/>
      <c r="J288" s="2867"/>
      <c r="K288" s="2867"/>
      <c r="L288" s="2867"/>
      <c r="M288" s="2867"/>
      <c r="O288" s="2867"/>
      <c r="P288" s="2867"/>
      <c r="Q288" s="2867"/>
      <c r="R288" s="2867"/>
      <c r="S288" s="2867"/>
      <c r="T288" s="2867"/>
      <c r="U288" s="2867"/>
      <c r="V288" s="2867"/>
      <c r="W288" s="2867"/>
      <c r="X288" s="2867"/>
      <c r="Y288" s="2867"/>
      <c r="Z288" s="2867"/>
      <c r="AA288" s="2867"/>
      <c r="AB288" s="2867"/>
      <c r="AC288" s="2867"/>
      <c r="AD288" s="2867"/>
      <c r="AE288" s="2867"/>
      <c r="AF288" s="2867"/>
      <c r="AG288" s="2867"/>
      <c r="AH288" s="2867"/>
      <c r="AI288" s="2867"/>
      <c r="AJ288" s="2867"/>
      <c r="AK288" s="2867"/>
      <c r="AL288" s="2867"/>
      <c r="AM288" s="2867"/>
      <c r="AN288" s="2867"/>
      <c r="AO288" s="2867"/>
      <c r="AP288" s="2867"/>
      <c r="AQ288" s="2867"/>
      <c r="AR288" s="2867"/>
      <c r="AS288" s="2867"/>
      <c r="AT288" s="2867"/>
      <c r="AU288" s="2867"/>
      <c r="AV288" s="2867"/>
      <c r="AW288" s="2867"/>
      <c r="AX288" s="2867"/>
      <c r="AY288" s="2867"/>
      <c r="AZ288" s="2867"/>
      <c r="BA288" s="2867"/>
      <c r="BB288" s="2867"/>
      <c r="BC288" s="2867"/>
      <c r="BD288" s="2867"/>
      <c r="BE288" s="2867"/>
      <c r="BF288" s="2867"/>
      <c r="BG288" s="2867"/>
      <c r="BH288" s="2867"/>
      <c r="BI288" s="2867"/>
      <c r="BJ288" s="2867"/>
      <c r="BK288" s="2867"/>
      <c r="BL288" s="2867"/>
      <c r="BM288" s="2867"/>
      <c r="BN288" s="2867"/>
      <c r="BO288" s="2867"/>
      <c r="BP288" s="2867"/>
      <c r="BQ288" s="2867"/>
      <c r="BR288" s="2867"/>
      <c r="BS288" s="2867"/>
      <c r="BT288" s="2867"/>
      <c r="BU288" s="2867"/>
      <c r="BV288" s="2867"/>
      <c r="BW288" s="2867"/>
      <c r="BX288" s="2867"/>
      <c r="BY288" s="2867"/>
      <c r="BZ288" s="2867"/>
      <c r="CA288" s="2867"/>
      <c r="CB288" s="2867"/>
      <c r="CC288" s="2867"/>
      <c r="CD288" s="2867"/>
      <c r="CE288" s="2867"/>
      <c r="CF288" s="2867"/>
      <c r="CG288" s="2867"/>
      <c r="CH288" s="2867"/>
      <c r="CI288" s="2867"/>
      <c r="CJ288" s="2867"/>
      <c r="CK288" s="2867"/>
      <c r="CL288" s="2867"/>
      <c r="CM288" s="2867"/>
      <c r="CN288" s="2867"/>
      <c r="CO288" s="2867"/>
      <c r="CP288" s="2867"/>
      <c r="CQ288" s="2867"/>
      <c r="CR288" s="2867"/>
      <c r="CS288" s="2867"/>
      <c r="CT288" s="2867"/>
      <c r="CU288" s="2867"/>
      <c r="CV288" s="2867"/>
      <c r="CW288" s="2867"/>
    </row>
    <row r="289" spans="1:101">
      <c r="A289" s="2867"/>
      <c r="B289" s="2949"/>
      <c r="C289" s="2867"/>
      <c r="D289" s="2867"/>
      <c r="E289" s="2867"/>
      <c r="F289" s="2867"/>
      <c r="G289" s="2867"/>
      <c r="H289" s="2867"/>
      <c r="I289" s="2867"/>
      <c r="J289" s="2867"/>
      <c r="K289" s="2867"/>
      <c r="L289" s="2867"/>
      <c r="M289" s="2867"/>
      <c r="O289" s="2867"/>
      <c r="P289" s="2867"/>
      <c r="Q289" s="2867"/>
      <c r="R289" s="2867"/>
      <c r="S289" s="2867"/>
      <c r="T289" s="2867"/>
      <c r="U289" s="2867"/>
      <c r="V289" s="2867"/>
      <c r="W289" s="2867"/>
      <c r="X289" s="2867"/>
      <c r="Y289" s="2867"/>
      <c r="Z289" s="2867"/>
      <c r="AA289" s="2867"/>
      <c r="AB289" s="2867"/>
      <c r="AC289" s="2867"/>
      <c r="AD289" s="2867"/>
      <c r="AE289" s="2867"/>
      <c r="AF289" s="2867"/>
      <c r="AG289" s="2867"/>
      <c r="AH289" s="2867"/>
      <c r="AI289" s="2867"/>
      <c r="AJ289" s="2867"/>
      <c r="AK289" s="2867"/>
      <c r="AL289" s="2867"/>
      <c r="AM289" s="2867"/>
      <c r="AN289" s="2867"/>
      <c r="AO289" s="2867"/>
      <c r="AP289" s="2867"/>
      <c r="AQ289" s="2867"/>
      <c r="AR289" s="2867"/>
      <c r="AS289" s="2867"/>
      <c r="AT289" s="2867"/>
      <c r="AU289" s="2867"/>
      <c r="AV289" s="2867"/>
      <c r="AW289" s="2867"/>
      <c r="AX289" s="2867"/>
      <c r="AY289" s="2867"/>
      <c r="AZ289" s="2867"/>
      <c r="BA289" s="2867"/>
      <c r="BB289" s="2867"/>
      <c r="BC289" s="2867"/>
      <c r="BD289" s="2867"/>
      <c r="BE289" s="2867"/>
      <c r="BF289" s="2867"/>
      <c r="BG289" s="2867"/>
      <c r="BH289" s="2867"/>
      <c r="BI289" s="2867"/>
      <c r="BJ289" s="2867"/>
      <c r="BK289" s="2867"/>
      <c r="BL289" s="2867"/>
      <c r="BM289" s="2867"/>
      <c r="BN289" s="2867"/>
      <c r="BO289" s="2867"/>
      <c r="BP289" s="2867"/>
      <c r="BQ289" s="2867"/>
      <c r="BR289" s="2867"/>
      <c r="BS289" s="2867"/>
      <c r="BT289" s="2867"/>
      <c r="BU289" s="2867"/>
      <c r="BV289" s="2867"/>
      <c r="BW289" s="2867"/>
      <c r="BX289" s="2867"/>
      <c r="BY289" s="2867"/>
      <c r="BZ289" s="2867"/>
      <c r="CA289" s="2867"/>
      <c r="CB289" s="2867"/>
      <c r="CC289" s="2867"/>
      <c r="CD289" s="2867"/>
      <c r="CE289" s="2867"/>
      <c r="CF289" s="2867"/>
      <c r="CG289" s="2867"/>
      <c r="CH289" s="2867"/>
      <c r="CI289" s="2867"/>
      <c r="CJ289" s="2867"/>
      <c r="CK289" s="2867"/>
      <c r="CL289" s="2867"/>
      <c r="CM289" s="2867"/>
      <c r="CN289" s="2867"/>
      <c r="CO289" s="2867"/>
      <c r="CP289" s="2867"/>
      <c r="CQ289" s="2867"/>
      <c r="CR289" s="2867"/>
      <c r="CS289" s="2867"/>
      <c r="CT289" s="2867"/>
      <c r="CU289" s="2867"/>
      <c r="CV289" s="2867"/>
      <c r="CW289" s="2867"/>
    </row>
    <row r="290" spans="1:101">
      <c r="A290" s="2867"/>
      <c r="B290" s="2949"/>
      <c r="C290" s="2867"/>
      <c r="D290" s="2867"/>
      <c r="E290" s="2867"/>
      <c r="F290" s="2867"/>
      <c r="G290" s="2867"/>
      <c r="H290" s="2867"/>
      <c r="I290" s="2867"/>
      <c r="J290" s="2867"/>
      <c r="K290" s="2867"/>
      <c r="L290" s="2867"/>
      <c r="M290" s="2867"/>
      <c r="O290" s="2867"/>
      <c r="P290" s="2867"/>
      <c r="Q290" s="2867"/>
      <c r="R290" s="2867"/>
      <c r="S290" s="2867"/>
      <c r="T290" s="2867"/>
      <c r="U290" s="2867"/>
      <c r="V290" s="2867"/>
      <c r="W290" s="2867"/>
      <c r="X290" s="2867"/>
      <c r="Y290" s="2867"/>
      <c r="Z290" s="2867"/>
      <c r="AA290" s="2867"/>
      <c r="AB290" s="2867"/>
      <c r="AC290" s="2867"/>
      <c r="AD290" s="2867"/>
      <c r="AE290" s="2867"/>
      <c r="AF290" s="2867"/>
      <c r="AG290" s="2867"/>
      <c r="AH290" s="2867"/>
      <c r="AI290" s="2867"/>
      <c r="AJ290" s="2867"/>
      <c r="AK290" s="2867"/>
      <c r="AL290" s="2867"/>
      <c r="AM290" s="2867"/>
      <c r="AN290" s="2867"/>
      <c r="AO290" s="2867"/>
      <c r="AP290" s="2867"/>
      <c r="AQ290" s="2867"/>
      <c r="AR290" s="2867"/>
      <c r="AS290" s="2867"/>
      <c r="AT290" s="2867"/>
      <c r="AU290" s="2867"/>
      <c r="AV290" s="2867"/>
      <c r="AW290" s="2867"/>
      <c r="AX290" s="2867"/>
      <c r="AY290" s="2867"/>
      <c r="AZ290" s="2867"/>
      <c r="BA290" s="2867"/>
      <c r="BB290" s="2867"/>
      <c r="BC290" s="2867"/>
      <c r="BD290" s="2867"/>
      <c r="BE290" s="2867"/>
      <c r="BF290" s="2867"/>
      <c r="BG290" s="2867"/>
      <c r="BH290" s="2867"/>
      <c r="BI290" s="2867"/>
      <c r="BJ290" s="2867"/>
      <c r="BK290" s="2867"/>
      <c r="BL290" s="2867"/>
      <c r="BM290" s="2867"/>
      <c r="BN290" s="2867"/>
      <c r="BO290" s="2867"/>
      <c r="BP290" s="2867"/>
      <c r="BQ290" s="2867"/>
      <c r="BR290" s="2867"/>
      <c r="BS290" s="2867"/>
      <c r="BT290" s="2867"/>
      <c r="BU290" s="2867"/>
      <c r="BV290" s="2867"/>
      <c r="BW290" s="2867"/>
      <c r="BX290" s="2867"/>
      <c r="BY290" s="2867"/>
      <c r="BZ290" s="2867"/>
      <c r="CA290" s="2867"/>
      <c r="CB290" s="2867"/>
      <c r="CC290" s="2867"/>
      <c r="CD290" s="2867"/>
      <c r="CE290" s="2867"/>
      <c r="CF290" s="2867"/>
      <c r="CG290" s="2867"/>
      <c r="CH290" s="2867"/>
      <c r="CI290" s="2867"/>
      <c r="CJ290" s="2867"/>
      <c r="CK290" s="2867"/>
      <c r="CL290" s="2867"/>
      <c r="CM290" s="2867"/>
      <c r="CN290" s="2867"/>
      <c r="CO290" s="2867"/>
      <c r="CP290" s="2867"/>
      <c r="CQ290" s="2867"/>
      <c r="CR290" s="2867"/>
      <c r="CS290" s="2867"/>
      <c r="CT290" s="2867"/>
      <c r="CU290" s="2867"/>
      <c r="CV290" s="2867"/>
      <c r="CW290" s="2867"/>
    </row>
    <row r="291" spans="1:101">
      <c r="A291" s="2867"/>
      <c r="B291" s="2949"/>
      <c r="C291" s="2867"/>
      <c r="D291" s="2867"/>
      <c r="E291" s="2867"/>
      <c r="F291" s="2867"/>
      <c r="G291" s="2867"/>
      <c r="H291" s="2867"/>
      <c r="I291" s="2867"/>
      <c r="J291" s="2867"/>
      <c r="K291" s="2867"/>
      <c r="L291" s="2867"/>
      <c r="M291" s="2867"/>
      <c r="O291" s="2867"/>
      <c r="P291" s="2867"/>
      <c r="Q291" s="2867"/>
      <c r="R291" s="2867"/>
      <c r="S291" s="2867"/>
      <c r="T291" s="2867"/>
      <c r="U291" s="2867"/>
      <c r="V291" s="2867"/>
      <c r="W291" s="2867"/>
      <c r="X291" s="2867"/>
      <c r="Y291" s="2867"/>
      <c r="Z291" s="2867"/>
      <c r="AA291" s="2867"/>
      <c r="AB291" s="2867"/>
      <c r="AC291" s="2867"/>
      <c r="AD291" s="2867"/>
      <c r="AE291" s="2867"/>
      <c r="AF291" s="2867"/>
      <c r="AG291" s="2867"/>
      <c r="AH291" s="2867"/>
      <c r="AI291" s="2867"/>
      <c r="AJ291" s="2867"/>
      <c r="AK291" s="2867"/>
      <c r="AL291" s="2867"/>
      <c r="AM291" s="2867"/>
      <c r="AN291" s="2867"/>
      <c r="AO291" s="2867"/>
      <c r="AP291" s="2867"/>
      <c r="AQ291" s="2867"/>
      <c r="AR291" s="2867"/>
      <c r="AS291" s="2867"/>
      <c r="AT291" s="2867"/>
      <c r="AU291" s="2867"/>
      <c r="AV291" s="2867"/>
      <c r="AW291" s="2867"/>
      <c r="AX291" s="2867"/>
      <c r="AY291" s="2867"/>
      <c r="AZ291" s="2867"/>
      <c r="BA291" s="2867"/>
      <c r="BB291" s="2867"/>
      <c r="BC291" s="2867"/>
      <c r="BD291" s="2867"/>
      <c r="BE291" s="2867"/>
      <c r="BF291" s="2867"/>
      <c r="BG291" s="2867"/>
      <c r="BH291" s="2867"/>
      <c r="BI291" s="2867"/>
      <c r="BJ291" s="2867"/>
      <c r="BK291" s="2867"/>
      <c r="BL291" s="2867"/>
      <c r="BM291" s="2867"/>
      <c r="BN291" s="2867"/>
      <c r="BO291" s="2867"/>
      <c r="BP291" s="2867"/>
      <c r="BQ291" s="2867"/>
      <c r="BR291" s="2867"/>
      <c r="BS291" s="2867"/>
      <c r="BT291" s="2867"/>
      <c r="BU291" s="2867"/>
      <c r="BV291" s="2867"/>
      <c r="BW291" s="2867"/>
      <c r="BX291" s="2867"/>
      <c r="BY291" s="2867"/>
      <c r="BZ291" s="2867"/>
      <c r="CA291" s="2867"/>
      <c r="CB291" s="2867"/>
      <c r="CC291" s="2867"/>
      <c r="CD291" s="2867"/>
      <c r="CE291" s="2867"/>
      <c r="CF291" s="2867"/>
      <c r="CG291" s="2867"/>
      <c r="CH291" s="2867"/>
      <c r="CI291" s="2867"/>
      <c r="CJ291" s="2867"/>
      <c r="CK291" s="2867"/>
      <c r="CL291" s="2867"/>
      <c r="CM291" s="2867"/>
      <c r="CN291" s="2867"/>
      <c r="CO291" s="2867"/>
      <c r="CP291" s="2867"/>
      <c r="CQ291" s="2867"/>
      <c r="CR291" s="2867"/>
      <c r="CS291" s="2867"/>
      <c r="CT291" s="2867"/>
      <c r="CU291" s="2867"/>
      <c r="CV291" s="2867"/>
      <c r="CW291" s="2867"/>
    </row>
    <row r="292" spans="1:101">
      <c r="A292" s="2867"/>
      <c r="B292" s="2949"/>
      <c r="C292" s="2867"/>
      <c r="D292" s="2867"/>
      <c r="E292" s="2867"/>
      <c r="F292" s="2867"/>
      <c r="G292" s="2867"/>
      <c r="H292" s="2867"/>
      <c r="I292" s="2867"/>
      <c r="J292" s="2867"/>
      <c r="K292" s="2867"/>
      <c r="L292" s="2867"/>
      <c r="M292" s="2867"/>
      <c r="O292" s="2867"/>
      <c r="P292" s="2867"/>
      <c r="Q292" s="2867"/>
      <c r="R292" s="2867"/>
      <c r="S292" s="2867"/>
      <c r="T292" s="2867"/>
      <c r="U292" s="2867"/>
      <c r="V292" s="2867"/>
      <c r="W292" s="2867"/>
      <c r="X292" s="2867"/>
      <c r="Y292" s="2867"/>
      <c r="Z292" s="2867"/>
      <c r="AA292" s="2867"/>
      <c r="AB292" s="2867"/>
      <c r="AC292" s="2867"/>
      <c r="AD292" s="2867"/>
      <c r="AE292" s="2867"/>
      <c r="AF292" s="2867"/>
      <c r="AG292" s="2867"/>
      <c r="AH292" s="2867"/>
      <c r="AI292" s="2867"/>
      <c r="AJ292" s="2867"/>
      <c r="AK292" s="2867"/>
      <c r="AL292" s="2867"/>
      <c r="AM292" s="2867"/>
      <c r="AN292" s="2867"/>
      <c r="AO292" s="2867"/>
      <c r="AP292" s="2867"/>
      <c r="AQ292" s="2867"/>
      <c r="AR292" s="2867"/>
      <c r="AS292" s="2867"/>
      <c r="AT292" s="2867"/>
      <c r="AU292" s="2867"/>
      <c r="AV292" s="2867"/>
      <c r="AW292" s="2867"/>
      <c r="AX292" s="2867"/>
      <c r="AY292" s="2867"/>
      <c r="AZ292" s="2867"/>
      <c r="BA292" s="2867"/>
      <c r="BB292" s="2867"/>
      <c r="BC292" s="2867"/>
      <c r="BD292" s="2867"/>
      <c r="BE292" s="2867"/>
      <c r="BF292" s="2867"/>
      <c r="BG292" s="2867"/>
      <c r="BH292" s="2867"/>
      <c r="BI292" s="2867"/>
      <c r="BJ292" s="2867"/>
      <c r="BK292" s="2867"/>
      <c r="BL292" s="2867"/>
      <c r="BM292" s="2867"/>
      <c r="BN292" s="2867"/>
      <c r="BO292" s="2867"/>
      <c r="BP292" s="2867"/>
      <c r="BQ292" s="2867"/>
      <c r="BR292" s="2867"/>
      <c r="BS292" s="2867"/>
      <c r="BT292" s="2867"/>
      <c r="BU292" s="2867"/>
      <c r="BV292" s="2867"/>
      <c r="BW292" s="2867"/>
      <c r="BX292" s="2867"/>
      <c r="BY292" s="2867"/>
      <c r="BZ292" s="2867"/>
      <c r="CA292" s="2867"/>
      <c r="CB292" s="2867"/>
      <c r="CC292" s="2867"/>
      <c r="CD292" s="2867"/>
      <c r="CE292" s="2867"/>
      <c r="CF292" s="2867"/>
      <c r="CG292" s="2867"/>
      <c r="CH292" s="2867"/>
      <c r="CI292" s="2867"/>
      <c r="CJ292" s="2867"/>
      <c r="CK292" s="2867"/>
      <c r="CL292" s="2867"/>
      <c r="CM292" s="2867"/>
      <c r="CN292" s="2867"/>
      <c r="CO292" s="2867"/>
      <c r="CP292" s="2867"/>
      <c r="CQ292" s="2867"/>
      <c r="CR292" s="2867"/>
      <c r="CS292" s="2867"/>
      <c r="CT292" s="2867"/>
      <c r="CU292" s="2867"/>
      <c r="CV292" s="2867"/>
      <c r="CW292" s="2867"/>
    </row>
    <row r="293" spans="1:101">
      <c r="A293" s="2867"/>
      <c r="B293" s="2949"/>
      <c r="C293" s="2867"/>
      <c r="D293" s="2867"/>
      <c r="E293" s="2867"/>
      <c r="F293" s="2867"/>
      <c r="G293" s="2867"/>
      <c r="H293" s="2867"/>
      <c r="I293" s="2867"/>
      <c r="J293" s="2867"/>
      <c r="K293" s="2867"/>
      <c r="L293" s="2867"/>
      <c r="M293" s="2867"/>
      <c r="O293" s="2867"/>
      <c r="P293" s="2867"/>
      <c r="Q293" s="2867"/>
      <c r="R293" s="2867"/>
      <c r="S293" s="2867"/>
      <c r="T293" s="2867"/>
      <c r="U293" s="2867"/>
      <c r="V293" s="2867"/>
      <c r="W293" s="2867"/>
      <c r="X293" s="2867"/>
      <c r="Y293" s="2867"/>
      <c r="Z293" s="2867"/>
      <c r="AA293" s="2867"/>
      <c r="AB293" s="2867"/>
      <c r="AC293" s="2867"/>
      <c r="AD293" s="2867"/>
      <c r="AE293" s="2867"/>
      <c r="AF293" s="2867"/>
      <c r="AG293" s="2867"/>
      <c r="AH293" s="2867"/>
      <c r="AI293" s="2867"/>
      <c r="AJ293" s="2867"/>
      <c r="AK293" s="2867"/>
      <c r="AL293" s="2867"/>
      <c r="AM293" s="2867"/>
      <c r="AN293" s="2867"/>
      <c r="AO293" s="2867"/>
      <c r="AP293" s="2867"/>
      <c r="AQ293" s="2867"/>
      <c r="AR293" s="2867"/>
      <c r="AS293" s="2867"/>
      <c r="AT293" s="2867"/>
      <c r="AU293" s="2867"/>
      <c r="AV293" s="2867"/>
      <c r="AW293" s="2867"/>
      <c r="AX293" s="2867"/>
      <c r="AY293" s="2867"/>
      <c r="AZ293" s="2867"/>
      <c r="BA293" s="2867"/>
      <c r="BB293" s="2867"/>
      <c r="BC293" s="2867"/>
      <c r="BD293" s="2867"/>
      <c r="BE293" s="2867"/>
      <c r="BF293" s="2867"/>
      <c r="BG293" s="2867"/>
      <c r="BH293" s="2867"/>
      <c r="BI293" s="2867"/>
      <c r="BJ293" s="2867"/>
      <c r="BK293" s="2867"/>
      <c r="BL293" s="2867"/>
      <c r="BM293" s="2867"/>
      <c r="BN293" s="2867"/>
      <c r="BO293" s="2867"/>
      <c r="BP293" s="2867"/>
      <c r="BQ293" s="2867"/>
      <c r="BR293" s="2867"/>
      <c r="BS293" s="2867"/>
      <c r="BT293" s="2867"/>
      <c r="BU293" s="2867"/>
      <c r="BV293" s="2867"/>
      <c r="BW293" s="2867"/>
      <c r="BX293" s="2867"/>
      <c r="BY293" s="2867"/>
      <c r="BZ293" s="2867"/>
      <c r="CA293" s="2867"/>
      <c r="CB293" s="2867"/>
      <c r="CC293" s="2867"/>
      <c r="CD293" s="2867"/>
      <c r="CE293" s="2867"/>
      <c r="CF293" s="2867"/>
      <c r="CG293" s="2867"/>
      <c r="CH293" s="2867"/>
      <c r="CI293" s="2867"/>
      <c r="CJ293" s="2867"/>
      <c r="CK293" s="2867"/>
      <c r="CL293" s="2867"/>
      <c r="CM293" s="2867"/>
      <c r="CN293" s="2867"/>
      <c r="CO293" s="2867"/>
      <c r="CP293" s="2867"/>
      <c r="CQ293" s="2867"/>
      <c r="CR293" s="2867"/>
      <c r="CS293" s="2867"/>
      <c r="CT293" s="2867"/>
      <c r="CU293" s="2867"/>
      <c r="CV293" s="2867"/>
      <c r="CW293" s="2867"/>
    </row>
    <row r="294" spans="1:101">
      <c r="A294" s="2867"/>
      <c r="B294" s="2949"/>
      <c r="C294" s="2867"/>
      <c r="D294" s="2867"/>
      <c r="E294" s="2867"/>
      <c r="F294" s="2867"/>
      <c r="G294" s="2867"/>
      <c r="H294" s="2867"/>
      <c r="I294" s="2867"/>
      <c r="J294" s="2867"/>
      <c r="K294" s="2867"/>
      <c r="L294" s="2867"/>
      <c r="M294" s="2867"/>
      <c r="O294" s="2867"/>
      <c r="P294" s="2867"/>
      <c r="Q294" s="2867"/>
      <c r="R294" s="2867"/>
      <c r="S294" s="2867"/>
      <c r="T294" s="2867"/>
      <c r="U294" s="2867"/>
      <c r="V294" s="2867"/>
      <c r="W294" s="2867"/>
      <c r="X294" s="2867"/>
      <c r="Y294" s="2867"/>
      <c r="Z294" s="2867"/>
      <c r="AA294" s="2867"/>
      <c r="AB294" s="2867"/>
      <c r="AC294" s="2867"/>
      <c r="AD294" s="2867"/>
      <c r="AE294" s="2867"/>
      <c r="AF294" s="2867"/>
      <c r="AG294" s="2867"/>
      <c r="AH294" s="2867"/>
      <c r="AI294" s="2867"/>
      <c r="AJ294" s="2867"/>
      <c r="AK294" s="2867"/>
      <c r="AL294" s="2867"/>
      <c r="AM294" s="2867"/>
      <c r="AN294" s="2867"/>
      <c r="AO294" s="2867"/>
      <c r="AP294" s="2867"/>
      <c r="AQ294" s="2867"/>
      <c r="AR294" s="2867"/>
      <c r="AS294" s="2867"/>
      <c r="AT294" s="2867"/>
      <c r="AU294" s="2867"/>
      <c r="AV294" s="2867"/>
      <c r="AW294" s="2867"/>
      <c r="AX294" s="2867"/>
      <c r="AY294" s="2867"/>
      <c r="AZ294" s="2867"/>
      <c r="BA294" s="2867"/>
      <c r="BB294" s="2867"/>
      <c r="BC294" s="2867"/>
      <c r="BD294" s="2867"/>
      <c r="BE294" s="2867"/>
      <c r="BF294" s="2867"/>
      <c r="BG294" s="2867"/>
      <c r="BH294" s="2867"/>
      <c r="BI294" s="2867"/>
      <c r="BJ294" s="2867"/>
      <c r="BK294" s="2867"/>
      <c r="BL294" s="2867"/>
      <c r="BM294" s="2867"/>
      <c r="BN294" s="2867"/>
      <c r="BO294" s="2867"/>
      <c r="BP294" s="2867"/>
      <c r="BQ294" s="2867"/>
      <c r="BR294" s="2867"/>
      <c r="BS294" s="2867"/>
      <c r="BT294" s="2867"/>
      <c r="BU294" s="2867"/>
      <c r="BV294" s="2867"/>
      <c r="BW294" s="2867"/>
      <c r="BX294" s="2867"/>
      <c r="BY294" s="2867"/>
      <c r="BZ294" s="2867"/>
      <c r="CA294" s="2867"/>
      <c r="CB294" s="2867"/>
      <c r="CC294" s="2867"/>
      <c r="CD294" s="2867"/>
      <c r="CE294" s="2867"/>
      <c r="CF294" s="2867"/>
      <c r="CG294" s="2867"/>
      <c r="CH294" s="2867"/>
      <c r="CI294" s="2867"/>
      <c r="CJ294" s="2867"/>
      <c r="CK294" s="2867"/>
      <c r="CL294" s="2867"/>
      <c r="CM294" s="2867"/>
      <c r="CN294" s="2867"/>
      <c r="CO294" s="2867"/>
      <c r="CP294" s="2867"/>
      <c r="CQ294" s="2867"/>
      <c r="CR294" s="2867"/>
      <c r="CS294" s="2867"/>
      <c r="CT294" s="2867"/>
      <c r="CU294" s="2867"/>
      <c r="CV294" s="2867"/>
      <c r="CW294" s="2867"/>
    </row>
    <row r="295" spans="1:101">
      <c r="A295" s="2867"/>
      <c r="B295" s="2949"/>
      <c r="C295" s="2867"/>
      <c r="D295" s="2867"/>
      <c r="E295" s="2867"/>
      <c r="F295" s="2867"/>
      <c r="G295" s="2867"/>
      <c r="H295" s="2867"/>
      <c r="I295" s="2867"/>
      <c r="J295" s="2867"/>
      <c r="K295" s="2867"/>
      <c r="L295" s="2867"/>
      <c r="M295" s="2867"/>
      <c r="O295" s="2867"/>
      <c r="P295" s="2867"/>
      <c r="Q295" s="2867"/>
      <c r="R295" s="2867"/>
      <c r="S295" s="2867"/>
      <c r="T295" s="2867"/>
      <c r="U295" s="2867"/>
      <c r="V295" s="2867"/>
      <c r="W295" s="2867"/>
      <c r="X295" s="2867"/>
      <c r="Y295" s="2867"/>
      <c r="Z295" s="2867"/>
      <c r="AA295" s="2867"/>
      <c r="AB295" s="2867"/>
      <c r="AC295" s="2867"/>
      <c r="AD295" s="2867"/>
      <c r="AE295" s="2867"/>
      <c r="AF295" s="2867"/>
      <c r="AG295" s="2867"/>
      <c r="AH295" s="2867"/>
      <c r="AI295" s="2867"/>
      <c r="AJ295" s="2867"/>
      <c r="AK295" s="2867"/>
      <c r="AL295" s="2867"/>
      <c r="AM295" s="2867"/>
      <c r="AN295" s="2867"/>
      <c r="AO295" s="2867"/>
      <c r="AP295" s="2867"/>
      <c r="AQ295" s="2867"/>
      <c r="AR295" s="2867"/>
      <c r="AS295" s="2867"/>
      <c r="AT295" s="2867"/>
      <c r="AU295" s="2867"/>
      <c r="AV295" s="2867"/>
      <c r="AW295" s="2867"/>
      <c r="AX295" s="2867"/>
      <c r="AY295" s="2867"/>
      <c r="AZ295" s="2867"/>
      <c r="BA295" s="2867"/>
      <c r="BB295" s="2867"/>
      <c r="BC295" s="2867"/>
      <c r="BD295" s="2867"/>
      <c r="BE295" s="2867"/>
      <c r="BF295" s="2867"/>
      <c r="BG295" s="2867"/>
      <c r="BH295" s="2867"/>
      <c r="BI295" s="2867"/>
      <c r="BJ295" s="2867"/>
      <c r="BK295" s="2867"/>
      <c r="BL295" s="2867"/>
      <c r="BM295" s="2867"/>
      <c r="BN295" s="2867"/>
      <c r="BO295" s="2867"/>
      <c r="BP295" s="2867"/>
      <c r="BQ295" s="2867"/>
      <c r="BR295" s="2867"/>
      <c r="BS295" s="2867"/>
      <c r="BT295" s="2867"/>
      <c r="BU295" s="2867"/>
      <c r="BV295" s="2867"/>
      <c r="BW295" s="2867"/>
      <c r="BX295" s="2867"/>
      <c r="BY295" s="2867"/>
      <c r="BZ295" s="2867"/>
      <c r="CA295" s="2867"/>
      <c r="CB295" s="2867"/>
      <c r="CC295" s="2867"/>
      <c r="CD295" s="2867"/>
      <c r="CE295" s="2867"/>
      <c r="CF295" s="2867"/>
      <c r="CG295" s="2867"/>
      <c r="CH295" s="2867"/>
      <c r="CI295" s="2867"/>
      <c r="CJ295" s="2867"/>
      <c r="CK295" s="2867"/>
      <c r="CL295" s="2867"/>
      <c r="CM295" s="2867"/>
      <c r="CN295" s="2867"/>
      <c r="CO295" s="2867"/>
      <c r="CP295" s="2867"/>
      <c r="CQ295" s="2867"/>
      <c r="CR295" s="2867"/>
      <c r="CS295" s="2867"/>
      <c r="CT295" s="2867"/>
      <c r="CU295" s="2867"/>
      <c r="CV295" s="2867"/>
      <c r="CW295" s="2867"/>
    </row>
    <row r="296" spans="1:101">
      <c r="A296" s="2867"/>
      <c r="B296" s="2949"/>
      <c r="C296" s="2867"/>
      <c r="D296" s="2867"/>
      <c r="E296" s="2867"/>
      <c r="F296" s="2867"/>
      <c r="G296" s="2867"/>
      <c r="H296" s="2867"/>
      <c r="I296" s="2867"/>
      <c r="J296" s="2867"/>
      <c r="K296" s="2867"/>
      <c r="L296" s="2867"/>
      <c r="M296" s="2867"/>
      <c r="O296" s="2867"/>
      <c r="P296" s="2867"/>
      <c r="Q296" s="2867"/>
      <c r="R296" s="2867"/>
      <c r="S296" s="2867"/>
      <c r="T296" s="2867"/>
      <c r="U296" s="2867"/>
      <c r="V296" s="2867"/>
      <c r="W296" s="2867"/>
      <c r="X296" s="2867"/>
      <c r="Y296" s="2867"/>
      <c r="Z296" s="2867"/>
      <c r="AA296" s="2867"/>
      <c r="AB296" s="2867"/>
      <c r="AC296" s="2867"/>
      <c r="AD296" s="2867"/>
      <c r="AE296" s="2867"/>
      <c r="AF296" s="2867"/>
      <c r="AG296" s="2867"/>
      <c r="AH296" s="2867"/>
      <c r="AI296" s="2867"/>
      <c r="AJ296" s="2867"/>
      <c r="AK296" s="2867"/>
      <c r="AL296" s="2867"/>
      <c r="AM296" s="2867"/>
      <c r="AN296" s="2867"/>
      <c r="AO296" s="2867"/>
      <c r="AP296" s="2867"/>
      <c r="AQ296" s="2867"/>
      <c r="AR296" s="2867"/>
      <c r="AS296" s="2867"/>
      <c r="AT296" s="2867"/>
      <c r="AU296" s="2867"/>
      <c r="AV296" s="2867"/>
      <c r="AW296" s="2867"/>
      <c r="AX296" s="2867"/>
      <c r="AY296" s="2867"/>
      <c r="AZ296" s="2867"/>
      <c r="BA296" s="2867"/>
      <c r="BB296" s="2867"/>
      <c r="BC296" s="2867"/>
      <c r="BD296" s="2867"/>
      <c r="BE296" s="2867"/>
      <c r="BF296" s="2867"/>
      <c r="BG296" s="2867"/>
      <c r="BH296" s="2867"/>
      <c r="BI296" s="2867"/>
      <c r="BJ296" s="2867"/>
      <c r="BK296" s="2867"/>
      <c r="BL296" s="2867"/>
      <c r="BM296" s="2867"/>
      <c r="BN296" s="2867"/>
      <c r="BO296" s="2867"/>
      <c r="BP296" s="2867"/>
      <c r="BQ296" s="2867"/>
      <c r="BR296" s="2867"/>
      <c r="BS296" s="2867"/>
      <c r="BT296" s="2867"/>
      <c r="BU296" s="2867"/>
      <c r="BV296" s="2867"/>
      <c r="BW296" s="2867"/>
      <c r="BX296" s="2867"/>
      <c r="BY296" s="2867"/>
      <c r="BZ296" s="2867"/>
      <c r="CA296" s="2867"/>
      <c r="CB296" s="2867"/>
      <c r="CC296" s="2867"/>
      <c r="CD296" s="2867"/>
      <c r="CE296" s="2867"/>
      <c r="CF296" s="2867"/>
      <c r="CG296" s="2867"/>
      <c r="CH296" s="2867"/>
      <c r="CI296" s="2867"/>
      <c r="CJ296" s="2867"/>
      <c r="CK296" s="2867"/>
      <c r="CL296" s="2867"/>
      <c r="CM296" s="2867"/>
      <c r="CN296" s="2867"/>
      <c r="CO296" s="2867"/>
      <c r="CP296" s="2867"/>
      <c r="CQ296" s="2867"/>
      <c r="CR296" s="2867"/>
      <c r="CS296" s="2867"/>
      <c r="CT296" s="2867"/>
      <c r="CU296" s="2867"/>
      <c r="CV296" s="2867"/>
      <c r="CW296" s="2867"/>
    </row>
    <row r="297" spans="1:101">
      <c r="A297" s="2867"/>
      <c r="B297" s="2867"/>
      <c r="C297" s="2867"/>
      <c r="D297" s="2867"/>
      <c r="E297" s="2867"/>
      <c r="F297" s="2867"/>
      <c r="G297" s="2867"/>
      <c r="H297" s="2867"/>
      <c r="I297" s="2867"/>
      <c r="J297" s="2867"/>
      <c r="K297" s="2867"/>
      <c r="L297" s="2867"/>
      <c r="M297" s="2867"/>
      <c r="O297" s="2867"/>
      <c r="P297" s="2867"/>
      <c r="Q297" s="2867"/>
      <c r="R297" s="2867"/>
      <c r="S297" s="2867"/>
      <c r="T297" s="2867"/>
      <c r="U297" s="2867"/>
      <c r="V297" s="2867"/>
      <c r="W297" s="2867"/>
      <c r="X297" s="2867"/>
      <c r="Y297" s="2867"/>
      <c r="Z297" s="2867"/>
      <c r="AA297" s="2867"/>
      <c r="AB297" s="2867"/>
      <c r="AC297" s="2867"/>
      <c r="AD297" s="2867"/>
      <c r="AE297" s="2867"/>
      <c r="AF297" s="2867"/>
      <c r="AG297" s="2867"/>
      <c r="AH297" s="2867"/>
      <c r="AI297" s="2867"/>
      <c r="AJ297" s="2867"/>
      <c r="AK297" s="2867"/>
      <c r="AL297" s="2867"/>
      <c r="AM297" s="2867"/>
      <c r="AN297" s="2867"/>
      <c r="AO297" s="2867"/>
      <c r="AP297" s="2867"/>
      <c r="AQ297" s="2867"/>
      <c r="AR297" s="2867"/>
      <c r="AS297" s="2867"/>
      <c r="AT297" s="2867"/>
      <c r="AU297" s="2867"/>
      <c r="AV297" s="2867"/>
      <c r="AW297" s="2867"/>
      <c r="AX297" s="2867"/>
      <c r="AY297" s="2867"/>
      <c r="AZ297" s="2867"/>
      <c r="BA297" s="2867"/>
      <c r="BB297" s="2867"/>
      <c r="BC297" s="2867"/>
      <c r="BD297" s="2867"/>
      <c r="BE297" s="2867"/>
      <c r="BF297" s="2867"/>
      <c r="BG297" s="2867"/>
      <c r="BH297" s="2867"/>
      <c r="BI297" s="2867"/>
      <c r="BJ297" s="2867"/>
      <c r="BK297" s="2867"/>
      <c r="BL297" s="2867"/>
      <c r="BM297" s="2867"/>
      <c r="BN297" s="2867"/>
      <c r="BO297" s="2867"/>
      <c r="BP297" s="2867"/>
      <c r="BQ297" s="2867"/>
      <c r="BR297" s="2867"/>
      <c r="BS297" s="2867"/>
      <c r="BT297" s="2867"/>
      <c r="BU297" s="2867"/>
      <c r="BV297" s="2867"/>
      <c r="BW297" s="2867"/>
      <c r="BX297" s="2867"/>
      <c r="BY297" s="2867"/>
      <c r="BZ297" s="2867"/>
      <c r="CA297" s="2867"/>
      <c r="CB297" s="2867"/>
      <c r="CC297" s="2867"/>
      <c r="CD297" s="2867"/>
      <c r="CE297" s="2867"/>
      <c r="CF297" s="2867"/>
      <c r="CG297" s="2867"/>
      <c r="CH297" s="2867"/>
      <c r="CI297" s="2867"/>
      <c r="CJ297" s="2867"/>
      <c r="CK297" s="2867"/>
      <c r="CL297" s="2867"/>
      <c r="CM297" s="2867"/>
      <c r="CN297" s="2867"/>
      <c r="CO297" s="2867"/>
      <c r="CP297" s="2867"/>
      <c r="CQ297" s="2867"/>
      <c r="CR297" s="2867"/>
      <c r="CS297" s="2867"/>
      <c r="CT297" s="2867"/>
      <c r="CU297" s="2867"/>
      <c r="CV297" s="2867"/>
      <c r="CW297" s="2867"/>
    </row>
    <row r="298" spans="1:101">
      <c r="A298" s="2867"/>
      <c r="B298" s="2867"/>
      <c r="C298" s="2867"/>
      <c r="D298" s="2867"/>
      <c r="E298" s="2867"/>
      <c r="F298" s="2867"/>
      <c r="G298" s="2867"/>
      <c r="H298" s="2867"/>
      <c r="I298" s="2867"/>
      <c r="J298" s="2867"/>
      <c r="K298" s="2867"/>
      <c r="L298" s="2867"/>
      <c r="M298" s="2867"/>
      <c r="O298" s="2867"/>
      <c r="P298" s="2867"/>
      <c r="Q298" s="2867"/>
      <c r="R298" s="2867"/>
      <c r="S298" s="2867"/>
      <c r="T298" s="2867"/>
      <c r="U298" s="2867"/>
      <c r="V298" s="2867"/>
      <c r="W298" s="2867"/>
      <c r="X298" s="2867"/>
      <c r="Y298" s="2867"/>
      <c r="Z298" s="2867"/>
      <c r="AA298" s="2867"/>
      <c r="AB298" s="2867"/>
      <c r="AC298" s="2867"/>
      <c r="AD298" s="2867"/>
      <c r="AE298" s="2867"/>
      <c r="AF298" s="2867"/>
      <c r="AG298" s="2867"/>
      <c r="AH298" s="2867"/>
      <c r="AI298" s="2867"/>
      <c r="AJ298" s="2867"/>
      <c r="AK298" s="2867"/>
      <c r="AL298" s="2867"/>
      <c r="AM298" s="2867"/>
      <c r="AN298" s="2867"/>
      <c r="AO298" s="2867"/>
      <c r="AP298" s="2867"/>
      <c r="AQ298" s="2867"/>
      <c r="AR298" s="2867"/>
      <c r="AS298" s="2867"/>
      <c r="AT298" s="2867"/>
      <c r="AU298" s="2867"/>
      <c r="AV298" s="2867"/>
      <c r="AW298" s="2867"/>
      <c r="AX298" s="2867"/>
      <c r="AY298" s="2867"/>
      <c r="AZ298" s="2867"/>
      <c r="BA298" s="2867"/>
      <c r="BB298" s="2867"/>
      <c r="BC298" s="2867"/>
      <c r="BD298" s="2867"/>
      <c r="BE298" s="2867"/>
      <c r="BF298" s="2867"/>
      <c r="BG298" s="2867"/>
      <c r="BH298" s="2867"/>
      <c r="BI298" s="2867"/>
      <c r="BJ298" s="2867"/>
      <c r="BK298" s="2867"/>
      <c r="BL298" s="2867"/>
      <c r="BM298" s="2867"/>
      <c r="BN298" s="2867"/>
      <c r="BO298" s="2867"/>
      <c r="BP298" s="2867"/>
      <c r="BQ298" s="2867"/>
      <c r="BR298" s="2867"/>
      <c r="BS298" s="2867"/>
      <c r="BT298" s="2867"/>
      <c r="BU298" s="2867"/>
      <c r="BV298" s="2867"/>
      <c r="BW298" s="2867"/>
      <c r="BX298" s="2867"/>
      <c r="BY298" s="2867"/>
      <c r="BZ298" s="2867"/>
      <c r="CA298" s="2867"/>
      <c r="CB298" s="2867"/>
      <c r="CC298" s="2867"/>
      <c r="CD298" s="2867"/>
      <c r="CE298" s="2867"/>
      <c r="CF298" s="2867"/>
      <c r="CG298" s="2867"/>
      <c r="CH298" s="2867"/>
      <c r="CI298" s="2867"/>
      <c r="CJ298" s="2867"/>
      <c r="CK298" s="2867"/>
      <c r="CL298" s="2867"/>
      <c r="CM298" s="2867"/>
      <c r="CN298" s="2867"/>
      <c r="CO298" s="2867"/>
      <c r="CP298" s="2867"/>
      <c r="CQ298" s="2867"/>
      <c r="CR298" s="2867"/>
      <c r="CS298" s="2867"/>
      <c r="CT298" s="2867"/>
      <c r="CU298" s="2867"/>
      <c r="CV298" s="2867"/>
      <c r="CW298" s="2867"/>
    </row>
    <row r="299" spans="1:101">
      <c r="A299" s="2867"/>
      <c r="B299" s="2867"/>
      <c r="C299" s="2867"/>
      <c r="D299" s="2867"/>
      <c r="E299" s="2867"/>
      <c r="F299" s="2867"/>
      <c r="G299" s="2867"/>
      <c r="H299" s="2867"/>
      <c r="I299" s="2867"/>
      <c r="J299" s="2867"/>
      <c r="K299" s="2867"/>
      <c r="L299" s="2867"/>
      <c r="M299" s="2867"/>
      <c r="O299" s="2867"/>
      <c r="P299" s="2867"/>
      <c r="Q299" s="2867"/>
      <c r="R299" s="2867"/>
      <c r="S299" s="2867"/>
      <c r="T299" s="2867"/>
      <c r="U299" s="2867"/>
      <c r="V299" s="2867"/>
      <c r="W299" s="2867"/>
      <c r="X299" s="2867"/>
      <c r="Y299" s="2867"/>
      <c r="Z299" s="2867"/>
      <c r="AA299" s="2867"/>
      <c r="AB299" s="2867"/>
      <c r="AC299" s="2867"/>
      <c r="AD299" s="2867"/>
      <c r="AE299" s="2867"/>
      <c r="AF299" s="2867"/>
      <c r="AG299" s="2867"/>
      <c r="AH299" s="2867"/>
      <c r="AI299" s="2867"/>
      <c r="AJ299" s="2867"/>
      <c r="AK299" s="2867"/>
      <c r="AL299" s="2867"/>
      <c r="AM299" s="2867"/>
      <c r="AN299" s="2867"/>
      <c r="AO299" s="2867"/>
      <c r="AP299" s="2867"/>
      <c r="AQ299" s="2867"/>
      <c r="AR299" s="2867"/>
      <c r="AS299" s="2867"/>
      <c r="AT299" s="2867"/>
      <c r="AU299" s="2867"/>
      <c r="AV299" s="2867"/>
      <c r="AW299" s="2867"/>
      <c r="AX299" s="2867"/>
      <c r="AY299" s="2867"/>
      <c r="AZ299" s="2867"/>
      <c r="BA299" s="2867"/>
      <c r="BB299" s="2867"/>
      <c r="BC299" s="2867"/>
      <c r="BD299" s="2867"/>
      <c r="BE299" s="2867"/>
      <c r="BF299" s="2867"/>
      <c r="BG299" s="2867"/>
      <c r="BH299" s="2867"/>
      <c r="BI299" s="2867"/>
      <c r="BJ299" s="2867"/>
      <c r="BK299" s="2867"/>
      <c r="BL299" s="2867"/>
      <c r="BM299" s="2867"/>
      <c r="BN299" s="2867"/>
      <c r="BO299" s="2867"/>
      <c r="BP299" s="2867"/>
      <c r="BQ299" s="2867"/>
      <c r="BR299" s="2867"/>
      <c r="BS299" s="2867"/>
      <c r="BT299" s="2867"/>
      <c r="BU299" s="2867"/>
      <c r="BV299" s="2867"/>
      <c r="BW299" s="2867"/>
      <c r="BX299" s="2867"/>
      <c r="BY299" s="2867"/>
      <c r="BZ299" s="2867"/>
      <c r="CA299" s="2867"/>
      <c r="CB299" s="2867"/>
      <c r="CC299" s="2867"/>
      <c r="CD299" s="2867"/>
      <c r="CE299" s="2867"/>
      <c r="CF299" s="2867"/>
      <c r="CG299" s="2867"/>
      <c r="CH299" s="2867"/>
      <c r="CI299" s="2867"/>
      <c r="CJ299" s="2867"/>
      <c r="CK299" s="2867"/>
      <c r="CL299" s="2867"/>
      <c r="CM299" s="2867"/>
      <c r="CN299" s="2867"/>
      <c r="CO299" s="2867"/>
      <c r="CP299" s="2867"/>
      <c r="CQ299" s="2867"/>
      <c r="CR299" s="2867"/>
      <c r="CS299" s="2867"/>
      <c r="CT299" s="2867"/>
      <c r="CU299" s="2867"/>
      <c r="CV299" s="2867"/>
      <c r="CW299" s="2867"/>
    </row>
    <row r="300" spans="1:101">
      <c r="A300" s="2867"/>
      <c r="B300" s="2867"/>
      <c r="C300" s="2867"/>
      <c r="D300" s="2867"/>
      <c r="E300" s="2867"/>
      <c r="F300" s="2867"/>
      <c r="G300" s="2867"/>
      <c r="H300" s="2867"/>
      <c r="I300" s="2867"/>
      <c r="J300" s="2867"/>
      <c r="K300" s="2867"/>
      <c r="L300" s="2867"/>
      <c r="M300" s="2867"/>
      <c r="O300" s="2867"/>
      <c r="P300" s="2867"/>
      <c r="Q300" s="2867"/>
      <c r="R300" s="2867"/>
      <c r="S300" s="2867"/>
      <c r="T300" s="2867"/>
      <c r="U300" s="2867"/>
      <c r="V300" s="2867"/>
      <c r="W300" s="2867"/>
      <c r="X300" s="2867"/>
      <c r="Y300" s="2867"/>
      <c r="Z300" s="2867"/>
      <c r="AA300" s="2867"/>
      <c r="AB300" s="2867"/>
      <c r="AC300" s="2867"/>
      <c r="AD300" s="2867"/>
      <c r="AE300" s="2867"/>
      <c r="AF300" s="2867"/>
      <c r="AG300" s="2867"/>
      <c r="AH300" s="2867"/>
      <c r="AI300" s="2867"/>
      <c r="AJ300" s="2867"/>
      <c r="AK300" s="2867"/>
      <c r="AL300" s="2867"/>
      <c r="AM300" s="2867"/>
      <c r="AN300" s="2867"/>
      <c r="AO300" s="2867"/>
      <c r="AP300" s="2867"/>
      <c r="AQ300" s="2867"/>
      <c r="AR300" s="2867"/>
      <c r="AS300" s="2867"/>
      <c r="AT300" s="2867"/>
      <c r="AU300" s="2867"/>
      <c r="AV300" s="2867"/>
      <c r="AW300" s="2867"/>
      <c r="AX300" s="2867"/>
      <c r="AY300" s="2867"/>
      <c r="AZ300" s="2867"/>
      <c r="BA300" s="2867"/>
      <c r="BB300" s="2867"/>
      <c r="BC300" s="2867"/>
      <c r="BD300" s="2867"/>
      <c r="BE300" s="2867"/>
      <c r="BF300" s="2867"/>
      <c r="BG300" s="2867"/>
      <c r="BH300" s="2867"/>
      <c r="BI300" s="2867"/>
      <c r="BJ300" s="2867"/>
      <c r="BK300" s="2867"/>
      <c r="BL300" s="2867"/>
      <c r="BM300" s="2867"/>
      <c r="BN300" s="2867"/>
      <c r="BO300" s="2867"/>
      <c r="BP300" s="2867"/>
      <c r="BQ300" s="2867"/>
      <c r="BR300" s="2867"/>
      <c r="BS300" s="2867"/>
      <c r="BT300" s="2867"/>
      <c r="BU300" s="2867"/>
      <c r="BV300" s="2867"/>
      <c r="BW300" s="2867"/>
      <c r="BX300" s="2867"/>
      <c r="BY300" s="2867"/>
      <c r="BZ300" s="2867"/>
      <c r="CA300" s="2867"/>
      <c r="CB300" s="2867"/>
      <c r="CC300" s="2867"/>
      <c r="CD300" s="2867"/>
      <c r="CE300" s="2867"/>
      <c r="CF300" s="2867"/>
      <c r="CG300" s="2867"/>
      <c r="CH300" s="2867"/>
      <c r="CI300" s="2867"/>
      <c r="CJ300" s="2867"/>
      <c r="CK300" s="2867"/>
      <c r="CL300" s="2867"/>
      <c r="CM300" s="2867"/>
      <c r="CN300" s="2867"/>
      <c r="CO300" s="2867"/>
      <c r="CP300" s="2867"/>
      <c r="CQ300" s="2867"/>
      <c r="CR300" s="2867"/>
      <c r="CS300" s="2867"/>
      <c r="CT300" s="2867"/>
      <c r="CU300" s="2867"/>
      <c r="CV300" s="2867"/>
      <c r="CW300" s="2867"/>
    </row>
    <row r="301" spans="1:101">
      <c r="A301" s="2867"/>
      <c r="B301" s="2867"/>
      <c r="C301" s="2867"/>
      <c r="D301" s="2867"/>
      <c r="E301" s="2867"/>
      <c r="F301" s="2867"/>
      <c r="G301" s="2867"/>
      <c r="H301" s="2867"/>
      <c r="I301" s="2867"/>
      <c r="J301" s="2867"/>
      <c r="K301" s="2867"/>
      <c r="L301" s="2867"/>
      <c r="M301" s="2867"/>
      <c r="O301" s="2867"/>
      <c r="P301" s="2867"/>
      <c r="Q301" s="2867"/>
      <c r="R301" s="2867"/>
      <c r="S301" s="2867"/>
      <c r="T301" s="2867"/>
      <c r="U301" s="2867"/>
      <c r="V301" s="2867"/>
      <c r="W301" s="2867"/>
      <c r="X301" s="2867"/>
      <c r="Y301" s="2867"/>
      <c r="Z301" s="2867"/>
      <c r="AA301" s="2867"/>
      <c r="AB301" s="2867"/>
      <c r="AC301" s="2867"/>
      <c r="AD301" s="2867"/>
      <c r="AE301" s="2867"/>
      <c r="AF301" s="2867"/>
      <c r="AG301" s="2867"/>
      <c r="AH301" s="2867"/>
      <c r="AI301" s="2867"/>
      <c r="AJ301" s="2867"/>
      <c r="AK301" s="2867"/>
      <c r="AL301" s="2867"/>
      <c r="AM301" s="2867"/>
      <c r="AN301" s="2867"/>
      <c r="AO301" s="2867"/>
      <c r="AP301" s="2867"/>
      <c r="AQ301" s="2867"/>
      <c r="AR301" s="2867"/>
      <c r="AS301" s="2867"/>
      <c r="AT301" s="2867"/>
      <c r="AU301" s="2867"/>
      <c r="AV301" s="2867"/>
      <c r="AW301" s="2867"/>
      <c r="AX301" s="2867"/>
      <c r="AY301" s="2867"/>
      <c r="AZ301" s="2867"/>
      <c r="BA301" s="2867"/>
      <c r="BB301" s="2867"/>
      <c r="BC301" s="2867"/>
      <c r="BD301" s="2867"/>
      <c r="BE301" s="2867"/>
      <c r="BF301" s="2867"/>
      <c r="BG301" s="2867"/>
      <c r="BH301" s="2867"/>
      <c r="BI301" s="2867"/>
      <c r="BJ301" s="2867"/>
      <c r="BK301" s="2867"/>
      <c r="BL301" s="2867"/>
      <c r="BM301" s="2867"/>
      <c r="BN301" s="2867"/>
      <c r="BO301" s="2867"/>
      <c r="BP301" s="2867"/>
      <c r="BQ301" s="2867"/>
      <c r="BR301" s="2867"/>
      <c r="BS301" s="2867"/>
      <c r="BT301" s="2867"/>
      <c r="BU301" s="2867"/>
      <c r="BV301" s="2867"/>
      <c r="BW301" s="2867"/>
      <c r="BX301" s="2867"/>
      <c r="BY301" s="2867"/>
      <c r="BZ301" s="2867"/>
      <c r="CA301" s="2867"/>
      <c r="CB301" s="2867"/>
      <c r="CC301" s="2867"/>
      <c r="CD301" s="2867"/>
      <c r="CE301" s="2867"/>
      <c r="CF301" s="2867"/>
      <c r="CG301" s="2867"/>
      <c r="CH301" s="2867"/>
      <c r="CI301" s="2867"/>
      <c r="CJ301" s="2867"/>
      <c r="CK301" s="2867"/>
      <c r="CL301" s="2867"/>
      <c r="CM301" s="2867"/>
      <c r="CN301" s="2867"/>
      <c r="CO301" s="2867"/>
      <c r="CP301" s="2867"/>
      <c r="CQ301" s="2867"/>
      <c r="CR301" s="2867"/>
      <c r="CS301" s="2867"/>
      <c r="CT301" s="2867"/>
      <c r="CU301" s="2867"/>
      <c r="CV301" s="2867"/>
      <c r="CW301" s="2867"/>
    </row>
    <row r="302" spans="1:101">
      <c r="A302" s="2867"/>
      <c r="B302" s="2867"/>
      <c r="C302" s="2867"/>
      <c r="D302" s="2867"/>
      <c r="E302" s="2867"/>
      <c r="F302" s="2867"/>
      <c r="G302" s="2867"/>
      <c r="H302" s="2867"/>
      <c r="I302" s="2867"/>
      <c r="J302" s="2867"/>
      <c r="K302" s="2867"/>
      <c r="L302" s="2867"/>
      <c r="M302" s="2867"/>
      <c r="O302" s="2867"/>
      <c r="P302" s="2867"/>
      <c r="Q302" s="2867"/>
      <c r="R302" s="2867"/>
      <c r="S302" s="2867"/>
      <c r="T302" s="2867"/>
      <c r="U302" s="2867"/>
      <c r="V302" s="2867"/>
      <c r="W302" s="2867"/>
      <c r="X302" s="2867"/>
      <c r="Y302" s="2867"/>
      <c r="Z302" s="2867"/>
      <c r="AA302" s="2867"/>
      <c r="AB302" s="2867"/>
      <c r="AC302" s="2867"/>
      <c r="AD302" s="2867"/>
      <c r="AE302" s="2867"/>
      <c r="AF302" s="2867"/>
      <c r="AG302" s="2867"/>
      <c r="AH302" s="2867"/>
      <c r="AI302" s="2867"/>
      <c r="AJ302" s="2867"/>
      <c r="AK302" s="2867"/>
      <c r="AL302" s="2867"/>
      <c r="AM302" s="2867"/>
      <c r="AN302" s="2867"/>
      <c r="AO302" s="2867"/>
      <c r="AP302" s="2867"/>
      <c r="AQ302" s="2867"/>
      <c r="AR302" s="2867"/>
      <c r="AS302" s="2867"/>
      <c r="AT302" s="2867"/>
      <c r="AU302" s="2867"/>
      <c r="AV302" s="2867"/>
      <c r="AW302" s="2867"/>
      <c r="AX302" s="2867"/>
      <c r="AY302" s="2867"/>
      <c r="AZ302" s="2867"/>
      <c r="BA302" s="2867"/>
      <c r="BB302" s="2867"/>
      <c r="BC302" s="2867"/>
      <c r="BD302" s="2867"/>
      <c r="BE302" s="2867"/>
      <c r="BF302" s="2867"/>
      <c r="BG302" s="2867"/>
      <c r="BH302" s="2867"/>
      <c r="BI302" s="2867"/>
      <c r="BJ302" s="2867"/>
      <c r="BK302" s="2867"/>
      <c r="BL302" s="2867"/>
      <c r="BM302" s="2867"/>
      <c r="BN302" s="2867"/>
      <c r="BO302" s="2867"/>
      <c r="BP302" s="2867"/>
      <c r="BQ302" s="2867"/>
      <c r="BR302" s="2867"/>
      <c r="BS302" s="2867"/>
      <c r="BT302" s="2867"/>
      <c r="BU302" s="2867"/>
      <c r="BV302" s="2867"/>
      <c r="BW302" s="2867"/>
      <c r="BX302" s="2867"/>
      <c r="BY302" s="2867"/>
      <c r="BZ302" s="2867"/>
      <c r="CA302" s="2867"/>
      <c r="CB302" s="2867"/>
      <c r="CC302" s="2867"/>
      <c r="CD302" s="2867"/>
      <c r="CE302" s="2867"/>
      <c r="CF302" s="2867"/>
      <c r="CG302" s="2867"/>
      <c r="CH302" s="2867"/>
      <c r="CI302" s="2867"/>
      <c r="CJ302" s="2867"/>
      <c r="CK302" s="2867"/>
      <c r="CL302" s="2867"/>
      <c r="CM302" s="2867"/>
      <c r="CN302" s="2867"/>
      <c r="CO302" s="2867"/>
      <c r="CP302" s="2867"/>
      <c r="CQ302" s="2867"/>
      <c r="CR302" s="2867"/>
      <c r="CS302" s="2867"/>
      <c r="CT302" s="2867"/>
      <c r="CU302" s="2867"/>
      <c r="CV302" s="2867"/>
      <c r="CW302" s="2867"/>
    </row>
    <row r="303" spans="1:101">
      <c r="A303" s="2867"/>
      <c r="B303" s="2867"/>
      <c r="C303" s="2867"/>
      <c r="D303" s="2867"/>
      <c r="E303" s="2867"/>
      <c r="F303" s="2867"/>
      <c r="G303" s="2867"/>
      <c r="H303" s="2867"/>
      <c r="I303" s="2867"/>
      <c r="J303" s="2867"/>
      <c r="K303" s="2867"/>
      <c r="L303" s="2867"/>
      <c r="M303" s="2867"/>
      <c r="O303" s="2867"/>
      <c r="P303" s="2867"/>
      <c r="Q303" s="2867"/>
      <c r="R303" s="2867"/>
      <c r="S303" s="2867"/>
      <c r="T303" s="2867"/>
      <c r="U303" s="2867"/>
      <c r="V303" s="2867"/>
      <c r="W303" s="2867"/>
      <c r="X303" s="2867"/>
      <c r="Y303" s="2867"/>
      <c r="Z303" s="2867"/>
      <c r="AA303" s="2867"/>
      <c r="AB303" s="2867"/>
      <c r="AC303" s="2867"/>
      <c r="AD303" s="2867"/>
      <c r="AE303" s="2867"/>
      <c r="AF303" s="2867"/>
      <c r="AG303" s="2867"/>
      <c r="AH303" s="2867"/>
      <c r="AI303" s="2867"/>
      <c r="AJ303" s="2867"/>
      <c r="AK303" s="2867"/>
      <c r="AL303" s="2867"/>
      <c r="AM303" s="2867"/>
      <c r="AN303" s="2867"/>
      <c r="AO303" s="2867"/>
      <c r="AP303" s="2867"/>
      <c r="AQ303" s="2867"/>
      <c r="AR303" s="2867"/>
      <c r="AS303" s="2867"/>
      <c r="AT303" s="2867"/>
      <c r="AU303" s="2867"/>
      <c r="AV303" s="2867"/>
      <c r="AW303" s="2867"/>
      <c r="AX303" s="2867"/>
      <c r="AY303" s="2867"/>
      <c r="AZ303" s="2867"/>
      <c r="BA303" s="2867"/>
      <c r="BB303" s="2867"/>
      <c r="BC303" s="2867"/>
      <c r="BD303" s="2867"/>
      <c r="BE303" s="2867"/>
      <c r="BF303" s="2867"/>
      <c r="BG303" s="2867"/>
      <c r="BH303" s="2867"/>
      <c r="BI303" s="2867"/>
      <c r="BJ303" s="2867"/>
      <c r="BK303" s="2867"/>
      <c r="BL303" s="2867"/>
      <c r="BM303" s="2867"/>
      <c r="BN303" s="2867"/>
      <c r="BO303" s="2867"/>
      <c r="BP303" s="2867"/>
      <c r="BQ303" s="2867"/>
      <c r="BR303" s="2867"/>
      <c r="BS303" s="2867"/>
      <c r="BT303" s="2867"/>
      <c r="BU303" s="2867"/>
      <c r="BV303" s="2867"/>
      <c r="BW303" s="2867"/>
      <c r="BX303" s="2867"/>
      <c r="BY303" s="2867"/>
      <c r="BZ303" s="2867"/>
      <c r="CA303" s="2867"/>
      <c r="CB303" s="2867"/>
      <c r="CC303" s="2867"/>
      <c r="CD303" s="2867"/>
      <c r="CE303" s="2867"/>
      <c r="CF303" s="2867"/>
      <c r="CG303" s="2867"/>
      <c r="CH303" s="2867"/>
      <c r="CI303" s="2867"/>
      <c r="CJ303" s="2867"/>
      <c r="CK303" s="2867"/>
      <c r="CL303" s="2867"/>
      <c r="CM303" s="2867"/>
      <c r="CN303" s="2867"/>
      <c r="CO303" s="2867"/>
      <c r="CP303" s="2867"/>
      <c r="CQ303" s="2867"/>
      <c r="CR303" s="2867"/>
      <c r="CS303" s="2867"/>
      <c r="CT303" s="2867"/>
      <c r="CU303" s="2867"/>
      <c r="CV303" s="2867"/>
      <c r="CW303" s="2867"/>
    </row>
    <row r="304" spans="1:101">
      <c r="A304" s="2867"/>
      <c r="B304" s="2867"/>
      <c r="C304" s="2867"/>
      <c r="D304" s="2867"/>
      <c r="E304" s="2867"/>
      <c r="F304" s="2867"/>
      <c r="G304" s="2867"/>
      <c r="H304" s="2867"/>
      <c r="I304" s="2867"/>
      <c r="J304" s="2867"/>
      <c r="K304" s="2867"/>
      <c r="L304" s="2867"/>
      <c r="M304" s="2867"/>
      <c r="O304" s="2867"/>
      <c r="P304" s="2867"/>
      <c r="Q304" s="2867"/>
      <c r="R304" s="2867"/>
      <c r="S304" s="2867"/>
      <c r="T304" s="2867"/>
      <c r="U304" s="2867"/>
      <c r="V304" s="2867"/>
      <c r="W304" s="2867"/>
      <c r="X304" s="2867"/>
      <c r="Y304" s="2867"/>
      <c r="Z304" s="2867"/>
      <c r="AA304" s="2867"/>
      <c r="AB304" s="2867"/>
      <c r="AC304" s="2867"/>
      <c r="AD304" s="2867"/>
      <c r="AE304" s="2867"/>
      <c r="AF304" s="2867"/>
      <c r="AG304" s="2867"/>
      <c r="AH304" s="2867"/>
      <c r="AI304" s="2867"/>
      <c r="AJ304" s="2867"/>
      <c r="AK304" s="2867"/>
      <c r="AL304" s="2867"/>
      <c r="AM304" s="2867"/>
      <c r="AN304" s="2867"/>
      <c r="AO304" s="2867"/>
      <c r="AP304" s="2867"/>
      <c r="AQ304" s="2867"/>
      <c r="AR304" s="2867"/>
      <c r="AS304" s="2867"/>
      <c r="AT304" s="2867"/>
      <c r="AU304" s="2867"/>
      <c r="AV304" s="2867"/>
      <c r="AW304" s="2867"/>
      <c r="AX304" s="2867"/>
      <c r="AY304" s="2867"/>
      <c r="AZ304" s="2867"/>
      <c r="BA304" s="2867"/>
      <c r="BB304" s="2867"/>
      <c r="BC304" s="2867"/>
      <c r="BD304" s="2867"/>
      <c r="BE304" s="2867"/>
      <c r="BF304" s="2867"/>
      <c r="BG304" s="2867"/>
      <c r="BH304" s="2867"/>
      <c r="BI304" s="2867"/>
      <c r="BJ304" s="2867"/>
      <c r="BK304" s="2867"/>
      <c r="BL304" s="2867"/>
      <c r="BM304" s="2867"/>
      <c r="BN304" s="2867"/>
      <c r="BO304" s="2867"/>
      <c r="BP304" s="2867"/>
      <c r="BQ304" s="2867"/>
      <c r="BR304" s="2867"/>
      <c r="BS304" s="2867"/>
      <c r="BT304" s="2867"/>
      <c r="BU304" s="2867"/>
      <c r="BV304" s="2867"/>
      <c r="BW304" s="2867"/>
      <c r="BX304" s="2867"/>
      <c r="BY304" s="2867"/>
      <c r="BZ304" s="2867"/>
      <c r="CA304" s="2867"/>
      <c r="CB304" s="2867"/>
      <c r="CC304" s="2867"/>
      <c r="CD304" s="2867"/>
      <c r="CE304" s="2867"/>
      <c r="CF304" s="2867"/>
      <c r="CG304" s="2867"/>
      <c r="CH304" s="2867"/>
      <c r="CI304" s="2867"/>
      <c r="CJ304" s="2867"/>
      <c r="CK304" s="2867"/>
      <c r="CL304" s="2867"/>
      <c r="CM304" s="2867"/>
      <c r="CN304" s="2867"/>
      <c r="CO304" s="2867"/>
      <c r="CP304" s="2867"/>
      <c r="CQ304" s="2867"/>
      <c r="CR304" s="2867"/>
      <c r="CS304" s="2867"/>
      <c r="CT304" s="2867"/>
      <c r="CU304" s="2867"/>
      <c r="CV304" s="2867"/>
      <c r="CW304" s="2867"/>
    </row>
    <row r="305" spans="1:101">
      <c r="A305" s="2867"/>
      <c r="B305" s="2867"/>
      <c r="C305" s="2867"/>
      <c r="D305" s="2867"/>
      <c r="E305" s="2867"/>
      <c r="F305" s="2867"/>
      <c r="G305" s="2867"/>
      <c r="H305" s="2867"/>
      <c r="I305" s="2867"/>
      <c r="J305" s="2867"/>
      <c r="K305" s="2867"/>
      <c r="L305" s="2867"/>
      <c r="M305" s="2867"/>
      <c r="O305" s="2867"/>
      <c r="P305" s="2867"/>
      <c r="Q305" s="2867"/>
      <c r="R305" s="2867"/>
      <c r="S305" s="2867"/>
      <c r="T305" s="2867"/>
      <c r="U305" s="2867"/>
      <c r="V305" s="2867"/>
      <c r="W305" s="2867"/>
      <c r="X305" s="2867"/>
      <c r="Y305" s="2867"/>
      <c r="Z305" s="2867"/>
      <c r="AA305" s="2867"/>
      <c r="AB305" s="2867"/>
      <c r="AC305" s="2867"/>
      <c r="AD305" s="2867"/>
      <c r="AE305" s="2867"/>
      <c r="AF305" s="2867"/>
      <c r="AG305" s="2867"/>
      <c r="AH305" s="2867"/>
      <c r="AI305" s="2867"/>
      <c r="AJ305" s="2867"/>
      <c r="AK305" s="2867"/>
      <c r="AL305" s="2867"/>
      <c r="AM305" s="2867"/>
      <c r="AN305" s="2867"/>
      <c r="AO305" s="2867"/>
      <c r="AP305" s="2867"/>
      <c r="AQ305" s="2867"/>
      <c r="AR305" s="2867"/>
      <c r="AS305" s="2867"/>
      <c r="AT305" s="2867"/>
      <c r="AU305" s="2867"/>
      <c r="AV305" s="2867"/>
      <c r="AW305" s="2867"/>
      <c r="AX305" s="2867"/>
      <c r="AY305" s="2867"/>
      <c r="AZ305" s="2867"/>
      <c r="BA305" s="2867"/>
      <c r="BB305" s="2867"/>
      <c r="BC305" s="2867"/>
      <c r="BD305" s="2867"/>
      <c r="BE305" s="2867"/>
      <c r="BF305" s="2867"/>
      <c r="BG305" s="2867"/>
      <c r="BH305" s="2867"/>
      <c r="BI305" s="2867"/>
      <c r="BJ305" s="2867"/>
      <c r="BK305" s="2867"/>
      <c r="BL305" s="2867"/>
      <c r="BM305" s="2867"/>
      <c r="BN305" s="2867"/>
      <c r="BO305" s="2867"/>
      <c r="BP305" s="2867"/>
      <c r="BQ305" s="2867"/>
      <c r="BR305" s="2867"/>
      <c r="BS305" s="2867"/>
      <c r="BT305" s="2867"/>
      <c r="BU305" s="2867"/>
      <c r="BV305" s="2867"/>
      <c r="BW305" s="2867"/>
      <c r="BX305" s="2867"/>
      <c r="BY305" s="2867"/>
      <c r="BZ305" s="2867"/>
      <c r="CA305" s="2867"/>
      <c r="CB305" s="2867"/>
      <c r="CC305" s="2867"/>
      <c r="CD305" s="2867"/>
      <c r="CE305" s="2867"/>
      <c r="CF305" s="2867"/>
      <c r="CG305" s="2867"/>
      <c r="CH305" s="2867"/>
      <c r="CI305" s="2867"/>
      <c r="CJ305" s="2867"/>
      <c r="CK305" s="2867"/>
      <c r="CL305" s="2867"/>
      <c r="CM305" s="2867"/>
      <c r="CN305" s="2867"/>
      <c r="CO305" s="2867"/>
      <c r="CP305" s="2867"/>
      <c r="CQ305" s="2867"/>
      <c r="CR305" s="2867"/>
      <c r="CS305" s="2867"/>
      <c r="CT305" s="2867"/>
      <c r="CU305" s="2867"/>
      <c r="CV305" s="2867"/>
      <c r="CW305" s="2867"/>
    </row>
    <row r="306" spans="1:101">
      <c r="A306" s="2867"/>
      <c r="B306" s="2867"/>
      <c r="C306" s="2867"/>
      <c r="D306" s="2867"/>
      <c r="E306" s="2867"/>
      <c r="F306" s="2867"/>
      <c r="G306" s="2867"/>
      <c r="H306" s="2867"/>
      <c r="I306" s="2867"/>
      <c r="J306" s="2867"/>
      <c r="K306" s="2867"/>
      <c r="L306" s="2867"/>
      <c r="M306" s="2867"/>
      <c r="O306" s="2867"/>
      <c r="P306" s="2867"/>
      <c r="Q306" s="2867"/>
      <c r="R306" s="2867"/>
      <c r="S306" s="2867"/>
      <c r="T306" s="2867"/>
      <c r="U306" s="2867"/>
      <c r="V306" s="2867"/>
      <c r="W306" s="2867"/>
      <c r="X306" s="2867"/>
      <c r="Y306" s="2867"/>
      <c r="Z306" s="2867"/>
      <c r="AA306" s="2867"/>
      <c r="AB306" s="2867"/>
      <c r="AC306" s="2867"/>
      <c r="AD306" s="2867"/>
      <c r="AE306" s="2867"/>
      <c r="AF306" s="2867"/>
      <c r="AG306" s="2867"/>
      <c r="AH306" s="2867"/>
      <c r="AI306" s="2867"/>
      <c r="AJ306" s="2867"/>
      <c r="AK306" s="2867"/>
      <c r="AL306" s="2867"/>
      <c r="AM306" s="2867"/>
      <c r="AN306" s="2867"/>
      <c r="AO306" s="2867"/>
      <c r="AP306" s="2867"/>
      <c r="AQ306" s="2867"/>
      <c r="AR306" s="2867"/>
      <c r="AS306" s="2867"/>
      <c r="AT306" s="2867"/>
      <c r="AU306" s="2867"/>
      <c r="AV306" s="2867"/>
      <c r="AW306" s="2867"/>
      <c r="AX306" s="2867"/>
      <c r="AY306" s="2867"/>
      <c r="AZ306" s="2867"/>
      <c r="BA306" s="2867"/>
      <c r="BB306" s="2867"/>
      <c r="BC306" s="2867"/>
      <c r="BD306" s="2867"/>
      <c r="BE306" s="2867"/>
      <c r="BF306" s="2867"/>
      <c r="BG306" s="2867"/>
      <c r="BH306" s="2867"/>
      <c r="BI306" s="2867"/>
      <c r="BJ306" s="2867"/>
      <c r="BK306" s="2867"/>
      <c r="BL306" s="2867"/>
      <c r="BM306" s="2867"/>
      <c r="BN306" s="2867"/>
      <c r="BO306" s="2867"/>
      <c r="BP306" s="2867"/>
      <c r="BQ306" s="2867"/>
      <c r="BR306" s="2867"/>
      <c r="BS306" s="2867"/>
      <c r="BT306" s="2867"/>
      <c r="BU306" s="2867"/>
      <c r="BV306" s="2867"/>
      <c r="BW306" s="2867"/>
      <c r="BX306" s="2867"/>
      <c r="BY306" s="2867"/>
      <c r="BZ306" s="2867"/>
      <c r="CA306" s="2867"/>
      <c r="CB306" s="2867"/>
      <c r="CC306" s="2867"/>
      <c r="CD306" s="2867"/>
      <c r="CE306" s="2867"/>
      <c r="CF306" s="2867"/>
      <c r="CG306" s="2867"/>
      <c r="CH306" s="2867"/>
      <c r="CI306" s="2867"/>
      <c r="CJ306" s="2867"/>
      <c r="CK306" s="2867"/>
      <c r="CL306" s="2867"/>
      <c r="CM306" s="2867"/>
      <c r="CN306" s="2867"/>
      <c r="CO306" s="2867"/>
      <c r="CP306" s="2867"/>
      <c r="CQ306" s="2867"/>
      <c r="CR306" s="2867"/>
      <c r="CS306" s="2867"/>
      <c r="CT306" s="2867"/>
      <c r="CU306" s="2867"/>
      <c r="CV306" s="2867"/>
      <c r="CW306" s="2867"/>
    </row>
    <row r="307" spans="1:101">
      <c r="A307" s="2867"/>
      <c r="B307" s="2867"/>
      <c r="C307" s="2867"/>
      <c r="D307" s="2867"/>
      <c r="E307" s="2867"/>
      <c r="F307" s="2867"/>
      <c r="G307" s="2867"/>
      <c r="H307" s="2867"/>
      <c r="I307" s="2867"/>
      <c r="J307" s="2867"/>
      <c r="K307" s="2867"/>
      <c r="L307" s="2867"/>
      <c r="M307" s="2867"/>
      <c r="O307" s="2867"/>
      <c r="P307" s="2867"/>
      <c r="Q307" s="2867"/>
      <c r="R307" s="2867"/>
      <c r="S307" s="2867"/>
      <c r="T307" s="2867"/>
      <c r="U307" s="2867"/>
      <c r="V307" s="2867"/>
      <c r="W307" s="2867"/>
      <c r="X307" s="2867"/>
      <c r="Y307" s="2867"/>
      <c r="Z307" s="2867"/>
      <c r="AA307" s="2867"/>
      <c r="AB307" s="2867"/>
      <c r="AC307" s="2867"/>
      <c r="AD307" s="2867"/>
      <c r="AE307" s="2867"/>
      <c r="AF307" s="2867"/>
      <c r="AG307" s="2867"/>
      <c r="AH307" s="2867"/>
      <c r="AI307" s="2867"/>
      <c r="AJ307" s="2867"/>
      <c r="AK307" s="2867"/>
      <c r="AL307" s="2867"/>
      <c r="AM307" s="2867"/>
      <c r="AN307" s="2867"/>
      <c r="AO307" s="2867"/>
      <c r="AP307" s="2867"/>
      <c r="AQ307" s="2867"/>
      <c r="AR307" s="2867"/>
      <c r="AS307" s="2867"/>
      <c r="AT307" s="2867"/>
      <c r="AU307" s="2867"/>
      <c r="AV307" s="2867"/>
      <c r="AW307" s="2867"/>
      <c r="AX307" s="2867"/>
      <c r="AY307" s="2867"/>
      <c r="AZ307" s="2867"/>
      <c r="BA307" s="2867"/>
      <c r="BB307" s="2867"/>
      <c r="BC307" s="2867"/>
      <c r="BD307" s="2867"/>
      <c r="BE307" s="2867"/>
      <c r="BF307" s="2867"/>
      <c r="BG307" s="2867"/>
      <c r="BH307" s="2867"/>
      <c r="BI307" s="2867"/>
      <c r="BJ307" s="2867"/>
      <c r="BK307" s="2867"/>
      <c r="BL307" s="2867"/>
      <c r="BM307" s="2867"/>
      <c r="BN307" s="2867"/>
      <c r="BO307" s="2867"/>
      <c r="BP307" s="2867"/>
      <c r="BQ307" s="2867"/>
      <c r="BR307" s="2867"/>
      <c r="BS307" s="2867"/>
      <c r="BT307" s="2867"/>
      <c r="BU307" s="2867"/>
      <c r="BV307" s="2867"/>
      <c r="BW307" s="2867"/>
      <c r="BX307" s="2867"/>
      <c r="BY307" s="2867"/>
      <c r="BZ307" s="2867"/>
      <c r="CA307" s="2867"/>
      <c r="CB307" s="2867"/>
      <c r="CC307" s="2867"/>
      <c r="CD307" s="2867"/>
      <c r="CE307" s="2867"/>
      <c r="CF307" s="2867"/>
      <c r="CG307" s="2867"/>
      <c r="CH307" s="2867"/>
      <c r="CI307" s="2867"/>
      <c r="CJ307" s="2867"/>
      <c r="CK307" s="2867"/>
      <c r="CL307" s="2867"/>
      <c r="CM307" s="2867"/>
      <c r="CN307" s="2867"/>
      <c r="CO307" s="2867"/>
      <c r="CP307" s="2867"/>
      <c r="CQ307" s="2867"/>
      <c r="CR307" s="2867"/>
      <c r="CS307" s="2867"/>
      <c r="CT307" s="2867"/>
      <c r="CU307" s="2867"/>
      <c r="CV307" s="2867"/>
      <c r="CW307" s="2867"/>
    </row>
    <row r="308" spans="1:101">
      <c r="A308" s="2867"/>
      <c r="B308" s="2867"/>
      <c r="C308" s="2867"/>
      <c r="D308" s="2867"/>
      <c r="E308" s="2867"/>
      <c r="F308" s="2867"/>
      <c r="G308" s="2867"/>
      <c r="H308" s="2867"/>
      <c r="I308" s="2867"/>
      <c r="J308" s="2867"/>
      <c r="K308" s="2867"/>
      <c r="L308" s="2867"/>
      <c r="M308" s="2867"/>
      <c r="O308" s="2867"/>
      <c r="P308" s="2867"/>
      <c r="Q308" s="2867"/>
      <c r="R308" s="2867"/>
      <c r="S308" s="2867"/>
      <c r="T308" s="2867"/>
      <c r="U308" s="2867"/>
      <c r="V308" s="2867"/>
      <c r="W308" s="2867"/>
      <c r="X308" s="2867"/>
      <c r="Y308" s="2867"/>
      <c r="Z308" s="2867"/>
      <c r="AA308" s="2867"/>
      <c r="AB308" s="2867"/>
      <c r="AC308" s="2867"/>
      <c r="AD308" s="2867"/>
      <c r="AE308" s="2867"/>
      <c r="AF308" s="2867"/>
      <c r="AG308" s="2867"/>
      <c r="AH308" s="2867"/>
      <c r="AI308" s="2867"/>
      <c r="AJ308" s="2867"/>
      <c r="AK308" s="2867"/>
      <c r="AL308" s="2867"/>
      <c r="AM308" s="2867"/>
      <c r="AN308" s="2867"/>
      <c r="AO308" s="2867"/>
      <c r="AP308" s="2867"/>
      <c r="AQ308" s="2867"/>
      <c r="AR308" s="2867"/>
      <c r="AS308" s="2867"/>
      <c r="AT308" s="2867"/>
      <c r="AU308" s="2867"/>
      <c r="AV308" s="2867"/>
      <c r="AW308" s="2867"/>
      <c r="AX308" s="2867"/>
      <c r="AY308" s="2867"/>
      <c r="AZ308" s="2867"/>
      <c r="BA308" s="2867"/>
      <c r="BB308" s="2867"/>
      <c r="BC308" s="2867"/>
      <c r="BD308" s="2867"/>
      <c r="BE308" s="2867"/>
      <c r="BF308" s="2867"/>
      <c r="BG308" s="2867"/>
      <c r="BH308" s="2867"/>
      <c r="BI308" s="2867"/>
      <c r="BJ308" s="2867"/>
      <c r="BK308" s="2867"/>
      <c r="BL308" s="2867"/>
      <c r="BM308" s="2867"/>
      <c r="BN308" s="2867"/>
      <c r="BO308" s="2867"/>
      <c r="BP308" s="2867"/>
      <c r="BQ308" s="2867"/>
      <c r="BR308" s="2867"/>
      <c r="BS308" s="2867"/>
      <c r="BT308" s="2867"/>
      <c r="BU308" s="2867"/>
      <c r="BV308" s="2867"/>
      <c r="BW308" s="2867"/>
      <c r="BX308" s="2867"/>
      <c r="BY308" s="2867"/>
      <c r="BZ308" s="2867"/>
      <c r="CA308" s="2867"/>
      <c r="CB308" s="2867"/>
      <c r="CC308" s="2867"/>
      <c r="CD308" s="2867"/>
      <c r="CE308" s="2867"/>
      <c r="CF308" s="2867"/>
      <c r="CG308" s="2867"/>
      <c r="CH308" s="2867"/>
      <c r="CI308" s="2867"/>
      <c r="CJ308" s="2867"/>
      <c r="CK308" s="2867"/>
      <c r="CL308" s="2867"/>
      <c r="CM308" s="2867"/>
      <c r="CN308" s="2867"/>
      <c r="CO308" s="2867"/>
      <c r="CP308" s="2867"/>
      <c r="CQ308" s="2867"/>
      <c r="CR308" s="2867"/>
      <c r="CS308" s="2867"/>
      <c r="CT308" s="2867"/>
      <c r="CU308" s="2867"/>
      <c r="CV308" s="2867"/>
      <c r="CW308" s="2867"/>
    </row>
    <row r="309" spans="1:101">
      <c r="A309" s="2867"/>
      <c r="B309" s="2867"/>
      <c r="C309" s="2867"/>
      <c r="D309" s="2867"/>
      <c r="E309" s="2867"/>
      <c r="F309" s="2867"/>
      <c r="G309" s="2867"/>
      <c r="H309" s="2867"/>
      <c r="I309" s="2867"/>
      <c r="J309" s="2867"/>
      <c r="K309" s="2867"/>
      <c r="L309" s="2867"/>
      <c r="M309" s="2867"/>
      <c r="O309" s="2867"/>
      <c r="P309" s="2867"/>
      <c r="Q309" s="2867"/>
      <c r="R309" s="2867"/>
      <c r="S309" s="2867"/>
      <c r="T309" s="2867"/>
      <c r="U309" s="2867"/>
      <c r="V309" s="2867"/>
      <c r="W309" s="2867"/>
      <c r="X309" s="2867"/>
      <c r="Y309" s="2867"/>
      <c r="Z309" s="2867"/>
      <c r="AA309" s="2867"/>
      <c r="AB309" s="2867"/>
      <c r="AC309" s="2867"/>
      <c r="AD309" s="2867"/>
      <c r="AE309" s="2867"/>
      <c r="AF309" s="2867"/>
      <c r="AG309" s="2867"/>
      <c r="AH309" s="2867"/>
      <c r="AI309" s="2867"/>
      <c r="AJ309" s="2867"/>
      <c r="AK309" s="2867"/>
      <c r="AL309" s="2867"/>
      <c r="AM309" s="2867"/>
      <c r="AN309" s="2867"/>
      <c r="AO309" s="2867"/>
      <c r="AP309" s="2867"/>
      <c r="AQ309" s="2867"/>
      <c r="AR309" s="2867"/>
      <c r="AS309" s="2867"/>
      <c r="AT309" s="2867"/>
      <c r="AU309" s="2867"/>
      <c r="AV309" s="2867"/>
      <c r="AW309" s="2867"/>
      <c r="AX309" s="2867"/>
      <c r="AY309" s="2867"/>
      <c r="AZ309" s="2867"/>
      <c r="BA309" s="2867"/>
      <c r="BB309" s="2867"/>
      <c r="BC309" s="2867"/>
      <c r="BD309" s="2867"/>
      <c r="BE309" s="2867"/>
      <c r="BF309" s="2867"/>
      <c r="BG309" s="2867"/>
      <c r="BH309" s="2867"/>
      <c r="BI309" s="2867"/>
      <c r="BJ309" s="2867"/>
      <c r="BK309" s="2867"/>
      <c r="BL309" s="2867"/>
      <c r="BM309" s="2867"/>
      <c r="BN309" s="2867"/>
      <c r="BO309" s="2867"/>
      <c r="BP309" s="2867"/>
      <c r="BQ309" s="2867"/>
      <c r="BR309" s="2867"/>
      <c r="BS309" s="2867"/>
      <c r="BT309" s="2867"/>
      <c r="BU309" s="2867"/>
      <c r="BV309" s="2867"/>
      <c r="BW309" s="2867"/>
      <c r="BX309" s="2867"/>
      <c r="BY309" s="2867"/>
      <c r="BZ309" s="2867"/>
      <c r="CA309" s="2867"/>
      <c r="CB309" s="2867"/>
      <c r="CC309" s="2867"/>
      <c r="CD309" s="2867"/>
      <c r="CE309" s="2867"/>
      <c r="CF309" s="2867"/>
      <c r="CG309" s="2867"/>
      <c r="CH309" s="2867"/>
      <c r="CI309" s="2867"/>
      <c r="CJ309" s="2867"/>
      <c r="CK309" s="2867"/>
      <c r="CL309" s="2867"/>
      <c r="CM309" s="2867"/>
      <c r="CN309" s="2867"/>
      <c r="CO309" s="2867"/>
      <c r="CP309" s="2867"/>
      <c r="CQ309" s="2867"/>
      <c r="CR309" s="2867"/>
      <c r="CS309" s="2867"/>
      <c r="CT309" s="2867"/>
      <c r="CU309" s="2867"/>
      <c r="CV309" s="2867"/>
      <c r="CW309" s="2867"/>
    </row>
    <row r="310" spans="1:101">
      <c r="A310" s="2867"/>
      <c r="B310" s="2867"/>
      <c r="C310" s="2867"/>
      <c r="D310" s="2867"/>
      <c r="E310" s="2867"/>
      <c r="F310" s="2867"/>
      <c r="G310" s="2867"/>
      <c r="H310" s="2867"/>
      <c r="I310" s="2867"/>
      <c r="J310" s="2867"/>
      <c r="K310" s="2867"/>
      <c r="L310" s="2867"/>
      <c r="M310" s="2867"/>
      <c r="O310" s="2867"/>
      <c r="P310" s="2867"/>
      <c r="Q310" s="2867"/>
      <c r="R310" s="2867"/>
      <c r="S310" s="2867"/>
      <c r="T310" s="2867"/>
      <c r="U310" s="2867"/>
      <c r="V310" s="2867"/>
      <c r="W310" s="2867"/>
      <c r="X310" s="2867"/>
      <c r="Y310" s="2867"/>
      <c r="Z310" s="2867"/>
      <c r="AA310" s="2867"/>
      <c r="AB310" s="2867"/>
      <c r="AC310" s="2867"/>
      <c r="AD310" s="2867"/>
      <c r="AE310" s="2867"/>
      <c r="AF310" s="2867"/>
      <c r="AG310" s="2867"/>
      <c r="AH310" s="2867"/>
      <c r="AI310" s="2867"/>
      <c r="AJ310" s="2867"/>
      <c r="AK310" s="2867"/>
      <c r="AL310" s="2867"/>
      <c r="AM310" s="2867"/>
      <c r="AN310" s="2867"/>
      <c r="AO310" s="2867"/>
      <c r="AP310" s="2867"/>
      <c r="AQ310" s="2867"/>
      <c r="AR310" s="2867"/>
      <c r="AS310" s="2867"/>
      <c r="AT310" s="2867"/>
      <c r="AU310" s="2867"/>
      <c r="AV310" s="2867"/>
      <c r="AW310" s="2867"/>
      <c r="AX310" s="2867"/>
      <c r="AY310" s="2867"/>
      <c r="AZ310" s="2867"/>
      <c r="BA310" s="2867"/>
      <c r="BB310" s="2867"/>
      <c r="BC310" s="2867"/>
      <c r="BD310" s="2867"/>
      <c r="BE310" s="2867"/>
      <c r="BF310" s="2867"/>
      <c r="BG310" s="2867"/>
      <c r="BH310" s="2867"/>
      <c r="BI310" s="2867"/>
      <c r="BJ310" s="2867"/>
      <c r="BK310" s="2867"/>
      <c r="BL310" s="2867"/>
      <c r="BM310" s="2867"/>
      <c r="BN310" s="2867"/>
      <c r="BO310" s="2867"/>
      <c r="BP310" s="2867"/>
      <c r="BQ310" s="2867"/>
      <c r="BR310" s="2867"/>
      <c r="BS310" s="2867"/>
      <c r="BT310" s="2867"/>
      <c r="BU310" s="2867"/>
      <c r="BV310" s="2867"/>
      <c r="BW310" s="2867"/>
      <c r="BX310" s="2867"/>
      <c r="BY310" s="2867"/>
      <c r="BZ310" s="2867"/>
      <c r="CA310" s="2867"/>
      <c r="CB310" s="2867"/>
      <c r="CC310" s="2867"/>
      <c r="CD310" s="2867"/>
      <c r="CE310" s="2867"/>
      <c r="CF310" s="2867"/>
      <c r="CG310" s="2867"/>
      <c r="CH310" s="2867"/>
      <c r="CI310" s="2867"/>
      <c r="CJ310" s="2867"/>
      <c r="CK310" s="2867"/>
      <c r="CL310" s="2867"/>
      <c r="CM310" s="2867"/>
      <c r="CN310" s="2867"/>
      <c r="CO310" s="2867"/>
      <c r="CP310" s="2867"/>
      <c r="CQ310" s="2867"/>
      <c r="CR310" s="2867"/>
      <c r="CS310" s="2867"/>
      <c r="CT310" s="2867"/>
      <c r="CU310" s="2867"/>
      <c r="CV310" s="2867"/>
      <c r="CW310" s="2867"/>
    </row>
    <row r="311" spans="1:101">
      <c r="A311" s="2867"/>
      <c r="B311" s="2867"/>
      <c r="C311" s="2867"/>
      <c r="D311" s="2867"/>
      <c r="E311" s="2867"/>
      <c r="F311" s="2867"/>
      <c r="G311" s="2867"/>
      <c r="H311" s="2867"/>
      <c r="I311" s="2867"/>
      <c r="J311" s="2867"/>
      <c r="K311" s="2867"/>
      <c r="L311" s="2867"/>
      <c r="M311" s="2867"/>
      <c r="O311" s="2867"/>
      <c r="P311" s="2867"/>
      <c r="Q311" s="2867"/>
      <c r="R311" s="2867"/>
      <c r="S311" s="2867"/>
      <c r="T311" s="2867"/>
      <c r="U311" s="2867"/>
      <c r="V311" s="2867"/>
      <c r="W311" s="2867"/>
      <c r="X311" s="2867"/>
      <c r="Y311" s="2867"/>
      <c r="Z311" s="2867"/>
      <c r="AA311" s="2867"/>
      <c r="AB311" s="2867"/>
      <c r="AC311" s="2867"/>
      <c r="AD311" s="2867"/>
      <c r="AE311" s="2867"/>
      <c r="AF311" s="2867"/>
      <c r="AG311" s="2867"/>
      <c r="AH311" s="2867"/>
      <c r="AI311" s="2867"/>
      <c r="AJ311" s="2867"/>
      <c r="AK311" s="2867"/>
      <c r="AL311" s="2867"/>
      <c r="AM311" s="2867"/>
      <c r="AN311" s="2867"/>
      <c r="AO311" s="2867"/>
      <c r="AP311" s="2867"/>
      <c r="AQ311" s="2867"/>
      <c r="AR311" s="2867"/>
      <c r="AS311" s="2867"/>
      <c r="AT311" s="2867"/>
      <c r="AU311" s="2867"/>
      <c r="AV311" s="2867"/>
      <c r="AW311" s="2867"/>
      <c r="AX311" s="2867"/>
      <c r="AY311" s="2867"/>
      <c r="AZ311" s="2867"/>
      <c r="BA311" s="2867"/>
      <c r="BB311" s="2867"/>
      <c r="BC311" s="2867"/>
      <c r="BD311" s="2867"/>
      <c r="BE311" s="2867"/>
      <c r="BF311" s="2867"/>
      <c r="BG311" s="2867"/>
      <c r="BH311" s="2867"/>
      <c r="BI311" s="2867"/>
      <c r="BJ311" s="2867"/>
      <c r="BK311" s="2867"/>
      <c r="BL311" s="2867"/>
      <c r="BM311" s="2867"/>
      <c r="BN311" s="2867"/>
      <c r="BO311" s="2867"/>
      <c r="BP311" s="2867"/>
      <c r="BQ311" s="2867"/>
      <c r="BR311" s="2867"/>
      <c r="BS311" s="2867"/>
      <c r="BT311" s="2867"/>
      <c r="BU311" s="2867"/>
      <c r="BV311" s="2867"/>
      <c r="BW311" s="2867"/>
      <c r="BX311" s="2867"/>
      <c r="BY311" s="2867"/>
      <c r="BZ311" s="2867"/>
      <c r="CA311" s="2867"/>
      <c r="CB311" s="2867"/>
      <c r="CC311" s="2867"/>
      <c r="CD311" s="2867"/>
      <c r="CE311" s="2867"/>
      <c r="CF311" s="2867"/>
      <c r="CG311" s="2867"/>
      <c r="CH311" s="2867"/>
      <c r="CI311" s="2867"/>
      <c r="CJ311" s="2867"/>
      <c r="CK311" s="2867"/>
      <c r="CL311" s="2867"/>
      <c r="CM311" s="2867"/>
      <c r="CN311" s="2867"/>
      <c r="CO311" s="2867"/>
      <c r="CP311" s="2867"/>
      <c r="CQ311" s="2867"/>
      <c r="CR311" s="2867"/>
      <c r="CS311" s="2867"/>
      <c r="CT311" s="2867"/>
      <c r="CU311" s="2867"/>
      <c r="CV311" s="2867"/>
      <c r="CW311" s="2867"/>
    </row>
    <row r="312" spans="1:101">
      <c r="A312" s="2867"/>
      <c r="B312" s="2867"/>
      <c r="C312" s="2867"/>
      <c r="D312" s="2867"/>
      <c r="E312" s="2867"/>
      <c r="F312" s="2867"/>
      <c r="G312" s="2867"/>
      <c r="H312" s="2867"/>
      <c r="I312" s="2867"/>
      <c r="J312" s="2867"/>
      <c r="K312" s="2867"/>
      <c r="L312" s="2867"/>
      <c r="M312" s="2867"/>
      <c r="O312" s="2867"/>
      <c r="P312" s="2867"/>
      <c r="Q312" s="2867"/>
      <c r="R312" s="2867"/>
      <c r="S312" s="2867"/>
      <c r="T312" s="2867"/>
      <c r="U312" s="2867"/>
      <c r="V312" s="2867"/>
      <c r="W312" s="2867"/>
      <c r="X312" s="2867"/>
      <c r="Y312" s="2867"/>
      <c r="Z312" s="2867"/>
      <c r="AA312" s="2867"/>
      <c r="AB312" s="2867"/>
      <c r="AC312" s="2867"/>
      <c r="AD312" s="2867"/>
      <c r="AE312" s="2867"/>
      <c r="AF312" s="2867"/>
      <c r="AG312" s="2867"/>
      <c r="AH312" s="2867"/>
      <c r="AI312" s="2867"/>
      <c r="AJ312" s="2867"/>
      <c r="AK312" s="2867"/>
      <c r="AL312" s="2867"/>
      <c r="AM312" s="2867"/>
      <c r="AN312" s="2867"/>
      <c r="AO312" s="2867"/>
      <c r="AP312" s="2867"/>
      <c r="AQ312" s="2867"/>
      <c r="AR312" s="2867"/>
      <c r="AS312" s="2867"/>
      <c r="AT312" s="2867"/>
      <c r="AU312" s="2867"/>
      <c r="AV312" s="2867"/>
      <c r="AW312" s="2867"/>
      <c r="AX312" s="2867"/>
      <c r="AY312" s="2867"/>
      <c r="AZ312" s="2867"/>
      <c r="BA312" s="2867"/>
      <c r="BB312" s="2867"/>
      <c r="BC312" s="2867"/>
      <c r="BD312" s="2867"/>
      <c r="BE312" s="2867"/>
      <c r="BF312" s="2867"/>
      <c r="BG312" s="2867"/>
      <c r="BH312" s="2867"/>
      <c r="BI312" s="2867"/>
      <c r="BJ312" s="2867"/>
      <c r="BK312" s="2867"/>
      <c r="BL312" s="2867"/>
      <c r="BM312" s="2867"/>
      <c r="BN312" s="2867"/>
      <c r="BO312" s="2867"/>
      <c r="BP312" s="2867"/>
      <c r="BQ312" s="2867"/>
      <c r="BR312" s="2867"/>
      <c r="BS312" s="2867"/>
      <c r="BT312" s="2867"/>
      <c r="BU312" s="2867"/>
      <c r="BV312" s="2867"/>
      <c r="BW312" s="2867"/>
      <c r="BX312" s="2867"/>
      <c r="BY312" s="2867"/>
      <c r="BZ312" s="2867"/>
      <c r="CA312" s="2867"/>
      <c r="CB312" s="2867"/>
      <c r="CC312" s="2867"/>
      <c r="CD312" s="2867"/>
      <c r="CE312" s="2867"/>
      <c r="CF312" s="2867"/>
      <c r="CG312" s="2867"/>
      <c r="CH312" s="2867"/>
      <c r="CI312" s="2867"/>
      <c r="CJ312" s="2867"/>
      <c r="CK312" s="2867"/>
      <c r="CL312" s="2867"/>
      <c r="CM312" s="2867"/>
      <c r="CN312" s="2867"/>
      <c r="CO312" s="2867"/>
      <c r="CP312" s="2867"/>
      <c r="CQ312" s="2867"/>
      <c r="CR312" s="2867"/>
      <c r="CS312" s="2867"/>
      <c r="CT312" s="2867"/>
      <c r="CU312" s="2867"/>
      <c r="CV312" s="2867"/>
      <c r="CW312" s="2867"/>
    </row>
    <row r="313" spans="1:101">
      <c r="A313" s="2867"/>
      <c r="B313" s="2867"/>
      <c r="C313" s="2867"/>
      <c r="D313" s="2867"/>
      <c r="E313" s="2867"/>
      <c r="F313" s="2867"/>
      <c r="G313" s="2867"/>
      <c r="H313" s="2867"/>
      <c r="I313" s="2867"/>
      <c r="J313" s="2867"/>
      <c r="K313" s="2867"/>
      <c r="L313" s="2867"/>
      <c r="M313" s="2867"/>
      <c r="O313" s="2867"/>
      <c r="P313" s="2867"/>
      <c r="Q313" s="2867"/>
      <c r="R313" s="2867"/>
      <c r="S313" s="2867"/>
      <c r="T313" s="2867"/>
      <c r="U313" s="2867"/>
      <c r="V313" s="2867"/>
      <c r="W313" s="2867"/>
      <c r="X313" s="2867"/>
      <c r="Y313" s="2867"/>
      <c r="Z313" s="2867"/>
      <c r="AA313" s="2867"/>
      <c r="AB313" s="2867"/>
      <c r="AC313" s="2867"/>
      <c r="AD313" s="2867"/>
      <c r="AE313" s="2867"/>
      <c r="AF313" s="2867"/>
      <c r="AG313" s="2867"/>
      <c r="AH313" s="2867"/>
      <c r="AI313" s="2867"/>
      <c r="AJ313" s="2867"/>
      <c r="AK313" s="2867"/>
      <c r="AL313" s="2867"/>
      <c r="AM313" s="2867"/>
      <c r="AN313" s="2867"/>
      <c r="AO313" s="2867"/>
      <c r="AP313" s="2867"/>
      <c r="AQ313" s="2867"/>
      <c r="AR313" s="2867"/>
      <c r="AS313" s="2867"/>
      <c r="AT313" s="2867"/>
      <c r="AU313" s="2867"/>
      <c r="AV313" s="2867"/>
      <c r="AW313" s="2867"/>
      <c r="AX313" s="2867"/>
      <c r="AY313" s="2867"/>
      <c r="AZ313" s="2867"/>
      <c r="BA313" s="2867"/>
      <c r="BB313" s="2867"/>
      <c r="BC313" s="2867"/>
      <c r="BD313" s="2867"/>
      <c r="BE313" s="2867"/>
      <c r="BF313" s="2867"/>
      <c r="BG313" s="2867"/>
      <c r="BH313" s="2867"/>
      <c r="BI313" s="2867"/>
      <c r="BJ313" s="2867"/>
      <c r="BK313" s="2867"/>
      <c r="BL313" s="2867"/>
      <c r="BM313" s="2867"/>
      <c r="BN313" s="2867"/>
      <c r="BO313" s="2867"/>
      <c r="BP313" s="2867"/>
      <c r="BQ313" s="2867"/>
      <c r="BR313" s="2867"/>
      <c r="BS313" s="2867"/>
      <c r="BT313" s="2867"/>
      <c r="BU313" s="2867"/>
      <c r="BV313" s="2867"/>
      <c r="BW313" s="2867"/>
      <c r="BX313" s="2867"/>
      <c r="BY313" s="2867"/>
      <c r="BZ313" s="2867"/>
      <c r="CA313" s="2867"/>
      <c r="CB313" s="2867"/>
      <c r="CC313" s="2867"/>
      <c r="CD313" s="2867"/>
      <c r="CE313" s="2867"/>
      <c r="CF313" s="2867"/>
      <c r="CG313" s="2867"/>
      <c r="CH313" s="2867"/>
      <c r="CI313" s="2867"/>
      <c r="CJ313" s="2867"/>
      <c r="CK313" s="2867"/>
      <c r="CL313" s="2867"/>
      <c r="CM313" s="2867"/>
      <c r="CN313" s="2867"/>
      <c r="CO313" s="2867"/>
      <c r="CP313" s="2867"/>
      <c r="CQ313" s="2867"/>
      <c r="CR313" s="2867"/>
      <c r="CS313" s="2867"/>
      <c r="CT313" s="2867"/>
      <c r="CU313" s="2867"/>
      <c r="CV313" s="2867"/>
      <c r="CW313" s="2867"/>
    </row>
    <row r="314" spans="1:101">
      <c r="A314" s="2867"/>
      <c r="B314" s="2867"/>
      <c r="C314" s="2867"/>
      <c r="D314" s="2867"/>
      <c r="E314" s="2867"/>
      <c r="F314" s="2867"/>
      <c r="G314" s="2867"/>
      <c r="H314" s="2867"/>
      <c r="I314" s="2867"/>
      <c r="J314" s="2867"/>
      <c r="K314" s="2867"/>
      <c r="L314" s="2867"/>
      <c r="M314" s="2867"/>
      <c r="O314" s="2867"/>
      <c r="P314" s="2867"/>
      <c r="Q314" s="2867"/>
      <c r="R314" s="2867"/>
      <c r="S314" s="2867"/>
      <c r="T314" s="2867"/>
      <c r="U314" s="2867"/>
      <c r="V314" s="2867"/>
      <c r="W314" s="2867"/>
      <c r="X314" s="2867"/>
      <c r="Y314" s="2867"/>
      <c r="Z314" s="2867"/>
      <c r="AA314" s="2867"/>
      <c r="AB314" s="2867"/>
      <c r="AC314" s="2867"/>
      <c r="AD314" s="2867"/>
      <c r="AE314" s="2867"/>
      <c r="AF314" s="2867"/>
      <c r="AG314" s="2867"/>
      <c r="AH314" s="2867"/>
      <c r="AI314" s="2867"/>
      <c r="AJ314" s="2867"/>
      <c r="AK314" s="2867"/>
      <c r="AL314" s="2867"/>
      <c r="AM314" s="2867"/>
      <c r="AN314" s="2867"/>
      <c r="AO314" s="2867"/>
      <c r="AP314" s="2867"/>
      <c r="AQ314" s="2867"/>
      <c r="AR314" s="2867"/>
      <c r="AS314" s="2867"/>
      <c r="AT314" s="2867"/>
      <c r="AU314" s="2867"/>
      <c r="AV314" s="2867"/>
      <c r="AW314" s="2867"/>
      <c r="AX314" s="2867"/>
      <c r="AY314" s="2867"/>
      <c r="AZ314" s="2867"/>
      <c r="BA314" s="2867"/>
      <c r="BB314" s="2867"/>
      <c r="BC314" s="2867"/>
      <c r="BD314" s="2867"/>
      <c r="BE314" s="2867"/>
      <c r="BF314" s="2867"/>
      <c r="BG314" s="2867"/>
      <c r="BH314" s="2867"/>
      <c r="BI314" s="2867"/>
      <c r="BJ314" s="2867"/>
      <c r="BK314" s="2867"/>
      <c r="BL314" s="2867"/>
      <c r="BM314" s="2867"/>
      <c r="BN314" s="2867"/>
      <c r="BO314" s="2867"/>
      <c r="BP314" s="2867"/>
      <c r="BQ314" s="2867"/>
      <c r="BR314" s="2867"/>
      <c r="BS314" s="2867"/>
      <c r="BT314" s="2867"/>
      <c r="BU314" s="2867"/>
      <c r="BV314" s="2867"/>
      <c r="BW314" s="2867"/>
      <c r="BX314" s="2867"/>
      <c r="BY314" s="2867"/>
      <c r="BZ314" s="2867"/>
      <c r="CA314" s="2867"/>
      <c r="CB314" s="2867"/>
      <c r="CC314" s="2867"/>
      <c r="CD314" s="2867"/>
      <c r="CE314" s="2867"/>
      <c r="CF314" s="2867"/>
      <c r="CG314" s="2867"/>
      <c r="CH314" s="2867"/>
      <c r="CI314" s="2867"/>
      <c r="CJ314" s="2867"/>
      <c r="CK314" s="2867"/>
      <c r="CL314" s="2867"/>
      <c r="CM314" s="2867"/>
      <c r="CN314" s="2867"/>
      <c r="CO314" s="2867"/>
      <c r="CP314" s="2867"/>
      <c r="CQ314" s="2867"/>
      <c r="CR314" s="2867"/>
      <c r="CS314" s="2867"/>
      <c r="CT314" s="2867"/>
      <c r="CU314" s="2867"/>
      <c r="CV314" s="2867"/>
      <c r="CW314" s="2867"/>
    </row>
    <row r="315" spans="1:101">
      <c r="A315" s="2867"/>
      <c r="B315" s="2867"/>
      <c r="C315" s="2867"/>
      <c r="D315" s="2867"/>
      <c r="E315" s="2867"/>
      <c r="F315" s="2867"/>
      <c r="G315" s="2867"/>
      <c r="H315" s="2867"/>
      <c r="I315" s="2867"/>
      <c r="J315" s="2867"/>
      <c r="K315" s="2867"/>
      <c r="L315" s="2867"/>
      <c r="M315" s="2867"/>
      <c r="O315" s="2867"/>
      <c r="P315" s="2867"/>
      <c r="Q315" s="2867"/>
      <c r="R315" s="2867"/>
      <c r="S315" s="2867"/>
      <c r="T315" s="2867"/>
      <c r="U315" s="2867"/>
      <c r="V315" s="2867"/>
      <c r="W315" s="2867"/>
      <c r="X315" s="2867"/>
      <c r="Y315" s="2867"/>
      <c r="Z315" s="2867"/>
      <c r="AA315" s="2867"/>
      <c r="AB315" s="2867"/>
      <c r="AC315" s="2867"/>
      <c r="AD315" s="2867"/>
      <c r="AE315" s="2867"/>
      <c r="AF315" s="2867"/>
      <c r="AG315" s="2867"/>
      <c r="AH315" s="2867"/>
      <c r="AI315" s="2867"/>
      <c r="AJ315" s="2867"/>
      <c r="AK315" s="2867"/>
      <c r="AL315" s="2867"/>
      <c r="AM315" s="2867"/>
      <c r="AN315" s="2867"/>
      <c r="AO315" s="2867"/>
      <c r="AP315" s="2867"/>
      <c r="AQ315" s="2867"/>
      <c r="AR315" s="2867"/>
      <c r="AS315" s="2867"/>
      <c r="AT315" s="2867"/>
      <c r="AU315" s="2867"/>
      <c r="AV315" s="2867"/>
      <c r="AW315" s="2867"/>
      <c r="AX315" s="2867"/>
      <c r="AY315" s="2867"/>
      <c r="AZ315" s="2867"/>
      <c r="BA315" s="2867"/>
      <c r="BB315" s="2867"/>
      <c r="BC315" s="2867"/>
      <c r="BD315" s="2867"/>
      <c r="BE315" s="2867"/>
      <c r="BF315" s="2867"/>
      <c r="BG315" s="2867"/>
      <c r="BH315" s="2867"/>
      <c r="BI315" s="2867"/>
      <c r="BJ315" s="2867"/>
      <c r="BK315" s="2867"/>
      <c r="BL315" s="2867"/>
      <c r="BM315" s="2867"/>
      <c r="BN315" s="2867"/>
      <c r="BO315" s="2867"/>
      <c r="BP315" s="2867"/>
      <c r="BQ315" s="2867"/>
      <c r="BR315" s="2867"/>
      <c r="BS315" s="2867"/>
      <c r="BT315" s="2867"/>
      <c r="BU315" s="2867"/>
      <c r="BV315" s="2867"/>
      <c r="BW315" s="2867"/>
      <c r="BX315" s="2867"/>
      <c r="BY315" s="2867"/>
      <c r="BZ315" s="2867"/>
      <c r="CA315" s="2867"/>
      <c r="CB315" s="2867"/>
      <c r="CC315" s="2867"/>
      <c r="CD315" s="2867"/>
      <c r="CE315" s="2867"/>
      <c r="CF315" s="2867"/>
      <c r="CG315" s="2867"/>
      <c r="CH315" s="2867"/>
      <c r="CI315" s="2867"/>
      <c r="CJ315" s="2867"/>
      <c r="CK315" s="2867"/>
      <c r="CL315" s="2867"/>
      <c r="CM315" s="2867"/>
      <c r="CN315" s="2867"/>
      <c r="CO315" s="2867"/>
      <c r="CP315" s="2867"/>
      <c r="CQ315" s="2867"/>
      <c r="CR315" s="2867"/>
      <c r="CS315" s="2867"/>
      <c r="CT315" s="2867"/>
      <c r="CU315" s="2867"/>
      <c r="CV315" s="2867"/>
      <c r="CW315" s="2867"/>
    </row>
    <row r="316" spans="1:101">
      <c r="A316" s="2867"/>
      <c r="B316" s="2867"/>
      <c r="C316" s="2867"/>
      <c r="D316" s="2867"/>
      <c r="E316" s="2867"/>
      <c r="F316" s="2867"/>
      <c r="G316" s="2867"/>
      <c r="H316" s="2867"/>
      <c r="I316" s="2867"/>
      <c r="J316" s="2867"/>
      <c r="K316" s="2867"/>
      <c r="L316" s="2867"/>
      <c r="M316" s="2867"/>
      <c r="O316" s="2867"/>
      <c r="P316" s="2867"/>
      <c r="Q316" s="2867"/>
      <c r="R316" s="2867"/>
      <c r="S316" s="2867"/>
      <c r="T316" s="2867"/>
      <c r="U316" s="2867"/>
      <c r="V316" s="2867"/>
      <c r="W316" s="2867"/>
      <c r="X316" s="2867"/>
      <c r="Y316" s="2867"/>
      <c r="Z316" s="2867"/>
      <c r="AA316" s="2867"/>
      <c r="AB316" s="2867"/>
      <c r="AC316" s="2867"/>
      <c r="AD316" s="2867"/>
      <c r="AE316" s="2867"/>
      <c r="AF316" s="2867"/>
      <c r="AG316" s="2867"/>
      <c r="AH316" s="2867"/>
      <c r="AI316" s="2867"/>
      <c r="AJ316" s="2867"/>
      <c r="AK316" s="2867"/>
      <c r="AL316" s="2867"/>
      <c r="AM316" s="2867"/>
      <c r="AN316" s="2867"/>
      <c r="AO316" s="2867"/>
      <c r="AP316" s="2867"/>
      <c r="AQ316" s="2867"/>
      <c r="AR316" s="2867"/>
      <c r="AS316" s="2867"/>
      <c r="AT316" s="2867"/>
      <c r="AU316" s="2867"/>
      <c r="AV316" s="2867"/>
      <c r="AW316" s="2867"/>
      <c r="AX316" s="2867"/>
      <c r="AY316" s="2867"/>
      <c r="AZ316" s="2867"/>
      <c r="BA316" s="2867"/>
      <c r="BB316" s="2867"/>
      <c r="BC316" s="2867"/>
      <c r="BD316" s="2867"/>
      <c r="BE316" s="2867"/>
      <c r="BF316" s="2867"/>
      <c r="BG316" s="2867"/>
      <c r="BH316" s="2867"/>
      <c r="BI316" s="2867"/>
      <c r="BJ316" s="2867"/>
      <c r="BK316" s="2867"/>
      <c r="BL316" s="2867"/>
      <c r="BM316" s="2867"/>
      <c r="BN316" s="2867"/>
      <c r="BO316" s="2867"/>
      <c r="BP316" s="2867"/>
      <c r="BQ316" s="2867"/>
      <c r="BR316" s="2867"/>
      <c r="BS316" s="2867"/>
      <c r="BT316" s="2867"/>
      <c r="BU316" s="2867"/>
      <c r="BV316" s="2867"/>
      <c r="BW316" s="2867"/>
      <c r="BX316" s="2867"/>
      <c r="BY316" s="2867"/>
      <c r="BZ316" s="2867"/>
      <c r="CA316" s="2867"/>
      <c r="CB316" s="2867"/>
      <c r="CC316" s="2867"/>
      <c r="CD316" s="2867"/>
      <c r="CE316" s="2867"/>
      <c r="CF316" s="2867"/>
      <c r="CG316" s="2867"/>
      <c r="CH316" s="2867"/>
      <c r="CI316" s="2867"/>
      <c r="CJ316" s="2867"/>
      <c r="CK316" s="2867"/>
      <c r="CL316" s="2867"/>
      <c r="CM316" s="2867"/>
      <c r="CN316" s="2867"/>
      <c r="CO316" s="2867"/>
      <c r="CP316" s="2867"/>
      <c r="CQ316" s="2867"/>
      <c r="CR316" s="2867"/>
      <c r="CS316" s="2867"/>
      <c r="CT316" s="2867"/>
      <c r="CU316" s="2867"/>
      <c r="CV316" s="2867"/>
      <c r="CW316" s="2867"/>
    </row>
    <row r="317" spans="1:101">
      <c r="A317" s="2867"/>
      <c r="B317" s="2867"/>
      <c r="C317" s="2867"/>
      <c r="D317" s="2867"/>
      <c r="E317" s="2867"/>
      <c r="F317" s="2867"/>
      <c r="G317" s="2867"/>
      <c r="H317" s="2867"/>
      <c r="I317" s="2867"/>
      <c r="J317" s="2867"/>
      <c r="K317" s="2867"/>
      <c r="L317" s="2867"/>
      <c r="M317" s="2867"/>
      <c r="O317" s="2867"/>
      <c r="P317" s="2867"/>
      <c r="Q317" s="2867"/>
      <c r="R317" s="2867"/>
      <c r="S317" s="2867"/>
      <c r="T317" s="2867"/>
      <c r="U317" s="2867"/>
      <c r="V317" s="2867"/>
      <c r="W317" s="2867"/>
      <c r="X317" s="2867"/>
      <c r="Y317" s="2867"/>
      <c r="Z317" s="2867"/>
      <c r="AA317" s="2867"/>
      <c r="AB317" s="2867"/>
      <c r="AC317" s="2867"/>
      <c r="AD317" s="2867"/>
      <c r="AE317" s="2867"/>
      <c r="AF317" s="2867"/>
      <c r="AG317" s="2867"/>
      <c r="AH317" s="2867"/>
      <c r="AI317" s="2867"/>
      <c r="AJ317" s="2867"/>
      <c r="AK317" s="2867"/>
      <c r="AL317" s="2867"/>
      <c r="AM317" s="2867"/>
      <c r="AN317" s="2867"/>
      <c r="AO317" s="2867"/>
      <c r="AP317" s="2867"/>
      <c r="AQ317" s="2867"/>
      <c r="AR317" s="2867"/>
      <c r="AS317" s="2867"/>
      <c r="AT317" s="2867"/>
      <c r="AU317" s="2867"/>
      <c r="AV317" s="2867"/>
      <c r="AW317" s="2867"/>
      <c r="AX317" s="2867"/>
      <c r="AY317" s="2867"/>
      <c r="AZ317" s="2867"/>
      <c r="BA317" s="2867"/>
      <c r="BB317" s="2867"/>
      <c r="BC317" s="2867"/>
      <c r="BD317" s="2867"/>
      <c r="BE317" s="2867"/>
      <c r="BF317" s="2867"/>
      <c r="BG317" s="2867"/>
      <c r="BH317" s="2867"/>
      <c r="BI317" s="2867"/>
      <c r="BJ317" s="2867"/>
      <c r="BK317" s="2867"/>
      <c r="BL317" s="2867"/>
      <c r="BM317" s="2867"/>
      <c r="BN317" s="2867"/>
      <c r="BO317" s="2867"/>
      <c r="BP317" s="2867"/>
      <c r="BQ317" s="2867"/>
      <c r="BR317" s="2867"/>
      <c r="BS317" s="2867"/>
      <c r="BT317" s="2867"/>
      <c r="BU317" s="2867"/>
      <c r="BV317" s="2867"/>
      <c r="BW317" s="2867"/>
      <c r="BX317" s="2867"/>
      <c r="BY317" s="2867"/>
      <c r="BZ317" s="2867"/>
      <c r="CA317" s="2867"/>
      <c r="CB317" s="2867"/>
      <c r="CC317" s="2867"/>
      <c r="CD317" s="2867"/>
      <c r="CE317" s="2867"/>
      <c r="CF317" s="2867"/>
      <c r="CG317" s="2867"/>
      <c r="CH317" s="2867"/>
      <c r="CI317" s="2867"/>
      <c r="CJ317" s="2867"/>
      <c r="CK317" s="2867"/>
      <c r="CL317" s="2867"/>
      <c r="CM317" s="2867"/>
      <c r="CN317" s="2867"/>
      <c r="CO317" s="2867"/>
      <c r="CP317" s="2867"/>
      <c r="CQ317" s="2867"/>
      <c r="CR317" s="2867"/>
      <c r="CS317" s="2867"/>
      <c r="CT317" s="2867"/>
      <c r="CU317" s="2867"/>
      <c r="CV317" s="2867"/>
      <c r="CW317" s="2867"/>
    </row>
    <row r="318" spans="1:101">
      <c r="A318" s="2867"/>
      <c r="B318" s="2867"/>
      <c r="C318" s="2867"/>
      <c r="D318" s="2867"/>
      <c r="E318" s="2867"/>
      <c r="F318" s="2867"/>
      <c r="G318" s="2867"/>
      <c r="H318" s="2867"/>
      <c r="I318" s="2867"/>
      <c r="J318" s="2867"/>
      <c r="K318" s="2867"/>
      <c r="L318" s="2867"/>
      <c r="M318" s="2867"/>
      <c r="O318" s="2867"/>
      <c r="P318" s="2867"/>
      <c r="Q318" s="2867"/>
      <c r="R318" s="2867"/>
      <c r="S318" s="2867"/>
      <c r="T318" s="2867"/>
      <c r="U318" s="2867"/>
      <c r="V318" s="2867"/>
      <c r="W318" s="2867"/>
      <c r="X318" s="2867"/>
      <c r="Y318" s="2867"/>
      <c r="Z318" s="2867"/>
      <c r="AA318" s="2867"/>
      <c r="AB318" s="2867"/>
      <c r="AC318" s="2867"/>
      <c r="AD318" s="2867"/>
      <c r="AE318" s="2867"/>
      <c r="AF318" s="2867"/>
      <c r="AG318" s="2867"/>
      <c r="AH318" s="2867"/>
      <c r="AI318" s="2867"/>
      <c r="AJ318" s="2867"/>
      <c r="AK318" s="2867"/>
      <c r="AL318" s="2867"/>
      <c r="AM318" s="2867"/>
      <c r="AN318" s="2867"/>
      <c r="AO318" s="2867"/>
      <c r="AP318" s="2867"/>
      <c r="AQ318" s="2867"/>
      <c r="AR318" s="2867"/>
      <c r="AS318" s="2867"/>
      <c r="AT318" s="2867"/>
      <c r="AU318" s="2867"/>
      <c r="AV318" s="2867"/>
      <c r="AW318" s="2867"/>
      <c r="AX318" s="2867"/>
      <c r="AY318" s="2867"/>
      <c r="AZ318" s="2867"/>
      <c r="BA318" s="2867"/>
      <c r="BB318" s="2867"/>
      <c r="BC318" s="2867"/>
      <c r="BD318" s="2867"/>
      <c r="BE318" s="2867"/>
      <c r="BF318" s="2867"/>
      <c r="BG318" s="2867"/>
      <c r="BH318" s="2867"/>
      <c r="BI318" s="2867"/>
      <c r="BJ318" s="2867"/>
      <c r="BK318" s="2867"/>
      <c r="BL318" s="2867"/>
      <c r="BM318" s="2867"/>
      <c r="BN318" s="2867"/>
      <c r="BO318" s="2867"/>
      <c r="BP318" s="2867"/>
      <c r="BQ318" s="2867"/>
      <c r="BR318" s="2867"/>
      <c r="BS318" s="2867"/>
      <c r="BT318" s="2867"/>
      <c r="BU318" s="2867"/>
      <c r="BV318" s="2867"/>
      <c r="BW318" s="2867"/>
      <c r="BX318" s="2867"/>
      <c r="BY318" s="2867"/>
      <c r="BZ318" s="2867"/>
      <c r="CA318" s="2867"/>
      <c r="CB318" s="2867"/>
      <c r="CC318" s="2867"/>
      <c r="CD318" s="2867"/>
      <c r="CE318" s="2867"/>
      <c r="CF318" s="2867"/>
      <c r="CG318" s="2867"/>
      <c r="CH318" s="2867"/>
      <c r="CI318" s="2867"/>
      <c r="CJ318" s="2867"/>
      <c r="CK318" s="2867"/>
      <c r="CL318" s="2867"/>
      <c r="CM318" s="2867"/>
      <c r="CN318" s="2867"/>
      <c r="CO318" s="2867"/>
      <c r="CP318" s="2867"/>
      <c r="CQ318" s="2867"/>
      <c r="CR318" s="2867"/>
      <c r="CS318" s="2867"/>
      <c r="CT318" s="2867"/>
      <c r="CU318" s="2867"/>
      <c r="CV318" s="2867"/>
      <c r="CW318" s="2867"/>
    </row>
    <row r="319" spans="1:101">
      <c r="A319" s="2867"/>
      <c r="B319" s="2867"/>
      <c r="C319" s="2867"/>
      <c r="D319" s="2867"/>
      <c r="E319" s="2867"/>
      <c r="F319" s="2867"/>
      <c r="G319" s="2867"/>
      <c r="H319" s="2867"/>
      <c r="I319" s="2867"/>
      <c r="J319" s="2867"/>
      <c r="K319" s="2867"/>
      <c r="L319" s="2867"/>
      <c r="M319" s="2867"/>
      <c r="O319" s="2867"/>
      <c r="P319" s="2867"/>
      <c r="Q319" s="2867"/>
      <c r="R319" s="2867"/>
      <c r="S319" s="2867"/>
      <c r="T319" s="2867"/>
      <c r="U319" s="2867"/>
      <c r="V319" s="2867"/>
      <c r="W319" s="2867"/>
      <c r="X319" s="2867"/>
      <c r="Y319" s="2867"/>
      <c r="Z319" s="2867"/>
      <c r="AA319" s="2867"/>
      <c r="AB319" s="2867"/>
      <c r="AC319" s="2867"/>
      <c r="AD319" s="2867"/>
      <c r="AE319" s="2867"/>
      <c r="AF319" s="2867"/>
      <c r="AG319" s="2867"/>
      <c r="AH319" s="2867"/>
      <c r="AI319" s="2867"/>
      <c r="AJ319" s="2867"/>
      <c r="AK319" s="2867"/>
      <c r="AL319" s="2867"/>
      <c r="AM319" s="2867"/>
      <c r="AN319" s="2867"/>
      <c r="AO319" s="2867"/>
      <c r="AP319" s="2867"/>
      <c r="AQ319" s="2867"/>
      <c r="AR319" s="2867"/>
      <c r="AS319" s="2867"/>
      <c r="AT319" s="2867"/>
      <c r="AU319" s="2867"/>
      <c r="AV319" s="2867"/>
      <c r="AW319" s="2867"/>
      <c r="AX319" s="2867"/>
      <c r="AY319" s="2867"/>
      <c r="AZ319" s="2867"/>
      <c r="BA319" s="2867"/>
      <c r="BB319" s="2867"/>
      <c r="BC319" s="2867"/>
      <c r="BD319" s="2867"/>
      <c r="BE319" s="2867"/>
      <c r="BF319" s="2867"/>
      <c r="BG319" s="2867"/>
      <c r="BH319" s="2867"/>
      <c r="BI319" s="2867"/>
      <c r="BJ319" s="2867"/>
      <c r="BK319" s="2867"/>
      <c r="BL319" s="2867"/>
      <c r="BM319" s="2867"/>
      <c r="BN319" s="2867"/>
      <c r="BO319" s="2867"/>
      <c r="BP319" s="2867"/>
      <c r="BQ319" s="2867"/>
      <c r="BR319" s="2867"/>
      <c r="BS319" s="2867"/>
      <c r="BT319" s="2867"/>
      <c r="BU319" s="2867"/>
      <c r="BV319" s="2867"/>
      <c r="BW319" s="2867"/>
      <c r="BX319" s="2867"/>
      <c r="BY319" s="2867"/>
      <c r="BZ319" s="2867"/>
      <c r="CA319" s="2867"/>
      <c r="CB319" s="2867"/>
      <c r="CC319" s="2867"/>
      <c r="CD319" s="2867"/>
      <c r="CE319" s="2867"/>
      <c r="CF319" s="2867"/>
      <c r="CG319" s="2867"/>
      <c r="CH319" s="2867"/>
      <c r="CI319" s="2867"/>
      <c r="CJ319" s="2867"/>
      <c r="CK319" s="2867"/>
      <c r="CL319" s="2867"/>
      <c r="CM319" s="2867"/>
      <c r="CN319" s="2867"/>
      <c r="CO319" s="2867"/>
      <c r="CP319" s="2867"/>
      <c r="CQ319" s="2867"/>
      <c r="CR319" s="2867"/>
      <c r="CS319" s="2867"/>
      <c r="CT319" s="2867"/>
      <c r="CU319" s="2867"/>
      <c r="CV319" s="2867"/>
      <c r="CW319" s="2867"/>
    </row>
    <row r="320" spans="1:101">
      <c r="A320" s="2867"/>
      <c r="B320" s="2867"/>
      <c r="C320" s="2867"/>
      <c r="D320" s="2867"/>
      <c r="E320" s="2867"/>
      <c r="F320" s="2867"/>
      <c r="G320" s="2867"/>
      <c r="H320" s="2867"/>
      <c r="I320" s="2867"/>
      <c r="J320" s="2867"/>
      <c r="K320" s="2867"/>
      <c r="L320" s="2867"/>
      <c r="M320" s="2867"/>
      <c r="O320" s="2867"/>
      <c r="P320" s="2867"/>
      <c r="Q320" s="2867"/>
      <c r="R320" s="2867"/>
      <c r="S320" s="2867"/>
      <c r="T320" s="2867"/>
      <c r="U320" s="2867"/>
      <c r="V320" s="2867"/>
      <c r="W320" s="2867"/>
      <c r="X320" s="2867"/>
      <c r="Y320" s="2867"/>
      <c r="Z320" s="2867"/>
      <c r="AA320" s="2867"/>
      <c r="AB320" s="2867"/>
      <c r="AC320" s="2867"/>
      <c r="AD320" s="2867"/>
      <c r="AE320" s="2867"/>
      <c r="AF320" s="2867"/>
      <c r="AG320" s="2867"/>
      <c r="AH320" s="2867"/>
      <c r="AI320" s="2867"/>
      <c r="AJ320" s="2867"/>
      <c r="AK320" s="2867"/>
      <c r="AL320" s="2867"/>
      <c r="AM320" s="2867"/>
      <c r="AN320" s="2867"/>
      <c r="AO320" s="2867"/>
      <c r="AP320" s="2867"/>
      <c r="AQ320" s="2867"/>
      <c r="AR320" s="2867"/>
      <c r="AS320" s="2867"/>
      <c r="AT320" s="2867"/>
      <c r="AU320" s="2867"/>
      <c r="AV320" s="2867"/>
      <c r="AW320" s="2867"/>
      <c r="AX320" s="2867"/>
      <c r="AY320" s="2867"/>
      <c r="AZ320" s="2867"/>
      <c r="BA320" s="2867"/>
      <c r="BB320" s="2867"/>
      <c r="BC320" s="2867"/>
      <c r="BD320" s="2867"/>
      <c r="BE320" s="2867"/>
      <c r="BF320" s="2867"/>
      <c r="BG320" s="2867"/>
      <c r="BH320" s="2867"/>
      <c r="BI320" s="2867"/>
      <c r="BJ320" s="2867"/>
      <c r="BK320" s="2867"/>
      <c r="BL320" s="2867"/>
      <c r="BM320" s="2867"/>
      <c r="BN320" s="2867"/>
      <c r="BO320" s="2867"/>
      <c r="BP320" s="2867"/>
      <c r="BQ320" s="2867"/>
      <c r="BR320" s="2867"/>
      <c r="BS320" s="2867"/>
      <c r="BT320" s="2867"/>
      <c r="BU320" s="2867"/>
      <c r="BV320" s="2867"/>
      <c r="BW320" s="2867"/>
      <c r="BX320" s="2867"/>
      <c r="BY320" s="2867"/>
      <c r="BZ320" s="2867"/>
      <c r="CA320" s="2867"/>
      <c r="CB320" s="2867"/>
      <c r="CC320" s="2867"/>
      <c r="CD320" s="2867"/>
      <c r="CE320" s="2867"/>
      <c r="CF320" s="2867"/>
      <c r="CG320" s="2867"/>
      <c r="CH320" s="2867"/>
      <c r="CI320" s="2867"/>
      <c r="CJ320" s="2867"/>
      <c r="CK320" s="2867"/>
      <c r="CL320" s="2867"/>
      <c r="CM320" s="2867"/>
      <c r="CN320" s="2867"/>
      <c r="CO320" s="2867"/>
      <c r="CP320" s="2867"/>
      <c r="CQ320" s="2867"/>
      <c r="CR320" s="2867"/>
      <c r="CS320" s="2867"/>
      <c r="CT320" s="2867"/>
      <c r="CU320" s="2867"/>
      <c r="CV320" s="2867"/>
      <c r="CW320" s="2867"/>
    </row>
    <row r="321" spans="1:101">
      <c r="A321" s="2867"/>
      <c r="B321" s="2867"/>
      <c r="C321" s="2867"/>
      <c r="D321" s="2867"/>
      <c r="E321" s="2867"/>
      <c r="F321" s="2867"/>
      <c r="G321" s="2867"/>
      <c r="H321" s="2867"/>
      <c r="I321" s="2867"/>
      <c r="J321" s="2867"/>
      <c r="K321" s="2867"/>
      <c r="L321" s="2867"/>
      <c r="M321" s="2867"/>
      <c r="O321" s="2867"/>
      <c r="P321" s="2867"/>
      <c r="Q321" s="2867"/>
      <c r="R321" s="2867"/>
      <c r="S321" s="2867"/>
      <c r="T321" s="2867"/>
      <c r="U321" s="2867"/>
      <c r="V321" s="2867"/>
      <c r="W321" s="2867"/>
      <c r="X321" s="2867"/>
      <c r="Y321" s="2867"/>
      <c r="Z321" s="2867"/>
      <c r="AA321" s="2867"/>
      <c r="AB321" s="2867"/>
      <c r="AC321" s="2867"/>
      <c r="AD321" s="2867"/>
      <c r="AE321" s="2867"/>
      <c r="AF321" s="2867"/>
      <c r="AG321" s="2867"/>
      <c r="AH321" s="2867"/>
      <c r="AI321" s="2867"/>
      <c r="AJ321" s="2867"/>
      <c r="AK321" s="2867"/>
      <c r="AL321" s="2867"/>
      <c r="AM321" s="2867"/>
      <c r="AN321" s="2867"/>
      <c r="AO321" s="2867"/>
      <c r="AP321" s="2867"/>
      <c r="AQ321" s="2867"/>
      <c r="AR321" s="2867"/>
      <c r="AS321" s="2867"/>
      <c r="AT321" s="2867"/>
      <c r="AU321" s="2867"/>
      <c r="AV321" s="2867"/>
      <c r="AW321" s="2867"/>
      <c r="AX321" s="2867"/>
      <c r="AY321" s="2867"/>
      <c r="AZ321" s="2867"/>
      <c r="BA321" s="2867"/>
      <c r="BB321" s="2867"/>
      <c r="BC321" s="2867"/>
      <c r="BD321" s="2867"/>
      <c r="BE321" s="2867"/>
      <c r="BF321" s="2867"/>
      <c r="BG321" s="2867"/>
      <c r="BH321" s="2867"/>
      <c r="BI321" s="2867"/>
      <c r="BJ321" s="2867"/>
      <c r="BK321" s="2867"/>
      <c r="BL321" s="2867"/>
      <c r="BM321" s="2867"/>
      <c r="BN321" s="2867"/>
      <c r="BO321" s="2867"/>
      <c r="BP321" s="2867"/>
      <c r="BQ321" s="2867"/>
      <c r="BR321" s="2867"/>
      <c r="BS321" s="2867"/>
      <c r="BT321" s="2867"/>
      <c r="BU321" s="2867"/>
      <c r="BV321" s="2867"/>
      <c r="BW321" s="2867"/>
      <c r="BX321" s="2867"/>
      <c r="BY321" s="2867"/>
      <c r="BZ321" s="2867"/>
      <c r="CA321" s="2867"/>
      <c r="CB321" s="2867"/>
      <c r="CC321" s="2867"/>
      <c r="CD321" s="2867"/>
      <c r="CE321" s="2867"/>
      <c r="CF321" s="2867"/>
      <c r="CG321" s="2867"/>
      <c r="CH321" s="2867"/>
      <c r="CI321" s="2867"/>
      <c r="CJ321" s="2867"/>
      <c r="CK321" s="2867"/>
      <c r="CL321" s="2867"/>
      <c r="CM321" s="2867"/>
      <c r="CN321" s="2867"/>
      <c r="CO321" s="2867"/>
      <c r="CP321" s="2867"/>
      <c r="CQ321" s="2867"/>
      <c r="CR321" s="2867"/>
      <c r="CS321" s="2867"/>
      <c r="CT321" s="2867"/>
      <c r="CU321" s="2867"/>
      <c r="CV321" s="2867"/>
      <c r="CW321" s="2867"/>
    </row>
    <row r="322" spans="1:101">
      <c r="A322" s="2867"/>
      <c r="B322" s="2867"/>
      <c r="C322" s="2867"/>
      <c r="D322" s="2867"/>
      <c r="E322" s="2867"/>
      <c r="F322" s="2867"/>
      <c r="G322" s="2867"/>
      <c r="H322" s="2867"/>
      <c r="I322" s="2867"/>
      <c r="J322" s="2867"/>
      <c r="K322" s="2867"/>
      <c r="L322" s="2867"/>
      <c r="M322" s="2867"/>
      <c r="O322" s="2867"/>
      <c r="P322" s="2867"/>
      <c r="Q322" s="2867"/>
      <c r="R322" s="2867"/>
      <c r="S322" s="2867"/>
      <c r="T322" s="2867"/>
      <c r="U322" s="2867"/>
      <c r="V322" s="2867"/>
      <c r="W322" s="2867"/>
      <c r="X322" s="2867"/>
      <c r="Y322" s="2867"/>
      <c r="Z322" s="2867"/>
      <c r="AA322" s="2867"/>
      <c r="AB322" s="2867"/>
      <c r="AC322" s="2867"/>
      <c r="AD322" s="2867"/>
      <c r="AE322" s="2867"/>
      <c r="AF322" s="2867"/>
      <c r="AG322" s="2867"/>
      <c r="AH322" s="2867"/>
      <c r="AI322" s="2867"/>
      <c r="AJ322" s="2867"/>
      <c r="AK322" s="2867"/>
      <c r="AL322" s="2867"/>
      <c r="AM322" s="2867"/>
      <c r="AN322" s="2867"/>
      <c r="AO322" s="2867"/>
      <c r="AP322" s="2867"/>
      <c r="AQ322" s="2867"/>
      <c r="AR322" s="2867"/>
      <c r="AS322" s="2867"/>
      <c r="AT322" s="2867"/>
      <c r="AU322" s="2867"/>
      <c r="AV322" s="2867"/>
      <c r="AW322" s="2867"/>
      <c r="AX322" s="2867"/>
      <c r="AY322" s="2867"/>
      <c r="AZ322" s="2867"/>
      <c r="BA322" s="2867"/>
      <c r="BB322" s="2867"/>
      <c r="BC322" s="2867"/>
      <c r="BD322" s="2867"/>
      <c r="BE322" s="2867"/>
      <c r="BF322" s="2867"/>
      <c r="BG322" s="2867"/>
      <c r="BH322" s="2867"/>
      <c r="BI322" s="2867"/>
      <c r="BJ322" s="2867"/>
      <c r="BK322" s="2867"/>
      <c r="BL322" s="2867"/>
      <c r="BM322" s="2867"/>
      <c r="BN322" s="2867"/>
      <c r="BO322" s="2867"/>
      <c r="BP322" s="2867"/>
      <c r="BQ322" s="2867"/>
      <c r="BR322" s="2867"/>
      <c r="BS322" s="2867"/>
      <c r="BT322" s="2867"/>
      <c r="BU322" s="2867"/>
      <c r="BV322" s="2867"/>
      <c r="BW322" s="2867"/>
      <c r="BX322" s="2867"/>
      <c r="BY322" s="2867"/>
      <c r="BZ322" s="2867"/>
      <c r="CA322" s="2867"/>
      <c r="CB322" s="2867"/>
      <c r="CC322" s="2867"/>
      <c r="CD322" s="2867"/>
      <c r="CE322" s="2867"/>
      <c r="CF322" s="2867"/>
      <c r="CG322" s="2867"/>
      <c r="CH322" s="2867"/>
      <c r="CI322" s="2867"/>
      <c r="CJ322" s="2867"/>
      <c r="CK322" s="2867"/>
      <c r="CL322" s="2867"/>
      <c r="CM322" s="2867"/>
      <c r="CN322" s="2867"/>
      <c r="CO322" s="2867"/>
      <c r="CP322" s="2867"/>
      <c r="CQ322" s="2867"/>
      <c r="CR322" s="2867"/>
      <c r="CS322" s="2867"/>
      <c r="CT322" s="2867"/>
      <c r="CU322" s="2867"/>
      <c r="CV322" s="2867"/>
      <c r="CW322" s="2867"/>
    </row>
    <row r="323" spans="1:101">
      <c r="A323" s="2867"/>
      <c r="B323" s="2867"/>
      <c r="C323" s="2867"/>
      <c r="D323" s="2867"/>
      <c r="E323" s="2867"/>
      <c r="F323" s="2867"/>
      <c r="G323" s="2867"/>
      <c r="H323" s="2867"/>
      <c r="I323" s="2867"/>
      <c r="J323" s="2867"/>
      <c r="K323" s="2867"/>
      <c r="L323" s="2867"/>
      <c r="M323" s="2867"/>
      <c r="O323" s="2867"/>
      <c r="P323" s="2867"/>
      <c r="Q323" s="2867"/>
      <c r="R323" s="2867"/>
      <c r="S323" s="2867"/>
      <c r="T323" s="2867"/>
      <c r="U323" s="2867"/>
      <c r="V323" s="2867"/>
      <c r="W323" s="2867"/>
      <c r="X323" s="2867"/>
      <c r="Y323" s="2867"/>
      <c r="Z323" s="2867"/>
      <c r="AA323" s="2867"/>
      <c r="AB323" s="2867"/>
      <c r="AC323" s="2867"/>
      <c r="AD323" s="2867"/>
      <c r="AE323" s="2867"/>
      <c r="AF323" s="2867"/>
      <c r="AG323" s="2867"/>
      <c r="AH323" s="2867"/>
      <c r="AI323" s="2867"/>
      <c r="AJ323" s="2867"/>
      <c r="AK323" s="2867"/>
      <c r="AL323" s="2867"/>
      <c r="AM323" s="2867"/>
      <c r="AN323" s="2867"/>
      <c r="AO323" s="2867"/>
      <c r="AP323" s="2867"/>
      <c r="AQ323" s="2867"/>
      <c r="AR323" s="2867"/>
      <c r="AS323" s="2867"/>
      <c r="AT323" s="2867"/>
      <c r="AU323" s="2867"/>
      <c r="AV323" s="2867"/>
      <c r="AW323" s="2867"/>
      <c r="AX323" s="2867"/>
      <c r="AY323" s="2867"/>
      <c r="AZ323" s="2867"/>
      <c r="BA323" s="2867"/>
      <c r="BB323" s="2867"/>
      <c r="BC323" s="2867"/>
      <c r="BD323" s="2867"/>
      <c r="BE323" s="2867"/>
      <c r="BF323" s="2867"/>
      <c r="BG323" s="2867"/>
      <c r="BH323" s="2867"/>
      <c r="BI323" s="2867"/>
      <c r="BJ323" s="2867"/>
      <c r="BK323" s="2867"/>
      <c r="BL323" s="2867"/>
      <c r="BM323" s="2867"/>
      <c r="BN323" s="2867"/>
      <c r="BO323" s="2867"/>
      <c r="BP323" s="2867"/>
      <c r="BQ323" s="2867"/>
      <c r="BR323" s="2867"/>
      <c r="BS323" s="2867"/>
      <c r="BT323" s="2867"/>
      <c r="BU323" s="2867"/>
      <c r="BV323" s="2867"/>
      <c r="BW323" s="2867"/>
      <c r="BX323" s="2867"/>
      <c r="BY323" s="2867"/>
      <c r="BZ323" s="2867"/>
      <c r="CA323" s="2867"/>
      <c r="CB323" s="2867"/>
      <c r="CC323" s="2867"/>
      <c r="CD323" s="2867"/>
      <c r="CE323" s="2867"/>
      <c r="CF323" s="2867"/>
      <c r="CG323" s="2867"/>
      <c r="CH323" s="2867"/>
      <c r="CI323" s="2867"/>
      <c r="CJ323" s="2867"/>
      <c r="CK323" s="2867"/>
      <c r="CL323" s="2867"/>
      <c r="CM323" s="2867"/>
      <c r="CN323" s="2867"/>
      <c r="CO323" s="2867"/>
      <c r="CP323" s="2867"/>
      <c r="CQ323" s="2867"/>
      <c r="CR323" s="2867"/>
      <c r="CS323" s="2867"/>
      <c r="CT323" s="2867"/>
      <c r="CU323" s="2867"/>
      <c r="CV323" s="2867"/>
      <c r="CW323" s="2867"/>
    </row>
    <row r="324" spans="1:101">
      <c r="A324" s="2867"/>
      <c r="B324" s="2867"/>
      <c r="C324" s="2867"/>
      <c r="D324" s="2867"/>
      <c r="E324" s="2867"/>
      <c r="F324" s="2867"/>
      <c r="G324" s="2867"/>
      <c r="H324" s="2867"/>
      <c r="I324" s="2867"/>
      <c r="J324" s="2867"/>
      <c r="K324" s="2867"/>
      <c r="L324" s="2867"/>
      <c r="M324" s="2867"/>
      <c r="O324" s="2867"/>
      <c r="P324" s="2867"/>
      <c r="Q324" s="2867"/>
      <c r="R324" s="2867"/>
      <c r="S324" s="2867"/>
      <c r="T324" s="2867"/>
      <c r="U324" s="2867"/>
      <c r="V324" s="2867"/>
      <c r="W324" s="2867"/>
      <c r="X324" s="2867"/>
      <c r="Y324" s="2867"/>
      <c r="Z324" s="2867"/>
      <c r="AA324" s="2867"/>
      <c r="AB324" s="2867"/>
      <c r="AC324" s="2867"/>
      <c r="AD324" s="2867"/>
      <c r="AE324" s="2867"/>
      <c r="AF324" s="2867"/>
      <c r="AG324" s="2867"/>
      <c r="AH324" s="2867"/>
      <c r="AI324" s="2867"/>
      <c r="AJ324" s="2867"/>
      <c r="AK324" s="2867"/>
      <c r="AL324" s="2867"/>
      <c r="AM324" s="2867"/>
      <c r="AN324" s="2867"/>
      <c r="AO324" s="2867"/>
      <c r="AP324" s="2867"/>
      <c r="AQ324" s="2867"/>
      <c r="AR324" s="2867"/>
      <c r="AS324" s="2867"/>
      <c r="AT324" s="2867"/>
      <c r="AU324" s="2867"/>
      <c r="AV324" s="2867"/>
      <c r="AW324" s="2867"/>
      <c r="AX324" s="2867"/>
      <c r="AY324" s="2867"/>
      <c r="AZ324" s="2867"/>
      <c r="BA324" s="2867"/>
      <c r="BB324" s="2867"/>
      <c r="BC324" s="2867"/>
      <c r="BD324" s="2867"/>
      <c r="BE324" s="2867"/>
      <c r="BF324" s="2867"/>
      <c r="BG324" s="2867"/>
      <c r="BH324" s="2867"/>
      <c r="BI324" s="2867"/>
      <c r="BJ324" s="2867"/>
      <c r="BK324" s="2867"/>
      <c r="BL324" s="2867"/>
      <c r="BM324" s="2867"/>
      <c r="BN324" s="2867"/>
      <c r="BO324" s="2867"/>
      <c r="BP324" s="2867"/>
      <c r="BQ324" s="2867"/>
      <c r="BR324" s="2867"/>
      <c r="BS324" s="2867"/>
      <c r="BT324" s="2867"/>
      <c r="BU324" s="2867"/>
      <c r="BV324" s="2867"/>
      <c r="BW324" s="2867"/>
      <c r="BX324" s="2867"/>
      <c r="BY324" s="2867"/>
      <c r="BZ324" s="2867"/>
      <c r="CA324" s="2867"/>
      <c r="CB324" s="2867"/>
      <c r="CC324" s="2867"/>
      <c r="CD324" s="2867"/>
      <c r="CE324" s="2867"/>
      <c r="CF324" s="2867"/>
      <c r="CG324" s="2867"/>
      <c r="CH324" s="2867"/>
      <c r="CI324" s="2867"/>
      <c r="CJ324" s="2867"/>
      <c r="CK324" s="2867"/>
      <c r="CL324" s="2867"/>
      <c r="CM324" s="2867"/>
      <c r="CN324" s="2867"/>
      <c r="CO324" s="2867"/>
      <c r="CP324" s="2867"/>
      <c r="CQ324" s="2867"/>
      <c r="CR324" s="2867"/>
      <c r="CS324" s="2867"/>
      <c r="CT324" s="2867"/>
      <c r="CU324" s="2867"/>
      <c r="CV324" s="2867"/>
      <c r="CW324" s="2867"/>
    </row>
    <row r="325" spans="1:101">
      <c r="A325" s="2867"/>
      <c r="B325" s="2867"/>
      <c r="C325" s="2867"/>
      <c r="D325" s="2867"/>
      <c r="E325" s="2867"/>
      <c r="F325" s="2867"/>
      <c r="G325" s="2867"/>
      <c r="H325" s="2867"/>
      <c r="I325" s="2867"/>
      <c r="J325" s="2867"/>
      <c r="K325" s="2867"/>
      <c r="L325" s="2867"/>
      <c r="M325" s="2867"/>
      <c r="O325" s="2867"/>
      <c r="P325" s="2867"/>
      <c r="Q325" s="2867"/>
      <c r="R325" s="2867"/>
      <c r="S325" s="2867"/>
      <c r="T325" s="2867"/>
      <c r="U325" s="2867"/>
      <c r="V325" s="2867"/>
      <c r="W325" s="2867"/>
      <c r="X325" s="2867"/>
      <c r="Y325" s="2867"/>
      <c r="Z325" s="2867"/>
      <c r="AA325" s="2867"/>
      <c r="AB325" s="2867"/>
      <c r="AC325" s="2867"/>
      <c r="AD325" s="2867"/>
      <c r="AE325" s="2867"/>
      <c r="AF325" s="2867"/>
      <c r="AG325" s="2867"/>
      <c r="AH325" s="2867"/>
      <c r="AI325" s="2867"/>
      <c r="AJ325" s="2867"/>
      <c r="AK325" s="2867"/>
      <c r="AL325" s="2867"/>
      <c r="AM325" s="2867"/>
      <c r="AN325" s="2867"/>
      <c r="AO325" s="2867"/>
      <c r="AP325" s="2867"/>
      <c r="AQ325" s="2867"/>
      <c r="AR325" s="2867"/>
      <c r="AS325" s="2867"/>
      <c r="AT325" s="2867"/>
      <c r="AU325" s="2867"/>
      <c r="AV325" s="2867"/>
      <c r="AW325" s="2867"/>
      <c r="AX325" s="2867"/>
      <c r="AY325" s="2867"/>
      <c r="AZ325" s="2867"/>
      <c r="BA325" s="2867"/>
      <c r="BB325" s="2867"/>
      <c r="BC325" s="2867"/>
      <c r="BD325" s="2867"/>
      <c r="BE325" s="2867"/>
      <c r="BF325" s="2867"/>
      <c r="BG325" s="2867"/>
      <c r="BH325" s="2867"/>
      <c r="BI325" s="2867"/>
      <c r="BJ325" s="2867"/>
      <c r="BK325" s="2867"/>
      <c r="BL325" s="2867"/>
      <c r="BM325" s="2867"/>
      <c r="BN325" s="2867"/>
      <c r="BO325" s="2867"/>
      <c r="BP325" s="2867"/>
      <c r="BQ325" s="2867"/>
      <c r="BR325" s="2867"/>
      <c r="BS325" s="2867"/>
      <c r="BT325" s="2867"/>
      <c r="BU325" s="2867"/>
      <c r="BV325" s="2867"/>
      <c r="BW325" s="2867"/>
      <c r="BX325" s="2867"/>
      <c r="BY325" s="2867"/>
      <c r="BZ325" s="2867"/>
      <c r="CA325" s="2867"/>
      <c r="CB325" s="2867"/>
      <c r="CC325" s="2867"/>
      <c r="CD325" s="2867"/>
      <c r="CE325" s="2867"/>
      <c r="CF325" s="2867"/>
      <c r="CG325" s="2867"/>
      <c r="CH325" s="2867"/>
      <c r="CI325" s="2867"/>
      <c r="CJ325" s="2867"/>
      <c r="CK325" s="2867"/>
      <c r="CL325" s="2867"/>
      <c r="CM325" s="2867"/>
      <c r="CN325" s="2867"/>
      <c r="CO325" s="2867"/>
      <c r="CP325" s="2867"/>
      <c r="CQ325" s="2867"/>
      <c r="CR325" s="2867"/>
      <c r="CS325" s="2867"/>
      <c r="CT325" s="2867"/>
      <c r="CU325" s="2867"/>
      <c r="CV325" s="2867"/>
      <c r="CW325" s="2867"/>
    </row>
    <row r="326" spans="1:101">
      <c r="A326" s="2867"/>
      <c r="B326" s="2867"/>
      <c r="C326" s="2867"/>
      <c r="D326" s="2867"/>
      <c r="E326" s="2867"/>
      <c r="F326" s="2867"/>
      <c r="G326" s="2867"/>
      <c r="H326" s="2867"/>
      <c r="I326" s="2867"/>
      <c r="J326" s="2867"/>
      <c r="K326" s="2867"/>
      <c r="L326" s="2867"/>
      <c r="M326" s="2867"/>
      <c r="O326" s="2867"/>
      <c r="P326" s="2867"/>
      <c r="Q326" s="2867"/>
      <c r="R326" s="2867"/>
      <c r="S326" s="2867"/>
      <c r="T326" s="2867"/>
      <c r="U326" s="2867"/>
      <c r="V326" s="2867"/>
      <c r="W326" s="2867"/>
      <c r="X326" s="2867"/>
      <c r="Y326" s="2867"/>
      <c r="Z326" s="2867"/>
      <c r="AA326" s="2867"/>
      <c r="AB326" s="2867"/>
      <c r="AC326" s="2867"/>
      <c r="AD326" s="2867"/>
      <c r="AE326" s="2867"/>
      <c r="AF326" s="2867"/>
      <c r="AG326" s="2867"/>
      <c r="AH326" s="2867"/>
      <c r="AI326" s="2867"/>
      <c r="AJ326" s="2867"/>
      <c r="AK326" s="2867"/>
      <c r="AL326" s="2867"/>
      <c r="AM326" s="2867"/>
      <c r="AN326" s="2867"/>
      <c r="AO326" s="2867"/>
      <c r="AP326" s="2867"/>
      <c r="AQ326" s="2867"/>
      <c r="AR326" s="2867"/>
      <c r="AS326" s="2867"/>
      <c r="AT326" s="2867"/>
      <c r="AU326" s="2867"/>
      <c r="AV326" s="2867"/>
      <c r="AW326" s="2867"/>
      <c r="AX326" s="2867"/>
      <c r="AY326" s="2867"/>
      <c r="AZ326" s="2867"/>
      <c r="BA326" s="2867"/>
      <c r="BB326" s="2867"/>
      <c r="BC326" s="2867"/>
      <c r="BD326" s="2867"/>
      <c r="BE326" s="2867"/>
      <c r="BF326" s="2867"/>
      <c r="BG326" s="2867"/>
      <c r="BH326" s="2867"/>
      <c r="BI326" s="2867"/>
      <c r="BJ326" s="2867"/>
      <c r="BK326" s="2867"/>
      <c r="BL326" s="2867"/>
      <c r="BM326" s="2867"/>
      <c r="BN326" s="2867"/>
      <c r="BO326" s="2867"/>
      <c r="BP326" s="2867"/>
      <c r="BQ326" s="2867"/>
      <c r="BR326" s="2867"/>
      <c r="BS326" s="2867"/>
      <c r="BT326" s="2867"/>
      <c r="BU326" s="2867"/>
      <c r="BV326" s="2867"/>
      <c r="BW326" s="2867"/>
      <c r="BX326" s="2867"/>
      <c r="BY326" s="2867"/>
      <c r="BZ326" s="2867"/>
      <c r="CA326" s="2867"/>
      <c r="CB326" s="2867"/>
      <c r="CC326" s="2867"/>
      <c r="CD326" s="2867"/>
      <c r="CE326" s="2867"/>
      <c r="CF326" s="2867"/>
      <c r="CG326" s="2867"/>
      <c r="CH326" s="2867"/>
      <c r="CI326" s="2867"/>
      <c r="CJ326" s="2867"/>
      <c r="CK326" s="2867"/>
      <c r="CL326" s="2867"/>
      <c r="CM326" s="2867"/>
      <c r="CN326" s="2867"/>
      <c r="CO326" s="2867"/>
      <c r="CP326" s="2867"/>
      <c r="CQ326" s="2867"/>
      <c r="CR326" s="2867"/>
      <c r="CS326" s="2867"/>
      <c r="CT326" s="2867"/>
      <c r="CU326" s="2867"/>
      <c r="CV326" s="2867"/>
      <c r="CW326" s="2867"/>
    </row>
    <row r="327" spans="1:101">
      <c r="A327" s="2867"/>
      <c r="B327" s="2867"/>
      <c r="C327" s="2867"/>
      <c r="D327" s="2867"/>
      <c r="E327" s="2867"/>
      <c r="F327" s="2867"/>
      <c r="G327" s="2867"/>
      <c r="H327" s="2867"/>
      <c r="I327" s="2867"/>
      <c r="J327" s="2867"/>
      <c r="K327" s="2867"/>
      <c r="L327" s="2867"/>
      <c r="M327" s="2867"/>
      <c r="O327" s="2867"/>
      <c r="P327" s="2867"/>
      <c r="Q327" s="2867"/>
      <c r="R327" s="2867"/>
      <c r="S327" s="2867"/>
      <c r="T327" s="2867"/>
      <c r="U327" s="2867"/>
      <c r="V327" s="2867"/>
      <c r="W327" s="2867"/>
      <c r="X327" s="2867"/>
      <c r="Y327" s="2867"/>
      <c r="Z327" s="2867"/>
      <c r="AA327" s="2867"/>
      <c r="AB327" s="2867"/>
      <c r="AC327" s="2867"/>
      <c r="AD327" s="2867"/>
      <c r="AE327" s="2867"/>
      <c r="AF327" s="2867"/>
      <c r="AG327" s="2867"/>
      <c r="AH327" s="2867"/>
      <c r="AI327" s="2867"/>
      <c r="AJ327" s="2867"/>
      <c r="AK327" s="2867"/>
      <c r="AL327" s="2867"/>
      <c r="AM327" s="2867"/>
      <c r="AN327" s="2867"/>
      <c r="AO327" s="2867"/>
      <c r="AP327" s="2867"/>
      <c r="AQ327" s="2867"/>
      <c r="AR327" s="2867"/>
      <c r="AS327" s="2867"/>
      <c r="AT327" s="2867"/>
      <c r="AU327" s="2867"/>
      <c r="AV327" s="2867"/>
      <c r="AW327" s="2867"/>
      <c r="AX327" s="2867"/>
      <c r="AY327" s="2867"/>
      <c r="AZ327" s="2867"/>
      <c r="BA327" s="2867"/>
      <c r="BB327" s="2867"/>
      <c r="BC327" s="2867"/>
      <c r="BD327" s="2867"/>
      <c r="BE327" s="2867"/>
      <c r="BF327" s="2867"/>
      <c r="BG327" s="2867"/>
      <c r="BH327" s="2867"/>
      <c r="BI327" s="2867"/>
      <c r="BJ327" s="2867"/>
      <c r="BK327" s="2867"/>
      <c r="BL327" s="2867"/>
      <c r="BM327" s="2867"/>
      <c r="BN327" s="2867"/>
      <c r="BO327" s="2867"/>
      <c r="BP327" s="2867"/>
      <c r="BQ327" s="2867"/>
      <c r="BR327" s="2867"/>
      <c r="BS327" s="2867"/>
      <c r="BT327" s="2867"/>
      <c r="BU327" s="2867"/>
      <c r="BV327" s="2867"/>
      <c r="BW327" s="2867"/>
      <c r="BX327" s="2867"/>
      <c r="BY327" s="2867"/>
      <c r="BZ327" s="2867"/>
      <c r="CA327" s="2867"/>
      <c r="CB327" s="2867"/>
      <c r="CC327" s="2867"/>
      <c r="CD327" s="2867"/>
      <c r="CE327" s="2867"/>
      <c r="CF327" s="2867"/>
      <c r="CG327" s="2867"/>
      <c r="CH327" s="2867"/>
      <c r="CI327" s="2867"/>
      <c r="CJ327" s="2867"/>
      <c r="CK327" s="2867"/>
      <c r="CL327" s="2867"/>
      <c r="CM327" s="2867"/>
      <c r="CN327" s="2867"/>
      <c r="CO327" s="2867"/>
      <c r="CP327" s="2867"/>
      <c r="CQ327" s="2867"/>
      <c r="CR327" s="2867"/>
      <c r="CS327" s="2867"/>
      <c r="CT327" s="2867"/>
      <c r="CU327" s="2867"/>
      <c r="CV327" s="2867"/>
      <c r="CW327" s="2867"/>
    </row>
    <row r="328" spans="1:101">
      <c r="A328" s="2867"/>
      <c r="B328" s="2867"/>
      <c r="C328" s="2867"/>
      <c r="D328" s="2867"/>
      <c r="E328" s="2867"/>
      <c r="F328" s="2867"/>
      <c r="G328" s="2867"/>
      <c r="H328" s="2867"/>
      <c r="I328" s="2867"/>
      <c r="J328" s="2867"/>
      <c r="K328" s="2867"/>
      <c r="L328" s="2867"/>
      <c r="M328" s="2867"/>
      <c r="O328" s="2867"/>
      <c r="P328" s="2867"/>
      <c r="Q328" s="2867"/>
      <c r="R328" s="2867"/>
      <c r="S328" s="2867"/>
      <c r="T328" s="2867"/>
      <c r="U328" s="2867"/>
      <c r="V328" s="2867"/>
      <c r="W328" s="2867"/>
      <c r="X328" s="2867"/>
      <c r="Y328" s="2867"/>
      <c r="Z328" s="2867"/>
      <c r="AA328" s="2867"/>
      <c r="AB328" s="2867"/>
      <c r="AC328" s="2867"/>
      <c r="AD328" s="2867"/>
      <c r="AE328" s="2867"/>
      <c r="AF328" s="2867"/>
      <c r="AG328" s="2867"/>
      <c r="AH328" s="2867"/>
      <c r="AI328" s="2867"/>
      <c r="AJ328" s="2867"/>
      <c r="AK328" s="2867"/>
      <c r="AL328" s="2867"/>
      <c r="AM328" s="2867"/>
      <c r="AN328" s="2867"/>
      <c r="AO328" s="2867"/>
      <c r="AP328" s="2867"/>
      <c r="AQ328" s="2867"/>
      <c r="AR328" s="2867"/>
      <c r="AS328" s="2867"/>
      <c r="AT328" s="2867"/>
      <c r="AU328" s="2867"/>
      <c r="AV328" s="2867"/>
      <c r="AW328" s="2867"/>
      <c r="AX328" s="2867"/>
      <c r="AY328" s="2867"/>
      <c r="AZ328" s="2867"/>
      <c r="BA328" s="2867"/>
      <c r="BB328" s="2867"/>
      <c r="BC328" s="2867"/>
      <c r="BD328" s="2867"/>
      <c r="BE328" s="2867"/>
      <c r="BF328" s="2867"/>
      <c r="BG328" s="2867"/>
      <c r="BH328" s="2867"/>
      <c r="BI328" s="2867"/>
      <c r="BJ328" s="2867"/>
      <c r="BK328" s="2867"/>
      <c r="BL328" s="2867"/>
      <c r="BM328" s="2867"/>
      <c r="BN328" s="2867"/>
      <c r="BO328" s="2867"/>
      <c r="BP328" s="2867"/>
      <c r="BQ328" s="2867"/>
      <c r="BR328" s="2867"/>
      <c r="BS328" s="2867"/>
      <c r="BT328" s="2867"/>
      <c r="BU328" s="2867"/>
      <c r="BV328" s="2867"/>
      <c r="BW328" s="2867"/>
      <c r="BX328" s="2867"/>
      <c r="BY328" s="2867"/>
      <c r="BZ328" s="2867"/>
      <c r="CA328" s="2867"/>
      <c r="CB328" s="2867"/>
      <c r="CC328" s="2867"/>
      <c r="CD328" s="2867"/>
      <c r="CE328" s="2867"/>
      <c r="CF328" s="2867"/>
      <c r="CG328" s="2867"/>
      <c r="CH328" s="2867"/>
      <c r="CI328" s="2867"/>
      <c r="CJ328" s="2867"/>
      <c r="CK328" s="2867"/>
      <c r="CL328" s="2867"/>
      <c r="CM328" s="2867"/>
      <c r="CN328" s="2867"/>
      <c r="CO328" s="2867"/>
      <c r="CP328" s="2867"/>
      <c r="CQ328" s="2867"/>
      <c r="CR328" s="2867"/>
      <c r="CS328" s="2867"/>
      <c r="CT328" s="2867"/>
      <c r="CU328" s="2867"/>
      <c r="CV328" s="2867"/>
      <c r="CW328" s="2867"/>
    </row>
    <row r="329" spans="1:101">
      <c r="A329" s="2867"/>
      <c r="B329" s="2867"/>
      <c r="C329" s="2867"/>
      <c r="D329" s="2867"/>
      <c r="E329" s="2867"/>
      <c r="F329" s="2867"/>
      <c r="G329" s="2867"/>
      <c r="H329" s="2867"/>
      <c r="I329" s="2867"/>
      <c r="J329" s="2867"/>
      <c r="K329" s="2867"/>
      <c r="L329" s="2867"/>
      <c r="M329" s="2867"/>
      <c r="O329" s="2867"/>
      <c r="P329" s="2867"/>
      <c r="Q329" s="2867"/>
      <c r="R329" s="2867"/>
      <c r="S329" s="2867"/>
      <c r="T329" s="2867"/>
      <c r="U329" s="2867"/>
      <c r="V329" s="2867"/>
      <c r="W329" s="2867"/>
      <c r="X329" s="2867"/>
      <c r="Y329" s="2867"/>
      <c r="Z329" s="2867"/>
      <c r="AA329" s="2867"/>
      <c r="AB329" s="2867"/>
      <c r="AC329" s="2867"/>
      <c r="AD329" s="2867"/>
      <c r="AE329" s="2867"/>
      <c r="AF329" s="2867"/>
      <c r="AG329" s="2867"/>
      <c r="AH329" s="2867"/>
      <c r="AI329" s="2867"/>
      <c r="AJ329" s="2867"/>
      <c r="AK329" s="2867"/>
      <c r="AL329" s="2867"/>
      <c r="AM329" s="2867"/>
      <c r="AN329" s="2867"/>
      <c r="AO329" s="2867"/>
      <c r="AP329" s="2867"/>
      <c r="AQ329" s="2867"/>
      <c r="AR329" s="2867"/>
      <c r="AS329" s="2867"/>
      <c r="AT329" s="2867"/>
      <c r="AU329" s="2867"/>
      <c r="AV329" s="2867"/>
      <c r="AW329" s="2867"/>
      <c r="AX329" s="2867"/>
      <c r="AY329" s="2867"/>
      <c r="AZ329" s="2867"/>
      <c r="BA329" s="2867"/>
      <c r="BB329" s="2867"/>
      <c r="BC329" s="2867"/>
      <c r="BD329" s="2867"/>
      <c r="BE329" s="2867"/>
      <c r="BF329" s="2867"/>
      <c r="BG329" s="2867"/>
      <c r="BH329" s="2867"/>
      <c r="BI329" s="2867"/>
      <c r="BJ329" s="2867"/>
      <c r="BK329" s="2867"/>
      <c r="BL329" s="2867"/>
      <c r="BM329" s="2867"/>
      <c r="BN329" s="2867"/>
      <c r="BO329" s="2867"/>
      <c r="BP329" s="2867"/>
      <c r="BQ329" s="2867"/>
      <c r="BR329" s="2867"/>
      <c r="BS329" s="2867"/>
      <c r="BT329" s="2867"/>
      <c r="BU329" s="2867"/>
      <c r="BV329" s="2867"/>
      <c r="BW329" s="2867"/>
      <c r="BX329" s="2867"/>
      <c r="BY329" s="2867"/>
      <c r="BZ329" s="2867"/>
      <c r="CA329" s="2867"/>
      <c r="CB329" s="2867"/>
      <c r="CC329" s="2867"/>
      <c r="CD329" s="2867"/>
      <c r="CE329" s="2867"/>
      <c r="CF329" s="2867"/>
      <c r="CG329" s="2867"/>
      <c r="CH329" s="2867"/>
      <c r="CI329" s="2867"/>
      <c r="CJ329" s="2867"/>
      <c r="CK329" s="2867"/>
      <c r="CL329" s="2867"/>
      <c r="CM329" s="2867"/>
      <c r="CN329" s="2867"/>
      <c r="CO329" s="2867"/>
      <c r="CP329" s="2867"/>
      <c r="CQ329" s="2867"/>
      <c r="CR329" s="2867"/>
      <c r="CS329" s="2867"/>
      <c r="CT329" s="2867"/>
      <c r="CU329" s="2867"/>
      <c r="CV329" s="2867"/>
      <c r="CW329" s="2867"/>
    </row>
    <row r="330" spans="1:101">
      <c r="A330" s="2867"/>
      <c r="B330" s="2867"/>
      <c r="C330" s="2867"/>
      <c r="D330" s="2867"/>
      <c r="E330" s="2867"/>
      <c r="F330" s="2867"/>
      <c r="G330" s="2867"/>
      <c r="H330" s="2867"/>
      <c r="I330" s="2867"/>
      <c r="J330" s="2867"/>
      <c r="K330" s="2867"/>
      <c r="L330" s="2867"/>
      <c r="M330" s="2867"/>
      <c r="O330" s="2867"/>
      <c r="P330" s="2867"/>
      <c r="Q330" s="2867"/>
      <c r="R330" s="2867"/>
      <c r="S330" s="2867"/>
      <c r="T330" s="2867"/>
      <c r="U330" s="2867"/>
      <c r="V330" s="2867"/>
      <c r="W330" s="2867"/>
      <c r="X330" s="2867"/>
      <c r="Y330" s="2867"/>
      <c r="Z330" s="2867"/>
      <c r="AA330" s="2867"/>
      <c r="AB330" s="2867"/>
      <c r="AC330" s="2867"/>
      <c r="AD330" s="2867"/>
      <c r="AE330" s="2867"/>
      <c r="AF330" s="2867"/>
      <c r="AG330" s="2867"/>
      <c r="AH330" s="2867"/>
      <c r="AI330" s="2867"/>
      <c r="AJ330" s="2867"/>
      <c r="AK330" s="2867"/>
      <c r="AL330" s="2867"/>
      <c r="AM330" s="2867"/>
      <c r="AN330" s="2867"/>
      <c r="AO330" s="2867"/>
      <c r="AP330" s="2867"/>
      <c r="AQ330" s="2867"/>
      <c r="AR330" s="2867"/>
      <c r="AS330" s="2867"/>
      <c r="AT330" s="2867"/>
      <c r="AU330" s="2867"/>
      <c r="AV330" s="2867"/>
      <c r="AW330" s="2867"/>
      <c r="AX330" s="2867"/>
      <c r="AY330" s="2867"/>
      <c r="AZ330" s="2867"/>
      <c r="BA330" s="2867"/>
      <c r="BB330" s="2867"/>
      <c r="BC330" s="2867"/>
      <c r="BD330" s="2867"/>
      <c r="BE330" s="2867"/>
      <c r="BF330" s="2867"/>
      <c r="BG330" s="2867"/>
      <c r="BH330" s="2867"/>
      <c r="BI330" s="2867"/>
      <c r="BJ330" s="2867"/>
      <c r="BK330" s="2867"/>
      <c r="BL330" s="2867"/>
      <c r="BM330" s="2867"/>
      <c r="BN330" s="2867"/>
      <c r="BO330" s="2867"/>
      <c r="BP330" s="2867"/>
      <c r="BQ330" s="2867"/>
      <c r="BR330" s="2867"/>
      <c r="BS330" s="2867"/>
      <c r="BT330" s="2867"/>
      <c r="BU330" s="2867"/>
      <c r="BV330" s="2867"/>
      <c r="BW330" s="2867"/>
      <c r="BX330" s="2867"/>
      <c r="BY330" s="2867"/>
      <c r="BZ330" s="2867"/>
      <c r="CA330" s="2867"/>
      <c r="CB330" s="2867"/>
      <c r="CC330" s="2867"/>
      <c r="CD330" s="2867"/>
      <c r="CE330" s="2867"/>
      <c r="CF330" s="2867"/>
      <c r="CG330" s="2867"/>
      <c r="CH330" s="2867"/>
      <c r="CI330" s="2867"/>
      <c r="CJ330" s="2867"/>
      <c r="CK330" s="2867"/>
      <c r="CL330" s="2867"/>
      <c r="CM330" s="2867"/>
      <c r="CN330" s="2867"/>
      <c r="CO330" s="2867"/>
      <c r="CP330" s="2867"/>
      <c r="CQ330" s="2867"/>
      <c r="CR330" s="2867"/>
      <c r="CS330" s="2867"/>
      <c r="CT330" s="2867"/>
      <c r="CU330" s="2867"/>
      <c r="CV330" s="2867"/>
      <c r="CW330" s="2867"/>
    </row>
    <row r="331" spans="1:101">
      <c r="A331" s="2867"/>
      <c r="B331" s="2867"/>
      <c r="C331" s="2867"/>
      <c r="D331" s="2867"/>
      <c r="E331" s="2867"/>
      <c r="F331" s="2867"/>
      <c r="G331" s="2867"/>
      <c r="H331" s="2867"/>
      <c r="I331" s="2867"/>
      <c r="J331" s="2867"/>
      <c r="K331" s="2867"/>
      <c r="L331" s="2867"/>
      <c r="M331" s="2867"/>
      <c r="O331" s="2867"/>
      <c r="P331" s="2867"/>
      <c r="Q331" s="2867"/>
      <c r="R331" s="2867"/>
      <c r="S331" s="2867"/>
      <c r="T331" s="2867"/>
      <c r="U331" s="2867"/>
      <c r="V331" s="2867"/>
      <c r="W331" s="2867"/>
      <c r="X331" s="2867"/>
      <c r="Y331" s="2867"/>
      <c r="Z331" s="2867"/>
      <c r="AA331" s="2867"/>
      <c r="AB331" s="2867"/>
      <c r="AC331" s="2867"/>
      <c r="AD331" s="2867"/>
      <c r="AE331" s="2867"/>
      <c r="AF331" s="2867"/>
      <c r="AG331" s="2867"/>
      <c r="AH331" s="2867"/>
      <c r="AI331" s="2867"/>
      <c r="AJ331" s="2867"/>
      <c r="AK331" s="2867"/>
      <c r="AL331" s="2867"/>
      <c r="AM331" s="2867"/>
      <c r="AN331" s="2867"/>
      <c r="AO331" s="2867"/>
      <c r="AP331" s="2867"/>
      <c r="AQ331" s="2867"/>
      <c r="AR331" s="2867"/>
      <c r="AS331" s="2867"/>
      <c r="AT331" s="2867"/>
      <c r="AU331" s="2867"/>
      <c r="AV331" s="2867"/>
      <c r="AW331" s="2867"/>
      <c r="AX331" s="2867"/>
      <c r="AY331" s="2867"/>
      <c r="AZ331" s="2867"/>
      <c r="BA331" s="2867"/>
      <c r="BB331" s="2867"/>
      <c r="BC331" s="2867"/>
      <c r="BD331" s="2867"/>
      <c r="BE331" s="2867"/>
      <c r="BF331" s="2867"/>
      <c r="BG331" s="2867"/>
      <c r="BH331" s="2867"/>
      <c r="BI331" s="2867"/>
      <c r="BJ331" s="2867"/>
      <c r="BK331" s="2867"/>
      <c r="BL331" s="2867"/>
      <c r="BM331" s="2867"/>
      <c r="BN331" s="2867"/>
      <c r="BO331" s="2867"/>
      <c r="BP331" s="2867"/>
      <c r="BQ331" s="2867"/>
      <c r="BR331" s="2867"/>
      <c r="BS331" s="2867"/>
      <c r="BT331" s="2867"/>
      <c r="BU331" s="2867"/>
      <c r="BV331" s="2867"/>
      <c r="BW331" s="2867"/>
      <c r="BX331" s="2867"/>
      <c r="BY331" s="2867"/>
      <c r="BZ331" s="2867"/>
      <c r="CA331" s="2867"/>
      <c r="CB331" s="2867"/>
      <c r="CC331" s="2867"/>
      <c r="CD331" s="2867"/>
      <c r="CE331" s="2867"/>
      <c r="CF331" s="2867"/>
      <c r="CG331" s="2867"/>
      <c r="CH331" s="2867"/>
      <c r="CI331" s="2867"/>
      <c r="CJ331" s="2867"/>
      <c r="CK331" s="2867"/>
      <c r="CL331" s="2867"/>
      <c r="CM331" s="2867"/>
      <c r="CN331" s="2867"/>
      <c r="CO331" s="2867"/>
      <c r="CP331" s="2867"/>
      <c r="CQ331" s="2867"/>
      <c r="CR331" s="2867"/>
      <c r="CS331" s="2867"/>
      <c r="CT331" s="2867"/>
      <c r="CU331" s="2867"/>
      <c r="CV331" s="2867"/>
      <c r="CW331" s="2867"/>
    </row>
    <row r="332" spans="1:101">
      <c r="A332" s="2867"/>
      <c r="B332" s="2867"/>
      <c r="C332" s="2867"/>
      <c r="D332" s="2867"/>
      <c r="E332" s="2867"/>
      <c r="F332" s="2867"/>
      <c r="G332" s="2867"/>
      <c r="H332" s="2867"/>
      <c r="I332" s="2867"/>
      <c r="J332" s="2867"/>
      <c r="K332" s="2867"/>
      <c r="L332" s="2867"/>
      <c r="M332" s="2867"/>
      <c r="O332" s="2867"/>
      <c r="P332" s="2867"/>
      <c r="Q332" s="2867"/>
      <c r="R332" s="2867"/>
      <c r="S332" s="2867"/>
      <c r="T332" s="2867"/>
      <c r="U332" s="2867"/>
      <c r="V332" s="2867"/>
      <c r="W332" s="2867"/>
      <c r="X332" s="2867"/>
      <c r="Y332" s="2867"/>
      <c r="Z332" s="2867"/>
      <c r="AA332" s="2867"/>
      <c r="AB332" s="2867"/>
      <c r="AC332" s="2867"/>
      <c r="AD332" s="2867"/>
      <c r="AE332" s="2867"/>
      <c r="AF332" s="2867"/>
      <c r="AG332" s="2867"/>
      <c r="AH332" s="2867"/>
      <c r="AI332" s="2867"/>
      <c r="AJ332" s="2867"/>
      <c r="AK332" s="2867"/>
      <c r="AL332" s="2867"/>
      <c r="AM332" s="2867"/>
      <c r="AN332" s="2867"/>
      <c r="AO332" s="2867"/>
      <c r="AP332" s="2867"/>
      <c r="AQ332" s="2867"/>
      <c r="AR332" s="2867"/>
      <c r="AS332" s="2867"/>
      <c r="AT332" s="2867"/>
      <c r="AU332" s="2867"/>
      <c r="AV332" s="2867"/>
      <c r="AW332" s="2867"/>
      <c r="AX332" s="2867"/>
      <c r="AY332" s="2867"/>
      <c r="AZ332" s="2867"/>
      <c r="BA332" s="2867"/>
      <c r="BB332" s="2867"/>
      <c r="BC332" s="2867"/>
      <c r="BD332" s="2867"/>
      <c r="BE332" s="2867"/>
      <c r="BF332" s="2867"/>
      <c r="BG332" s="2867"/>
      <c r="BH332" s="2867"/>
      <c r="BI332" s="2867"/>
      <c r="BJ332" s="2867"/>
      <c r="BK332" s="2867"/>
      <c r="BL332" s="2867"/>
      <c r="BM332" s="2867"/>
      <c r="BN332" s="2867"/>
      <c r="BO332" s="2867"/>
      <c r="BP332" s="2867"/>
      <c r="BQ332" s="2867"/>
      <c r="BR332" s="2867"/>
      <c r="BS332" s="2867"/>
      <c r="BT332" s="2867"/>
      <c r="BU332" s="2867"/>
      <c r="BV332" s="2867"/>
      <c r="BW332" s="2867"/>
      <c r="BX332" s="2867"/>
      <c r="BY332" s="2867"/>
      <c r="BZ332" s="2867"/>
      <c r="CA332" s="2867"/>
      <c r="CB332" s="2867"/>
      <c r="CC332" s="2867"/>
      <c r="CD332" s="2867"/>
      <c r="CE332" s="2867"/>
      <c r="CF332" s="2867"/>
      <c r="CG332" s="2867"/>
      <c r="CH332" s="2867"/>
      <c r="CI332" s="2867"/>
      <c r="CJ332" s="2867"/>
      <c r="CK332" s="2867"/>
      <c r="CL332" s="2867"/>
      <c r="CM332" s="2867"/>
      <c r="CN332" s="2867"/>
      <c r="CO332" s="2867"/>
      <c r="CP332" s="2867"/>
      <c r="CQ332" s="2867"/>
      <c r="CR332" s="2867"/>
      <c r="CS332" s="2867"/>
      <c r="CT332" s="2867"/>
      <c r="CU332" s="2867"/>
      <c r="CV332" s="2867"/>
      <c r="CW332" s="2867"/>
    </row>
    <row r="333" spans="1:101">
      <c r="A333" s="2867"/>
      <c r="B333" s="2867"/>
      <c r="C333" s="2867"/>
      <c r="D333" s="2867"/>
      <c r="E333" s="2867"/>
      <c r="F333" s="2867"/>
      <c r="G333" s="2867"/>
      <c r="H333" s="2867"/>
      <c r="I333" s="2867"/>
      <c r="J333" s="2867"/>
      <c r="K333" s="2867"/>
      <c r="L333" s="2867"/>
      <c r="M333" s="2867"/>
      <c r="O333" s="2867"/>
      <c r="P333" s="2867"/>
      <c r="Q333" s="2867"/>
      <c r="R333" s="2867"/>
      <c r="S333" s="2867"/>
      <c r="T333" s="2867"/>
      <c r="U333" s="2867"/>
      <c r="V333" s="2867"/>
      <c r="W333" s="2867"/>
      <c r="X333" s="2867"/>
      <c r="Y333" s="2867"/>
      <c r="Z333" s="2867"/>
      <c r="AA333" s="2867"/>
      <c r="AB333" s="2867"/>
      <c r="AC333" s="2867"/>
      <c r="AD333" s="2867"/>
      <c r="AE333" s="2867"/>
      <c r="AF333" s="2867"/>
      <c r="AG333" s="2867"/>
      <c r="AH333" s="2867"/>
      <c r="AI333" s="2867"/>
      <c r="AJ333" s="2867"/>
      <c r="AK333" s="2867"/>
      <c r="AL333" s="2867"/>
      <c r="AM333" s="2867"/>
      <c r="AN333" s="2867"/>
      <c r="AO333" s="2867"/>
      <c r="AP333" s="2867"/>
      <c r="AQ333" s="2867"/>
      <c r="AR333" s="2867"/>
      <c r="AS333" s="2867"/>
      <c r="AT333" s="2867"/>
      <c r="AU333" s="2867"/>
      <c r="AV333" s="2867"/>
      <c r="AW333" s="2867"/>
      <c r="AX333" s="2867"/>
      <c r="AY333" s="2867"/>
      <c r="AZ333" s="2867"/>
      <c r="BA333" s="2867"/>
      <c r="BB333" s="2867"/>
      <c r="BC333" s="2867"/>
      <c r="BD333" s="2867"/>
      <c r="BE333" s="2867"/>
      <c r="BF333" s="2867"/>
      <c r="BG333" s="2867"/>
      <c r="BH333" s="2867"/>
      <c r="BI333" s="2867"/>
      <c r="BJ333" s="2867"/>
      <c r="BK333" s="2867"/>
      <c r="BL333" s="2867"/>
      <c r="BM333" s="2867"/>
      <c r="BN333" s="2867"/>
      <c r="BO333" s="2867"/>
      <c r="BP333" s="2867"/>
      <c r="BQ333" s="2867"/>
      <c r="BR333" s="2867"/>
      <c r="BS333" s="2867"/>
      <c r="BT333" s="2867"/>
      <c r="BU333" s="2867"/>
      <c r="BV333" s="2867"/>
      <c r="BW333" s="2867"/>
      <c r="BX333" s="2867"/>
      <c r="BY333" s="2867"/>
      <c r="BZ333" s="2867"/>
      <c r="CA333" s="2867"/>
      <c r="CB333" s="2867"/>
      <c r="CC333" s="2867"/>
      <c r="CD333" s="2867"/>
      <c r="CE333" s="2867"/>
      <c r="CF333" s="2867"/>
      <c r="CG333" s="2867"/>
      <c r="CH333" s="2867"/>
      <c r="CI333" s="2867"/>
      <c r="CJ333" s="2867"/>
      <c r="CK333" s="2867"/>
      <c r="CL333" s="2867"/>
      <c r="CM333" s="2867"/>
      <c r="CN333" s="2867"/>
      <c r="CO333" s="2867"/>
      <c r="CP333" s="2867"/>
      <c r="CQ333" s="2867"/>
      <c r="CR333" s="2867"/>
      <c r="CS333" s="2867"/>
      <c r="CT333" s="2867"/>
      <c r="CU333" s="2867"/>
      <c r="CV333" s="2867"/>
      <c r="CW333" s="2867"/>
    </row>
    <row r="334" spans="1:101">
      <c r="A334" s="2867"/>
      <c r="B334" s="2867"/>
      <c r="C334" s="2867"/>
      <c r="D334" s="2867"/>
      <c r="E334" s="2867"/>
      <c r="F334" s="2867"/>
      <c r="G334" s="2867"/>
      <c r="H334" s="2867"/>
      <c r="I334" s="2867"/>
      <c r="J334" s="2867"/>
      <c r="K334" s="2867"/>
      <c r="L334" s="2867"/>
      <c r="M334" s="2867"/>
      <c r="O334" s="2867"/>
      <c r="P334" s="2867"/>
      <c r="Q334" s="2867"/>
      <c r="R334" s="2867"/>
      <c r="S334" s="2867"/>
      <c r="T334" s="2867"/>
      <c r="U334" s="2867"/>
      <c r="V334" s="2867"/>
      <c r="W334" s="2867"/>
      <c r="X334" s="2867"/>
      <c r="Y334" s="2867"/>
      <c r="Z334" s="2867"/>
      <c r="AA334" s="2867"/>
      <c r="AB334" s="2867"/>
      <c r="AC334" s="2867"/>
      <c r="AD334" s="2867"/>
      <c r="AE334" s="2867"/>
      <c r="AF334" s="2867"/>
      <c r="AG334" s="2867"/>
      <c r="AH334" s="2867"/>
      <c r="AI334" s="2867"/>
      <c r="AJ334" s="2867"/>
      <c r="AK334" s="2867"/>
      <c r="AL334" s="2867"/>
      <c r="AM334" s="2867"/>
      <c r="AN334" s="2867"/>
      <c r="AO334" s="2867"/>
      <c r="AP334" s="2867"/>
      <c r="AQ334" s="2867"/>
      <c r="AR334" s="2867"/>
      <c r="AS334" s="2867"/>
      <c r="AT334" s="2867"/>
      <c r="AU334" s="2867"/>
      <c r="AV334" s="2867"/>
      <c r="AW334" s="2867"/>
      <c r="AX334" s="2867"/>
      <c r="AY334" s="2867"/>
      <c r="AZ334" s="2867"/>
      <c r="BA334" s="2867"/>
      <c r="BB334" s="2867"/>
      <c r="BC334" s="2867"/>
      <c r="BD334" s="2867"/>
      <c r="BE334" s="2867"/>
      <c r="BF334" s="2867"/>
      <c r="BG334" s="2867"/>
      <c r="BH334" s="2867"/>
      <c r="BI334" s="2867"/>
      <c r="BJ334" s="2867"/>
      <c r="BK334" s="2867"/>
      <c r="BL334" s="2867"/>
      <c r="BM334" s="2867"/>
      <c r="BN334" s="2867"/>
      <c r="BO334" s="2867"/>
      <c r="BP334" s="2867"/>
      <c r="BQ334" s="2867"/>
      <c r="BR334" s="2867"/>
      <c r="BS334" s="2867"/>
      <c r="BT334" s="2867"/>
      <c r="BU334" s="2867"/>
      <c r="BV334" s="2867"/>
      <c r="BW334" s="2867"/>
      <c r="BX334" s="2867"/>
      <c r="BY334" s="2867"/>
      <c r="BZ334" s="2867"/>
      <c r="CA334" s="2867"/>
      <c r="CB334" s="2867"/>
      <c r="CC334" s="2867"/>
      <c r="CD334" s="2867"/>
      <c r="CE334" s="2867"/>
      <c r="CF334" s="2867"/>
      <c r="CG334" s="2867"/>
      <c r="CH334" s="2867"/>
      <c r="CI334" s="2867"/>
      <c r="CJ334" s="2867"/>
      <c r="CK334" s="2867"/>
      <c r="CL334" s="2867"/>
      <c r="CM334" s="2867"/>
      <c r="CN334" s="2867"/>
      <c r="CO334" s="2867"/>
      <c r="CP334" s="2867"/>
      <c r="CQ334" s="2867"/>
      <c r="CR334" s="2867"/>
      <c r="CS334" s="2867"/>
      <c r="CT334" s="2867"/>
      <c r="CU334" s="2867"/>
      <c r="CV334" s="2867"/>
      <c r="CW334" s="2867"/>
    </row>
    <row r="335" spans="1:101">
      <c r="A335" s="2867"/>
      <c r="B335" s="2867"/>
      <c r="C335" s="2867"/>
      <c r="D335" s="2867"/>
      <c r="E335" s="2867"/>
      <c r="F335" s="2867"/>
      <c r="G335" s="2867"/>
      <c r="H335" s="2867"/>
      <c r="I335" s="2867"/>
      <c r="J335" s="2867"/>
      <c r="K335" s="2867"/>
      <c r="L335" s="2867"/>
      <c r="M335" s="2867"/>
      <c r="O335" s="2867"/>
      <c r="P335" s="2867"/>
      <c r="Q335" s="2867"/>
      <c r="R335" s="2867"/>
      <c r="S335" s="2867"/>
      <c r="T335" s="2867"/>
      <c r="U335" s="2867"/>
      <c r="V335" s="2867"/>
      <c r="W335" s="2867"/>
      <c r="X335" s="2867"/>
      <c r="Y335" s="2867"/>
      <c r="Z335" s="2867"/>
      <c r="AA335" s="2867"/>
      <c r="AB335" s="2867"/>
      <c r="AC335" s="2867"/>
      <c r="AD335" s="2867"/>
      <c r="AE335" s="2867"/>
      <c r="AF335" s="2867"/>
      <c r="AG335" s="2867"/>
      <c r="AH335" s="2867"/>
      <c r="AI335" s="2867"/>
      <c r="AJ335" s="2867"/>
      <c r="AK335" s="2867"/>
      <c r="AL335" s="2867"/>
      <c r="AM335" s="2867"/>
      <c r="AN335" s="2867"/>
      <c r="AO335" s="2867"/>
      <c r="AP335" s="2867"/>
      <c r="AQ335" s="2867"/>
      <c r="AR335" s="2867"/>
      <c r="AS335" s="2867"/>
      <c r="AT335" s="2867"/>
      <c r="AU335" s="2867"/>
      <c r="AV335" s="2867"/>
      <c r="AW335" s="2867"/>
      <c r="AX335" s="2867"/>
      <c r="AY335" s="2867"/>
      <c r="AZ335" s="2867"/>
      <c r="BA335" s="2867"/>
      <c r="BB335" s="2867"/>
      <c r="BC335" s="2867"/>
      <c r="BD335" s="2867"/>
      <c r="BE335" s="2867"/>
      <c r="BF335" s="2867"/>
      <c r="BG335" s="2867"/>
      <c r="BH335" s="2867"/>
      <c r="BI335" s="2867"/>
      <c r="BJ335" s="2867"/>
      <c r="BK335" s="2867"/>
      <c r="BL335" s="2867"/>
      <c r="BM335" s="2867"/>
      <c r="BN335" s="2867"/>
      <c r="BO335" s="2867"/>
      <c r="BP335" s="2867"/>
      <c r="BQ335" s="2867"/>
      <c r="BR335" s="2867"/>
      <c r="BS335" s="2867"/>
      <c r="BT335" s="2867"/>
      <c r="BU335" s="2867"/>
      <c r="BV335" s="2867"/>
      <c r="BW335" s="2867"/>
      <c r="BX335" s="2867"/>
      <c r="BY335" s="2867"/>
      <c r="BZ335" s="2867"/>
      <c r="CA335" s="2867"/>
      <c r="CB335" s="2867"/>
      <c r="CC335" s="2867"/>
      <c r="CD335" s="2867"/>
      <c r="CE335" s="2867"/>
      <c r="CF335" s="2867"/>
      <c r="CG335" s="2867"/>
      <c r="CH335" s="2867"/>
      <c r="CI335" s="2867"/>
      <c r="CJ335" s="2867"/>
      <c r="CK335" s="2867"/>
      <c r="CL335" s="2867"/>
      <c r="CM335" s="2867"/>
      <c r="CN335" s="2867"/>
      <c r="CO335" s="2867"/>
      <c r="CP335" s="2867"/>
      <c r="CQ335" s="2867"/>
      <c r="CR335" s="2867"/>
      <c r="CS335" s="2867"/>
      <c r="CT335" s="2867"/>
      <c r="CU335" s="2867"/>
      <c r="CV335" s="2867"/>
      <c r="CW335" s="2867"/>
    </row>
    <row r="336" spans="1:101">
      <c r="A336" s="2867"/>
      <c r="B336" s="2867"/>
      <c r="C336" s="2867"/>
      <c r="D336" s="2867"/>
      <c r="E336" s="2867"/>
      <c r="F336" s="2867"/>
      <c r="G336" s="2867"/>
      <c r="H336" s="2867"/>
      <c r="I336" s="2867"/>
      <c r="J336" s="2867"/>
      <c r="K336" s="2867"/>
      <c r="L336" s="2867"/>
      <c r="M336" s="2867"/>
      <c r="O336" s="2867"/>
      <c r="P336" s="2867"/>
      <c r="Q336" s="2867"/>
      <c r="R336" s="2867"/>
      <c r="S336" s="2867"/>
      <c r="T336" s="2867"/>
      <c r="U336" s="2867"/>
      <c r="V336" s="2867"/>
      <c r="W336" s="2867"/>
      <c r="X336" s="2867"/>
      <c r="Y336" s="2867"/>
      <c r="Z336" s="2867"/>
      <c r="AA336" s="2867"/>
      <c r="AB336" s="2867"/>
      <c r="AC336" s="2867"/>
      <c r="AD336" s="2867"/>
      <c r="AE336" s="2867"/>
      <c r="AF336" s="2867"/>
      <c r="AG336" s="2867"/>
      <c r="AH336" s="2867"/>
      <c r="AI336" s="2867"/>
      <c r="AJ336" s="2867"/>
      <c r="AK336" s="2867"/>
      <c r="AL336" s="2867"/>
      <c r="AM336" s="2867"/>
      <c r="AN336" s="2867"/>
      <c r="AO336" s="2867"/>
      <c r="AP336" s="2867"/>
      <c r="AQ336" s="2867"/>
      <c r="AR336" s="2867"/>
      <c r="AS336" s="2867"/>
      <c r="AT336" s="2867"/>
      <c r="AU336" s="2867"/>
      <c r="AV336" s="2867"/>
      <c r="AW336" s="2867"/>
      <c r="AX336" s="2867"/>
      <c r="AY336" s="2867"/>
      <c r="AZ336" s="2867"/>
      <c r="BA336" s="2867"/>
      <c r="BB336" s="2867"/>
      <c r="BC336" s="2867"/>
      <c r="BD336" s="2867"/>
      <c r="BE336" s="2867"/>
      <c r="BF336" s="2867"/>
      <c r="BG336" s="2867"/>
      <c r="BH336" s="2867"/>
      <c r="BI336" s="2867"/>
      <c r="BJ336" s="2867"/>
      <c r="BK336" s="2867"/>
      <c r="BL336" s="2867"/>
      <c r="BM336" s="2867"/>
      <c r="BN336" s="2867"/>
      <c r="BO336" s="2867"/>
      <c r="BP336" s="2867"/>
      <c r="BQ336" s="2867"/>
      <c r="BR336" s="2867"/>
      <c r="BS336" s="2867"/>
      <c r="BT336" s="2867"/>
      <c r="BU336" s="2867"/>
      <c r="BV336" s="2867"/>
      <c r="BW336" s="2867"/>
      <c r="BX336" s="2867"/>
      <c r="BY336" s="2867"/>
      <c r="BZ336" s="2867"/>
      <c r="CA336" s="2867"/>
      <c r="CB336" s="2867"/>
      <c r="CC336" s="2867"/>
      <c r="CD336" s="2867"/>
      <c r="CE336" s="2867"/>
      <c r="CF336" s="2867"/>
      <c r="CG336" s="2867"/>
      <c r="CH336" s="2867"/>
      <c r="CI336" s="2867"/>
      <c r="CJ336" s="2867"/>
      <c r="CK336" s="2867"/>
      <c r="CL336" s="2867"/>
      <c r="CM336" s="2867"/>
      <c r="CN336" s="2867"/>
      <c r="CO336" s="2867"/>
      <c r="CP336" s="2867"/>
      <c r="CQ336" s="2867"/>
      <c r="CR336" s="2867"/>
      <c r="CS336" s="2867"/>
      <c r="CT336" s="2867"/>
      <c r="CU336" s="2867"/>
      <c r="CV336" s="2867"/>
      <c r="CW336" s="2867"/>
    </row>
    <row r="337" spans="1:101">
      <c r="A337" s="2867"/>
      <c r="B337" s="2867"/>
      <c r="C337" s="2867"/>
      <c r="D337" s="2867"/>
      <c r="E337" s="2867"/>
      <c r="F337" s="2867"/>
      <c r="G337" s="2867"/>
      <c r="H337" s="2867"/>
      <c r="I337" s="2867"/>
      <c r="J337" s="2867"/>
      <c r="K337" s="2867"/>
      <c r="L337" s="2867"/>
      <c r="M337" s="2867"/>
      <c r="O337" s="2867"/>
      <c r="P337" s="2867"/>
      <c r="Q337" s="2867"/>
      <c r="R337" s="2867"/>
      <c r="S337" s="2867"/>
      <c r="T337" s="2867"/>
      <c r="U337" s="2867"/>
      <c r="V337" s="2867"/>
      <c r="W337" s="2867"/>
      <c r="X337" s="2867"/>
      <c r="Y337" s="2867"/>
      <c r="Z337" s="2867"/>
      <c r="AA337" s="2867"/>
      <c r="AB337" s="2867"/>
      <c r="AC337" s="2867"/>
      <c r="AD337" s="2867"/>
      <c r="AE337" s="2867"/>
      <c r="AF337" s="2867"/>
      <c r="AG337" s="2867"/>
      <c r="AH337" s="2867"/>
      <c r="AI337" s="2867"/>
      <c r="AJ337" s="2867"/>
      <c r="AK337" s="2867"/>
      <c r="AL337" s="2867"/>
      <c r="AM337" s="2867"/>
      <c r="AN337" s="2867"/>
      <c r="AO337" s="2867"/>
      <c r="AP337" s="2867"/>
      <c r="AQ337" s="2867"/>
      <c r="AR337" s="2867"/>
      <c r="AS337" s="2867"/>
      <c r="AT337" s="2867"/>
      <c r="AU337" s="2867"/>
      <c r="AV337" s="2867"/>
      <c r="AW337" s="2867"/>
      <c r="AX337" s="2867"/>
      <c r="AY337" s="2867"/>
      <c r="AZ337" s="2867"/>
      <c r="BA337" s="2867"/>
      <c r="BB337" s="2867"/>
      <c r="BC337" s="2867"/>
      <c r="BD337" s="2867"/>
      <c r="BE337" s="2867"/>
      <c r="BF337" s="2867"/>
      <c r="BG337" s="2867"/>
      <c r="BH337" s="2867"/>
      <c r="BI337" s="2867"/>
      <c r="BJ337" s="2867"/>
      <c r="BK337" s="2867"/>
      <c r="BL337" s="2867"/>
      <c r="BM337" s="2867"/>
      <c r="BN337" s="2867"/>
      <c r="BO337" s="2867"/>
      <c r="BP337" s="2867"/>
      <c r="BQ337" s="2867"/>
      <c r="BR337" s="2867"/>
      <c r="BS337" s="2867"/>
      <c r="BT337" s="2867"/>
      <c r="BU337" s="2867"/>
      <c r="BV337" s="2867"/>
      <c r="BW337" s="2867"/>
      <c r="BX337" s="2867"/>
      <c r="BY337" s="2867"/>
      <c r="BZ337" s="2867"/>
      <c r="CA337" s="2867"/>
      <c r="CB337" s="2867"/>
      <c r="CC337" s="2867"/>
      <c r="CD337" s="2867"/>
      <c r="CE337" s="2867"/>
      <c r="CF337" s="2867"/>
      <c r="CG337" s="2867"/>
      <c r="CH337" s="2867"/>
      <c r="CI337" s="2867"/>
      <c r="CJ337" s="2867"/>
      <c r="CK337" s="2867"/>
      <c r="CL337" s="2867"/>
      <c r="CM337" s="2867"/>
      <c r="CN337" s="2867"/>
      <c r="CO337" s="2867"/>
      <c r="CP337" s="2867"/>
      <c r="CQ337" s="2867"/>
      <c r="CR337" s="2867"/>
      <c r="CS337" s="2867"/>
      <c r="CT337" s="2867"/>
      <c r="CU337" s="2867"/>
      <c r="CV337" s="2867"/>
      <c r="CW337" s="2867"/>
    </row>
    <row r="338" spans="1:101">
      <c r="A338" s="2867"/>
      <c r="B338" s="2867"/>
      <c r="C338" s="2867"/>
      <c r="D338" s="2867"/>
      <c r="E338" s="2867"/>
      <c r="F338" s="2867"/>
      <c r="G338" s="2867"/>
      <c r="H338" s="2867"/>
      <c r="I338" s="2867"/>
      <c r="J338" s="2867"/>
      <c r="K338" s="2867"/>
      <c r="L338" s="2867"/>
      <c r="M338" s="2867"/>
      <c r="O338" s="2867"/>
      <c r="P338" s="2867"/>
      <c r="Q338" s="2867"/>
      <c r="R338" s="2867"/>
      <c r="S338" s="2867"/>
      <c r="T338" s="2867"/>
      <c r="U338" s="2867"/>
      <c r="V338" s="2867"/>
      <c r="W338" s="2867"/>
      <c r="X338" s="2867"/>
      <c r="Y338" s="2867"/>
      <c r="Z338" s="2867"/>
      <c r="AA338" s="2867"/>
      <c r="AB338" s="2867"/>
      <c r="AC338" s="2867"/>
      <c r="AD338" s="2867"/>
      <c r="AE338" s="2867"/>
      <c r="AF338" s="2867"/>
      <c r="AG338" s="2867"/>
      <c r="AH338" s="2867"/>
      <c r="AI338" s="2867"/>
      <c r="AJ338" s="2867"/>
      <c r="AK338" s="2867"/>
      <c r="AL338" s="2867"/>
      <c r="AM338" s="2867"/>
      <c r="AN338" s="2867"/>
      <c r="AO338" s="2867"/>
      <c r="AP338" s="2867"/>
      <c r="AQ338" s="2867"/>
      <c r="AR338" s="2867"/>
      <c r="AS338" s="2867"/>
      <c r="AT338" s="2867"/>
      <c r="AU338" s="2867"/>
      <c r="AV338" s="2867"/>
      <c r="AW338" s="2867"/>
      <c r="AX338" s="2867"/>
      <c r="AY338" s="2867"/>
      <c r="AZ338" s="2867"/>
      <c r="BA338" s="2867"/>
      <c r="BB338" s="2867"/>
      <c r="BC338" s="2867"/>
      <c r="BD338" s="2867"/>
      <c r="BE338" s="2867"/>
      <c r="BF338" s="2867"/>
      <c r="BG338" s="2867"/>
      <c r="BH338" s="2867"/>
      <c r="BI338" s="2867"/>
      <c r="BJ338" s="2867"/>
      <c r="BK338" s="2867"/>
      <c r="BL338" s="2867"/>
      <c r="BM338" s="2867"/>
      <c r="BN338" s="2867"/>
      <c r="BO338" s="2867"/>
      <c r="BP338" s="2867"/>
      <c r="BQ338" s="2867"/>
      <c r="BR338" s="2867"/>
      <c r="BS338" s="2867"/>
      <c r="BT338" s="2867"/>
      <c r="BU338" s="2867"/>
      <c r="BV338" s="2867"/>
      <c r="BW338" s="2867"/>
      <c r="BX338" s="2867"/>
      <c r="BY338" s="2867"/>
      <c r="BZ338" s="2867"/>
      <c r="CA338" s="2867"/>
      <c r="CB338" s="2867"/>
      <c r="CC338" s="2867"/>
      <c r="CD338" s="2867"/>
      <c r="CE338" s="2867"/>
      <c r="CF338" s="2867"/>
      <c r="CG338" s="2867"/>
      <c r="CH338" s="2867"/>
      <c r="CI338" s="2867"/>
      <c r="CJ338" s="2867"/>
      <c r="CK338" s="2867"/>
      <c r="CL338" s="2867"/>
      <c r="CM338" s="2867"/>
      <c r="CN338" s="2867"/>
      <c r="CO338" s="2867"/>
      <c r="CP338" s="2867"/>
      <c r="CQ338" s="2867"/>
      <c r="CR338" s="2867"/>
      <c r="CS338" s="2867"/>
      <c r="CT338" s="2867"/>
      <c r="CU338" s="2867"/>
      <c r="CV338" s="2867"/>
      <c r="CW338" s="2867"/>
    </row>
    <row r="339" spans="1:101">
      <c r="A339" s="2867"/>
      <c r="B339" s="2867"/>
      <c r="C339" s="2867"/>
      <c r="D339" s="2867"/>
      <c r="E339" s="2867"/>
      <c r="F339" s="2867"/>
      <c r="G339" s="2867"/>
      <c r="H339" s="2867"/>
      <c r="I339" s="2867"/>
      <c r="J339" s="2867"/>
      <c r="K339" s="2867"/>
      <c r="L339" s="2867"/>
      <c r="M339" s="2867"/>
      <c r="O339" s="2867"/>
      <c r="P339" s="2867"/>
      <c r="Q339" s="2867"/>
      <c r="R339" s="2867"/>
      <c r="S339" s="2867"/>
      <c r="T339" s="2867"/>
      <c r="U339" s="2867"/>
      <c r="V339" s="2867"/>
      <c r="W339" s="2867"/>
      <c r="X339" s="2867"/>
      <c r="Y339" s="2867"/>
      <c r="Z339" s="2867"/>
      <c r="AA339" s="2867"/>
      <c r="AB339" s="2867"/>
      <c r="AC339" s="2867"/>
      <c r="AD339" s="2867"/>
      <c r="AE339" s="2867"/>
      <c r="AF339" s="2867"/>
      <c r="AG339" s="2867"/>
      <c r="AH339" s="2867"/>
      <c r="AI339" s="2950"/>
      <c r="AJ339" s="2867"/>
      <c r="AK339" s="2867"/>
      <c r="AL339" s="2867"/>
      <c r="AM339" s="2870"/>
      <c r="AN339" s="2867"/>
      <c r="AO339" s="2867"/>
      <c r="AP339" s="2867"/>
      <c r="AQ339" s="2867"/>
      <c r="AR339" s="2867"/>
      <c r="AS339" s="2867"/>
      <c r="AT339" s="2867"/>
      <c r="AU339" s="2867"/>
      <c r="AV339" s="2867"/>
      <c r="AW339" s="2867"/>
      <c r="AX339" s="2867"/>
      <c r="AY339" s="2867"/>
      <c r="AZ339" s="2867"/>
      <c r="BA339" s="2867"/>
      <c r="BB339" s="2867"/>
      <c r="BC339" s="2867"/>
      <c r="BD339" s="2867"/>
      <c r="BE339" s="2867"/>
      <c r="BF339" s="2867"/>
      <c r="BG339" s="2867"/>
      <c r="BH339" s="2867"/>
      <c r="BI339" s="2867"/>
      <c r="BJ339" s="2867"/>
      <c r="BK339" s="2867"/>
      <c r="BL339" s="2867"/>
      <c r="BM339" s="2867"/>
      <c r="BN339" s="2867"/>
      <c r="BO339" s="2867"/>
      <c r="BP339" s="2867"/>
      <c r="BQ339" s="2867"/>
      <c r="BR339" s="2867"/>
      <c r="BS339" s="2867"/>
      <c r="BT339" s="2867"/>
      <c r="BU339" s="2867"/>
      <c r="BV339" s="2867"/>
      <c r="BW339" s="2867"/>
      <c r="BX339" s="2867"/>
      <c r="BY339" s="2867"/>
      <c r="BZ339" s="2867"/>
      <c r="CA339" s="2867"/>
      <c r="CB339" s="2867"/>
      <c r="CC339" s="2867"/>
      <c r="CD339" s="2867"/>
      <c r="CE339" s="2867"/>
      <c r="CF339" s="2867"/>
      <c r="CG339" s="2867"/>
      <c r="CH339" s="2867"/>
      <c r="CI339" s="2867"/>
      <c r="CJ339" s="2867"/>
      <c r="CK339" s="2867"/>
      <c r="CL339" s="2867"/>
      <c r="CM339" s="2867"/>
      <c r="CN339" s="2867"/>
      <c r="CO339" s="2867"/>
      <c r="CP339" s="2867"/>
      <c r="CQ339" s="2867"/>
      <c r="CR339" s="2867"/>
      <c r="CS339" s="2867"/>
      <c r="CT339" s="2867"/>
      <c r="CU339" s="2867"/>
      <c r="CV339" s="2867"/>
      <c r="CW339" s="2867"/>
    </row>
    <row r="340" spans="1:101">
      <c r="A340" s="2867"/>
      <c r="B340" s="2867"/>
      <c r="C340" s="2867"/>
      <c r="D340" s="2867"/>
      <c r="E340" s="2867"/>
      <c r="F340" s="2867"/>
      <c r="G340" s="2867"/>
      <c r="H340" s="2867"/>
      <c r="I340" s="2867"/>
      <c r="J340" s="2867"/>
      <c r="K340" s="2867"/>
      <c r="L340" s="2867"/>
      <c r="M340" s="2867"/>
      <c r="O340" s="2867"/>
      <c r="P340" s="2867"/>
      <c r="Q340" s="2867"/>
      <c r="R340" s="2867"/>
      <c r="S340" s="2867"/>
      <c r="T340" s="2867"/>
      <c r="U340" s="2867"/>
      <c r="V340" s="2867"/>
      <c r="W340" s="2867"/>
      <c r="X340" s="2867"/>
      <c r="Y340" s="2867"/>
      <c r="Z340" s="2867"/>
      <c r="AA340" s="2867"/>
      <c r="AB340" s="2867"/>
      <c r="AC340" s="2867"/>
      <c r="AD340" s="2867"/>
      <c r="AE340" s="2867"/>
      <c r="AF340" s="2867"/>
      <c r="AG340" s="2867"/>
      <c r="AH340" s="2867"/>
      <c r="AI340" s="2950"/>
      <c r="AJ340" s="2867"/>
      <c r="AK340" s="2867"/>
      <c r="AL340" s="2867"/>
      <c r="AM340" s="2870"/>
      <c r="AN340" s="2867"/>
      <c r="AO340" s="2867"/>
      <c r="AP340" s="2867"/>
      <c r="AQ340" s="2867"/>
      <c r="AR340" s="2867"/>
      <c r="AS340" s="2867"/>
      <c r="AT340" s="2867"/>
      <c r="AU340" s="2867"/>
      <c r="AV340" s="2867"/>
      <c r="AW340" s="2867"/>
      <c r="AX340" s="2867"/>
      <c r="AY340" s="2867"/>
      <c r="AZ340" s="2867"/>
      <c r="BA340" s="2867"/>
      <c r="BB340" s="2867"/>
      <c r="BC340" s="2867"/>
      <c r="BD340" s="2867"/>
      <c r="BE340" s="2867"/>
      <c r="BF340" s="2867"/>
      <c r="BG340" s="2867"/>
      <c r="BH340" s="2867"/>
      <c r="BI340" s="2867"/>
      <c r="BJ340" s="2867"/>
      <c r="BK340" s="2867"/>
      <c r="BL340" s="2867"/>
      <c r="BM340" s="2867"/>
      <c r="BN340" s="2867"/>
      <c r="BO340" s="2867"/>
      <c r="BP340" s="2867"/>
      <c r="BQ340" s="2867"/>
      <c r="BR340" s="2867"/>
      <c r="BS340" s="2867"/>
      <c r="BT340" s="2867"/>
      <c r="BU340" s="2867"/>
      <c r="BV340" s="2867"/>
      <c r="BW340" s="2867"/>
      <c r="BX340" s="2867"/>
      <c r="BY340" s="2867"/>
      <c r="BZ340" s="2867"/>
      <c r="CA340" s="2867"/>
      <c r="CB340" s="2867"/>
      <c r="CC340" s="2867"/>
      <c r="CD340" s="2867"/>
      <c r="CE340" s="2867"/>
      <c r="CF340" s="2867"/>
      <c r="CG340" s="2867"/>
      <c r="CH340" s="2867"/>
      <c r="CI340" s="2867"/>
      <c r="CJ340" s="2867"/>
      <c r="CK340" s="2867"/>
      <c r="CL340" s="2867"/>
      <c r="CM340" s="2867"/>
      <c r="CN340" s="2867"/>
      <c r="CO340" s="2867"/>
      <c r="CP340" s="2867"/>
      <c r="CQ340" s="2867"/>
      <c r="CR340" s="2867"/>
      <c r="CS340" s="2867"/>
      <c r="CT340" s="2867"/>
      <c r="CU340" s="2867"/>
      <c r="CV340" s="2867"/>
      <c r="CW340" s="2867"/>
    </row>
    <row r="341" spans="1:101">
      <c r="A341" s="2867"/>
      <c r="B341" s="2867"/>
      <c r="C341" s="2867"/>
      <c r="D341" s="2867"/>
      <c r="E341" s="2867"/>
      <c r="F341" s="2867"/>
      <c r="G341" s="2867"/>
      <c r="H341" s="2867"/>
      <c r="I341" s="2867"/>
      <c r="J341" s="2867"/>
      <c r="K341" s="2867"/>
      <c r="L341" s="2867"/>
      <c r="M341" s="2867"/>
      <c r="O341" s="2867"/>
      <c r="P341" s="2867"/>
      <c r="Q341" s="2867"/>
      <c r="R341" s="2867"/>
      <c r="S341" s="2867"/>
      <c r="T341" s="2867"/>
      <c r="U341" s="2867"/>
      <c r="V341" s="2867"/>
      <c r="W341" s="2867"/>
      <c r="X341" s="2867"/>
      <c r="Y341" s="2867"/>
      <c r="Z341" s="2867"/>
      <c r="AA341" s="2867"/>
      <c r="AB341" s="2867"/>
      <c r="AC341" s="2867"/>
      <c r="AD341" s="2867"/>
      <c r="AE341" s="2867"/>
      <c r="AF341" s="2867"/>
      <c r="AG341" s="2867"/>
      <c r="AH341" s="2867"/>
      <c r="AI341" s="2950"/>
      <c r="AJ341" s="2867"/>
      <c r="AK341" s="2867"/>
      <c r="AL341" s="2867"/>
      <c r="AM341" s="2867"/>
      <c r="AN341" s="2867"/>
      <c r="AO341" s="2867"/>
      <c r="AP341" s="2867"/>
      <c r="AQ341" s="2867"/>
      <c r="AR341" s="2867"/>
      <c r="AS341" s="2867"/>
      <c r="AT341" s="2867"/>
      <c r="AU341" s="2867"/>
      <c r="AV341" s="2867"/>
      <c r="AW341" s="2867"/>
      <c r="AX341" s="2867"/>
      <c r="AY341" s="2867"/>
      <c r="AZ341" s="2867"/>
      <c r="BA341" s="2867"/>
      <c r="BB341" s="2867"/>
      <c r="BC341" s="2867"/>
      <c r="BD341" s="2867"/>
      <c r="BE341" s="2867"/>
      <c r="BF341" s="2867"/>
      <c r="BG341" s="2867"/>
      <c r="BH341" s="2867"/>
      <c r="BI341" s="2867"/>
      <c r="BJ341" s="2867"/>
      <c r="BK341" s="2867"/>
      <c r="BL341" s="2867"/>
      <c r="BM341" s="2867"/>
      <c r="BN341" s="2867"/>
      <c r="BO341" s="2867"/>
      <c r="BP341" s="2867"/>
      <c r="BQ341" s="2867"/>
      <c r="BR341" s="2867"/>
      <c r="BS341" s="2867"/>
      <c r="BT341" s="2867"/>
      <c r="BU341" s="2867"/>
      <c r="BV341" s="2867"/>
      <c r="BW341" s="2867"/>
      <c r="BX341" s="2867"/>
      <c r="BY341" s="2867"/>
      <c r="BZ341" s="2867"/>
      <c r="CA341" s="2867"/>
      <c r="CB341" s="2867"/>
      <c r="CC341" s="2867"/>
      <c r="CD341" s="2867"/>
      <c r="CE341" s="2867"/>
      <c r="CF341" s="2867"/>
      <c r="CG341" s="2867"/>
      <c r="CH341" s="2867"/>
      <c r="CI341" s="2867"/>
      <c r="CJ341" s="2867"/>
      <c r="CK341" s="2867"/>
      <c r="CL341" s="2867"/>
      <c r="CM341" s="2867"/>
      <c r="CN341" s="2867"/>
      <c r="CO341" s="2867"/>
      <c r="CP341" s="2867"/>
      <c r="CQ341" s="2867"/>
      <c r="CR341" s="2867"/>
      <c r="CS341" s="2867"/>
      <c r="CT341" s="2867"/>
      <c r="CU341" s="2867"/>
      <c r="CV341" s="2867"/>
      <c r="CW341" s="2867"/>
    </row>
    <row r="342" spans="1:101">
      <c r="A342" s="2867"/>
      <c r="B342" s="2867"/>
      <c r="C342" s="2867"/>
      <c r="D342" s="2867"/>
      <c r="E342" s="2867"/>
      <c r="F342" s="2867"/>
      <c r="G342" s="2867"/>
      <c r="H342" s="2867"/>
      <c r="I342" s="2867"/>
      <c r="J342" s="2867"/>
      <c r="K342" s="2867"/>
      <c r="L342" s="2867"/>
      <c r="M342" s="2867"/>
      <c r="O342" s="2867"/>
      <c r="P342" s="2867"/>
      <c r="Q342" s="2867"/>
      <c r="R342" s="2867"/>
      <c r="S342" s="2867"/>
      <c r="T342" s="2867"/>
      <c r="U342" s="2867"/>
      <c r="V342" s="2867"/>
      <c r="W342" s="2867"/>
      <c r="X342" s="2867"/>
      <c r="Y342" s="2867"/>
      <c r="Z342" s="2867"/>
      <c r="AA342" s="2867"/>
      <c r="AB342" s="2867"/>
      <c r="AC342" s="2867"/>
      <c r="AD342" s="2867"/>
      <c r="AE342" s="2867"/>
      <c r="AF342" s="2867"/>
      <c r="AG342" s="2867"/>
      <c r="AH342" s="2867"/>
      <c r="AI342" s="2950"/>
      <c r="AJ342" s="2867"/>
      <c r="AK342" s="2867"/>
      <c r="AL342" s="2867"/>
      <c r="AM342" s="2870"/>
      <c r="AN342" s="2867"/>
      <c r="AO342" s="2867"/>
      <c r="AP342" s="2867"/>
      <c r="AQ342" s="2867"/>
      <c r="AR342" s="2867"/>
      <c r="AS342" s="2867"/>
      <c r="AT342" s="2867"/>
      <c r="AU342" s="2867"/>
      <c r="AV342" s="2867"/>
      <c r="AW342" s="2867"/>
      <c r="AX342" s="2867"/>
      <c r="AY342" s="2867"/>
      <c r="AZ342" s="2867"/>
      <c r="BA342" s="2867"/>
      <c r="BB342" s="2867"/>
      <c r="BC342" s="2867"/>
      <c r="BD342" s="2867"/>
      <c r="BE342" s="2867"/>
      <c r="BF342" s="2867"/>
      <c r="BG342" s="2867"/>
      <c r="BH342" s="2867"/>
      <c r="BI342" s="2867"/>
      <c r="BJ342" s="2867"/>
      <c r="BK342" s="2867"/>
      <c r="BL342" s="2867"/>
      <c r="BM342" s="2867"/>
      <c r="BN342" s="2867"/>
      <c r="BO342" s="2867"/>
      <c r="BP342" s="2867"/>
      <c r="BQ342" s="2867"/>
      <c r="BR342" s="2867"/>
      <c r="BS342" s="2867"/>
      <c r="BT342" s="2867"/>
      <c r="BU342" s="2867"/>
      <c r="BV342" s="2867"/>
      <c r="BW342" s="2867"/>
      <c r="BX342" s="2867"/>
      <c r="BY342" s="2867"/>
      <c r="BZ342" s="2867"/>
      <c r="CA342" s="2867"/>
      <c r="CB342" s="2867"/>
      <c r="CC342" s="2867"/>
      <c r="CD342" s="2867"/>
      <c r="CE342" s="2867"/>
      <c r="CF342" s="2867"/>
      <c r="CG342" s="2867"/>
      <c r="CH342" s="2867"/>
      <c r="CI342" s="2867"/>
      <c r="CJ342" s="2867"/>
      <c r="CK342" s="2867"/>
      <c r="CL342" s="2867"/>
      <c r="CM342" s="2867"/>
      <c r="CN342" s="2867"/>
      <c r="CO342" s="2867"/>
      <c r="CP342" s="2867"/>
      <c r="CQ342" s="2867"/>
      <c r="CR342" s="2867"/>
      <c r="CS342" s="2867"/>
      <c r="CT342" s="2867"/>
      <c r="CU342" s="2867"/>
      <c r="CV342" s="2867"/>
      <c r="CW342" s="2867"/>
    </row>
    <row r="343" spans="1:101">
      <c r="A343" s="2867"/>
      <c r="B343" s="2867"/>
      <c r="C343" s="2867"/>
      <c r="D343" s="2867"/>
      <c r="E343" s="2867"/>
      <c r="F343" s="2867"/>
      <c r="G343" s="2867"/>
      <c r="H343" s="2867"/>
      <c r="I343" s="2867"/>
      <c r="J343" s="2867"/>
      <c r="K343" s="2867"/>
      <c r="L343" s="2867"/>
      <c r="M343" s="2867"/>
      <c r="O343" s="2867"/>
      <c r="P343" s="2867"/>
      <c r="Q343" s="2867"/>
      <c r="R343" s="2867"/>
      <c r="S343" s="2867"/>
      <c r="T343" s="2867"/>
      <c r="U343" s="2867"/>
      <c r="V343" s="2867"/>
      <c r="W343" s="2867"/>
      <c r="X343" s="2867"/>
      <c r="Y343" s="2867"/>
      <c r="Z343" s="2867"/>
      <c r="AA343" s="2867"/>
      <c r="AB343" s="2867"/>
      <c r="AC343" s="2867"/>
      <c r="AD343" s="2867"/>
      <c r="AE343" s="2867"/>
      <c r="AF343" s="2867"/>
      <c r="AG343" s="2867"/>
      <c r="AH343" s="2867"/>
      <c r="AI343" s="2950"/>
      <c r="AJ343" s="2867"/>
      <c r="AK343" s="2867"/>
      <c r="AL343" s="2867"/>
      <c r="AM343" s="2867"/>
      <c r="AN343" s="2867"/>
      <c r="AO343" s="2867"/>
      <c r="AP343" s="2867"/>
      <c r="AQ343" s="2867"/>
      <c r="AR343" s="2867"/>
      <c r="AS343" s="2867"/>
      <c r="AT343" s="2867"/>
      <c r="AU343" s="2867"/>
      <c r="AV343" s="2867"/>
      <c r="AW343" s="2867"/>
      <c r="AX343" s="2867"/>
      <c r="AY343" s="2867"/>
      <c r="AZ343" s="2867"/>
      <c r="BA343" s="2867"/>
      <c r="BB343" s="2867"/>
      <c r="BC343" s="2867"/>
      <c r="BD343" s="2867"/>
      <c r="BE343" s="2867"/>
      <c r="BF343" s="2867"/>
      <c r="BG343" s="2867"/>
      <c r="BH343" s="2867"/>
      <c r="BI343" s="2867"/>
      <c r="BJ343" s="2867"/>
      <c r="BK343" s="2867"/>
      <c r="BL343" s="2867"/>
      <c r="BM343" s="2867"/>
      <c r="BN343" s="2867"/>
      <c r="BO343" s="2867"/>
      <c r="BP343" s="2867"/>
      <c r="BQ343" s="2867"/>
      <c r="BR343" s="2867"/>
      <c r="BS343" s="2867"/>
      <c r="BT343" s="2867"/>
      <c r="BU343" s="2867"/>
      <c r="BV343" s="2867"/>
      <c r="BW343" s="2867"/>
      <c r="BX343" s="2867"/>
      <c r="BY343" s="2867"/>
      <c r="BZ343" s="2867"/>
      <c r="CA343" s="2867"/>
      <c r="CB343" s="2867"/>
      <c r="CC343" s="2867"/>
      <c r="CD343" s="2867"/>
      <c r="CE343" s="2867"/>
      <c r="CF343" s="2867"/>
      <c r="CG343" s="2867"/>
      <c r="CH343" s="2867"/>
      <c r="CI343" s="2867"/>
      <c r="CJ343" s="2867"/>
      <c r="CK343" s="2867"/>
      <c r="CL343" s="2867"/>
      <c r="CM343" s="2867"/>
      <c r="CN343" s="2867"/>
      <c r="CO343" s="2867"/>
      <c r="CP343" s="2867"/>
      <c r="CQ343" s="2867"/>
      <c r="CR343" s="2867"/>
      <c r="CS343" s="2867"/>
      <c r="CT343" s="2867"/>
      <c r="CU343" s="2867"/>
      <c r="CV343" s="2867"/>
      <c r="CW343" s="2867"/>
    </row>
    <row r="344" spans="1:101">
      <c r="A344" s="2867"/>
      <c r="B344" s="2867"/>
      <c r="C344" s="2867"/>
      <c r="D344" s="2867"/>
      <c r="E344" s="2867"/>
      <c r="F344" s="2867"/>
      <c r="G344" s="2867"/>
      <c r="H344" s="2867"/>
      <c r="I344" s="2867"/>
      <c r="J344" s="2867"/>
      <c r="K344" s="2867"/>
      <c r="L344" s="2867"/>
      <c r="M344" s="2867"/>
      <c r="O344" s="2867"/>
      <c r="P344" s="2867"/>
      <c r="Q344" s="2867"/>
      <c r="R344" s="2867"/>
      <c r="S344" s="2867"/>
      <c r="T344" s="2867"/>
      <c r="U344" s="2867"/>
      <c r="V344" s="2867"/>
      <c r="W344" s="2867"/>
      <c r="X344" s="2867"/>
      <c r="Y344" s="2867"/>
      <c r="Z344" s="2867"/>
      <c r="AA344" s="2867"/>
      <c r="AB344" s="2867"/>
      <c r="AC344" s="2867"/>
      <c r="AD344" s="2867"/>
      <c r="AE344" s="2867"/>
      <c r="AF344" s="2867"/>
      <c r="AG344" s="2867"/>
      <c r="AH344" s="2867"/>
      <c r="AI344" s="2950"/>
      <c r="AJ344" s="2867"/>
      <c r="AK344" s="2867"/>
      <c r="AL344" s="2867"/>
      <c r="AM344" s="2867"/>
      <c r="AN344" s="2867"/>
      <c r="AO344" s="2867"/>
      <c r="AP344" s="2867"/>
      <c r="AQ344" s="2867"/>
      <c r="AR344" s="2867"/>
      <c r="AS344" s="2867"/>
      <c r="AT344" s="2867"/>
      <c r="AU344" s="2867"/>
      <c r="AV344" s="2867"/>
      <c r="AW344" s="2867"/>
      <c r="AX344" s="2867"/>
      <c r="AY344" s="2867"/>
      <c r="AZ344" s="2867"/>
      <c r="BA344" s="2867"/>
      <c r="BB344" s="2867"/>
      <c r="BC344" s="2867"/>
      <c r="BD344" s="2867"/>
      <c r="BE344" s="2867"/>
      <c r="BF344" s="2867"/>
      <c r="BG344" s="2867"/>
      <c r="BH344" s="2867"/>
      <c r="BI344" s="2867"/>
      <c r="BJ344" s="2867"/>
      <c r="BK344" s="2867"/>
      <c r="BL344" s="2867"/>
      <c r="BM344" s="2867"/>
      <c r="BN344" s="2867"/>
      <c r="BO344" s="2867"/>
      <c r="BP344" s="2867"/>
      <c r="BQ344" s="2867"/>
      <c r="BR344" s="2867"/>
      <c r="BS344" s="2867"/>
      <c r="BT344" s="2867"/>
      <c r="BU344" s="2867"/>
      <c r="BV344" s="2867"/>
      <c r="BW344" s="2867"/>
      <c r="BX344" s="2867"/>
      <c r="BY344" s="2867"/>
      <c r="BZ344" s="2867"/>
      <c r="CA344" s="2867"/>
      <c r="CB344" s="2867"/>
      <c r="CC344" s="2867"/>
      <c r="CD344" s="2867"/>
      <c r="CE344" s="2867"/>
      <c r="CF344" s="2867"/>
      <c r="CG344" s="2867"/>
      <c r="CH344" s="2867"/>
      <c r="CI344" s="2867"/>
      <c r="CJ344" s="2867"/>
      <c r="CK344" s="2867"/>
      <c r="CL344" s="2867"/>
      <c r="CM344" s="2867"/>
      <c r="CN344" s="2867"/>
      <c r="CO344" s="2867"/>
      <c r="CP344" s="2867"/>
      <c r="CQ344" s="2867"/>
      <c r="CR344" s="2867"/>
      <c r="CS344" s="2867"/>
      <c r="CT344" s="2867"/>
      <c r="CU344" s="2867"/>
      <c r="CV344" s="2867"/>
      <c r="CW344" s="2867"/>
    </row>
    <row r="345" spans="1:101">
      <c r="A345" s="2867"/>
      <c r="B345" s="2867"/>
      <c r="C345" s="2867"/>
      <c r="D345" s="2867"/>
      <c r="E345" s="2867"/>
      <c r="F345" s="2867"/>
      <c r="G345" s="2867"/>
      <c r="H345" s="2867"/>
      <c r="I345" s="2867"/>
      <c r="J345" s="2867"/>
      <c r="K345" s="2867"/>
      <c r="L345" s="2867"/>
      <c r="M345" s="2867"/>
      <c r="O345" s="2867"/>
      <c r="P345" s="2867"/>
      <c r="Q345" s="2867"/>
      <c r="R345" s="2867"/>
      <c r="S345" s="2867"/>
      <c r="T345" s="2867"/>
      <c r="U345" s="2867"/>
      <c r="V345" s="2867"/>
      <c r="W345" s="2867"/>
      <c r="X345" s="2867"/>
      <c r="Y345" s="2867"/>
      <c r="Z345" s="2867"/>
      <c r="AA345" s="2867"/>
      <c r="AB345" s="2867"/>
      <c r="AC345" s="2867"/>
      <c r="AD345" s="2867"/>
      <c r="AE345" s="2867"/>
      <c r="AF345" s="2867"/>
      <c r="AG345" s="2867"/>
      <c r="AH345" s="2867"/>
      <c r="AI345" s="2950"/>
      <c r="AJ345" s="2867"/>
      <c r="AK345" s="2867"/>
      <c r="AL345" s="2867"/>
      <c r="AM345" s="2867"/>
      <c r="AN345" s="2867"/>
      <c r="AO345" s="2867"/>
      <c r="AP345" s="2867"/>
      <c r="AQ345" s="2867"/>
      <c r="AR345" s="2867"/>
      <c r="AS345" s="2867"/>
      <c r="AT345" s="2867"/>
      <c r="AU345" s="2867"/>
      <c r="AV345" s="2867"/>
      <c r="AW345" s="2867"/>
      <c r="AX345" s="2867"/>
      <c r="AY345" s="2867"/>
      <c r="AZ345" s="2867"/>
      <c r="BA345" s="2867"/>
      <c r="BB345" s="2867"/>
      <c r="BC345" s="2867"/>
      <c r="BD345" s="2867"/>
      <c r="BE345" s="2867"/>
      <c r="BF345" s="2867"/>
      <c r="BG345" s="2867"/>
      <c r="BH345" s="2867"/>
      <c r="BI345" s="2867"/>
      <c r="BJ345" s="2867"/>
      <c r="BK345" s="2867"/>
      <c r="BL345" s="2867"/>
      <c r="BM345" s="2867"/>
      <c r="BN345" s="2867"/>
      <c r="BO345" s="2867"/>
      <c r="BP345" s="2867"/>
      <c r="BQ345" s="2867"/>
      <c r="BR345" s="2867"/>
      <c r="BS345" s="2867"/>
      <c r="BT345" s="2867"/>
      <c r="BU345" s="2867"/>
      <c r="BV345" s="2867"/>
      <c r="BW345" s="2867"/>
      <c r="BX345" s="2867"/>
      <c r="BY345" s="2867"/>
      <c r="BZ345" s="2867"/>
      <c r="CA345" s="2867"/>
      <c r="CB345" s="2867"/>
      <c r="CC345" s="2867"/>
      <c r="CD345" s="2867"/>
      <c r="CE345" s="2867"/>
      <c r="CF345" s="2867"/>
      <c r="CG345" s="2867"/>
      <c r="CH345" s="2867"/>
      <c r="CI345" s="2867"/>
      <c r="CJ345" s="2867"/>
      <c r="CK345" s="2867"/>
      <c r="CL345" s="2867"/>
      <c r="CM345" s="2867"/>
      <c r="CN345" s="2867"/>
      <c r="CO345" s="2867"/>
      <c r="CP345" s="2867"/>
      <c r="CQ345" s="2867"/>
      <c r="CR345" s="2867"/>
      <c r="CS345" s="2867"/>
      <c r="CT345" s="2867"/>
      <c r="CU345" s="2867"/>
      <c r="CV345" s="2867"/>
      <c r="CW345" s="2867"/>
    </row>
    <row r="346" spans="1:101">
      <c r="A346" s="2867"/>
      <c r="B346" s="2867"/>
      <c r="C346" s="2867"/>
      <c r="D346" s="2867"/>
      <c r="E346" s="2867"/>
      <c r="F346" s="2867"/>
      <c r="G346" s="2867"/>
      <c r="H346" s="2867"/>
      <c r="I346" s="2867"/>
      <c r="J346" s="2867"/>
      <c r="K346" s="2867"/>
      <c r="L346" s="2867"/>
      <c r="M346" s="2867"/>
      <c r="O346" s="2867"/>
      <c r="P346" s="2867"/>
      <c r="Q346" s="2867"/>
      <c r="R346" s="2867"/>
      <c r="S346" s="2867"/>
      <c r="T346" s="2867"/>
      <c r="U346" s="2867"/>
      <c r="V346" s="2867"/>
      <c r="W346" s="2867"/>
      <c r="X346" s="2867"/>
      <c r="Y346" s="2867"/>
      <c r="Z346" s="2867"/>
      <c r="AA346" s="2867"/>
      <c r="AB346" s="2867"/>
      <c r="AC346" s="2867"/>
      <c r="AD346" s="2867"/>
      <c r="AE346" s="2867"/>
      <c r="AF346" s="2867"/>
      <c r="AG346" s="2867"/>
      <c r="AH346" s="2867"/>
      <c r="AI346" s="2950"/>
      <c r="AJ346" s="2867"/>
      <c r="AK346" s="2867"/>
      <c r="AL346" s="2867"/>
      <c r="AM346" s="2870"/>
      <c r="AN346" s="2867"/>
      <c r="AO346" s="2867"/>
      <c r="AP346" s="2867"/>
      <c r="AQ346" s="2867"/>
      <c r="AR346" s="2867"/>
      <c r="AS346" s="2867"/>
      <c r="AT346" s="2867"/>
      <c r="AU346" s="2867"/>
      <c r="AV346" s="2867"/>
      <c r="AW346" s="2867"/>
      <c r="AX346" s="2867"/>
      <c r="AY346" s="2867"/>
      <c r="AZ346" s="2867"/>
      <c r="BA346" s="2867"/>
      <c r="BB346" s="2867"/>
      <c r="BC346" s="2867"/>
      <c r="BD346" s="2867"/>
      <c r="BE346" s="2867"/>
      <c r="BF346" s="2867"/>
      <c r="BG346" s="2867"/>
      <c r="BH346" s="2867"/>
      <c r="BI346" s="2867"/>
      <c r="BJ346" s="2867"/>
      <c r="BK346" s="2867"/>
      <c r="BL346" s="2867"/>
      <c r="BM346" s="2867"/>
      <c r="BN346" s="2867"/>
      <c r="BO346" s="2867"/>
      <c r="BP346" s="2867"/>
      <c r="BQ346" s="2867"/>
      <c r="BR346" s="2867"/>
      <c r="BS346" s="2867"/>
      <c r="BT346" s="2867"/>
      <c r="BU346" s="2867"/>
      <c r="BV346" s="2867"/>
      <c r="BW346" s="2867"/>
      <c r="BX346" s="2867"/>
      <c r="BY346" s="2867"/>
      <c r="BZ346" s="2867"/>
      <c r="CA346" s="2867"/>
      <c r="CB346" s="2867"/>
      <c r="CC346" s="2867"/>
      <c r="CD346" s="2867"/>
      <c r="CE346" s="2867"/>
      <c r="CF346" s="2867"/>
      <c r="CG346" s="2867"/>
      <c r="CH346" s="2867"/>
      <c r="CI346" s="2867"/>
      <c r="CJ346" s="2867"/>
      <c r="CK346" s="2867"/>
      <c r="CL346" s="2867"/>
      <c r="CM346" s="2867"/>
      <c r="CN346" s="2867"/>
      <c r="CO346" s="2867"/>
      <c r="CP346" s="2867"/>
      <c r="CQ346" s="2867"/>
      <c r="CR346" s="2867"/>
      <c r="CS346" s="2867"/>
      <c r="CT346" s="2867"/>
      <c r="CU346" s="2867"/>
      <c r="CV346" s="2867"/>
      <c r="CW346" s="2867"/>
    </row>
    <row r="347" spans="1:101">
      <c r="A347" s="2867"/>
      <c r="B347" s="2867"/>
      <c r="C347" s="2867"/>
      <c r="D347" s="2867"/>
      <c r="E347" s="2867"/>
      <c r="F347" s="2867"/>
      <c r="G347" s="2867"/>
      <c r="H347" s="2867"/>
      <c r="I347" s="2867"/>
      <c r="J347" s="2867"/>
      <c r="K347" s="2867"/>
      <c r="L347" s="2867"/>
      <c r="M347" s="2867"/>
      <c r="O347" s="2867"/>
      <c r="P347" s="2867"/>
      <c r="Q347" s="2867"/>
      <c r="R347" s="2867"/>
      <c r="S347" s="2867"/>
      <c r="T347" s="2867"/>
      <c r="U347" s="2867"/>
      <c r="V347" s="2867"/>
      <c r="W347" s="2867"/>
      <c r="X347" s="2867"/>
      <c r="Y347" s="2867"/>
      <c r="Z347" s="2867"/>
      <c r="AA347" s="2867"/>
      <c r="AB347" s="2867"/>
      <c r="AC347" s="2867"/>
      <c r="AD347" s="2867"/>
      <c r="AE347" s="2867"/>
      <c r="AF347" s="2867"/>
      <c r="AG347" s="2867"/>
      <c r="AH347" s="2867"/>
      <c r="AI347" s="2950"/>
      <c r="AJ347" s="2867"/>
      <c r="AK347" s="2867"/>
      <c r="AL347" s="2867"/>
      <c r="AM347" s="2870"/>
      <c r="AN347" s="2867"/>
      <c r="AO347" s="2867"/>
      <c r="AP347" s="2867"/>
      <c r="AQ347" s="2867"/>
      <c r="AR347" s="2867"/>
      <c r="AS347" s="2867"/>
      <c r="AT347" s="2867"/>
      <c r="AU347" s="2867"/>
      <c r="AV347" s="2867"/>
      <c r="AW347" s="2867"/>
      <c r="AX347" s="2867"/>
      <c r="AY347" s="2867"/>
      <c r="AZ347" s="2867"/>
      <c r="BA347" s="2867"/>
      <c r="BB347" s="2867"/>
      <c r="BC347" s="2867"/>
      <c r="BD347" s="2867"/>
      <c r="BE347" s="2867"/>
      <c r="BF347" s="2867"/>
      <c r="BG347" s="2867"/>
      <c r="BH347" s="2867"/>
      <c r="BI347" s="2867"/>
      <c r="BJ347" s="2867"/>
      <c r="BK347" s="2867"/>
      <c r="BL347" s="2867"/>
      <c r="BM347" s="2867"/>
      <c r="BN347" s="2867"/>
      <c r="BO347" s="2867"/>
      <c r="BP347" s="2867"/>
      <c r="BQ347" s="2867"/>
      <c r="BR347" s="2867"/>
      <c r="BS347" s="2867"/>
      <c r="BT347" s="2867"/>
      <c r="BU347" s="2867"/>
      <c r="BV347" s="2867"/>
      <c r="BW347" s="2867"/>
      <c r="BX347" s="2867"/>
      <c r="BY347" s="2867"/>
      <c r="BZ347" s="2867"/>
      <c r="CA347" s="2867"/>
      <c r="CB347" s="2867"/>
      <c r="CC347" s="2867"/>
      <c r="CD347" s="2867"/>
      <c r="CE347" s="2867"/>
      <c r="CF347" s="2867"/>
      <c r="CG347" s="2867"/>
      <c r="CH347" s="2867"/>
      <c r="CI347" s="2867"/>
      <c r="CJ347" s="2867"/>
      <c r="CK347" s="2867"/>
      <c r="CL347" s="2867"/>
      <c r="CM347" s="2867"/>
      <c r="CN347" s="2867"/>
      <c r="CO347" s="2867"/>
      <c r="CP347" s="2867"/>
      <c r="CQ347" s="2867"/>
      <c r="CR347" s="2867"/>
      <c r="CS347" s="2867"/>
      <c r="CT347" s="2867"/>
      <c r="CU347" s="2867"/>
      <c r="CV347" s="2867"/>
      <c r="CW347" s="2867"/>
    </row>
    <row r="348" spans="1:101">
      <c r="A348" s="2867"/>
      <c r="B348" s="2867"/>
      <c r="C348" s="2867"/>
      <c r="D348" s="2867"/>
      <c r="E348" s="2867"/>
      <c r="F348" s="2867"/>
      <c r="G348" s="2867"/>
      <c r="H348" s="2867"/>
      <c r="I348" s="2867"/>
      <c r="J348" s="2867"/>
      <c r="K348" s="2867"/>
      <c r="L348" s="2867"/>
      <c r="M348" s="2867"/>
      <c r="O348" s="2867"/>
      <c r="P348" s="2867"/>
      <c r="Q348" s="2867"/>
      <c r="R348" s="2867"/>
      <c r="S348" s="2867"/>
      <c r="T348" s="2867"/>
      <c r="U348" s="2867"/>
      <c r="V348" s="2867"/>
      <c r="W348" s="2867"/>
      <c r="X348" s="2867"/>
      <c r="Y348" s="2867"/>
      <c r="Z348" s="2867"/>
      <c r="AA348" s="2867"/>
      <c r="AB348" s="2867"/>
      <c r="AC348" s="2867"/>
      <c r="AD348" s="2867"/>
      <c r="AE348" s="2867"/>
      <c r="AF348" s="2867"/>
      <c r="AG348" s="2867"/>
      <c r="AH348" s="2867"/>
      <c r="AI348" s="2950"/>
      <c r="AJ348" s="2867"/>
      <c r="AK348" s="2867"/>
      <c r="AL348" s="2867"/>
      <c r="AM348" s="2870"/>
      <c r="AN348" s="2867"/>
      <c r="AO348" s="2867"/>
      <c r="AP348" s="2867"/>
      <c r="AQ348" s="2867"/>
      <c r="AR348" s="2867"/>
      <c r="AS348" s="2867"/>
      <c r="AT348" s="2867"/>
      <c r="AU348" s="2867"/>
      <c r="AV348" s="2867"/>
      <c r="AW348" s="2867"/>
      <c r="AX348" s="2867"/>
      <c r="AY348" s="2867"/>
      <c r="AZ348" s="2867"/>
      <c r="BA348" s="2867"/>
      <c r="BB348" s="2867"/>
      <c r="BC348" s="2867"/>
      <c r="BD348" s="2867"/>
      <c r="BE348" s="2867"/>
      <c r="BF348" s="2867"/>
      <c r="BG348" s="2867"/>
      <c r="BH348" s="2867"/>
      <c r="BI348" s="2867"/>
      <c r="BJ348" s="2867"/>
      <c r="BK348" s="2867"/>
      <c r="BL348" s="2867"/>
      <c r="BM348" s="2867"/>
      <c r="BN348" s="2867"/>
      <c r="BO348" s="2867"/>
      <c r="BP348" s="2867"/>
      <c r="BQ348" s="2867"/>
      <c r="BR348" s="2867"/>
      <c r="BS348" s="2867"/>
      <c r="BT348" s="2867"/>
      <c r="BU348" s="2867"/>
      <c r="BV348" s="2867"/>
      <c r="BW348" s="2867"/>
      <c r="BX348" s="2867"/>
      <c r="BY348" s="2867"/>
      <c r="BZ348" s="2867"/>
      <c r="CA348" s="2867"/>
      <c r="CB348" s="2867"/>
      <c r="CC348" s="2867"/>
      <c r="CD348" s="2867"/>
      <c r="CE348" s="2867"/>
      <c r="CF348" s="2867"/>
      <c r="CG348" s="2867"/>
      <c r="CH348" s="2867"/>
      <c r="CI348" s="2867"/>
      <c r="CJ348" s="2867"/>
      <c r="CK348" s="2867"/>
      <c r="CL348" s="2867"/>
      <c r="CM348" s="2867"/>
      <c r="CN348" s="2867"/>
      <c r="CO348" s="2867"/>
      <c r="CP348" s="2867"/>
      <c r="CQ348" s="2867"/>
      <c r="CR348" s="2867"/>
      <c r="CS348" s="2867"/>
      <c r="CT348" s="2867"/>
      <c r="CU348" s="2867"/>
      <c r="CV348" s="2867"/>
      <c r="CW348" s="2867"/>
    </row>
    <row r="349" spans="1:101">
      <c r="A349" s="2867"/>
      <c r="B349" s="2867"/>
      <c r="C349" s="2867"/>
      <c r="D349" s="2867"/>
      <c r="E349" s="2867"/>
      <c r="F349" s="2867"/>
      <c r="G349" s="2867"/>
      <c r="H349" s="2867"/>
      <c r="I349" s="2867"/>
      <c r="J349" s="2867"/>
      <c r="K349" s="2867"/>
      <c r="L349" s="2867"/>
      <c r="M349" s="2867"/>
      <c r="O349" s="2867"/>
      <c r="P349" s="2867"/>
      <c r="Q349" s="2867"/>
      <c r="R349" s="2867"/>
      <c r="S349" s="2867"/>
      <c r="T349" s="2867"/>
      <c r="U349" s="2867"/>
      <c r="V349" s="2867"/>
      <c r="W349" s="2867"/>
      <c r="X349" s="2867"/>
      <c r="Y349" s="2867"/>
      <c r="Z349" s="2867"/>
      <c r="AA349" s="2867"/>
      <c r="AB349" s="2867"/>
      <c r="AC349" s="2867"/>
      <c r="AD349" s="2867"/>
      <c r="AE349" s="2867"/>
      <c r="AF349" s="2867"/>
      <c r="AG349" s="2867"/>
      <c r="AH349" s="2867"/>
      <c r="AI349" s="2950"/>
      <c r="AJ349" s="2867"/>
      <c r="AK349" s="2867"/>
      <c r="AL349" s="2867"/>
      <c r="AM349" s="2870"/>
      <c r="AN349" s="2867"/>
      <c r="AO349" s="2867"/>
      <c r="AP349" s="2867"/>
      <c r="AQ349" s="2867"/>
      <c r="AR349" s="2867"/>
      <c r="AS349" s="2867"/>
      <c r="AT349" s="2867"/>
      <c r="AU349" s="2867"/>
      <c r="AV349" s="2867"/>
      <c r="AW349" s="2867"/>
      <c r="AX349" s="2867"/>
      <c r="AY349" s="2867"/>
      <c r="AZ349" s="2867"/>
      <c r="BA349" s="2867"/>
      <c r="BB349" s="2867"/>
      <c r="BC349" s="2867"/>
      <c r="BD349" s="2867"/>
      <c r="BE349" s="2867"/>
      <c r="BF349" s="2867"/>
      <c r="BG349" s="2867"/>
      <c r="BH349" s="2867"/>
      <c r="BI349" s="2867"/>
      <c r="BJ349" s="2867"/>
      <c r="BK349" s="2867"/>
      <c r="BL349" s="2867"/>
      <c r="BM349" s="2867"/>
      <c r="BN349" s="2867"/>
      <c r="BO349" s="2867"/>
      <c r="BP349" s="2867"/>
      <c r="BQ349" s="2867"/>
      <c r="BR349" s="2867"/>
      <c r="BS349" s="2867"/>
      <c r="BT349" s="2867"/>
      <c r="BU349" s="2867"/>
      <c r="BV349" s="2867"/>
      <c r="BW349" s="2867"/>
      <c r="BX349" s="2867"/>
      <c r="BY349" s="2867"/>
      <c r="BZ349" s="2867"/>
      <c r="CA349" s="2867"/>
      <c r="CB349" s="2867"/>
      <c r="CC349" s="2867"/>
      <c r="CD349" s="2867"/>
      <c r="CE349" s="2867"/>
      <c r="CF349" s="2867"/>
      <c r="CG349" s="2867"/>
      <c r="CH349" s="2867"/>
      <c r="CI349" s="2867"/>
      <c r="CJ349" s="2867"/>
      <c r="CK349" s="2867"/>
      <c r="CL349" s="2867"/>
      <c r="CM349" s="2867"/>
      <c r="CN349" s="2867"/>
      <c r="CO349" s="2867"/>
      <c r="CP349" s="2867"/>
      <c r="CQ349" s="2867"/>
      <c r="CR349" s="2867"/>
      <c r="CS349" s="2867"/>
      <c r="CT349" s="2867"/>
      <c r="CU349" s="2867"/>
      <c r="CV349" s="2867"/>
      <c r="CW349" s="2867"/>
    </row>
    <row r="350" spans="1:101">
      <c r="A350" s="2867"/>
      <c r="B350" s="2867"/>
      <c r="C350" s="2867"/>
      <c r="D350" s="2867"/>
      <c r="E350" s="2867"/>
      <c r="F350" s="2867"/>
      <c r="G350" s="2867"/>
      <c r="H350" s="2867"/>
      <c r="I350" s="2867"/>
      <c r="J350" s="2867"/>
      <c r="K350" s="2867"/>
      <c r="L350" s="2867"/>
      <c r="M350" s="2867"/>
      <c r="O350" s="2867"/>
      <c r="P350" s="2867"/>
      <c r="Q350" s="2867"/>
      <c r="R350" s="2867"/>
      <c r="S350" s="2867"/>
      <c r="T350" s="2867"/>
      <c r="U350" s="2867"/>
      <c r="V350" s="2867"/>
      <c r="W350" s="2867"/>
      <c r="X350" s="2867"/>
      <c r="Y350" s="2867"/>
      <c r="Z350" s="2867"/>
      <c r="AA350" s="2867"/>
      <c r="AB350" s="2867"/>
      <c r="AC350" s="2867"/>
      <c r="AD350" s="2867"/>
      <c r="AE350" s="2867"/>
      <c r="AF350" s="2867"/>
      <c r="AG350" s="2867"/>
      <c r="AH350" s="2867"/>
      <c r="AI350" s="2950"/>
      <c r="AJ350" s="2867"/>
      <c r="AK350" s="2867"/>
      <c r="AL350" s="2867"/>
      <c r="AM350" s="2867"/>
      <c r="AN350" s="2867"/>
      <c r="AO350" s="2867"/>
      <c r="AP350" s="2867"/>
      <c r="AQ350" s="2867"/>
      <c r="AR350" s="2867"/>
      <c r="AS350" s="2867"/>
      <c r="AT350" s="2867"/>
      <c r="AU350" s="2867"/>
      <c r="AV350" s="2867"/>
      <c r="AW350" s="2867"/>
      <c r="AX350" s="2867"/>
      <c r="AY350" s="2867"/>
      <c r="AZ350" s="2867"/>
      <c r="BA350" s="2867"/>
      <c r="BB350" s="2867"/>
      <c r="BC350" s="2867"/>
      <c r="BD350" s="2867"/>
      <c r="BE350" s="2867"/>
      <c r="BF350" s="2867"/>
      <c r="BG350" s="2867"/>
      <c r="BH350" s="2867"/>
      <c r="BI350" s="2867"/>
      <c r="BJ350" s="2867"/>
      <c r="BK350" s="2867"/>
      <c r="BL350" s="2867"/>
      <c r="BM350" s="2867"/>
      <c r="BN350" s="2867"/>
      <c r="BO350" s="2867"/>
      <c r="BP350" s="2867"/>
      <c r="BQ350" s="2867"/>
      <c r="BR350" s="2867"/>
      <c r="BS350" s="2867"/>
      <c r="BT350" s="2867"/>
      <c r="BU350" s="2867"/>
      <c r="BV350" s="2867"/>
      <c r="BW350" s="2867"/>
      <c r="BX350" s="2867"/>
      <c r="BY350" s="2867"/>
      <c r="BZ350" s="2867"/>
      <c r="CA350" s="2867"/>
      <c r="CB350" s="2867"/>
      <c r="CC350" s="2867"/>
      <c r="CD350" s="2867"/>
      <c r="CE350" s="2867"/>
      <c r="CF350" s="2867"/>
      <c r="CG350" s="2867"/>
      <c r="CH350" s="2867"/>
      <c r="CI350" s="2867"/>
      <c r="CJ350" s="2867"/>
      <c r="CK350" s="2867"/>
      <c r="CL350" s="2867"/>
      <c r="CM350" s="2867"/>
      <c r="CN350" s="2867"/>
      <c r="CO350" s="2867"/>
      <c r="CP350" s="2867"/>
      <c r="CQ350" s="2867"/>
      <c r="CR350" s="2867"/>
      <c r="CS350" s="2867"/>
      <c r="CT350" s="2867"/>
      <c r="CU350" s="2867"/>
      <c r="CV350" s="2867"/>
      <c r="CW350" s="2867"/>
    </row>
    <row r="351" spans="1:101">
      <c r="A351" s="2867"/>
      <c r="B351" s="2867"/>
      <c r="C351" s="2867"/>
      <c r="D351" s="2867"/>
      <c r="E351" s="2867"/>
      <c r="F351" s="2867"/>
      <c r="G351" s="2867"/>
      <c r="H351" s="2867"/>
      <c r="I351" s="2867"/>
      <c r="J351" s="2867"/>
      <c r="K351" s="2867"/>
      <c r="L351" s="2867"/>
      <c r="M351" s="2867"/>
      <c r="O351" s="2867"/>
      <c r="P351" s="2867"/>
      <c r="Q351" s="2867"/>
      <c r="R351" s="2867"/>
      <c r="S351" s="2867"/>
      <c r="T351" s="2867"/>
      <c r="U351" s="2867"/>
      <c r="V351" s="2867"/>
      <c r="W351" s="2867"/>
      <c r="X351" s="2867"/>
      <c r="Y351" s="2867"/>
      <c r="Z351" s="2867"/>
      <c r="AA351" s="2867"/>
      <c r="AB351" s="2867"/>
      <c r="AC351" s="2867"/>
      <c r="AD351" s="2867"/>
      <c r="AE351" s="2867"/>
      <c r="AF351" s="2867"/>
      <c r="AG351" s="2867"/>
      <c r="AH351" s="2867"/>
      <c r="AI351" s="2950"/>
      <c r="AJ351" s="2867"/>
      <c r="AK351" s="2867"/>
      <c r="AL351" s="2867"/>
      <c r="AM351" s="2870"/>
      <c r="AN351" s="2867"/>
      <c r="AO351" s="2867"/>
      <c r="AP351" s="2867"/>
      <c r="AQ351" s="2867"/>
      <c r="AR351" s="2867"/>
      <c r="AS351" s="2867"/>
      <c r="AT351" s="2867"/>
      <c r="AU351" s="2867"/>
      <c r="AV351" s="2867"/>
      <c r="AW351" s="2867"/>
      <c r="AX351" s="2867"/>
      <c r="AY351" s="2867"/>
      <c r="AZ351" s="2867"/>
      <c r="BA351" s="2867"/>
      <c r="BB351" s="2867"/>
      <c r="BC351" s="2867"/>
      <c r="BD351" s="2867"/>
      <c r="BE351" s="2867"/>
      <c r="BF351" s="2867"/>
      <c r="BG351" s="2867"/>
      <c r="BH351" s="2867"/>
      <c r="BI351" s="2867"/>
      <c r="BJ351" s="2867"/>
      <c r="BK351" s="2867"/>
      <c r="BL351" s="2867"/>
      <c r="BM351" s="2867"/>
      <c r="BN351" s="2867"/>
      <c r="BO351" s="2867"/>
      <c r="BP351" s="2867"/>
      <c r="BQ351" s="2867"/>
      <c r="BR351" s="2867"/>
      <c r="BS351" s="2867"/>
      <c r="BT351" s="2867"/>
      <c r="BU351" s="2867"/>
      <c r="BV351" s="2867"/>
      <c r="BW351" s="2867"/>
      <c r="BX351" s="2867"/>
      <c r="BY351" s="2867"/>
      <c r="BZ351" s="2867"/>
      <c r="CA351" s="2867"/>
      <c r="CB351" s="2867"/>
      <c r="CC351" s="2867"/>
      <c r="CD351" s="2867"/>
      <c r="CE351" s="2867"/>
      <c r="CF351" s="2867"/>
      <c r="CG351" s="2867"/>
      <c r="CH351" s="2867"/>
      <c r="CI351" s="2867"/>
      <c r="CJ351" s="2867"/>
      <c r="CK351" s="2867"/>
      <c r="CL351" s="2867"/>
      <c r="CM351" s="2867"/>
      <c r="CN351" s="2867"/>
      <c r="CO351" s="2867"/>
      <c r="CP351" s="2867"/>
      <c r="CQ351" s="2867"/>
      <c r="CR351" s="2867"/>
      <c r="CS351" s="2867"/>
      <c r="CT351" s="2867"/>
      <c r="CU351" s="2867"/>
      <c r="CV351" s="2867"/>
      <c r="CW351" s="2867"/>
    </row>
    <row r="352" spans="1:101">
      <c r="A352" s="2867"/>
      <c r="B352" s="2867"/>
      <c r="C352" s="2867"/>
      <c r="D352" s="2867"/>
      <c r="E352" s="2867"/>
      <c r="F352" s="2867"/>
      <c r="G352" s="2867"/>
      <c r="H352" s="2867"/>
      <c r="I352" s="2867"/>
      <c r="J352" s="2867"/>
      <c r="K352" s="2867"/>
      <c r="L352" s="2867"/>
      <c r="M352" s="2867"/>
      <c r="O352" s="2867"/>
      <c r="P352" s="2867"/>
      <c r="Q352" s="2867"/>
      <c r="R352" s="2867"/>
      <c r="S352" s="2867"/>
      <c r="T352" s="2867"/>
      <c r="U352" s="2867"/>
      <c r="V352" s="2867"/>
      <c r="W352" s="2867"/>
      <c r="X352" s="2867"/>
      <c r="Y352" s="2867"/>
      <c r="Z352" s="2867"/>
      <c r="AA352" s="2867"/>
      <c r="AB352" s="2867"/>
      <c r="AC352" s="2867"/>
      <c r="AD352" s="2867"/>
      <c r="AE352" s="2867"/>
      <c r="AF352" s="2867"/>
      <c r="AG352" s="2867"/>
      <c r="AH352" s="2867"/>
      <c r="AI352" s="2950"/>
      <c r="AJ352" s="2867"/>
      <c r="AK352" s="2867"/>
      <c r="AL352" s="2867"/>
      <c r="AM352" s="2867"/>
      <c r="AN352" s="2867"/>
      <c r="AO352" s="2867"/>
      <c r="AP352" s="2867"/>
      <c r="AQ352" s="2867"/>
      <c r="AR352" s="2867"/>
      <c r="AS352" s="2867"/>
      <c r="AT352" s="2867"/>
      <c r="AU352" s="2867"/>
      <c r="AV352" s="2867"/>
      <c r="AW352" s="2867"/>
      <c r="AX352" s="2867"/>
      <c r="AY352" s="2867"/>
      <c r="AZ352" s="2867"/>
      <c r="BA352" s="2867"/>
      <c r="BB352" s="2867"/>
      <c r="BC352" s="2867"/>
      <c r="BD352" s="2867"/>
      <c r="BE352" s="2867"/>
      <c r="BF352" s="2867"/>
      <c r="BG352" s="2867"/>
      <c r="BH352" s="2867"/>
      <c r="BI352" s="2867"/>
      <c r="BJ352" s="2867"/>
      <c r="BK352" s="2867"/>
      <c r="BL352" s="2867"/>
      <c r="BM352" s="2867"/>
      <c r="BN352" s="2867"/>
      <c r="BO352" s="2867"/>
      <c r="BP352" s="2867"/>
      <c r="BQ352" s="2867"/>
      <c r="BR352" s="2867"/>
      <c r="BS352" s="2867"/>
      <c r="BT352" s="2867"/>
      <c r="BU352" s="2867"/>
      <c r="BV352" s="2867"/>
      <c r="BW352" s="2867"/>
      <c r="BX352" s="2867"/>
      <c r="BY352" s="2867"/>
      <c r="BZ352" s="2867"/>
      <c r="CA352" s="2867"/>
      <c r="CB352" s="2867"/>
      <c r="CC352" s="2867"/>
      <c r="CD352" s="2867"/>
      <c r="CE352" s="2867"/>
      <c r="CF352" s="2867"/>
      <c r="CG352" s="2867"/>
      <c r="CH352" s="2867"/>
      <c r="CI352" s="2867"/>
      <c r="CJ352" s="2867"/>
      <c r="CK352" s="2867"/>
      <c r="CL352" s="2867"/>
      <c r="CM352" s="2867"/>
      <c r="CN352" s="2867"/>
      <c r="CO352" s="2867"/>
      <c r="CP352" s="2867"/>
      <c r="CQ352" s="2867"/>
      <c r="CR352" s="2867"/>
      <c r="CS352" s="2867"/>
      <c r="CT352" s="2867"/>
      <c r="CU352" s="2867"/>
      <c r="CV352" s="2867"/>
      <c r="CW352" s="2867"/>
    </row>
    <row r="353" spans="1:101">
      <c r="A353" s="2867"/>
      <c r="B353" s="2867"/>
      <c r="C353" s="2867"/>
      <c r="D353" s="2867"/>
      <c r="E353" s="2867"/>
      <c r="F353" s="2867"/>
      <c r="G353" s="2867"/>
      <c r="H353" s="2867"/>
      <c r="I353" s="2867"/>
      <c r="J353" s="2867"/>
      <c r="K353" s="2867"/>
      <c r="L353" s="2867"/>
      <c r="M353" s="2867"/>
      <c r="O353" s="2867"/>
      <c r="P353" s="2867"/>
      <c r="Q353" s="2867"/>
      <c r="R353" s="2867"/>
      <c r="S353" s="2867"/>
      <c r="T353" s="2867"/>
      <c r="U353" s="2867"/>
      <c r="V353" s="2867"/>
      <c r="W353" s="2867"/>
      <c r="X353" s="2867"/>
      <c r="Y353" s="2867"/>
      <c r="Z353" s="2867"/>
      <c r="AA353" s="2867"/>
      <c r="AB353" s="2867"/>
      <c r="AC353" s="2867"/>
      <c r="AD353" s="2867"/>
      <c r="AE353" s="2867"/>
      <c r="AF353" s="2867"/>
      <c r="AG353" s="2867"/>
      <c r="AH353" s="2867"/>
      <c r="AI353" s="2950"/>
      <c r="AJ353" s="2867"/>
      <c r="AK353" s="2867"/>
      <c r="AL353" s="2867"/>
      <c r="AM353" s="2867"/>
      <c r="AN353" s="2867"/>
      <c r="AO353" s="2867"/>
      <c r="AP353" s="2867"/>
      <c r="AQ353" s="2867"/>
      <c r="AR353" s="2867"/>
      <c r="AS353" s="2867"/>
      <c r="AT353" s="2867"/>
      <c r="AU353" s="2867"/>
      <c r="AV353" s="2867"/>
      <c r="AW353" s="2867"/>
      <c r="AX353" s="2867"/>
      <c r="AY353" s="2867"/>
      <c r="AZ353" s="2867"/>
      <c r="BA353" s="2867"/>
      <c r="BB353" s="2867"/>
      <c r="BC353" s="2867"/>
      <c r="BD353" s="2867"/>
      <c r="BE353" s="2867"/>
      <c r="BF353" s="2867"/>
      <c r="BG353" s="2867"/>
      <c r="BH353" s="2867"/>
      <c r="BI353" s="2867"/>
      <c r="BJ353" s="2867"/>
      <c r="BK353" s="2867"/>
      <c r="BL353" s="2867"/>
      <c r="BM353" s="2867"/>
      <c r="BN353" s="2867"/>
      <c r="BO353" s="2867"/>
      <c r="BP353" s="2867"/>
      <c r="BQ353" s="2867"/>
      <c r="BR353" s="2867"/>
      <c r="BS353" s="2867"/>
      <c r="BT353" s="2867"/>
      <c r="BU353" s="2867"/>
      <c r="BV353" s="2867"/>
      <c r="BW353" s="2867"/>
      <c r="BX353" s="2867"/>
      <c r="BY353" s="2867"/>
      <c r="BZ353" s="2867"/>
      <c r="CA353" s="2867"/>
      <c r="CB353" s="2867"/>
      <c r="CC353" s="2867"/>
      <c r="CD353" s="2867"/>
      <c r="CE353" s="2867"/>
      <c r="CF353" s="2867"/>
      <c r="CG353" s="2867"/>
      <c r="CH353" s="2867"/>
      <c r="CI353" s="2867"/>
      <c r="CJ353" s="2867"/>
      <c r="CK353" s="2867"/>
      <c r="CL353" s="2867"/>
      <c r="CM353" s="2867"/>
      <c r="CN353" s="2867"/>
      <c r="CO353" s="2867"/>
      <c r="CP353" s="2867"/>
      <c r="CQ353" s="2867"/>
      <c r="CR353" s="2867"/>
      <c r="CS353" s="2867"/>
      <c r="CT353" s="2867"/>
      <c r="CU353" s="2867"/>
      <c r="CV353" s="2867"/>
      <c r="CW353" s="2867"/>
    </row>
    <row r="354" spans="1:101">
      <c r="A354" s="2867"/>
      <c r="B354" s="2867"/>
      <c r="C354" s="2867"/>
      <c r="D354" s="2867"/>
      <c r="E354" s="2867"/>
      <c r="F354" s="2867"/>
      <c r="G354" s="2867"/>
      <c r="H354" s="2867"/>
      <c r="I354" s="2867"/>
      <c r="J354" s="2867"/>
      <c r="K354" s="2867"/>
      <c r="L354" s="2867"/>
      <c r="M354" s="2867"/>
      <c r="O354" s="2867"/>
      <c r="P354" s="2867"/>
      <c r="Q354" s="2867"/>
      <c r="R354" s="2867"/>
      <c r="S354" s="2867"/>
      <c r="T354" s="2867"/>
      <c r="U354" s="2867"/>
      <c r="V354" s="2867"/>
      <c r="W354" s="2867"/>
      <c r="X354" s="2867"/>
      <c r="Y354" s="2867"/>
      <c r="Z354" s="2867"/>
      <c r="AA354" s="2867"/>
      <c r="AB354" s="2867"/>
      <c r="AC354" s="2867"/>
      <c r="AD354" s="2867"/>
      <c r="AE354" s="2867"/>
      <c r="AF354" s="2867"/>
      <c r="AG354" s="2867"/>
      <c r="AH354" s="2867"/>
      <c r="AI354" s="2950"/>
      <c r="AJ354" s="2867"/>
      <c r="AK354" s="2867"/>
      <c r="AL354" s="2867"/>
      <c r="AM354" s="2870"/>
      <c r="AN354" s="2867"/>
      <c r="AO354" s="2867"/>
      <c r="AP354" s="2867"/>
      <c r="AQ354" s="2867"/>
      <c r="AR354" s="2867"/>
      <c r="AS354" s="2867"/>
      <c r="AT354" s="2867"/>
      <c r="AU354" s="2867"/>
      <c r="AV354" s="2867"/>
      <c r="AW354" s="2867"/>
      <c r="AX354" s="2867"/>
      <c r="AY354" s="2867"/>
      <c r="AZ354" s="2867"/>
      <c r="BA354" s="2867"/>
      <c r="BB354" s="2867"/>
      <c r="BC354" s="2867"/>
      <c r="BD354" s="2867"/>
      <c r="BE354" s="2867"/>
      <c r="BF354" s="2867"/>
      <c r="BG354" s="2867"/>
      <c r="BH354" s="2867"/>
      <c r="BI354" s="2867"/>
      <c r="BJ354" s="2867"/>
      <c r="BK354" s="2867"/>
      <c r="BL354" s="2867"/>
      <c r="BM354" s="2867"/>
      <c r="BN354" s="2867"/>
      <c r="BO354" s="2867"/>
      <c r="BP354" s="2867"/>
      <c r="BQ354" s="2867"/>
      <c r="BR354" s="2867"/>
      <c r="BS354" s="2867"/>
      <c r="BT354" s="2867"/>
      <c r="BU354" s="2867"/>
      <c r="BV354" s="2867"/>
      <c r="BW354" s="2867"/>
      <c r="BX354" s="2867"/>
      <c r="BY354" s="2867"/>
      <c r="BZ354" s="2867"/>
      <c r="CA354" s="2867"/>
      <c r="CB354" s="2867"/>
      <c r="CC354" s="2867"/>
      <c r="CD354" s="2867"/>
      <c r="CE354" s="2867"/>
      <c r="CF354" s="2867"/>
      <c r="CG354" s="2867"/>
      <c r="CH354" s="2867"/>
      <c r="CI354" s="2867"/>
      <c r="CJ354" s="2867"/>
      <c r="CK354" s="2867"/>
      <c r="CL354" s="2867"/>
      <c r="CM354" s="2867"/>
      <c r="CN354" s="2867"/>
      <c r="CO354" s="2867"/>
      <c r="CP354" s="2867"/>
      <c r="CQ354" s="2867"/>
      <c r="CR354" s="2867"/>
      <c r="CS354" s="2867"/>
      <c r="CT354" s="2867"/>
      <c r="CU354" s="2867"/>
      <c r="CV354" s="2867"/>
      <c r="CW354" s="2867"/>
    </row>
    <row r="355" spans="1:101">
      <c r="A355" s="2867"/>
      <c r="B355" s="2867"/>
      <c r="C355" s="2867"/>
      <c r="D355" s="2867"/>
      <c r="E355" s="2867"/>
      <c r="F355" s="2867"/>
      <c r="G355" s="2867"/>
      <c r="H355" s="2867"/>
      <c r="I355" s="2867"/>
      <c r="J355" s="2867"/>
      <c r="K355" s="2867"/>
      <c r="L355" s="2867"/>
      <c r="M355" s="2867"/>
      <c r="O355" s="2867"/>
      <c r="P355" s="2867"/>
      <c r="Q355" s="2867"/>
      <c r="R355" s="2867"/>
      <c r="S355" s="2867"/>
      <c r="T355" s="2867"/>
      <c r="U355" s="2867"/>
      <c r="V355" s="2867"/>
      <c r="W355" s="2867"/>
      <c r="X355" s="2867"/>
      <c r="Y355" s="2867"/>
      <c r="Z355" s="2867"/>
      <c r="AA355" s="2867"/>
      <c r="AB355" s="2867"/>
      <c r="AC355" s="2867"/>
      <c r="AD355" s="2867"/>
      <c r="AE355" s="2867"/>
      <c r="AF355" s="2867"/>
      <c r="AG355" s="2867"/>
      <c r="AH355" s="2867"/>
      <c r="AI355" s="2950"/>
      <c r="AJ355" s="2867"/>
      <c r="AK355" s="2867"/>
      <c r="AL355" s="2867"/>
      <c r="AM355" s="2870"/>
      <c r="AN355" s="2867"/>
      <c r="AO355" s="2867"/>
      <c r="AP355" s="2867"/>
      <c r="AQ355" s="2867"/>
      <c r="AR355" s="2867"/>
      <c r="AS355" s="2867"/>
      <c r="AT355" s="2867"/>
      <c r="AU355" s="2867"/>
      <c r="AV355" s="2867"/>
      <c r="AW355" s="2867"/>
      <c r="AX355" s="2867"/>
      <c r="AY355" s="2867"/>
      <c r="AZ355" s="2867"/>
      <c r="BA355" s="2867"/>
      <c r="BB355" s="2867"/>
      <c r="BC355" s="2867"/>
      <c r="BD355" s="2867"/>
      <c r="BE355" s="2867"/>
      <c r="BF355" s="2867"/>
      <c r="BG355" s="2867"/>
      <c r="BH355" s="2867"/>
      <c r="BI355" s="2867"/>
      <c r="BJ355" s="2867"/>
      <c r="BK355" s="2867"/>
      <c r="BL355" s="2867"/>
      <c r="BM355" s="2867"/>
      <c r="BN355" s="2867"/>
      <c r="BO355" s="2867"/>
      <c r="BP355" s="2867"/>
      <c r="BQ355" s="2867"/>
      <c r="BR355" s="2867"/>
      <c r="BS355" s="2867"/>
      <c r="BT355" s="2867"/>
      <c r="BU355" s="2867"/>
      <c r="BV355" s="2867"/>
      <c r="BW355" s="2867"/>
      <c r="BX355" s="2867"/>
      <c r="BY355" s="2867"/>
      <c r="BZ355" s="2867"/>
      <c r="CA355" s="2867"/>
      <c r="CB355" s="2867"/>
      <c r="CC355" s="2867"/>
      <c r="CD355" s="2867"/>
      <c r="CE355" s="2867"/>
      <c r="CF355" s="2867"/>
      <c r="CG355" s="2867"/>
      <c r="CH355" s="2867"/>
      <c r="CI355" s="2867"/>
      <c r="CJ355" s="2867"/>
      <c r="CK355" s="2867"/>
      <c r="CL355" s="2867"/>
      <c r="CM355" s="2867"/>
      <c r="CN355" s="2867"/>
      <c r="CO355" s="2867"/>
      <c r="CP355" s="2867"/>
      <c r="CQ355" s="2867"/>
      <c r="CR355" s="2867"/>
      <c r="CS355" s="2867"/>
      <c r="CT355" s="2867"/>
      <c r="CU355" s="2867"/>
      <c r="CV355" s="2867"/>
      <c r="CW355" s="2867"/>
    </row>
    <row r="356" spans="1:101">
      <c r="A356" s="2867"/>
      <c r="B356" s="2867"/>
      <c r="C356" s="2867"/>
      <c r="D356" s="2867"/>
      <c r="E356" s="2867"/>
      <c r="F356" s="2867"/>
      <c r="G356" s="2867"/>
      <c r="H356" s="2867"/>
      <c r="I356" s="2867"/>
      <c r="J356" s="2867"/>
      <c r="K356" s="2867"/>
      <c r="L356" s="2867"/>
      <c r="M356" s="2867"/>
      <c r="O356" s="2867"/>
      <c r="P356" s="2867"/>
      <c r="Q356" s="2867"/>
      <c r="R356" s="2867"/>
      <c r="S356" s="2867"/>
      <c r="T356" s="2867"/>
      <c r="U356" s="2867"/>
      <c r="V356" s="2867"/>
      <c r="W356" s="2867"/>
      <c r="X356" s="2867"/>
      <c r="Y356" s="2867"/>
      <c r="Z356" s="2867"/>
      <c r="AA356" s="2867"/>
      <c r="AB356" s="2867"/>
      <c r="AC356" s="2867"/>
      <c r="AD356" s="2867"/>
      <c r="AE356" s="2867"/>
      <c r="AF356" s="2867"/>
      <c r="AG356" s="2867"/>
      <c r="AH356" s="2867"/>
      <c r="AI356" s="2950"/>
      <c r="AJ356" s="2867"/>
      <c r="AK356" s="2867"/>
      <c r="AL356" s="2867"/>
      <c r="AM356" s="2870"/>
      <c r="AN356" s="2867"/>
      <c r="AO356" s="2867"/>
      <c r="AP356" s="2867"/>
      <c r="AQ356" s="2867"/>
      <c r="AR356" s="2867"/>
      <c r="AS356" s="2867"/>
      <c r="AT356" s="2867"/>
      <c r="AU356" s="2867"/>
      <c r="AV356" s="2867"/>
      <c r="AW356" s="2867"/>
      <c r="AX356" s="2867"/>
      <c r="AY356" s="2867"/>
      <c r="AZ356" s="2867"/>
      <c r="BA356" s="2867"/>
      <c r="BB356" s="2867"/>
      <c r="BC356" s="2867"/>
      <c r="BD356" s="2867"/>
      <c r="BE356" s="2867"/>
      <c r="BF356" s="2867"/>
      <c r="BG356" s="2867"/>
      <c r="BH356" s="2867"/>
      <c r="BI356" s="2867"/>
      <c r="BJ356" s="2867"/>
      <c r="BK356" s="2867"/>
      <c r="BL356" s="2867"/>
      <c r="BM356" s="2867"/>
      <c r="BN356" s="2867"/>
      <c r="BO356" s="2867"/>
      <c r="BP356" s="2867"/>
      <c r="BQ356" s="2867"/>
      <c r="BR356" s="2867"/>
      <c r="BS356" s="2867"/>
      <c r="BT356" s="2867"/>
      <c r="BU356" s="2867"/>
      <c r="BV356" s="2867"/>
      <c r="BW356" s="2867"/>
      <c r="BX356" s="2867"/>
      <c r="BY356" s="2867"/>
      <c r="BZ356" s="2867"/>
      <c r="CA356" s="2867"/>
      <c r="CB356" s="2867"/>
      <c r="CC356" s="2867"/>
      <c r="CD356" s="2867"/>
      <c r="CE356" s="2867"/>
      <c r="CF356" s="2867"/>
      <c r="CG356" s="2867"/>
      <c r="CH356" s="2867"/>
      <c r="CI356" s="2867"/>
      <c r="CJ356" s="2867"/>
      <c r="CK356" s="2867"/>
      <c r="CL356" s="2867"/>
      <c r="CM356" s="2867"/>
      <c r="CN356" s="2867"/>
      <c r="CO356" s="2867"/>
      <c r="CP356" s="2867"/>
      <c r="CQ356" s="2867"/>
      <c r="CR356" s="2867"/>
      <c r="CS356" s="2867"/>
      <c r="CT356" s="2867"/>
      <c r="CU356" s="2867"/>
      <c r="CV356" s="2867"/>
      <c r="CW356" s="2867"/>
    </row>
    <row r="357" spans="1:101">
      <c r="A357" s="2867"/>
      <c r="B357" s="2867"/>
      <c r="C357" s="2867"/>
      <c r="D357" s="2867"/>
      <c r="E357" s="2867"/>
      <c r="F357" s="2867"/>
      <c r="G357" s="2867"/>
      <c r="H357" s="2867"/>
      <c r="I357" s="2867"/>
      <c r="J357" s="2867"/>
      <c r="K357" s="2867"/>
      <c r="L357" s="2867"/>
      <c r="M357" s="2867"/>
      <c r="O357" s="2867"/>
      <c r="P357" s="2867"/>
      <c r="Q357" s="2867"/>
      <c r="R357" s="2867"/>
      <c r="S357" s="2867"/>
      <c r="T357" s="2867"/>
      <c r="U357" s="2867"/>
      <c r="V357" s="2867"/>
      <c r="W357" s="2867"/>
      <c r="X357" s="2867"/>
      <c r="Y357" s="2867"/>
      <c r="Z357" s="2867"/>
      <c r="AA357" s="2867"/>
      <c r="AB357" s="2867"/>
      <c r="AC357" s="2867"/>
      <c r="AD357" s="2867"/>
      <c r="AE357" s="2867"/>
      <c r="AF357" s="2867"/>
      <c r="AG357" s="2867"/>
      <c r="AH357" s="2867"/>
      <c r="AI357" s="2950"/>
      <c r="AJ357" s="2867"/>
      <c r="AK357" s="2867"/>
      <c r="AL357" s="2867"/>
      <c r="AM357" s="2867"/>
      <c r="AN357" s="2867"/>
      <c r="AO357" s="2867"/>
      <c r="AP357" s="2867"/>
      <c r="AQ357" s="2867"/>
      <c r="AR357" s="2867"/>
      <c r="AS357" s="2867"/>
      <c r="AT357" s="2867"/>
      <c r="AU357" s="2867"/>
      <c r="AV357" s="2867"/>
      <c r="AW357" s="2867"/>
      <c r="AX357" s="2867"/>
      <c r="AY357" s="2867"/>
      <c r="AZ357" s="2867"/>
      <c r="BA357" s="2867"/>
      <c r="BB357" s="2867"/>
      <c r="BC357" s="2867"/>
      <c r="BD357" s="2867"/>
      <c r="BE357" s="2867"/>
      <c r="BF357" s="2867"/>
      <c r="BG357" s="2867"/>
      <c r="BH357" s="2867"/>
      <c r="BI357" s="2867"/>
      <c r="BJ357" s="2867"/>
      <c r="BK357" s="2867"/>
      <c r="BL357" s="2867"/>
      <c r="BM357" s="2867"/>
      <c r="BN357" s="2867"/>
      <c r="BO357" s="2867"/>
      <c r="BP357" s="2867"/>
      <c r="BQ357" s="2867"/>
      <c r="BR357" s="2867"/>
      <c r="BS357" s="2867"/>
      <c r="BT357" s="2867"/>
      <c r="BU357" s="2867"/>
      <c r="BV357" s="2867"/>
      <c r="BW357" s="2867"/>
      <c r="BX357" s="2867"/>
      <c r="BY357" s="2867"/>
      <c r="BZ357" s="2867"/>
      <c r="CA357" s="2867"/>
      <c r="CB357" s="2867"/>
      <c r="CC357" s="2867"/>
      <c r="CD357" s="2867"/>
      <c r="CE357" s="2867"/>
      <c r="CF357" s="2867"/>
      <c r="CG357" s="2867"/>
      <c r="CH357" s="2867"/>
      <c r="CI357" s="2867"/>
      <c r="CJ357" s="2867"/>
      <c r="CK357" s="2867"/>
      <c r="CL357" s="2867"/>
      <c r="CM357" s="2867"/>
      <c r="CN357" s="2867"/>
      <c r="CO357" s="2867"/>
      <c r="CP357" s="2867"/>
      <c r="CQ357" s="2867"/>
      <c r="CR357" s="2867"/>
      <c r="CS357" s="2867"/>
      <c r="CT357" s="2867"/>
      <c r="CU357" s="2867"/>
      <c r="CV357" s="2867"/>
      <c r="CW357" s="2867"/>
    </row>
    <row r="358" spans="1:101">
      <c r="A358" s="2867"/>
      <c r="B358" s="2867"/>
      <c r="C358" s="2867"/>
      <c r="D358" s="2867"/>
      <c r="E358" s="2867"/>
      <c r="F358" s="2867"/>
      <c r="G358" s="2867"/>
      <c r="H358" s="2867"/>
      <c r="I358" s="2867"/>
      <c r="J358" s="2867"/>
      <c r="K358" s="2867"/>
      <c r="L358" s="2867"/>
      <c r="M358" s="2867"/>
      <c r="O358" s="2867"/>
      <c r="P358" s="2867"/>
      <c r="Q358" s="2867"/>
      <c r="R358" s="2867"/>
      <c r="S358" s="2867"/>
      <c r="T358" s="2867"/>
      <c r="U358" s="2867"/>
      <c r="V358" s="2867"/>
      <c r="W358" s="2867"/>
      <c r="X358" s="2867"/>
      <c r="Y358" s="2867"/>
      <c r="Z358" s="2867"/>
      <c r="AA358" s="2867"/>
      <c r="AB358" s="2867"/>
      <c r="AC358" s="2867"/>
      <c r="AD358" s="2867"/>
      <c r="AE358" s="2867"/>
      <c r="AF358" s="2867"/>
      <c r="AG358" s="2867"/>
      <c r="AH358" s="2867"/>
      <c r="AI358" s="2950"/>
      <c r="AJ358" s="2867"/>
      <c r="AK358" s="2867"/>
      <c r="AL358" s="2867"/>
      <c r="AM358" s="2867"/>
      <c r="AN358" s="2867"/>
      <c r="AO358" s="2867"/>
      <c r="AP358" s="2867"/>
      <c r="AQ358" s="2867"/>
      <c r="AR358" s="2867"/>
      <c r="AS358" s="2867"/>
      <c r="AT358" s="2867"/>
      <c r="AU358" s="2867"/>
      <c r="AV358" s="2867"/>
      <c r="AW358" s="2867"/>
      <c r="AX358" s="2867"/>
      <c r="AY358" s="2867"/>
      <c r="AZ358" s="2867"/>
      <c r="BA358" s="2867"/>
      <c r="BB358" s="2867"/>
      <c r="BC358" s="2867"/>
      <c r="BD358" s="2867"/>
      <c r="BE358" s="2867"/>
      <c r="BF358" s="2867"/>
      <c r="BG358" s="2867"/>
      <c r="BH358" s="2867"/>
      <c r="BI358" s="2867"/>
      <c r="BJ358" s="2867"/>
      <c r="BK358" s="2867"/>
      <c r="BL358" s="2867"/>
      <c r="BM358" s="2867"/>
      <c r="BN358" s="2867"/>
      <c r="BO358" s="2867"/>
      <c r="BP358" s="2867"/>
      <c r="BQ358" s="2867"/>
      <c r="BR358" s="2867"/>
      <c r="BS358" s="2867"/>
      <c r="BT358" s="2867"/>
      <c r="BU358" s="2867"/>
      <c r="BV358" s="2867"/>
      <c r="BW358" s="2867"/>
      <c r="BX358" s="2867"/>
      <c r="BY358" s="2867"/>
      <c r="BZ358" s="2867"/>
      <c r="CA358" s="2867"/>
      <c r="CB358" s="2867"/>
      <c r="CC358" s="2867"/>
      <c r="CD358" s="2867"/>
      <c r="CE358" s="2867"/>
      <c r="CF358" s="2867"/>
      <c r="CG358" s="2867"/>
      <c r="CH358" s="2867"/>
      <c r="CI358" s="2867"/>
      <c r="CJ358" s="2867"/>
      <c r="CK358" s="2867"/>
      <c r="CL358" s="2867"/>
      <c r="CM358" s="2867"/>
      <c r="CN358" s="2867"/>
      <c r="CO358" s="2867"/>
      <c r="CP358" s="2867"/>
      <c r="CQ358" s="2867"/>
      <c r="CR358" s="2867"/>
      <c r="CS358" s="2867"/>
      <c r="CT358" s="2867"/>
      <c r="CU358" s="2867"/>
      <c r="CV358" s="2867"/>
      <c r="CW358" s="2867"/>
    </row>
    <row r="359" spans="1:101">
      <c r="A359" s="2867"/>
      <c r="B359" s="2867"/>
      <c r="C359" s="2867"/>
      <c r="D359" s="2867"/>
      <c r="E359" s="2867"/>
      <c r="F359" s="2867"/>
      <c r="G359" s="2867"/>
      <c r="H359" s="2867"/>
      <c r="I359" s="2867"/>
      <c r="J359" s="2867"/>
      <c r="K359" s="2867"/>
      <c r="L359" s="2867"/>
      <c r="M359" s="2867"/>
      <c r="O359" s="2867"/>
      <c r="P359" s="2867"/>
      <c r="Q359" s="2867"/>
      <c r="R359" s="2867"/>
      <c r="S359" s="2867"/>
      <c r="T359" s="2867"/>
      <c r="U359" s="2867"/>
      <c r="V359" s="2867"/>
      <c r="W359" s="2867"/>
      <c r="X359" s="2867"/>
      <c r="Y359" s="2867"/>
      <c r="Z359" s="2867"/>
      <c r="AA359" s="2867"/>
      <c r="AB359" s="2867"/>
      <c r="AC359" s="2867"/>
      <c r="AD359" s="2867"/>
      <c r="AE359" s="2867"/>
      <c r="AF359" s="2867"/>
      <c r="AG359" s="2867"/>
      <c r="AH359" s="2867"/>
      <c r="AI359" s="2950"/>
      <c r="AJ359" s="2867"/>
      <c r="AK359" s="2867"/>
      <c r="AL359" s="2867"/>
      <c r="AM359" s="2870"/>
      <c r="AN359" s="2867"/>
      <c r="AO359" s="2867"/>
      <c r="AP359" s="2867"/>
      <c r="AQ359" s="2867"/>
      <c r="AR359" s="2867"/>
      <c r="AS359" s="2867"/>
      <c r="AT359" s="2867"/>
      <c r="AU359" s="2867"/>
      <c r="AV359" s="2867"/>
      <c r="AW359" s="2867"/>
      <c r="AX359" s="2867"/>
      <c r="AY359" s="2867"/>
      <c r="AZ359" s="2867"/>
      <c r="BA359" s="2867"/>
      <c r="BB359" s="2867"/>
      <c r="BC359" s="2867"/>
      <c r="BD359" s="2867"/>
      <c r="BE359" s="2867"/>
      <c r="BF359" s="2867"/>
      <c r="BG359" s="2867"/>
      <c r="BH359" s="2867"/>
      <c r="BI359" s="2867"/>
      <c r="BJ359" s="2867"/>
      <c r="BK359" s="2867"/>
      <c r="BL359" s="2867"/>
      <c r="BM359" s="2867"/>
      <c r="BN359" s="2867"/>
      <c r="BO359" s="2867"/>
      <c r="BP359" s="2867"/>
      <c r="BQ359" s="2867"/>
      <c r="BR359" s="2867"/>
      <c r="BS359" s="2867"/>
      <c r="BT359" s="2867"/>
      <c r="BU359" s="2867"/>
      <c r="BV359" s="2867"/>
      <c r="BW359" s="2867"/>
      <c r="BX359" s="2867"/>
      <c r="BY359" s="2867"/>
      <c r="BZ359" s="2867"/>
      <c r="CA359" s="2867"/>
      <c r="CB359" s="2867"/>
      <c r="CC359" s="2867"/>
      <c r="CD359" s="2867"/>
      <c r="CE359" s="2867"/>
      <c r="CF359" s="2867"/>
      <c r="CG359" s="2867"/>
      <c r="CH359" s="2867"/>
      <c r="CI359" s="2867"/>
      <c r="CJ359" s="2867"/>
      <c r="CK359" s="2867"/>
      <c r="CL359" s="2867"/>
      <c r="CM359" s="2867"/>
      <c r="CN359" s="2867"/>
      <c r="CO359" s="2867"/>
      <c r="CP359" s="2867"/>
      <c r="CQ359" s="2867"/>
      <c r="CR359" s="2867"/>
      <c r="CS359" s="2867"/>
      <c r="CT359" s="2867"/>
      <c r="CU359" s="2867"/>
      <c r="CV359" s="2867"/>
      <c r="CW359" s="2867"/>
    </row>
    <row r="360" spans="1:101">
      <c r="A360" s="2867"/>
      <c r="B360" s="2867"/>
      <c r="C360" s="2867"/>
      <c r="D360" s="2867"/>
      <c r="E360" s="2867"/>
      <c r="F360" s="2867"/>
      <c r="G360" s="2867"/>
      <c r="H360" s="2867"/>
      <c r="I360" s="2867"/>
      <c r="J360" s="2867"/>
      <c r="K360" s="2867"/>
      <c r="L360" s="2867"/>
      <c r="M360" s="2867"/>
      <c r="O360" s="2867"/>
      <c r="P360" s="2867"/>
      <c r="Q360" s="2867"/>
      <c r="R360" s="2867"/>
      <c r="S360" s="2867"/>
      <c r="T360" s="2867"/>
      <c r="U360" s="2867"/>
      <c r="V360" s="2867"/>
      <c r="W360" s="2867"/>
      <c r="X360" s="2867"/>
      <c r="Y360" s="2867"/>
      <c r="Z360" s="2867"/>
      <c r="AA360" s="2867"/>
      <c r="AB360" s="2867"/>
      <c r="AC360" s="2867"/>
      <c r="AD360" s="2867"/>
      <c r="AE360" s="2867"/>
      <c r="AF360" s="2867"/>
      <c r="AG360" s="2867"/>
      <c r="AH360" s="2867"/>
      <c r="AI360" s="2950"/>
      <c r="AJ360" s="2867"/>
      <c r="AK360" s="2867"/>
      <c r="AL360" s="2867"/>
      <c r="AM360" s="2870"/>
      <c r="AN360" s="2867"/>
      <c r="AO360" s="2867"/>
      <c r="AP360" s="2867"/>
      <c r="AQ360" s="2867"/>
      <c r="AR360" s="2867"/>
      <c r="AS360" s="2867"/>
      <c r="AT360" s="2867"/>
      <c r="AU360" s="2867"/>
      <c r="AV360" s="2867"/>
      <c r="AW360" s="2867"/>
      <c r="AX360" s="2867"/>
      <c r="AY360" s="2867"/>
      <c r="AZ360" s="2867"/>
      <c r="BA360" s="2867"/>
      <c r="BB360" s="2867"/>
      <c r="BC360" s="2867"/>
      <c r="BD360" s="2867"/>
      <c r="BE360" s="2867"/>
      <c r="BF360" s="2867"/>
      <c r="BG360" s="2867"/>
      <c r="BH360" s="2867"/>
      <c r="BI360" s="2867"/>
      <c r="BJ360" s="2867"/>
      <c r="BK360" s="2867"/>
      <c r="BL360" s="2867"/>
      <c r="BM360" s="2867"/>
      <c r="BN360" s="2867"/>
      <c r="BO360" s="2867"/>
      <c r="BP360" s="2867"/>
      <c r="BQ360" s="2867"/>
      <c r="BR360" s="2867"/>
      <c r="BS360" s="2867"/>
      <c r="BT360" s="2867"/>
      <c r="BU360" s="2867"/>
      <c r="BV360" s="2867"/>
      <c r="BW360" s="2867"/>
      <c r="BX360" s="2867"/>
      <c r="BY360" s="2867"/>
      <c r="BZ360" s="2867"/>
      <c r="CA360" s="2867"/>
      <c r="CB360" s="2867"/>
      <c r="CC360" s="2867"/>
      <c r="CD360" s="2867"/>
      <c r="CE360" s="2867"/>
      <c r="CF360" s="2867"/>
      <c r="CG360" s="2867"/>
      <c r="CH360" s="2867"/>
      <c r="CI360" s="2867"/>
      <c r="CJ360" s="2867"/>
      <c r="CK360" s="2867"/>
      <c r="CL360" s="2867"/>
      <c r="CM360" s="2867"/>
      <c r="CN360" s="2867"/>
      <c r="CO360" s="2867"/>
      <c r="CP360" s="2867"/>
      <c r="CQ360" s="2867"/>
      <c r="CR360" s="2867"/>
      <c r="CS360" s="2867"/>
      <c r="CT360" s="2867"/>
      <c r="CU360" s="2867"/>
      <c r="CV360" s="2867"/>
      <c r="CW360" s="2867"/>
    </row>
    <row r="361" spans="1:101">
      <c r="A361" s="2867"/>
      <c r="B361" s="2867"/>
      <c r="C361" s="2867"/>
      <c r="D361" s="2867"/>
      <c r="E361" s="2867"/>
      <c r="F361" s="2867"/>
      <c r="G361" s="2867"/>
      <c r="H361" s="2867"/>
      <c r="I361" s="2867"/>
      <c r="J361" s="2867"/>
      <c r="K361" s="2867"/>
      <c r="L361" s="2867"/>
      <c r="M361" s="2867"/>
      <c r="O361" s="2867"/>
      <c r="P361" s="2867"/>
      <c r="Q361" s="2867"/>
      <c r="R361" s="2867"/>
      <c r="S361" s="2867"/>
      <c r="T361" s="2867"/>
      <c r="U361" s="2867"/>
      <c r="V361" s="2867"/>
      <c r="W361" s="2867"/>
      <c r="X361" s="2867"/>
      <c r="Y361" s="2867"/>
      <c r="Z361" s="2867"/>
      <c r="AA361" s="2867"/>
      <c r="AB361" s="2867"/>
      <c r="AC361" s="2867"/>
      <c r="AD361" s="2867"/>
      <c r="AE361" s="2867"/>
      <c r="AF361" s="2867"/>
      <c r="AG361" s="2867"/>
      <c r="AH361" s="2867"/>
      <c r="AI361" s="2950"/>
      <c r="AJ361" s="2867"/>
      <c r="AK361" s="2867"/>
      <c r="AL361" s="2867"/>
      <c r="AM361" s="2870"/>
      <c r="AN361" s="2867"/>
      <c r="AO361" s="2867"/>
      <c r="AP361" s="2867"/>
      <c r="AQ361" s="2867"/>
      <c r="AR361" s="2867"/>
      <c r="AS361" s="2867"/>
      <c r="AT361" s="2867"/>
      <c r="AU361" s="2867"/>
      <c r="AV361" s="2867"/>
      <c r="AW361" s="2867"/>
      <c r="AX361" s="2867"/>
      <c r="AY361" s="2867"/>
      <c r="AZ361" s="2867"/>
      <c r="BA361" s="2867"/>
      <c r="BB361" s="2867"/>
      <c r="BC361" s="2867"/>
      <c r="BD361" s="2867"/>
      <c r="BE361" s="2867"/>
      <c r="BF361" s="2867"/>
      <c r="BG361" s="2867"/>
      <c r="BH361" s="2867"/>
      <c r="BI361" s="2867"/>
      <c r="BJ361" s="2867"/>
      <c r="BK361" s="2867"/>
      <c r="BL361" s="2867"/>
      <c r="BM361" s="2867"/>
      <c r="BN361" s="2867"/>
      <c r="BO361" s="2867"/>
      <c r="BP361" s="2867"/>
      <c r="BQ361" s="2867"/>
      <c r="BR361" s="2867"/>
      <c r="BS361" s="2867"/>
      <c r="BT361" s="2867"/>
      <c r="BU361" s="2867"/>
      <c r="BV361" s="2867"/>
      <c r="BW361" s="2867"/>
      <c r="BX361" s="2867"/>
      <c r="BY361" s="2867"/>
      <c r="BZ361" s="2867"/>
      <c r="CA361" s="2867"/>
      <c r="CB361" s="2867"/>
      <c r="CC361" s="2867"/>
      <c r="CD361" s="2867"/>
      <c r="CE361" s="2867"/>
      <c r="CF361" s="2867"/>
      <c r="CG361" s="2867"/>
      <c r="CH361" s="2867"/>
      <c r="CI361" s="2867"/>
      <c r="CJ361" s="2867"/>
      <c r="CK361" s="2867"/>
      <c r="CL361" s="2867"/>
      <c r="CM361" s="2867"/>
      <c r="CN361" s="2867"/>
      <c r="CO361" s="2867"/>
      <c r="CP361" s="2867"/>
      <c r="CQ361" s="2867"/>
      <c r="CR361" s="2867"/>
      <c r="CS361" s="2867"/>
      <c r="CT361" s="2867"/>
      <c r="CU361" s="2867"/>
      <c r="CV361" s="2867"/>
      <c r="CW361" s="2867"/>
    </row>
    <row r="362" spans="1:101">
      <c r="A362" s="2867"/>
      <c r="B362" s="2867"/>
      <c r="C362" s="2867"/>
      <c r="D362" s="2867"/>
      <c r="E362" s="2867"/>
      <c r="F362" s="2867"/>
      <c r="G362" s="2867"/>
      <c r="H362" s="2867"/>
      <c r="I362" s="2867"/>
      <c r="J362" s="2867"/>
      <c r="K362" s="2867"/>
      <c r="L362" s="2867"/>
      <c r="M362" s="2867"/>
      <c r="O362" s="2867"/>
      <c r="P362" s="2867"/>
      <c r="Q362" s="2867"/>
      <c r="R362" s="2867"/>
      <c r="S362" s="2867"/>
      <c r="T362" s="2867"/>
      <c r="U362" s="2867"/>
      <c r="V362" s="2867"/>
      <c r="W362" s="2867"/>
      <c r="X362" s="2867"/>
      <c r="Y362" s="2867"/>
      <c r="Z362" s="2867"/>
      <c r="AA362" s="2867"/>
      <c r="AB362" s="2867"/>
      <c r="AC362" s="2867"/>
      <c r="AD362" s="2867"/>
      <c r="AE362" s="2867"/>
      <c r="AF362" s="2867"/>
      <c r="AG362" s="2867"/>
      <c r="AH362" s="2867"/>
      <c r="AI362" s="2950"/>
      <c r="AJ362" s="2867"/>
      <c r="AK362" s="2867"/>
      <c r="AL362" s="2867"/>
      <c r="AM362" s="2870"/>
      <c r="AN362" s="2867"/>
      <c r="AO362" s="2867"/>
      <c r="AP362" s="2867"/>
      <c r="AQ362" s="2867"/>
      <c r="AR362" s="2867"/>
      <c r="AS362" s="2867"/>
      <c r="AT362" s="2867"/>
      <c r="AU362" s="2867"/>
      <c r="AV362" s="2867"/>
      <c r="AW362" s="2867"/>
      <c r="AX362" s="2867"/>
      <c r="AY362" s="2867"/>
      <c r="AZ362" s="2867"/>
      <c r="BA362" s="2867"/>
      <c r="BB362" s="2867"/>
      <c r="BC362" s="2867"/>
      <c r="BD362" s="2867"/>
      <c r="BE362" s="2867"/>
      <c r="BF362" s="2867"/>
      <c r="BG362" s="2867"/>
      <c r="BH362" s="2867"/>
      <c r="BI362" s="2867"/>
      <c r="BJ362" s="2867"/>
      <c r="BK362" s="2867"/>
      <c r="BL362" s="2867"/>
      <c r="BM362" s="2867"/>
      <c r="BN362" s="2867"/>
      <c r="BO362" s="2867"/>
      <c r="BP362" s="2867"/>
      <c r="BQ362" s="2867"/>
      <c r="BR362" s="2867"/>
      <c r="BS362" s="2867"/>
      <c r="BT362" s="2867"/>
      <c r="BU362" s="2867"/>
      <c r="BV362" s="2867"/>
      <c r="BW362" s="2867"/>
      <c r="BX362" s="2867"/>
      <c r="BY362" s="2867"/>
      <c r="BZ362" s="2867"/>
      <c r="CA362" s="2867"/>
      <c r="CB362" s="2867"/>
      <c r="CC362" s="2867"/>
      <c r="CD362" s="2867"/>
      <c r="CE362" s="2867"/>
      <c r="CF362" s="2867"/>
      <c r="CG362" s="2867"/>
      <c r="CH362" s="2867"/>
      <c r="CI362" s="2867"/>
      <c r="CJ362" s="2867"/>
      <c r="CK362" s="2867"/>
      <c r="CL362" s="2867"/>
      <c r="CM362" s="2867"/>
      <c r="CN362" s="2867"/>
      <c r="CO362" s="2867"/>
      <c r="CP362" s="2867"/>
      <c r="CQ362" s="2867"/>
      <c r="CR362" s="2867"/>
      <c r="CS362" s="2867"/>
      <c r="CT362" s="2867"/>
      <c r="CU362" s="2867"/>
      <c r="CV362" s="2867"/>
      <c r="CW362" s="2867"/>
    </row>
    <row r="363" spans="1:101">
      <c r="A363" s="2867"/>
      <c r="B363" s="2867"/>
      <c r="C363" s="2867"/>
      <c r="D363" s="2867"/>
      <c r="E363" s="2867"/>
      <c r="F363" s="2867"/>
      <c r="G363" s="2867"/>
      <c r="H363" s="2867"/>
      <c r="I363" s="2867"/>
      <c r="J363" s="2867"/>
      <c r="K363" s="2867"/>
      <c r="L363" s="2867"/>
      <c r="M363" s="2867"/>
      <c r="O363" s="2867"/>
      <c r="P363" s="2867"/>
      <c r="Q363" s="2867"/>
      <c r="R363" s="2867"/>
      <c r="S363" s="2867"/>
      <c r="T363" s="2867"/>
      <c r="U363" s="2867"/>
      <c r="V363" s="2867"/>
      <c r="W363" s="2867"/>
      <c r="X363" s="2867"/>
      <c r="Y363" s="2867"/>
      <c r="Z363" s="2867"/>
      <c r="AA363" s="2867"/>
      <c r="AB363" s="2867"/>
      <c r="AC363" s="2867"/>
      <c r="AD363" s="2867"/>
      <c r="AE363" s="2867"/>
      <c r="AF363" s="2867"/>
      <c r="AG363" s="2867"/>
      <c r="AH363" s="2867"/>
      <c r="AI363" s="2950"/>
      <c r="AJ363" s="2867"/>
      <c r="AK363" s="2867"/>
      <c r="AL363" s="2867"/>
      <c r="AM363" s="2867"/>
      <c r="AN363" s="2867"/>
      <c r="AO363" s="2867"/>
      <c r="AP363" s="2867"/>
      <c r="AQ363" s="2867"/>
      <c r="AR363" s="2867"/>
      <c r="AS363" s="2867"/>
      <c r="AT363" s="2867"/>
      <c r="AU363" s="2867"/>
      <c r="AV363" s="2867"/>
      <c r="AW363" s="2867"/>
      <c r="AX363" s="2867"/>
      <c r="AY363" s="2867"/>
      <c r="AZ363" s="2867"/>
      <c r="BA363" s="2867"/>
      <c r="BB363" s="2867"/>
      <c r="BC363" s="2867"/>
      <c r="BD363" s="2867"/>
      <c r="BE363" s="2867"/>
      <c r="BF363" s="2867"/>
      <c r="BG363" s="2867"/>
      <c r="BH363" s="2867"/>
      <c r="BI363" s="2867"/>
      <c r="BJ363" s="2867"/>
      <c r="BK363" s="2867"/>
      <c r="BL363" s="2867"/>
      <c r="BM363" s="2867"/>
      <c r="BN363" s="2867"/>
      <c r="BO363" s="2867"/>
      <c r="BP363" s="2867"/>
      <c r="BQ363" s="2867"/>
      <c r="BR363" s="2867"/>
      <c r="BS363" s="2867"/>
      <c r="BT363" s="2867"/>
      <c r="BU363" s="2867"/>
      <c r="BV363" s="2867"/>
      <c r="BW363" s="2867"/>
      <c r="BX363" s="2867"/>
      <c r="BY363" s="2867"/>
      <c r="BZ363" s="2867"/>
      <c r="CA363" s="2867"/>
      <c r="CB363" s="2867"/>
      <c r="CC363" s="2867"/>
      <c r="CD363" s="2867"/>
      <c r="CE363" s="2867"/>
      <c r="CF363" s="2867"/>
      <c r="CG363" s="2867"/>
      <c r="CH363" s="2867"/>
      <c r="CI363" s="2867"/>
      <c r="CJ363" s="2867"/>
      <c r="CK363" s="2867"/>
      <c r="CL363" s="2867"/>
      <c r="CM363" s="2867"/>
      <c r="CN363" s="2867"/>
      <c r="CO363" s="2867"/>
      <c r="CP363" s="2867"/>
      <c r="CQ363" s="2867"/>
      <c r="CR363" s="2867"/>
      <c r="CS363" s="2867"/>
      <c r="CT363" s="2867"/>
      <c r="CU363" s="2867"/>
      <c r="CV363" s="2867"/>
      <c r="CW363" s="2867"/>
    </row>
    <row r="364" spans="1:101">
      <c r="A364" s="2867"/>
      <c r="B364" s="2867"/>
      <c r="C364" s="2867"/>
      <c r="D364" s="2867"/>
      <c r="E364" s="2867"/>
      <c r="F364" s="2867"/>
      <c r="G364" s="2867"/>
      <c r="H364" s="2867"/>
      <c r="I364" s="2867"/>
      <c r="J364" s="2867"/>
      <c r="K364" s="2867"/>
      <c r="L364" s="2867"/>
      <c r="M364" s="2867"/>
      <c r="O364" s="2867"/>
      <c r="P364" s="2867"/>
      <c r="Q364" s="2867"/>
      <c r="R364" s="2867"/>
      <c r="S364" s="2867"/>
      <c r="T364" s="2867"/>
      <c r="U364" s="2867"/>
      <c r="V364" s="2867"/>
      <c r="W364" s="2867"/>
      <c r="X364" s="2867"/>
      <c r="Y364" s="2867"/>
      <c r="Z364" s="2867"/>
      <c r="AA364" s="2867"/>
      <c r="AB364" s="2867"/>
      <c r="AC364" s="2867"/>
      <c r="AD364" s="2867"/>
      <c r="AE364" s="2867"/>
      <c r="AF364" s="2867"/>
      <c r="AG364" s="2867"/>
      <c r="AH364" s="2867"/>
      <c r="AI364" s="2950"/>
      <c r="AJ364" s="2867"/>
      <c r="AK364" s="2867"/>
      <c r="AL364" s="2867"/>
      <c r="AM364" s="2867"/>
      <c r="AN364" s="2867"/>
      <c r="AO364" s="2867"/>
      <c r="AP364" s="2867"/>
      <c r="AQ364" s="2867"/>
      <c r="AR364" s="2867"/>
      <c r="AS364" s="2867"/>
      <c r="AT364" s="2867"/>
      <c r="AU364" s="2867"/>
      <c r="AV364" s="2867"/>
      <c r="AW364" s="2867"/>
      <c r="AX364" s="2867"/>
      <c r="AY364" s="2867"/>
      <c r="AZ364" s="2867"/>
      <c r="BA364" s="2867"/>
      <c r="BB364" s="2867"/>
      <c r="BC364" s="2867"/>
      <c r="BD364" s="2867"/>
      <c r="BE364" s="2867"/>
      <c r="BF364" s="2867"/>
      <c r="BG364" s="2867"/>
      <c r="BH364" s="2867"/>
      <c r="BI364" s="2867"/>
      <c r="BJ364" s="2867"/>
      <c r="BK364" s="2867"/>
      <c r="BL364" s="2867"/>
      <c r="BM364" s="2867"/>
      <c r="BN364" s="2867"/>
      <c r="BO364" s="2867"/>
      <c r="BP364" s="2867"/>
      <c r="BQ364" s="2867"/>
      <c r="BR364" s="2867"/>
      <c r="BS364" s="2867"/>
      <c r="BT364" s="2867"/>
      <c r="BU364" s="2867"/>
      <c r="BV364" s="2867"/>
      <c r="BW364" s="2867"/>
      <c r="BX364" s="2867"/>
      <c r="BY364" s="2867"/>
      <c r="BZ364" s="2867"/>
      <c r="CA364" s="2867"/>
      <c r="CB364" s="2867"/>
      <c r="CC364" s="2867"/>
      <c r="CD364" s="2867"/>
      <c r="CE364" s="2867"/>
      <c r="CF364" s="2867"/>
      <c r="CG364" s="2867"/>
      <c r="CH364" s="2867"/>
      <c r="CI364" s="2867"/>
      <c r="CJ364" s="2867"/>
      <c r="CK364" s="2867"/>
      <c r="CL364" s="2867"/>
      <c r="CM364" s="2867"/>
      <c r="CN364" s="2867"/>
      <c r="CO364" s="2867"/>
      <c r="CP364" s="2867"/>
      <c r="CQ364" s="2867"/>
      <c r="CR364" s="2867"/>
      <c r="CS364" s="2867"/>
      <c r="CT364" s="2867"/>
      <c r="CU364" s="2867"/>
      <c r="CV364" s="2867"/>
      <c r="CW364" s="2867"/>
    </row>
    <row r="365" spans="1:101">
      <c r="A365" s="2867"/>
      <c r="B365" s="2867"/>
      <c r="C365" s="2867"/>
      <c r="D365" s="2867"/>
      <c r="E365" s="2867"/>
      <c r="F365" s="2867"/>
      <c r="G365" s="2867"/>
      <c r="H365" s="2867"/>
      <c r="I365" s="2867"/>
      <c r="J365" s="2867"/>
      <c r="K365" s="2867"/>
      <c r="L365" s="2867"/>
      <c r="M365" s="2867"/>
      <c r="O365" s="2867"/>
      <c r="P365" s="2867"/>
      <c r="Q365" s="2867"/>
      <c r="R365" s="2867"/>
      <c r="S365" s="2867"/>
      <c r="T365" s="2867"/>
      <c r="U365" s="2867"/>
      <c r="V365" s="2867"/>
      <c r="W365" s="2867"/>
      <c r="X365" s="2867"/>
      <c r="Y365" s="2867"/>
      <c r="Z365" s="2867"/>
      <c r="AA365" s="2867"/>
      <c r="AB365" s="2867"/>
      <c r="AC365" s="2867"/>
      <c r="AD365" s="2867"/>
      <c r="AE365" s="2867"/>
      <c r="AF365" s="2867"/>
      <c r="AG365" s="2867"/>
      <c r="AH365" s="2867"/>
      <c r="AI365" s="2950"/>
      <c r="AJ365" s="2867"/>
      <c r="AK365" s="2867"/>
      <c r="AL365" s="2867"/>
      <c r="AM365" s="2870"/>
      <c r="AN365" s="2867"/>
      <c r="AO365" s="2867"/>
      <c r="AP365" s="2867"/>
      <c r="AQ365" s="2867"/>
      <c r="AR365" s="2867"/>
      <c r="AS365" s="2867"/>
      <c r="AT365" s="2867"/>
      <c r="AU365" s="2867"/>
      <c r="AV365" s="2867"/>
      <c r="AW365" s="2867"/>
      <c r="AX365" s="2867"/>
      <c r="AY365" s="2867"/>
      <c r="AZ365" s="2867"/>
      <c r="BA365" s="2867"/>
      <c r="BB365" s="2867"/>
      <c r="BC365" s="2867"/>
      <c r="BD365" s="2867"/>
      <c r="BE365" s="2867"/>
      <c r="BF365" s="2867"/>
      <c r="BG365" s="2867"/>
      <c r="BH365" s="2867"/>
      <c r="BI365" s="2867"/>
      <c r="BJ365" s="2867"/>
      <c r="BK365" s="2867"/>
      <c r="BL365" s="2867"/>
      <c r="BM365" s="2867"/>
      <c r="BN365" s="2867"/>
      <c r="BO365" s="2867"/>
      <c r="BP365" s="2867"/>
      <c r="BQ365" s="2867"/>
      <c r="BR365" s="2867"/>
      <c r="BS365" s="2867"/>
      <c r="BT365" s="2867"/>
      <c r="BU365" s="2867"/>
      <c r="BV365" s="2867"/>
      <c r="BW365" s="2867"/>
      <c r="BX365" s="2867"/>
      <c r="BY365" s="2867"/>
      <c r="BZ365" s="2867"/>
      <c r="CA365" s="2867"/>
      <c r="CB365" s="2867"/>
      <c r="CC365" s="2867"/>
      <c r="CD365" s="2867"/>
      <c r="CE365" s="2867"/>
      <c r="CF365" s="2867"/>
      <c r="CG365" s="2867"/>
      <c r="CH365" s="2867"/>
      <c r="CI365" s="2867"/>
      <c r="CJ365" s="2867"/>
      <c r="CK365" s="2867"/>
      <c r="CL365" s="2867"/>
      <c r="CM365" s="2867"/>
      <c r="CN365" s="2867"/>
      <c r="CO365" s="2867"/>
      <c r="CP365" s="2867"/>
      <c r="CQ365" s="2867"/>
      <c r="CR365" s="2867"/>
      <c r="CS365" s="2867"/>
      <c r="CT365" s="2867"/>
      <c r="CU365" s="2867"/>
      <c r="CV365" s="2867"/>
      <c r="CW365" s="2867"/>
    </row>
    <row r="366" spans="1:101">
      <c r="A366" s="2867"/>
      <c r="B366" s="2867"/>
      <c r="C366" s="2867"/>
      <c r="D366" s="2867"/>
      <c r="E366" s="2867"/>
      <c r="F366" s="2867"/>
      <c r="G366" s="2867"/>
      <c r="H366" s="2867"/>
      <c r="I366" s="2867"/>
      <c r="J366" s="2867"/>
      <c r="K366" s="2867"/>
      <c r="L366" s="2867"/>
      <c r="M366" s="2867"/>
      <c r="O366" s="2867"/>
      <c r="P366" s="2867"/>
      <c r="Q366" s="2867"/>
      <c r="R366" s="2867"/>
      <c r="S366" s="2867"/>
      <c r="T366" s="2867"/>
      <c r="U366" s="2867"/>
      <c r="V366" s="2867"/>
      <c r="W366" s="2867"/>
      <c r="X366" s="2867"/>
      <c r="Y366" s="2867"/>
      <c r="Z366" s="2867"/>
      <c r="AA366" s="2867"/>
      <c r="AB366" s="2867"/>
      <c r="AC366" s="2867"/>
      <c r="AD366" s="2867"/>
      <c r="AE366" s="2867"/>
      <c r="AF366" s="2867"/>
      <c r="AG366" s="2867"/>
      <c r="AH366" s="2867"/>
      <c r="AI366" s="2950"/>
      <c r="AJ366" s="2867"/>
      <c r="AK366" s="2867"/>
      <c r="AL366" s="2867"/>
      <c r="AM366" s="2870"/>
      <c r="AN366" s="2867"/>
      <c r="AO366" s="2867"/>
      <c r="AP366" s="2867"/>
      <c r="AQ366" s="2867"/>
      <c r="AR366" s="2867"/>
      <c r="AS366" s="2867"/>
      <c r="AT366" s="2867"/>
      <c r="AU366" s="2867"/>
      <c r="AV366" s="2867"/>
      <c r="AW366" s="2867"/>
      <c r="AX366" s="2867"/>
      <c r="AY366" s="2867"/>
      <c r="AZ366" s="2867"/>
      <c r="BA366" s="2867"/>
      <c r="BB366" s="2867"/>
      <c r="BC366" s="2867"/>
      <c r="BD366" s="2867"/>
      <c r="BE366" s="2867"/>
      <c r="BF366" s="2867"/>
      <c r="BG366" s="2867"/>
      <c r="BH366" s="2867"/>
      <c r="BI366" s="2867"/>
      <c r="BJ366" s="2867"/>
      <c r="BK366" s="2867"/>
      <c r="BL366" s="2867"/>
      <c r="BM366" s="2867"/>
      <c r="BN366" s="2867"/>
      <c r="BO366" s="2867"/>
      <c r="BP366" s="2867"/>
      <c r="BQ366" s="2867"/>
      <c r="BR366" s="2867"/>
      <c r="BS366" s="2867"/>
      <c r="BT366" s="2867"/>
      <c r="BU366" s="2867"/>
      <c r="BV366" s="2867"/>
      <c r="BW366" s="2867"/>
      <c r="BX366" s="2867"/>
      <c r="BY366" s="2867"/>
      <c r="BZ366" s="2867"/>
      <c r="CA366" s="2867"/>
      <c r="CB366" s="2867"/>
      <c r="CC366" s="2867"/>
      <c r="CD366" s="2867"/>
      <c r="CE366" s="2867"/>
      <c r="CF366" s="2867"/>
      <c r="CG366" s="2867"/>
      <c r="CH366" s="2867"/>
      <c r="CI366" s="2867"/>
      <c r="CJ366" s="2867"/>
      <c r="CK366" s="2867"/>
      <c r="CL366" s="2867"/>
      <c r="CM366" s="2867"/>
      <c r="CN366" s="2867"/>
      <c r="CO366" s="2867"/>
      <c r="CP366" s="2867"/>
      <c r="CQ366" s="2867"/>
      <c r="CR366" s="2867"/>
      <c r="CS366" s="2867"/>
      <c r="CT366" s="2867"/>
      <c r="CU366" s="2867"/>
      <c r="CV366" s="2867"/>
      <c r="CW366" s="2867"/>
    </row>
    <row r="367" spans="1:101">
      <c r="A367" s="2867"/>
      <c r="B367" s="2867"/>
      <c r="C367" s="2867"/>
      <c r="D367" s="2867"/>
      <c r="E367" s="2867"/>
      <c r="F367" s="2867"/>
      <c r="G367" s="2867"/>
      <c r="H367" s="2867"/>
      <c r="I367" s="2867"/>
      <c r="J367" s="2867"/>
      <c r="K367" s="2867"/>
      <c r="L367" s="2867"/>
      <c r="M367" s="2867"/>
      <c r="O367" s="2867"/>
      <c r="P367" s="2867"/>
      <c r="Q367" s="2867"/>
      <c r="R367" s="2867"/>
      <c r="S367" s="2867"/>
      <c r="T367" s="2867"/>
      <c r="U367" s="2867"/>
      <c r="V367" s="2867"/>
      <c r="W367" s="2867"/>
      <c r="X367" s="2867"/>
      <c r="Y367" s="2867"/>
      <c r="Z367" s="2867"/>
      <c r="AA367" s="2867"/>
      <c r="AB367" s="2867"/>
      <c r="AC367" s="2867"/>
      <c r="AD367" s="2867"/>
      <c r="AE367" s="2867"/>
      <c r="AF367" s="2867"/>
      <c r="AG367" s="2867"/>
      <c r="AH367" s="2867"/>
      <c r="AI367" s="2950"/>
      <c r="AJ367" s="2867"/>
      <c r="AK367" s="2867"/>
      <c r="AL367" s="2867"/>
      <c r="AM367" s="2870"/>
      <c r="AN367" s="2867"/>
      <c r="AO367" s="2867"/>
      <c r="AP367" s="2867"/>
      <c r="AQ367" s="2867"/>
      <c r="AR367" s="2867"/>
      <c r="AS367" s="2867"/>
      <c r="AT367" s="2867"/>
      <c r="AU367" s="2867"/>
      <c r="AV367" s="2867"/>
      <c r="AW367" s="2867"/>
      <c r="AX367" s="2867"/>
      <c r="AY367" s="2867"/>
      <c r="AZ367" s="2867"/>
      <c r="BA367" s="2867"/>
      <c r="BB367" s="2867"/>
      <c r="BC367" s="2867"/>
      <c r="BD367" s="2867"/>
      <c r="BE367" s="2867"/>
      <c r="BF367" s="2867"/>
      <c r="BG367" s="2867"/>
      <c r="BH367" s="2867"/>
      <c r="BI367" s="2867"/>
      <c r="BJ367" s="2867"/>
      <c r="BK367" s="2867"/>
      <c r="BL367" s="2867"/>
      <c r="BM367" s="2867"/>
      <c r="BN367" s="2867"/>
      <c r="BO367" s="2867"/>
      <c r="BP367" s="2867"/>
      <c r="BQ367" s="2867"/>
      <c r="BR367" s="2867"/>
      <c r="BS367" s="2867"/>
      <c r="BT367" s="2867"/>
      <c r="BU367" s="2867"/>
      <c r="BV367" s="2867"/>
      <c r="BW367" s="2867"/>
      <c r="BX367" s="2867"/>
      <c r="BY367" s="2867"/>
      <c r="BZ367" s="2867"/>
      <c r="CA367" s="2867"/>
      <c r="CB367" s="2867"/>
      <c r="CC367" s="2867"/>
      <c r="CD367" s="2867"/>
      <c r="CE367" s="2867"/>
      <c r="CF367" s="2867"/>
      <c r="CG367" s="2867"/>
      <c r="CH367" s="2867"/>
      <c r="CI367" s="2867"/>
      <c r="CJ367" s="2867"/>
      <c r="CK367" s="2867"/>
      <c r="CL367" s="2867"/>
      <c r="CM367" s="2867"/>
      <c r="CN367" s="2867"/>
      <c r="CO367" s="2867"/>
      <c r="CP367" s="2867"/>
      <c r="CQ367" s="2867"/>
      <c r="CR367" s="2867"/>
      <c r="CS367" s="2867"/>
      <c r="CT367" s="2867"/>
      <c r="CU367" s="2867"/>
      <c r="CV367" s="2867"/>
      <c r="CW367" s="2867"/>
    </row>
    <row r="368" spans="1:101">
      <c r="A368" s="2867"/>
      <c r="B368" s="2867"/>
      <c r="C368" s="2867"/>
      <c r="D368" s="2867"/>
      <c r="E368" s="2867"/>
      <c r="F368" s="2867"/>
      <c r="G368" s="2867"/>
      <c r="H368" s="2867"/>
      <c r="I368" s="2867"/>
      <c r="J368" s="2867"/>
      <c r="K368" s="2867"/>
      <c r="L368" s="2867"/>
      <c r="M368" s="2867"/>
      <c r="O368" s="2867"/>
      <c r="P368" s="2867"/>
      <c r="Q368" s="2867"/>
      <c r="R368" s="2867"/>
      <c r="S368" s="2867"/>
      <c r="T368" s="2867"/>
      <c r="U368" s="2867"/>
      <c r="V368" s="2867"/>
      <c r="W368" s="2867"/>
      <c r="X368" s="2867"/>
      <c r="Y368" s="2867"/>
      <c r="Z368" s="2867"/>
      <c r="AA368" s="2867"/>
      <c r="AB368" s="2867"/>
      <c r="AC368" s="2867"/>
      <c r="AD368" s="2867"/>
      <c r="AE368" s="2867"/>
      <c r="AF368" s="2867"/>
      <c r="AG368" s="2867"/>
      <c r="AH368" s="2867"/>
      <c r="AI368" s="2950"/>
      <c r="AJ368" s="2867"/>
      <c r="AK368" s="2867"/>
      <c r="AL368" s="2867"/>
      <c r="AM368" s="2870"/>
      <c r="AN368" s="2867"/>
      <c r="AO368" s="2867"/>
      <c r="AP368" s="2867"/>
      <c r="AQ368" s="2867"/>
      <c r="AR368" s="2867"/>
      <c r="AS368" s="2867"/>
      <c r="AT368" s="2867"/>
      <c r="AU368" s="2867"/>
      <c r="AV368" s="2867"/>
      <c r="AW368" s="2867"/>
      <c r="AX368" s="2867"/>
      <c r="AY368" s="2867"/>
      <c r="AZ368" s="2867"/>
      <c r="BA368" s="2867"/>
      <c r="BB368" s="2867"/>
      <c r="BC368" s="2867"/>
      <c r="BD368" s="2867"/>
      <c r="BE368" s="2867"/>
      <c r="BF368" s="2867"/>
      <c r="BG368" s="2867"/>
      <c r="BH368" s="2867"/>
      <c r="BI368" s="2867"/>
      <c r="BJ368" s="2867"/>
      <c r="BK368" s="2867"/>
      <c r="BL368" s="2867"/>
      <c r="BM368" s="2867"/>
      <c r="BN368" s="2867"/>
      <c r="BO368" s="2867"/>
      <c r="BP368" s="2867"/>
      <c r="BQ368" s="2867"/>
      <c r="BR368" s="2867"/>
      <c r="BS368" s="2867"/>
      <c r="BT368" s="2867"/>
      <c r="BU368" s="2867"/>
      <c r="BV368" s="2867"/>
      <c r="BW368" s="2867"/>
      <c r="BX368" s="2867"/>
      <c r="BY368" s="2867"/>
      <c r="BZ368" s="2867"/>
      <c r="CA368" s="2867"/>
      <c r="CB368" s="2867"/>
      <c r="CC368" s="2867"/>
      <c r="CD368" s="2867"/>
      <c r="CE368" s="2867"/>
      <c r="CF368" s="2867"/>
      <c r="CG368" s="2867"/>
      <c r="CH368" s="2867"/>
      <c r="CI368" s="2867"/>
      <c r="CJ368" s="2867"/>
      <c r="CK368" s="2867"/>
      <c r="CL368" s="2867"/>
      <c r="CM368" s="2867"/>
      <c r="CN368" s="2867"/>
      <c r="CO368" s="2867"/>
      <c r="CP368" s="2867"/>
      <c r="CQ368" s="2867"/>
      <c r="CR368" s="2867"/>
      <c r="CS368" s="2867"/>
      <c r="CT368" s="2867"/>
      <c r="CU368" s="2867"/>
      <c r="CV368" s="2867"/>
      <c r="CW368" s="2867"/>
    </row>
    <row r="369" spans="1:101">
      <c r="A369" s="2867"/>
      <c r="B369" s="2867"/>
      <c r="C369" s="2867"/>
      <c r="D369" s="2867"/>
      <c r="E369" s="2867"/>
      <c r="F369" s="2867"/>
      <c r="G369" s="2867"/>
      <c r="H369" s="2867"/>
      <c r="I369" s="2867"/>
      <c r="J369" s="2867"/>
      <c r="K369" s="2867"/>
      <c r="L369" s="2867"/>
      <c r="M369" s="2867"/>
      <c r="O369" s="2867"/>
      <c r="P369" s="2867"/>
      <c r="Q369" s="2867"/>
      <c r="R369" s="2867"/>
      <c r="S369" s="2867"/>
      <c r="T369" s="2867"/>
      <c r="U369" s="2867"/>
      <c r="V369" s="2867"/>
      <c r="W369" s="2867"/>
      <c r="X369" s="2867"/>
      <c r="Y369" s="2867"/>
      <c r="Z369" s="2867"/>
      <c r="AA369" s="2867"/>
      <c r="AB369" s="2867"/>
      <c r="AC369" s="2867"/>
      <c r="AD369" s="2867"/>
      <c r="AE369" s="2867"/>
      <c r="AF369" s="2867"/>
      <c r="AG369" s="2867"/>
      <c r="AH369" s="2867"/>
      <c r="AI369" s="2950"/>
      <c r="AJ369" s="2867"/>
      <c r="AK369" s="2867"/>
      <c r="AL369" s="2867"/>
      <c r="AM369" s="2870"/>
      <c r="AN369" s="2867"/>
      <c r="AO369" s="2867"/>
      <c r="AP369" s="2867"/>
      <c r="AQ369" s="2867"/>
      <c r="AR369" s="2867"/>
      <c r="AS369" s="2867"/>
      <c r="AT369" s="2867"/>
      <c r="AU369" s="2867"/>
      <c r="AV369" s="2867"/>
      <c r="AW369" s="2867"/>
      <c r="AX369" s="2867"/>
      <c r="AY369" s="2867"/>
      <c r="AZ369" s="2867"/>
      <c r="BA369" s="2867"/>
      <c r="BB369" s="2867"/>
      <c r="BC369" s="2867"/>
      <c r="BD369" s="2867"/>
      <c r="BE369" s="2867"/>
      <c r="BF369" s="2867"/>
      <c r="BG369" s="2867"/>
      <c r="BH369" s="2867"/>
      <c r="BI369" s="2867"/>
      <c r="BJ369" s="2867"/>
      <c r="BK369" s="2867"/>
      <c r="BL369" s="2867"/>
      <c r="BM369" s="2867"/>
      <c r="BN369" s="2867"/>
      <c r="BO369" s="2867"/>
      <c r="BP369" s="2867"/>
      <c r="BQ369" s="2867"/>
      <c r="BR369" s="2867"/>
      <c r="BS369" s="2867"/>
      <c r="BT369" s="2867"/>
      <c r="BU369" s="2867"/>
      <c r="BV369" s="2867"/>
      <c r="BW369" s="2867"/>
      <c r="BX369" s="2867"/>
      <c r="BY369" s="2867"/>
      <c r="BZ369" s="2867"/>
      <c r="CA369" s="2867"/>
      <c r="CB369" s="2867"/>
      <c r="CC369" s="2867"/>
      <c r="CD369" s="2867"/>
      <c r="CE369" s="2867"/>
      <c r="CF369" s="2867"/>
      <c r="CG369" s="2867"/>
      <c r="CH369" s="2867"/>
      <c r="CI369" s="2867"/>
      <c r="CJ369" s="2867"/>
      <c r="CK369" s="2867"/>
      <c r="CL369" s="2867"/>
      <c r="CM369" s="2867"/>
      <c r="CN369" s="2867"/>
      <c r="CO369" s="2867"/>
      <c r="CP369" s="2867"/>
      <c r="CQ369" s="2867"/>
      <c r="CR369" s="2867"/>
      <c r="CS369" s="2867"/>
      <c r="CT369" s="2867"/>
      <c r="CU369" s="2867"/>
      <c r="CV369" s="2867"/>
      <c r="CW369" s="2867"/>
    </row>
    <row r="370" spans="1:101">
      <c r="A370" s="2867"/>
      <c r="B370" s="2867"/>
      <c r="C370" s="2867"/>
      <c r="D370" s="2867"/>
      <c r="E370" s="2867"/>
      <c r="F370" s="2867"/>
      <c r="G370" s="2867"/>
      <c r="H370" s="2867"/>
      <c r="I370" s="2867"/>
      <c r="J370" s="2867"/>
      <c r="K370" s="2867"/>
      <c r="L370" s="2867"/>
      <c r="M370" s="2867"/>
      <c r="O370" s="2867"/>
      <c r="P370" s="2867"/>
      <c r="Q370" s="2867"/>
      <c r="R370" s="2867"/>
      <c r="S370" s="2867"/>
      <c r="T370" s="2867"/>
      <c r="U370" s="2867"/>
      <c r="V370" s="2867"/>
      <c r="W370" s="2867"/>
      <c r="X370" s="2867"/>
      <c r="Y370" s="2867"/>
      <c r="Z370" s="2867"/>
      <c r="AA370" s="2867"/>
      <c r="AB370" s="2867"/>
      <c r="AC370" s="2867"/>
      <c r="AD370" s="2867"/>
      <c r="AE370" s="2867"/>
      <c r="AF370" s="2867"/>
      <c r="AG370" s="2867"/>
      <c r="AH370" s="2867"/>
      <c r="AI370" s="2867"/>
      <c r="AJ370" s="2867"/>
      <c r="AK370" s="2867"/>
      <c r="AL370" s="2867"/>
      <c r="AM370" s="2867"/>
      <c r="AN370" s="2867"/>
      <c r="AO370" s="2867"/>
      <c r="AP370" s="2867"/>
      <c r="AQ370" s="2867"/>
      <c r="AR370" s="2867"/>
      <c r="AS370" s="2867"/>
      <c r="AT370" s="2867"/>
      <c r="AU370" s="2867"/>
      <c r="AV370" s="2867"/>
      <c r="AW370" s="2867"/>
      <c r="AX370" s="2867"/>
      <c r="AY370" s="2867"/>
      <c r="AZ370" s="2867"/>
      <c r="BA370" s="2867"/>
      <c r="BB370" s="2867"/>
      <c r="BC370" s="2867"/>
      <c r="BD370" s="2867"/>
      <c r="BE370" s="2867"/>
      <c r="BF370" s="2867"/>
      <c r="BG370" s="2867"/>
      <c r="BH370" s="2867"/>
      <c r="BI370" s="2867"/>
      <c r="BJ370" s="2867"/>
      <c r="BK370" s="2867"/>
      <c r="BL370" s="2867"/>
      <c r="BM370" s="2867"/>
      <c r="BN370" s="2867"/>
      <c r="BO370" s="2867"/>
      <c r="BP370" s="2867"/>
      <c r="BQ370" s="2867"/>
      <c r="BR370" s="2867"/>
      <c r="BS370" s="2867"/>
      <c r="BT370" s="2867"/>
      <c r="BU370" s="2867"/>
      <c r="BV370" s="2867"/>
      <c r="BW370" s="2867"/>
      <c r="BX370" s="2867"/>
      <c r="BY370" s="2867"/>
      <c r="BZ370" s="2867"/>
      <c r="CA370" s="2867"/>
      <c r="CB370" s="2867"/>
      <c r="CC370" s="2867"/>
      <c r="CD370" s="2867"/>
      <c r="CE370" s="2867"/>
      <c r="CF370" s="2867"/>
      <c r="CG370" s="2867"/>
      <c r="CH370" s="2867"/>
      <c r="CI370" s="2867"/>
      <c r="CJ370" s="2867"/>
      <c r="CK370" s="2867"/>
      <c r="CL370" s="2867"/>
      <c r="CM370" s="2867"/>
      <c r="CN370" s="2867"/>
      <c r="CO370" s="2867"/>
      <c r="CP370" s="2867"/>
      <c r="CQ370" s="2867"/>
      <c r="CR370" s="2867"/>
      <c r="CS370" s="2867"/>
      <c r="CT370" s="2867"/>
      <c r="CU370" s="2867"/>
      <c r="CV370" s="2867"/>
      <c r="CW370" s="2867"/>
    </row>
    <row r="371" spans="1:101">
      <c r="A371" s="2867"/>
      <c r="B371" s="2867"/>
      <c r="C371" s="2867"/>
      <c r="D371" s="2867"/>
      <c r="E371" s="2867"/>
      <c r="F371" s="2867"/>
      <c r="G371" s="2867"/>
      <c r="H371" s="2867"/>
      <c r="I371" s="2867"/>
      <c r="J371" s="2867"/>
      <c r="K371" s="2867"/>
      <c r="L371" s="2867"/>
      <c r="M371" s="2867"/>
      <c r="O371" s="2867"/>
      <c r="P371" s="2867"/>
      <c r="Q371" s="2867"/>
      <c r="R371" s="2867"/>
      <c r="S371" s="2867"/>
      <c r="T371" s="2867"/>
      <c r="U371" s="2867"/>
      <c r="V371" s="2867"/>
      <c r="W371" s="2867"/>
      <c r="X371" s="2867"/>
      <c r="Y371" s="2867"/>
      <c r="Z371" s="2867"/>
      <c r="AA371" s="2867"/>
      <c r="AB371" s="2867"/>
      <c r="AC371" s="2867"/>
      <c r="AD371" s="2867"/>
      <c r="AE371" s="2867"/>
      <c r="AF371" s="2867"/>
      <c r="AG371" s="2867"/>
      <c r="AH371" s="2867"/>
      <c r="AI371" s="2867"/>
      <c r="AJ371" s="2867"/>
      <c r="AK371" s="2867"/>
      <c r="AL371" s="2867"/>
      <c r="AM371" s="2867"/>
      <c r="AN371" s="2867"/>
      <c r="AO371" s="2867"/>
      <c r="AP371" s="2867"/>
      <c r="AQ371" s="2867"/>
      <c r="AR371" s="2867"/>
      <c r="AS371" s="2867"/>
      <c r="AT371" s="2867"/>
      <c r="AU371" s="2867"/>
      <c r="AV371" s="2867"/>
      <c r="AW371" s="2867"/>
      <c r="AX371" s="2867"/>
      <c r="AY371" s="2867"/>
      <c r="AZ371" s="2867"/>
      <c r="BA371" s="2867"/>
      <c r="BB371" s="2867"/>
      <c r="BC371" s="2867"/>
      <c r="BD371" s="2867"/>
      <c r="BE371" s="2867"/>
      <c r="BF371" s="2867"/>
      <c r="BG371" s="2867"/>
      <c r="BH371" s="2867"/>
      <c r="BI371" s="2867"/>
      <c r="BJ371" s="2867"/>
      <c r="BK371" s="2867"/>
      <c r="BL371" s="2867"/>
      <c r="BM371" s="2867"/>
      <c r="BN371" s="2867"/>
      <c r="BO371" s="2867"/>
      <c r="BP371" s="2867"/>
      <c r="BQ371" s="2867"/>
      <c r="BR371" s="2867"/>
      <c r="BS371" s="2867"/>
      <c r="BT371" s="2867"/>
      <c r="BU371" s="2867"/>
      <c r="BV371" s="2867"/>
      <c r="BW371" s="2867"/>
      <c r="BX371" s="2867"/>
      <c r="BY371" s="2867"/>
      <c r="BZ371" s="2867"/>
      <c r="CA371" s="2867"/>
      <c r="CB371" s="2867"/>
      <c r="CC371" s="2867"/>
      <c r="CD371" s="2867"/>
      <c r="CE371" s="2867"/>
      <c r="CF371" s="2867"/>
      <c r="CG371" s="2867"/>
      <c r="CH371" s="2867"/>
      <c r="CI371" s="2867"/>
      <c r="CJ371" s="2867"/>
      <c r="CK371" s="2867"/>
      <c r="CL371" s="2867"/>
      <c r="CM371" s="2867"/>
      <c r="CN371" s="2867"/>
      <c r="CO371" s="2867"/>
      <c r="CP371" s="2867"/>
      <c r="CQ371" s="2867"/>
      <c r="CR371" s="2867"/>
      <c r="CS371" s="2867"/>
      <c r="CT371" s="2867"/>
      <c r="CU371" s="2867"/>
      <c r="CV371" s="2867"/>
      <c r="CW371" s="2867"/>
    </row>
    <row r="372" spans="1:101">
      <c r="A372" s="2867"/>
      <c r="B372" s="2867"/>
      <c r="C372" s="2867"/>
      <c r="D372" s="2867"/>
      <c r="E372" s="2867"/>
      <c r="F372" s="2867"/>
      <c r="G372" s="2867"/>
      <c r="H372" s="2867"/>
      <c r="I372" s="2867"/>
      <c r="J372" s="2867"/>
      <c r="K372" s="2867"/>
      <c r="L372" s="2867"/>
      <c r="M372" s="2867"/>
      <c r="O372" s="2867"/>
      <c r="P372" s="2867"/>
      <c r="Q372" s="2867"/>
      <c r="R372" s="2867"/>
      <c r="S372" s="2867"/>
      <c r="T372" s="2867"/>
      <c r="U372" s="2867"/>
      <c r="V372" s="2867"/>
      <c r="W372" s="2867"/>
      <c r="X372" s="2867"/>
      <c r="Y372" s="2867"/>
      <c r="Z372" s="2867"/>
      <c r="AA372" s="2867"/>
      <c r="AB372" s="2867"/>
      <c r="AC372" s="2867"/>
      <c r="AD372" s="2867"/>
      <c r="AE372" s="2867"/>
      <c r="AF372" s="2867"/>
      <c r="AG372" s="2867"/>
      <c r="AH372" s="2867"/>
      <c r="AI372" s="2867"/>
      <c r="AJ372" s="2867"/>
      <c r="AK372" s="2867"/>
      <c r="AL372" s="2867"/>
      <c r="AM372" s="2867"/>
      <c r="AN372" s="2867"/>
      <c r="AO372" s="2867"/>
      <c r="AP372" s="2867"/>
      <c r="AQ372" s="2867"/>
      <c r="AR372" s="2867"/>
      <c r="AS372" s="2867"/>
      <c r="AT372" s="2867"/>
      <c r="AU372" s="2867"/>
      <c r="AV372" s="2867"/>
      <c r="AW372" s="2867"/>
      <c r="AX372" s="2867"/>
      <c r="AY372" s="2867"/>
      <c r="AZ372" s="2867"/>
      <c r="BA372" s="2867"/>
      <c r="BB372" s="2867"/>
      <c r="BC372" s="2867"/>
      <c r="BD372" s="2867"/>
      <c r="BE372" s="2867"/>
      <c r="BF372" s="2867"/>
      <c r="BG372" s="2867"/>
      <c r="BH372" s="2867"/>
      <c r="BI372" s="2867"/>
      <c r="BJ372" s="2867"/>
      <c r="BK372" s="2867"/>
      <c r="BL372" s="2867"/>
      <c r="BM372" s="2867"/>
      <c r="BN372" s="2867"/>
      <c r="BO372" s="2867"/>
      <c r="BP372" s="2867"/>
      <c r="BQ372" s="2867"/>
      <c r="BR372" s="2867"/>
      <c r="BS372" s="2867"/>
      <c r="BT372" s="2867"/>
      <c r="BU372" s="2867"/>
      <c r="BV372" s="2867"/>
      <c r="BW372" s="2867"/>
      <c r="BX372" s="2867"/>
      <c r="BY372" s="2867"/>
      <c r="BZ372" s="2867"/>
      <c r="CA372" s="2867"/>
      <c r="CB372" s="2867"/>
      <c r="CC372" s="2867"/>
      <c r="CD372" s="2867"/>
      <c r="CE372" s="2867"/>
      <c r="CF372" s="2867"/>
      <c r="CG372" s="2867"/>
      <c r="CH372" s="2867"/>
      <c r="CI372" s="2867"/>
      <c r="CJ372" s="2867"/>
      <c r="CK372" s="2867"/>
      <c r="CL372" s="2867"/>
      <c r="CM372" s="2867"/>
      <c r="CN372" s="2867"/>
      <c r="CO372" s="2867"/>
      <c r="CP372" s="2867"/>
      <c r="CQ372" s="2867"/>
      <c r="CR372" s="2867"/>
      <c r="CS372" s="2867"/>
      <c r="CT372" s="2867"/>
      <c r="CU372" s="2867"/>
      <c r="CV372" s="2867"/>
      <c r="CW372" s="2867"/>
    </row>
    <row r="373" spans="1:101">
      <c r="A373" s="2867"/>
      <c r="B373" s="2867"/>
      <c r="C373" s="2867"/>
      <c r="D373" s="2867"/>
      <c r="E373" s="2867"/>
      <c r="F373" s="2867"/>
      <c r="G373" s="2867"/>
      <c r="H373" s="2867"/>
      <c r="I373" s="2867"/>
      <c r="J373" s="2867"/>
      <c r="K373" s="2867"/>
      <c r="L373" s="2867"/>
      <c r="M373" s="2867"/>
      <c r="O373" s="2867"/>
      <c r="P373" s="2867"/>
      <c r="Q373" s="2867"/>
      <c r="R373" s="2867"/>
      <c r="S373" s="2867"/>
      <c r="T373" s="2867"/>
      <c r="U373" s="2867"/>
      <c r="V373" s="2867"/>
      <c r="W373" s="2867"/>
      <c r="X373" s="2867"/>
      <c r="Y373" s="2867"/>
      <c r="Z373" s="2867"/>
      <c r="AA373" s="2867"/>
      <c r="AB373" s="2867"/>
      <c r="AC373" s="2867"/>
      <c r="AD373" s="2867"/>
      <c r="AE373" s="2867"/>
      <c r="AF373" s="2867"/>
      <c r="AG373" s="2867"/>
      <c r="AH373" s="2867"/>
      <c r="AI373" s="2867"/>
      <c r="AJ373" s="2867"/>
      <c r="AK373" s="2867"/>
      <c r="AL373" s="2867"/>
      <c r="AM373" s="2867"/>
      <c r="AN373" s="2867"/>
      <c r="AO373" s="2867"/>
      <c r="AP373" s="2867"/>
      <c r="AQ373" s="2867"/>
      <c r="AR373" s="2867"/>
      <c r="AS373" s="2867"/>
      <c r="AT373" s="2867"/>
      <c r="AU373" s="2867"/>
      <c r="AV373" s="2867"/>
      <c r="AW373" s="2867"/>
      <c r="AX373" s="2867"/>
      <c r="AY373" s="2867"/>
      <c r="AZ373" s="2867"/>
      <c r="BA373" s="2867"/>
      <c r="BB373" s="2867"/>
      <c r="BC373" s="2867"/>
      <c r="BD373" s="2867"/>
      <c r="BE373" s="2867"/>
      <c r="BF373" s="2867"/>
      <c r="BG373" s="2867"/>
      <c r="BH373" s="2867"/>
      <c r="BI373" s="2867"/>
      <c r="BJ373" s="2867"/>
      <c r="BK373" s="2867"/>
      <c r="BL373" s="2867"/>
      <c r="BM373" s="2867"/>
      <c r="BN373" s="2867"/>
      <c r="BO373" s="2867"/>
      <c r="BP373" s="2867"/>
      <c r="BQ373" s="2867"/>
      <c r="BR373" s="2867"/>
      <c r="BS373" s="2867"/>
      <c r="BT373" s="2867"/>
      <c r="BU373" s="2867"/>
      <c r="BV373" s="2867"/>
      <c r="BW373" s="2867"/>
      <c r="BX373" s="2867"/>
      <c r="BY373" s="2867"/>
      <c r="BZ373" s="2867"/>
      <c r="CA373" s="2867"/>
      <c r="CB373" s="2867"/>
      <c r="CC373" s="2867"/>
      <c r="CD373" s="2867"/>
      <c r="CE373" s="2867"/>
      <c r="CF373" s="2867"/>
      <c r="CG373" s="2867"/>
      <c r="CH373" s="2867"/>
      <c r="CI373" s="2867"/>
      <c r="CJ373" s="2867"/>
      <c r="CK373" s="2867"/>
      <c r="CL373" s="2867"/>
      <c r="CM373" s="2867"/>
      <c r="CN373" s="2867"/>
      <c r="CO373" s="2867"/>
      <c r="CP373" s="2867"/>
      <c r="CQ373" s="2867"/>
      <c r="CR373" s="2867"/>
      <c r="CS373" s="2867"/>
      <c r="CT373" s="2867"/>
      <c r="CU373" s="2867"/>
      <c r="CV373" s="2867"/>
      <c r="CW373" s="2867"/>
    </row>
    <row r="374" spans="1:101">
      <c r="A374" s="2867"/>
      <c r="B374" s="2867"/>
      <c r="C374" s="2867"/>
      <c r="D374" s="2867"/>
      <c r="E374" s="2867"/>
      <c r="F374" s="2867"/>
      <c r="G374" s="2867"/>
      <c r="H374" s="2867"/>
      <c r="I374" s="2867"/>
      <c r="J374" s="2867"/>
      <c r="K374" s="2867"/>
      <c r="L374" s="2867"/>
      <c r="M374" s="2867"/>
      <c r="O374" s="2867"/>
      <c r="P374" s="2867"/>
      <c r="Q374" s="2867"/>
      <c r="R374" s="2867"/>
      <c r="S374" s="2867"/>
      <c r="T374" s="2867"/>
      <c r="U374" s="2867"/>
      <c r="V374" s="2867"/>
      <c r="W374" s="2867"/>
      <c r="X374" s="2867"/>
      <c r="Y374" s="2867"/>
      <c r="Z374" s="2867"/>
      <c r="AA374" s="2867"/>
      <c r="AB374" s="2867"/>
      <c r="AC374" s="2867"/>
      <c r="AD374" s="2867"/>
      <c r="AE374" s="2867"/>
      <c r="AF374" s="2867"/>
      <c r="AG374" s="2867"/>
      <c r="AH374" s="2867"/>
      <c r="AI374" s="2867"/>
      <c r="AJ374" s="2867"/>
      <c r="AK374" s="2867"/>
      <c r="AL374" s="2867"/>
      <c r="AM374" s="2867"/>
      <c r="AN374" s="2867"/>
      <c r="AO374" s="2867"/>
      <c r="AP374" s="2867"/>
      <c r="AQ374" s="2867"/>
      <c r="AR374" s="2867"/>
      <c r="AS374" s="2867"/>
      <c r="AT374" s="2867"/>
      <c r="AU374" s="2867"/>
      <c r="AV374" s="2867"/>
      <c r="AW374" s="2867"/>
      <c r="AX374" s="2867"/>
      <c r="AY374" s="2867"/>
      <c r="AZ374" s="2867"/>
      <c r="BA374" s="2867"/>
      <c r="BB374" s="2867"/>
      <c r="BC374" s="2867"/>
      <c r="BD374" s="2867"/>
      <c r="BE374" s="2867"/>
      <c r="BF374" s="2867"/>
      <c r="BG374" s="2867"/>
      <c r="BH374" s="2867"/>
      <c r="BI374" s="2867"/>
      <c r="BJ374" s="2867"/>
      <c r="BK374" s="2867"/>
      <c r="BL374" s="2867"/>
      <c r="BM374" s="2867"/>
      <c r="BN374" s="2867"/>
      <c r="BO374" s="2867"/>
      <c r="BP374" s="2867"/>
      <c r="BQ374" s="2867"/>
      <c r="BR374" s="2867"/>
      <c r="BS374" s="2867"/>
      <c r="BT374" s="2867"/>
      <c r="BU374" s="2867"/>
      <c r="BV374" s="2867"/>
      <c r="BW374" s="2867"/>
      <c r="BX374" s="2867"/>
      <c r="BY374" s="2867"/>
      <c r="BZ374" s="2867"/>
      <c r="CA374" s="2867"/>
      <c r="CB374" s="2867"/>
      <c r="CC374" s="2867"/>
      <c r="CD374" s="2867"/>
      <c r="CE374" s="2867"/>
      <c r="CF374" s="2867"/>
      <c r="CG374" s="2867"/>
      <c r="CH374" s="2867"/>
      <c r="CI374" s="2867"/>
      <c r="CJ374" s="2867"/>
      <c r="CK374" s="2867"/>
      <c r="CL374" s="2867"/>
      <c r="CM374" s="2867"/>
      <c r="CN374" s="2867"/>
      <c r="CO374" s="2867"/>
      <c r="CP374" s="2867"/>
      <c r="CQ374" s="2867"/>
      <c r="CR374" s="2867"/>
      <c r="CS374" s="2867"/>
      <c r="CT374" s="2867"/>
      <c r="CU374" s="2867"/>
      <c r="CV374" s="2867"/>
      <c r="CW374" s="2867"/>
    </row>
    <row r="375" spans="1:101">
      <c r="A375" s="2867"/>
      <c r="B375" s="2867"/>
      <c r="C375" s="2867"/>
      <c r="D375" s="2867"/>
      <c r="E375" s="2867"/>
      <c r="F375" s="2867"/>
      <c r="G375" s="2867"/>
      <c r="H375" s="2867"/>
      <c r="I375" s="2867"/>
      <c r="J375" s="2867"/>
      <c r="K375" s="2867"/>
      <c r="L375" s="2867"/>
      <c r="M375" s="2867"/>
      <c r="O375" s="2867"/>
      <c r="P375" s="2867"/>
      <c r="Q375" s="2867"/>
      <c r="R375" s="2867"/>
      <c r="S375" s="2867"/>
      <c r="T375" s="2867"/>
      <c r="U375" s="2867"/>
      <c r="V375" s="2867"/>
      <c r="W375" s="2867"/>
      <c r="X375" s="2867"/>
      <c r="Y375" s="2867"/>
      <c r="Z375" s="2867"/>
      <c r="AA375" s="2867"/>
      <c r="AB375" s="2867"/>
      <c r="AC375" s="2867"/>
      <c r="AD375" s="2867"/>
      <c r="AE375" s="2867"/>
      <c r="AF375" s="2867"/>
      <c r="AG375" s="2867"/>
      <c r="AH375" s="2867"/>
      <c r="AI375" s="2867"/>
      <c r="AJ375" s="2867"/>
      <c r="AK375" s="2867"/>
      <c r="AL375" s="2867"/>
      <c r="AM375" s="2867"/>
      <c r="AN375" s="2867"/>
      <c r="AO375" s="2867"/>
      <c r="AP375" s="2867"/>
      <c r="AQ375" s="2867"/>
      <c r="AR375" s="2867"/>
      <c r="AS375" s="2867"/>
      <c r="AT375" s="2867"/>
      <c r="AU375" s="2867"/>
      <c r="AV375" s="2867"/>
      <c r="AW375" s="2867"/>
      <c r="AX375" s="2867"/>
      <c r="AY375" s="2867"/>
      <c r="AZ375" s="2867"/>
      <c r="BA375" s="2867"/>
      <c r="BB375" s="2867"/>
      <c r="BC375" s="2867"/>
      <c r="BD375" s="2867"/>
      <c r="BE375" s="2867"/>
      <c r="BF375" s="2867"/>
      <c r="BG375" s="2867"/>
      <c r="BH375" s="2867"/>
      <c r="BI375" s="2867"/>
      <c r="BJ375" s="2867"/>
      <c r="BK375" s="2867"/>
      <c r="BL375" s="2867"/>
      <c r="BM375" s="2867"/>
      <c r="BN375" s="2867"/>
      <c r="BO375" s="2867"/>
      <c r="BP375" s="2867"/>
      <c r="BQ375" s="2867"/>
      <c r="BR375" s="2867"/>
      <c r="BS375" s="2867"/>
      <c r="BT375" s="2867"/>
      <c r="BU375" s="2867"/>
      <c r="BV375" s="2867"/>
      <c r="BW375" s="2867"/>
      <c r="BX375" s="2867"/>
      <c r="BY375" s="2867"/>
      <c r="BZ375" s="2867"/>
      <c r="CA375" s="2867"/>
      <c r="CB375" s="2867"/>
      <c r="CC375" s="2867"/>
      <c r="CD375" s="2867"/>
      <c r="CE375" s="2867"/>
      <c r="CF375" s="2867"/>
      <c r="CG375" s="2867"/>
      <c r="CH375" s="2867"/>
      <c r="CI375" s="2867"/>
      <c r="CJ375" s="2867"/>
      <c r="CK375" s="2867"/>
      <c r="CL375" s="2867"/>
      <c r="CM375" s="2867"/>
      <c r="CN375" s="2867"/>
      <c r="CO375" s="2867"/>
      <c r="CP375" s="2867"/>
      <c r="CQ375" s="2867"/>
      <c r="CR375" s="2867"/>
      <c r="CS375" s="2867"/>
      <c r="CT375" s="2867"/>
      <c r="CU375" s="2867"/>
      <c r="CV375" s="2867"/>
      <c r="CW375" s="2867"/>
    </row>
    <row r="376" spans="1:101">
      <c r="A376" s="2867"/>
      <c r="B376" s="2867"/>
      <c r="C376" s="2867"/>
      <c r="D376" s="2867"/>
      <c r="E376" s="2867"/>
      <c r="F376" s="2867"/>
      <c r="G376" s="2867"/>
      <c r="H376" s="2867"/>
      <c r="I376" s="2867"/>
      <c r="J376" s="2867"/>
      <c r="K376" s="2867"/>
      <c r="L376" s="2867"/>
      <c r="M376" s="2867"/>
      <c r="O376" s="2867"/>
      <c r="P376" s="2867"/>
      <c r="Q376" s="2867"/>
      <c r="R376" s="2867"/>
      <c r="S376" s="2867"/>
      <c r="T376" s="2867"/>
      <c r="U376" s="2867"/>
      <c r="V376" s="2867"/>
      <c r="W376" s="2867"/>
      <c r="X376" s="2867"/>
      <c r="Y376" s="2867"/>
      <c r="Z376" s="2867"/>
      <c r="AA376" s="2867"/>
      <c r="AB376" s="2867"/>
      <c r="AC376" s="2867"/>
      <c r="AD376" s="2867"/>
      <c r="AE376" s="2867"/>
      <c r="AF376" s="2867"/>
      <c r="AG376" s="2867"/>
      <c r="AH376" s="2867"/>
      <c r="AI376" s="2867"/>
      <c r="AJ376" s="2867"/>
      <c r="AK376" s="2867"/>
      <c r="AL376" s="2867"/>
      <c r="AM376" s="2867"/>
      <c r="AN376" s="2867"/>
      <c r="AO376" s="2867"/>
      <c r="AP376" s="2867"/>
      <c r="AQ376" s="2867"/>
      <c r="AR376" s="2867"/>
      <c r="AS376" s="2867"/>
      <c r="AT376" s="2867"/>
      <c r="AU376" s="2867"/>
      <c r="AV376" s="2867"/>
      <c r="AW376" s="2867"/>
      <c r="AX376" s="2867"/>
      <c r="AY376" s="2867"/>
      <c r="AZ376" s="2867"/>
      <c r="BA376" s="2867"/>
      <c r="BB376" s="2867"/>
      <c r="BC376" s="2867"/>
      <c r="BD376" s="2867"/>
      <c r="BE376" s="2867"/>
      <c r="BF376" s="2867"/>
      <c r="BG376" s="2867"/>
      <c r="BH376" s="2867"/>
      <c r="BI376" s="2867"/>
      <c r="BJ376" s="2867"/>
      <c r="BK376" s="2867"/>
      <c r="BL376" s="2867"/>
      <c r="BM376" s="2867"/>
      <c r="BN376" s="2867"/>
      <c r="BO376" s="2867"/>
      <c r="BP376" s="2867"/>
      <c r="BQ376" s="2867"/>
      <c r="BR376" s="2867"/>
      <c r="BS376" s="2867"/>
      <c r="BT376" s="2867"/>
      <c r="BU376" s="2867"/>
      <c r="BV376" s="2867"/>
      <c r="BW376" s="2867"/>
      <c r="BX376" s="2867"/>
      <c r="BY376" s="2867"/>
      <c r="BZ376" s="2867"/>
      <c r="CA376" s="2867"/>
      <c r="CB376" s="2867"/>
      <c r="CC376" s="2867"/>
      <c r="CD376" s="2867"/>
      <c r="CE376" s="2867"/>
      <c r="CF376" s="2867"/>
      <c r="CG376" s="2867"/>
      <c r="CH376" s="2867"/>
      <c r="CI376" s="2867"/>
      <c r="CJ376" s="2867"/>
      <c r="CK376" s="2867"/>
      <c r="CL376" s="2867"/>
      <c r="CM376" s="2867"/>
      <c r="CN376" s="2867"/>
      <c r="CO376" s="2867"/>
      <c r="CP376" s="2867"/>
      <c r="CQ376" s="2867"/>
      <c r="CR376" s="2867"/>
      <c r="CS376" s="2867"/>
      <c r="CT376" s="2867"/>
      <c r="CU376" s="2867"/>
      <c r="CV376" s="2867"/>
      <c r="CW376" s="2867"/>
    </row>
    <row r="377" spans="1:101">
      <c r="A377" s="2867"/>
      <c r="B377" s="2867"/>
      <c r="C377" s="2867"/>
      <c r="D377" s="2867"/>
      <c r="E377" s="2867"/>
      <c r="F377" s="2867"/>
      <c r="G377" s="2867"/>
      <c r="H377" s="2867"/>
      <c r="I377" s="2867"/>
      <c r="J377" s="2867"/>
      <c r="K377" s="2867"/>
      <c r="L377" s="2867"/>
      <c r="M377" s="2867"/>
      <c r="O377" s="2867"/>
      <c r="P377" s="2867"/>
      <c r="Q377" s="2867"/>
      <c r="R377" s="2867"/>
      <c r="S377" s="2867"/>
      <c r="T377" s="2867"/>
      <c r="U377" s="2867"/>
      <c r="V377" s="2867"/>
      <c r="W377" s="2867"/>
      <c r="X377" s="2867"/>
      <c r="Y377" s="2867"/>
      <c r="Z377" s="2867"/>
      <c r="AA377" s="2867"/>
      <c r="AB377" s="2867"/>
      <c r="AC377" s="2867"/>
      <c r="AD377" s="2867"/>
      <c r="AE377" s="2867"/>
      <c r="AF377" s="2867"/>
      <c r="AG377" s="2867"/>
      <c r="AH377" s="2867"/>
      <c r="AI377" s="2867"/>
      <c r="AJ377" s="2867"/>
      <c r="AK377" s="2867"/>
      <c r="AL377" s="2867"/>
      <c r="AM377" s="2867"/>
      <c r="AN377" s="2867"/>
      <c r="AO377" s="2867"/>
      <c r="AP377" s="2867"/>
      <c r="AQ377" s="2867"/>
      <c r="AR377" s="2867"/>
      <c r="AS377" s="2867"/>
      <c r="AT377" s="2867"/>
      <c r="AU377" s="2867"/>
      <c r="AV377" s="2867"/>
      <c r="AW377" s="2867"/>
      <c r="AX377" s="2867"/>
      <c r="AY377" s="2867"/>
      <c r="AZ377" s="2867"/>
      <c r="BA377" s="2867"/>
      <c r="BB377" s="2867"/>
      <c r="BC377" s="2867"/>
      <c r="BD377" s="2867"/>
      <c r="BE377" s="2867"/>
      <c r="BF377" s="2867"/>
      <c r="BG377" s="2867"/>
      <c r="BH377" s="2867"/>
      <c r="BI377" s="2867"/>
      <c r="BJ377" s="2867"/>
      <c r="BK377" s="2867"/>
      <c r="BL377" s="2867"/>
      <c r="BM377" s="2867"/>
      <c r="BN377" s="2867"/>
      <c r="BO377" s="2867"/>
      <c r="BP377" s="2867"/>
      <c r="BQ377" s="2867"/>
      <c r="BR377" s="2867"/>
      <c r="BS377" s="2867"/>
      <c r="BT377" s="2867"/>
      <c r="BU377" s="2867"/>
      <c r="BV377" s="2867"/>
      <c r="BW377" s="2867"/>
      <c r="BX377" s="2867"/>
      <c r="BY377" s="2867"/>
      <c r="BZ377" s="2867"/>
      <c r="CA377" s="2867"/>
      <c r="CB377" s="2867"/>
      <c r="CC377" s="2867"/>
      <c r="CD377" s="2867"/>
      <c r="CE377" s="2867"/>
      <c r="CF377" s="2867"/>
      <c r="CG377" s="2867"/>
      <c r="CH377" s="2867"/>
      <c r="CI377" s="2867"/>
      <c r="CJ377" s="2867"/>
      <c r="CK377" s="2867"/>
      <c r="CL377" s="2867"/>
      <c r="CM377" s="2867"/>
      <c r="CN377" s="2867"/>
      <c r="CO377" s="2867"/>
      <c r="CP377" s="2867"/>
      <c r="CQ377" s="2867"/>
      <c r="CR377" s="2867"/>
      <c r="CS377" s="2867"/>
      <c r="CT377" s="2867"/>
      <c r="CU377" s="2867"/>
      <c r="CV377" s="2867"/>
      <c r="CW377" s="2867"/>
    </row>
    <row r="378" spans="1:101">
      <c r="A378" s="2867"/>
      <c r="B378" s="2867"/>
      <c r="C378" s="2867"/>
      <c r="D378" s="2867"/>
      <c r="E378" s="2867"/>
      <c r="F378" s="2867"/>
      <c r="G378" s="2867"/>
      <c r="H378" s="2867"/>
      <c r="I378" s="2867"/>
      <c r="J378" s="2867"/>
      <c r="K378" s="2867"/>
      <c r="L378" s="2867"/>
      <c r="M378" s="2867"/>
      <c r="O378" s="2867"/>
      <c r="P378" s="2867"/>
      <c r="Q378" s="2867"/>
      <c r="R378" s="2867"/>
      <c r="S378" s="2867"/>
      <c r="T378" s="2867"/>
      <c r="U378" s="2867"/>
      <c r="V378" s="2867"/>
      <c r="W378" s="2867"/>
      <c r="X378" s="2867"/>
      <c r="Y378" s="2867"/>
      <c r="Z378" s="2867"/>
      <c r="AA378" s="2867"/>
      <c r="AB378" s="2867"/>
      <c r="AC378" s="2867"/>
      <c r="AD378" s="2867"/>
      <c r="AE378" s="2867"/>
      <c r="AF378" s="2867"/>
      <c r="AG378" s="2867"/>
      <c r="AH378" s="2867"/>
      <c r="AI378" s="2867"/>
      <c r="AJ378" s="2867"/>
      <c r="AK378" s="2867"/>
      <c r="AL378" s="2867"/>
      <c r="AM378" s="2867"/>
      <c r="AN378" s="2867"/>
      <c r="AO378" s="2867"/>
      <c r="AP378" s="2867"/>
      <c r="AQ378" s="2867"/>
      <c r="AR378" s="2867"/>
      <c r="AS378" s="2867"/>
      <c r="AT378" s="2867"/>
      <c r="AU378" s="2867"/>
      <c r="AV378" s="2867"/>
      <c r="AW378" s="2867"/>
      <c r="AX378" s="2867"/>
      <c r="AY378" s="2867"/>
      <c r="AZ378" s="2867"/>
      <c r="BA378" s="2867"/>
      <c r="BB378" s="2867"/>
      <c r="BC378" s="2867"/>
      <c r="BD378" s="2867"/>
      <c r="BE378" s="2867"/>
      <c r="BF378" s="2867"/>
      <c r="BG378" s="2867"/>
      <c r="BH378" s="2867"/>
      <c r="BI378" s="2867"/>
      <c r="BJ378" s="2867"/>
      <c r="BK378" s="2867"/>
      <c r="BL378" s="2867"/>
      <c r="BM378" s="2867"/>
      <c r="BN378" s="2867"/>
      <c r="BO378" s="2867"/>
      <c r="BP378" s="2867"/>
      <c r="BQ378" s="2867"/>
      <c r="BR378" s="2867"/>
      <c r="BS378" s="2867"/>
      <c r="BT378" s="2867"/>
      <c r="BU378" s="2867"/>
      <c r="BV378" s="2867"/>
      <c r="BW378" s="2867"/>
      <c r="BX378" s="2867"/>
      <c r="BY378" s="2867"/>
      <c r="BZ378" s="2867"/>
      <c r="CA378" s="2867"/>
      <c r="CB378" s="2867"/>
      <c r="CC378" s="2867"/>
      <c r="CD378" s="2867"/>
      <c r="CE378" s="2867"/>
      <c r="CF378" s="2867"/>
      <c r="CG378" s="2867"/>
      <c r="CH378" s="2867"/>
      <c r="CI378" s="2867"/>
      <c r="CJ378" s="2867"/>
      <c r="CK378" s="2867"/>
      <c r="CL378" s="2867"/>
      <c r="CM378" s="2867"/>
      <c r="CN378" s="2867"/>
      <c r="CO378" s="2867"/>
      <c r="CP378" s="2867"/>
      <c r="CQ378" s="2867"/>
      <c r="CR378" s="2867"/>
      <c r="CS378" s="2867"/>
      <c r="CT378" s="2867"/>
      <c r="CU378" s="2867"/>
      <c r="CV378" s="2867"/>
      <c r="CW378" s="2867"/>
    </row>
    <row r="379" spans="1:101">
      <c r="A379" s="2867"/>
      <c r="B379" s="2867"/>
      <c r="C379" s="2867"/>
      <c r="D379" s="2867"/>
      <c r="E379" s="2867"/>
      <c r="F379" s="2867"/>
      <c r="G379" s="2867"/>
      <c r="H379" s="2867"/>
      <c r="I379" s="2867"/>
      <c r="J379" s="2867"/>
      <c r="K379" s="2867"/>
      <c r="L379" s="2867"/>
      <c r="M379" s="2867"/>
      <c r="O379" s="2867"/>
      <c r="P379" s="2867"/>
      <c r="Q379" s="2867"/>
      <c r="R379" s="2867"/>
      <c r="S379" s="2867"/>
      <c r="T379" s="2867"/>
      <c r="U379" s="2867"/>
      <c r="V379" s="2867"/>
      <c r="W379" s="2867"/>
      <c r="X379" s="2867"/>
      <c r="Y379" s="2867"/>
      <c r="Z379" s="2867"/>
      <c r="AA379" s="2867"/>
      <c r="AB379" s="2867"/>
      <c r="AC379" s="2867"/>
      <c r="AD379" s="2867"/>
      <c r="AE379" s="2867"/>
      <c r="AF379" s="2867"/>
      <c r="AG379" s="2867"/>
      <c r="AH379" s="2867"/>
      <c r="AI379" s="2867"/>
      <c r="AJ379" s="2867"/>
      <c r="AK379" s="2867"/>
      <c r="AL379" s="2867"/>
      <c r="AM379" s="2867"/>
      <c r="AN379" s="2867"/>
      <c r="AO379" s="2867"/>
      <c r="AP379" s="2867"/>
      <c r="AQ379" s="2867"/>
      <c r="AR379" s="2867"/>
      <c r="AS379" s="2867"/>
      <c r="AT379" s="2867"/>
      <c r="AU379" s="2867"/>
      <c r="AV379" s="2867"/>
      <c r="AW379" s="2867"/>
      <c r="AX379" s="2867"/>
      <c r="AY379" s="2867"/>
      <c r="AZ379" s="2867"/>
      <c r="BA379" s="2867"/>
      <c r="BB379" s="2867"/>
      <c r="BC379" s="2867"/>
      <c r="BD379" s="2867"/>
      <c r="BE379" s="2867"/>
      <c r="BF379" s="2867"/>
      <c r="BG379" s="2867"/>
      <c r="BH379" s="2867"/>
      <c r="BI379" s="2867"/>
      <c r="BJ379" s="2867"/>
      <c r="BK379" s="2867"/>
      <c r="BL379" s="2867"/>
      <c r="BM379" s="2867"/>
      <c r="BN379" s="2867"/>
      <c r="BO379" s="2867"/>
      <c r="BP379" s="2867"/>
      <c r="BQ379" s="2867"/>
      <c r="BR379" s="2867"/>
      <c r="BS379" s="2867"/>
      <c r="BT379" s="2867"/>
      <c r="BU379" s="2867"/>
      <c r="BV379" s="2867"/>
      <c r="BW379" s="2867"/>
      <c r="BX379" s="2867"/>
      <c r="BY379" s="2867"/>
      <c r="BZ379" s="2867"/>
      <c r="CA379" s="2867"/>
      <c r="CB379" s="2867"/>
      <c r="CC379" s="2867"/>
      <c r="CD379" s="2867"/>
      <c r="CE379" s="2867"/>
      <c r="CF379" s="2867"/>
      <c r="CG379" s="2867"/>
      <c r="CH379" s="2867"/>
      <c r="CI379" s="2867"/>
      <c r="CJ379" s="2867"/>
      <c r="CK379" s="2867"/>
      <c r="CL379" s="2867"/>
      <c r="CM379" s="2867"/>
      <c r="CN379" s="2867"/>
      <c r="CO379" s="2867"/>
      <c r="CP379" s="2867"/>
      <c r="CQ379" s="2867"/>
      <c r="CR379" s="2867"/>
      <c r="CS379" s="2867"/>
      <c r="CT379" s="2867"/>
      <c r="CU379" s="2867"/>
      <c r="CV379" s="2867"/>
      <c r="CW379" s="2867"/>
    </row>
    <row r="380" spans="1:101">
      <c r="A380" s="2867"/>
      <c r="B380" s="2867"/>
      <c r="C380" s="2867"/>
      <c r="D380" s="2867"/>
      <c r="E380" s="2867"/>
      <c r="F380" s="2867"/>
      <c r="G380" s="2867"/>
      <c r="H380" s="2867"/>
      <c r="I380" s="2867"/>
      <c r="J380" s="2867"/>
      <c r="K380" s="2867"/>
      <c r="L380" s="2867"/>
      <c r="M380" s="2867"/>
      <c r="O380" s="2867"/>
      <c r="P380" s="2867"/>
      <c r="Q380" s="2867"/>
      <c r="R380" s="2867"/>
      <c r="S380" s="2867"/>
      <c r="T380" s="2867"/>
      <c r="U380" s="2867"/>
      <c r="V380" s="2867"/>
      <c r="W380" s="2867"/>
      <c r="X380" s="2867"/>
      <c r="Y380" s="2867"/>
      <c r="Z380" s="2867"/>
      <c r="AA380" s="2867"/>
      <c r="AB380" s="2867"/>
      <c r="AC380" s="2867"/>
      <c r="AD380" s="2867"/>
      <c r="AE380" s="2867"/>
      <c r="AF380" s="2867"/>
      <c r="AG380" s="2867"/>
      <c r="AH380" s="2867"/>
      <c r="AI380" s="2867"/>
      <c r="AJ380" s="2867"/>
      <c r="AK380" s="2867"/>
      <c r="AL380" s="2867"/>
      <c r="AM380" s="2867"/>
      <c r="AN380" s="2867"/>
      <c r="AO380" s="2867"/>
      <c r="AP380" s="2867"/>
      <c r="AQ380" s="2867"/>
      <c r="AR380" s="2867"/>
      <c r="AS380" s="2867"/>
      <c r="AT380" s="2867"/>
      <c r="AU380" s="2867"/>
      <c r="AV380" s="2867"/>
      <c r="AW380" s="2867"/>
      <c r="AX380" s="2867"/>
      <c r="AY380" s="2867"/>
      <c r="AZ380" s="2867"/>
      <c r="BA380" s="2867"/>
      <c r="BB380" s="2867"/>
      <c r="BC380" s="2867"/>
      <c r="BD380" s="2867"/>
      <c r="BE380" s="2867"/>
      <c r="BF380" s="2867"/>
      <c r="BG380" s="2867"/>
      <c r="BH380" s="2867"/>
      <c r="BI380" s="2867"/>
      <c r="BJ380" s="2867"/>
      <c r="BK380" s="2867"/>
      <c r="BL380" s="2867"/>
      <c r="BM380" s="2867"/>
      <c r="BN380" s="2867"/>
      <c r="BO380" s="2867"/>
      <c r="BP380" s="2867"/>
      <c r="BQ380" s="2867"/>
      <c r="BR380" s="2867"/>
      <c r="BS380" s="2867"/>
      <c r="BT380" s="2867"/>
      <c r="BU380" s="2867"/>
      <c r="BV380" s="2867"/>
      <c r="BW380" s="2867"/>
      <c r="BX380" s="2867"/>
      <c r="BY380" s="2867"/>
      <c r="BZ380" s="2867"/>
      <c r="CA380" s="2867"/>
      <c r="CB380" s="2867"/>
      <c r="CC380" s="2867"/>
      <c r="CD380" s="2867"/>
      <c r="CE380" s="2867"/>
      <c r="CF380" s="2867"/>
      <c r="CG380" s="2867"/>
      <c r="CH380" s="2867"/>
      <c r="CI380" s="2867"/>
      <c r="CJ380" s="2867"/>
      <c r="CK380" s="2867"/>
      <c r="CL380" s="2867"/>
      <c r="CM380" s="2867"/>
      <c r="CN380" s="2867"/>
      <c r="CO380" s="2867"/>
      <c r="CP380" s="2867"/>
      <c r="CQ380" s="2867"/>
      <c r="CR380" s="2867"/>
      <c r="CS380" s="2867"/>
      <c r="CT380" s="2867"/>
      <c r="CU380" s="2867"/>
      <c r="CV380" s="2867"/>
      <c r="CW380" s="2867"/>
    </row>
    <row r="381" spans="1:101">
      <c r="A381" s="2867"/>
      <c r="B381" s="2867"/>
      <c r="C381" s="2867"/>
      <c r="D381" s="2867"/>
      <c r="E381" s="2867"/>
      <c r="F381" s="2867"/>
      <c r="G381" s="2867"/>
      <c r="H381" s="2867"/>
      <c r="I381" s="2867"/>
      <c r="J381" s="2867"/>
      <c r="K381" s="2867"/>
      <c r="L381" s="2867"/>
      <c r="M381" s="2867"/>
      <c r="O381" s="2867"/>
      <c r="P381" s="2867"/>
      <c r="Q381" s="2867"/>
      <c r="R381" s="2867"/>
      <c r="S381" s="2867"/>
      <c r="T381" s="2867"/>
      <c r="U381" s="2867"/>
      <c r="V381" s="2867"/>
      <c r="W381" s="2867"/>
      <c r="X381" s="2867"/>
      <c r="Y381" s="2867"/>
      <c r="Z381" s="2867"/>
      <c r="AA381" s="2867"/>
      <c r="AB381" s="2867"/>
      <c r="AC381" s="2867"/>
      <c r="AD381" s="2867"/>
      <c r="AE381" s="2867"/>
      <c r="AF381" s="2867"/>
      <c r="AG381" s="2867"/>
      <c r="AH381" s="2867"/>
      <c r="AI381" s="2867"/>
      <c r="AJ381" s="2867"/>
      <c r="AK381" s="2867"/>
      <c r="AL381" s="2867"/>
      <c r="AM381" s="2867"/>
      <c r="AN381" s="2867"/>
      <c r="AO381" s="2867"/>
      <c r="AP381" s="2867"/>
      <c r="AQ381" s="2867"/>
      <c r="AR381" s="2867"/>
      <c r="AS381" s="2867"/>
      <c r="AT381" s="2867"/>
      <c r="AU381" s="2867"/>
      <c r="AV381" s="2867"/>
      <c r="AW381" s="2867"/>
      <c r="AX381" s="2867"/>
      <c r="AY381" s="2867"/>
      <c r="AZ381" s="2867"/>
      <c r="BA381" s="2867"/>
      <c r="BB381" s="2867"/>
      <c r="BC381" s="2867"/>
      <c r="BD381" s="2867"/>
      <c r="BE381" s="2867"/>
      <c r="BF381" s="2867"/>
      <c r="BG381" s="2867"/>
      <c r="BH381" s="2867"/>
      <c r="BI381" s="2867"/>
      <c r="BJ381" s="2867"/>
      <c r="BK381" s="2867"/>
      <c r="BL381" s="2867"/>
      <c r="BM381" s="2867"/>
      <c r="BN381" s="2867"/>
      <c r="BO381" s="2867"/>
      <c r="BP381" s="2867"/>
      <c r="BQ381" s="2867"/>
      <c r="BR381" s="2867"/>
      <c r="BS381" s="2867"/>
      <c r="BT381" s="2867"/>
      <c r="BU381" s="2867"/>
      <c r="BV381" s="2867"/>
      <c r="BW381" s="2867"/>
      <c r="BX381" s="2867"/>
      <c r="BY381" s="2867"/>
      <c r="BZ381" s="2867"/>
      <c r="CA381" s="2867"/>
      <c r="CB381" s="2867"/>
      <c r="CC381" s="2867"/>
      <c r="CD381" s="2867"/>
      <c r="CE381" s="2867"/>
      <c r="CF381" s="2867"/>
      <c r="CG381" s="2867"/>
      <c r="CH381" s="2867"/>
      <c r="CI381" s="2867"/>
      <c r="CJ381" s="2867"/>
      <c r="CK381" s="2867"/>
      <c r="CL381" s="2867"/>
      <c r="CM381" s="2867"/>
      <c r="CN381" s="2867"/>
      <c r="CO381" s="2867"/>
      <c r="CP381" s="2867"/>
      <c r="CQ381" s="2867"/>
      <c r="CR381" s="2867"/>
      <c r="CS381" s="2867"/>
      <c r="CT381" s="2867"/>
      <c r="CU381" s="2867"/>
      <c r="CV381" s="2867"/>
      <c r="CW381" s="2867"/>
    </row>
    <row r="382" spans="1:101">
      <c r="A382" s="2867"/>
      <c r="B382" s="2867"/>
      <c r="C382" s="2867"/>
      <c r="D382" s="2867"/>
      <c r="E382" s="2867"/>
      <c r="F382" s="2867"/>
      <c r="G382" s="2867"/>
      <c r="H382" s="2867"/>
      <c r="I382" s="2867"/>
      <c r="J382" s="2867"/>
      <c r="K382" s="2867"/>
      <c r="L382" s="2867"/>
      <c r="M382" s="2867"/>
      <c r="O382" s="2867"/>
      <c r="P382" s="2867"/>
      <c r="Q382" s="2867"/>
      <c r="R382" s="2867"/>
      <c r="S382" s="2867"/>
      <c r="T382" s="2867"/>
      <c r="U382" s="2867"/>
      <c r="V382" s="2867"/>
      <c r="W382" s="2867"/>
      <c r="X382" s="2867"/>
      <c r="Y382" s="2867"/>
      <c r="Z382" s="2867"/>
      <c r="AA382" s="2867"/>
      <c r="AB382" s="2867"/>
      <c r="AC382" s="2867"/>
      <c r="AD382" s="2867"/>
      <c r="AE382" s="2867"/>
      <c r="AF382" s="2867"/>
      <c r="AG382" s="2867"/>
      <c r="AH382" s="2867"/>
      <c r="AI382" s="2867"/>
      <c r="AJ382" s="2867"/>
      <c r="AK382" s="2867"/>
      <c r="AL382" s="2867"/>
      <c r="AM382" s="2867"/>
      <c r="AN382" s="2867"/>
      <c r="AO382" s="2867"/>
      <c r="AP382" s="2867"/>
      <c r="AQ382" s="2867"/>
      <c r="AR382" s="2867"/>
      <c r="AS382" s="2867"/>
      <c r="AT382" s="2867"/>
      <c r="AU382" s="2867"/>
      <c r="AV382" s="2867"/>
      <c r="AW382" s="2867"/>
      <c r="AX382" s="2867"/>
      <c r="AY382" s="2867"/>
      <c r="AZ382" s="2867"/>
      <c r="BA382" s="2867"/>
      <c r="BB382" s="2867"/>
      <c r="BC382" s="2867"/>
      <c r="BD382" s="2867"/>
      <c r="BE382" s="2867"/>
      <c r="BF382" s="2867"/>
      <c r="BG382" s="2867"/>
      <c r="BH382" s="2867"/>
      <c r="BI382" s="2867"/>
      <c r="BJ382" s="2867"/>
      <c r="BK382" s="2867"/>
      <c r="BL382" s="2867"/>
      <c r="BM382" s="2867"/>
      <c r="BN382" s="2867"/>
      <c r="BO382" s="2867"/>
      <c r="BP382" s="2867"/>
      <c r="BQ382" s="2867"/>
      <c r="BR382" s="2867"/>
      <c r="BS382" s="2867"/>
      <c r="BT382" s="2867"/>
      <c r="BU382" s="2867"/>
      <c r="BV382" s="2867"/>
      <c r="BW382" s="2867"/>
      <c r="BX382" s="2867"/>
      <c r="BY382" s="2867"/>
      <c r="BZ382" s="2867"/>
      <c r="CA382" s="2867"/>
      <c r="CB382" s="2867"/>
      <c r="CC382" s="2867"/>
      <c r="CD382" s="2867"/>
      <c r="CE382" s="2867"/>
      <c r="CF382" s="2867"/>
      <c r="CG382" s="2867"/>
      <c r="CH382" s="2867"/>
      <c r="CI382" s="2867"/>
      <c r="CJ382" s="2867"/>
      <c r="CK382" s="2867"/>
      <c r="CL382" s="2867"/>
      <c r="CM382" s="2867"/>
      <c r="CN382" s="2867"/>
      <c r="CO382" s="2867"/>
      <c r="CP382" s="2867"/>
      <c r="CQ382" s="2867"/>
      <c r="CR382" s="2867"/>
      <c r="CS382" s="2867"/>
      <c r="CT382" s="2867"/>
      <c r="CU382" s="2867"/>
      <c r="CV382" s="2867"/>
      <c r="CW382" s="2867"/>
    </row>
    <row r="383" spans="1:101">
      <c r="A383" s="2867"/>
      <c r="B383" s="2867"/>
      <c r="C383" s="2867"/>
      <c r="D383" s="2867"/>
      <c r="E383" s="2867"/>
      <c r="F383" s="2867"/>
      <c r="G383" s="2867"/>
      <c r="H383" s="2867"/>
      <c r="I383" s="2867"/>
      <c r="J383" s="2867"/>
      <c r="K383" s="2867"/>
      <c r="L383" s="2867"/>
      <c r="M383" s="2867"/>
      <c r="O383" s="2867"/>
      <c r="P383" s="2867"/>
      <c r="Q383" s="2867"/>
      <c r="R383" s="2867"/>
      <c r="S383" s="2867"/>
      <c r="T383" s="2867"/>
      <c r="U383" s="2867"/>
      <c r="V383" s="2867"/>
      <c r="W383" s="2867"/>
      <c r="X383" s="2867"/>
      <c r="Y383" s="2867"/>
      <c r="Z383" s="2867"/>
      <c r="AA383" s="2867"/>
      <c r="AB383" s="2867"/>
      <c r="AC383" s="2867"/>
      <c r="AD383" s="2867"/>
      <c r="AE383" s="2867"/>
      <c r="AF383" s="2867"/>
      <c r="AG383" s="2867"/>
      <c r="AH383" s="2867"/>
      <c r="AI383" s="2867"/>
      <c r="AJ383" s="2867"/>
      <c r="AK383" s="2867"/>
      <c r="AL383" s="2867"/>
      <c r="AM383" s="2867"/>
      <c r="AN383" s="2867"/>
      <c r="AO383" s="2867"/>
      <c r="AP383" s="2867"/>
      <c r="AQ383" s="2867"/>
      <c r="AR383" s="2867"/>
      <c r="AS383" s="2867"/>
      <c r="AT383" s="2867"/>
      <c r="AU383" s="2867"/>
      <c r="AV383" s="2867"/>
      <c r="AW383" s="2867"/>
      <c r="AX383" s="2867"/>
      <c r="AY383" s="2867"/>
      <c r="AZ383" s="2867"/>
      <c r="BA383" s="2867"/>
      <c r="BB383" s="2867"/>
      <c r="BC383" s="2867"/>
      <c r="BD383" s="2867"/>
      <c r="BE383" s="2867"/>
      <c r="BF383" s="2867"/>
      <c r="BG383" s="2867"/>
      <c r="BH383" s="2867"/>
      <c r="BI383" s="2867"/>
      <c r="BJ383" s="2867"/>
      <c r="BK383" s="2867"/>
      <c r="BL383" s="2867"/>
      <c r="BM383" s="2867"/>
      <c r="BN383" s="2867"/>
      <c r="BO383" s="2867"/>
      <c r="BP383" s="2867"/>
      <c r="BQ383" s="2867"/>
      <c r="BR383" s="2867"/>
      <c r="BS383" s="2867"/>
      <c r="BT383" s="2867"/>
      <c r="BU383" s="2867"/>
      <c r="BV383" s="2867"/>
      <c r="BW383" s="2867"/>
      <c r="BX383" s="2867"/>
      <c r="BY383" s="2867"/>
      <c r="BZ383" s="2867"/>
      <c r="CA383" s="2867"/>
      <c r="CB383" s="2867"/>
      <c r="CC383" s="2867"/>
      <c r="CD383" s="2867"/>
      <c r="CE383" s="2867"/>
      <c r="CF383" s="2867"/>
      <c r="CG383" s="2867"/>
      <c r="CH383" s="2867"/>
      <c r="CI383" s="2867"/>
      <c r="CJ383" s="2867"/>
      <c r="CK383" s="2867"/>
      <c r="CL383" s="2867"/>
      <c r="CM383" s="2867"/>
      <c r="CN383" s="2867"/>
      <c r="CO383" s="2867"/>
      <c r="CP383" s="2867"/>
      <c r="CQ383" s="2867"/>
      <c r="CR383" s="2867"/>
      <c r="CS383" s="2867"/>
      <c r="CT383" s="2867"/>
      <c r="CU383" s="2867"/>
      <c r="CV383" s="2867"/>
      <c r="CW383" s="2867"/>
    </row>
    <row r="384" spans="1:101">
      <c r="A384" s="2867"/>
      <c r="B384" s="2867"/>
      <c r="C384" s="2867"/>
      <c r="D384" s="2867"/>
      <c r="E384" s="2867"/>
      <c r="F384" s="2867"/>
      <c r="G384" s="2867"/>
      <c r="H384" s="2867"/>
      <c r="I384" s="2867"/>
      <c r="J384" s="2867"/>
      <c r="K384" s="2867"/>
      <c r="L384" s="2867"/>
      <c r="M384" s="2867"/>
      <c r="O384" s="2867"/>
      <c r="P384" s="2867"/>
      <c r="Q384" s="2867"/>
      <c r="R384" s="2867"/>
      <c r="S384" s="2867"/>
      <c r="T384" s="2867"/>
      <c r="U384" s="2867"/>
      <c r="V384" s="2867"/>
      <c r="W384" s="2867"/>
      <c r="X384" s="2867"/>
      <c r="Y384" s="2867"/>
      <c r="Z384" s="2867"/>
      <c r="AA384" s="2867"/>
      <c r="AB384" s="2867"/>
      <c r="AC384" s="2867"/>
      <c r="AD384" s="2867"/>
      <c r="AE384" s="2867"/>
      <c r="AF384" s="2867"/>
      <c r="AG384" s="2867"/>
      <c r="AH384" s="2867"/>
      <c r="AI384" s="2867"/>
      <c r="AJ384" s="2867"/>
      <c r="AK384" s="2867"/>
      <c r="AL384" s="2867"/>
      <c r="AM384" s="2867"/>
      <c r="AN384" s="2867"/>
      <c r="AO384" s="2867"/>
      <c r="AP384" s="2867"/>
      <c r="AQ384" s="2867"/>
      <c r="AR384" s="2867"/>
      <c r="AS384" s="2867"/>
      <c r="AT384" s="2867"/>
      <c r="AU384" s="2867"/>
      <c r="AV384" s="2867"/>
      <c r="AW384" s="2867"/>
      <c r="AX384" s="2867"/>
      <c r="AY384" s="2867"/>
      <c r="AZ384" s="2867"/>
      <c r="BA384" s="2867"/>
      <c r="BB384" s="2867"/>
      <c r="BC384" s="2867"/>
      <c r="BD384" s="2867"/>
      <c r="BE384" s="2867"/>
      <c r="BF384" s="2867"/>
      <c r="BG384" s="2867"/>
      <c r="BH384" s="2867"/>
      <c r="BI384" s="2867"/>
      <c r="BJ384" s="2867"/>
      <c r="BK384" s="2867"/>
      <c r="BL384" s="2867"/>
      <c r="BM384" s="2867"/>
      <c r="BN384" s="2867"/>
      <c r="BO384" s="2867"/>
      <c r="BP384" s="2867"/>
      <c r="BQ384" s="2867"/>
      <c r="BR384" s="2867"/>
      <c r="BS384" s="2867"/>
      <c r="BT384" s="2867"/>
      <c r="BU384" s="2867"/>
      <c r="BV384" s="2867"/>
      <c r="BW384" s="2867"/>
      <c r="BX384" s="2867"/>
      <c r="BY384" s="2867"/>
      <c r="BZ384" s="2867"/>
      <c r="CA384" s="2867"/>
      <c r="CB384" s="2867"/>
      <c r="CC384" s="2867"/>
      <c r="CD384" s="2867"/>
      <c r="CE384" s="2867"/>
      <c r="CF384" s="2867"/>
      <c r="CG384" s="2867"/>
      <c r="CH384" s="2867"/>
      <c r="CI384" s="2867"/>
      <c r="CJ384" s="2867"/>
      <c r="CK384" s="2867"/>
      <c r="CL384" s="2867"/>
      <c r="CM384" s="2867"/>
      <c r="CN384" s="2867"/>
      <c r="CO384" s="2867"/>
      <c r="CP384" s="2867"/>
      <c r="CQ384" s="2867"/>
      <c r="CR384" s="2867"/>
      <c r="CS384" s="2867"/>
      <c r="CT384" s="2867"/>
      <c r="CU384" s="2867"/>
      <c r="CV384" s="2867"/>
      <c r="CW384" s="2867"/>
    </row>
    <row r="385" spans="1:101">
      <c r="A385" s="2867"/>
      <c r="B385" s="2867"/>
      <c r="C385" s="2867"/>
      <c r="D385" s="2867"/>
      <c r="E385" s="2867"/>
      <c r="F385" s="2867"/>
      <c r="G385" s="2867"/>
      <c r="H385" s="2867"/>
      <c r="I385" s="2867"/>
      <c r="J385" s="2867"/>
      <c r="K385" s="2867"/>
      <c r="L385" s="2867"/>
      <c r="M385" s="2867"/>
      <c r="O385" s="2867"/>
      <c r="P385" s="2867"/>
      <c r="Q385" s="2867"/>
      <c r="R385" s="2867"/>
      <c r="S385" s="2867"/>
      <c r="T385" s="2867"/>
      <c r="U385" s="2867"/>
      <c r="V385" s="2867"/>
      <c r="W385" s="2867"/>
      <c r="X385" s="2867"/>
      <c r="Y385" s="2867"/>
      <c r="Z385" s="2867"/>
      <c r="AA385" s="2867"/>
      <c r="AB385" s="2867"/>
      <c r="AC385" s="2867"/>
      <c r="AD385" s="2867"/>
      <c r="AE385" s="2867"/>
      <c r="AF385" s="2867"/>
      <c r="AG385" s="2867"/>
      <c r="AH385" s="2867"/>
      <c r="AI385" s="2867"/>
      <c r="AJ385" s="2867"/>
      <c r="AK385" s="2867"/>
      <c r="AL385" s="2867"/>
      <c r="AM385" s="2867"/>
      <c r="AN385" s="2867"/>
      <c r="AO385" s="2867"/>
      <c r="AP385" s="2867"/>
      <c r="AQ385" s="2867"/>
      <c r="AR385" s="2867"/>
      <c r="AS385" s="2867"/>
      <c r="AT385" s="2867"/>
      <c r="AU385" s="2867"/>
      <c r="AV385" s="2867"/>
      <c r="AW385" s="2867"/>
      <c r="AX385" s="2867"/>
      <c r="AY385" s="2867"/>
      <c r="AZ385" s="2867"/>
      <c r="BA385" s="2867"/>
      <c r="BB385" s="2867"/>
      <c r="BC385" s="2867"/>
      <c r="BD385" s="2867"/>
      <c r="BE385" s="2867"/>
      <c r="BF385" s="2867"/>
      <c r="BG385" s="2867"/>
      <c r="BH385" s="2867"/>
      <c r="BI385" s="2867"/>
      <c r="BJ385" s="2867"/>
      <c r="BK385" s="2867"/>
      <c r="BL385" s="2867"/>
      <c r="BM385" s="2867"/>
      <c r="BN385" s="2867"/>
      <c r="BO385" s="2867"/>
      <c r="BP385" s="2867"/>
      <c r="BQ385" s="2867"/>
      <c r="BR385" s="2867"/>
      <c r="BS385" s="2867"/>
      <c r="BT385" s="2867"/>
      <c r="BU385" s="2867"/>
      <c r="BV385" s="2867"/>
      <c r="BW385" s="2867"/>
      <c r="BX385" s="2867"/>
      <c r="BY385" s="2867"/>
      <c r="BZ385" s="2867"/>
      <c r="CA385" s="2867"/>
      <c r="CB385" s="2867"/>
      <c r="CC385" s="2867"/>
      <c r="CD385" s="2867"/>
      <c r="CE385" s="2867"/>
      <c r="CF385" s="2867"/>
      <c r="CG385" s="2867"/>
      <c r="CH385" s="2867"/>
      <c r="CI385" s="2867"/>
      <c r="CJ385" s="2867"/>
      <c r="CK385" s="2867"/>
      <c r="CL385" s="2867"/>
      <c r="CM385" s="2867"/>
      <c r="CN385" s="2867"/>
      <c r="CO385" s="2867"/>
      <c r="CP385" s="2867"/>
      <c r="CQ385" s="2867"/>
      <c r="CR385" s="2867"/>
      <c r="CS385" s="2867"/>
      <c r="CT385" s="2867"/>
      <c r="CU385" s="2867"/>
      <c r="CV385" s="2867"/>
      <c r="CW385" s="2867"/>
    </row>
    <row r="386" spans="1:101">
      <c r="A386" s="2867"/>
      <c r="B386" s="2867"/>
      <c r="C386" s="2867"/>
      <c r="D386" s="2867"/>
      <c r="E386" s="2867"/>
      <c r="F386" s="2867"/>
      <c r="G386" s="2867"/>
      <c r="H386" s="2867"/>
      <c r="I386" s="2867"/>
      <c r="J386" s="2867"/>
      <c r="K386" s="2867"/>
      <c r="L386" s="2867"/>
      <c r="M386" s="2867"/>
      <c r="O386" s="2867"/>
      <c r="P386" s="2867"/>
      <c r="Q386" s="2867"/>
      <c r="R386" s="2867"/>
      <c r="S386" s="2867"/>
      <c r="T386" s="2867"/>
      <c r="U386" s="2867"/>
      <c r="V386" s="2867"/>
      <c r="W386" s="2867"/>
      <c r="X386" s="2867"/>
      <c r="Y386" s="2867"/>
      <c r="Z386" s="2867"/>
      <c r="AA386" s="2867"/>
      <c r="AB386" s="2867"/>
      <c r="AC386" s="2867"/>
      <c r="AD386" s="2867"/>
      <c r="AE386" s="2867"/>
      <c r="AF386" s="2867"/>
      <c r="AG386" s="2867"/>
      <c r="AH386" s="2867"/>
      <c r="AI386" s="2867"/>
      <c r="AJ386" s="2867"/>
      <c r="AK386" s="2867"/>
      <c r="AL386" s="2867"/>
      <c r="AM386" s="2867"/>
      <c r="AN386" s="2867"/>
      <c r="AO386" s="2867"/>
      <c r="AP386" s="2867"/>
      <c r="AQ386" s="2867"/>
      <c r="AR386" s="2867"/>
      <c r="AS386" s="2867"/>
      <c r="AT386" s="2867"/>
      <c r="AU386" s="2867"/>
      <c r="AV386" s="2867"/>
      <c r="AW386" s="2867"/>
      <c r="AX386" s="2867"/>
      <c r="AY386" s="2867"/>
      <c r="AZ386" s="2867"/>
      <c r="BA386" s="2867"/>
      <c r="BB386" s="2867"/>
      <c r="BC386" s="2867"/>
      <c r="BD386" s="2867"/>
      <c r="BE386" s="2867"/>
      <c r="BF386" s="2867"/>
      <c r="BG386" s="2867"/>
      <c r="BH386" s="2867"/>
      <c r="BI386" s="2867"/>
      <c r="BJ386" s="2867"/>
      <c r="BK386" s="2867"/>
      <c r="BL386" s="2867"/>
      <c r="BM386" s="2867"/>
      <c r="BN386" s="2867"/>
      <c r="BO386" s="2867"/>
      <c r="BP386" s="2867"/>
      <c r="BQ386" s="2867"/>
      <c r="BR386" s="2867"/>
      <c r="BS386" s="2867"/>
      <c r="BT386" s="2867"/>
      <c r="BU386" s="2867"/>
      <c r="BV386" s="2867"/>
      <c r="BW386" s="2867"/>
      <c r="BX386" s="2867"/>
      <c r="BY386" s="2867"/>
      <c r="BZ386" s="2867"/>
      <c r="CA386" s="2867"/>
      <c r="CB386" s="2867"/>
      <c r="CC386" s="2867"/>
      <c r="CD386" s="2867"/>
      <c r="CE386" s="2867"/>
      <c r="CF386" s="2867"/>
      <c r="CG386" s="2867"/>
      <c r="CH386" s="2867"/>
      <c r="CI386" s="2867"/>
      <c r="CJ386" s="2867"/>
      <c r="CK386" s="2867"/>
      <c r="CL386" s="2867"/>
      <c r="CM386" s="2867"/>
      <c r="CN386" s="2867"/>
      <c r="CO386" s="2867"/>
      <c r="CP386" s="2867"/>
      <c r="CQ386" s="2867"/>
      <c r="CR386" s="2867"/>
      <c r="CS386" s="2867"/>
      <c r="CT386" s="2867"/>
      <c r="CU386" s="2867"/>
      <c r="CV386" s="2867"/>
      <c r="CW386" s="2867"/>
    </row>
    <row r="387" spans="1:101">
      <c r="A387" s="2867"/>
      <c r="B387" s="2867"/>
      <c r="C387" s="2867"/>
      <c r="D387" s="2867"/>
      <c r="E387" s="2867"/>
      <c r="F387" s="2867"/>
      <c r="G387" s="2867"/>
      <c r="H387" s="2867"/>
      <c r="I387" s="2867"/>
      <c r="J387" s="2867"/>
      <c r="K387" s="2867"/>
      <c r="L387" s="2867"/>
      <c r="M387" s="2867"/>
      <c r="O387" s="2867"/>
      <c r="P387" s="2867"/>
      <c r="Q387" s="2867"/>
      <c r="R387" s="2867"/>
      <c r="S387" s="2867"/>
      <c r="T387" s="2867"/>
      <c r="U387" s="2867"/>
      <c r="V387" s="2867"/>
      <c r="W387" s="2867"/>
      <c r="X387" s="2867"/>
      <c r="Y387" s="2867"/>
      <c r="Z387" s="2867"/>
      <c r="AA387" s="2867"/>
      <c r="AB387" s="2867"/>
      <c r="AC387" s="2867"/>
      <c r="AD387" s="2867"/>
      <c r="AE387" s="2867"/>
      <c r="AF387" s="2867"/>
      <c r="AG387" s="2867"/>
      <c r="AH387" s="2867"/>
      <c r="AI387" s="2867"/>
      <c r="AJ387" s="2867"/>
      <c r="AK387" s="2867"/>
      <c r="AL387" s="2867"/>
      <c r="AM387" s="2867"/>
      <c r="AN387" s="2867"/>
      <c r="AO387" s="2867"/>
      <c r="AP387" s="2867"/>
      <c r="AQ387" s="2867"/>
      <c r="AR387" s="2867"/>
      <c r="AS387" s="2867"/>
      <c r="AT387" s="2867"/>
      <c r="AU387" s="2867"/>
      <c r="AV387" s="2867"/>
      <c r="AW387" s="2867"/>
      <c r="AX387" s="2867"/>
      <c r="AY387" s="2867"/>
      <c r="AZ387" s="2867"/>
      <c r="BA387" s="2867"/>
      <c r="BB387" s="2867"/>
      <c r="BC387" s="2867"/>
      <c r="BD387" s="2867"/>
      <c r="BE387" s="2867"/>
      <c r="BF387" s="2867"/>
      <c r="BG387" s="2867"/>
      <c r="BH387" s="2867"/>
      <c r="BI387" s="2867"/>
      <c r="BJ387" s="2867"/>
      <c r="BK387" s="2867"/>
      <c r="BL387" s="2867"/>
      <c r="BM387" s="2867"/>
      <c r="BN387" s="2867"/>
      <c r="BO387" s="2867"/>
      <c r="BP387" s="2867"/>
      <c r="BQ387" s="2867"/>
      <c r="BR387" s="2867"/>
      <c r="BS387" s="2867"/>
      <c r="BT387" s="2867"/>
      <c r="BU387" s="2867"/>
      <c r="BV387" s="2867"/>
      <c r="BW387" s="2867"/>
      <c r="BX387" s="2867"/>
      <c r="BY387" s="2867"/>
      <c r="BZ387" s="2867"/>
      <c r="CA387" s="2867"/>
      <c r="CB387" s="2867"/>
      <c r="CC387" s="2867"/>
      <c r="CD387" s="2867"/>
      <c r="CE387" s="2867"/>
      <c r="CF387" s="2867"/>
      <c r="CG387" s="2867"/>
      <c r="CH387" s="2867"/>
      <c r="CI387" s="2867"/>
      <c r="CJ387" s="2867"/>
      <c r="CK387" s="2867"/>
      <c r="CL387" s="2867"/>
      <c r="CM387" s="2867"/>
      <c r="CN387" s="2867"/>
      <c r="CO387" s="2867"/>
      <c r="CP387" s="2867"/>
      <c r="CQ387" s="2867"/>
      <c r="CR387" s="2867"/>
      <c r="CS387" s="2867"/>
      <c r="CT387" s="2867"/>
      <c r="CU387" s="2867"/>
      <c r="CV387" s="2867"/>
      <c r="CW387" s="2867"/>
    </row>
    <row r="388" spans="1:101">
      <c r="A388" s="2867"/>
      <c r="B388" s="2867"/>
      <c r="C388" s="2867"/>
      <c r="D388" s="2867"/>
      <c r="E388" s="2867"/>
      <c r="F388" s="2867"/>
      <c r="G388" s="2867"/>
      <c r="H388" s="2867"/>
      <c r="I388" s="2867"/>
      <c r="J388" s="2867"/>
      <c r="K388" s="2867"/>
      <c r="L388" s="2867"/>
      <c r="M388" s="2867"/>
      <c r="O388" s="2867"/>
      <c r="P388" s="2867"/>
      <c r="Q388" s="2867"/>
      <c r="R388" s="2867"/>
      <c r="S388" s="2867"/>
      <c r="T388" s="2867"/>
      <c r="U388" s="2867"/>
      <c r="V388" s="2867"/>
      <c r="W388" s="2867"/>
      <c r="X388" s="2867"/>
      <c r="Y388" s="2867"/>
      <c r="Z388" s="2867"/>
      <c r="AA388" s="2867"/>
      <c r="AB388" s="2867"/>
      <c r="AC388" s="2867"/>
      <c r="AD388" s="2867"/>
      <c r="AE388" s="2867"/>
      <c r="AF388" s="2867"/>
      <c r="AG388" s="2867"/>
      <c r="AH388" s="2867"/>
      <c r="AI388" s="2867"/>
      <c r="AJ388" s="2867"/>
      <c r="AK388" s="2867"/>
      <c r="AL388" s="2867"/>
      <c r="AM388" s="2867"/>
      <c r="AN388" s="2867"/>
      <c r="AO388" s="2867"/>
      <c r="AP388" s="2867"/>
      <c r="AQ388" s="2867"/>
      <c r="AR388" s="2867"/>
      <c r="AS388" s="2867"/>
      <c r="AT388" s="2867"/>
      <c r="AU388" s="2867"/>
      <c r="AV388" s="2867"/>
      <c r="AW388" s="2867"/>
      <c r="AX388" s="2867"/>
      <c r="AY388" s="2867"/>
      <c r="AZ388" s="2867"/>
      <c r="BA388" s="2867"/>
      <c r="BB388" s="2867"/>
      <c r="BC388" s="2867"/>
      <c r="BD388" s="2867"/>
      <c r="BE388" s="2867"/>
      <c r="BF388" s="2867"/>
      <c r="BG388" s="2867"/>
      <c r="BH388" s="2867"/>
      <c r="BI388" s="2867"/>
      <c r="BJ388" s="2867"/>
      <c r="BK388" s="2867"/>
      <c r="BL388" s="2867"/>
      <c r="BM388" s="2867"/>
      <c r="BN388" s="2867"/>
      <c r="BO388" s="2867"/>
      <c r="BP388" s="2867"/>
      <c r="BQ388" s="2867"/>
      <c r="BR388" s="2867"/>
      <c r="BS388" s="2867"/>
      <c r="BT388" s="2867"/>
      <c r="BU388" s="2867"/>
      <c r="BV388" s="2867"/>
      <c r="BW388" s="2867"/>
      <c r="BX388" s="2867"/>
      <c r="BY388" s="2867"/>
      <c r="BZ388" s="2867"/>
      <c r="CA388" s="2867"/>
      <c r="CB388" s="2867"/>
      <c r="CC388" s="2867"/>
      <c r="CD388" s="2867"/>
      <c r="CE388" s="2867"/>
      <c r="CF388" s="2867"/>
      <c r="CG388" s="2867"/>
      <c r="CH388" s="2867"/>
      <c r="CI388" s="2867"/>
      <c r="CJ388" s="2867"/>
      <c r="CK388" s="2867"/>
      <c r="CL388" s="2867"/>
      <c r="CM388" s="2867"/>
      <c r="CN388" s="2867"/>
      <c r="CO388" s="2867"/>
      <c r="CP388" s="2867"/>
      <c r="CQ388" s="2867"/>
      <c r="CR388" s="2867"/>
      <c r="CS388" s="2867"/>
      <c r="CT388" s="2867"/>
      <c r="CU388" s="2867"/>
      <c r="CV388" s="2867"/>
      <c r="CW388" s="2867"/>
    </row>
    <row r="389" spans="1:101">
      <c r="A389" s="2867"/>
      <c r="B389" s="2867"/>
      <c r="C389" s="2867"/>
      <c r="D389" s="2867"/>
      <c r="E389" s="2867"/>
      <c r="F389" s="2867"/>
      <c r="G389" s="2867"/>
      <c r="H389" s="2867"/>
      <c r="I389" s="2867"/>
      <c r="J389" s="2867"/>
      <c r="K389" s="2867"/>
      <c r="L389" s="2867"/>
      <c r="M389" s="2867"/>
      <c r="O389" s="2867"/>
      <c r="P389" s="2867"/>
      <c r="Q389" s="2867"/>
      <c r="R389" s="2867"/>
      <c r="S389" s="2867"/>
      <c r="T389" s="2867"/>
      <c r="U389" s="2867"/>
      <c r="V389" s="2867"/>
      <c r="W389" s="2867"/>
      <c r="X389" s="2867"/>
      <c r="Y389" s="2867"/>
      <c r="Z389" s="2867"/>
      <c r="AA389" s="2867"/>
      <c r="AB389" s="2867"/>
      <c r="AC389" s="2867"/>
      <c r="AD389" s="2867"/>
      <c r="AE389" s="2867"/>
      <c r="AF389" s="2867"/>
      <c r="AG389" s="2867"/>
      <c r="AH389" s="2867"/>
      <c r="AI389" s="2867"/>
      <c r="AJ389" s="2867"/>
      <c r="AK389" s="2867"/>
      <c r="AL389" s="2867"/>
      <c r="AM389" s="2867"/>
      <c r="AN389" s="2867"/>
      <c r="AO389" s="2867"/>
      <c r="AP389" s="2867"/>
      <c r="AQ389" s="2867"/>
      <c r="AR389" s="2867"/>
      <c r="AS389" s="2867"/>
      <c r="AT389" s="2867"/>
      <c r="AU389" s="2867"/>
      <c r="AV389" s="2867"/>
      <c r="AW389" s="2867"/>
      <c r="AX389" s="2867"/>
      <c r="AY389" s="2867"/>
      <c r="AZ389" s="2867"/>
      <c r="BA389" s="2867"/>
      <c r="BB389" s="2867"/>
      <c r="BC389" s="2867"/>
      <c r="BD389" s="2867"/>
      <c r="BE389" s="2867"/>
      <c r="BF389" s="2867"/>
      <c r="BG389" s="2867"/>
      <c r="BH389" s="2867"/>
      <c r="BI389" s="2867"/>
      <c r="BJ389" s="2867"/>
      <c r="BK389" s="2867"/>
      <c r="BL389" s="2867"/>
      <c r="BM389" s="2867"/>
      <c r="BN389" s="2867"/>
      <c r="BO389" s="2867"/>
      <c r="BP389" s="2867"/>
      <c r="BQ389" s="2867"/>
      <c r="BR389" s="2867"/>
      <c r="BS389" s="2867"/>
      <c r="BT389" s="2867"/>
      <c r="BU389" s="2867"/>
      <c r="BV389" s="2867"/>
      <c r="BW389" s="2867"/>
      <c r="BX389" s="2867"/>
      <c r="BY389" s="2867"/>
      <c r="BZ389" s="2867"/>
      <c r="CA389" s="2867"/>
      <c r="CB389" s="2867"/>
      <c r="CC389" s="2867"/>
      <c r="CD389" s="2867"/>
      <c r="CE389" s="2867"/>
      <c r="CF389" s="2867"/>
      <c r="CG389" s="2867"/>
      <c r="CH389" s="2867"/>
      <c r="CI389" s="2867"/>
      <c r="CJ389" s="2867"/>
      <c r="CK389" s="2867"/>
      <c r="CL389" s="2867"/>
      <c r="CM389" s="2867"/>
      <c r="CN389" s="2867"/>
      <c r="CO389" s="2867"/>
      <c r="CP389" s="2867"/>
      <c r="CQ389" s="2867"/>
      <c r="CR389" s="2867"/>
      <c r="CS389" s="2867"/>
      <c r="CT389" s="2867"/>
      <c r="CU389" s="2867"/>
      <c r="CV389" s="2867"/>
      <c r="CW389" s="2867"/>
    </row>
    <row r="390" spans="1:101">
      <c r="A390" s="2867"/>
      <c r="B390" s="2867"/>
      <c r="C390" s="2867"/>
      <c r="D390" s="2867"/>
      <c r="E390" s="2867"/>
      <c r="F390" s="2867"/>
      <c r="G390" s="2867"/>
      <c r="H390" s="2867"/>
      <c r="I390" s="2867"/>
      <c r="J390" s="2867"/>
      <c r="K390" s="2867"/>
      <c r="L390" s="2867"/>
      <c r="M390" s="2867"/>
      <c r="O390" s="2867"/>
      <c r="P390" s="2867"/>
      <c r="Q390" s="2867"/>
      <c r="R390" s="2867"/>
      <c r="S390" s="2867"/>
      <c r="T390" s="2867"/>
      <c r="U390" s="2867"/>
      <c r="V390" s="2867"/>
      <c r="W390" s="2867"/>
      <c r="X390" s="2867"/>
      <c r="Y390" s="2867"/>
      <c r="Z390" s="2867"/>
      <c r="AA390" s="2867"/>
      <c r="AB390" s="2867"/>
      <c r="AC390" s="2867"/>
      <c r="AD390" s="2867"/>
      <c r="AE390" s="2867"/>
      <c r="AF390" s="2867"/>
      <c r="AG390" s="2867"/>
      <c r="AH390" s="2867"/>
      <c r="AI390" s="2867"/>
      <c r="AJ390" s="2867"/>
      <c r="AK390" s="2867"/>
      <c r="AL390" s="2867"/>
      <c r="AM390" s="2867"/>
      <c r="AN390" s="2867"/>
      <c r="AO390" s="2867"/>
      <c r="AP390" s="2867"/>
      <c r="AQ390" s="2867"/>
      <c r="AR390" s="2867"/>
      <c r="AS390" s="2867"/>
      <c r="AT390" s="2867"/>
      <c r="AU390" s="2867"/>
      <c r="AV390" s="2867"/>
      <c r="AW390" s="2867"/>
      <c r="AX390" s="2867"/>
      <c r="AY390" s="2867"/>
      <c r="AZ390" s="2867"/>
      <c r="BA390" s="2867"/>
      <c r="BB390" s="2867"/>
      <c r="BC390" s="2867"/>
      <c r="BD390" s="2867"/>
      <c r="BE390" s="2867"/>
      <c r="BF390" s="2867"/>
      <c r="BG390" s="2867"/>
      <c r="BH390" s="2867"/>
      <c r="BI390" s="2867"/>
      <c r="BJ390" s="2867"/>
      <c r="BK390" s="2867"/>
      <c r="BL390" s="2867"/>
      <c r="BM390" s="2867"/>
      <c r="BN390" s="2867"/>
      <c r="BO390" s="2867"/>
      <c r="BP390" s="2867"/>
      <c r="BQ390" s="2867"/>
      <c r="BR390" s="2867"/>
      <c r="BS390" s="2867"/>
      <c r="BT390" s="2867"/>
      <c r="BU390" s="2867"/>
      <c r="BV390" s="2867"/>
      <c r="BW390" s="2867"/>
      <c r="BX390" s="2867"/>
      <c r="BY390" s="2867"/>
      <c r="BZ390" s="2867"/>
      <c r="CA390" s="2867"/>
      <c r="CB390" s="2867"/>
      <c r="CC390" s="2867"/>
      <c r="CD390" s="2867"/>
      <c r="CE390" s="2867"/>
      <c r="CF390" s="2867"/>
      <c r="CG390" s="2867"/>
      <c r="CH390" s="2867"/>
      <c r="CI390" s="2867"/>
      <c r="CJ390" s="2867"/>
      <c r="CK390" s="2867"/>
      <c r="CL390" s="2867"/>
      <c r="CM390" s="2867"/>
      <c r="CN390" s="2867"/>
      <c r="CO390" s="2867"/>
      <c r="CP390" s="2867"/>
      <c r="CQ390" s="2867"/>
      <c r="CR390" s="2867"/>
      <c r="CS390" s="2867"/>
      <c r="CT390" s="2867"/>
      <c r="CU390" s="2867"/>
      <c r="CV390" s="2867"/>
      <c r="CW390" s="2867"/>
    </row>
    <row r="391" spans="1:101">
      <c r="A391" s="2867"/>
      <c r="B391" s="2867"/>
      <c r="C391" s="2867"/>
      <c r="D391" s="2867"/>
      <c r="E391" s="2867"/>
      <c r="F391" s="2867"/>
      <c r="G391" s="2867"/>
      <c r="H391" s="2867"/>
      <c r="I391" s="2867"/>
      <c r="J391" s="2867"/>
      <c r="K391" s="2867"/>
      <c r="L391" s="2867"/>
      <c r="M391" s="2867"/>
      <c r="O391" s="2867"/>
      <c r="P391" s="2867"/>
      <c r="Q391" s="2867"/>
      <c r="R391" s="2867"/>
      <c r="S391" s="2867"/>
      <c r="T391" s="2867"/>
      <c r="U391" s="2867"/>
      <c r="V391" s="2867"/>
      <c r="W391" s="2867"/>
      <c r="X391" s="2867"/>
      <c r="Y391" s="2867"/>
      <c r="Z391" s="2867"/>
      <c r="AA391" s="2867"/>
      <c r="AB391" s="2867"/>
      <c r="AC391" s="2867"/>
      <c r="AD391" s="2867"/>
      <c r="AE391" s="2867"/>
      <c r="AF391" s="2867"/>
      <c r="AG391" s="2867"/>
      <c r="AH391" s="2867"/>
      <c r="AI391" s="2867"/>
      <c r="AJ391" s="2867"/>
      <c r="AK391" s="2867"/>
      <c r="AL391" s="2867"/>
      <c r="AM391" s="2867"/>
      <c r="AN391" s="2867"/>
      <c r="AO391" s="2867"/>
      <c r="AP391" s="2867"/>
      <c r="AQ391" s="2867"/>
      <c r="AR391" s="2867"/>
      <c r="AS391" s="2867"/>
      <c r="AT391" s="2867"/>
      <c r="AU391" s="2867"/>
      <c r="AV391" s="2867"/>
      <c r="AW391" s="2867"/>
      <c r="AX391" s="2867"/>
      <c r="AY391" s="2867"/>
      <c r="AZ391" s="2867"/>
      <c r="BA391" s="2867"/>
      <c r="BB391" s="2867"/>
      <c r="BC391" s="2867"/>
      <c r="BD391" s="2867"/>
      <c r="BE391" s="2867"/>
      <c r="BF391" s="2867"/>
      <c r="BG391" s="2867"/>
      <c r="BH391" s="2867"/>
      <c r="BI391" s="2867"/>
      <c r="BJ391" s="2867"/>
      <c r="BK391" s="2867"/>
      <c r="BL391" s="2867"/>
      <c r="BM391" s="2867"/>
      <c r="BN391" s="2867"/>
      <c r="BO391" s="2867"/>
      <c r="BP391" s="2867"/>
      <c r="BQ391" s="2867"/>
      <c r="BR391" s="2867"/>
      <c r="BS391" s="2867"/>
      <c r="BT391" s="2867"/>
      <c r="BU391" s="2867"/>
      <c r="BV391" s="2867"/>
      <c r="BW391" s="2867"/>
      <c r="BX391" s="2867"/>
      <c r="BY391" s="2867"/>
      <c r="BZ391" s="2867"/>
      <c r="CA391" s="2867"/>
      <c r="CB391" s="2867"/>
      <c r="CC391" s="2867"/>
      <c r="CD391" s="2867"/>
      <c r="CE391" s="2867"/>
      <c r="CF391" s="2867"/>
      <c r="CG391" s="2867"/>
      <c r="CH391" s="2867"/>
      <c r="CI391" s="2867"/>
      <c r="CJ391" s="2867"/>
      <c r="CK391" s="2867"/>
      <c r="CL391" s="2867"/>
      <c r="CM391" s="2867"/>
      <c r="CN391" s="2867"/>
      <c r="CO391" s="2867"/>
      <c r="CP391" s="2867"/>
      <c r="CQ391" s="2867"/>
      <c r="CR391" s="2867"/>
      <c r="CS391" s="2867"/>
      <c r="CT391" s="2867"/>
      <c r="CU391" s="2867"/>
      <c r="CV391" s="2867"/>
      <c r="CW391" s="2867"/>
    </row>
    <row r="392" spans="1:101">
      <c r="A392" s="2867"/>
      <c r="B392" s="2867"/>
      <c r="C392" s="2867"/>
      <c r="D392" s="2867"/>
      <c r="E392" s="2867"/>
      <c r="F392" s="2867"/>
      <c r="G392" s="2867"/>
      <c r="H392" s="2867"/>
      <c r="I392" s="2867"/>
      <c r="J392" s="2867"/>
      <c r="K392" s="2867"/>
      <c r="L392" s="2867"/>
      <c r="M392" s="2867"/>
      <c r="O392" s="2867"/>
      <c r="P392" s="2867"/>
      <c r="Q392" s="2867"/>
      <c r="R392" s="2867"/>
      <c r="S392" s="2867"/>
      <c r="T392" s="2867"/>
      <c r="U392" s="2867"/>
      <c r="V392" s="2867"/>
      <c r="W392" s="2867"/>
      <c r="X392" s="2867"/>
      <c r="Y392" s="2867"/>
      <c r="Z392" s="2867"/>
      <c r="AA392" s="2867"/>
      <c r="AB392" s="2867"/>
      <c r="AC392" s="2867"/>
      <c r="AD392" s="2867"/>
      <c r="AE392" s="2867"/>
      <c r="AF392" s="2867"/>
      <c r="AG392" s="2867"/>
      <c r="AH392" s="2867"/>
      <c r="AI392" s="2867"/>
      <c r="AJ392" s="2867"/>
      <c r="AK392" s="2867"/>
      <c r="AL392" s="2867"/>
      <c r="AM392" s="2867"/>
      <c r="AN392" s="2867"/>
      <c r="AO392" s="2867"/>
      <c r="AP392" s="2867"/>
      <c r="AQ392" s="2867"/>
      <c r="AR392" s="2867"/>
      <c r="AS392" s="2867"/>
      <c r="AT392" s="2867"/>
      <c r="AU392" s="2867"/>
      <c r="AV392" s="2867"/>
      <c r="AW392" s="2867"/>
      <c r="AX392" s="2867"/>
      <c r="AY392" s="2867"/>
      <c r="AZ392" s="2867"/>
      <c r="BA392" s="2867"/>
      <c r="BB392" s="2867"/>
      <c r="BC392" s="2867"/>
      <c r="BD392" s="2867"/>
      <c r="BE392" s="2867"/>
      <c r="BF392" s="2867"/>
      <c r="BG392" s="2867"/>
      <c r="BH392" s="2867"/>
      <c r="BI392" s="2867"/>
      <c r="BJ392" s="2867"/>
      <c r="BK392" s="2867"/>
      <c r="BL392" s="2867"/>
      <c r="BM392" s="2867"/>
      <c r="BN392" s="2867"/>
      <c r="BO392" s="2867"/>
      <c r="BP392" s="2867"/>
      <c r="BQ392" s="2867"/>
      <c r="BR392" s="2867"/>
      <c r="BS392" s="2867"/>
      <c r="BT392" s="2867"/>
      <c r="BU392" s="2867"/>
      <c r="BV392" s="2867"/>
      <c r="BW392" s="2867"/>
      <c r="BX392" s="2867"/>
      <c r="BY392" s="2867"/>
      <c r="BZ392" s="2867"/>
      <c r="CA392" s="2867"/>
      <c r="CB392" s="2867"/>
      <c r="CC392" s="2867"/>
      <c r="CD392" s="2867"/>
      <c r="CE392" s="2867"/>
      <c r="CF392" s="2867"/>
      <c r="CG392" s="2867"/>
      <c r="CH392" s="2867"/>
      <c r="CI392" s="2867"/>
      <c r="CJ392" s="2867"/>
      <c r="CK392" s="2867"/>
      <c r="CL392" s="2867"/>
      <c r="CM392" s="2867"/>
      <c r="CN392" s="2867"/>
      <c r="CO392" s="2867"/>
      <c r="CP392" s="2867"/>
      <c r="CQ392" s="2867"/>
      <c r="CR392" s="2867"/>
      <c r="CS392" s="2867"/>
      <c r="CT392" s="2867"/>
      <c r="CU392" s="2867"/>
      <c r="CV392" s="2867"/>
      <c r="CW392" s="2867"/>
    </row>
    <row r="393" spans="1:101">
      <c r="A393" s="2867"/>
      <c r="B393" s="2867"/>
      <c r="C393" s="2867"/>
      <c r="D393" s="2867"/>
      <c r="E393" s="2867"/>
      <c r="F393" s="2867"/>
      <c r="G393" s="2867"/>
      <c r="H393" s="2867"/>
      <c r="I393" s="2867"/>
      <c r="J393" s="2867"/>
      <c r="K393" s="2867"/>
      <c r="L393" s="2867"/>
      <c r="M393" s="2867"/>
      <c r="O393" s="2867"/>
      <c r="P393" s="2867"/>
      <c r="Q393" s="2867"/>
      <c r="R393" s="2867"/>
      <c r="S393" s="2867"/>
      <c r="T393" s="2867"/>
      <c r="U393" s="2867"/>
      <c r="V393" s="2867"/>
      <c r="W393" s="2867"/>
      <c r="X393" s="2867"/>
      <c r="Y393" s="2867"/>
      <c r="Z393" s="2867"/>
      <c r="AA393" s="2867"/>
      <c r="AB393" s="2867"/>
      <c r="AC393" s="2867"/>
      <c r="AD393" s="2867"/>
      <c r="AE393" s="2867"/>
      <c r="AF393" s="2867"/>
      <c r="AG393" s="2867"/>
      <c r="AH393" s="2867"/>
      <c r="AI393" s="2867"/>
      <c r="AJ393" s="2867"/>
      <c r="AK393" s="2867"/>
      <c r="AL393" s="2867"/>
      <c r="AM393" s="2867"/>
      <c r="AN393" s="2867"/>
      <c r="AO393" s="2867"/>
      <c r="AP393" s="2867"/>
      <c r="AQ393" s="2867"/>
      <c r="AR393" s="2867"/>
      <c r="AS393" s="2867"/>
      <c r="AT393" s="2867"/>
      <c r="AU393" s="2867"/>
      <c r="AV393" s="2867"/>
      <c r="AW393" s="2867"/>
      <c r="AX393" s="2867"/>
      <c r="AY393" s="2867"/>
      <c r="AZ393" s="2867"/>
      <c r="BA393" s="2867"/>
      <c r="BB393" s="2867"/>
      <c r="BC393" s="2867"/>
      <c r="BD393" s="2867"/>
      <c r="BE393" s="2867"/>
      <c r="BF393" s="2867"/>
      <c r="BG393" s="2867"/>
      <c r="BH393" s="2867"/>
      <c r="BI393" s="2867"/>
      <c r="BJ393" s="2867"/>
      <c r="BK393" s="2867"/>
      <c r="BL393" s="2867"/>
      <c r="BM393" s="2867"/>
      <c r="BN393" s="2867"/>
      <c r="BO393" s="2867"/>
      <c r="BP393" s="2867"/>
      <c r="BQ393" s="2867"/>
      <c r="BR393" s="2867"/>
      <c r="BS393" s="2867"/>
      <c r="BT393" s="2867"/>
      <c r="BU393" s="2867"/>
      <c r="BV393" s="2867"/>
      <c r="BW393" s="2867"/>
      <c r="BX393" s="2867"/>
      <c r="BY393" s="2867"/>
      <c r="BZ393" s="2867"/>
      <c r="CA393" s="2867"/>
      <c r="CB393" s="2867"/>
      <c r="CC393" s="2867"/>
      <c r="CD393" s="2867"/>
      <c r="CE393" s="2867"/>
      <c r="CF393" s="2867"/>
      <c r="CG393" s="2867"/>
      <c r="CH393" s="2867"/>
      <c r="CI393" s="2867"/>
      <c r="CJ393" s="2867"/>
      <c r="CK393" s="2867"/>
      <c r="CL393" s="2867"/>
      <c r="CM393" s="2867"/>
      <c r="CN393" s="2867"/>
      <c r="CO393" s="2867"/>
      <c r="CP393" s="2867"/>
      <c r="CQ393" s="2867"/>
      <c r="CR393" s="2867"/>
      <c r="CS393" s="2867"/>
      <c r="CT393" s="2867"/>
      <c r="CU393" s="2867"/>
      <c r="CV393" s="2867"/>
      <c r="CW393" s="2867"/>
    </row>
    <row r="394" spans="1:101">
      <c r="A394" s="2867"/>
      <c r="B394" s="2867"/>
      <c r="C394" s="2867"/>
      <c r="D394" s="2867"/>
      <c r="E394" s="2867"/>
      <c r="F394" s="2867"/>
      <c r="G394" s="2867"/>
      <c r="H394" s="2867"/>
      <c r="I394" s="2867"/>
      <c r="J394" s="2867"/>
      <c r="K394" s="2867"/>
      <c r="L394" s="2867"/>
      <c r="M394" s="2867"/>
      <c r="O394" s="2867"/>
      <c r="P394" s="2867"/>
      <c r="Q394" s="2867"/>
      <c r="R394" s="2867"/>
      <c r="S394" s="2867"/>
      <c r="T394" s="2867"/>
      <c r="U394" s="2867"/>
      <c r="V394" s="2867"/>
      <c r="W394" s="2867"/>
      <c r="X394" s="2867"/>
      <c r="Y394" s="2867"/>
      <c r="Z394" s="2867"/>
      <c r="AA394" s="2867"/>
      <c r="AB394" s="2867"/>
      <c r="AC394" s="2867"/>
      <c r="AD394" s="2867"/>
      <c r="AE394" s="2867"/>
      <c r="AF394" s="2867"/>
      <c r="AG394" s="2867"/>
      <c r="AH394" s="2867"/>
      <c r="AI394" s="2867"/>
      <c r="AJ394" s="2867"/>
      <c r="AK394" s="2867"/>
      <c r="AL394" s="2867"/>
      <c r="AM394" s="2867"/>
      <c r="AN394" s="2867"/>
      <c r="AO394" s="2867"/>
      <c r="AP394" s="2867"/>
      <c r="AQ394" s="2867"/>
      <c r="AR394" s="2867"/>
      <c r="AS394" s="2867"/>
      <c r="AT394" s="2867"/>
      <c r="AU394" s="2867"/>
      <c r="AV394" s="2867"/>
      <c r="AW394" s="2867"/>
      <c r="AX394" s="2867"/>
      <c r="AY394" s="2867"/>
      <c r="AZ394" s="2867"/>
      <c r="BA394" s="2867"/>
      <c r="BB394" s="2867"/>
      <c r="BC394" s="2867"/>
      <c r="BD394" s="2867"/>
      <c r="BE394" s="2867"/>
      <c r="BF394" s="2867"/>
      <c r="BG394" s="2867"/>
      <c r="BH394" s="2867"/>
      <c r="BI394" s="2867"/>
      <c r="BJ394" s="2867"/>
      <c r="BK394" s="2867"/>
      <c r="BL394" s="2867"/>
      <c r="BM394" s="2867"/>
      <c r="BN394" s="2867"/>
      <c r="BO394" s="2867"/>
      <c r="BP394" s="2867"/>
      <c r="BQ394" s="2867"/>
      <c r="BR394" s="2867"/>
      <c r="BS394" s="2867"/>
      <c r="BT394" s="2867"/>
      <c r="BU394" s="2867"/>
      <c r="BV394" s="2867"/>
      <c r="BW394" s="2867"/>
      <c r="BX394" s="2867"/>
      <c r="BY394" s="2867"/>
      <c r="BZ394" s="2867"/>
      <c r="CA394" s="2867"/>
      <c r="CB394" s="2867"/>
      <c r="CC394" s="2867"/>
      <c r="CD394" s="2867"/>
      <c r="CE394" s="2867"/>
      <c r="CF394" s="2867"/>
      <c r="CG394" s="2867"/>
      <c r="CH394" s="2867"/>
      <c r="CI394" s="2867"/>
      <c r="CJ394" s="2867"/>
      <c r="CK394" s="2867"/>
      <c r="CL394" s="2867"/>
      <c r="CM394" s="2867"/>
      <c r="CN394" s="2867"/>
      <c r="CO394" s="2867"/>
      <c r="CP394" s="2867"/>
      <c r="CQ394" s="2867"/>
      <c r="CR394" s="2867"/>
      <c r="CS394" s="2867"/>
      <c r="CT394" s="2867"/>
      <c r="CU394" s="2867"/>
      <c r="CV394" s="2867"/>
      <c r="CW394" s="2867"/>
    </row>
    <row r="395" spans="1:101">
      <c r="A395" s="2867"/>
      <c r="B395" s="2867"/>
      <c r="C395" s="2867"/>
      <c r="D395" s="2867"/>
      <c r="E395" s="2867"/>
      <c r="F395" s="2867"/>
      <c r="G395" s="2867"/>
      <c r="H395" s="2867"/>
      <c r="I395" s="2867"/>
      <c r="J395" s="2867"/>
      <c r="K395" s="2867"/>
      <c r="L395" s="2867"/>
      <c r="M395" s="2867"/>
      <c r="O395" s="2867"/>
      <c r="P395" s="2867"/>
      <c r="Q395" s="2867"/>
      <c r="R395" s="2867"/>
      <c r="S395" s="2867"/>
      <c r="T395" s="2867"/>
      <c r="U395" s="2867"/>
      <c r="V395" s="2867"/>
      <c r="W395" s="2867"/>
      <c r="X395" s="2867"/>
      <c r="Y395" s="2867"/>
      <c r="Z395" s="2867"/>
      <c r="AA395" s="2867"/>
      <c r="AB395" s="2867"/>
      <c r="AC395" s="2867"/>
      <c r="AD395" s="2867"/>
      <c r="AE395" s="2867"/>
      <c r="AF395" s="2867"/>
      <c r="AG395" s="2867"/>
      <c r="AH395" s="2867"/>
      <c r="AI395" s="2867"/>
      <c r="AJ395" s="2867"/>
      <c r="AK395" s="2867"/>
      <c r="AL395" s="2867"/>
      <c r="AM395" s="2867"/>
      <c r="AN395" s="2867"/>
      <c r="AO395" s="2867"/>
      <c r="AP395" s="2867"/>
      <c r="AQ395" s="2867"/>
      <c r="AR395" s="2867"/>
      <c r="AS395" s="2867"/>
      <c r="AT395" s="2867"/>
      <c r="AU395" s="2867"/>
      <c r="AV395" s="2867"/>
      <c r="AW395" s="2867"/>
      <c r="AX395" s="2867"/>
      <c r="AY395" s="2867"/>
      <c r="AZ395" s="2867"/>
      <c r="BA395" s="2867"/>
      <c r="BB395" s="2867"/>
      <c r="BC395" s="2867"/>
      <c r="BD395" s="2867"/>
      <c r="BE395" s="2867"/>
      <c r="BF395" s="2867"/>
      <c r="BG395" s="2867"/>
      <c r="BH395" s="2867"/>
      <c r="BI395" s="2867"/>
      <c r="BJ395" s="2867"/>
      <c r="BK395" s="2867"/>
      <c r="BL395" s="2867"/>
      <c r="BM395" s="2867"/>
      <c r="BN395" s="2867"/>
      <c r="BO395" s="2867"/>
      <c r="BP395" s="2867"/>
      <c r="BQ395" s="2867"/>
      <c r="BR395" s="2867"/>
      <c r="BS395" s="2867"/>
      <c r="BT395" s="2867"/>
      <c r="BU395" s="2867"/>
      <c r="BV395" s="2867"/>
      <c r="BW395" s="2867"/>
      <c r="BX395" s="2867"/>
      <c r="BY395" s="2867"/>
      <c r="BZ395" s="2867"/>
      <c r="CA395" s="2867"/>
      <c r="CB395" s="2867"/>
      <c r="CC395" s="2867"/>
      <c r="CD395" s="2867"/>
      <c r="CE395" s="2867"/>
      <c r="CF395" s="2867"/>
      <c r="CG395" s="2867"/>
      <c r="CH395" s="2867"/>
      <c r="CI395" s="2867"/>
      <c r="CJ395" s="2867"/>
      <c r="CK395" s="2867"/>
      <c r="CL395" s="2867"/>
      <c r="CM395" s="2867"/>
      <c r="CN395" s="2867"/>
      <c r="CO395" s="2867"/>
      <c r="CP395" s="2867"/>
      <c r="CQ395" s="2867"/>
      <c r="CR395" s="2867"/>
      <c r="CS395" s="2867"/>
      <c r="CT395" s="2867"/>
      <c r="CU395" s="2867"/>
      <c r="CV395" s="2867"/>
      <c r="CW395" s="2867"/>
    </row>
    <row r="396" spans="1:101">
      <c r="A396" s="2867"/>
      <c r="B396" s="2867"/>
      <c r="C396" s="2867"/>
      <c r="D396" s="2867"/>
      <c r="E396" s="2867"/>
      <c r="F396" s="2867"/>
      <c r="G396" s="2867"/>
      <c r="H396" s="2867"/>
      <c r="I396" s="2867"/>
      <c r="J396" s="2867"/>
      <c r="K396" s="2867"/>
      <c r="L396" s="2867"/>
      <c r="M396" s="2867"/>
      <c r="O396" s="2867"/>
      <c r="P396" s="2867"/>
      <c r="Q396" s="2867"/>
      <c r="R396" s="2867"/>
      <c r="S396" s="2867"/>
      <c r="T396" s="2867"/>
      <c r="U396" s="2867"/>
      <c r="V396" s="2867"/>
      <c r="W396" s="2867"/>
      <c r="X396" s="2867"/>
      <c r="Y396" s="2867"/>
      <c r="Z396" s="2867"/>
      <c r="AA396" s="2867"/>
      <c r="AB396" s="2867"/>
      <c r="AC396" s="2867"/>
      <c r="AD396" s="2867"/>
      <c r="AE396" s="2867"/>
      <c r="AF396" s="2867"/>
      <c r="AG396" s="2867"/>
      <c r="AH396" s="2867"/>
      <c r="AI396" s="2867"/>
      <c r="AJ396" s="2867"/>
      <c r="AK396" s="2867"/>
      <c r="AL396" s="2867"/>
      <c r="AM396" s="2867"/>
      <c r="AN396" s="2867"/>
      <c r="AO396" s="2867"/>
      <c r="AP396" s="2867"/>
      <c r="AQ396" s="2867"/>
      <c r="AR396" s="2867"/>
      <c r="AS396" s="2867"/>
      <c r="AT396" s="2867"/>
      <c r="AU396" s="2867"/>
      <c r="AV396" s="2867"/>
      <c r="AW396" s="2867"/>
      <c r="AX396" s="2867"/>
      <c r="AY396" s="2867"/>
      <c r="AZ396" s="2867"/>
      <c r="BA396" s="2867"/>
      <c r="BB396" s="2867"/>
      <c r="BC396" s="2867"/>
      <c r="BD396" s="2867"/>
      <c r="BE396" s="2867"/>
      <c r="BF396" s="2867"/>
      <c r="BG396" s="2867"/>
      <c r="BH396" s="2867"/>
      <c r="BI396" s="2867"/>
      <c r="BJ396" s="2867"/>
      <c r="BK396" s="2867"/>
      <c r="BL396" s="2867"/>
      <c r="BM396" s="2867"/>
      <c r="BN396" s="2867"/>
      <c r="BO396" s="2867"/>
      <c r="BP396" s="2867"/>
      <c r="BQ396" s="2867"/>
      <c r="BR396" s="2867"/>
      <c r="BS396" s="2867"/>
      <c r="BT396" s="2867"/>
      <c r="BU396" s="2867"/>
      <c r="BV396" s="2867"/>
      <c r="BW396" s="2867"/>
      <c r="BX396" s="2867"/>
      <c r="BY396" s="2867"/>
      <c r="BZ396" s="2867"/>
      <c r="CA396" s="2867"/>
      <c r="CB396" s="2867"/>
      <c r="CC396" s="2867"/>
      <c r="CD396" s="2867"/>
      <c r="CE396" s="2867"/>
      <c r="CF396" s="2867"/>
      <c r="CG396" s="2867"/>
      <c r="CH396" s="2867"/>
      <c r="CI396" s="2867"/>
      <c r="CJ396" s="2867"/>
      <c r="CK396" s="2867"/>
      <c r="CL396" s="2867"/>
      <c r="CM396" s="2867"/>
      <c r="CN396" s="2867"/>
      <c r="CO396" s="2867"/>
      <c r="CP396" s="2867"/>
      <c r="CQ396" s="2867"/>
      <c r="CR396" s="2867"/>
      <c r="CS396" s="2867"/>
      <c r="CT396" s="2867"/>
      <c r="CU396" s="2867"/>
      <c r="CV396" s="2867"/>
      <c r="CW396" s="2867"/>
    </row>
    <row r="397" spans="1:101">
      <c r="A397" s="2867"/>
      <c r="B397" s="2867"/>
      <c r="C397" s="2867"/>
      <c r="D397" s="2867"/>
      <c r="E397" s="2867"/>
      <c r="F397" s="2867"/>
      <c r="G397" s="2867"/>
      <c r="H397" s="2867"/>
      <c r="I397" s="2867"/>
      <c r="J397" s="2867"/>
      <c r="K397" s="2867"/>
      <c r="L397" s="2867"/>
      <c r="M397" s="2867"/>
      <c r="O397" s="2867"/>
      <c r="P397" s="2867"/>
      <c r="Q397" s="2867"/>
      <c r="R397" s="2867"/>
      <c r="S397" s="2867"/>
      <c r="T397" s="2867"/>
      <c r="U397" s="2867"/>
      <c r="V397" s="2867"/>
      <c r="W397" s="2867"/>
      <c r="X397" s="2867"/>
      <c r="Y397" s="2867"/>
      <c r="Z397" s="2867"/>
      <c r="AA397" s="2867"/>
      <c r="AB397" s="2867"/>
      <c r="AC397" s="2867"/>
      <c r="AD397" s="2867"/>
      <c r="AE397" s="2867"/>
      <c r="AF397" s="2867"/>
      <c r="AG397" s="2867"/>
      <c r="AH397" s="2867"/>
      <c r="AI397" s="2867"/>
      <c r="AJ397" s="2867"/>
      <c r="AK397" s="2867"/>
      <c r="AL397" s="2867"/>
      <c r="AM397" s="2867"/>
      <c r="AN397" s="2867"/>
      <c r="AO397" s="2867"/>
      <c r="AP397" s="2867"/>
      <c r="AQ397" s="2867"/>
      <c r="AR397" s="2867"/>
      <c r="AS397" s="2867"/>
      <c r="AT397" s="2867"/>
      <c r="AU397" s="2867"/>
      <c r="AV397" s="2867"/>
      <c r="AW397" s="2867"/>
      <c r="AX397" s="2867"/>
      <c r="AY397" s="2867"/>
      <c r="AZ397" s="2867"/>
      <c r="BA397" s="2867"/>
      <c r="BB397" s="2867"/>
      <c r="BC397" s="2867"/>
      <c r="BD397" s="2867"/>
      <c r="BE397" s="2867"/>
      <c r="BF397" s="2867"/>
      <c r="BG397" s="2867"/>
      <c r="BH397" s="2867"/>
      <c r="BI397" s="2867"/>
      <c r="BJ397" s="2867"/>
      <c r="BK397" s="2867"/>
      <c r="BL397" s="2867"/>
      <c r="BM397" s="2867"/>
      <c r="BN397" s="2867"/>
      <c r="BO397" s="2867"/>
      <c r="BP397" s="2867"/>
      <c r="BQ397" s="2867"/>
      <c r="BR397" s="2867"/>
      <c r="BS397" s="2867"/>
      <c r="BT397" s="2867"/>
      <c r="BU397" s="2867"/>
      <c r="BV397" s="2867"/>
      <c r="BW397" s="2867"/>
      <c r="BX397" s="2867"/>
      <c r="BY397" s="2867"/>
      <c r="BZ397" s="2867"/>
      <c r="CA397" s="2867"/>
      <c r="CB397" s="2867"/>
      <c r="CC397" s="2867"/>
      <c r="CD397" s="2867"/>
      <c r="CE397" s="2867"/>
      <c r="CF397" s="2867"/>
      <c r="CG397" s="2867"/>
      <c r="CH397" s="2867"/>
      <c r="CI397" s="2867"/>
      <c r="CJ397" s="2867"/>
      <c r="CK397" s="2867"/>
      <c r="CL397" s="2867"/>
      <c r="CM397" s="2867"/>
      <c r="CN397" s="2867"/>
      <c r="CO397" s="2867"/>
      <c r="CP397" s="2867"/>
      <c r="CQ397" s="2867"/>
      <c r="CR397" s="2867"/>
      <c r="CS397" s="2867"/>
      <c r="CT397" s="2867"/>
      <c r="CU397" s="2867"/>
      <c r="CV397" s="2867"/>
      <c r="CW397" s="2867"/>
    </row>
    <row r="398" spans="1:101">
      <c r="A398" s="2867"/>
      <c r="B398" s="2867"/>
      <c r="C398" s="2867"/>
      <c r="D398" s="2867"/>
      <c r="E398" s="2867"/>
      <c r="F398" s="2867"/>
      <c r="G398" s="2867"/>
      <c r="H398" s="2867"/>
      <c r="I398" s="2867"/>
      <c r="J398" s="2867"/>
      <c r="K398" s="2867"/>
      <c r="L398" s="2867"/>
      <c r="M398" s="2867"/>
      <c r="O398" s="2867"/>
      <c r="P398" s="2867"/>
      <c r="Q398" s="2867"/>
      <c r="R398" s="2867"/>
      <c r="S398" s="2867"/>
      <c r="T398" s="2867"/>
      <c r="U398" s="2867"/>
      <c r="V398" s="2867"/>
      <c r="W398" s="2867"/>
      <c r="X398" s="2867"/>
      <c r="Y398" s="2867"/>
      <c r="Z398" s="2867"/>
      <c r="AA398" s="2867"/>
      <c r="AB398" s="2867"/>
      <c r="AC398" s="2867"/>
      <c r="AD398" s="2867"/>
      <c r="AE398" s="2867"/>
      <c r="AF398" s="2867"/>
      <c r="AG398" s="2867"/>
      <c r="AH398" s="2867"/>
      <c r="AI398" s="2867"/>
      <c r="AJ398" s="2867"/>
      <c r="AK398" s="2867"/>
      <c r="AL398" s="2867"/>
      <c r="AM398" s="2867"/>
      <c r="AN398" s="2867"/>
      <c r="AO398" s="2867"/>
      <c r="AP398" s="2867"/>
      <c r="AQ398" s="2867"/>
      <c r="AR398" s="2867"/>
      <c r="AS398" s="2867"/>
      <c r="AT398" s="2867"/>
      <c r="AU398" s="2867"/>
      <c r="AV398" s="2867"/>
      <c r="AW398" s="2867"/>
      <c r="AX398" s="2867"/>
      <c r="AY398" s="2867"/>
      <c r="AZ398" s="2867"/>
      <c r="BA398" s="2867"/>
      <c r="BB398" s="2867"/>
      <c r="BC398" s="2867"/>
      <c r="BD398" s="2867"/>
      <c r="BE398" s="2867"/>
      <c r="BF398" s="2867"/>
      <c r="BG398" s="2867"/>
      <c r="BH398" s="2867"/>
      <c r="BI398" s="2867"/>
      <c r="BJ398" s="2867"/>
      <c r="BK398" s="2867"/>
      <c r="BL398" s="2867"/>
      <c r="BM398" s="2867"/>
      <c r="BN398" s="2867"/>
      <c r="BO398" s="2867"/>
      <c r="BP398" s="2867"/>
      <c r="BQ398" s="2867"/>
      <c r="BR398" s="2867"/>
      <c r="BS398" s="2867"/>
      <c r="BT398" s="2867"/>
      <c r="BU398" s="2867"/>
      <c r="BV398" s="2867"/>
      <c r="BW398" s="2867"/>
      <c r="BX398" s="2867"/>
      <c r="BY398" s="2867"/>
      <c r="BZ398" s="2867"/>
      <c r="CA398" s="2867"/>
      <c r="CB398" s="2867"/>
      <c r="CC398" s="2867"/>
      <c r="CD398" s="2867"/>
      <c r="CE398" s="2867"/>
      <c r="CF398" s="2867"/>
      <c r="CG398" s="2867"/>
      <c r="CH398" s="2867"/>
      <c r="CI398" s="2867"/>
      <c r="CJ398" s="2867"/>
      <c r="CK398" s="2867"/>
      <c r="CL398" s="2867"/>
      <c r="CM398" s="2867"/>
      <c r="CN398" s="2867"/>
      <c r="CO398" s="2867"/>
      <c r="CP398" s="2867"/>
      <c r="CQ398" s="2867"/>
      <c r="CR398" s="2867"/>
      <c r="CS398" s="2867"/>
      <c r="CT398" s="2867"/>
      <c r="CU398" s="2867"/>
      <c r="CV398" s="2867"/>
      <c r="CW398" s="2867"/>
    </row>
    <row r="399" spans="1:101">
      <c r="A399" s="2867"/>
      <c r="B399" s="2867"/>
      <c r="C399" s="2867"/>
      <c r="D399" s="2867"/>
      <c r="E399" s="2867"/>
      <c r="F399" s="2867"/>
      <c r="G399" s="2867"/>
      <c r="H399" s="2867"/>
      <c r="I399" s="2867"/>
      <c r="J399" s="2867"/>
      <c r="K399" s="2867"/>
      <c r="L399" s="2867"/>
      <c r="M399" s="2867"/>
      <c r="O399" s="2867"/>
      <c r="P399" s="2867"/>
      <c r="Q399" s="2867"/>
      <c r="R399" s="2867"/>
      <c r="S399" s="2867"/>
      <c r="T399" s="2867"/>
      <c r="U399" s="2867"/>
      <c r="V399" s="2867"/>
      <c r="W399" s="2867"/>
      <c r="X399" s="2867"/>
      <c r="Y399" s="2867"/>
      <c r="Z399" s="2867"/>
      <c r="AA399" s="2867"/>
      <c r="AB399" s="2867"/>
      <c r="AC399" s="2867"/>
      <c r="AD399" s="2867"/>
      <c r="AE399" s="2867"/>
      <c r="AF399" s="2867"/>
      <c r="AG399" s="2867"/>
      <c r="AH399" s="2867"/>
      <c r="AI399" s="2867"/>
      <c r="AJ399" s="2867"/>
      <c r="AK399" s="2867"/>
      <c r="AL399" s="2867"/>
      <c r="AM399" s="2867"/>
      <c r="AN399" s="2867"/>
      <c r="AO399" s="2867"/>
      <c r="AP399" s="2867"/>
      <c r="AQ399" s="2867"/>
      <c r="AR399" s="2867"/>
      <c r="AS399" s="2867"/>
      <c r="AT399" s="2867"/>
      <c r="AU399" s="2867"/>
      <c r="AV399" s="2867"/>
      <c r="AW399" s="2867"/>
      <c r="AX399" s="2867"/>
      <c r="AY399" s="2867"/>
      <c r="AZ399" s="2867"/>
      <c r="BA399" s="2867"/>
      <c r="BB399" s="2867"/>
      <c r="BC399" s="2867"/>
      <c r="BD399" s="2867"/>
      <c r="BE399" s="2867"/>
      <c r="BF399" s="2867"/>
      <c r="BG399" s="2867"/>
      <c r="BH399" s="2867"/>
      <c r="BI399" s="2867"/>
      <c r="BJ399" s="2867"/>
      <c r="BK399" s="2867"/>
      <c r="BL399" s="2867"/>
      <c r="BM399" s="2867"/>
      <c r="BN399" s="2867"/>
      <c r="BO399" s="2867"/>
      <c r="BP399" s="2867"/>
      <c r="BQ399" s="2867"/>
      <c r="BR399" s="2867"/>
      <c r="BS399" s="2867"/>
      <c r="BT399" s="2867"/>
      <c r="BU399" s="2867"/>
      <c r="BV399" s="2867"/>
      <c r="BW399" s="2867"/>
      <c r="BX399" s="2867"/>
      <c r="BY399" s="2867"/>
      <c r="BZ399" s="2867"/>
      <c r="CA399" s="2867"/>
      <c r="CB399" s="2867"/>
      <c r="CC399" s="2867"/>
      <c r="CD399" s="2867"/>
      <c r="CE399" s="2867"/>
      <c r="CF399" s="2867"/>
      <c r="CG399" s="2867"/>
      <c r="CH399" s="2867"/>
      <c r="CI399" s="2867"/>
      <c r="CJ399" s="2867"/>
      <c r="CK399" s="2867"/>
      <c r="CL399" s="2867"/>
      <c r="CM399" s="2867"/>
      <c r="CN399" s="2867"/>
      <c r="CO399" s="2867"/>
      <c r="CP399" s="2867"/>
      <c r="CQ399" s="2867"/>
      <c r="CR399" s="2867"/>
      <c r="CS399" s="2867"/>
      <c r="CT399" s="2867"/>
      <c r="CU399" s="2867"/>
      <c r="CV399" s="2867"/>
      <c r="CW399" s="2867"/>
    </row>
    <row r="400" spans="1:101">
      <c r="A400" s="2867"/>
      <c r="B400" s="2867"/>
      <c r="C400" s="2867"/>
      <c r="D400" s="2867"/>
      <c r="E400" s="2867"/>
      <c r="F400" s="2867"/>
      <c r="G400" s="2867"/>
      <c r="H400" s="2867"/>
      <c r="I400" s="2867"/>
      <c r="J400" s="2867"/>
      <c r="K400" s="2867"/>
      <c r="L400" s="2867"/>
      <c r="M400" s="2867"/>
      <c r="O400" s="2867"/>
      <c r="P400" s="2867"/>
      <c r="Q400" s="2867"/>
      <c r="R400" s="2867"/>
      <c r="S400" s="2867"/>
      <c r="T400" s="2867"/>
      <c r="U400" s="2867"/>
      <c r="V400" s="2867"/>
      <c r="W400" s="2867"/>
      <c r="X400" s="2867"/>
      <c r="Y400" s="2867"/>
      <c r="Z400" s="2867"/>
      <c r="AA400" s="2867"/>
      <c r="AB400" s="2867"/>
      <c r="AC400" s="2867"/>
      <c r="AD400" s="2867"/>
      <c r="AE400" s="2867"/>
      <c r="AF400" s="2867"/>
      <c r="AG400" s="2867"/>
      <c r="AH400" s="2867"/>
      <c r="AI400" s="2867"/>
      <c r="AJ400" s="2867"/>
      <c r="AK400" s="2867"/>
      <c r="AL400" s="2867"/>
      <c r="AM400" s="2867"/>
      <c r="AN400" s="2867"/>
      <c r="AO400" s="2867"/>
      <c r="AP400" s="2867"/>
      <c r="AQ400" s="2867"/>
      <c r="AR400" s="2867"/>
      <c r="AS400" s="2867"/>
      <c r="AT400" s="2867"/>
      <c r="AU400" s="2867"/>
      <c r="AV400" s="2867"/>
      <c r="AW400" s="2867"/>
      <c r="AX400" s="2867"/>
      <c r="AY400" s="2867"/>
      <c r="AZ400" s="2867"/>
      <c r="BA400" s="2867"/>
      <c r="BB400" s="2867"/>
      <c r="BC400" s="2867"/>
      <c r="BD400" s="2867"/>
      <c r="BE400" s="2867"/>
      <c r="BF400" s="2867"/>
      <c r="BG400" s="2867"/>
      <c r="BH400" s="2867"/>
      <c r="BI400" s="2867"/>
      <c r="BJ400" s="2867"/>
      <c r="BK400" s="2867"/>
      <c r="BL400" s="2867"/>
      <c r="BM400" s="2867"/>
      <c r="BN400" s="2867"/>
      <c r="BO400" s="2867"/>
      <c r="BP400" s="2867"/>
      <c r="BQ400" s="2867"/>
      <c r="BR400" s="2867"/>
      <c r="BS400" s="2867"/>
      <c r="BT400" s="2867"/>
      <c r="BU400" s="2867"/>
      <c r="BV400" s="2867"/>
      <c r="BW400" s="2867"/>
      <c r="BX400" s="2867"/>
      <c r="BY400" s="2867"/>
      <c r="BZ400" s="2867"/>
      <c r="CA400" s="2867"/>
      <c r="CB400" s="2867"/>
      <c r="CC400" s="2867"/>
      <c r="CD400" s="2867"/>
      <c r="CE400" s="2867"/>
      <c r="CF400" s="2867"/>
      <c r="CG400" s="2867"/>
      <c r="CH400" s="2867"/>
      <c r="CI400" s="2867"/>
      <c r="CJ400" s="2867"/>
      <c r="CK400" s="2867"/>
      <c r="CL400" s="2867"/>
      <c r="CM400" s="2867"/>
      <c r="CN400" s="2867"/>
      <c r="CO400" s="2867"/>
      <c r="CP400" s="2867"/>
      <c r="CQ400" s="2867"/>
      <c r="CR400" s="2867"/>
      <c r="CS400" s="2867"/>
      <c r="CT400" s="2867"/>
      <c r="CU400" s="2867"/>
      <c r="CV400" s="2867"/>
      <c r="CW400" s="2867"/>
    </row>
    <row r="401" spans="1:101">
      <c r="A401" s="2867"/>
      <c r="B401" s="2867"/>
      <c r="C401" s="2867"/>
      <c r="D401" s="2867"/>
      <c r="E401" s="2867"/>
      <c r="F401" s="2867"/>
      <c r="G401" s="2867"/>
      <c r="H401" s="2867"/>
      <c r="I401" s="2867"/>
      <c r="J401" s="2867"/>
      <c r="K401" s="2867"/>
      <c r="L401" s="2867"/>
      <c r="M401" s="2867"/>
      <c r="O401" s="2867"/>
      <c r="P401" s="2867"/>
      <c r="Q401" s="2867"/>
      <c r="R401" s="2867"/>
      <c r="S401" s="2867"/>
      <c r="T401" s="2867"/>
      <c r="U401" s="2867"/>
      <c r="V401" s="2867"/>
      <c r="W401" s="2867"/>
      <c r="X401" s="2867"/>
      <c r="Y401" s="2867"/>
      <c r="Z401" s="2867"/>
      <c r="AA401" s="2867"/>
      <c r="AB401" s="2867"/>
      <c r="AC401" s="2867"/>
      <c r="AD401" s="2867"/>
      <c r="AE401" s="2867"/>
      <c r="AF401" s="2867"/>
      <c r="AG401" s="2867"/>
      <c r="AH401" s="2867"/>
      <c r="AI401" s="2867"/>
      <c r="AJ401" s="2867"/>
      <c r="AK401" s="2867"/>
      <c r="AL401" s="2867"/>
      <c r="AM401" s="2867"/>
      <c r="AN401" s="2867"/>
      <c r="AO401" s="2867"/>
      <c r="AP401" s="2867"/>
      <c r="AQ401" s="2867"/>
      <c r="AR401" s="2867"/>
      <c r="AS401" s="2867"/>
      <c r="AT401" s="2867"/>
      <c r="AU401" s="2867"/>
      <c r="AV401" s="2867"/>
      <c r="AW401" s="2867"/>
      <c r="AX401" s="2867"/>
      <c r="AY401" s="2867"/>
      <c r="AZ401" s="2867"/>
      <c r="BA401" s="2867"/>
      <c r="BB401" s="2867"/>
      <c r="BC401" s="2867"/>
      <c r="BD401" s="2867"/>
      <c r="BE401" s="2867"/>
      <c r="BF401" s="2867"/>
      <c r="BG401" s="2867"/>
      <c r="BH401" s="2867"/>
      <c r="BI401" s="2867"/>
      <c r="BJ401" s="2867"/>
      <c r="BK401" s="2867"/>
      <c r="BL401" s="2867"/>
      <c r="BM401" s="2867"/>
      <c r="BN401" s="2867"/>
      <c r="BO401" s="2867"/>
      <c r="BP401" s="2867"/>
      <c r="BQ401" s="2867"/>
      <c r="BR401" s="2867"/>
      <c r="BS401" s="2867"/>
      <c r="BT401" s="2867"/>
      <c r="BU401" s="2867"/>
      <c r="BV401" s="2867"/>
      <c r="BW401" s="2867"/>
      <c r="BX401" s="2867"/>
      <c r="BY401" s="2867"/>
      <c r="BZ401" s="2867"/>
      <c r="CA401" s="2867"/>
      <c r="CB401" s="2867"/>
      <c r="CC401" s="2867"/>
      <c r="CD401" s="2867"/>
      <c r="CE401" s="2867"/>
      <c r="CF401" s="2867"/>
      <c r="CG401" s="2867"/>
      <c r="CH401" s="2867"/>
      <c r="CI401" s="2867"/>
      <c r="CJ401" s="2867"/>
      <c r="CK401" s="2867"/>
      <c r="CL401" s="2867"/>
      <c r="CM401" s="2867"/>
      <c r="CN401" s="2867"/>
      <c r="CO401" s="2867"/>
      <c r="CP401" s="2867"/>
      <c r="CQ401" s="2867"/>
      <c r="CR401" s="2867"/>
      <c r="CS401" s="2867"/>
      <c r="CT401" s="2867"/>
      <c r="CU401" s="2867"/>
      <c r="CV401" s="2867"/>
      <c r="CW401" s="2867"/>
    </row>
    <row r="402" spans="1:101">
      <c r="A402" s="2867"/>
      <c r="B402" s="2867"/>
      <c r="C402" s="2867"/>
      <c r="D402" s="2867"/>
      <c r="E402" s="2867"/>
      <c r="F402" s="2867"/>
      <c r="G402" s="2867"/>
      <c r="H402" s="2867"/>
      <c r="I402" s="2867"/>
      <c r="J402" s="2867"/>
      <c r="K402" s="2867"/>
      <c r="L402" s="2867"/>
      <c r="M402" s="2867"/>
      <c r="O402" s="2867"/>
      <c r="P402" s="2867"/>
      <c r="Q402" s="2867"/>
      <c r="R402" s="2867"/>
      <c r="S402" s="2867"/>
      <c r="T402" s="2867"/>
      <c r="U402" s="2867"/>
      <c r="V402" s="2867"/>
      <c r="W402" s="2867"/>
      <c r="X402" s="2867"/>
      <c r="Y402" s="2867"/>
      <c r="Z402" s="2867"/>
      <c r="AA402" s="2867"/>
      <c r="AB402" s="2867"/>
      <c r="AC402" s="2867"/>
      <c r="AD402" s="2867"/>
      <c r="AE402" s="2867"/>
      <c r="AF402" s="2867"/>
      <c r="AG402" s="2867"/>
      <c r="AH402" s="2867"/>
      <c r="AI402" s="2867"/>
      <c r="AJ402" s="2867"/>
      <c r="AK402" s="2867"/>
      <c r="AL402" s="2867"/>
      <c r="AM402" s="2867"/>
      <c r="AN402" s="2867"/>
      <c r="AO402" s="2867"/>
      <c r="AP402" s="2867"/>
      <c r="AQ402" s="2867"/>
      <c r="AR402" s="2867"/>
      <c r="AS402" s="2867"/>
      <c r="AT402" s="2867"/>
      <c r="AU402" s="2867"/>
      <c r="AV402" s="2867"/>
      <c r="AW402" s="2867"/>
      <c r="AX402" s="2867"/>
      <c r="AY402" s="2867"/>
      <c r="AZ402" s="2867"/>
      <c r="BA402" s="2867"/>
      <c r="BB402" s="2867"/>
      <c r="BC402" s="2867"/>
      <c r="BD402" s="2867"/>
      <c r="BE402" s="2867"/>
      <c r="BF402" s="2867"/>
      <c r="BG402" s="2867"/>
      <c r="BH402" s="2867"/>
      <c r="BI402" s="2867"/>
      <c r="BJ402" s="2867"/>
      <c r="BK402" s="2867"/>
      <c r="BL402" s="2867"/>
      <c r="BM402" s="2867"/>
      <c r="BN402" s="2867"/>
      <c r="BO402" s="2867"/>
      <c r="BP402" s="2867"/>
      <c r="BQ402" s="2867"/>
      <c r="BR402" s="2867"/>
      <c r="BS402" s="2867"/>
      <c r="BT402" s="2867"/>
      <c r="BU402" s="2867"/>
      <c r="BV402" s="2867"/>
      <c r="BW402" s="2867"/>
      <c r="BX402" s="2867"/>
      <c r="BY402" s="2867"/>
      <c r="BZ402" s="2867"/>
      <c r="CA402" s="2867"/>
      <c r="CB402" s="2867"/>
      <c r="CC402" s="2867"/>
      <c r="CD402" s="2867"/>
      <c r="CE402" s="2867"/>
      <c r="CF402" s="2867"/>
      <c r="CG402" s="2867"/>
      <c r="CH402" s="2867"/>
      <c r="CI402" s="2867"/>
      <c r="CJ402" s="2867"/>
      <c r="CK402" s="2867"/>
      <c r="CL402" s="2867"/>
      <c r="CM402" s="2867"/>
      <c r="CN402" s="2867"/>
      <c r="CO402" s="2867"/>
      <c r="CP402" s="2867"/>
      <c r="CQ402" s="2867"/>
      <c r="CR402" s="2867"/>
      <c r="CS402" s="2867"/>
      <c r="CT402" s="2867"/>
      <c r="CU402" s="2867"/>
      <c r="CV402" s="2867"/>
      <c r="CW402" s="2867"/>
    </row>
    <row r="403" spans="1:101">
      <c r="A403" s="2867"/>
      <c r="B403" s="2867"/>
      <c r="C403" s="2867"/>
      <c r="D403" s="2867"/>
      <c r="E403" s="2867"/>
      <c r="F403" s="2867"/>
      <c r="G403" s="2867"/>
      <c r="H403" s="2867"/>
      <c r="I403" s="2867"/>
      <c r="J403" s="2867"/>
      <c r="K403" s="2867"/>
      <c r="L403" s="2867"/>
      <c r="M403" s="2867"/>
      <c r="O403" s="2867"/>
      <c r="P403" s="2867"/>
      <c r="Q403" s="2867"/>
      <c r="R403" s="2867"/>
      <c r="S403" s="2867"/>
      <c r="T403" s="2867"/>
      <c r="U403" s="2867"/>
      <c r="V403" s="2867"/>
      <c r="W403" s="2867"/>
      <c r="X403" s="2867"/>
      <c r="Y403" s="2867"/>
      <c r="Z403" s="2867"/>
      <c r="AA403" s="2867"/>
      <c r="AB403" s="2867"/>
      <c r="AC403" s="2867"/>
      <c r="AD403" s="2867"/>
      <c r="AE403" s="2867"/>
      <c r="AF403" s="2867"/>
      <c r="AG403" s="2867"/>
      <c r="AH403" s="2867"/>
      <c r="AI403" s="2867"/>
      <c r="AJ403" s="2867"/>
      <c r="AK403" s="2867"/>
      <c r="AL403" s="2867"/>
      <c r="AM403" s="2867"/>
      <c r="AN403" s="2867"/>
      <c r="AO403" s="2867"/>
      <c r="AP403" s="2867"/>
      <c r="AQ403" s="2867"/>
      <c r="AR403" s="2867"/>
      <c r="AS403" s="2867"/>
      <c r="AT403" s="2867"/>
      <c r="AU403" s="2867"/>
      <c r="AV403" s="2867"/>
      <c r="AW403" s="2867"/>
      <c r="AX403" s="2867"/>
      <c r="AY403" s="2867"/>
      <c r="AZ403" s="2867"/>
      <c r="BA403" s="2867"/>
      <c r="BB403" s="2867"/>
      <c r="BC403" s="2867"/>
      <c r="BD403" s="2867"/>
      <c r="BE403" s="2867"/>
      <c r="BF403" s="2867"/>
      <c r="BG403" s="2867"/>
      <c r="BH403" s="2867"/>
      <c r="BI403" s="2867"/>
      <c r="BJ403" s="2867"/>
      <c r="BK403" s="2867"/>
      <c r="BL403" s="2867"/>
      <c r="BM403" s="2867"/>
      <c r="BN403" s="2867"/>
      <c r="BO403" s="2867"/>
      <c r="BP403" s="2867"/>
      <c r="BQ403" s="2867"/>
      <c r="BR403" s="2867"/>
      <c r="BS403" s="2867"/>
      <c r="BT403" s="2867"/>
      <c r="BU403" s="2867"/>
      <c r="BV403" s="2867"/>
      <c r="BW403" s="2867"/>
      <c r="BX403" s="2867"/>
      <c r="BY403" s="2867"/>
      <c r="BZ403" s="2867"/>
      <c r="CA403" s="2867"/>
      <c r="CB403" s="2867"/>
      <c r="CC403" s="2867"/>
      <c r="CD403" s="2867"/>
      <c r="CE403" s="2867"/>
      <c r="CF403" s="2867"/>
      <c r="CG403" s="2867"/>
      <c r="CH403" s="2867"/>
      <c r="CI403" s="2867"/>
      <c r="CJ403" s="2867"/>
      <c r="CK403" s="2867"/>
      <c r="CL403" s="2867"/>
      <c r="CM403" s="2867"/>
      <c r="CN403" s="2867"/>
      <c r="CO403" s="2867"/>
      <c r="CP403" s="2867"/>
      <c r="CQ403" s="2867"/>
      <c r="CR403" s="2867"/>
      <c r="CS403" s="2867"/>
      <c r="CT403" s="2867"/>
      <c r="CU403" s="2867"/>
      <c r="CV403" s="2867"/>
      <c r="CW403" s="2867"/>
    </row>
    <row r="404" spans="1:101">
      <c r="A404" s="2867"/>
      <c r="B404" s="2867"/>
      <c r="C404" s="2867"/>
      <c r="D404" s="2867"/>
      <c r="E404" s="2867"/>
      <c r="F404" s="2867"/>
      <c r="G404" s="2867"/>
      <c r="H404" s="2867"/>
      <c r="I404" s="2867"/>
      <c r="J404" s="2867"/>
      <c r="K404" s="2867"/>
      <c r="L404" s="2867"/>
      <c r="M404" s="2867"/>
      <c r="O404" s="2867"/>
      <c r="P404" s="2867"/>
      <c r="Q404" s="2867"/>
      <c r="R404" s="2867"/>
      <c r="S404" s="2867"/>
      <c r="T404" s="2867"/>
      <c r="U404" s="2867"/>
      <c r="V404" s="2867"/>
      <c r="W404" s="2867"/>
      <c r="X404" s="2867"/>
      <c r="Y404" s="2867"/>
      <c r="Z404" s="2867"/>
      <c r="AA404" s="2867"/>
      <c r="AB404" s="2867"/>
      <c r="AC404" s="2867"/>
      <c r="AD404" s="2867"/>
      <c r="AE404" s="2867"/>
      <c r="AF404" s="2867"/>
      <c r="AG404" s="2867"/>
      <c r="AH404" s="2867"/>
      <c r="AI404" s="2867"/>
      <c r="AJ404" s="2867"/>
      <c r="AK404" s="2867"/>
      <c r="AL404" s="2867"/>
      <c r="AM404" s="2867"/>
      <c r="AN404" s="2867"/>
      <c r="AO404" s="2867"/>
      <c r="AP404" s="2867"/>
      <c r="AQ404" s="2867"/>
      <c r="AR404" s="2867"/>
      <c r="AS404" s="2867"/>
      <c r="AT404" s="2867"/>
      <c r="AU404" s="2867"/>
      <c r="AV404" s="2867"/>
      <c r="AW404" s="2867"/>
      <c r="AX404" s="2867"/>
      <c r="AY404" s="2867"/>
      <c r="AZ404" s="2867"/>
      <c r="BA404" s="2867"/>
      <c r="BB404" s="2867"/>
      <c r="BC404" s="2867"/>
      <c r="BD404" s="2867"/>
      <c r="BE404" s="2867"/>
      <c r="BF404" s="2867"/>
      <c r="BG404" s="2867"/>
      <c r="BH404" s="2867"/>
      <c r="BI404" s="2867"/>
      <c r="BJ404" s="2867"/>
      <c r="BK404" s="2867"/>
      <c r="BL404" s="2867"/>
      <c r="BM404" s="2867"/>
      <c r="BN404" s="2867"/>
      <c r="BO404" s="2867"/>
      <c r="BP404" s="2867"/>
      <c r="BQ404" s="2867"/>
      <c r="BR404" s="2867"/>
      <c r="BS404" s="2867"/>
      <c r="BT404" s="2867"/>
      <c r="BU404" s="2867"/>
      <c r="BV404" s="2867"/>
      <c r="BW404" s="2867"/>
      <c r="BX404" s="2867"/>
      <c r="BY404" s="2867"/>
      <c r="BZ404" s="2867"/>
      <c r="CA404" s="2867"/>
      <c r="CB404" s="2867"/>
      <c r="CC404" s="2867"/>
      <c r="CD404" s="2867"/>
      <c r="CE404" s="2867"/>
      <c r="CF404" s="2867"/>
      <c r="CG404" s="2867"/>
      <c r="CH404" s="2867"/>
      <c r="CI404" s="2867"/>
      <c r="CJ404" s="2867"/>
      <c r="CK404" s="2867"/>
      <c r="CL404" s="2867"/>
      <c r="CM404" s="2867"/>
      <c r="CN404" s="2867"/>
      <c r="CO404" s="2867"/>
      <c r="CP404" s="2867"/>
      <c r="CQ404" s="2867"/>
      <c r="CR404" s="2867"/>
      <c r="CS404" s="2867"/>
      <c r="CT404" s="2867"/>
      <c r="CU404" s="2867"/>
      <c r="CV404" s="2867"/>
      <c r="CW404" s="2867"/>
    </row>
    <row r="405" spans="1:101">
      <c r="A405" s="2867"/>
      <c r="B405" s="2867"/>
      <c r="C405" s="2867"/>
      <c r="D405" s="2867"/>
      <c r="E405" s="2867"/>
      <c r="F405" s="2867"/>
      <c r="G405" s="2867"/>
      <c r="H405" s="2867"/>
      <c r="I405" s="2867"/>
      <c r="J405" s="2867"/>
      <c r="K405" s="2867"/>
      <c r="L405" s="2867"/>
      <c r="M405" s="2867"/>
      <c r="O405" s="2867"/>
      <c r="P405" s="2867"/>
      <c r="Q405" s="2867"/>
      <c r="R405" s="2867"/>
      <c r="S405" s="2867"/>
      <c r="T405" s="2867"/>
      <c r="U405" s="2867"/>
      <c r="V405" s="2867"/>
      <c r="W405" s="2867"/>
      <c r="X405" s="2867"/>
      <c r="Y405" s="2867"/>
      <c r="Z405" s="2867"/>
      <c r="AA405" s="2867"/>
      <c r="AB405" s="2867"/>
      <c r="AC405" s="2867"/>
      <c r="AD405" s="2867"/>
      <c r="AE405" s="2867"/>
      <c r="AF405" s="2867"/>
      <c r="AG405" s="2867"/>
      <c r="AH405" s="2867"/>
      <c r="AI405" s="2867"/>
      <c r="AJ405" s="2867"/>
      <c r="AK405" s="2867"/>
      <c r="AL405" s="2867"/>
      <c r="AM405" s="2867"/>
      <c r="AN405" s="2867"/>
      <c r="AO405" s="2867"/>
      <c r="AP405" s="2867"/>
      <c r="AQ405" s="2867"/>
      <c r="AR405" s="2867"/>
      <c r="AS405" s="2867"/>
      <c r="AT405" s="2867"/>
      <c r="AU405" s="2867"/>
      <c r="AV405" s="2867"/>
      <c r="AW405" s="2867"/>
      <c r="AX405" s="2867"/>
      <c r="AY405" s="2867"/>
      <c r="AZ405" s="2867"/>
      <c r="BA405" s="2867"/>
      <c r="BB405" s="2867"/>
      <c r="BC405" s="2867"/>
      <c r="BD405" s="2867"/>
      <c r="BE405" s="2867"/>
      <c r="BF405" s="2867"/>
      <c r="BG405" s="2867"/>
      <c r="BH405" s="2867"/>
      <c r="BI405" s="2867"/>
      <c r="BJ405" s="2867"/>
      <c r="BK405" s="2867"/>
      <c r="BL405" s="2867"/>
      <c r="BM405" s="2867"/>
      <c r="BN405" s="2867"/>
      <c r="BO405" s="2867"/>
      <c r="BP405" s="2867"/>
      <c r="BQ405" s="2867"/>
      <c r="BR405" s="2867"/>
      <c r="BS405" s="2867"/>
      <c r="BT405" s="2867"/>
      <c r="BU405" s="2867"/>
      <c r="BV405" s="2867"/>
      <c r="BW405" s="2867"/>
      <c r="BX405" s="2867"/>
      <c r="BY405" s="2867"/>
      <c r="BZ405" s="2867"/>
      <c r="CA405" s="2867"/>
      <c r="CB405" s="2867"/>
      <c r="CC405" s="2867"/>
      <c r="CD405" s="2867"/>
      <c r="CE405" s="2867"/>
      <c r="CF405" s="2867"/>
      <c r="CG405" s="2867"/>
      <c r="CH405" s="2867"/>
      <c r="CI405" s="2867"/>
      <c r="CJ405" s="2867"/>
      <c r="CK405" s="2867"/>
      <c r="CL405" s="2867"/>
      <c r="CM405" s="2867"/>
      <c r="CN405" s="2867"/>
      <c r="CO405" s="2867"/>
      <c r="CP405" s="2867"/>
      <c r="CQ405" s="2867"/>
      <c r="CR405" s="2867"/>
      <c r="CS405" s="2867"/>
      <c r="CT405" s="2867"/>
      <c r="CU405" s="2867"/>
      <c r="CV405" s="2867"/>
      <c r="CW405" s="2867"/>
    </row>
    <row r="406" spans="1:101">
      <c r="A406" s="2867"/>
      <c r="B406" s="2867"/>
      <c r="C406" s="2867"/>
      <c r="D406" s="2867"/>
      <c r="E406" s="2867"/>
      <c r="F406" s="2867"/>
      <c r="G406" s="2867"/>
      <c r="H406" s="2867"/>
      <c r="I406" s="2867"/>
      <c r="J406" s="2867"/>
      <c r="K406" s="2867"/>
      <c r="L406" s="2867"/>
      <c r="M406" s="2867"/>
      <c r="O406" s="2867"/>
      <c r="P406" s="2867"/>
      <c r="Q406" s="2867"/>
      <c r="R406" s="2867"/>
      <c r="S406" s="2867"/>
      <c r="T406" s="2867"/>
      <c r="U406" s="2867"/>
      <c r="V406" s="2867"/>
      <c r="W406" s="2867"/>
      <c r="X406" s="2867"/>
      <c r="Y406" s="2867"/>
      <c r="Z406" s="2867"/>
      <c r="AA406" s="2867"/>
      <c r="AB406" s="2867"/>
      <c r="AC406" s="2867"/>
      <c r="AD406" s="2867"/>
      <c r="AE406" s="2867"/>
      <c r="AF406" s="2867"/>
      <c r="AG406" s="2867"/>
      <c r="AH406" s="2867"/>
      <c r="AI406" s="2867"/>
      <c r="AJ406" s="2867"/>
      <c r="AK406" s="2867"/>
      <c r="AL406" s="2867"/>
      <c r="AM406" s="2867"/>
      <c r="AN406" s="2867"/>
      <c r="AO406" s="2867"/>
      <c r="AP406" s="2867"/>
      <c r="AQ406" s="2867"/>
      <c r="AR406" s="2867"/>
      <c r="AS406" s="2867"/>
      <c r="AT406" s="2867"/>
      <c r="AU406" s="2867"/>
      <c r="AV406" s="2867"/>
      <c r="AW406" s="2867"/>
      <c r="AX406" s="2867"/>
      <c r="AY406" s="2867"/>
      <c r="AZ406" s="2867"/>
      <c r="BA406" s="2867"/>
      <c r="BB406" s="2867"/>
      <c r="BC406" s="2867"/>
      <c r="BD406" s="2867"/>
      <c r="BE406" s="2867"/>
      <c r="BF406" s="2867"/>
      <c r="BG406" s="2867"/>
      <c r="BH406" s="2867"/>
      <c r="BI406" s="2867"/>
      <c r="BJ406" s="2867"/>
      <c r="BK406" s="2867"/>
      <c r="BL406" s="2867"/>
      <c r="BM406" s="2867"/>
      <c r="BN406" s="2867"/>
      <c r="BO406" s="2867"/>
      <c r="BP406" s="2867"/>
      <c r="BQ406" s="2867"/>
      <c r="BR406" s="2867"/>
      <c r="BS406" s="2867"/>
      <c r="BT406" s="2867"/>
      <c r="BU406" s="2867"/>
      <c r="BV406" s="2867"/>
      <c r="BW406" s="2867"/>
      <c r="BX406" s="2867"/>
      <c r="BY406" s="2867"/>
      <c r="BZ406" s="2867"/>
      <c r="CA406" s="2867"/>
      <c r="CB406" s="2867"/>
      <c r="CC406" s="2867"/>
      <c r="CD406" s="2867"/>
      <c r="CE406" s="2867"/>
      <c r="CF406" s="2867"/>
      <c r="CG406" s="2867"/>
      <c r="CH406" s="2867"/>
      <c r="CI406" s="2867"/>
      <c r="CJ406" s="2867"/>
      <c r="CK406" s="2867"/>
      <c r="CL406" s="2867"/>
      <c r="CM406" s="2867"/>
      <c r="CN406" s="2867"/>
      <c r="CO406" s="2867"/>
      <c r="CP406" s="2867"/>
      <c r="CQ406" s="2867"/>
      <c r="CR406" s="2867"/>
      <c r="CS406" s="2867"/>
      <c r="CT406" s="2867"/>
      <c r="CU406" s="2867"/>
      <c r="CV406" s="2867"/>
      <c r="CW406" s="2867"/>
    </row>
    <row r="407" spans="1:101">
      <c r="A407" s="2867"/>
      <c r="B407" s="2867"/>
      <c r="C407" s="2867"/>
      <c r="D407" s="2867"/>
      <c r="E407" s="2867"/>
      <c r="F407" s="2867"/>
      <c r="G407" s="2867"/>
      <c r="H407" s="2867"/>
      <c r="I407" s="2867"/>
      <c r="J407" s="2867"/>
      <c r="K407" s="2867"/>
      <c r="L407" s="2867"/>
      <c r="M407" s="2867"/>
      <c r="O407" s="2867"/>
      <c r="P407" s="2867"/>
      <c r="Q407" s="2867"/>
      <c r="R407" s="2867"/>
      <c r="S407" s="2867"/>
      <c r="T407" s="2867"/>
      <c r="U407" s="2867"/>
      <c r="V407" s="2867"/>
      <c r="W407" s="2867"/>
      <c r="X407" s="2867"/>
      <c r="Y407" s="2867"/>
      <c r="Z407" s="2867"/>
      <c r="AA407" s="2867"/>
      <c r="AB407" s="2867"/>
      <c r="AC407" s="2867"/>
      <c r="AD407" s="2867"/>
      <c r="AE407" s="2867"/>
      <c r="AF407" s="2867"/>
      <c r="AG407" s="2867"/>
      <c r="AH407" s="2867"/>
      <c r="AI407" s="2867"/>
      <c r="AJ407" s="2867"/>
      <c r="AK407" s="2867"/>
      <c r="AL407" s="2867"/>
      <c r="AM407" s="2867"/>
      <c r="AN407" s="2867"/>
      <c r="AO407" s="2867"/>
      <c r="AP407" s="2867"/>
      <c r="AQ407" s="2867"/>
      <c r="AR407" s="2867"/>
      <c r="AS407" s="2867"/>
      <c r="AT407" s="2867"/>
      <c r="AU407" s="2867"/>
      <c r="AV407" s="2867"/>
      <c r="AW407" s="2867"/>
      <c r="AX407" s="2867"/>
      <c r="AY407" s="2867"/>
      <c r="AZ407" s="2867"/>
      <c r="BA407" s="2867"/>
      <c r="BB407" s="2867"/>
      <c r="BC407" s="2867"/>
      <c r="BD407" s="2867"/>
      <c r="BE407" s="2867"/>
      <c r="BF407" s="2867"/>
      <c r="BG407" s="2867"/>
      <c r="BH407" s="2867"/>
      <c r="BI407" s="2867"/>
      <c r="BJ407" s="2867"/>
      <c r="BK407" s="2867"/>
      <c r="BL407" s="2867"/>
      <c r="BM407" s="2867"/>
      <c r="BN407" s="2867"/>
      <c r="BO407" s="2867"/>
      <c r="BP407" s="2867"/>
      <c r="BQ407" s="2867"/>
      <c r="BR407" s="2867"/>
      <c r="BS407" s="2867"/>
      <c r="BT407" s="2867"/>
      <c r="BU407" s="2867"/>
      <c r="BV407" s="2867"/>
      <c r="BW407" s="2867"/>
      <c r="BX407" s="2867"/>
      <c r="BY407" s="2867"/>
      <c r="BZ407" s="2867"/>
      <c r="CA407" s="2867"/>
      <c r="CB407" s="2867"/>
      <c r="CC407" s="2867"/>
      <c r="CD407" s="2867"/>
      <c r="CE407" s="2867"/>
      <c r="CF407" s="2867"/>
      <c r="CG407" s="2867"/>
      <c r="CH407" s="2867"/>
      <c r="CI407" s="2867"/>
      <c r="CJ407" s="2867"/>
      <c r="CK407" s="2867"/>
      <c r="CL407" s="2867"/>
      <c r="CM407" s="2867"/>
      <c r="CN407" s="2867"/>
      <c r="CO407" s="2867"/>
      <c r="CP407" s="2867"/>
      <c r="CQ407" s="2867"/>
      <c r="CR407" s="2867"/>
      <c r="CS407" s="2867"/>
      <c r="CT407" s="2867"/>
      <c r="CU407" s="2867"/>
      <c r="CV407" s="2867"/>
      <c r="CW407" s="2867"/>
    </row>
    <row r="408" spans="1:101">
      <c r="A408" s="2867"/>
      <c r="B408" s="2867"/>
      <c r="C408" s="2867"/>
      <c r="D408" s="2867"/>
      <c r="E408" s="2867"/>
      <c r="F408" s="2867"/>
      <c r="G408" s="2867"/>
      <c r="H408" s="2867"/>
      <c r="I408" s="2867"/>
      <c r="J408" s="2867"/>
      <c r="K408" s="2867"/>
      <c r="L408" s="2867"/>
      <c r="M408" s="2867"/>
      <c r="O408" s="2867"/>
      <c r="P408" s="2867"/>
      <c r="Q408" s="2867"/>
      <c r="R408" s="2867"/>
      <c r="S408" s="2867"/>
      <c r="T408" s="2867"/>
      <c r="U408" s="2867"/>
      <c r="V408" s="2867"/>
      <c r="W408" s="2867"/>
      <c r="X408" s="2867"/>
      <c r="Y408" s="2867"/>
      <c r="Z408" s="2867"/>
      <c r="AA408" s="2867"/>
      <c r="AB408" s="2867"/>
      <c r="AC408" s="2867"/>
      <c r="AD408" s="2867"/>
      <c r="AE408" s="2867"/>
      <c r="AF408" s="2867"/>
      <c r="AG408" s="2867"/>
      <c r="AH408" s="2867"/>
      <c r="AI408" s="2867"/>
      <c r="AJ408" s="2867"/>
      <c r="AK408" s="2867"/>
      <c r="AL408" s="2867"/>
      <c r="AM408" s="2867"/>
      <c r="AN408" s="2867"/>
      <c r="AO408" s="2867"/>
      <c r="AP408" s="2867"/>
      <c r="AQ408" s="2867"/>
      <c r="AR408" s="2867"/>
      <c r="AS408" s="2867"/>
      <c r="AT408" s="2867"/>
      <c r="AU408" s="2867"/>
      <c r="AV408" s="2867"/>
      <c r="AW408" s="2867"/>
      <c r="AX408" s="2867"/>
      <c r="AY408" s="2867"/>
      <c r="AZ408" s="2867"/>
      <c r="BA408" s="2867"/>
      <c r="BB408" s="2867"/>
      <c r="BC408" s="2867"/>
      <c r="BD408" s="2867"/>
      <c r="BE408" s="2867"/>
      <c r="BF408" s="2867"/>
      <c r="BG408" s="2867"/>
      <c r="BH408" s="2867"/>
      <c r="BI408" s="2867"/>
      <c r="BJ408" s="2867"/>
      <c r="BK408" s="2867"/>
      <c r="BL408" s="2867"/>
      <c r="BM408" s="2867"/>
      <c r="BN408" s="2867"/>
      <c r="BO408" s="2867"/>
      <c r="BP408" s="2867"/>
      <c r="BQ408" s="2867"/>
      <c r="BR408" s="2867"/>
      <c r="BS408" s="2867"/>
      <c r="BT408" s="2867"/>
      <c r="BU408" s="2867"/>
      <c r="BV408" s="2867"/>
      <c r="BW408" s="2867"/>
      <c r="BX408" s="2867"/>
      <c r="BY408" s="2867"/>
      <c r="BZ408" s="2867"/>
      <c r="CA408" s="2867"/>
      <c r="CB408" s="2867"/>
      <c r="CC408" s="2867"/>
      <c r="CD408" s="2867"/>
      <c r="CE408" s="2867"/>
      <c r="CF408" s="2867"/>
      <c r="CG408" s="2867"/>
      <c r="CH408" s="2867"/>
      <c r="CI408" s="2867"/>
      <c r="CJ408" s="2867"/>
      <c r="CK408" s="2867"/>
      <c r="CL408" s="2867"/>
      <c r="CM408" s="2867"/>
      <c r="CN408" s="2867"/>
      <c r="CO408" s="2867"/>
      <c r="CP408" s="2867"/>
      <c r="CQ408" s="2867"/>
      <c r="CR408" s="2867"/>
      <c r="CS408" s="2867"/>
      <c r="CT408" s="2867"/>
      <c r="CU408" s="2867"/>
      <c r="CV408" s="2867"/>
      <c r="CW408" s="2867"/>
    </row>
    <row r="409" spans="1:101">
      <c r="A409" s="2867"/>
      <c r="B409" s="2867"/>
      <c r="C409" s="2867"/>
      <c r="D409" s="2867"/>
      <c r="E409" s="2867"/>
      <c r="F409" s="2867"/>
      <c r="G409" s="2867"/>
      <c r="H409" s="2867"/>
      <c r="I409" s="2867"/>
      <c r="J409" s="2867"/>
      <c r="K409" s="2867"/>
      <c r="L409" s="2867"/>
      <c r="M409" s="2867"/>
      <c r="O409" s="2867"/>
      <c r="P409" s="2867"/>
      <c r="Q409" s="2867"/>
      <c r="R409" s="2867"/>
      <c r="S409" s="2867"/>
      <c r="T409" s="2867"/>
      <c r="U409" s="2867"/>
      <c r="V409" s="2867"/>
      <c r="W409" s="2867"/>
      <c r="X409" s="2867"/>
      <c r="Y409" s="2867"/>
      <c r="Z409" s="2867"/>
      <c r="AA409" s="2867"/>
      <c r="AB409" s="2867"/>
      <c r="AC409" s="2867"/>
      <c r="AD409" s="2867"/>
      <c r="AE409" s="2867"/>
      <c r="AF409" s="2867"/>
      <c r="AG409" s="2867"/>
      <c r="AH409" s="2867"/>
      <c r="AI409" s="2867"/>
      <c r="AJ409" s="2867"/>
      <c r="AK409" s="2867"/>
      <c r="AL409" s="2867"/>
      <c r="AM409" s="2867"/>
      <c r="AN409" s="2867"/>
      <c r="AO409" s="2867"/>
      <c r="AP409" s="2867"/>
      <c r="AQ409" s="2867"/>
      <c r="AR409" s="2867"/>
      <c r="AS409" s="2867"/>
      <c r="AT409" s="2867"/>
      <c r="AU409" s="2867"/>
      <c r="AV409" s="2867"/>
      <c r="AW409" s="2867"/>
      <c r="AX409" s="2867"/>
      <c r="AY409" s="2867"/>
      <c r="AZ409" s="2867"/>
      <c r="BA409" s="2867"/>
      <c r="BB409" s="2867"/>
      <c r="BC409" s="2867"/>
      <c r="BD409" s="2867"/>
      <c r="BE409" s="2867"/>
      <c r="BF409" s="2867"/>
      <c r="BG409" s="2867"/>
      <c r="BH409" s="2867"/>
      <c r="BI409" s="2867"/>
      <c r="BJ409" s="2867"/>
      <c r="BK409" s="2867"/>
      <c r="BL409" s="2867"/>
      <c r="BM409" s="2867"/>
      <c r="BN409" s="2867"/>
      <c r="BO409" s="2867"/>
      <c r="BP409" s="2867"/>
      <c r="BQ409" s="2867"/>
      <c r="BR409" s="2867"/>
      <c r="BS409" s="2867"/>
      <c r="BT409" s="2867"/>
      <c r="BU409" s="2867"/>
      <c r="BV409" s="2867"/>
      <c r="BW409" s="2867"/>
      <c r="BX409" s="2867"/>
      <c r="BY409" s="2867"/>
      <c r="BZ409" s="2867"/>
      <c r="CA409" s="2867"/>
      <c r="CB409" s="2867"/>
      <c r="CC409" s="2867"/>
      <c r="CD409" s="2867"/>
      <c r="CE409" s="2867"/>
      <c r="CF409" s="2867"/>
      <c r="CG409" s="2867"/>
      <c r="CH409" s="2867"/>
      <c r="CI409" s="2867"/>
      <c r="CJ409" s="2867"/>
      <c r="CK409" s="2867"/>
      <c r="CL409" s="2867"/>
      <c r="CM409" s="2867"/>
      <c r="CN409" s="2867"/>
      <c r="CO409" s="2867"/>
      <c r="CP409" s="2867"/>
      <c r="CQ409" s="2867"/>
      <c r="CR409" s="2867"/>
      <c r="CS409" s="2867"/>
      <c r="CT409" s="2867"/>
      <c r="CU409" s="2867"/>
      <c r="CV409" s="2867"/>
      <c r="CW409" s="2867"/>
    </row>
    <row r="410" spans="1:101">
      <c r="A410" s="2867"/>
      <c r="B410" s="2867"/>
      <c r="C410" s="2867"/>
      <c r="D410" s="2867"/>
      <c r="E410" s="2867"/>
      <c r="F410" s="2867"/>
      <c r="G410" s="2867"/>
      <c r="H410" s="2867"/>
      <c r="I410" s="2867"/>
      <c r="J410" s="2867"/>
      <c r="K410" s="2867"/>
      <c r="L410" s="2867"/>
      <c r="M410" s="2867"/>
      <c r="O410" s="2867"/>
      <c r="P410" s="2867"/>
      <c r="Q410" s="2867"/>
      <c r="R410" s="2867"/>
      <c r="S410" s="2867"/>
      <c r="T410" s="2867"/>
      <c r="U410" s="2867"/>
      <c r="V410" s="2867"/>
      <c r="W410" s="2867"/>
      <c r="X410" s="2867"/>
      <c r="Y410" s="2867"/>
      <c r="Z410" s="2867"/>
      <c r="AA410" s="2867"/>
      <c r="AB410" s="2867"/>
      <c r="AC410" s="2867"/>
      <c r="AD410" s="2867"/>
      <c r="AE410" s="2867"/>
      <c r="AF410" s="2867"/>
      <c r="AG410" s="2867"/>
      <c r="AH410" s="2867"/>
      <c r="AI410" s="2867"/>
      <c r="AJ410" s="2867"/>
      <c r="AK410" s="2867"/>
      <c r="AL410" s="2867"/>
      <c r="AM410" s="2867"/>
      <c r="AN410" s="2867"/>
      <c r="AO410" s="2867"/>
      <c r="AP410" s="2867"/>
      <c r="AQ410" s="2867"/>
      <c r="AR410" s="2867"/>
      <c r="AS410" s="2867"/>
      <c r="AT410" s="2867"/>
      <c r="AU410" s="2867"/>
      <c r="AV410" s="2867"/>
      <c r="AW410" s="2867"/>
      <c r="AX410" s="2867"/>
      <c r="AY410" s="2867"/>
      <c r="AZ410" s="2867"/>
      <c r="BA410" s="2867"/>
      <c r="BB410" s="2867"/>
      <c r="BC410" s="2867"/>
      <c r="BD410" s="2867"/>
      <c r="BE410" s="2867"/>
      <c r="BF410" s="2867"/>
      <c r="BG410" s="2867"/>
      <c r="BH410" s="2867"/>
      <c r="BI410" s="2867"/>
      <c r="BJ410" s="2867"/>
      <c r="BK410" s="2867"/>
      <c r="BL410" s="2867"/>
      <c r="BM410" s="2867"/>
      <c r="BN410" s="2867"/>
      <c r="BO410" s="2867"/>
      <c r="BP410" s="2867"/>
      <c r="BQ410" s="2867"/>
      <c r="BR410" s="2867"/>
      <c r="BS410" s="2867"/>
      <c r="BT410" s="2867"/>
      <c r="BU410" s="2867"/>
      <c r="BV410" s="2867"/>
      <c r="BW410" s="2867"/>
      <c r="BX410" s="2867"/>
      <c r="BY410" s="2867"/>
      <c r="BZ410" s="2867"/>
      <c r="CA410" s="2867"/>
      <c r="CB410" s="2867"/>
      <c r="CC410" s="2867"/>
      <c r="CD410" s="2867"/>
      <c r="CE410" s="2867"/>
      <c r="CF410" s="2867"/>
      <c r="CG410" s="2867"/>
      <c r="CH410" s="2867"/>
      <c r="CI410" s="2867"/>
      <c r="CJ410" s="2867"/>
      <c r="CK410" s="2867"/>
      <c r="CL410" s="2867"/>
      <c r="CM410" s="2867"/>
      <c r="CN410" s="2867"/>
      <c r="CO410" s="2867"/>
      <c r="CP410" s="2867"/>
      <c r="CQ410" s="2867"/>
      <c r="CR410" s="2867"/>
      <c r="CS410" s="2867"/>
      <c r="CT410" s="2867"/>
      <c r="CU410" s="2867"/>
      <c r="CV410" s="2867"/>
      <c r="CW410" s="2867"/>
    </row>
    <row r="411" spans="1:101">
      <c r="A411" s="2867"/>
      <c r="B411" s="2867"/>
      <c r="C411" s="2867"/>
      <c r="D411" s="2867"/>
      <c r="E411" s="2867"/>
      <c r="F411" s="2867"/>
      <c r="G411" s="2867"/>
      <c r="H411" s="2867"/>
      <c r="I411" s="2867"/>
      <c r="J411" s="2867"/>
      <c r="K411" s="2867"/>
      <c r="L411" s="2867"/>
      <c r="M411" s="2867"/>
      <c r="O411" s="2867"/>
      <c r="P411" s="2867"/>
      <c r="Q411" s="2867"/>
      <c r="R411" s="2867"/>
      <c r="S411" s="2867"/>
      <c r="T411" s="2867"/>
      <c r="U411" s="2867"/>
      <c r="V411" s="2867"/>
      <c r="W411" s="2867"/>
      <c r="X411" s="2867"/>
      <c r="Y411" s="2867"/>
      <c r="Z411" s="2867"/>
      <c r="AA411" s="2867"/>
      <c r="AB411" s="2867"/>
      <c r="AC411" s="2867"/>
      <c r="AD411" s="2867"/>
      <c r="AE411" s="2867"/>
      <c r="AF411" s="2867"/>
      <c r="AG411" s="2867"/>
      <c r="AH411" s="2867"/>
      <c r="AI411" s="2867"/>
      <c r="AJ411" s="2867"/>
      <c r="AK411" s="2867"/>
      <c r="AL411" s="2867"/>
      <c r="AM411" s="2867"/>
      <c r="AN411" s="2867"/>
      <c r="AO411" s="2867"/>
      <c r="AP411" s="2867"/>
      <c r="AQ411" s="2867"/>
      <c r="AR411" s="2867"/>
      <c r="AS411" s="2867"/>
      <c r="AT411" s="2867"/>
      <c r="AU411" s="2867"/>
      <c r="AV411" s="2867"/>
      <c r="AW411" s="2867"/>
      <c r="AX411" s="2867"/>
      <c r="AY411" s="2867"/>
      <c r="AZ411" s="2867"/>
      <c r="BA411" s="2867"/>
      <c r="BB411" s="2867"/>
      <c r="BC411" s="2867"/>
      <c r="BD411" s="2867"/>
      <c r="BE411" s="2867"/>
      <c r="BF411" s="2867"/>
      <c r="BG411" s="2867"/>
      <c r="BH411" s="2867"/>
      <c r="BI411" s="2867"/>
      <c r="BJ411" s="2867"/>
      <c r="BK411" s="2867"/>
      <c r="BL411" s="2867"/>
      <c r="BM411" s="2867"/>
      <c r="BN411" s="2867"/>
      <c r="BO411" s="2867"/>
      <c r="BP411" s="2867"/>
      <c r="BQ411" s="2867"/>
      <c r="BR411" s="2867"/>
      <c r="BS411" s="2867"/>
      <c r="BT411" s="2867"/>
      <c r="BU411" s="2867"/>
      <c r="BV411" s="2867"/>
      <c r="BW411" s="2867"/>
      <c r="BX411" s="2867"/>
      <c r="BY411" s="2867"/>
      <c r="BZ411" s="2867"/>
      <c r="CA411" s="2867"/>
      <c r="CB411" s="2867"/>
      <c r="CC411" s="2867"/>
      <c r="CD411" s="2867"/>
      <c r="CE411" s="2867"/>
      <c r="CF411" s="2867"/>
      <c r="CG411" s="2867"/>
      <c r="CH411" s="2867"/>
      <c r="CI411" s="2867"/>
      <c r="CJ411" s="2867"/>
      <c r="CK411" s="2867"/>
      <c r="CL411" s="2867"/>
      <c r="CM411" s="2867"/>
      <c r="CN411" s="2867"/>
      <c r="CO411" s="2867"/>
      <c r="CP411" s="2867"/>
      <c r="CQ411" s="2867"/>
      <c r="CR411" s="2867"/>
      <c r="CS411" s="2867"/>
      <c r="CT411" s="2867"/>
      <c r="CU411" s="2867"/>
      <c r="CV411" s="2867"/>
      <c r="CW411" s="2867"/>
    </row>
    <row r="412" spans="1:101">
      <c r="A412" s="2867"/>
      <c r="B412" s="2867"/>
      <c r="C412" s="2867"/>
      <c r="D412" s="2867"/>
      <c r="E412" s="2867"/>
      <c r="F412" s="2867"/>
      <c r="G412" s="2867"/>
      <c r="H412" s="2867"/>
      <c r="I412" s="2867"/>
      <c r="J412" s="2867"/>
      <c r="K412" s="2867"/>
      <c r="L412" s="2867"/>
      <c r="M412" s="2867"/>
      <c r="O412" s="2867"/>
      <c r="P412" s="2867"/>
      <c r="Q412" s="2867"/>
      <c r="R412" s="2867"/>
      <c r="S412" s="2867"/>
      <c r="T412" s="2867"/>
      <c r="U412" s="2867"/>
      <c r="V412" s="2867"/>
      <c r="W412" s="2867"/>
      <c r="X412" s="2867"/>
      <c r="Y412" s="2867"/>
      <c r="Z412" s="2867"/>
      <c r="AA412" s="2867"/>
      <c r="AB412" s="2867"/>
      <c r="AC412" s="2867"/>
      <c r="AD412" s="2867"/>
      <c r="AE412" s="2867"/>
      <c r="AF412" s="2867"/>
      <c r="AG412" s="2867"/>
      <c r="AH412" s="2867"/>
      <c r="AI412" s="2867"/>
      <c r="AJ412" s="2867"/>
      <c r="AK412" s="2867"/>
      <c r="AL412" s="2867"/>
      <c r="AM412" s="2867"/>
      <c r="AN412" s="2867"/>
      <c r="AO412" s="2867"/>
      <c r="AP412" s="2867"/>
      <c r="AQ412" s="2867"/>
      <c r="AR412" s="2867"/>
      <c r="AS412" s="2867"/>
      <c r="AT412" s="2867"/>
      <c r="AU412" s="2867"/>
      <c r="AV412" s="2867"/>
      <c r="AW412" s="2867"/>
      <c r="AX412" s="2867"/>
      <c r="AY412" s="2867"/>
      <c r="AZ412" s="2867"/>
      <c r="BA412" s="2867"/>
      <c r="BB412" s="2867"/>
      <c r="BC412" s="2867"/>
      <c r="BD412" s="2867"/>
      <c r="BE412" s="2867"/>
      <c r="BF412" s="2867"/>
      <c r="BG412" s="2867"/>
      <c r="BH412" s="2867"/>
      <c r="BI412" s="2867"/>
      <c r="BJ412" s="2867"/>
      <c r="BK412" s="2867"/>
      <c r="BL412" s="2867"/>
      <c r="BM412" s="2867"/>
      <c r="BN412" s="2867"/>
      <c r="BO412" s="2867"/>
      <c r="BP412" s="2867"/>
      <c r="BQ412" s="2867"/>
      <c r="BR412" s="2867"/>
      <c r="BS412" s="2867"/>
      <c r="BT412" s="2867"/>
      <c r="BU412" s="2867"/>
      <c r="BV412" s="2867"/>
      <c r="BW412" s="2867"/>
      <c r="BX412" s="2867"/>
      <c r="BY412" s="2867"/>
      <c r="BZ412" s="2867"/>
      <c r="CA412" s="2867"/>
      <c r="CB412" s="2867"/>
      <c r="CC412" s="2867"/>
      <c r="CD412" s="2867"/>
      <c r="CE412" s="2867"/>
      <c r="CF412" s="2867"/>
      <c r="CG412" s="2867"/>
      <c r="CH412" s="2867"/>
      <c r="CI412" s="2867"/>
      <c r="CJ412" s="2867"/>
      <c r="CK412" s="2867"/>
      <c r="CL412" s="2867"/>
      <c r="CM412" s="2867"/>
      <c r="CN412" s="2867"/>
      <c r="CO412" s="2867"/>
      <c r="CP412" s="2867"/>
      <c r="CQ412" s="2867"/>
      <c r="CR412" s="2867"/>
      <c r="CS412" s="2867"/>
      <c r="CT412" s="2867"/>
      <c r="CU412" s="2867"/>
      <c r="CV412" s="2867"/>
      <c r="CW412" s="2867"/>
    </row>
    <row r="413" spans="1:101">
      <c r="A413" s="2867"/>
      <c r="B413" s="2867"/>
      <c r="C413" s="2867"/>
      <c r="D413" s="2867"/>
      <c r="E413" s="2867"/>
      <c r="F413" s="2867"/>
      <c r="G413" s="2867"/>
      <c r="H413" s="2867"/>
      <c r="I413" s="2867"/>
      <c r="J413" s="2867"/>
      <c r="K413" s="2867"/>
      <c r="L413" s="2867"/>
      <c r="M413" s="2867"/>
      <c r="O413" s="2867"/>
      <c r="P413" s="2867"/>
      <c r="Q413" s="2867"/>
      <c r="R413" s="2867"/>
      <c r="S413" s="2867"/>
      <c r="T413" s="2867"/>
      <c r="U413" s="2867"/>
      <c r="V413" s="2867"/>
      <c r="W413" s="2867"/>
      <c r="X413" s="2867"/>
      <c r="Y413" s="2867"/>
      <c r="Z413" s="2867"/>
      <c r="AA413" s="2867"/>
      <c r="AB413" s="2867"/>
      <c r="AC413" s="2867"/>
      <c r="AD413" s="2867"/>
      <c r="AE413" s="2867"/>
      <c r="AF413" s="2867"/>
      <c r="AG413" s="2867"/>
      <c r="AH413" s="2867"/>
      <c r="AI413" s="2867"/>
      <c r="AJ413" s="2867"/>
      <c r="AK413" s="2867"/>
      <c r="AL413" s="2867"/>
      <c r="AM413" s="2867"/>
      <c r="AN413" s="2867"/>
      <c r="AO413" s="2867"/>
      <c r="AP413" s="2867"/>
      <c r="AQ413" s="2867"/>
      <c r="AR413" s="2867"/>
      <c r="AS413" s="2867"/>
      <c r="AT413" s="2867"/>
      <c r="AU413" s="2867"/>
      <c r="AV413" s="2867"/>
      <c r="AW413" s="2867"/>
      <c r="AX413" s="2867"/>
      <c r="AY413" s="2867"/>
      <c r="AZ413" s="2867"/>
      <c r="BA413" s="2867"/>
      <c r="BB413" s="2867"/>
      <c r="BC413" s="2867"/>
      <c r="BD413" s="2867"/>
      <c r="BE413" s="2867"/>
      <c r="BF413" s="2867"/>
      <c r="BG413" s="2867"/>
      <c r="BH413" s="2867"/>
      <c r="BI413" s="2867"/>
      <c r="BJ413" s="2867"/>
      <c r="BK413" s="2867"/>
      <c r="BL413" s="2867"/>
      <c r="BM413" s="2867"/>
      <c r="BN413" s="2867"/>
      <c r="BO413" s="2867"/>
      <c r="BP413" s="2867"/>
      <c r="BQ413" s="2867"/>
      <c r="BR413" s="2867"/>
      <c r="BS413" s="2867"/>
      <c r="BT413" s="2867"/>
      <c r="BU413" s="2867"/>
      <c r="BV413" s="2867"/>
      <c r="BW413" s="2867"/>
      <c r="BX413" s="2867"/>
      <c r="BY413" s="2867"/>
      <c r="BZ413" s="2867"/>
      <c r="CA413" s="2867"/>
      <c r="CB413" s="2867"/>
      <c r="CC413" s="2867"/>
      <c r="CD413" s="2867"/>
      <c r="CE413" s="2867"/>
      <c r="CF413" s="2867"/>
      <c r="CG413" s="2867"/>
      <c r="CH413" s="2867"/>
      <c r="CI413" s="2867"/>
      <c r="CJ413" s="2867"/>
      <c r="CK413" s="2867"/>
      <c r="CL413" s="2867"/>
      <c r="CM413" s="2867"/>
      <c r="CN413" s="2867"/>
      <c r="CO413" s="2867"/>
      <c r="CP413" s="2867"/>
      <c r="CQ413" s="2867"/>
      <c r="CR413" s="2867"/>
      <c r="CS413" s="2867"/>
      <c r="CT413" s="2867"/>
      <c r="CU413" s="2867"/>
      <c r="CV413" s="2867"/>
      <c r="CW413" s="2867"/>
    </row>
    <row r="414" spans="1:101">
      <c r="A414" s="2867"/>
      <c r="B414" s="2867"/>
      <c r="C414" s="2867"/>
      <c r="D414" s="2867"/>
      <c r="E414" s="2867"/>
      <c r="F414" s="2867"/>
      <c r="G414" s="2867"/>
      <c r="H414" s="2867"/>
      <c r="I414" s="2867"/>
      <c r="J414" s="2867"/>
      <c r="K414" s="2867"/>
      <c r="L414" s="2867"/>
      <c r="M414" s="2867"/>
      <c r="O414" s="2867"/>
      <c r="P414" s="2867"/>
      <c r="Q414" s="2867"/>
      <c r="R414" s="2867"/>
      <c r="S414" s="2867"/>
      <c r="T414" s="2867"/>
      <c r="U414" s="2867"/>
      <c r="V414" s="2867"/>
      <c r="W414" s="2867"/>
      <c r="X414" s="2867"/>
      <c r="Y414" s="2867"/>
      <c r="Z414" s="2867"/>
      <c r="AA414" s="2867"/>
      <c r="AB414" s="2867"/>
      <c r="AC414" s="2867"/>
      <c r="AD414" s="2867"/>
      <c r="AE414" s="2867"/>
      <c r="AF414" s="2867"/>
      <c r="AG414" s="2867"/>
      <c r="AH414" s="2867"/>
      <c r="AI414" s="2867"/>
      <c r="AJ414" s="2867"/>
      <c r="AK414" s="2867"/>
      <c r="AL414" s="2867"/>
      <c r="AM414" s="2867"/>
      <c r="AN414" s="2867"/>
      <c r="AO414" s="2867"/>
      <c r="AP414" s="2867"/>
      <c r="AQ414" s="2867"/>
      <c r="AR414" s="2867"/>
      <c r="AS414" s="2867"/>
      <c r="AT414" s="2867"/>
      <c r="AU414" s="2867"/>
      <c r="AV414" s="2867"/>
      <c r="AW414" s="2867"/>
      <c r="AX414" s="2867"/>
      <c r="AY414" s="2867"/>
      <c r="AZ414" s="2867"/>
      <c r="BA414" s="2867"/>
      <c r="BB414" s="2867"/>
      <c r="BC414" s="2867"/>
      <c r="BD414" s="2867"/>
      <c r="BE414" s="2867"/>
      <c r="BF414" s="2867"/>
      <c r="BG414" s="2867"/>
      <c r="BH414" s="2867"/>
      <c r="BI414" s="2867"/>
      <c r="BJ414" s="2867"/>
      <c r="BK414" s="2867"/>
      <c r="BL414" s="2867"/>
      <c r="BM414" s="2867"/>
      <c r="BN414" s="2867"/>
      <c r="BO414" s="2867"/>
      <c r="BP414" s="2867"/>
      <c r="BQ414" s="2867"/>
      <c r="BR414" s="2867"/>
      <c r="BS414" s="2867"/>
      <c r="BT414" s="2867"/>
      <c r="BU414" s="2867"/>
      <c r="BV414" s="2867"/>
      <c r="BW414" s="2867"/>
      <c r="BX414" s="2867"/>
      <c r="BY414" s="2867"/>
      <c r="BZ414" s="2867"/>
      <c r="CA414" s="2867"/>
      <c r="CB414" s="2867"/>
      <c r="CC414" s="2867"/>
      <c r="CD414" s="2867"/>
      <c r="CE414" s="2867"/>
      <c r="CF414" s="2867"/>
      <c r="CG414" s="2867"/>
      <c r="CH414" s="2867"/>
      <c r="CI414" s="2867"/>
      <c r="CJ414" s="2867"/>
      <c r="CK414" s="2867"/>
      <c r="CL414" s="2867"/>
      <c r="CM414" s="2867"/>
      <c r="CN414" s="2867"/>
      <c r="CO414" s="2867"/>
      <c r="CP414" s="2867"/>
      <c r="CQ414" s="2867"/>
      <c r="CR414" s="2867"/>
      <c r="CS414" s="2867"/>
      <c r="CT414" s="2867"/>
      <c r="CU414" s="2867"/>
      <c r="CV414" s="2867"/>
      <c r="CW414" s="2867"/>
    </row>
    <row r="415" spans="1:101">
      <c r="A415" s="2867"/>
      <c r="B415" s="2867"/>
      <c r="C415" s="2867"/>
      <c r="D415" s="2867"/>
      <c r="E415" s="2867"/>
      <c r="F415" s="2867"/>
      <c r="G415" s="2867"/>
      <c r="H415" s="2867"/>
      <c r="I415" s="2867"/>
      <c r="J415" s="2867"/>
      <c r="K415" s="2867"/>
      <c r="L415" s="2867"/>
      <c r="M415" s="2867"/>
      <c r="O415" s="2867"/>
      <c r="P415" s="2867"/>
      <c r="Q415" s="2867"/>
      <c r="R415" s="2867"/>
      <c r="S415" s="2867"/>
      <c r="T415" s="2867"/>
      <c r="U415" s="2867"/>
      <c r="V415" s="2867"/>
      <c r="W415" s="2867"/>
      <c r="X415" s="2867"/>
      <c r="Y415" s="2867"/>
      <c r="Z415" s="2867"/>
      <c r="AA415" s="2867"/>
      <c r="AB415" s="2867"/>
      <c r="AC415" s="2867"/>
      <c r="AD415" s="2867"/>
      <c r="AE415" s="2867"/>
      <c r="AF415" s="2867"/>
      <c r="AG415" s="2867"/>
      <c r="AH415" s="2867"/>
      <c r="AI415" s="2867"/>
      <c r="AJ415" s="2867"/>
      <c r="AK415" s="2867"/>
      <c r="AL415" s="2867"/>
      <c r="AM415" s="2867"/>
      <c r="AN415" s="2867"/>
      <c r="AO415" s="2867"/>
      <c r="AP415" s="2867"/>
      <c r="AQ415" s="2867"/>
      <c r="AR415" s="2867"/>
      <c r="AS415" s="2867"/>
      <c r="AT415" s="2867"/>
      <c r="AU415" s="2867"/>
      <c r="AV415" s="2867"/>
      <c r="AW415" s="2867"/>
      <c r="AX415" s="2867"/>
      <c r="AY415" s="2867"/>
      <c r="AZ415" s="2867"/>
      <c r="BA415" s="2867"/>
      <c r="BB415" s="2867"/>
      <c r="BC415" s="2867"/>
      <c r="BD415" s="2867"/>
      <c r="BE415" s="2867"/>
      <c r="BF415" s="2867"/>
      <c r="BG415" s="2867"/>
      <c r="BH415" s="2867"/>
      <c r="BI415" s="2867"/>
      <c r="BJ415" s="2867"/>
      <c r="BK415" s="2867"/>
      <c r="BL415" s="2867"/>
      <c r="BM415" s="2867"/>
      <c r="BN415" s="2867"/>
      <c r="BO415" s="2867"/>
      <c r="BP415" s="2867"/>
      <c r="BQ415" s="2867"/>
      <c r="BR415" s="2867"/>
      <c r="BS415" s="2867"/>
      <c r="BT415" s="2867"/>
      <c r="BU415" s="2867"/>
      <c r="BV415" s="2867"/>
      <c r="BW415" s="2867"/>
      <c r="BX415" s="2867"/>
      <c r="BY415" s="2867"/>
      <c r="BZ415" s="2867"/>
      <c r="CA415" s="2867"/>
      <c r="CB415" s="2867"/>
      <c r="CC415" s="2867"/>
      <c r="CD415" s="2867"/>
      <c r="CE415" s="2867"/>
      <c r="CF415" s="2867"/>
      <c r="CG415" s="2867"/>
      <c r="CH415" s="2867"/>
      <c r="CI415" s="2867"/>
      <c r="CJ415" s="2867"/>
      <c r="CK415" s="2867"/>
      <c r="CL415" s="2867"/>
      <c r="CM415" s="2867"/>
      <c r="CN415" s="2867"/>
      <c r="CO415" s="2867"/>
      <c r="CP415" s="2867"/>
      <c r="CQ415" s="2867"/>
      <c r="CR415" s="2867"/>
      <c r="CS415" s="2867"/>
      <c r="CT415" s="2867"/>
      <c r="CU415" s="2867"/>
      <c r="CV415" s="2867"/>
      <c r="CW415" s="2867"/>
    </row>
    <row r="416" spans="1:101">
      <c r="A416" s="2867"/>
      <c r="B416" s="2867"/>
      <c r="C416" s="2867"/>
      <c r="D416" s="2867"/>
      <c r="E416" s="2867"/>
      <c r="F416" s="2867"/>
      <c r="G416" s="2867"/>
      <c r="H416" s="2867"/>
      <c r="I416" s="2867"/>
      <c r="J416" s="2867"/>
      <c r="K416" s="2867"/>
      <c r="L416" s="2867"/>
      <c r="M416" s="2867"/>
      <c r="O416" s="2867"/>
      <c r="P416" s="2867"/>
      <c r="Q416" s="2867"/>
      <c r="R416" s="2867"/>
      <c r="S416" s="2867"/>
      <c r="T416" s="2867"/>
      <c r="U416" s="2867"/>
      <c r="V416" s="2867"/>
      <c r="W416" s="2867"/>
      <c r="X416" s="2867"/>
      <c r="Y416" s="2867"/>
      <c r="Z416" s="2867"/>
      <c r="AA416" s="2867"/>
      <c r="AB416" s="2867"/>
      <c r="AC416" s="2867"/>
      <c r="AD416" s="2867"/>
      <c r="AE416" s="2867"/>
      <c r="AF416" s="2867"/>
      <c r="AG416" s="2867"/>
      <c r="AH416" s="2867"/>
      <c r="AI416" s="2867"/>
      <c r="AJ416" s="2867"/>
      <c r="AK416" s="2867"/>
      <c r="AL416" s="2867"/>
      <c r="AM416" s="2867"/>
      <c r="AN416" s="2867"/>
      <c r="AO416" s="2867"/>
      <c r="AP416" s="2867"/>
      <c r="AQ416" s="2867"/>
      <c r="AR416" s="2867"/>
      <c r="AS416" s="2867"/>
      <c r="AT416" s="2867"/>
      <c r="AU416" s="2867"/>
      <c r="AV416" s="2867"/>
      <c r="AW416" s="2867"/>
      <c r="AX416" s="2867"/>
      <c r="AY416" s="2867"/>
      <c r="AZ416" s="2867"/>
      <c r="BA416" s="2867"/>
      <c r="BB416" s="2867"/>
      <c r="BC416" s="2867"/>
      <c r="BD416" s="2867"/>
      <c r="BE416" s="2867"/>
      <c r="BF416" s="2867"/>
      <c r="BG416" s="2867"/>
      <c r="BH416" s="2867"/>
      <c r="BI416" s="2867"/>
      <c r="BJ416" s="2867"/>
      <c r="BK416" s="2867"/>
      <c r="BL416" s="2867"/>
      <c r="BM416" s="2867"/>
      <c r="BN416" s="2867"/>
      <c r="BO416" s="2867"/>
      <c r="BP416" s="2867"/>
      <c r="BQ416" s="2867"/>
      <c r="BR416" s="2867"/>
      <c r="BS416" s="2867"/>
      <c r="BT416" s="2867"/>
      <c r="BU416" s="2867"/>
      <c r="BV416" s="2867"/>
      <c r="BW416" s="2867"/>
      <c r="BX416" s="2867"/>
      <c r="BY416" s="2867"/>
      <c r="BZ416" s="2867"/>
      <c r="CA416" s="2867"/>
      <c r="CB416" s="2867"/>
      <c r="CC416" s="2867"/>
      <c r="CD416" s="2867"/>
      <c r="CE416" s="2867"/>
      <c r="CF416" s="2867"/>
      <c r="CG416" s="2867"/>
      <c r="CH416" s="2867"/>
      <c r="CI416" s="2867"/>
      <c r="CJ416" s="2867"/>
      <c r="CK416" s="2867"/>
      <c r="CL416" s="2867"/>
      <c r="CM416" s="2867"/>
      <c r="CN416" s="2867"/>
      <c r="CO416" s="2867"/>
      <c r="CP416" s="2867"/>
      <c r="CQ416" s="2867"/>
      <c r="CR416" s="2867"/>
      <c r="CS416" s="2867"/>
      <c r="CT416" s="2867"/>
      <c r="CU416" s="2867"/>
      <c r="CV416" s="2867"/>
      <c r="CW416" s="2867"/>
    </row>
    <row r="417" spans="1:101">
      <c r="A417" s="2867"/>
      <c r="B417" s="2867"/>
      <c r="C417" s="2867"/>
      <c r="D417" s="2867"/>
      <c r="E417" s="2867"/>
      <c r="F417" s="2867"/>
      <c r="G417" s="2867"/>
      <c r="H417" s="2867"/>
      <c r="I417" s="2867"/>
      <c r="J417" s="2867"/>
      <c r="K417" s="2867"/>
      <c r="L417" s="2867"/>
      <c r="M417" s="2867"/>
      <c r="O417" s="2867"/>
      <c r="P417" s="2867"/>
      <c r="Q417" s="2867"/>
      <c r="R417" s="2867"/>
      <c r="S417" s="2867"/>
      <c r="T417" s="2867"/>
      <c r="U417" s="2867"/>
      <c r="V417" s="2867"/>
      <c r="W417" s="2867"/>
      <c r="X417" s="2867"/>
      <c r="Y417" s="2867"/>
      <c r="Z417" s="2867"/>
      <c r="AA417" s="2867"/>
      <c r="AB417" s="2867"/>
      <c r="AC417" s="2867"/>
      <c r="AD417" s="2867"/>
      <c r="AE417" s="2867"/>
      <c r="AF417" s="2867"/>
      <c r="AG417" s="2867"/>
      <c r="AH417" s="2867"/>
      <c r="AI417" s="2867"/>
      <c r="AJ417" s="2867"/>
      <c r="AK417" s="2867"/>
      <c r="AL417" s="2867"/>
      <c r="AM417" s="2867"/>
      <c r="AN417" s="2867"/>
      <c r="AO417" s="2867"/>
      <c r="AP417" s="2867"/>
      <c r="AQ417" s="2867"/>
      <c r="AR417" s="2867"/>
      <c r="AS417" s="2867"/>
      <c r="AT417" s="2867"/>
      <c r="AU417" s="2867"/>
      <c r="AV417" s="2867"/>
      <c r="AW417" s="2867"/>
      <c r="AX417" s="2867"/>
      <c r="AY417" s="2867"/>
      <c r="AZ417" s="2867"/>
      <c r="BA417" s="2867"/>
      <c r="BB417" s="2867"/>
      <c r="BC417" s="2867"/>
      <c r="BD417" s="2867"/>
      <c r="BE417" s="2867"/>
      <c r="BF417" s="2867"/>
      <c r="BG417" s="2867"/>
      <c r="BH417" s="2867"/>
      <c r="BI417" s="2867"/>
      <c r="BJ417" s="2867"/>
      <c r="BK417" s="2867"/>
      <c r="BL417" s="2867"/>
      <c r="BM417" s="2867"/>
      <c r="BN417" s="2867"/>
      <c r="BO417" s="2867"/>
      <c r="BP417" s="2867"/>
      <c r="BQ417" s="2867"/>
      <c r="BR417" s="2867"/>
      <c r="BS417" s="2867"/>
      <c r="BT417" s="2867"/>
      <c r="BU417" s="2867"/>
      <c r="BV417" s="2867"/>
      <c r="BW417" s="2867"/>
      <c r="BX417" s="2867"/>
      <c r="BY417" s="2867"/>
      <c r="BZ417" s="2867"/>
      <c r="CA417" s="2867"/>
      <c r="CB417" s="2867"/>
      <c r="CC417" s="2867"/>
      <c r="CD417" s="2867"/>
      <c r="CE417" s="2867"/>
      <c r="CF417" s="2867"/>
      <c r="CG417" s="2867"/>
      <c r="CH417" s="2867"/>
      <c r="CI417" s="2867"/>
      <c r="CJ417" s="2867"/>
      <c r="CK417" s="2867"/>
      <c r="CL417" s="2867"/>
      <c r="CM417" s="2867"/>
      <c r="CN417" s="2867"/>
      <c r="CO417" s="2867"/>
      <c r="CP417" s="2867"/>
      <c r="CQ417" s="2867"/>
      <c r="CR417" s="2867"/>
      <c r="CS417" s="2867"/>
      <c r="CT417" s="2867"/>
      <c r="CU417" s="2867"/>
      <c r="CV417" s="2867"/>
      <c r="CW417" s="2867"/>
    </row>
    <row r="418" spans="1:101">
      <c r="A418" s="2867"/>
      <c r="B418" s="2867"/>
      <c r="C418" s="2867"/>
      <c r="D418" s="2867"/>
      <c r="E418" s="2867"/>
      <c r="F418" s="2867"/>
      <c r="G418" s="2867"/>
      <c r="H418" s="2867"/>
      <c r="I418" s="2867"/>
      <c r="J418" s="2867"/>
      <c r="K418" s="2867"/>
      <c r="L418" s="2867"/>
      <c r="M418" s="2867"/>
      <c r="O418" s="2867"/>
      <c r="P418" s="2867"/>
      <c r="Q418" s="2867"/>
      <c r="R418" s="2867"/>
      <c r="S418" s="2867"/>
      <c r="T418" s="2867"/>
      <c r="U418" s="2867"/>
      <c r="V418" s="2867"/>
      <c r="W418" s="2867"/>
      <c r="X418" s="2867"/>
      <c r="Y418" s="2867"/>
      <c r="Z418" s="2867"/>
      <c r="AA418" s="2867"/>
      <c r="AB418" s="2867"/>
      <c r="AC418" s="2867"/>
      <c r="AD418" s="2867"/>
      <c r="AE418" s="2867"/>
      <c r="AF418" s="2867"/>
      <c r="AG418" s="2867"/>
      <c r="AH418" s="2867"/>
      <c r="AI418" s="2867"/>
      <c r="AJ418" s="2867"/>
      <c r="AK418" s="2867"/>
      <c r="AL418" s="2867"/>
      <c r="AM418" s="2867"/>
      <c r="AN418" s="2867"/>
      <c r="AO418" s="2867"/>
      <c r="AP418" s="2867"/>
      <c r="AQ418" s="2867"/>
      <c r="AR418" s="2867"/>
      <c r="AS418" s="2867"/>
      <c r="AT418" s="2867"/>
      <c r="AU418" s="2867"/>
      <c r="AV418" s="2867"/>
      <c r="AW418" s="2867"/>
      <c r="AX418" s="2867"/>
      <c r="AY418" s="2867"/>
      <c r="AZ418" s="2867"/>
      <c r="BA418" s="2867"/>
      <c r="BB418" s="2867"/>
      <c r="BC418" s="2867"/>
      <c r="BD418" s="2867"/>
      <c r="BE418" s="2867"/>
      <c r="BF418" s="2867"/>
      <c r="BG418" s="2867"/>
      <c r="BH418" s="2867"/>
      <c r="BI418" s="2867"/>
      <c r="BJ418" s="2867"/>
      <c r="BK418" s="2867"/>
      <c r="BL418" s="2867"/>
      <c r="BM418" s="2867"/>
      <c r="BN418" s="2867"/>
      <c r="BO418" s="2867"/>
      <c r="BP418" s="2867"/>
      <c r="BQ418" s="2867"/>
      <c r="BR418" s="2867"/>
      <c r="BS418" s="2867"/>
      <c r="BT418" s="2867"/>
      <c r="BU418" s="2867"/>
      <c r="BV418" s="2867"/>
      <c r="BW418" s="2867"/>
      <c r="BX418" s="2867"/>
      <c r="BY418" s="2867"/>
      <c r="BZ418" s="2867"/>
      <c r="CA418" s="2867"/>
      <c r="CB418" s="2867"/>
      <c r="CC418" s="2867"/>
      <c r="CD418" s="2867"/>
      <c r="CE418" s="2867"/>
      <c r="CF418" s="2867"/>
      <c r="CG418" s="2867"/>
      <c r="CH418" s="2867"/>
      <c r="CI418" s="2867"/>
      <c r="CJ418" s="2867"/>
      <c r="CK418" s="2867"/>
      <c r="CL418" s="2867"/>
      <c r="CM418" s="2867"/>
      <c r="CN418" s="2867"/>
      <c r="CO418" s="2867"/>
      <c r="CP418" s="2867"/>
      <c r="CQ418" s="2867"/>
      <c r="CR418" s="2867"/>
      <c r="CS418" s="2867"/>
      <c r="CT418" s="2867"/>
      <c r="CU418" s="2867"/>
      <c r="CV418" s="2867"/>
      <c r="CW418" s="2867"/>
    </row>
    <row r="419" spans="1:101">
      <c r="A419" s="2867"/>
      <c r="B419" s="2867"/>
      <c r="C419" s="2867"/>
      <c r="D419" s="2867"/>
      <c r="E419" s="2867"/>
      <c r="F419" s="2867"/>
      <c r="G419" s="2867"/>
      <c r="H419" s="2867"/>
      <c r="I419" s="2867"/>
      <c r="J419" s="2867"/>
      <c r="K419" s="2867"/>
      <c r="L419" s="2867"/>
      <c r="M419" s="2867"/>
      <c r="O419" s="2867"/>
      <c r="P419" s="2867"/>
      <c r="Q419" s="2867"/>
      <c r="R419" s="2867"/>
      <c r="S419" s="2867"/>
      <c r="T419" s="2867"/>
      <c r="U419" s="2867"/>
      <c r="V419" s="2867"/>
      <c r="W419" s="2867"/>
      <c r="X419" s="2867"/>
      <c r="Y419" s="2867"/>
      <c r="Z419" s="2867"/>
      <c r="AA419" s="2867"/>
      <c r="AB419" s="2867"/>
      <c r="AC419" s="2867"/>
      <c r="AD419" s="2867"/>
      <c r="AE419" s="2867"/>
      <c r="AF419" s="2867"/>
      <c r="AG419" s="2867"/>
      <c r="AH419" s="2867"/>
      <c r="AI419" s="2867"/>
      <c r="AJ419" s="2867"/>
      <c r="AK419" s="2867"/>
      <c r="AL419" s="2867"/>
      <c r="AM419" s="2867"/>
      <c r="AN419" s="2867"/>
      <c r="AO419" s="2867"/>
      <c r="AP419" s="2867"/>
      <c r="AQ419" s="2867"/>
      <c r="AR419" s="2867"/>
      <c r="AS419" s="2867"/>
      <c r="AT419" s="2867"/>
      <c r="AU419" s="2867"/>
      <c r="AV419" s="2867"/>
      <c r="AW419" s="2867"/>
      <c r="AX419" s="2867"/>
      <c r="AY419" s="2867"/>
      <c r="AZ419" s="2867"/>
      <c r="BA419" s="2867"/>
      <c r="BB419" s="2867"/>
      <c r="BC419" s="2867"/>
      <c r="BD419" s="2867"/>
      <c r="BE419" s="2867"/>
      <c r="BF419" s="2867"/>
      <c r="BG419" s="2867"/>
      <c r="BH419" s="2867"/>
      <c r="BI419" s="2867"/>
      <c r="BJ419" s="2867"/>
      <c r="BK419" s="2867"/>
      <c r="BL419" s="2867"/>
      <c r="BM419" s="2867"/>
      <c r="BN419" s="2867"/>
      <c r="BO419" s="2867"/>
      <c r="BP419" s="2867"/>
      <c r="BQ419" s="2867"/>
      <c r="BR419" s="2867"/>
      <c r="BS419" s="2867"/>
      <c r="BT419" s="2867"/>
      <c r="BU419" s="2867"/>
      <c r="BV419" s="2867"/>
      <c r="BW419" s="2867"/>
      <c r="BX419" s="2867"/>
      <c r="BY419" s="2867"/>
      <c r="BZ419" s="2867"/>
      <c r="CA419" s="2867"/>
      <c r="CB419" s="2867"/>
      <c r="CC419" s="2867"/>
      <c r="CD419" s="2867"/>
      <c r="CE419" s="2867"/>
      <c r="CF419" s="2867"/>
      <c r="CG419" s="2867"/>
      <c r="CH419" s="2867"/>
      <c r="CI419" s="2867"/>
      <c r="CJ419" s="2867"/>
      <c r="CK419" s="2867"/>
      <c r="CL419" s="2867"/>
      <c r="CM419" s="2867"/>
      <c r="CN419" s="2867"/>
      <c r="CO419" s="2867"/>
      <c r="CP419" s="2867"/>
      <c r="CQ419" s="2867"/>
      <c r="CR419" s="2867"/>
      <c r="CS419" s="2867"/>
      <c r="CT419" s="2867"/>
      <c r="CU419" s="2867"/>
      <c r="CV419" s="2867"/>
      <c r="CW419" s="2867"/>
    </row>
    <row r="420" spans="1:101">
      <c r="A420" s="2867"/>
      <c r="B420" s="2867"/>
      <c r="C420" s="2867"/>
      <c r="D420" s="2867"/>
      <c r="E420" s="2867"/>
      <c r="F420" s="2867"/>
      <c r="G420" s="2867"/>
      <c r="H420" s="2867"/>
      <c r="I420" s="2867"/>
      <c r="J420" s="2867"/>
      <c r="K420" s="2867"/>
      <c r="L420" s="2867"/>
      <c r="M420" s="2867"/>
      <c r="O420" s="2867"/>
      <c r="P420" s="2867"/>
      <c r="Q420" s="2867"/>
      <c r="R420" s="2867"/>
      <c r="S420" s="2867"/>
      <c r="T420" s="2867"/>
      <c r="U420" s="2867"/>
      <c r="V420" s="2867"/>
      <c r="W420" s="2867"/>
      <c r="X420" s="2867"/>
      <c r="Y420" s="2867"/>
      <c r="Z420" s="2867"/>
      <c r="AA420" s="2867"/>
      <c r="AB420" s="2867"/>
      <c r="AC420" s="2867"/>
      <c r="AD420" s="2867"/>
      <c r="AE420" s="2867"/>
      <c r="AF420" s="2867"/>
      <c r="AG420" s="2867"/>
      <c r="AH420" s="2867"/>
      <c r="AI420" s="2867"/>
      <c r="AJ420" s="2867"/>
      <c r="AK420" s="2867"/>
      <c r="AL420" s="2867"/>
      <c r="AM420" s="2867"/>
      <c r="AN420" s="2867"/>
      <c r="AO420" s="2867"/>
      <c r="AP420" s="2867"/>
      <c r="AQ420" s="2867"/>
      <c r="AR420" s="2867"/>
      <c r="AS420" s="2867"/>
      <c r="AT420" s="2867"/>
      <c r="AU420" s="2867"/>
      <c r="AV420" s="2867"/>
      <c r="AW420" s="2867"/>
      <c r="AX420" s="2867"/>
      <c r="AY420" s="2867"/>
      <c r="AZ420" s="2867"/>
      <c r="BA420" s="2867"/>
      <c r="BB420" s="2867"/>
      <c r="BC420" s="2867"/>
      <c r="BD420" s="2867"/>
      <c r="BE420" s="2867"/>
      <c r="BF420" s="2867"/>
      <c r="BG420" s="2867"/>
      <c r="BH420" s="2867"/>
      <c r="BI420" s="2867"/>
      <c r="BJ420" s="2867"/>
      <c r="BK420" s="2867"/>
      <c r="BL420" s="2867"/>
      <c r="BM420" s="2867"/>
      <c r="BN420" s="2867"/>
      <c r="BO420" s="2867"/>
      <c r="BP420" s="2867"/>
      <c r="BQ420" s="2867"/>
      <c r="BR420" s="2867"/>
      <c r="BS420" s="2867"/>
      <c r="BT420" s="2867"/>
      <c r="BU420" s="2867"/>
      <c r="BV420" s="2867"/>
      <c r="BW420" s="2867"/>
      <c r="BX420" s="2867"/>
      <c r="BY420" s="2867"/>
      <c r="BZ420" s="2867"/>
      <c r="CA420" s="2867"/>
      <c r="CB420" s="2867"/>
      <c r="CC420" s="2867"/>
      <c r="CD420" s="2867"/>
      <c r="CE420" s="2867"/>
      <c r="CF420" s="2867"/>
      <c r="CG420" s="2867"/>
      <c r="CH420" s="2867"/>
      <c r="CI420" s="2867"/>
      <c r="CJ420" s="2867"/>
      <c r="CK420" s="2867"/>
      <c r="CL420" s="2867"/>
      <c r="CM420" s="2867"/>
      <c r="CN420" s="2867"/>
      <c r="CO420" s="2867"/>
      <c r="CP420" s="2867"/>
      <c r="CQ420" s="2867"/>
      <c r="CR420" s="2867"/>
      <c r="CS420" s="2867"/>
      <c r="CT420" s="2867"/>
      <c r="CU420" s="2867"/>
      <c r="CV420" s="2867"/>
      <c r="CW420" s="2867"/>
    </row>
    <row r="421" spans="1:101">
      <c r="A421" s="2867"/>
      <c r="B421" s="2867"/>
      <c r="C421" s="2867"/>
      <c r="D421" s="2867"/>
      <c r="E421" s="2867"/>
      <c r="F421" s="2867"/>
      <c r="G421" s="2867"/>
      <c r="H421" s="2867"/>
      <c r="I421" s="2867"/>
      <c r="J421" s="2867"/>
      <c r="K421" s="2867"/>
      <c r="L421" s="2867"/>
      <c r="M421" s="2867"/>
      <c r="O421" s="2867"/>
      <c r="P421" s="2867"/>
      <c r="Q421" s="2867"/>
      <c r="R421" s="2867"/>
      <c r="S421" s="2867"/>
      <c r="T421" s="2867"/>
      <c r="U421" s="2867"/>
      <c r="V421" s="2867"/>
      <c r="W421" s="2867"/>
      <c r="X421" s="2867"/>
      <c r="Y421" s="2867"/>
      <c r="Z421" s="2867"/>
      <c r="AA421" s="2867"/>
      <c r="AB421" s="2867"/>
      <c r="AC421" s="2867"/>
      <c r="AD421" s="2867"/>
      <c r="AE421" s="2867"/>
      <c r="AF421" s="2867"/>
      <c r="AG421" s="2867"/>
      <c r="AH421" s="2867"/>
      <c r="AI421" s="2867"/>
      <c r="AJ421" s="2867"/>
      <c r="AK421" s="2867"/>
      <c r="AL421" s="2867"/>
      <c r="AM421" s="2867"/>
      <c r="AN421" s="2867"/>
      <c r="AO421" s="2867"/>
      <c r="AP421" s="2867"/>
      <c r="AQ421" s="2867"/>
      <c r="AR421" s="2867"/>
      <c r="AS421" s="2867"/>
      <c r="AT421" s="2867"/>
      <c r="AU421" s="2867"/>
      <c r="AV421" s="2867"/>
      <c r="AW421" s="2867"/>
      <c r="AX421" s="2867"/>
      <c r="AY421" s="2867"/>
      <c r="AZ421" s="2867"/>
      <c r="BA421" s="2867"/>
      <c r="BB421" s="2867"/>
      <c r="BC421" s="2867"/>
      <c r="BD421" s="2867"/>
      <c r="BE421" s="2867"/>
      <c r="BF421" s="2867"/>
      <c r="BG421" s="2867"/>
      <c r="BH421" s="2867"/>
      <c r="BI421" s="2867"/>
      <c r="BJ421" s="2867"/>
      <c r="BK421" s="2867"/>
      <c r="BL421" s="2867"/>
      <c r="BM421" s="2867"/>
      <c r="BN421" s="2867"/>
      <c r="BO421" s="2867"/>
      <c r="BP421" s="2867"/>
      <c r="BQ421" s="2867"/>
      <c r="BR421" s="2867"/>
      <c r="BS421" s="2867"/>
      <c r="BT421" s="2867"/>
      <c r="BU421" s="2867"/>
      <c r="BV421" s="2867"/>
      <c r="BW421" s="2867"/>
      <c r="BX421" s="2867"/>
      <c r="BY421" s="2867"/>
      <c r="BZ421" s="2867"/>
      <c r="CA421" s="2867"/>
      <c r="CB421" s="2867"/>
      <c r="CC421" s="2867"/>
      <c r="CD421" s="2867"/>
      <c r="CE421" s="2867"/>
      <c r="CF421" s="2867"/>
      <c r="CG421" s="2867"/>
      <c r="CH421" s="2867"/>
      <c r="CI421" s="2867"/>
      <c r="CJ421" s="2867"/>
      <c r="CK421" s="2867"/>
      <c r="CL421" s="2867"/>
      <c r="CM421" s="2867"/>
      <c r="CN421" s="2867"/>
      <c r="CO421" s="2867"/>
      <c r="CP421" s="2867"/>
      <c r="CQ421" s="2867"/>
      <c r="CR421" s="2867"/>
      <c r="CS421" s="2867"/>
      <c r="CT421" s="2867"/>
      <c r="CU421" s="2867"/>
      <c r="CV421" s="2867"/>
      <c r="CW421" s="2867"/>
    </row>
    <row r="422" spans="1:101">
      <c r="A422" s="2867"/>
      <c r="B422" s="2867"/>
      <c r="C422" s="2867"/>
      <c r="D422" s="2867"/>
      <c r="E422" s="2867"/>
      <c r="F422" s="2867"/>
      <c r="G422" s="2867"/>
      <c r="H422" s="2867"/>
      <c r="I422" s="2867"/>
      <c r="J422" s="2867"/>
      <c r="K422" s="2867"/>
      <c r="L422" s="2867"/>
      <c r="M422" s="2867"/>
      <c r="O422" s="2867"/>
      <c r="P422" s="2867"/>
      <c r="Q422" s="2867"/>
      <c r="R422" s="2867"/>
      <c r="S422" s="2867"/>
      <c r="T422" s="2867"/>
      <c r="U422" s="2867"/>
      <c r="V422" s="2867"/>
      <c r="W422" s="2867"/>
      <c r="X422" s="2867"/>
      <c r="Y422" s="2867"/>
      <c r="Z422" s="2867"/>
      <c r="AA422" s="2867"/>
      <c r="AB422" s="2867"/>
      <c r="AC422" s="2867"/>
      <c r="AD422" s="2867"/>
      <c r="AE422" s="2867"/>
      <c r="AF422" s="2867"/>
      <c r="AG422" s="2867"/>
      <c r="AH422" s="2867"/>
      <c r="AI422" s="2867"/>
      <c r="AJ422" s="2867"/>
      <c r="AK422" s="2867"/>
      <c r="AL422" s="2867"/>
      <c r="AM422" s="2867"/>
      <c r="AN422" s="2867"/>
      <c r="AO422" s="2867"/>
      <c r="AP422" s="2867"/>
      <c r="AQ422" s="2867"/>
      <c r="AR422" s="2867"/>
      <c r="AS422" s="2867"/>
      <c r="AT422" s="2867"/>
      <c r="AU422" s="2867"/>
      <c r="AV422" s="2867"/>
      <c r="AW422" s="2867"/>
      <c r="AX422" s="2867"/>
      <c r="AY422" s="2867"/>
      <c r="AZ422" s="2867"/>
      <c r="BA422" s="2867"/>
      <c r="BB422" s="2867"/>
      <c r="BC422" s="2867"/>
      <c r="BD422" s="2867"/>
      <c r="BE422" s="2867"/>
      <c r="BF422" s="2867"/>
      <c r="BG422" s="2867"/>
      <c r="BH422" s="2867"/>
      <c r="BI422" s="2867"/>
      <c r="BJ422" s="2867"/>
      <c r="BK422" s="2867"/>
      <c r="BL422" s="2867"/>
      <c r="BM422" s="2867"/>
      <c r="BN422" s="2867"/>
      <c r="BO422" s="2867"/>
      <c r="BP422" s="2867"/>
      <c r="BQ422" s="2867"/>
      <c r="BR422" s="2867"/>
      <c r="BS422" s="2867"/>
      <c r="BT422" s="2867"/>
      <c r="BU422" s="2867"/>
      <c r="BV422" s="2867"/>
      <c r="BW422" s="2867"/>
      <c r="BX422" s="2867"/>
      <c r="BY422" s="2867"/>
      <c r="BZ422" s="2867"/>
      <c r="CA422" s="2867"/>
      <c r="CB422" s="2867"/>
      <c r="CC422" s="2867"/>
      <c r="CD422" s="2867"/>
      <c r="CE422" s="2867"/>
      <c r="CF422" s="2867"/>
      <c r="CG422" s="2867"/>
      <c r="CH422" s="2867"/>
      <c r="CI422" s="2867"/>
      <c r="CJ422" s="2867"/>
      <c r="CK422" s="2867"/>
      <c r="CL422" s="2867"/>
      <c r="CM422" s="2867"/>
      <c r="CN422" s="2867"/>
      <c r="CO422" s="2867"/>
      <c r="CP422" s="2867"/>
      <c r="CQ422" s="2867"/>
      <c r="CR422" s="2867"/>
      <c r="CS422" s="2867"/>
      <c r="CT422" s="2867"/>
      <c r="CU422" s="2867"/>
      <c r="CV422" s="2867"/>
      <c r="CW422" s="2867"/>
    </row>
    <row r="423" spans="1:101">
      <c r="A423" s="2867"/>
      <c r="B423" s="2867"/>
      <c r="C423" s="2867"/>
      <c r="D423" s="2867"/>
      <c r="E423" s="2867"/>
      <c r="F423" s="2867"/>
      <c r="G423" s="2867"/>
      <c r="H423" s="2867"/>
      <c r="I423" s="2867"/>
      <c r="J423" s="2867"/>
      <c r="K423" s="2867"/>
      <c r="L423" s="2867"/>
      <c r="M423" s="2867"/>
      <c r="O423" s="2867"/>
      <c r="P423" s="2867"/>
      <c r="Q423" s="2867"/>
      <c r="R423" s="2867"/>
      <c r="S423" s="2867"/>
      <c r="T423" s="2867"/>
      <c r="U423" s="2867"/>
      <c r="V423" s="2867"/>
      <c r="W423" s="2867"/>
      <c r="X423" s="2867"/>
      <c r="Y423" s="2867"/>
      <c r="Z423" s="2867"/>
      <c r="AA423" s="2867"/>
      <c r="AB423" s="2867"/>
      <c r="AC423" s="2867"/>
      <c r="AD423" s="2867"/>
      <c r="AE423" s="2867"/>
      <c r="AF423" s="2867"/>
      <c r="AG423" s="2867"/>
      <c r="AH423" s="2867"/>
      <c r="AI423" s="2867"/>
      <c r="AJ423" s="2867"/>
      <c r="AK423" s="2867"/>
      <c r="AL423" s="2867"/>
      <c r="AM423" s="2867"/>
      <c r="AN423" s="2867"/>
      <c r="AO423" s="2867"/>
      <c r="AP423" s="2867"/>
      <c r="AQ423" s="2867"/>
      <c r="AR423" s="2867"/>
      <c r="AS423" s="2867"/>
      <c r="AT423" s="2867"/>
      <c r="AU423" s="2867"/>
      <c r="AV423" s="2867"/>
      <c r="AW423" s="2867"/>
      <c r="AX423" s="2867"/>
      <c r="AY423" s="2867"/>
      <c r="AZ423" s="2867"/>
      <c r="BA423" s="2867"/>
      <c r="BB423" s="2867"/>
      <c r="BC423" s="2867"/>
      <c r="BD423" s="2867"/>
      <c r="BE423" s="2867"/>
      <c r="BF423" s="2867"/>
      <c r="BG423" s="2867"/>
      <c r="BH423" s="2867"/>
      <c r="BI423" s="2867"/>
      <c r="BJ423" s="2867"/>
      <c r="BK423" s="2867"/>
      <c r="BL423" s="2867"/>
      <c r="BM423" s="2867"/>
      <c r="BN423" s="2867"/>
      <c r="BO423" s="2867"/>
      <c r="BP423" s="2867"/>
      <c r="BQ423" s="2867"/>
      <c r="BR423" s="2867"/>
      <c r="BS423" s="2867"/>
      <c r="BT423" s="2867"/>
      <c r="BU423" s="2867"/>
      <c r="BV423" s="2867"/>
      <c r="BW423" s="2867"/>
      <c r="BX423" s="2867"/>
      <c r="BY423" s="2867"/>
      <c r="BZ423" s="2867"/>
      <c r="CA423" s="2867"/>
      <c r="CB423" s="2867"/>
      <c r="CC423" s="2867"/>
      <c r="CD423" s="2867"/>
      <c r="CE423" s="2867"/>
      <c r="CF423" s="2867"/>
      <c r="CG423" s="2867"/>
      <c r="CH423" s="2867"/>
      <c r="CI423" s="2867"/>
      <c r="CJ423" s="2867"/>
      <c r="CK423" s="2867"/>
      <c r="CL423" s="2867"/>
      <c r="CM423" s="2867"/>
      <c r="CN423" s="2867"/>
      <c r="CO423" s="2867"/>
      <c r="CP423" s="2867"/>
      <c r="CQ423" s="2867"/>
      <c r="CR423" s="2867"/>
      <c r="CS423" s="2867"/>
      <c r="CT423" s="2867"/>
      <c r="CU423" s="2867"/>
      <c r="CV423" s="2867"/>
      <c r="CW423" s="2867"/>
    </row>
    <row r="424" spans="1:101">
      <c r="A424" s="2867"/>
      <c r="B424" s="2867"/>
      <c r="C424" s="2867"/>
      <c r="D424" s="2867"/>
      <c r="E424" s="2867"/>
      <c r="F424" s="2867"/>
      <c r="G424" s="2867"/>
      <c r="H424" s="2867"/>
      <c r="I424" s="2867"/>
      <c r="J424" s="2867"/>
      <c r="K424" s="2867"/>
      <c r="L424" s="2867"/>
      <c r="M424" s="2867"/>
      <c r="O424" s="2867"/>
      <c r="P424" s="2867"/>
      <c r="Q424" s="2867"/>
      <c r="R424" s="2867"/>
      <c r="S424" s="2867"/>
      <c r="T424" s="2867"/>
      <c r="U424" s="2867"/>
      <c r="V424" s="2867"/>
      <c r="W424" s="2867"/>
      <c r="X424" s="2867"/>
      <c r="Y424" s="2867"/>
      <c r="Z424" s="2867"/>
      <c r="AA424" s="2867"/>
      <c r="AB424" s="2867"/>
      <c r="AC424" s="2867"/>
      <c r="AD424" s="2867"/>
      <c r="AE424" s="2867"/>
      <c r="AF424" s="2867"/>
      <c r="AG424" s="2867"/>
      <c r="AH424" s="2867"/>
      <c r="AI424" s="2867"/>
      <c r="AJ424" s="2867"/>
      <c r="AK424" s="2867"/>
      <c r="AL424" s="2867"/>
      <c r="AM424" s="2867"/>
      <c r="AN424" s="2867"/>
      <c r="AO424" s="2867"/>
      <c r="AP424" s="2867"/>
      <c r="AQ424" s="2867"/>
      <c r="AR424" s="2867"/>
      <c r="AS424" s="2867"/>
      <c r="AT424" s="2867"/>
      <c r="AU424" s="2867"/>
      <c r="AV424" s="2867"/>
      <c r="AW424" s="2867"/>
      <c r="AX424" s="2867"/>
      <c r="AY424" s="2867"/>
      <c r="AZ424" s="2867"/>
      <c r="BA424" s="2867"/>
      <c r="BB424" s="2867"/>
      <c r="BC424" s="2867"/>
      <c r="BD424" s="2867"/>
      <c r="BE424" s="2867"/>
      <c r="BF424" s="2867"/>
      <c r="BG424" s="2867"/>
      <c r="BH424" s="2867"/>
      <c r="BI424" s="2867"/>
      <c r="BJ424" s="2867"/>
      <c r="BK424" s="2867"/>
      <c r="BL424" s="2867"/>
      <c r="BM424" s="2867"/>
      <c r="BN424" s="2867"/>
      <c r="BO424" s="2867"/>
      <c r="BP424" s="2867"/>
      <c r="BQ424" s="2867"/>
      <c r="BR424" s="2867"/>
      <c r="BS424" s="2867"/>
      <c r="BT424" s="2867"/>
      <c r="BU424" s="2867"/>
      <c r="BV424" s="2867"/>
      <c r="BW424" s="2867"/>
      <c r="BX424" s="2867"/>
      <c r="BY424" s="2867"/>
      <c r="BZ424" s="2867"/>
      <c r="CA424" s="2867"/>
      <c r="CB424" s="2867"/>
      <c r="CC424" s="2867"/>
      <c r="CD424" s="2867"/>
      <c r="CE424" s="2867"/>
      <c r="CF424" s="2867"/>
      <c r="CG424" s="2867"/>
      <c r="CH424" s="2867"/>
      <c r="CI424" s="2867"/>
      <c r="CJ424" s="2867"/>
      <c r="CK424" s="2867"/>
      <c r="CL424" s="2867"/>
      <c r="CM424" s="2867"/>
      <c r="CN424" s="2867"/>
      <c r="CO424" s="2867"/>
      <c r="CP424" s="2867"/>
      <c r="CQ424" s="2867"/>
      <c r="CR424" s="2867"/>
      <c r="CS424" s="2867"/>
      <c r="CT424" s="2867"/>
      <c r="CU424" s="2867"/>
      <c r="CV424" s="2867"/>
      <c r="CW424" s="2867"/>
    </row>
    <row r="425" spans="1:101">
      <c r="A425" s="2867"/>
      <c r="B425" s="2867"/>
      <c r="C425" s="2867"/>
      <c r="D425" s="2867"/>
      <c r="E425" s="2867"/>
      <c r="F425" s="2867"/>
      <c r="G425" s="2867"/>
      <c r="H425" s="2867"/>
      <c r="I425" s="2867"/>
      <c r="J425" s="2867"/>
      <c r="K425" s="2867"/>
      <c r="L425" s="2867"/>
      <c r="M425" s="2867"/>
      <c r="O425" s="2867"/>
      <c r="P425" s="2867"/>
      <c r="Q425" s="2867"/>
      <c r="R425" s="2867"/>
      <c r="S425" s="2867"/>
      <c r="T425" s="2867"/>
      <c r="U425" s="2867"/>
      <c r="V425" s="2867"/>
      <c r="W425" s="2867"/>
      <c r="X425" s="2867"/>
      <c r="Y425" s="2867"/>
      <c r="Z425" s="2867"/>
      <c r="AA425" s="2867"/>
      <c r="AB425" s="2867"/>
      <c r="AC425" s="2867"/>
      <c r="AD425" s="2867"/>
      <c r="AE425" s="2867"/>
      <c r="AF425" s="2867"/>
      <c r="AG425" s="2867"/>
      <c r="AH425" s="2867"/>
      <c r="AI425" s="2867"/>
      <c r="AJ425" s="2867"/>
      <c r="AK425" s="2867"/>
      <c r="AL425" s="2867"/>
      <c r="AM425" s="2867"/>
      <c r="AN425" s="2867"/>
      <c r="AO425" s="2867"/>
      <c r="AP425" s="2867"/>
      <c r="AQ425" s="2867"/>
      <c r="AR425" s="2867"/>
      <c r="AS425" s="2867"/>
      <c r="AT425" s="2867"/>
      <c r="AU425" s="2867"/>
      <c r="AV425" s="2867"/>
      <c r="AW425" s="2867"/>
      <c r="AX425" s="2867"/>
      <c r="AY425" s="2867"/>
      <c r="AZ425" s="2867"/>
      <c r="BA425" s="2867"/>
      <c r="BB425" s="2867"/>
      <c r="BC425" s="2867"/>
      <c r="BD425" s="2867"/>
      <c r="BE425" s="2867"/>
      <c r="BF425" s="2867"/>
      <c r="BG425" s="2867"/>
      <c r="BH425" s="2867"/>
      <c r="BI425" s="2867"/>
      <c r="BJ425" s="2867"/>
      <c r="BK425" s="2867"/>
      <c r="BL425" s="2867"/>
      <c r="BM425" s="2867"/>
      <c r="BN425" s="2867"/>
      <c r="BO425" s="2867"/>
      <c r="BP425" s="2867"/>
      <c r="BQ425" s="2867"/>
      <c r="BR425" s="2867"/>
      <c r="BS425" s="2867"/>
      <c r="BT425" s="2867"/>
      <c r="BU425" s="2867"/>
      <c r="BV425" s="2867"/>
      <c r="BW425" s="2867"/>
      <c r="BX425" s="2867"/>
      <c r="BY425" s="2867"/>
      <c r="BZ425" s="2867"/>
      <c r="CA425" s="2867"/>
      <c r="CB425" s="2867"/>
      <c r="CC425" s="2867"/>
      <c r="CD425" s="2867"/>
      <c r="CE425" s="2867"/>
      <c r="CF425" s="2867"/>
      <c r="CG425" s="2867"/>
      <c r="CH425" s="2867"/>
      <c r="CI425" s="2867"/>
      <c r="CJ425" s="2867"/>
      <c r="CK425" s="2867"/>
      <c r="CL425" s="2867"/>
      <c r="CM425" s="2867"/>
      <c r="CN425" s="2867"/>
      <c r="CO425" s="2867"/>
      <c r="CP425" s="2867"/>
      <c r="CQ425" s="2867"/>
      <c r="CR425" s="2867"/>
      <c r="CS425" s="2867"/>
      <c r="CT425" s="2867"/>
      <c r="CU425" s="2867"/>
      <c r="CV425" s="2867"/>
      <c r="CW425" s="2867"/>
    </row>
    <row r="426" spans="1:101">
      <c r="A426" s="2867"/>
      <c r="B426" s="2867"/>
      <c r="C426" s="2867"/>
      <c r="D426" s="2867"/>
      <c r="E426" s="2867"/>
      <c r="F426" s="2867"/>
      <c r="G426" s="2867"/>
      <c r="H426" s="2867"/>
      <c r="I426" s="2867"/>
      <c r="J426" s="2867"/>
      <c r="K426" s="2867"/>
      <c r="L426" s="2867"/>
      <c r="M426" s="2867"/>
      <c r="O426" s="2867"/>
      <c r="P426" s="2867"/>
      <c r="Q426" s="2867"/>
      <c r="R426" s="2867"/>
      <c r="S426" s="2867"/>
      <c r="T426" s="2867"/>
      <c r="U426" s="2867"/>
      <c r="V426" s="2867"/>
      <c r="W426" s="2867"/>
      <c r="X426" s="2867"/>
      <c r="Y426" s="2867"/>
      <c r="Z426" s="2867"/>
      <c r="AA426" s="2867"/>
      <c r="AB426" s="2867"/>
      <c r="AC426" s="2867"/>
      <c r="AD426" s="2867"/>
      <c r="AE426" s="2867"/>
      <c r="AF426" s="2867"/>
      <c r="AG426" s="2867"/>
      <c r="AH426" s="2867"/>
      <c r="AI426" s="2867"/>
      <c r="AJ426" s="2867"/>
      <c r="AK426" s="2867"/>
      <c r="AL426" s="2867"/>
      <c r="AM426" s="2867"/>
      <c r="AN426" s="2867"/>
      <c r="AO426" s="2867"/>
      <c r="AP426" s="2867"/>
      <c r="AQ426" s="2867"/>
      <c r="AR426" s="2867"/>
      <c r="AS426" s="2867"/>
      <c r="AT426" s="2867"/>
      <c r="AU426" s="2867"/>
      <c r="AV426" s="2867"/>
      <c r="AW426" s="2867"/>
      <c r="AX426" s="2867"/>
      <c r="AY426" s="2867"/>
      <c r="AZ426" s="2867"/>
      <c r="BA426" s="2867"/>
      <c r="BB426" s="2867"/>
      <c r="BC426" s="2867"/>
      <c r="BD426" s="2867"/>
      <c r="BE426" s="2867"/>
      <c r="BF426" s="2867"/>
      <c r="BG426" s="2867"/>
      <c r="BH426" s="2867"/>
      <c r="BI426" s="2867"/>
      <c r="BJ426" s="2867"/>
      <c r="BK426" s="2867"/>
      <c r="BL426" s="2867"/>
      <c r="BM426" s="2867"/>
      <c r="BN426" s="2867"/>
      <c r="BO426" s="2867"/>
      <c r="BP426" s="2867"/>
      <c r="BQ426" s="2867"/>
      <c r="BR426" s="2867"/>
      <c r="BS426" s="2867"/>
      <c r="BT426" s="2867"/>
      <c r="BU426" s="2867"/>
      <c r="BV426" s="2867"/>
      <c r="BW426" s="2867"/>
      <c r="BX426" s="2867"/>
      <c r="BY426" s="2867"/>
      <c r="BZ426" s="2867"/>
      <c r="CA426" s="2867"/>
      <c r="CB426" s="2867"/>
      <c r="CC426" s="2867"/>
      <c r="CD426" s="2867"/>
      <c r="CE426" s="2867"/>
      <c r="CF426" s="2867"/>
      <c r="CG426" s="2867"/>
      <c r="CH426" s="2867"/>
      <c r="CI426" s="2867"/>
      <c r="CJ426" s="2867"/>
      <c r="CK426" s="2867"/>
      <c r="CL426" s="2867"/>
      <c r="CM426" s="2867"/>
      <c r="CN426" s="2867"/>
      <c r="CO426" s="2867"/>
      <c r="CP426" s="2867"/>
      <c r="CQ426" s="2867"/>
      <c r="CR426" s="2867"/>
      <c r="CS426" s="2867"/>
      <c r="CT426" s="2867"/>
      <c r="CU426" s="2867"/>
      <c r="CV426" s="2867"/>
      <c r="CW426" s="2867"/>
    </row>
    <row r="427" spans="1:101">
      <c r="A427" s="2867"/>
      <c r="B427" s="2867"/>
      <c r="C427" s="2867"/>
      <c r="D427" s="2867"/>
      <c r="E427" s="2867"/>
      <c r="F427" s="2867"/>
      <c r="G427" s="2867"/>
      <c r="H427" s="2867"/>
      <c r="I427" s="2867"/>
      <c r="J427" s="2867"/>
      <c r="K427" s="2867"/>
      <c r="L427" s="2867"/>
      <c r="M427" s="2867"/>
      <c r="O427" s="2867"/>
      <c r="P427" s="2867"/>
      <c r="Q427" s="2867"/>
      <c r="R427" s="2867"/>
      <c r="S427" s="2867"/>
      <c r="T427" s="2867"/>
      <c r="U427" s="2867"/>
      <c r="V427" s="2867"/>
      <c r="W427" s="2867"/>
      <c r="X427" s="2867"/>
      <c r="Y427" s="2867"/>
      <c r="Z427" s="2867"/>
      <c r="AA427" s="2867"/>
      <c r="AB427" s="2867"/>
      <c r="AC427" s="2867"/>
      <c r="AD427" s="2867"/>
      <c r="AE427" s="2867"/>
      <c r="AF427" s="2867"/>
      <c r="AG427" s="2867"/>
      <c r="AH427" s="2867"/>
      <c r="AI427" s="2867"/>
      <c r="AJ427" s="2867"/>
      <c r="AK427" s="2867"/>
      <c r="AL427" s="2867"/>
      <c r="AM427" s="2867"/>
      <c r="AN427" s="2867"/>
      <c r="AO427" s="2867"/>
      <c r="AP427" s="2867"/>
      <c r="AQ427" s="2867"/>
      <c r="AR427" s="2867"/>
      <c r="AS427" s="2867"/>
      <c r="AT427" s="2867"/>
      <c r="AU427" s="2867"/>
      <c r="AV427" s="2867"/>
      <c r="AW427" s="2867"/>
      <c r="AX427" s="2867"/>
      <c r="AY427" s="2867"/>
      <c r="AZ427" s="2867"/>
      <c r="BA427" s="2867"/>
      <c r="BB427" s="2867"/>
      <c r="BC427" s="2867"/>
      <c r="BD427" s="2867"/>
      <c r="BE427" s="2867"/>
      <c r="BF427" s="2867"/>
      <c r="BG427" s="2867"/>
      <c r="BH427" s="2867"/>
      <c r="BI427" s="2867"/>
      <c r="BJ427" s="2867"/>
      <c r="BK427" s="2867"/>
      <c r="BL427" s="2867"/>
      <c r="BM427" s="2867"/>
      <c r="BN427" s="2867"/>
      <c r="BO427" s="2867"/>
      <c r="BP427" s="2867"/>
      <c r="BQ427" s="2867"/>
      <c r="BR427" s="2867"/>
      <c r="BS427" s="2867"/>
      <c r="BT427" s="2867"/>
      <c r="BU427" s="2867"/>
      <c r="BV427" s="2867"/>
      <c r="BW427" s="2867"/>
      <c r="BX427" s="2867"/>
      <c r="BY427" s="2867"/>
      <c r="BZ427" s="2867"/>
      <c r="CA427" s="2867"/>
      <c r="CB427" s="2867"/>
      <c r="CC427" s="2867"/>
      <c r="CD427" s="2867"/>
      <c r="CE427" s="2867"/>
      <c r="CF427" s="2867"/>
      <c r="CG427" s="2867"/>
      <c r="CH427" s="2867"/>
      <c r="CI427" s="2867"/>
      <c r="CJ427" s="2867"/>
      <c r="CK427" s="2867"/>
      <c r="CL427" s="2867"/>
      <c r="CM427" s="2867"/>
      <c r="CN427" s="2867"/>
      <c r="CO427" s="2867"/>
      <c r="CP427" s="2867"/>
      <c r="CQ427" s="2867"/>
      <c r="CR427" s="2867"/>
      <c r="CS427" s="2867"/>
      <c r="CT427" s="2867"/>
      <c r="CU427" s="2867"/>
      <c r="CV427" s="2867"/>
      <c r="CW427" s="2867"/>
    </row>
    <row r="428" spans="1:101">
      <c r="A428" s="2867"/>
      <c r="B428" s="2867"/>
      <c r="C428" s="2867"/>
      <c r="D428" s="2867"/>
      <c r="E428" s="2867"/>
      <c r="F428" s="2867"/>
      <c r="G428" s="2867"/>
      <c r="H428" s="2867"/>
      <c r="I428" s="2867"/>
      <c r="J428" s="2867"/>
      <c r="K428" s="2867"/>
      <c r="L428" s="2867"/>
      <c r="M428" s="2867"/>
      <c r="O428" s="2867"/>
      <c r="P428" s="2867"/>
      <c r="Q428" s="2867"/>
      <c r="R428" s="2867"/>
      <c r="S428" s="2867"/>
      <c r="T428" s="2867"/>
      <c r="U428" s="2867"/>
      <c r="V428" s="2867"/>
      <c r="W428" s="2867"/>
      <c r="X428" s="2867"/>
      <c r="Y428" s="2867"/>
      <c r="Z428" s="2867"/>
      <c r="AA428" s="2867"/>
      <c r="AB428" s="2867"/>
      <c r="AC428" s="2867"/>
      <c r="AD428" s="2867"/>
      <c r="AE428" s="2867"/>
      <c r="AF428" s="2867"/>
      <c r="AG428" s="2867"/>
      <c r="AH428" s="2867"/>
      <c r="AI428" s="2867"/>
      <c r="AJ428" s="2867"/>
      <c r="AK428" s="2867"/>
      <c r="AL428" s="2867"/>
      <c r="AM428" s="2867"/>
      <c r="AN428" s="2867"/>
      <c r="AO428" s="2867"/>
      <c r="AP428" s="2867"/>
      <c r="AQ428" s="2867"/>
      <c r="AR428" s="2867"/>
      <c r="AS428" s="2867"/>
      <c r="AT428" s="2867"/>
      <c r="AU428" s="2867"/>
      <c r="AV428" s="2867"/>
      <c r="AW428" s="2867"/>
      <c r="AX428" s="2867"/>
      <c r="AY428" s="2867"/>
      <c r="AZ428" s="2867"/>
      <c r="BA428" s="2867"/>
      <c r="BB428" s="2867"/>
      <c r="BC428" s="2867"/>
      <c r="BD428" s="2867"/>
      <c r="BE428" s="2867"/>
      <c r="BF428" s="2867"/>
      <c r="BG428" s="2867"/>
      <c r="BH428" s="2867"/>
      <c r="BI428" s="2867"/>
      <c r="BJ428" s="2867"/>
      <c r="BK428" s="2867"/>
      <c r="BL428" s="2867"/>
      <c r="BM428" s="2867"/>
      <c r="BN428" s="2867"/>
      <c r="BO428" s="2867"/>
      <c r="BP428" s="2867"/>
      <c r="BQ428" s="2867"/>
      <c r="BR428" s="2867"/>
      <c r="BS428" s="2867"/>
      <c r="BT428" s="2867"/>
      <c r="BU428" s="2867"/>
      <c r="BV428" s="2867"/>
      <c r="BW428" s="2867"/>
      <c r="BX428" s="2867"/>
      <c r="BY428" s="2867"/>
      <c r="BZ428" s="2867"/>
      <c r="CA428" s="2867"/>
      <c r="CB428" s="2867"/>
      <c r="CC428" s="2867"/>
      <c r="CD428" s="2867"/>
      <c r="CE428" s="2867"/>
      <c r="CF428" s="2867"/>
      <c r="CG428" s="2867"/>
      <c r="CH428" s="2867"/>
      <c r="CI428" s="2867"/>
      <c r="CJ428" s="2867"/>
      <c r="CK428" s="2867"/>
      <c r="CL428" s="2867"/>
      <c r="CM428" s="2867"/>
      <c r="CN428" s="2867"/>
      <c r="CO428" s="2867"/>
      <c r="CP428" s="2867"/>
      <c r="CQ428" s="2867"/>
      <c r="CR428" s="2867"/>
      <c r="CS428" s="2867"/>
      <c r="CT428" s="2867"/>
      <c r="CU428" s="2867"/>
      <c r="CV428" s="2867"/>
      <c r="CW428" s="2867"/>
    </row>
    <row r="429" spans="1:101">
      <c r="A429" s="2867"/>
      <c r="B429" s="2867"/>
      <c r="C429" s="2867"/>
      <c r="D429" s="2867"/>
      <c r="E429" s="2867"/>
      <c r="F429" s="2867"/>
      <c r="G429" s="2867"/>
      <c r="H429" s="2867"/>
      <c r="I429" s="2867"/>
      <c r="J429" s="2867"/>
      <c r="K429" s="2867"/>
      <c r="L429" s="2867"/>
      <c r="M429" s="2867"/>
      <c r="O429" s="2867"/>
      <c r="P429" s="2867"/>
      <c r="Q429" s="2867"/>
      <c r="R429" s="2867"/>
      <c r="S429" s="2867"/>
      <c r="T429" s="2867"/>
      <c r="U429" s="2867"/>
      <c r="V429" s="2867"/>
      <c r="W429" s="2867"/>
      <c r="X429" s="2867"/>
      <c r="Y429" s="2867"/>
      <c r="Z429" s="2867"/>
      <c r="AA429" s="2867"/>
      <c r="AB429" s="2867"/>
      <c r="AC429" s="2867"/>
      <c r="AD429" s="2867"/>
      <c r="AE429" s="2867"/>
      <c r="AF429" s="2867"/>
      <c r="AG429" s="2867"/>
      <c r="AH429" s="2867"/>
      <c r="AI429" s="2867"/>
      <c r="AJ429" s="2867"/>
      <c r="AK429" s="2867"/>
      <c r="AL429" s="2867"/>
      <c r="AM429" s="2867"/>
      <c r="AN429" s="2867"/>
      <c r="AO429" s="2867"/>
      <c r="AP429" s="2867"/>
      <c r="AQ429" s="2867"/>
      <c r="AR429" s="2867"/>
      <c r="AS429" s="2867"/>
      <c r="AT429" s="2867"/>
      <c r="AU429" s="2867"/>
      <c r="AV429" s="2867"/>
      <c r="AW429" s="2867"/>
      <c r="AX429" s="2867"/>
      <c r="AY429" s="2867"/>
      <c r="AZ429" s="2867"/>
      <c r="BA429" s="2867"/>
      <c r="BB429" s="2867"/>
      <c r="BC429" s="2867"/>
      <c r="BD429" s="2867"/>
      <c r="BE429" s="2867"/>
      <c r="BF429" s="2867"/>
      <c r="BG429" s="2867"/>
      <c r="BH429" s="2867"/>
      <c r="BI429" s="2867"/>
      <c r="BJ429" s="2867"/>
      <c r="BK429" s="2867"/>
      <c r="BL429" s="2867"/>
      <c r="BM429" s="2867"/>
      <c r="BN429" s="2867"/>
      <c r="BO429" s="2867"/>
      <c r="BP429" s="2867"/>
      <c r="BQ429" s="2867"/>
      <c r="BR429" s="2867"/>
      <c r="BS429" s="2867"/>
      <c r="BT429" s="2867"/>
      <c r="BU429" s="2867"/>
      <c r="BV429" s="2867"/>
      <c r="BW429" s="2867"/>
      <c r="BX429" s="2867"/>
      <c r="BY429" s="2867"/>
      <c r="BZ429" s="2867"/>
      <c r="CA429" s="2867"/>
      <c r="CB429" s="2867"/>
      <c r="CC429" s="2867"/>
      <c r="CD429" s="2867"/>
      <c r="CE429" s="2867"/>
      <c r="CF429" s="2867"/>
      <c r="CG429" s="2867"/>
      <c r="CH429" s="2867"/>
      <c r="CI429" s="2867"/>
      <c r="CJ429" s="2867"/>
      <c r="CK429" s="2867"/>
      <c r="CL429" s="2867"/>
      <c r="CM429" s="2867"/>
      <c r="CN429" s="2867"/>
      <c r="CO429" s="2867"/>
      <c r="CP429" s="2867"/>
      <c r="CQ429" s="2867"/>
      <c r="CR429" s="2867"/>
      <c r="CS429" s="2867"/>
      <c r="CT429" s="2867"/>
      <c r="CU429" s="2867"/>
      <c r="CV429" s="2867"/>
      <c r="CW429" s="2867"/>
    </row>
    <row r="430" spans="1:101">
      <c r="A430" s="2867"/>
      <c r="B430" s="2867"/>
      <c r="C430" s="2867"/>
      <c r="D430" s="2867"/>
      <c r="E430" s="2867"/>
      <c r="F430" s="2867"/>
      <c r="G430" s="2867"/>
      <c r="H430" s="2867"/>
      <c r="I430" s="2867"/>
      <c r="J430" s="2867"/>
      <c r="K430" s="2867"/>
      <c r="L430" s="2867"/>
      <c r="M430" s="2867"/>
      <c r="O430" s="2867"/>
      <c r="P430" s="2867"/>
      <c r="Q430" s="2867"/>
      <c r="R430" s="2867"/>
      <c r="S430" s="2867"/>
      <c r="T430" s="2867"/>
      <c r="U430" s="2867"/>
      <c r="V430" s="2867"/>
      <c r="W430" s="2867"/>
      <c r="X430" s="2867"/>
      <c r="Y430" s="2867"/>
      <c r="Z430" s="2867"/>
      <c r="AA430" s="2867"/>
      <c r="AB430" s="2867"/>
      <c r="AC430" s="2867"/>
      <c r="AD430" s="2867"/>
      <c r="AE430" s="2867"/>
      <c r="AF430" s="2867"/>
      <c r="AG430" s="2867"/>
      <c r="AH430" s="2867"/>
      <c r="AI430" s="2867"/>
      <c r="AJ430" s="2867"/>
      <c r="AK430" s="2867"/>
      <c r="AL430" s="2867"/>
      <c r="AM430" s="2867"/>
      <c r="AN430" s="2867"/>
      <c r="AO430" s="2867"/>
      <c r="AP430" s="2867"/>
      <c r="AQ430" s="2867"/>
      <c r="AR430" s="2867"/>
      <c r="AS430" s="2867"/>
      <c r="AT430" s="2867"/>
      <c r="AU430" s="2867"/>
      <c r="AV430" s="2867"/>
      <c r="AW430" s="2867"/>
      <c r="AX430" s="2867"/>
      <c r="AY430" s="2867"/>
      <c r="AZ430" s="2867"/>
      <c r="BA430" s="2867"/>
      <c r="BB430" s="2867"/>
      <c r="BC430" s="2867"/>
      <c r="BD430" s="2867"/>
      <c r="BE430" s="2867"/>
      <c r="BF430" s="2867"/>
      <c r="BG430" s="2867"/>
      <c r="BH430" s="2867"/>
      <c r="BI430" s="2867"/>
      <c r="BJ430" s="2867"/>
      <c r="BK430" s="2867"/>
      <c r="BL430" s="2867"/>
      <c r="BM430" s="2867"/>
      <c r="BN430" s="2867"/>
      <c r="BO430" s="2867"/>
      <c r="BP430" s="2867"/>
      <c r="BQ430" s="2867"/>
      <c r="BR430" s="2867"/>
      <c r="BS430" s="2867"/>
      <c r="BT430" s="2867"/>
      <c r="BU430" s="2867"/>
      <c r="BV430" s="2867"/>
      <c r="BW430" s="2867"/>
      <c r="BX430" s="2867"/>
      <c r="BY430" s="2867"/>
      <c r="BZ430" s="2867"/>
      <c r="CA430" s="2867"/>
      <c r="CB430" s="2867"/>
      <c r="CC430" s="2867"/>
      <c r="CD430" s="2867"/>
      <c r="CE430" s="2867"/>
      <c r="CF430" s="2867"/>
      <c r="CG430" s="2867"/>
      <c r="CH430" s="2867"/>
      <c r="CI430" s="2867"/>
      <c r="CJ430" s="2867"/>
      <c r="CK430" s="2867"/>
      <c r="CL430" s="2867"/>
      <c r="CM430" s="2867"/>
      <c r="CN430" s="2867"/>
      <c r="CO430" s="2867"/>
      <c r="CP430" s="2867"/>
      <c r="CQ430" s="2867"/>
      <c r="CR430" s="2867"/>
      <c r="CS430" s="2867"/>
      <c r="CT430" s="2867"/>
      <c r="CU430" s="2867"/>
      <c r="CV430" s="2867"/>
      <c r="CW430" s="2867"/>
    </row>
    <row r="431" spans="1:101">
      <c r="A431" s="2867"/>
      <c r="B431" s="2867"/>
      <c r="C431" s="2867"/>
      <c r="D431" s="2867"/>
      <c r="E431" s="2867"/>
      <c r="F431" s="2867"/>
      <c r="G431" s="2867"/>
      <c r="H431" s="2867"/>
      <c r="I431" s="2867"/>
      <c r="J431" s="2867"/>
      <c r="K431" s="2867"/>
      <c r="L431" s="2867"/>
      <c r="M431" s="2867"/>
      <c r="O431" s="2867"/>
      <c r="P431" s="2867"/>
      <c r="Q431" s="2867"/>
      <c r="R431" s="2867"/>
      <c r="S431" s="2867"/>
      <c r="T431" s="2867"/>
      <c r="U431" s="2867"/>
      <c r="V431" s="2867"/>
      <c r="W431" s="2867"/>
      <c r="X431" s="2867"/>
      <c r="Y431" s="2867"/>
      <c r="Z431" s="2867"/>
      <c r="AA431" s="2867"/>
      <c r="AB431" s="2867"/>
      <c r="AC431" s="2867"/>
      <c r="AD431" s="2867"/>
      <c r="AE431" s="2867"/>
      <c r="AF431" s="2867"/>
      <c r="AG431" s="2867"/>
      <c r="AH431" s="2867"/>
      <c r="AI431" s="2867"/>
      <c r="AJ431" s="2867"/>
      <c r="AK431" s="2867"/>
      <c r="AL431" s="2867"/>
      <c r="AM431" s="2867"/>
      <c r="AN431" s="2867"/>
      <c r="AO431" s="2867"/>
      <c r="AP431" s="2867"/>
      <c r="AQ431" s="2867"/>
      <c r="AR431" s="2867"/>
      <c r="AS431" s="2867"/>
      <c r="AT431" s="2867"/>
      <c r="AU431" s="2867"/>
      <c r="AV431" s="2867"/>
      <c r="AW431" s="2867"/>
      <c r="AX431" s="2867"/>
      <c r="AY431" s="2867"/>
      <c r="AZ431" s="2867"/>
      <c r="BA431" s="2867"/>
      <c r="BB431" s="2867"/>
      <c r="BC431" s="2867"/>
      <c r="BD431" s="2867"/>
      <c r="BE431" s="2867"/>
      <c r="BF431" s="2867"/>
      <c r="BG431" s="2867"/>
      <c r="BH431" s="2867"/>
      <c r="BI431" s="2867"/>
      <c r="BJ431" s="2867"/>
      <c r="BK431" s="2867"/>
      <c r="BL431" s="2867"/>
      <c r="BM431" s="2867"/>
      <c r="BN431" s="2867"/>
      <c r="BO431" s="2867"/>
      <c r="BP431" s="2867"/>
      <c r="BQ431" s="2867"/>
      <c r="BR431" s="2867"/>
      <c r="BS431" s="2867"/>
      <c r="BT431" s="2867"/>
      <c r="BU431" s="2867"/>
      <c r="BV431" s="2867"/>
      <c r="BW431" s="2867"/>
      <c r="BX431" s="2867"/>
      <c r="BY431" s="2867"/>
      <c r="BZ431" s="2867"/>
      <c r="CA431" s="2867"/>
      <c r="CB431" s="2867"/>
      <c r="CC431" s="2867"/>
      <c r="CD431" s="2867"/>
      <c r="CE431" s="2867"/>
      <c r="CF431" s="2867"/>
      <c r="CG431" s="2867"/>
      <c r="CH431" s="2867"/>
      <c r="CI431" s="2867"/>
      <c r="CJ431" s="2867"/>
      <c r="CK431" s="2867"/>
      <c r="CL431" s="2867"/>
      <c r="CM431" s="2867"/>
      <c r="CN431" s="2867"/>
      <c r="CO431" s="2867"/>
      <c r="CP431" s="2867"/>
      <c r="CQ431" s="2867"/>
      <c r="CR431" s="2867"/>
      <c r="CS431" s="2867"/>
      <c r="CT431" s="2867"/>
      <c r="CU431" s="2867"/>
      <c r="CV431" s="2867"/>
      <c r="CW431" s="2867"/>
    </row>
    <row r="432" spans="1:101">
      <c r="A432" s="2867"/>
      <c r="B432" s="2867"/>
      <c r="C432" s="2867"/>
      <c r="D432" s="2867"/>
      <c r="E432" s="2867"/>
      <c r="F432" s="2867"/>
      <c r="G432" s="2867"/>
      <c r="H432" s="2867"/>
      <c r="I432" s="2867"/>
      <c r="J432" s="2867"/>
      <c r="K432" s="2867"/>
      <c r="L432" s="2867"/>
      <c r="M432" s="2867"/>
      <c r="O432" s="2867"/>
      <c r="P432" s="2867"/>
      <c r="Q432" s="2867"/>
      <c r="R432" s="2867"/>
      <c r="S432" s="2867"/>
      <c r="T432" s="2867"/>
      <c r="U432" s="2867"/>
      <c r="V432" s="2867"/>
      <c r="W432" s="2867"/>
      <c r="X432" s="2867"/>
      <c r="Y432" s="2867"/>
      <c r="Z432" s="2867"/>
      <c r="AA432" s="2867"/>
      <c r="AB432" s="2867"/>
      <c r="AC432" s="2867"/>
      <c r="AD432" s="2867"/>
      <c r="AE432" s="2867"/>
      <c r="AF432" s="2867"/>
      <c r="AG432" s="2867"/>
      <c r="AH432" s="2867"/>
      <c r="AI432" s="2867"/>
      <c r="AJ432" s="2867"/>
      <c r="AK432" s="2867"/>
      <c r="AL432" s="2867"/>
      <c r="AM432" s="2867"/>
      <c r="AN432" s="2867"/>
      <c r="AO432" s="2867"/>
      <c r="AP432" s="2867"/>
      <c r="AQ432" s="2867"/>
      <c r="AR432" s="2867"/>
      <c r="AS432" s="2867"/>
      <c r="AT432" s="2867"/>
      <c r="AU432" s="2867"/>
      <c r="AV432" s="2867"/>
      <c r="AW432" s="2867"/>
      <c r="AX432" s="2867"/>
      <c r="AY432" s="2867"/>
      <c r="AZ432" s="2867"/>
      <c r="BA432" s="2867"/>
      <c r="BB432" s="2867"/>
      <c r="BC432" s="2867"/>
      <c r="BD432" s="2867"/>
      <c r="BE432" s="2867"/>
      <c r="BF432" s="2867"/>
      <c r="BG432" s="2867"/>
      <c r="BH432" s="2867"/>
      <c r="BI432" s="2867"/>
      <c r="BJ432" s="2867"/>
      <c r="BK432" s="2867"/>
      <c r="BL432" s="2867"/>
      <c r="BM432" s="2867"/>
      <c r="BN432" s="2867"/>
      <c r="BO432" s="2867"/>
      <c r="BP432" s="2867"/>
      <c r="BQ432" s="2867"/>
      <c r="BR432" s="2867"/>
      <c r="BS432" s="2867"/>
      <c r="BT432" s="2867"/>
      <c r="BU432" s="2867"/>
      <c r="BV432" s="2867"/>
      <c r="BW432" s="2867"/>
      <c r="BX432" s="2867"/>
      <c r="BY432" s="2867"/>
      <c r="BZ432" s="2867"/>
      <c r="CA432" s="2867"/>
      <c r="CB432" s="2867"/>
      <c r="CC432" s="2867"/>
      <c r="CD432" s="2867"/>
      <c r="CE432" s="2867"/>
      <c r="CF432" s="2867"/>
      <c r="CG432" s="2867"/>
      <c r="CH432" s="2867"/>
      <c r="CI432" s="2867"/>
      <c r="CJ432" s="2867"/>
      <c r="CK432" s="2867"/>
      <c r="CL432" s="2867"/>
      <c r="CM432" s="2867"/>
      <c r="CN432" s="2867"/>
      <c r="CO432" s="2867"/>
      <c r="CP432" s="2867"/>
      <c r="CQ432" s="2867"/>
      <c r="CR432" s="2867"/>
      <c r="CS432" s="2867"/>
      <c r="CT432" s="2867"/>
      <c r="CU432" s="2867"/>
      <c r="CV432" s="2867"/>
      <c r="CW432" s="2867"/>
    </row>
    <row r="433" spans="1:101">
      <c r="A433" s="2867"/>
      <c r="B433" s="2867"/>
      <c r="C433" s="2867"/>
      <c r="D433" s="2867"/>
      <c r="E433" s="2867"/>
      <c r="F433" s="2867"/>
      <c r="G433" s="2867"/>
      <c r="H433" s="2867"/>
      <c r="I433" s="2867"/>
      <c r="J433" s="2867"/>
      <c r="K433" s="2867"/>
      <c r="L433" s="2867"/>
      <c r="M433" s="2867"/>
      <c r="O433" s="2867"/>
      <c r="P433" s="2867"/>
      <c r="Q433" s="2867"/>
      <c r="R433" s="2867"/>
      <c r="S433" s="2867"/>
      <c r="T433" s="2867"/>
      <c r="U433" s="2867"/>
      <c r="V433" s="2867"/>
      <c r="W433" s="2867"/>
      <c r="X433" s="2867"/>
      <c r="Y433" s="2867"/>
      <c r="Z433" s="2867"/>
      <c r="AA433" s="2867"/>
      <c r="AB433" s="2867"/>
      <c r="AC433" s="2867"/>
      <c r="AD433" s="2867"/>
      <c r="AE433" s="2867"/>
      <c r="AF433" s="2867"/>
      <c r="AG433" s="2867"/>
      <c r="AH433" s="2867"/>
      <c r="AI433" s="2867"/>
      <c r="AJ433" s="2867"/>
      <c r="AK433" s="2867"/>
      <c r="AL433" s="2867"/>
      <c r="AM433" s="2867"/>
      <c r="AN433" s="2867"/>
      <c r="AO433" s="2867"/>
      <c r="AP433" s="2867"/>
      <c r="AQ433" s="2867"/>
      <c r="AR433" s="2867"/>
      <c r="AS433" s="2867"/>
      <c r="AT433" s="2867"/>
      <c r="AU433" s="2867"/>
      <c r="AV433" s="2867"/>
      <c r="AW433" s="2867"/>
      <c r="AX433" s="2867"/>
      <c r="AY433" s="2867"/>
      <c r="AZ433" s="2867"/>
      <c r="BA433" s="2867"/>
      <c r="BB433" s="2867"/>
      <c r="BC433" s="2867"/>
      <c r="BD433" s="2867"/>
      <c r="BE433" s="2867"/>
      <c r="BF433" s="2867"/>
      <c r="BG433" s="2867"/>
      <c r="BH433" s="2867"/>
      <c r="BI433" s="2867"/>
      <c r="BJ433" s="2867"/>
      <c r="BK433" s="2867"/>
      <c r="BL433" s="2867"/>
      <c r="BM433" s="2867"/>
      <c r="BN433" s="2867"/>
      <c r="BO433" s="2867"/>
      <c r="BP433" s="2867"/>
      <c r="BQ433" s="2867"/>
      <c r="BR433" s="2867"/>
      <c r="BS433" s="2867"/>
      <c r="BT433" s="2867"/>
      <c r="BU433" s="2867"/>
      <c r="BV433" s="2867"/>
      <c r="BW433" s="2867"/>
      <c r="BX433" s="2867"/>
      <c r="BY433" s="2867"/>
      <c r="BZ433" s="2867"/>
      <c r="CA433" s="2867"/>
      <c r="CB433" s="2867"/>
      <c r="CC433" s="2867"/>
      <c r="CD433" s="2867"/>
      <c r="CE433" s="2867"/>
      <c r="CF433" s="2867"/>
      <c r="CG433" s="2867"/>
      <c r="CH433" s="2867"/>
      <c r="CI433" s="2867"/>
      <c r="CJ433" s="2867"/>
      <c r="CK433" s="2867"/>
      <c r="CL433" s="2867"/>
      <c r="CM433" s="2867"/>
      <c r="CN433" s="2867"/>
      <c r="CO433" s="2867"/>
      <c r="CP433" s="2867"/>
      <c r="CQ433" s="2867"/>
      <c r="CR433" s="2867"/>
      <c r="CS433" s="2867"/>
      <c r="CT433" s="2867"/>
      <c r="CU433" s="2867"/>
      <c r="CV433" s="2867"/>
      <c r="CW433" s="2867"/>
    </row>
    <row r="434" spans="1:101">
      <c r="A434" s="2867"/>
      <c r="B434" s="2867"/>
      <c r="C434" s="2867"/>
      <c r="D434" s="2867"/>
      <c r="E434" s="2867"/>
      <c r="F434" s="2867"/>
      <c r="G434" s="2867"/>
      <c r="H434" s="2867"/>
      <c r="I434" s="2867"/>
      <c r="J434" s="2867"/>
      <c r="K434" s="2867"/>
      <c r="L434" s="2867"/>
      <c r="M434" s="2867"/>
      <c r="O434" s="2867"/>
      <c r="P434" s="2867"/>
      <c r="Q434" s="2867"/>
      <c r="R434" s="2867"/>
      <c r="S434" s="2867"/>
      <c r="T434" s="2867"/>
      <c r="U434" s="2867"/>
      <c r="V434" s="2867"/>
      <c r="W434" s="2867"/>
      <c r="X434" s="2867"/>
      <c r="Y434" s="2867"/>
      <c r="Z434" s="2867"/>
      <c r="AA434" s="2867"/>
      <c r="AB434" s="2867"/>
      <c r="AC434" s="2867"/>
      <c r="AD434" s="2867"/>
      <c r="AE434" s="2867"/>
      <c r="AF434" s="2867"/>
      <c r="AG434" s="2867"/>
      <c r="AH434" s="2867"/>
      <c r="AI434" s="2867"/>
      <c r="AJ434" s="2867"/>
      <c r="AK434" s="2867"/>
      <c r="AL434" s="2867"/>
      <c r="AM434" s="2867"/>
      <c r="AN434" s="2867"/>
      <c r="AO434" s="2867"/>
      <c r="AP434" s="2867"/>
      <c r="AQ434" s="2867"/>
      <c r="AR434" s="2867"/>
      <c r="AS434" s="2867"/>
      <c r="AT434" s="2867"/>
      <c r="AU434" s="2867"/>
      <c r="AV434" s="2867"/>
      <c r="AW434" s="2867"/>
      <c r="AX434" s="2867"/>
      <c r="AY434" s="2867"/>
      <c r="AZ434" s="2867"/>
      <c r="BA434" s="2867"/>
      <c r="BB434" s="2867"/>
      <c r="BC434" s="2867"/>
      <c r="BD434" s="2867"/>
      <c r="BE434" s="2867"/>
      <c r="BF434" s="2867"/>
      <c r="BG434" s="2867"/>
      <c r="BH434" s="2867"/>
      <c r="BI434" s="2867"/>
      <c r="BJ434" s="2867"/>
      <c r="BK434" s="2867"/>
      <c r="BL434" s="2867"/>
      <c r="BM434" s="2867"/>
      <c r="BN434" s="2867"/>
      <c r="BO434" s="2867"/>
      <c r="BP434" s="2867"/>
      <c r="BQ434" s="2867"/>
      <c r="BR434" s="2867"/>
      <c r="BS434" s="2867"/>
      <c r="BT434" s="2867"/>
      <c r="BU434" s="2867"/>
      <c r="BV434" s="2867"/>
      <c r="BW434" s="2867"/>
      <c r="BX434" s="2867"/>
      <c r="BY434" s="2867"/>
      <c r="BZ434" s="2867"/>
      <c r="CA434" s="2867"/>
      <c r="CB434" s="2867"/>
      <c r="CC434" s="2867"/>
      <c r="CD434" s="2867"/>
      <c r="CE434" s="2867"/>
      <c r="CF434" s="2867"/>
      <c r="CG434" s="2867"/>
      <c r="CH434" s="2867"/>
      <c r="CI434" s="2867"/>
      <c r="CJ434" s="2867"/>
      <c r="CK434" s="2867"/>
      <c r="CL434" s="2867"/>
      <c r="CM434" s="2867"/>
      <c r="CN434" s="2867"/>
      <c r="CO434" s="2867"/>
      <c r="CP434" s="2867"/>
      <c r="CQ434" s="2867"/>
      <c r="CR434" s="2867"/>
      <c r="CS434" s="2867"/>
      <c r="CT434" s="2867"/>
      <c r="CU434" s="2867"/>
      <c r="CV434" s="2867"/>
      <c r="CW434" s="2867"/>
    </row>
    <row r="435" spans="1:101">
      <c r="A435" s="2867"/>
      <c r="B435" s="2867"/>
      <c r="C435" s="2867"/>
      <c r="D435" s="2867"/>
      <c r="E435" s="2867"/>
      <c r="F435" s="2867"/>
      <c r="G435" s="2867"/>
      <c r="H435" s="2867"/>
      <c r="I435" s="2867"/>
      <c r="J435" s="2867"/>
      <c r="K435" s="2867"/>
      <c r="L435" s="2867"/>
      <c r="M435" s="2867"/>
      <c r="O435" s="2867"/>
      <c r="P435" s="2867"/>
      <c r="Q435" s="2867"/>
      <c r="R435" s="2867"/>
      <c r="S435" s="2867"/>
      <c r="T435" s="2867"/>
      <c r="U435" s="2867"/>
      <c r="V435" s="2867"/>
      <c r="W435" s="2867"/>
      <c r="X435" s="2867"/>
      <c r="Y435" s="2867"/>
      <c r="Z435" s="2867"/>
      <c r="AA435" s="2867"/>
      <c r="AB435" s="2867"/>
      <c r="AC435" s="2867"/>
      <c r="AD435" s="2867"/>
      <c r="AE435" s="2867"/>
      <c r="AF435" s="2867"/>
      <c r="AG435" s="2867"/>
      <c r="AH435" s="2867"/>
      <c r="AI435" s="2867"/>
      <c r="AJ435" s="2867"/>
      <c r="AK435" s="2867"/>
      <c r="AL435" s="2867"/>
      <c r="AM435" s="2867"/>
      <c r="AN435" s="2867"/>
      <c r="AO435" s="2867"/>
      <c r="AP435" s="2867"/>
      <c r="AQ435" s="2867"/>
      <c r="AR435" s="2867"/>
      <c r="AS435" s="2867"/>
      <c r="AT435" s="2867"/>
      <c r="AU435" s="2867"/>
      <c r="AV435" s="2867"/>
      <c r="AW435" s="2867"/>
      <c r="AX435" s="2867"/>
      <c r="AY435" s="2867"/>
      <c r="AZ435" s="2867"/>
      <c r="BA435" s="2867"/>
      <c r="BB435" s="2867"/>
      <c r="BC435" s="2867"/>
      <c r="BD435" s="2867"/>
      <c r="BE435" s="2867"/>
      <c r="BF435" s="2867"/>
      <c r="BG435" s="2867"/>
      <c r="BH435" s="2867"/>
      <c r="BI435" s="2867"/>
      <c r="BJ435" s="2867"/>
      <c r="BK435" s="2867"/>
      <c r="BL435" s="2867"/>
      <c r="BM435" s="2867"/>
      <c r="BN435" s="2867"/>
      <c r="BO435" s="2867"/>
      <c r="BP435" s="2867"/>
      <c r="BQ435" s="2867"/>
      <c r="BR435" s="2867"/>
      <c r="BS435" s="2867"/>
      <c r="BT435" s="2867"/>
      <c r="BU435" s="2867"/>
      <c r="BV435" s="2867"/>
      <c r="BW435" s="2867"/>
      <c r="BX435" s="2867"/>
      <c r="BY435" s="2867"/>
      <c r="BZ435" s="2867"/>
      <c r="CA435" s="2867"/>
      <c r="CB435" s="2867"/>
      <c r="CC435" s="2867"/>
      <c r="CD435" s="2867"/>
      <c r="CE435" s="2867"/>
      <c r="CF435" s="2867"/>
      <c r="CG435" s="2867"/>
      <c r="CH435" s="2867"/>
      <c r="CI435" s="2867"/>
      <c r="CJ435" s="2867"/>
      <c r="CK435" s="2867"/>
      <c r="CL435" s="2867"/>
      <c r="CM435" s="2867"/>
      <c r="CN435" s="2867"/>
      <c r="CO435" s="2867"/>
      <c r="CP435" s="2867"/>
      <c r="CQ435" s="2867"/>
      <c r="CR435" s="2867"/>
      <c r="CS435" s="2867"/>
      <c r="CT435" s="2867"/>
      <c r="CU435" s="2867"/>
      <c r="CV435" s="2867"/>
      <c r="CW435" s="2867"/>
    </row>
    <row r="436" spans="1:101">
      <c r="A436" s="2867"/>
      <c r="B436" s="2867"/>
      <c r="C436" s="2867"/>
      <c r="D436" s="2867"/>
      <c r="E436" s="2867"/>
      <c r="F436" s="2867"/>
      <c r="G436" s="2867"/>
      <c r="H436" s="2867"/>
      <c r="I436" s="2867"/>
      <c r="J436" s="2867"/>
      <c r="K436" s="2867"/>
      <c r="L436" s="2867"/>
      <c r="M436" s="2867"/>
      <c r="O436" s="2867"/>
      <c r="P436" s="2867"/>
      <c r="Q436" s="2867"/>
      <c r="R436" s="2867"/>
      <c r="S436" s="2867"/>
      <c r="T436" s="2867"/>
      <c r="U436" s="2867"/>
      <c r="V436" s="2867"/>
      <c r="W436" s="2867"/>
      <c r="X436" s="2867"/>
      <c r="Y436" s="2867"/>
      <c r="Z436" s="2867"/>
      <c r="AA436" s="2867"/>
      <c r="AB436" s="2867"/>
      <c r="AC436" s="2867"/>
      <c r="AD436" s="2867"/>
      <c r="AE436" s="2867"/>
      <c r="AF436" s="2867"/>
      <c r="AG436" s="2867"/>
      <c r="AH436" s="2867"/>
      <c r="AI436" s="2867"/>
      <c r="AJ436" s="2867"/>
      <c r="AK436" s="2867"/>
      <c r="AL436" s="2867"/>
      <c r="AM436" s="2867"/>
      <c r="AN436" s="2867"/>
      <c r="AO436" s="2867"/>
      <c r="AP436" s="2867"/>
      <c r="AQ436" s="2867"/>
      <c r="AR436" s="2867"/>
      <c r="AS436" s="2867"/>
      <c r="AT436" s="2867"/>
      <c r="AU436" s="2867"/>
      <c r="AV436" s="2867"/>
      <c r="AW436" s="2867"/>
      <c r="AX436" s="2867"/>
      <c r="AY436" s="2867"/>
      <c r="AZ436" s="2867"/>
      <c r="BA436" s="2867"/>
      <c r="BB436" s="2867"/>
      <c r="BC436" s="2867"/>
      <c r="BD436" s="2867"/>
      <c r="BE436" s="2867"/>
      <c r="BF436" s="2867"/>
      <c r="BG436" s="2867"/>
      <c r="BH436" s="2867"/>
      <c r="BI436" s="2867"/>
      <c r="BJ436" s="2867"/>
      <c r="BK436" s="2867"/>
      <c r="BL436" s="2867"/>
      <c r="BM436" s="2867"/>
      <c r="BN436" s="2867"/>
      <c r="BO436" s="2867"/>
      <c r="BP436" s="2867"/>
      <c r="BQ436" s="2867"/>
      <c r="BR436" s="2867"/>
      <c r="BS436" s="2867"/>
      <c r="BT436" s="2867"/>
      <c r="BU436" s="2867"/>
      <c r="BV436" s="2867"/>
      <c r="BW436" s="2867"/>
      <c r="BX436" s="2867"/>
      <c r="BY436" s="2867"/>
      <c r="BZ436" s="2867"/>
      <c r="CA436" s="2867"/>
      <c r="CB436" s="2867"/>
      <c r="CC436" s="2867"/>
      <c r="CD436" s="2867"/>
      <c r="CE436" s="2867"/>
      <c r="CF436" s="2867"/>
      <c r="CG436" s="2867"/>
      <c r="CH436" s="2867"/>
      <c r="CI436" s="2867"/>
      <c r="CJ436" s="2867"/>
      <c r="CK436" s="2867"/>
      <c r="CL436" s="2867"/>
      <c r="CM436" s="2867"/>
      <c r="CN436" s="2867"/>
      <c r="CO436" s="2867"/>
      <c r="CP436" s="2867"/>
      <c r="CQ436" s="2867"/>
      <c r="CR436" s="2867"/>
      <c r="CS436" s="2867"/>
      <c r="CT436" s="2867"/>
      <c r="CU436" s="2867"/>
      <c r="CV436" s="2867"/>
      <c r="CW436" s="2867"/>
    </row>
    <row r="437" spans="1:101">
      <c r="A437" s="2867"/>
      <c r="B437" s="2867"/>
      <c r="C437" s="2867"/>
      <c r="D437" s="2867"/>
      <c r="E437" s="2867"/>
      <c r="F437" s="2867"/>
      <c r="G437" s="2867"/>
      <c r="H437" s="2867"/>
      <c r="I437" s="2867"/>
      <c r="J437" s="2867"/>
      <c r="K437" s="2867"/>
      <c r="L437" s="2867"/>
      <c r="M437" s="2867"/>
      <c r="O437" s="2867"/>
      <c r="P437" s="2867"/>
      <c r="Q437" s="2867"/>
      <c r="R437" s="2867"/>
      <c r="S437" s="2867"/>
      <c r="T437" s="2867"/>
      <c r="U437" s="2867"/>
      <c r="V437" s="2867"/>
      <c r="W437" s="2867"/>
      <c r="X437" s="2867"/>
      <c r="Y437" s="2867"/>
      <c r="Z437" s="2867"/>
      <c r="AA437" s="2867"/>
      <c r="AB437" s="2867"/>
      <c r="AC437" s="2867"/>
      <c r="AD437" s="2867"/>
      <c r="AE437" s="2867"/>
      <c r="AF437" s="2867"/>
      <c r="AG437" s="2867"/>
      <c r="AH437" s="2867"/>
      <c r="AI437" s="2867"/>
      <c r="AJ437" s="2867"/>
      <c r="AK437" s="2867"/>
      <c r="AL437" s="2867"/>
      <c r="AM437" s="2867"/>
      <c r="AN437" s="2867"/>
      <c r="AO437" s="2867"/>
      <c r="AP437" s="2867"/>
      <c r="AQ437" s="2867"/>
      <c r="AR437" s="2867"/>
      <c r="AS437" s="2867"/>
      <c r="AT437" s="2867"/>
      <c r="AU437" s="2867"/>
      <c r="AV437" s="2867"/>
      <c r="AW437" s="2867"/>
      <c r="AX437" s="2867"/>
      <c r="AY437" s="2867"/>
      <c r="AZ437" s="2867"/>
      <c r="BA437" s="2867"/>
      <c r="BB437" s="2867"/>
      <c r="BC437" s="2867"/>
      <c r="BD437" s="2867"/>
      <c r="BE437" s="2867"/>
      <c r="BF437" s="2867"/>
      <c r="BG437" s="2867"/>
      <c r="BH437" s="2867"/>
      <c r="BI437" s="2867"/>
      <c r="BJ437" s="2867"/>
      <c r="BK437" s="2867"/>
      <c r="BL437" s="2867"/>
      <c r="BM437" s="2867"/>
      <c r="BN437" s="2867"/>
      <c r="BO437" s="2867"/>
      <c r="BP437" s="2867"/>
      <c r="BQ437" s="2867"/>
      <c r="BR437" s="2867"/>
      <c r="BS437" s="2867"/>
      <c r="BT437" s="2867"/>
      <c r="BU437" s="2867"/>
      <c r="BV437" s="2867"/>
      <c r="BW437" s="2867"/>
      <c r="BX437" s="2867"/>
      <c r="BY437" s="2867"/>
      <c r="BZ437" s="2867"/>
      <c r="CA437" s="2867"/>
      <c r="CB437" s="2867"/>
      <c r="CC437" s="2867"/>
      <c r="CD437" s="2867"/>
      <c r="CE437" s="2867"/>
      <c r="CF437" s="2867"/>
      <c r="CG437" s="2867"/>
      <c r="CH437" s="2867"/>
      <c r="CI437" s="2867"/>
      <c r="CJ437" s="2867"/>
      <c r="CK437" s="2867"/>
      <c r="CL437" s="2867"/>
      <c r="CM437" s="2867"/>
      <c r="CN437" s="2867"/>
      <c r="CO437" s="2867"/>
      <c r="CP437" s="2867"/>
      <c r="CQ437" s="2867"/>
      <c r="CR437" s="2867"/>
      <c r="CS437" s="2867"/>
      <c r="CT437" s="2867"/>
      <c r="CU437" s="2867"/>
      <c r="CV437" s="2867"/>
      <c r="CW437" s="2867"/>
    </row>
    <row r="438" spans="1:101">
      <c r="A438" s="2867"/>
      <c r="B438" s="2867"/>
      <c r="C438" s="2867"/>
      <c r="D438" s="2867"/>
      <c r="E438" s="2867"/>
      <c r="F438" s="2867"/>
      <c r="G438" s="2867"/>
      <c r="H438" s="2867"/>
      <c r="I438" s="2867"/>
      <c r="J438" s="2867"/>
      <c r="K438" s="2867"/>
      <c r="L438" s="2867"/>
      <c r="M438" s="2867"/>
      <c r="O438" s="2867"/>
      <c r="P438" s="2867"/>
      <c r="Q438" s="2867"/>
      <c r="R438" s="2867"/>
      <c r="S438" s="2867"/>
      <c r="T438" s="2867"/>
      <c r="U438" s="2867"/>
      <c r="V438" s="2867"/>
      <c r="W438" s="2867"/>
      <c r="X438" s="2867"/>
      <c r="Y438" s="2867"/>
      <c r="Z438" s="2867"/>
      <c r="AA438" s="2867"/>
      <c r="AB438" s="2867"/>
      <c r="AC438" s="2867"/>
      <c r="AD438" s="2867"/>
      <c r="AE438" s="2867"/>
      <c r="AF438" s="2867"/>
      <c r="AG438" s="2867"/>
      <c r="AH438" s="2867"/>
      <c r="AI438" s="2867"/>
      <c r="AJ438" s="2867"/>
      <c r="AK438" s="2867"/>
      <c r="AL438" s="2867"/>
      <c r="AM438" s="2867"/>
      <c r="AN438" s="2867"/>
      <c r="AO438" s="2867"/>
      <c r="AP438" s="2867"/>
      <c r="AQ438" s="2867"/>
      <c r="AR438" s="2867"/>
      <c r="AS438" s="2867"/>
      <c r="AT438" s="2867"/>
      <c r="AU438" s="2867"/>
      <c r="AV438" s="2867"/>
      <c r="AW438" s="2867"/>
      <c r="AX438" s="2867"/>
      <c r="AY438" s="2867"/>
      <c r="AZ438" s="2867"/>
      <c r="BA438" s="2867"/>
      <c r="BB438" s="2867"/>
      <c r="BC438" s="2867"/>
      <c r="BD438" s="2867"/>
      <c r="BE438" s="2867"/>
      <c r="BF438" s="2867"/>
      <c r="BG438" s="2867"/>
      <c r="BH438" s="2867"/>
      <c r="BI438" s="2867"/>
      <c r="BJ438" s="2867"/>
      <c r="BK438" s="2867"/>
      <c r="BL438" s="2867"/>
      <c r="BM438" s="2867"/>
      <c r="BN438" s="2867"/>
      <c r="BO438" s="2867"/>
      <c r="BP438" s="2867"/>
      <c r="BQ438" s="2867"/>
      <c r="BR438" s="2867"/>
      <c r="BS438" s="2867"/>
      <c r="BT438" s="2867"/>
      <c r="BU438" s="2867"/>
      <c r="BV438" s="2867"/>
      <c r="BW438" s="2867"/>
      <c r="BX438" s="2867"/>
      <c r="BY438" s="2867"/>
      <c r="BZ438" s="2867"/>
      <c r="CA438" s="2867"/>
      <c r="CB438" s="2867"/>
      <c r="CC438" s="2867"/>
      <c r="CD438" s="2867"/>
      <c r="CE438" s="2867"/>
      <c r="CF438" s="2867"/>
      <c r="CG438" s="2867"/>
      <c r="CH438" s="2867"/>
      <c r="CI438" s="2867"/>
      <c r="CJ438" s="2867"/>
      <c r="CK438" s="2867"/>
      <c r="CL438" s="2867"/>
      <c r="CM438" s="2867"/>
      <c r="CN438" s="2867"/>
      <c r="CO438" s="2867"/>
      <c r="CP438" s="2867"/>
      <c r="CQ438" s="2867"/>
      <c r="CR438" s="2867"/>
      <c r="CS438" s="2867"/>
      <c r="CT438" s="2867"/>
      <c r="CU438" s="2867"/>
      <c r="CV438" s="2867"/>
      <c r="CW438" s="2867"/>
    </row>
    <row r="439" spans="1:101">
      <c r="A439" s="2867"/>
      <c r="B439" s="2867"/>
      <c r="C439" s="2867"/>
      <c r="D439" s="2867"/>
      <c r="E439" s="2867"/>
      <c r="F439" s="2867"/>
      <c r="G439" s="2867"/>
      <c r="H439" s="2867"/>
      <c r="I439" s="2867"/>
      <c r="J439" s="2867"/>
      <c r="K439" s="2867"/>
      <c r="L439" s="2867"/>
      <c r="M439" s="2867"/>
      <c r="O439" s="2867"/>
      <c r="P439" s="2867"/>
      <c r="Q439" s="2867"/>
      <c r="R439" s="2867"/>
      <c r="S439" s="2867"/>
      <c r="T439" s="2867"/>
      <c r="U439" s="2867"/>
      <c r="V439" s="2867"/>
      <c r="W439" s="2867"/>
      <c r="X439" s="2867"/>
      <c r="Y439" s="2867"/>
      <c r="Z439" s="2867"/>
      <c r="AA439" s="2867"/>
      <c r="AB439" s="2867"/>
      <c r="AC439" s="2867"/>
      <c r="AD439" s="2867"/>
      <c r="AE439" s="2867"/>
      <c r="AF439" s="2867"/>
      <c r="AG439" s="2867"/>
      <c r="AH439" s="2867"/>
      <c r="AI439" s="2867"/>
      <c r="AJ439" s="2867"/>
      <c r="AK439" s="2867"/>
      <c r="AL439" s="2867"/>
      <c r="AM439" s="2867"/>
      <c r="AN439" s="2867"/>
      <c r="AO439" s="2867"/>
      <c r="AP439" s="2867"/>
      <c r="AQ439" s="2867"/>
      <c r="AR439" s="2867"/>
      <c r="AS439" s="2867"/>
      <c r="AT439" s="2867"/>
      <c r="AU439" s="2867"/>
      <c r="AV439" s="2867"/>
      <c r="AW439" s="2867"/>
      <c r="AX439" s="2867"/>
      <c r="AY439" s="2867"/>
      <c r="AZ439" s="2867"/>
      <c r="BA439" s="2867"/>
      <c r="BB439" s="2867"/>
      <c r="BC439" s="2867"/>
      <c r="BD439" s="2867"/>
      <c r="BE439" s="2867"/>
      <c r="BF439" s="2867"/>
      <c r="BG439" s="2867"/>
      <c r="BH439" s="2867"/>
      <c r="BI439" s="2867"/>
      <c r="BJ439" s="2867"/>
      <c r="BK439" s="2867"/>
      <c r="BL439" s="2867"/>
      <c r="BM439" s="2867"/>
      <c r="BN439" s="2867"/>
      <c r="BO439" s="2867"/>
      <c r="BP439" s="2867"/>
      <c r="BQ439" s="2867"/>
      <c r="BR439" s="2867"/>
      <c r="BS439" s="2867"/>
      <c r="BT439" s="2867"/>
      <c r="BU439" s="2867"/>
      <c r="BV439" s="2867"/>
      <c r="BW439" s="2867"/>
      <c r="BX439" s="2867"/>
      <c r="BY439" s="2867"/>
      <c r="BZ439" s="2867"/>
      <c r="CA439" s="2867"/>
      <c r="CB439" s="2867"/>
      <c r="CC439" s="2867"/>
      <c r="CD439" s="2867"/>
      <c r="CE439" s="2867"/>
      <c r="CF439" s="2867"/>
      <c r="CG439" s="2867"/>
      <c r="CH439" s="2867"/>
      <c r="CI439" s="2867"/>
      <c r="CJ439" s="2867"/>
      <c r="CK439" s="2867"/>
      <c r="CL439" s="2867"/>
      <c r="CM439" s="2867"/>
      <c r="CN439" s="2867"/>
      <c r="CO439" s="2867"/>
      <c r="CP439" s="2867"/>
      <c r="CQ439" s="2867"/>
      <c r="CR439" s="2867"/>
      <c r="CS439" s="2867"/>
      <c r="CT439" s="2867"/>
      <c r="CU439" s="2867"/>
      <c r="CV439" s="2867"/>
      <c r="CW439" s="2867"/>
    </row>
    <row r="440" spans="1:101">
      <c r="A440" s="2867"/>
      <c r="B440" s="2867"/>
      <c r="C440" s="2867"/>
      <c r="D440" s="2867"/>
      <c r="E440" s="2867"/>
      <c r="F440" s="2867"/>
      <c r="G440" s="2867"/>
      <c r="H440" s="2867"/>
      <c r="I440" s="2867"/>
      <c r="J440" s="2867"/>
      <c r="K440" s="2867"/>
      <c r="L440" s="2867"/>
      <c r="M440" s="2867"/>
      <c r="O440" s="2867"/>
      <c r="P440" s="2867"/>
      <c r="Q440" s="2867"/>
      <c r="R440" s="2867"/>
      <c r="S440" s="2867"/>
      <c r="T440" s="2867"/>
      <c r="U440" s="2867"/>
      <c r="V440" s="2867"/>
      <c r="W440" s="2867"/>
      <c r="X440" s="2867"/>
      <c r="Y440" s="2867"/>
      <c r="Z440" s="2867"/>
      <c r="AA440" s="2867"/>
      <c r="AB440" s="2867"/>
      <c r="AC440" s="2867"/>
      <c r="AD440" s="2867"/>
      <c r="AE440" s="2867"/>
      <c r="AF440" s="2867"/>
      <c r="AG440" s="2867"/>
      <c r="AH440" s="2867"/>
      <c r="AI440" s="2867"/>
      <c r="AJ440" s="2867"/>
      <c r="AK440" s="2867"/>
      <c r="AL440" s="2867"/>
      <c r="AM440" s="2867"/>
      <c r="AN440" s="2867"/>
      <c r="AO440" s="2867"/>
      <c r="AP440" s="2867"/>
      <c r="AQ440" s="2867"/>
      <c r="AR440" s="2867"/>
      <c r="AS440" s="2867"/>
      <c r="AT440" s="2867"/>
      <c r="AU440" s="2867"/>
      <c r="AV440" s="2867"/>
      <c r="AW440" s="2867"/>
      <c r="AX440" s="2867"/>
      <c r="AY440" s="2867"/>
      <c r="AZ440" s="2867"/>
      <c r="BA440" s="2867"/>
      <c r="BB440" s="2867"/>
      <c r="BC440" s="2867"/>
      <c r="BD440" s="2867"/>
      <c r="BE440" s="2867"/>
      <c r="BF440" s="2867"/>
      <c r="BG440" s="2867"/>
      <c r="BH440" s="2867"/>
      <c r="BI440" s="2867"/>
      <c r="BJ440" s="2867"/>
      <c r="BK440" s="2867"/>
      <c r="BL440" s="2867"/>
      <c r="BM440" s="2867"/>
      <c r="BN440" s="2867"/>
      <c r="BO440" s="2867"/>
      <c r="BP440" s="2867"/>
      <c r="BQ440" s="2867"/>
      <c r="BR440" s="2867"/>
      <c r="BS440" s="2867"/>
      <c r="BT440" s="2867"/>
      <c r="BU440" s="2867"/>
      <c r="BV440" s="2867"/>
      <c r="BW440" s="2867"/>
      <c r="BX440" s="2867"/>
      <c r="BY440" s="2867"/>
      <c r="BZ440" s="2867"/>
      <c r="CA440" s="2867"/>
      <c r="CB440" s="2867"/>
      <c r="CC440" s="2867"/>
      <c r="CD440" s="2867"/>
      <c r="CE440" s="2867"/>
      <c r="CF440" s="2867"/>
      <c r="CG440" s="2867"/>
      <c r="CH440" s="2867"/>
      <c r="CI440" s="2867"/>
      <c r="CJ440" s="2867"/>
      <c r="CK440" s="2867"/>
      <c r="CL440" s="2867"/>
      <c r="CM440" s="2867"/>
      <c r="CN440" s="2867"/>
      <c r="CO440" s="2867"/>
      <c r="CP440" s="2867"/>
      <c r="CQ440" s="2867"/>
      <c r="CR440" s="2867"/>
      <c r="CS440" s="2867"/>
      <c r="CT440" s="2867"/>
      <c r="CU440" s="2867"/>
      <c r="CV440" s="2867"/>
      <c r="CW440" s="2867"/>
    </row>
    <row r="441" spans="1:101">
      <c r="A441" s="2867"/>
      <c r="B441" s="2867"/>
      <c r="C441" s="2867"/>
      <c r="D441" s="2867"/>
      <c r="E441" s="2867"/>
      <c r="F441" s="2867"/>
      <c r="G441" s="2867"/>
      <c r="H441" s="2867"/>
      <c r="I441" s="2867"/>
      <c r="J441" s="2867"/>
      <c r="K441" s="2867"/>
      <c r="L441" s="2867"/>
      <c r="M441" s="2867"/>
      <c r="O441" s="2867"/>
      <c r="P441" s="2867"/>
      <c r="Q441" s="2867"/>
      <c r="R441" s="2867"/>
      <c r="S441" s="2867"/>
      <c r="T441" s="2867"/>
      <c r="U441" s="2867"/>
      <c r="V441" s="2867"/>
      <c r="W441" s="2867"/>
      <c r="X441" s="2867"/>
      <c r="Y441" s="2867"/>
      <c r="Z441" s="2867"/>
      <c r="AA441" s="2867"/>
      <c r="AB441" s="2867"/>
      <c r="AC441" s="2867"/>
      <c r="AD441" s="2867"/>
      <c r="AE441" s="2867"/>
      <c r="AF441" s="2867"/>
      <c r="AG441" s="2867"/>
      <c r="AH441" s="2867"/>
      <c r="AI441" s="2867"/>
      <c r="AJ441" s="2867"/>
      <c r="AK441" s="2867"/>
      <c r="AL441" s="2867"/>
      <c r="AM441" s="2867"/>
      <c r="AN441" s="2867"/>
      <c r="AO441" s="2867"/>
      <c r="AP441" s="2867"/>
      <c r="AQ441" s="2867"/>
      <c r="AR441" s="2867"/>
      <c r="AS441" s="2867"/>
      <c r="AT441" s="2867"/>
      <c r="AU441" s="2867"/>
      <c r="AV441" s="2867"/>
      <c r="AW441" s="2867"/>
      <c r="AX441" s="2867"/>
      <c r="AY441" s="2867"/>
      <c r="AZ441" s="2867"/>
      <c r="BA441" s="2867"/>
      <c r="BB441" s="2867"/>
      <c r="BC441" s="2867"/>
      <c r="BD441" s="2867"/>
      <c r="BE441" s="2867"/>
      <c r="BF441" s="2867"/>
      <c r="BG441" s="2867"/>
      <c r="BH441" s="2867"/>
      <c r="BI441" s="2867"/>
      <c r="BJ441" s="2867"/>
      <c r="BK441" s="2867"/>
      <c r="BL441" s="2867"/>
      <c r="BM441" s="2867"/>
      <c r="BN441" s="2867"/>
      <c r="BO441" s="2867"/>
      <c r="BP441" s="2867"/>
      <c r="BQ441" s="2867"/>
      <c r="BR441" s="2867"/>
      <c r="BS441" s="2867"/>
      <c r="BT441" s="2867"/>
      <c r="BU441" s="2867"/>
      <c r="BV441" s="2867"/>
      <c r="BW441" s="2867"/>
      <c r="BX441" s="2867"/>
      <c r="BY441" s="2867"/>
      <c r="BZ441" s="2867"/>
      <c r="CA441" s="2867"/>
      <c r="CB441" s="2867"/>
      <c r="CC441" s="2867"/>
      <c r="CD441" s="2867"/>
      <c r="CE441" s="2867"/>
      <c r="CF441" s="2867"/>
      <c r="CG441" s="2867"/>
      <c r="CH441" s="2867"/>
      <c r="CI441" s="2867"/>
      <c r="CJ441" s="2867"/>
      <c r="CK441" s="2867"/>
      <c r="CL441" s="2867"/>
      <c r="CM441" s="2867"/>
      <c r="CN441" s="2867"/>
      <c r="CO441" s="2867"/>
      <c r="CP441" s="2867"/>
      <c r="CQ441" s="2867"/>
      <c r="CR441" s="2867"/>
      <c r="CS441" s="2867"/>
      <c r="CT441" s="2867"/>
      <c r="CU441" s="2867"/>
      <c r="CV441" s="2867"/>
      <c r="CW441" s="2867"/>
    </row>
    <row r="442" spans="1:101">
      <c r="A442" s="2867"/>
      <c r="B442" s="2867"/>
      <c r="C442" s="2867"/>
      <c r="D442" s="2867"/>
      <c r="E442" s="2867"/>
      <c r="F442" s="2867"/>
      <c r="G442" s="2867"/>
      <c r="H442" s="2867"/>
      <c r="I442" s="2867"/>
      <c r="J442" s="2867"/>
      <c r="K442" s="2867"/>
      <c r="L442" s="2867"/>
      <c r="M442" s="2867"/>
      <c r="O442" s="2867"/>
      <c r="P442" s="2867"/>
      <c r="Q442" s="2867"/>
      <c r="R442" s="2867"/>
      <c r="S442" s="2867"/>
      <c r="T442" s="2867"/>
      <c r="U442" s="2867"/>
      <c r="V442" s="2867"/>
      <c r="W442" s="2867"/>
      <c r="X442" s="2867"/>
      <c r="Y442" s="2867"/>
      <c r="Z442" s="2867"/>
      <c r="AA442" s="2867"/>
      <c r="AB442" s="2867"/>
      <c r="AC442" s="2867"/>
      <c r="AD442" s="2867"/>
      <c r="AE442" s="2867"/>
      <c r="AF442" s="2867"/>
      <c r="AG442" s="2867"/>
      <c r="AH442" s="2867"/>
      <c r="AI442" s="2867"/>
      <c r="AJ442" s="2867"/>
      <c r="AK442" s="2867"/>
      <c r="AL442" s="2867"/>
      <c r="AM442" s="2867"/>
      <c r="AN442" s="2867"/>
      <c r="AO442" s="2867"/>
      <c r="AP442" s="2867"/>
      <c r="AQ442" s="2867"/>
      <c r="AR442" s="2867"/>
      <c r="AS442" s="2867"/>
      <c r="AT442" s="2867"/>
      <c r="AU442" s="2867"/>
      <c r="AV442" s="2867"/>
      <c r="AW442" s="2867"/>
      <c r="AX442" s="2867"/>
      <c r="AY442" s="2867"/>
      <c r="AZ442" s="2867"/>
      <c r="BA442" s="2867"/>
      <c r="BB442" s="2867"/>
      <c r="BC442" s="2867"/>
      <c r="BD442" s="2867"/>
      <c r="BE442" s="2867"/>
      <c r="BF442" s="2867"/>
      <c r="BG442" s="2867"/>
      <c r="BH442" s="2867"/>
      <c r="BI442" s="2867"/>
      <c r="BJ442" s="2867"/>
      <c r="BK442" s="2867"/>
      <c r="BL442" s="2867"/>
      <c r="BM442" s="2867"/>
      <c r="BN442" s="2867"/>
      <c r="BO442" s="2867"/>
      <c r="BP442" s="2867"/>
      <c r="BQ442" s="2867"/>
      <c r="BR442" s="2867"/>
      <c r="BS442" s="2867"/>
      <c r="BT442" s="2867"/>
      <c r="BU442" s="2867"/>
      <c r="BV442" s="2867"/>
      <c r="BW442" s="2867"/>
      <c r="BX442" s="2867"/>
      <c r="BY442" s="2867"/>
      <c r="BZ442" s="2867"/>
      <c r="CA442" s="2867"/>
      <c r="CB442" s="2867"/>
      <c r="CC442" s="2867"/>
      <c r="CD442" s="2867"/>
      <c r="CE442" s="2867"/>
      <c r="CF442" s="2867"/>
      <c r="CG442" s="2867"/>
      <c r="CH442" s="2867"/>
      <c r="CI442" s="2867"/>
      <c r="CJ442" s="2867"/>
      <c r="CK442" s="2867"/>
      <c r="CL442" s="2867"/>
      <c r="CM442" s="2867"/>
      <c r="CN442" s="2867"/>
      <c r="CO442" s="2867"/>
      <c r="CP442" s="2867"/>
      <c r="CQ442" s="2867"/>
      <c r="CR442" s="2867"/>
      <c r="CS442" s="2867"/>
      <c r="CT442" s="2867"/>
      <c r="CU442" s="2867"/>
      <c r="CV442" s="2867"/>
      <c r="CW442" s="2867"/>
    </row>
    <row r="443" spans="1:101">
      <c r="A443" s="2867"/>
      <c r="B443" s="2867"/>
      <c r="C443" s="2867"/>
      <c r="D443" s="2867"/>
      <c r="E443" s="2867"/>
      <c r="F443" s="2867"/>
      <c r="G443" s="2867"/>
      <c r="H443" s="2867"/>
      <c r="I443" s="2867"/>
      <c r="J443" s="2867"/>
      <c r="K443" s="2867"/>
      <c r="L443" s="2867"/>
      <c r="M443" s="2867"/>
      <c r="O443" s="2867"/>
      <c r="P443" s="2867"/>
      <c r="Q443" s="2867"/>
      <c r="R443" s="2867"/>
      <c r="S443" s="2867"/>
      <c r="T443" s="2867"/>
      <c r="U443" s="2867"/>
      <c r="V443" s="2867"/>
      <c r="W443" s="2867"/>
      <c r="X443" s="2867"/>
      <c r="Y443" s="2867"/>
      <c r="Z443" s="2867"/>
      <c r="AA443" s="2867"/>
      <c r="AB443" s="2867"/>
      <c r="AC443" s="2867"/>
      <c r="AD443" s="2867"/>
      <c r="AE443" s="2867"/>
      <c r="AF443" s="2867"/>
      <c r="AG443" s="2867"/>
      <c r="AH443" s="2867"/>
      <c r="AI443" s="2867"/>
      <c r="AJ443" s="2867"/>
      <c r="AK443" s="2867"/>
      <c r="AL443" s="2867"/>
      <c r="AM443" s="2867"/>
      <c r="AN443" s="2867"/>
      <c r="AO443" s="2867"/>
      <c r="AP443" s="2867"/>
      <c r="AQ443" s="2867"/>
      <c r="AR443" s="2867"/>
      <c r="AS443" s="2867"/>
      <c r="AT443" s="2867"/>
      <c r="AU443" s="2867"/>
      <c r="AV443" s="2867"/>
      <c r="AW443" s="2867"/>
      <c r="AX443" s="2867"/>
      <c r="AY443" s="2867"/>
      <c r="AZ443" s="2867"/>
      <c r="BA443" s="2867"/>
      <c r="BB443" s="2867"/>
      <c r="BC443" s="2867"/>
      <c r="BD443" s="2867"/>
      <c r="BE443" s="2867"/>
      <c r="BF443" s="2867"/>
      <c r="BG443" s="2867"/>
      <c r="BH443" s="2867"/>
      <c r="BI443" s="2867"/>
      <c r="BJ443" s="2867"/>
      <c r="BK443" s="2867"/>
      <c r="BL443" s="2867"/>
      <c r="BM443" s="2867"/>
      <c r="BN443" s="2867"/>
      <c r="BO443" s="2867"/>
      <c r="BP443" s="2867"/>
      <c r="BQ443" s="2867"/>
      <c r="BR443" s="2867"/>
      <c r="BS443" s="2867"/>
      <c r="BT443" s="2867"/>
      <c r="BU443" s="2867"/>
      <c r="BV443" s="2867"/>
      <c r="BW443" s="2867"/>
      <c r="BX443" s="2867"/>
      <c r="BY443" s="2867"/>
      <c r="BZ443" s="2867"/>
      <c r="CA443" s="2867"/>
      <c r="CB443" s="2867"/>
      <c r="CC443" s="2867"/>
      <c r="CD443" s="2867"/>
      <c r="CE443" s="2867"/>
      <c r="CF443" s="2867"/>
      <c r="CG443" s="2867"/>
      <c r="CH443" s="2867"/>
      <c r="CI443" s="2867"/>
      <c r="CJ443" s="2867"/>
      <c r="CK443" s="2867"/>
      <c r="CL443" s="2867"/>
      <c r="CM443" s="2867"/>
      <c r="CN443" s="2867"/>
      <c r="CO443" s="2867"/>
      <c r="CP443" s="2867"/>
      <c r="CQ443" s="2867"/>
      <c r="CR443" s="2867"/>
      <c r="CS443" s="2867"/>
      <c r="CT443" s="2867"/>
      <c r="CU443" s="2867"/>
      <c r="CV443" s="2867"/>
      <c r="CW443" s="2867"/>
    </row>
    <row r="444" spans="1:101">
      <c r="A444" s="2867"/>
      <c r="B444" s="2867"/>
      <c r="C444" s="2867"/>
      <c r="D444" s="2867"/>
      <c r="E444" s="2867"/>
      <c r="F444" s="2867"/>
      <c r="G444" s="2867"/>
      <c r="H444" s="2867"/>
      <c r="I444" s="2867"/>
      <c r="J444" s="2867"/>
      <c r="K444" s="2867"/>
      <c r="L444" s="2867"/>
      <c r="M444" s="2867"/>
      <c r="O444" s="2867"/>
      <c r="P444" s="2867"/>
      <c r="Q444" s="2867"/>
      <c r="R444" s="2867"/>
      <c r="S444" s="2867"/>
      <c r="T444" s="2867"/>
      <c r="U444" s="2867"/>
      <c r="V444" s="2867"/>
      <c r="W444" s="2867"/>
      <c r="X444" s="2867"/>
      <c r="Y444" s="2867"/>
      <c r="Z444" s="2867"/>
      <c r="AA444" s="2867"/>
      <c r="AB444" s="2867"/>
      <c r="AC444" s="2867"/>
      <c r="AD444" s="2867"/>
      <c r="AE444" s="2867"/>
      <c r="AF444" s="2867"/>
      <c r="AG444" s="2867"/>
      <c r="AH444" s="2867"/>
      <c r="AI444" s="2867"/>
      <c r="AJ444" s="2867"/>
      <c r="AK444" s="2867"/>
      <c r="AL444" s="2867"/>
      <c r="AM444" s="2867"/>
      <c r="AN444" s="2867"/>
      <c r="AO444" s="2867"/>
      <c r="AP444" s="2867"/>
      <c r="AQ444" s="2867"/>
      <c r="AR444" s="2867"/>
      <c r="AS444" s="2867"/>
      <c r="AT444" s="2867"/>
      <c r="AU444" s="2867"/>
      <c r="AV444" s="2867"/>
      <c r="AW444" s="2867"/>
      <c r="AX444" s="2867"/>
      <c r="AY444" s="2867"/>
      <c r="AZ444" s="2867"/>
      <c r="BA444" s="2867"/>
      <c r="BB444" s="2867"/>
      <c r="BC444" s="2867"/>
      <c r="BD444" s="2867"/>
      <c r="BE444" s="2867"/>
      <c r="BF444" s="2867"/>
      <c r="BG444" s="2867"/>
      <c r="BH444" s="2867"/>
      <c r="BI444" s="2867"/>
      <c r="BJ444" s="2867"/>
      <c r="BK444" s="2867"/>
      <c r="BL444" s="2867"/>
      <c r="BM444" s="2867"/>
      <c r="BN444" s="2867"/>
      <c r="BO444" s="2867"/>
      <c r="BP444" s="2867"/>
      <c r="BQ444" s="2867"/>
      <c r="BR444" s="2867"/>
      <c r="BS444" s="2867"/>
      <c r="BT444" s="2867"/>
      <c r="BU444" s="2867"/>
      <c r="BV444" s="2867"/>
      <c r="BW444" s="2867"/>
      <c r="BX444" s="2867"/>
      <c r="BY444" s="2867"/>
      <c r="BZ444" s="2867"/>
      <c r="CA444" s="2867"/>
      <c r="CB444" s="2867"/>
      <c r="CC444" s="2867"/>
      <c r="CD444" s="2867"/>
      <c r="CE444" s="2867"/>
      <c r="CF444" s="2867"/>
      <c r="CG444" s="2867"/>
      <c r="CH444" s="2867"/>
      <c r="CI444" s="2867"/>
      <c r="CJ444" s="2867"/>
      <c r="CK444" s="2867"/>
      <c r="CL444" s="2867"/>
      <c r="CM444" s="2867"/>
      <c r="CN444" s="2867"/>
      <c r="CO444" s="2867"/>
      <c r="CP444" s="2867"/>
      <c r="CQ444" s="2867"/>
      <c r="CR444" s="2867"/>
      <c r="CS444" s="2867"/>
      <c r="CT444" s="2867"/>
      <c r="CU444" s="2867"/>
      <c r="CV444" s="2867"/>
      <c r="CW444" s="2867"/>
    </row>
    <row r="445" spans="1:101">
      <c r="A445" s="2867"/>
      <c r="B445" s="2867"/>
      <c r="C445" s="2867"/>
      <c r="D445" s="2867"/>
      <c r="E445" s="2867"/>
      <c r="F445" s="2867"/>
      <c r="G445" s="2867"/>
      <c r="H445" s="2867"/>
      <c r="I445" s="2867"/>
      <c r="J445" s="2867"/>
      <c r="K445" s="2867"/>
      <c r="L445" s="2867"/>
      <c r="M445" s="2867"/>
      <c r="O445" s="2867"/>
      <c r="P445" s="2867"/>
      <c r="Q445" s="2867"/>
      <c r="R445" s="2867"/>
      <c r="S445" s="2867"/>
      <c r="T445" s="2867"/>
      <c r="U445" s="2867"/>
      <c r="V445" s="2867"/>
      <c r="W445" s="2867"/>
      <c r="X445" s="2867"/>
      <c r="Y445" s="2867"/>
      <c r="Z445" s="2867"/>
      <c r="AA445" s="2867"/>
      <c r="AB445" s="2867"/>
      <c r="AC445" s="2867"/>
      <c r="AD445" s="2867"/>
      <c r="AE445" s="2867"/>
      <c r="AF445" s="2867"/>
      <c r="AG445" s="2867"/>
      <c r="AH445" s="2867"/>
      <c r="AI445" s="2867"/>
      <c r="AJ445" s="2867"/>
      <c r="AK445" s="2867"/>
      <c r="AL445" s="2867"/>
      <c r="AM445" s="2867"/>
      <c r="AN445" s="2867"/>
      <c r="AO445" s="2867"/>
      <c r="AP445" s="2867"/>
      <c r="AQ445" s="2867"/>
      <c r="AR445" s="2867"/>
      <c r="AS445" s="2867"/>
      <c r="AT445" s="2867"/>
      <c r="AU445" s="2867"/>
      <c r="AV445" s="2867"/>
      <c r="AW445" s="2867"/>
      <c r="AX445" s="2867"/>
      <c r="AY445" s="2867"/>
      <c r="AZ445" s="2867"/>
      <c r="BA445" s="2867"/>
      <c r="BB445" s="2867"/>
      <c r="BC445" s="2867"/>
      <c r="BD445" s="2867"/>
      <c r="BE445" s="2867"/>
      <c r="BF445" s="2867"/>
      <c r="BG445" s="2867"/>
      <c r="BH445" s="2867"/>
      <c r="BI445" s="2867"/>
      <c r="BJ445" s="2867"/>
      <c r="BK445" s="2867"/>
      <c r="BL445" s="2867"/>
      <c r="BM445" s="2867"/>
      <c r="BN445" s="2867"/>
      <c r="BO445" s="2867"/>
      <c r="BP445" s="2867"/>
      <c r="BQ445" s="2867"/>
      <c r="BR445" s="2867"/>
      <c r="BS445" s="2867"/>
      <c r="BT445" s="2867"/>
      <c r="BU445" s="2867"/>
      <c r="BV445" s="2867"/>
      <c r="BW445" s="2867"/>
      <c r="BX445" s="2867"/>
      <c r="BY445" s="2867"/>
      <c r="BZ445" s="2867"/>
      <c r="CA445" s="2867"/>
      <c r="CB445" s="2867"/>
      <c r="CC445" s="2867"/>
      <c r="CD445" s="2867"/>
      <c r="CE445" s="2867"/>
      <c r="CF445" s="2867"/>
      <c r="CG445" s="2867"/>
      <c r="CH445" s="2867"/>
      <c r="CI445" s="2867"/>
      <c r="CJ445" s="2867"/>
      <c r="CK445" s="2867"/>
      <c r="CL445" s="2867"/>
      <c r="CM445" s="2867"/>
      <c r="CN445" s="2867"/>
      <c r="CO445" s="2867"/>
      <c r="CP445" s="2867"/>
      <c r="CQ445" s="2867"/>
      <c r="CR445" s="2867"/>
      <c r="CS445" s="2867"/>
      <c r="CT445" s="2867"/>
      <c r="CU445" s="2867"/>
      <c r="CV445" s="2867"/>
      <c r="CW445" s="2867"/>
    </row>
    <row r="446" spans="1:101">
      <c r="A446" s="2867"/>
      <c r="B446" s="2867"/>
      <c r="C446" s="2867"/>
      <c r="D446" s="2867"/>
      <c r="E446" s="2867"/>
      <c r="F446" s="2867"/>
      <c r="G446" s="2867"/>
      <c r="H446" s="2867"/>
      <c r="I446" s="2867"/>
      <c r="J446" s="2867"/>
      <c r="K446" s="2867"/>
      <c r="L446" s="2867"/>
      <c r="M446" s="2867"/>
      <c r="O446" s="2867"/>
      <c r="P446" s="2867"/>
      <c r="Q446" s="2867"/>
      <c r="R446" s="2867"/>
      <c r="S446" s="2867"/>
      <c r="T446" s="2867"/>
      <c r="U446" s="2867"/>
      <c r="V446" s="2867"/>
      <c r="W446" s="2867"/>
      <c r="X446" s="2867"/>
      <c r="Y446" s="2867"/>
      <c r="Z446" s="2867"/>
      <c r="AA446" s="2867"/>
      <c r="AB446" s="2867"/>
      <c r="AC446" s="2867"/>
      <c r="AD446" s="2867"/>
      <c r="AE446" s="2867"/>
      <c r="AF446" s="2867"/>
      <c r="AG446" s="2867"/>
      <c r="AH446" s="2867"/>
      <c r="AI446" s="2867"/>
      <c r="AJ446" s="2867"/>
      <c r="AK446" s="2867"/>
      <c r="AL446" s="2867"/>
      <c r="AM446" s="2867"/>
      <c r="AN446" s="2867"/>
      <c r="AO446" s="2867"/>
      <c r="AP446" s="2867"/>
      <c r="AQ446" s="2867"/>
      <c r="AR446" s="2867"/>
      <c r="AS446" s="2867"/>
      <c r="AT446" s="2867"/>
      <c r="AU446" s="2867"/>
      <c r="AV446" s="2867"/>
      <c r="AW446" s="2867"/>
      <c r="AX446" s="2867"/>
      <c r="AY446" s="2867"/>
      <c r="AZ446" s="2867"/>
      <c r="BA446" s="2867"/>
      <c r="BB446" s="2867"/>
      <c r="BC446" s="2867"/>
      <c r="BD446" s="2867"/>
      <c r="BE446" s="2867"/>
      <c r="BF446" s="2867"/>
      <c r="BG446" s="2867"/>
      <c r="BH446" s="2867"/>
      <c r="BI446" s="2867"/>
      <c r="BJ446" s="2867"/>
      <c r="BK446" s="2867"/>
      <c r="BL446" s="2867"/>
      <c r="BM446" s="2867"/>
      <c r="BN446" s="2867"/>
      <c r="BO446" s="2867"/>
      <c r="BP446" s="2867"/>
      <c r="BQ446" s="2867"/>
      <c r="BR446" s="2867"/>
      <c r="BS446" s="2867"/>
      <c r="BT446" s="2867"/>
      <c r="BU446" s="2867"/>
      <c r="BV446" s="2867"/>
      <c r="BW446" s="2867"/>
      <c r="BX446" s="2867"/>
      <c r="BY446" s="2867"/>
      <c r="BZ446" s="2867"/>
      <c r="CA446" s="2867"/>
      <c r="CB446" s="2867"/>
      <c r="CC446" s="2867"/>
      <c r="CD446" s="2867"/>
      <c r="CE446" s="2867"/>
      <c r="CF446" s="2867"/>
      <c r="CG446" s="2867"/>
      <c r="CH446" s="2867"/>
      <c r="CI446" s="2867"/>
      <c r="CJ446" s="2867"/>
      <c r="CK446" s="2867"/>
      <c r="CL446" s="2867"/>
      <c r="CM446" s="2867"/>
      <c r="CN446" s="2867"/>
      <c r="CO446" s="2867"/>
      <c r="CP446" s="2867"/>
      <c r="CQ446" s="2867"/>
      <c r="CR446" s="2867"/>
      <c r="CS446" s="2867"/>
      <c r="CT446" s="2867"/>
      <c r="CU446" s="2867"/>
      <c r="CV446" s="2867"/>
      <c r="CW446" s="2867"/>
    </row>
    <row r="447" spans="1:101">
      <c r="A447" s="2867"/>
      <c r="B447" s="2867"/>
      <c r="C447" s="2867"/>
      <c r="D447" s="2867"/>
      <c r="E447" s="2867"/>
      <c r="F447" s="2867"/>
      <c r="G447" s="2867"/>
      <c r="H447" s="2867"/>
      <c r="I447" s="2867"/>
      <c r="J447" s="2867"/>
      <c r="K447" s="2867"/>
      <c r="L447" s="2867"/>
      <c r="M447" s="2867"/>
      <c r="O447" s="2867"/>
      <c r="P447" s="2867"/>
      <c r="Q447" s="2867"/>
      <c r="R447" s="2867"/>
      <c r="S447" s="2867"/>
      <c r="T447" s="2867"/>
      <c r="U447" s="2867"/>
      <c r="V447" s="2867"/>
      <c r="W447" s="2867"/>
      <c r="X447" s="2867"/>
      <c r="Y447" s="2867"/>
      <c r="Z447" s="2867"/>
      <c r="AA447" s="2867"/>
      <c r="AB447" s="2867"/>
      <c r="AC447" s="2867"/>
      <c r="AD447" s="2867"/>
      <c r="AE447" s="2867"/>
      <c r="AF447" s="2867"/>
      <c r="AG447" s="2867"/>
      <c r="AH447" s="2867"/>
      <c r="AI447" s="2867"/>
      <c r="AJ447" s="2867"/>
      <c r="AK447" s="2867"/>
      <c r="AL447" s="2867"/>
      <c r="AM447" s="2867"/>
      <c r="AN447" s="2867"/>
      <c r="AO447" s="2867"/>
      <c r="AP447" s="2867"/>
      <c r="AQ447" s="2867"/>
      <c r="AR447" s="2867"/>
      <c r="AS447" s="2867"/>
      <c r="AT447" s="2867"/>
      <c r="AU447" s="2867"/>
      <c r="AV447" s="2867"/>
      <c r="AW447" s="2867"/>
      <c r="AX447" s="2867"/>
      <c r="AY447" s="2867"/>
      <c r="AZ447" s="2867"/>
      <c r="BA447" s="2867"/>
      <c r="BB447" s="2867"/>
      <c r="BC447" s="2867"/>
      <c r="BD447" s="2867"/>
      <c r="BE447" s="2867"/>
      <c r="BF447" s="2867"/>
      <c r="BG447" s="2867"/>
      <c r="BH447" s="2867"/>
      <c r="BI447" s="2867"/>
      <c r="BJ447" s="2867"/>
      <c r="BK447" s="2867"/>
      <c r="BL447" s="2867"/>
      <c r="BM447" s="2867"/>
      <c r="BN447" s="2867"/>
      <c r="BO447" s="2867"/>
      <c r="BP447" s="2867"/>
      <c r="BQ447" s="2867"/>
      <c r="BR447" s="2867"/>
      <c r="BS447" s="2867"/>
      <c r="BT447" s="2867"/>
      <c r="BU447" s="2867"/>
      <c r="BV447" s="2867"/>
      <c r="BW447" s="2867"/>
      <c r="BX447" s="2867"/>
      <c r="BY447" s="2867"/>
      <c r="BZ447" s="2867"/>
      <c r="CA447" s="2867"/>
      <c r="CB447" s="2867"/>
      <c r="CC447" s="2867"/>
      <c r="CD447" s="2867"/>
      <c r="CE447" s="2867"/>
      <c r="CF447" s="2867"/>
      <c r="CG447" s="2867"/>
      <c r="CH447" s="2867"/>
      <c r="CI447" s="2867"/>
      <c r="CJ447" s="2867"/>
      <c r="CK447" s="2867"/>
      <c r="CL447" s="2867"/>
      <c r="CM447" s="2867"/>
      <c r="CN447" s="2867"/>
      <c r="CO447" s="2867"/>
      <c r="CP447" s="2867"/>
      <c r="CQ447" s="2867"/>
      <c r="CR447" s="2867"/>
      <c r="CS447" s="2867"/>
      <c r="CT447" s="2867"/>
      <c r="CU447" s="2867"/>
      <c r="CV447" s="2867"/>
      <c r="CW447" s="2867"/>
    </row>
    <row r="448" spans="1:101">
      <c r="A448" s="2867"/>
      <c r="B448" s="2867"/>
      <c r="C448" s="2867"/>
      <c r="D448" s="2867"/>
      <c r="E448" s="2867"/>
      <c r="F448" s="2867"/>
      <c r="G448" s="2867"/>
      <c r="H448" s="2867"/>
      <c r="I448" s="2867"/>
      <c r="J448" s="2867"/>
      <c r="K448" s="2867"/>
      <c r="L448" s="2867"/>
      <c r="M448" s="2867"/>
      <c r="O448" s="2867"/>
      <c r="P448" s="2867"/>
      <c r="Q448" s="2867"/>
      <c r="R448" s="2867"/>
      <c r="S448" s="2867"/>
      <c r="T448" s="2867"/>
      <c r="U448" s="2867"/>
      <c r="V448" s="2867"/>
      <c r="W448" s="2867"/>
      <c r="X448" s="2867"/>
      <c r="Y448" s="2867"/>
      <c r="Z448" s="2867"/>
      <c r="AA448" s="2867"/>
      <c r="AB448" s="2867"/>
      <c r="AC448" s="2867"/>
      <c r="AD448" s="2867"/>
      <c r="AE448" s="2867"/>
      <c r="AF448" s="2867"/>
      <c r="AG448" s="2867"/>
      <c r="AH448" s="2867"/>
      <c r="AI448" s="2867"/>
      <c r="AJ448" s="2867"/>
      <c r="AK448" s="2867"/>
      <c r="AL448" s="2867"/>
      <c r="AM448" s="2867"/>
      <c r="AN448" s="2867"/>
      <c r="AO448" s="2867"/>
      <c r="AP448" s="2867"/>
      <c r="AQ448" s="2867"/>
      <c r="AR448" s="2867"/>
      <c r="AS448" s="2867"/>
      <c r="AT448" s="2867"/>
      <c r="AU448" s="2867"/>
      <c r="AV448" s="2867"/>
      <c r="AW448" s="2867"/>
      <c r="AX448" s="2867"/>
      <c r="AY448" s="2867"/>
      <c r="AZ448" s="2867"/>
      <c r="BA448" s="2867"/>
      <c r="BB448" s="2867"/>
      <c r="BC448" s="2867"/>
      <c r="BD448" s="2867"/>
      <c r="BE448" s="2867"/>
      <c r="BF448" s="2867"/>
      <c r="BG448" s="2867"/>
      <c r="BH448" s="2867"/>
      <c r="BI448" s="2867"/>
      <c r="BJ448" s="2867"/>
      <c r="BK448" s="2867"/>
      <c r="BL448" s="2867"/>
      <c r="BM448" s="2867"/>
      <c r="BN448" s="2867"/>
      <c r="BO448" s="2867"/>
      <c r="BP448" s="2867"/>
      <c r="BQ448" s="2867"/>
      <c r="BR448" s="2867"/>
      <c r="BS448" s="2867"/>
      <c r="BT448" s="2867"/>
      <c r="BU448" s="2867"/>
      <c r="BV448" s="2867"/>
      <c r="BW448" s="2867"/>
      <c r="BX448" s="2867"/>
      <c r="BY448" s="2867"/>
      <c r="BZ448" s="2867"/>
      <c r="CA448" s="2867"/>
      <c r="CB448" s="2867"/>
      <c r="CC448" s="2867"/>
      <c r="CD448" s="2867"/>
      <c r="CE448" s="2867"/>
      <c r="CF448" s="2867"/>
      <c r="CG448" s="2867"/>
      <c r="CH448" s="2867"/>
      <c r="CI448" s="2867"/>
      <c r="CJ448" s="2867"/>
      <c r="CK448" s="2867"/>
      <c r="CL448" s="2867"/>
      <c r="CM448" s="2867"/>
      <c r="CN448" s="2867"/>
      <c r="CO448" s="2867"/>
      <c r="CP448" s="2867"/>
      <c r="CQ448" s="2867"/>
      <c r="CR448" s="2867"/>
      <c r="CS448" s="2867"/>
      <c r="CT448" s="2867"/>
      <c r="CU448" s="2867"/>
      <c r="CV448" s="2867"/>
      <c r="CW448" s="2867"/>
    </row>
    <row r="449" spans="1:101">
      <c r="A449" s="2867"/>
      <c r="B449" s="2867"/>
      <c r="C449" s="2867"/>
      <c r="D449" s="2867"/>
      <c r="E449" s="2867"/>
      <c r="F449" s="2867"/>
      <c r="G449" s="2867"/>
      <c r="H449" s="2867"/>
      <c r="I449" s="2867"/>
      <c r="J449" s="2867"/>
      <c r="K449" s="2867"/>
      <c r="L449" s="2867"/>
      <c r="M449" s="2867"/>
      <c r="O449" s="2867"/>
      <c r="P449" s="2867"/>
      <c r="Q449" s="2867"/>
      <c r="R449" s="2867"/>
      <c r="S449" s="2867"/>
      <c r="T449" s="2867"/>
      <c r="U449" s="2867"/>
      <c r="V449" s="2867"/>
      <c r="W449" s="2867"/>
      <c r="X449" s="2867"/>
      <c r="Y449" s="2867"/>
      <c r="Z449" s="2867"/>
      <c r="AA449" s="2867"/>
      <c r="AB449" s="2867"/>
      <c r="AC449" s="2867"/>
      <c r="AD449" s="2867"/>
      <c r="AE449" s="2867"/>
      <c r="AF449" s="2867"/>
      <c r="AG449" s="2867"/>
      <c r="AH449" s="2867"/>
      <c r="AI449" s="2867"/>
      <c r="AJ449" s="2867"/>
      <c r="AK449" s="2867"/>
      <c r="AL449" s="2867"/>
      <c r="AM449" s="2867"/>
      <c r="AN449" s="2867"/>
      <c r="AO449" s="2867"/>
      <c r="AP449" s="2867"/>
      <c r="AQ449" s="2867"/>
      <c r="AR449" s="2867"/>
      <c r="AS449" s="2867"/>
      <c r="AT449" s="2867"/>
      <c r="AU449" s="2867"/>
      <c r="AV449" s="2867"/>
      <c r="AW449" s="2867"/>
      <c r="AX449" s="2867"/>
      <c r="AY449" s="2867"/>
      <c r="AZ449" s="2867"/>
      <c r="BA449" s="2867"/>
      <c r="BB449" s="2867"/>
      <c r="BC449" s="2867"/>
      <c r="BD449" s="2867"/>
      <c r="BE449" s="2867"/>
      <c r="BF449" s="2867"/>
      <c r="BG449" s="2867"/>
      <c r="BH449" s="2867"/>
      <c r="BI449" s="2867"/>
      <c r="BJ449" s="2867"/>
      <c r="BK449" s="2867"/>
      <c r="BL449" s="2867"/>
      <c r="BM449" s="2867"/>
      <c r="BN449" s="2867"/>
      <c r="BO449" s="2867"/>
      <c r="BP449" s="2867"/>
      <c r="BQ449" s="2867"/>
      <c r="BR449" s="2867"/>
      <c r="BS449" s="2867"/>
      <c r="BT449" s="2867"/>
      <c r="BU449" s="2867"/>
      <c r="BV449" s="2867"/>
      <c r="BW449" s="2867"/>
      <c r="BX449" s="2867"/>
      <c r="BY449" s="2867"/>
      <c r="BZ449" s="2867"/>
      <c r="CA449" s="2867"/>
      <c r="CB449" s="2867"/>
      <c r="CC449" s="2867"/>
      <c r="CD449" s="2867"/>
      <c r="CE449" s="2867"/>
      <c r="CF449" s="2867"/>
      <c r="CG449" s="2867"/>
      <c r="CH449" s="2867"/>
      <c r="CI449" s="2867"/>
      <c r="CJ449" s="2867"/>
      <c r="CK449" s="2867"/>
      <c r="CL449" s="2867"/>
      <c r="CM449" s="2867"/>
      <c r="CN449" s="2867"/>
      <c r="CO449" s="2867"/>
      <c r="CP449" s="2867"/>
      <c r="CQ449" s="2867"/>
      <c r="CR449" s="2867"/>
      <c r="CS449" s="2867"/>
      <c r="CT449" s="2867"/>
      <c r="CU449" s="2867"/>
      <c r="CV449" s="2867"/>
      <c r="CW449" s="2867"/>
    </row>
    <row r="450" spans="1:101">
      <c r="A450" s="2867"/>
      <c r="B450" s="2867"/>
      <c r="C450" s="2867"/>
      <c r="D450" s="2867"/>
      <c r="E450" s="2867"/>
      <c r="F450" s="2867"/>
      <c r="G450" s="2867"/>
      <c r="H450" s="2867"/>
      <c r="I450" s="2867"/>
      <c r="J450" s="2867"/>
      <c r="K450" s="2867"/>
      <c r="L450" s="2867"/>
      <c r="M450" s="2867"/>
      <c r="O450" s="2867"/>
      <c r="P450" s="2867"/>
      <c r="Q450" s="2867"/>
      <c r="R450" s="2867"/>
      <c r="S450" s="2867"/>
      <c r="T450" s="2867"/>
      <c r="U450" s="2867"/>
      <c r="V450" s="2867"/>
      <c r="W450" s="2867"/>
      <c r="X450" s="2867"/>
      <c r="Y450" s="2867"/>
      <c r="Z450" s="2867"/>
      <c r="AA450" s="2867"/>
      <c r="AB450" s="2867"/>
      <c r="AC450" s="2867"/>
      <c r="AD450" s="2867"/>
      <c r="AE450" s="2867"/>
      <c r="AF450" s="2867"/>
      <c r="AG450" s="2867"/>
      <c r="AH450" s="2867"/>
      <c r="AI450" s="2867"/>
      <c r="AJ450" s="2867"/>
      <c r="AK450" s="2867"/>
      <c r="AL450" s="2867"/>
      <c r="AM450" s="2867"/>
      <c r="AN450" s="2867"/>
      <c r="AO450" s="2867"/>
      <c r="AP450" s="2867"/>
      <c r="AQ450" s="2867"/>
      <c r="AR450" s="2867"/>
      <c r="AS450" s="2867"/>
      <c r="AT450" s="2867"/>
      <c r="AU450" s="2867"/>
      <c r="AV450" s="2867"/>
      <c r="AW450" s="2867"/>
      <c r="AX450" s="2867"/>
      <c r="AY450" s="2867"/>
      <c r="AZ450" s="2867"/>
      <c r="BA450" s="2867"/>
      <c r="BB450" s="2867"/>
      <c r="BC450" s="2867"/>
      <c r="BD450" s="2867"/>
      <c r="BE450" s="2867"/>
      <c r="BF450" s="2867"/>
      <c r="BG450" s="2867"/>
      <c r="BH450" s="2867"/>
      <c r="BI450" s="2867"/>
      <c r="BJ450" s="2867"/>
      <c r="BK450" s="2867"/>
      <c r="BL450" s="2867"/>
      <c r="BM450" s="2867"/>
      <c r="BN450" s="2867"/>
      <c r="BO450" s="2867"/>
      <c r="BP450" s="2867"/>
      <c r="BQ450" s="2867"/>
      <c r="BR450" s="2867"/>
      <c r="BS450" s="2867"/>
      <c r="BT450" s="2867"/>
      <c r="BU450" s="2867"/>
      <c r="BV450" s="2867"/>
      <c r="BW450" s="2867"/>
      <c r="BX450" s="2867"/>
      <c r="BY450" s="2867"/>
      <c r="BZ450" s="2867"/>
      <c r="CA450" s="2867"/>
      <c r="CB450" s="2867"/>
      <c r="CC450" s="2867"/>
      <c r="CD450" s="2867"/>
      <c r="CE450" s="2867"/>
      <c r="CF450" s="2867"/>
      <c r="CG450" s="2867"/>
      <c r="CH450" s="2867"/>
      <c r="CI450" s="2867"/>
      <c r="CJ450" s="2867"/>
      <c r="CK450" s="2867"/>
      <c r="CL450" s="2867"/>
      <c r="CM450" s="2867"/>
      <c r="CN450" s="2867"/>
      <c r="CO450" s="2867"/>
      <c r="CP450" s="2867"/>
      <c r="CQ450" s="2867"/>
      <c r="CR450" s="2867"/>
      <c r="CS450" s="2867"/>
      <c r="CT450" s="2867"/>
      <c r="CU450" s="2867"/>
      <c r="CV450" s="2867"/>
      <c r="CW450" s="2867"/>
    </row>
    <row r="451" spans="1:101">
      <c r="A451" s="2867"/>
      <c r="B451" s="2867"/>
      <c r="C451" s="2867"/>
      <c r="D451" s="2867"/>
      <c r="E451" s="2867"/>
      <c r="F451" s="2867"/>
      <c r="G451" s="2867"/>
      <c r="H451" s="2867"/>
      <c r="I451" s="2867"/>
      <c r="J451" s="2867"/>
      <c r="K451" s="2867"/>
      <c r="L451" s="2867"/>
      <c r="M451" s="2867"/>
      <c r="O451" s="2867"/>
      <c r="P451" s="2867"/>
      <c r="Q451" s="2867"/>
      <c r="R451" s="2867"/>
      <c r="S451" s="2867"/>
      <c r="T451" s="2867"/>
      <c r="U451" s="2867"/>
      <c r="V451" s="2867"/>
      <c r="W451" s="2867"/>
      <c r="X451" s="2867"/>
      <c r="Y451" s="2867"/>
      <c r="Z451" s="2867"/>
      <c r="AA451" s="2867"/>
      <c r="AB451" s="2867"/>
      <c r="AC451" s="2867"/>
      <c r="AD451" s="2867"/>
      <c r="AE451" s="2867"/>
      <c r="AF451" s="2867"/>
      <c r="AG451" s="2867"/>
      <c r="AH451" s="2867"/>
      <c r="AI451" s="2867"/>
      <c r="AJ451" s="2867"/>
      <c r="AK451" s="2867"/>
      <c r="AL451" s="2867"/>
      <c r="AM451" s="2867"/>
      <c r="AN451" s="2867"/>
      <c r="AO451" s="2867"/>
      <c r="AP451" s="2867"/>
      <c r="AQ451" s="2867"/>
      <c r="AR451" s="2867"/>
      <c r="AS451" s="2867"/>
      <c r="AT451" s="2867"/>
      <c r="AU451" s="2867"/>
      <c r="AV451" s="2867"/>
      <c r="AW451" s="2867"/>
      <c r="AX451" s="2867"/>
      <c r="AY451" s="2867"/>
      <c r="AZ451" s="2867"/>
      <c r="BA451" s="2867"/>
      <c r="BB451" s="2867"/>
      <c r="BC451" s="2867"/>
      <c r="BD451" s="2867"/>
      <c r="BE451" s="2867"/>
      <c r="BF451" s="2867"/>
      <c r="BG451" s="2867"/>
      <c r="BH451" s="2867"/>
      <c r="BI451" s="2867"/>
      <c r="BJ451" s="2867"/>
      <c r="BK451" s="2867"/>
      <c r="BL451" s="2867"/>
      <c r="BM451" s="2867"/>
      <c r="BN451" s="2867"/>
      <c r="BO451" s="2867"/>
      <c r="BP451" s="2867"/>
      <c r="BQ451" s="2867"/>
      <c r="BR451" s="2867"/>
      <c r="BS451" s="2867"/>
      <c r="BT451" s="2867"/>
      <c r="BU451" s="2867"/>
      <c r="BV451" s="2867"/>
      <c r="BW451" s="2867"/>
      <c r="BX451" s="2867"/>
      <c r="BY451" s="2867"/>
      <c r="BZ451" s="2867"/>
      <c r="CA451" s="2867"/>
      <c r="CB451" s="2867"/>
      <c r="CC451" s="2867"/>
      <c r="CD451" s="2867"/>
      <c r="CE451" s="2867"/>
      <c r="CF451" s="2867"/>
      <c r="CG451" s="2867"/>
      <c r="CH451" s="2867"/>
      <c r="CI451" s="2867"/>
      <c r="CJ451" s="2867"/>
      <c r="CK451" s="2867"/>
      <c r="CL451" s="2867"/>
      <c r="CM451" s="2867"/>
      <c r="CN451" s="2867"/>
      <c r="CO451" s="2867"/>
      <c r="CP451" s="2867"/>
      <c r="CQ451" s="2867"/>
      <c r="CR451" s="2867"/>
      <c r="CS451" s="2867"/>
      <c r="CT451" s="2867"/>
      <c r="CU451" s="2867"/>
      <c r="CV451" s="2867"/>
      <c r="CW451" s="2867"/>
    </row>
    <row r="452" spans="1:101">
      <c r="A452" s="2867"/>
      <c r="B452" s="2867"/>
      <c r="C452" s="2867"/>
      <c r="D452" s="2867"/>
      <c r="E452" s="2867"/>
      <c r="F452" s="2867"/>
      <c r="G452" s="2867"/>
      <c r="H452" s="2867"/>
      <c r="I452" s="2867"/>
      <c r="J452" s="2867"/>
      <c r="K452" s="2867"/>
      <c r="L452" s="2867"/>
      <c r="M452" s="2867"/>
      <c r="O452" s="2867"/>
      <c r="P452" s="2867"/>
      <c r="Q452" s="2867"/>
      <c r="R452" s="2867"/>
      <c r="S452" s="2867"/>
      <c r="T452" s="2867"/>
      <c r="U452" s="2867"/>
      <c r="V452" s="2867"/>
      <c r="W452" s="2867"/>
      <c r="X452" s="2867"/>
      <c r="Y452" s="2867"/>
      <c r="Z452" s="2867"/>
      <c r="AA452" s="2867"/>
      <c r="AB452" s="2867"/>
      <c r="AC452" s="2867"/>
      <c r="AD452" s="2867"/>
      <c r="AE452" s="2867"/>
      <c r="AF452" s="2867"/>
      <c r="AG452" s="2867"/>
      <c r="AH452" s="2867"/>
      <c r="AI452" s="2867"/>
      <c r="AJ452" s="2867"/>
      <c r="AK452" s="2867"/>
      <c r="AL452" s="2867"/>
      <c r="AM452" s="2867"/>
      <c r="AN452" s="2867"/>
      <c r="AO452" s="2867"/>
      <c r="AP452" s="2867"/>
      <c r="AQ452" s="2867"/>
      <c r="AR452" s="2867"/>
      <c r="AS452" s="2867"/>
      <c r="AT452" s="2867"/>
      <c r="AU452" s="2867"/>
      <c r="AV452" s="2867"/>
      <c r="AW452" s="2867"/>
      <c r="AX452" s="2867"/>
      <c r="AY452" s="2867"/>
      <c r="AZ452" s="2867"/>
      <c r="BA452" s="2867"/>
      <c r="BB452" s="2867"/>
      <c r="BC452" s="2867"/>
      <c r="BD452" s="2867"/>
      <c r="BE452" s="2867"/>
      <c r="BF452" s="2867"/>
      <c r="BG452" s="2867"/>
      <c r="BH452" s="2867"/>
      <c r="BI452" s="2867"/>
      <c r="BJ452" s="2867"/>
      <c r="BK452" s="2867"/>
      <c r="BL452" s="2867"/>
      <c r="BM452" s="2867"/>
      <c r="BN452" s="2867"/>
      <c r="BO452" s="2867"/>
      <c r="BP452" s="2867"/>
      <c r="BQ452" s="2867"/>
      <c r="BR452" s="2867"/>
      <c r="BS452" s="2867"/>
      <c r="BT452" s="2867"/>
      <c r="BU452" s="2867"/>
      <c r="BV452" s="2867"/>
      <c r="BW452" s="2867"/>
      <c r="BX452" s="2867"/>
      <c r="BY452" s="2867"/>
      <c r="BZ452" s="2867"/>
      <c r="CA452" s="2867"/>
      <c r="CB452" s="2867"/>
      <c r="CC452" s="2867"/>
      <c r="CD452" s="2867"/>
      <c r="CE452" s="2867"/>
      <c r="CF452" s="2867"/>
      <c r="CG452" s="2867"/>
      <c r="CH452" s="2867"/>
      <c r="CI452" s="2867"/>
      <c r="CJ452" s="2867"/>
      <c r="CK452" s="2867"/>
      <c r="CL452" s="2867"/>
      <c r="CM452" s="2867"/>
      <c r="CN452" s="2867"/>
      <c r="CO452" s="2867"/>
      <c r="CP452" s="2867"/>
      <c r="CQ452" s="2867"/>
      <c r="CR452" s="2867"/>
      <c r="CS452" s="2867"/>
      <c r="CT452" s="2867"/>
      <c r="CU452" s="2867"/>
      <c r="CV452" s="2867"/>
      <c r="CW452" s="2867"/>
    </row>
    <row r="453" spans="1:101">
      <c r="A453" s="2867"/>
      <c r="B453" s="2867"/>
      <c r="C453" s="2867"/>
      <c r="D453" s="2867"/>
      <c r="E453" s="2867"/>
      <c r="F453" s="2867"/>
      <c r="G453" s="2867"/>
      <c r="H453" s="2867"/>
      <c r="I453" s="2867"/>
      <c r="J453" s="2867"/>
      <c r="K453" s="2867"/>
      <c r="L453" s="2867"/>
      <c r="M453" s="2867"/>
      <c r="O453" s="2867"/>
      <c r="P453" s="2867"/>
      <c r="Q453" s="2867"/>
      <c r="R453" s="2867"/>
      <c r="S453" s="2867"/>
      <c r="T453" s="2867"/>
      <c r="U453" s="2867"/>
      <c r="V453" s="2867"/>
      <c r="W453" s="2867"/>
      <c r="X453" s="2867"/>
      <c r="Y453" s="2867"/>
      <c r="Z453" s="2867"/>
      <c r="AA453" s="2867"/>
      <c r="AB453" s="2867"/>
      <c r="AC453" s="2867"/>
      <c r="AD453" s="2867"/>
      <c r="AE453" s="2867"/>
      <c r="AF453" s="2867"/>
      <c r="AG453" s="2867"/>
      <c r="AH453" s="2867"/>
      <c r="AI453" s="2867"/>
      <c r="AJ453" s="2867"/>
      <c r="AK453" s="2867"/>
      <c r="AL453" s="2867"/>
      <c r="AM453" s="2867"/>
      <c r="AN453" s="2867"/>
      <c r="AO453" s="2867"/>
      <c r="AP453" s="2867"/>
      <c r="AQ453" s="2867"/>
      <c r="AR453" s="2867"/>
      <c r="AS453" s="2867"/>
      <c r="AT453" s="2867"/>
      <c r="AU453" s="2867"/>
      <c r="AV453" s="2867"/>
      <c r="AW453" s="2867"/>
      <c r="AX453" s="2867"/>
      <c r="AY453" s="2867"/>
      <c r="AZ453" s="2867"/>
      <c r="BA453" s="2867"/>
      <c r="BB453" s="2867"/>
      <c r="BC453" s="2867"/>
      <c r="BD453" s="2867"/>
      <c r="BE453" s="2867"/>
      <c r="BF453" s="2867"/>
      <c r="BG453" s="2867"/>
      <c r="BH453" s="2867"/>
      <c r="BI453" s="2867"/>
      <c r="BJ453" s="2867"/>
      <c r="BK453" s="2867"/>
      <c r="BL453" s="2867"/>
      <c r="BM453" s="2867"/>
      <c r="BN453" s="2867"/>
      <c r="BO453" s="2867"/>
      <c r="BP453" s="2867"/>
      <c r="BQ453" s="2867"/>
      <c r="BR453" s="2867"/>
      <c r="BS453" s="2867"/>
      <c r="BT453" s="2867"/>
      <c r="BU453" s="2867"/>
      <c r="BV453" s="2867"/>
      <c r="BW453" s="2867"/>
      <c r="BX453" s="2867"/>
      <c r="BY453" s="2867"/>
      <c r="BZ453" s="2867"/>
      <c r="CA453" s="2867"/>
      <c r="CB453" s="2867"/>
      <c r="CC453" s="2867"/>
      <c r="CD453" s="2867"/>
      <c r="CE453" s="2867"/>
      <c r="CF453" s="2867"/>
      <c r="CG453" s="2867"/>
      <c r="CH453" s="2867"/>
      <c r="CI453" s="2867"/>
      <c r="CJ453" s="2867"/>
      <c r="CK453" s="2867"/>
      <c r="CL453" s="2867"/>
      <c r="CM453" s="2867"/>
      <c r="CN453" s="2867"/>
      <c r="CO453" s="2867"/>
      <c r="CP453" s="2867"/>
      <c r="CQ453" s="2867"/>
      <c r="CR453" s="2867"/>
      <c r="CS453" s="2867"/>
      <c r="CT453" s="2867"/>
      <c r="CU453" s="2867"/>
      <c r="CV453" s="2867"/>
      <c r="CW453" s="2867"/>
    </row>
    <row r="454" spans="1:101">
      <c r="A454" s="2867"/>
      <c r="B454" s="2867"/>
      <c r="C454" s="2867"/>
      <c r="D454" s="2867"/>
      <c r="E454" s="2867"/>
      <c r="F454" s="2867"/>
      <c r="G454" s="2867"/>
      <c r="H454" s="2867"/>
      <c r="I454" s="2867"/>
      <c r="J454" s="2867"/>
      <c r="K454" s="2867"/>
      <c r="L454" s="2867"/>
      <c r="M454" s="2867"/>
      <c r="O454" s="2867"/>
      <c r="P454" s="2867"/>
      <c r="Q454" s="2867"/>
      <c r="R454" s="2867"/>
      <c r="S454" s="2867"/>
      <c r="T454" s="2867"/>
      <c r="U454" s="2867"/>
      <c r="V454" s="2867"/>
      <c r="W454" s="2867"/>
      <c r="X454" s="2867"/>
      <c r="Y454" s="2867"/>
      <c r="Z454" s="2867"/>
      <c r="AA454" s="2867"/>
      <c r="AB454" s="2867"/>
      <c r="AC454" s="2867"/>
      <c r="AD454" s="2867"/>
      <c r="AE454" s="2867"/>
      <c r="AF454" s="2867"/>
      <c r="AG454" s="2867"/>
      <c r="AH454" s="2867"/>
      <c r="AI454" s="2867"/>
      <c r="AJ454" s="2867"/>
      <c r="AK454" s="2867"/>
      <c r="AL454" s="2867"/>
      <c r="AM454" s="2867"/>
      <c r="AN454" s="2867"/>
      <c r="AO454" s="2867"/>
      <c r="AP454" s="2867"/>
      <c r="AQ454" s="2867"/>
      <c r="AR454" s="2867"/>
      <c r="AS454" s="2867"/>
      <c r="AT454" s="2867"/>
      <c r="AU454" s="2867"/>
      <c r="AV454" s="2867"/>
      <c r="AW454" s="2867"/>
      <c r="AX454" s="2867"/>
      <c r="AY454" s="2867"/>
      <c r="AZ454" s="2867"/>
      <c r="BA454" s="2867"/>
      <c r="BB454" s="2867"/>
      <c r="BC454" s="2867"/>
      <c r="BD454" s="2867"/>
      <c r="BE454" s="2867"/>
      <c r="BF454" s="2867"/>
      <c r="BG454" s="2867"/>
      <c r="BH454" s="2867"/>
      <c r="BI454" s="2867"/>
      <c r="BJ454" s="2867"/>
      <c r="BK454" s="2867"/>
      <c r="BL454" s="2867"/>
      <c r="BM454" s="2867"/>
      <c r="BN454" s="2867"/>
      <c r="BO454" s="2867"/>
      <c r="BP454" s="2867"/>
      <c r="BQ454" s="2867"/>
      <c r="BR454" s="2867"/>
      <c r="BS454" s="2867"/>
      <c r="BT454" s="2867"/>
      <c r="BU454" s="2867"/>
      <c r="BV454" s="2867"/>
      <c r="BW454" s="2867"/>
      <c r="BX454" s="2867"/>
      <c r="BY454" s="2867"/>
      <c r="BZ454" s="2867"/>
      <c r="CA454" s="2867"/>
      <c r="CB454" s="2867"/>
      <c r="CC454" s="2867"/>
      <c r="CD454" s="2867"/>
      <c r="CE454" s="2867"/>
      <c r="CF454" s="2867"/>
      <c r="CG454" s="2867"/>
      <c r="CH454" s="2867"/>
      <c r="CI454" s="2867"/>
      <c r="CJ454" s="2867"/>
      <c r="CK454" s="2867"/>
      <c r="CL454" s="2867"/>
      <c r="CM454" s="2867"/>
      <c r="CN454" s="2867"/>
      <c r="CO454" s="2867"/>
      <c r="CP454" s="2867"/>
      <c r="CQ454" s="2867"/>
      <c r="CR454" s="2867"/>
      <c r="CS454" s="2867"/>
      <c r="CT454" s="2867"/>
      <c r="CU454" s="2867"/>
      <c r="CV454" s="2867"/>
      <c r="CW454" s="2867"/>
    </row>
    <row r="455" spans="1:101">
      <c r="A455" s="2867"/>
      <c r="B455" s="2867"/>
      <c r="C455" s="2867"/>
      <c r="D455" s="2867"/>
      <c r="E455" s="2867"/>
      <c r="F455" s="2867"/>
      <c r="G455" s="2867"/>
      <c r="H455" s="2867"/>
      <c r="I455" s="2867"/>
      <c r="J455" s="2867"/>
      <c r="K455" s="2867"/>
      <c r="L455" s="2867"/>
      <c r="M455" s="2867"/>
      <c r="O455" s="2867"/>
      <c r="P455" s="2867"/>
      <c r="Q455" s="2867"/>
      <c r="R455" s="2867"/>
      <c r="S455" s="2867"/>
      <c r="T455" s="2867"/>
      <c r="U455" s="2867"/>
      <c r="V455" s="2867"/>
      <c r="W455" s="2867"/>
      <c r="X455" s="2867"/>
      <c r="Y455" s="2867"/>
      <c r="Z455" s="2867"/>
      <c r="AA455" s="2867"/>
      <c r="AB455" s="2867"/>
      <c r="AC455" s="2867"/>
      <c r="AD455" s="2867"/>
      <c r="AE455" s="2867"/>
      <c r="AF455" s="2867"/>
      <c r="AG455" s="2867"/>
      <c r="AH455" s="2867"/>
      <c r="AI455" s="2867"/>
      <c r="AJ455" s="2867"/>
      <c r="AK455" s="2867"/>
      <c r="AL455" s="2867"/>
      <c r="AM455" s="2867"/>
      <c r="AN455" s="2867"/>
      <c r="AO455" s="2867"/>
      <c r="AP455" s="2867"/>
      <c r="AQ455" s="2867"/>
      <c r="AR455" s="2867"/>
      <c r="AS455" s="2867"/>
      <c r="AT455" s="2867"/>
      <c r="AU455" s="2867"/>
      <c r="AV455" s="2867"/>
      <c r="AW455" s="2867"/>
      <c r="AX455" s="2867"/>
      <c r="AY455" s="2867"/>
      <c r="AZ455" s="2867"/>
      <c r="BA455" s="2867"/>
      <c r="BB455" s="2867"/>
      <c r="BC455" s="2867"/>
      <c r="BD455" s="2867"/>
      <c r="BE455" s="2867"/>
      <c r="BF455" s="2867"/>
      <c r="BG455" s="2867"/>
      <c r="BH455" s="2867"/>
      <c r="BI455" s="2867"/>
      <c r="BJ455" s="2867"/>
      <c r="BK455" s="2867"/>
      <c r="BL455" s="2867"/>
      <c r="BM455" s="2867"/>
      <c r="BN455" s="2867"/>
      <c r="BO455" s="2867"/>
      <c r="BP455" s="2867"/>
      <c r="BQ455" s="2867"/>
      <c r="BR455" s="2867"/>
      <c r="BS455" s="2867"/>
      <c r="BT455" s="2867"/>
      <c r="BU455" s="2867"/>
      <c r="BV455" s="2867"/>
      <c r="BW455" s="2867"/>
      <c r="BX455" s="2867"/>
      <c r="BY455" s="2867"/>
      <c r="BZ455" s="2867"/>
      <c r="CA455" s="2867"/>
      <c r="CB455" s="2867"/>
      <c r="CC455" s="2867"/>
      <c r="CD455" s="2867"/>
      <c r="CE455" s="2867"/>
      <c r="CF455" s="2867"/>
      <c r="CG455" s="2867"/>
      <c r="CH455" s="2867"/>
      <c r="CI455" s="2867"/>
      <c r="CJ455" s="2867"/>
      <c r="CK455" s="2867"/>
      <c r="CL455" s="2867"/>
      <c r="CM455" s="2867"/>
      <c r="CN455" s="2867"/>
      <c r="CO455" s="2867"/>
      <c r="CP455" s="2867"/>
      <c r="CQ455" s="2867"/>
      <c r="CR455" s="2867"/>
      <c r="CS455" s="2867"/>
      <c r="CT455" s="2867"/>
      <c r="CU455" s="2867"/>
      <c r="CV455" s="2867"/>
      <c r="CW455" s="2867"/>
    </row>
    <row r="456" spans="1:101">
      <c r="A456" s="2867"/>
      <c r="B456" s="2867"/>
      <c r="C456" s="2867"/>
      <c r="D456" s="2867"/>
      <c r="E456" s="2867"/>
      <c r="F456" s="2867"/>
      <c r="G456" s="2867"/>
      <c r="H456" s="2867"/>
      <c r="I456" s="2867"/>
      <c r="J456" s="2867"/>
      <c r="K456" s="2867"/>
      <c r="L456" s="2867"/>
      <c r="M456" s="2867"/>
      <c r="O456" s="2867"/>
      <c r="P456" s="2867"/>
      <c r="Q456" s="2867"/>
      <c r="R456" s="2867"/>
      <c r="S456" s="2867"/>
      <c r="T456" s="2867"/>
      <c r="U456" s="2867"/>
      <c r="V456" s="2867"/>
      <c r="W456" s="2867"/>
      <c r="X456" s="2867"/>
      <c r="Y456" s="2867"/>
      <c r="Z456" s="2867"/>
      <c r="AA456" s="2867"/>
      <c r="AB456" s="2867"/>
      <c r="AC456" s="2867"/>
      <c r="AD456" s="2867"/>
      <c r="AE456" s="2867"/>
      <c r="AF456" s="2867"/>
      <c r="AG456" s="2867"/>
      <c r="AH456" s="2867"/>
      <c r="AI456" s="2867"/>
      <c r="AJ456" s="2867"/>
      <c r="AK456" s="2867"/>
      <c r="AL456" s="2867"/>
      <c r="AM456" s="2867"/>
      <c r="AN456" s="2867"/>
      <c r="AO456" s="2867"/>
      <c r="AP456" s="2867"/>
      <c r="AQ456" s="2867"/>
      <c r="AR456" s="2867"/>
      <c r="AS456" s="2867"/>
      <c r="AT456" s="2867"/>
      <c r="AU456" s="2867"/>
      <c r="AV456" s="2867"/>
      <c r="AW456" s="2867"/>
      <c r="AX456" s="2867"/>
      <c r="AY456" s="2867"/>
      <c r="AZ456" s="2867"/>
      <c r="BA456" s="2867"/>
      <c r="BB456" s="2867"/>
      <c r="BC456" s="2867"/>
      <c r="BD456" s="2867"/>
      <c r="BE456" s="2867"/>
      <c r="BF456" s="2867"/>
      <c r="BG456" s="2867"/>
      <c r="BH456" s="2867"/>
      <c r="BI456" s="2867"/>
      <c r="BJ456" s="2867"/>
      <c r="BK456" s="2867"/>
      <c r="BL456" s="2867"/>
      <c r="BM456" s="2867"/>
      <c r="BN456" s="2867"/>
      <c r="BO456" s="2867"/>
      <c r="BP456" s="2867"/>
      <c r="BQ456" s="2867"/>
      <c r="BR456" s="2867"/>
      <c r="BS456" s="2867"/>
      <c r="BT456" s="2867"/>
      <c r="BU456" s="2867"/>
      <c r="BV456" s="2867"/>
      <c r="BW456" s="2867"/>
      <c r="BX456" s="2867"/>
      <c r="BY456" s="2867"/>
      <c r="BZ456" s="2867"/>
      <c r="CA456" s="2867"/>
      <c r="CB456" s="2867"/>
      <c r="CC456" s="2867"/>
      <c r="CD456" s="2867"/>
      <c r="CE456" s="2867"/>
      <c r="CF456" s="2867"/>
      <c r="CG456" s="2867"/>
      <c r="CH456" s="2867"/>
      <c r="CI456" s="2867"/>
      <c r="CJ456" s="2867"/>
      <c r="CK456" s="2867"/>
      <c r="CL456" s="2867"/>
      <c r="CM456" s="2867"/>
      <c r="CN456" s="2867"/>
      <c r="CO456" s="2867"/>
      <c r="CP456" s="2867"/>
      <c r="CQ456" s="2867"/>
      <c r="CR456" s="2867"/>
      <c r="CS456" s="2867"/>
      <c r="CT456" s="2867"/>
      <c r="CU456" s="2867"/>
      <c r="CV456" s="2867"/>
      <c r="CW456" s="2867"/>
    </row>
    <row r="457" spans="1:101">
      <c r="A457" s="2867"/>
      <c r="B457" s="2867"/>
      <c r="C457" s="2867"/>
      <c r="D457" s="2867"/>
      <c r="E457" s="2867"/>
      <c r="F457" s="2867"/>
      <c r="G457" s="2867"/>
      <c r="H457" s="2867"/>
      <c r="I457" s="2867"/>
      <c r="J457" s="2867"/>
      <c r="K457" s="2867"/>
      <c r="L457" s="2867"/>
      <c r="M457" s="2867"/>
      <c r="O457" s="2867"/>
      <c r="P457" s="2867"/>
      <c r="Q457" s="2867"/>
      <c r="R457" s="2867"/>
      <c r="S457" s="2867"/>
      <c r="T457" s="2867"/>
      <c r="U457" s="2867"/>
      <c r="V457" s="2867"/>
      <c r="W457" s="2867"/>
      <c r="X457" s="2867"/>
      <c r="Y457" s="2867"/>
      <c r="Z457" s="2867"/>
      <c r="AA457" s="2867"/>
      <c r="AB457" s="2867"/>
      <c r="AC457" s="2867"/>
      <c r="AD457" s="2867"/>
      <c r="AE457" s="2867"/>
      <c r="AF457" s="2867"/>
      <c r="AG457" s="2867"/>
      <c r="AH457" s="2867"/>
      <c r="AI457" s="2867"/>
      <c r="AJ457" s="2867"/>
      <c r="AK457" s="2867"/>
      <c r="AL457" s="2867"/>
      <c r="AM457" s="2867"/>
      <c r="AN457" s="2867"/>
      <c r="AO457" s="2867"/>
      <c r="AP457" s="2867"/>
      <c r="AQ457" s="2867"/>
      <c r="AR457" s="2867"/>
      <c r="AS457" s="2867"/>
      <c r="AT457" s="2867"/>
      <c r="AU457" s="2867"/>
      <c r="AV457" s="2867"/>
      <c r="AW457" s="2867"/>
      <c r="AX457" s="2867"/>
      <c r="AY457" s="2867"/>
      <c r="AZ457" s="2867"/>
      <c r="BA457" s="2867"/>
      <c r="BB457" s="2867"/>
      <c r="BC457" s="2867"/>
      <c r="BD457" s="2867"/>
      <c r="BE457" s="2867"/>
      <c r="BF457" s="2867"/>
      <c r="BG457" s="2867"/>
      <c r="BH457" s="2867"/>
      <c r="BI457" s="2867"/>
      <c r="BJ457" s="2867"/>
      <c r="BK457" s="2867"/>
      <c r="BL457" s="2867"/>
      <c r="BM457" s="2867"/>
      <c r="BN457" s="2867"/>
      <c r="BO457" s="2867"/>
      <c r="BP457" s="2867"/>
      <c r="BQ457" s="2867"/>
      <c r="BR457" s="2867"/>
      <c r="BS457" s="2867"/>
      <c r="BT457" s="2867"/>
      <c r="BU457" s="2867"/>
      <c r="BV457" s="2867"/>
      <c r="BW457" s="2867"/>
      <c r="BX457" s="2867"/>
      <c r="BY457" s="2867"/>
      <c r="BZ457" s="2867"/>
      <c r="CA457" s="2867"/>
      <c r="CB457" s="2867"/>
      <c r="CC457" s="2867"/>
      <c r="CD457" s="2867"/>
      <c r="CE457" s="2867"/>
      <c r="CF457" s="2867"/>
      <c r="CG457" s="2867"/>
      <c r="CH457" s="2867"/>
      <c r="CI457" s="2867"/>
      <c r="CJ457" s="2867"/>
      <c r="CK457" s="2867"/>
      <c r="CL457" s="2867"/>
      <c r="CM457" s="2867"/>
      <c r="CN457" s="2867"/>
      <c r="CO457" s="2867"/>
      <c r="CP457" s="2867"/>
      <c r="CQ457" s="2867"/>
      <c r="CR457" s="2867"/>
      <c r="CS457" s="2867"/>
      <c r="CT457" s="2867"/>
      <c r="CU457" s="2867"/>
      <c r="CV457" s="2867"/>
      <c r="CW457" s="2867"/>
    </row>
    <row r="458" spans="1:101">
      <c r="A458" s="2867"/>
      <c r="B458" s="2867"/>
      <c r="C458" s="2867"/>
      <c r="D458" s="2867"/>
      <c r="E458" s="2867"/>
      <c r="F458" s="2867"/>
      <c r="G458" s="2867"/>
      <c r="H458" s="2867"/>
      <c r="I458" s="2867"/>
      <c r="J458" s="2867"/>
      <c r="K458" s="2867"/>
      <c r="L458" s="2867"/>
      <c r="M458" s="2867"/>
      <c r="O458" s="2867"/>
      <c r="P458" s="2867"/>
      <c r="Q458" s="2867"/>
      <c r="R458" s="2867"/>
      <c r="S458" s="2867"/>
      <c r="T458" s="2867"/>
      <c r="U458" s="2867"/>
      <c r="V458" s="2867"/>
      <c r="W458" s="2867"/>
      <c r="X458" s="2867"/>
      <c r="Y458" s="2867"/>
      <c r="Z458" s="2867"/>
      <c r="AA458" s="2867"/>
      <c r="AB458" s="2867"/>
      <c r="AC458" s="2867"/>
      <c r="AD458" s="2867"/>
      <c r="AE458" s="2867"/>
      <c r="AF458" s="2867"/>
      <c r="AG458" s="2867"/>
      <c r="AH458" s="2867"/>
      <c r="AI458" s="2867"/>
      <c r="AJ458" s="2867"/>
      <c r="AK458" s="2867"/>
      <c r="AL458" s="2867"/>
      <c r="AM458" s="2867"/>
      <c r="AN458" s="2867"/>
      <c r="AO458" s="2867"/>
      <c r="AP458" s="2867"/>
      <c r="AQ458" s="2867"/>
      <c r="AR458" s="2867"/>
      <c r="AS458" s="2867"/>
      <c r="AT458" s="2867"/>
      <c r="AU458" s="2867"/>
      <c r="AV458" s="2867"/>
      <c r="AW458" s="2867"/>
      <c r="AX458" s="2867"/>
      <c r="AY458" s="2867"/>
      <c r="AZ458" s="2867"/>
      <c r="BA458" s="2867"/>
      <c r="BB458" s="2867"/>
      <c r="BC458" s="2867"/>
      <c r="BD458" s="2867"/>
      <c r="BE458" s="2867"/>
      <c r="BF458" s="2867"/>
      <c r="BG458" s="2867"/>
      <c r="BH458" s="2867"/>
      <c r="BI458" s="2867"/>
      <c r="BJ458" s="2867"/>
      <c r="BK458" s="2867"/>
      <c r="BL458" s="2867"/>
      <c r="BM458" s="2867"/>
      <c r="BN458" s="2867"/>
      <c r="BO458" s="2867"/>
      <c r="BP458" s="2867"/>
      <c r="BQ458" s="2867"/>
      <c r="BR458" s="2867"/>
      <c r="BS458" s="2867"/>
      <c r="BT458" s="2867"/>
      <c r="BU458" s="2867"/>
      <c r="BV458" s="2867"/>
      <c r="BW458" s="2867"/>
      <c r="BX458" s="2867"/>
      <c r="BY458" s="2867"/>
      <c r="BZ458" s="2867"/>
      <c r="CA458" s="2867"/>
      <c r="CB458" s="2867"/>
      <c r="CC458" s="2867"/>
      <c r="CD458" s="2867"/>
      <c r="CE458" s="2867"/>
      <c r="CF458" s="2867"/>
      <c r="CG458" s="2867"/>
      <c r="CH458" s="2867"/>
      <c r="CI458" s="2867"/>
      <c r="CJ458" s="2867"/>
      <c r="CK458" s="2867"/>
      <c r="CL458" s="2867"/>
      <c r="CM458" s="2867"/>
      <c r="CN458" s="2867"/>
      <c r="CO458" s="2867"/>
      <c r="CP458" s="2867"/>
      <c r="CQ458" s="2867"/>
      <c r="CR458" s="2867"/>
      <c r="CS458" s="2867"/>
      <c r="CT458" s="2867"/>
      <c r="CU458" s="2867"/>
      <c r="CV458" s="2867"/>
      <c r="CW458" s="2867"/>
    </row>
    <row r="459" spans="1:101">
      <c r="A459" s="2867"/>
      <c r="B459" s="2867"/>
      <c r="C459" s="2867"/>
      <c r="D459" s="2867"/>
      <c r="E459" s="2867"/>
      <c r="F459" s="2867"/>
      <c r="G459" s="2867"/>
      <c r="H459" s="2867"/>
      <c r="I459" s="2867"/>
      <c r="J459" s="2867"/>
      <c r="K459" s="2867"/>
      <c r="L459" s="2867"/>
      <c r="M459" s="2867"/>
      <c r="O459" s="2867"/>
      <c r="P459" s="2867"/>
      <c r="Q459" s="2867"/>
      <c r="R459" s="2867"/>
      <c r="S459" s="2867"/>
      <c r="T459" s="2867"/>
      <c r="U459" s="2867"/>
      <c r="V459" s="2867"/>
      <c r="W459" s="2867"/>
      <c r="X459" s="2867"/>
      <c r="Y459" s="2867"/>
      <c r="Z459" s="2867"/>
      <c r="AA459" s="2867"/>
      <c r="AB459" s="2867"/>
      <c r="AC459" s="2867"/>
      <c r="AD459" s="2867"/>
      <c r="AE459" s="2867"/>
      <c r="AF459" s="2867"/>
      <c r="AG459" s="2867"/>
      <c r="AH459" s="2867"/>
      <c r="AI459" s="2867"/>
      <c r="AJ459" s="2867"/>
      <c r="AK459" s="2867"/>
      <c r="AL459" s="2867"/>
      <c r="AM459" s="2867"/>
      <c r="AN459" s="2867"/>
      <c r="AO459" s="2867"/>
      <c r="AP459" s="2867"/>
      <c r="AQ459" s="2867"/>
      <c r="AR459" s="2867"/>
      <c r="AS459" s="2867"/>
      <c r="AT459" s="2867"/>
      <c r="AU459" s="2867"/>
      <c r="AV459" s="2867"/>
      <c r="AW459" s="2867"/>
      <c r="AX459" s="2867"/>
      <c r="AY459" s="2867"/>
      <c r="AZ459" s="2867"/>
      <c r="BA459" s="2867"/>
      <c r="BB459" s="2867"/>
      <c r="BC459" s="2867"/>
      <c r="BD459" s="2867"/>
      <c r="BE459" s="2867"/>
      <c r="BF459" s="2867"/>
      <c r="BG459" s="2867"/>
      <c r="BH459" s="2867"/>
      <c r="BI459" s="2867"/>
      <c r="BJ459" s="2867"/>
      <c r="BK459" s="2867"/>
      <c r="BL459" s="2867"/>
      <c r="BM459" s="2867"/>
      <c r="BN459" s="2867"/>
      <c r="BO459" s="2867"/>
      <c r="BP459" s="2867"/>
      <c r="BQ459" s="2867"/>
      <c r="BR459" s="2867"/>
      <c r="BS459" s="2867"/>
      <c r="BT459" s="2867"/>
      <c r="BU459" s="2867"/>
      <c r="BV459" s="2867"/>
      <c r="BW459" s="2867"/>
      <c r="BX459" s="2867"/>
      <c r="BY459" s="2867"/>
      <c r="BZ459" s="2867"/>
      <c r="CA459" s="2867"/>
      <c r="CB459" s="2867"/>
      <c r="CC459" s="2867"/>
      <c r="CD459" s="2867"/>
      <c r="CE459" s="2867"/>
      <c r="CF459" s="2867"/>
      <c r="CG459" s="2867"/>
      <c r="CH459" s="2867"/>
      <c r="CI459" s="2867"/>
      <c r="CJ459" s="2867"/>
      <c r="CK459" s="2867"/>
      <c r="CL459" s="2867"/>
      <c r="CM459" s="2867"/>
      <c r="CN459" s="2867"/>
      <c r="CO459" s="2867"/>
      <c r="CP459" s="2867"/>
      <c r="CQ459" s="2867"/>
      <c r="CR459" s="2867"/>
      <c r="CS459" s="2867"/>
      <c r="CT459" s="2867"/>
      <c r="CU459" s="2867"/>
      <c r="CV459" s="2867"/>
      <c r="CW459" s="2867"/>
    </row>
    <row r="460" spans="1:101">
      <c r="A460" s="2867"/>
      <c r="B460" s="2867"/>
      <c r="C460" s="2867"/>
      <c r="D460" s="2867"/>
      <c r="E460" s="2867"/>
      <c r="F460" s="2867"/>
      <c r="G460" s="2867"/>
      <c r="H460" s="2867"/>
      <c r="I460" s="2867"/>
      <c r="J460" s="2867"/>
      <c r="K460" s="2867"/>
      <c r="L460" s="2867"/>
      <c r="M460" s="2867"/>
      <c r="O460" s="2867"/>
      <c r="P460" s="2867"/>
      <c r="Q460" s="2867"/>
      <c r="R460" s="2867"/>
      <c r="S460" s="2867"/>
      <c r="T460" s="2867"/>
      <c r="U460" s="2867"/>
      <c r="V460" s="2867"/>
      <c r="W460" s="2867"/>
      <c r="X460" s="2867"/>
      <c r="Y460" s="2867"/>
      <c r="Z460" s="2867"/>
      <c r="AA460" s="2867"/>
      <c r="AB460" s="2867"/>
      <c r="AC460" s="2867"/>
      <c r="AD460" s="2867"/>
      <c r="AE460" s="2867"/>
      <c r="AF460" s="2867"/>
      <c r="AG460" s="2867"/>
      <c r="AH460" s="2867"/>
      <c r="AI460" s="2867"/>
      <c r="AJ460" s="2867"/>
      <c r="AK460" s="2867"/>
      <c r="AL460" s="2867"/>
      <c r="AM460" s="2867"/>
      <c r="AN460" s="2867"/>
      <c r="AO460" s="2867"/>
      <c r="AP460" s="2867"/>
      <c r="AQ460" s="2867"/>
      <c r="AR460" s="2867"/>
      <c r="AS460" s="2867"/>
      <c r="AT460" s="2867"/>
      <c r="AU460" s="2867"/>
      <c r="AV460" s="2867"/>
      <c r="AW460" s="2867"/>
      <c r="AX460" s="2867"/>
      <c r="AY460" s="2867"/>
      <c r="AZ460" s="2867"/>
      <c r="BA460" s="2867"/>
      <c r="BB460" s="2867"/>
      <c r="BC460" s="2867"/>
      <c r="BD460" s="2867"/>
      <c r="BE460" s="2867"/>
      <c r="BF460" s="2867"/>
      <c r="BG460" s="2867"/>
      <c r="BH460" s="2867"/>
      <c r="BI460" s="2867"/>
      <c r="BJ460" s="2867"/>
      <c r="BK460" s="2867"/>
      <c r="BL460" s="2867"/>
      <c r="BM460" s="2867"/>
      <c r="BN460" s="2867"/>
      <c r="BO460" s="2867"/>
      <c r="BP460" s="2867"/>
      <c r="BQ460" s="2867"/>
      <c r="BR460" s="2867"/>
      <c r="BS460" s="2867"/>
      <c r="BT460" s="2867"/>
      <c r="BU460" s="2867"/>
      <c r="BV460" s="2867"/>
      <c r="BW460" s="2867"/>
      <c r="BX460" s="2867"/>
      <c r="BY460" s="2867"/>
      <c r="BZ460" s="2867"/>
      <c r="CA460" s="2867"/>
      <c r="CB460" s="2867"/>
      <c r="CC460" s="2867"/>
      <c r="CD460" s="2867"/>
      <c r="CE460" s="2867"/>
      <c r="CF460" s="2867"/>
      <c r="CG460" s="2867"/>
      <c r="CH460" s="2867"/>
      <c r="CI460" s="2867"/>
      <c r="CJ460" s="2867"/>
      <c r="CK460" s="2867"/>
      <c r="CL460" s="2867"/>
      <c r="CM460" s="2867"/>
      <c r="CN460" s="2867"/>
      <c r="CO460" s="2867"/>
      <c r="CP460" s="2867"/>
      <c r="CQ460" s="2867"/>
      <c r="CR460" s="2867"/>
      <c r="CS460" s="2867"/>
      <c r="CT460" s="2867"/>
      <c r="CU460" s="2867"/>
      <c r="CV460" s="2867"/>
      <c r="CW460" s="2867"/>
    </row>
    <row r="461" spans="1:101">
      <c r="A461" s="2867"/>
      <c r="B461" s="2867"/>
      <c r="C461" s="2867"/>
      <c r="D461" s="2867"/>
      <c r="E461" s="2867"/>
      <c r="F461" s="2867"/>
      <c r="G461" s="2867"/>
      <c r="H461" s="2867"/>
      <c r="I461" s="2867"/>
      <c r="J461" s="2867"/>
      <c r="K461" s="2867"/>
      <c r="L461" s="2867"/>
      <c r="M461" s="2867"/>
      <c r="O461" s="2867"/>
      <c r="P461" s="2867"/>
      <c r="Q461" s="2867"/>
      <c r="R461" s="2867"/>
      <c r="S461" s="2867"/>
      <c r="T461" s="2867"/>
      <c r="U461" s="2867"/>
      <c r="V461" s="2867"/>
      <c r="W461" s="2867"/>
      <c r="X461" s="2867"/>
      <c r="Y461" s="2867"/>
      <c r="Z461" s="2867"/>
      <c r="AA461" s="2867"/>
      <c r="AB461" s="2867"/>
      <c r="AC461" s="2867"/>
      <c r="AD461" s="2867"/>
      <c r="AE461" s="2867"/>
      <c r="AF461" s="2867"/>
      <c r="AG461" s="2867"/>
      <c r="AH461" s="2867"/>
      <c r="AI461" s="2867"/>
      <c r="AJ461" s="2867"/>
      <c r="AK461" s="2867"/>
      <c r="AL461" s="2867"/>
      <c r="AM461" s="2867"/>
      <c r="AN461" s="2867"/>
      <c r="AO461" s="2867"/>
      <c r="AP461" s="2867"/>
      <c r="AQ461" s="2867"/>
      <c r="AR461" s="2867"/>
      <c r="AS461" s="2867"/>
      <c r="AT461" s="2867"/>
      <c r="AU461" s="2867"/>
      <c r="AV461" s="2867"/>
      <c r="AW461" s="2867"/>
      <c r="AX461" s="2867"/>
      <c r="AY461" s="2867"/>
      <c r="AZ461" s="2867"/>
      <c r="BA461" s="2867"/>
      <c r="BB461" s="2867"/>
      <c r="BC461" s="2867"/>
      <c r="BD461" s="2867"/>
      <c r="BE461" s="2867"/>
      <c r="BF461" s="2867"/>
      <c r="BG461" s="2867"/>
      <c r="BH461" s="2867"/>
      <c r="BI461" s="2867"/>
      <c r="BJ461" s="2867"/>
      <c r="BK461" s="2867"/>
      <c r="BL461" s="2867"/>
      <c r="BM461" s="2867"/>
      <c r="BN461" s="2867"/>
      <c r="BO461" s="2867"/>
      <c r="BP461" s="2867"/>
      <c r="BQ461" s="2867"/>
      <c r="BR461" s="2867"/>
      <c r="BS461" s="2867"/>
      <c r="BT461" s="2867"/>
      <c r="BU461" s="2867"/>
      <c r="BV461" s="2867"/>
      <c r="BW461" s="2867"/>
      <c r="BX461" s="2867"/>
      <c r="BY461" s="2867"/>
      <c r="BZ461" s="2867"/>
      <c r="CA461" s="2867"/>
      <c r="CB461" s="2867"/>
      <c r="CC461" s="2867"/>
      <c r="CD461" s="2867"/>
      <c r="CE461" s="2867"/>
      <c r="CF461" s="2867"/>
      <c r="CG461" s="2867"/>
      <c r="CH461" s="2867"/>
      <c r="CI461" s="2867"/>
      <c r="CJ461" s="2867"/>
      <c r="CK461" s="2867"/>
      <c r="CL461" s="2867"/>
      <c r="CM461" s="2867"/>
      <c r="CN461" s="2867"/>
      <c r="CO461" s="2867"/>
      <c r="CP461" s="2867"/>
      <c r="CQ461" s="2867"/>
      <c r="CR461" s="2867"/>
      <c r="CS461" s="2867"/>
      <c r="CT461" s="2867"/>
      <c r="CU461" s="2867"/>
      <c r="CV461" s="2867"/>
      <c r="CW461" s="2867"/>
    </row>
    <row r="462" spans="1:101">
      <c r="A462" s="2867"/>
      <c r="B462" s="2867"/>
      <c r="C462" s="2867"/>
      <c r="D462" s="2867"/>
      <c r="E462" s="2867"/>
      <c r="F462" s="2867"/>
      <c r="G462" s="2867"/>
      <c r="H462" s="2867"/>
      <c r="I462" s="2867"/>
      <c r="J462" s="2867"/>
      <c r="K462" s="2867"/>
      <c r="L462" s="2867"/>
      <c r="M462" s="2867"/>
      <c r="O462" s="2867"/>
      <c r="P462" s="2867"/>
      <c r="Q462" s="2867"/>
      <c r="R462" s="2867"/>
      <c r="S462" s="2867"/>
      <c r="T462" s="2867"/>
      <c r="U462" s="2867"/>
      <c r="V462" s="2867"/>
      <c r="W462" s="2867"/>
      <c r="X462" s="2867"/>
      <c r="Y462" s="2867"/>
      <c r="Z462" s="2867"/>
      <c r="AA462" s="2867"/>
      <c r="AB462" s="2867"/>
      <c r="AC462" s="2867"/>
      <c r="AD462" s="2867"/>
      <c r="AE462" s="2867"/>
      <c r="AF462" s="2867"/>
      <c r="AG462" s="2867"/>
      <c r="AH462" s="2867"/>
      <c r="AI462" s="2867"/>
      <c r="AJ462" s="2867"/>
      <c r="AK462" s="2867"/>
      <c r="AL462" s="2867"/>
      <c r="AM462" s="2867"/>
      <c r="AN462" s="2867"/>
      <c r="AO462" s="2867"/>
      <c r="AP462" s="2867"/>
      <c r="AQ462" s="2867"/>
      <c r="AR462" s="2867"/>
      <c r="AS462" s="2867"/>
      <c r="AT462" s="2867"/>
      <c r="AU462" s="2867"/>
      <c r="AV462" s="2867"/>
      <c r="AW462" s="2867"/>
      <c r="AX462" s="2867"/>
      <c r="AY462" s="2867"/>
      <c r="AZ462" s="2867"/>
      <c r="BA462" s="2867"/>
      <c r="BB462" s="2867"/>
      <c r="BC462" s="2867"/>
      <c r="BD462" s="2867"/>
      <c r="BE462" s="2867"/>
      <c r="BF462" s="2867"/>
      <c r="BG462" s="2867"/>
      <c r="BH462" s="2867"/>
      <c r="BI462" s="2867"/>
      <c r="BJ462" s="2867"/>
      <c r="BK462" s="2867"/>
      <c r="BL462" s="2867"/>
      <c r="BM462" s="2867"/>
      <c r="BN462" s="2867"/>
      <c r="BO462" s="2867"/>
      <c r="BP462" s="2867"/>
      <c r="BQ462" s="2867"/>
      <c r="BR462" s="2867"/>
      <c r="BS462" s="2867"/>
      <c r="BT462" s="2867"/>
      <c r="BU462" s="2867"/>
      <c r="BV462" s="2867"/>
      <c r="BW462" s="2867"/>
      <c r="BX462" s="2867"/>
      <c r="BY462" s="2867"/>
      <c r="BZ462" s="2867"/>
      <c r="CA462" s="2867"/>
      <c r="CB462" s="2867"/>
      <c r="CC462" s="2867"/>
      <c r="CD462" s="2867"/>
      <c r="CE462" s="2867"/>
      <c r="CF462" s="2867"/>
      <c r="CG462" s="2867"/>
      <c r="CH462" s="2867"/>
      <c r="CI462" s="2867"/>
      <c r="CJ462" s="2867"/>
      <c r="CK462" s="2867"/>
      <c r="CL462" s="2867"/>
      <c r="CM462" s="2867"/>
      <c r="CN462" s="2867"/>
      <c r="CO462" s="2867"/>
      <c r="CP462" s="2867"/>
      <c r="CQ462" s="2867"/>
      <c r="CR462" s="2867"/>
      <c r="CS462" s="2867"/>
      <c r="CT462" s="2867"/>
      <c r="CU462" s="2867"/>
      <c r="CV462" s="2867"/>
      <c r="CW462" s="2867"/>
    </row>
    <row r="463" spans="1:101">
      <c r="A463" s="2867"/>
      <c r="B463" s="2867"/>
      <c r="C463" s="2867"/>
      <c r="D463" s="2867"/>
      <c r="E463" s="2867"/>
      <c r="F463" s="2867"/>
      <c r="G463" s="2867"/>
      <c r="H463" s="2867"/>
      <c r="I463" s="2867"/>
      <c r="J463" s="2867"/>
      <c r="K463" s="2867"/>
      <c r="L463" s="2867"/>
      <c r="M463" s="2867"/>
      <c r="O463" s="2867"/>
      <c r="P463" s="2867"/>
      <c r="Q463" s="2867"/>
      <c r="R463" s="2867"/>
      <c r="S463" s="2867"/>
      <c r="T463" s="2867"/>
      <c r="U463" s="2867"/>
      <c r="V463" s="2867"/>
      <c r="W463" s="2867"/>
      <c r="X463" s="2867"/>
      <c r="Y463" s="2867"/>
      <c r="Z463" s="2867"/>
      <c r="AA463" s="2867"/>
      <c r="AB463" s="2867"/>
      <c r="AC463" s="2867"/>
      <c r="AD463" s="2867"/>
      <c r="AE463" s="2867"/>
      <c r="AF463" s="2867"/>
      <c r="AG463" s="2867"/>
      <c r="AH463" s="2867"/>
      <c r="AI463" s="2867"/>
      <c r="AJ463" s="2867"/>
      <c r="AK463" s="2867"/>
      <c r="AL463" s="2867"/>
      <c r="AM463" s="2867"/>
      <c r="AN463" s="2867"/>
      <c r="AO463" s="2867"/>
      <c r="AP463" s="2867"/>
      <c r="AQ463" s="2867"/>
      <c r="AR463" s="2867"/>
      <c r="AS463" s="2867"/>
      <c r="AT463" s="2867"/>
      <c r="AU463" s="2867"/>
      <c r="AV463" s="2867"/>
      <c r="AW463" s="2867"/>
      <c r="AX463" s="2867"/>
      <c r="AY463" s="2867"/>
      <c r="AZ463" s="2867"/>
      <c r="BA463" s="2867"/>
      <c r="BB463" s="2867"/>
      <c r="BC463" s="2867"/>
      <c r="BD463" s="2867"/>
      <c r="BE463" s="2867"/>
      <c r="BF463" s="2867"/>
      <c r="BG463" s="2867"/>
      <c r="BH463" s="2867"/>
      <c r="BI463" s="2867"/>
      <c r="BJ463" s="2867"/>
      <c r="BK463" s="2867"/>
      <c r="BL463" s="2867"/>
      <c r="BM463" s="2867"/>
      <c r="BN463" s="2867"/>
      <c r="BO463" s="2867"/>
      <c r="BP463" s="2867"/>
      <c r="BQ463" s="2867"/>
      <c r="BR463" s="2867"/>
      <c r="BS463" s="2867"/>
      <c r="BT463" s="2867"/>
      <c r="BU463" s="2867"/>
      <c r="BV463" s="2867"/>
      <c r="BW463" s="2867"/>
      <c r="BX463" s="2867"/>
      <c r="BY463" s="2867"/>
      <c r="BZ463" s="2867"/>
      <c r="CA463" s="2867"/>
      <c r="CB463" s="2867"/>
      <c r="CC463" s="2867"/>
      <c r="CD463" s="2867"/>
      <c r="CE463" s="2867"/>
      <c r="CF463" s="2867"/>
      <c r="CG463" s="2867"/>
      <c r="CH463" s="2867"/>
      <c r="CI463" s="2867"/>
      <c r="CJ463" s="2867"/>
      <c r="CK463" s="2867"/>
      <c r="CL463" s="2867"/>
      <c r="CM463" s="2867"/>
      <c r="CN463" s="2867"/>
      <c r="CO463" s="2867"/>
      <c r="CP463" s="2867"/>
      <c r="CQ463" s="2867"/>
      <c r="CR463" s="2867"/>
      <c r="CS463" s="2867"/>
      <c r="CT463" s="2867"/>
      <c r="CU463" s="2867"/>
      <c r="CV463" s="2867"/>
      <c r="CW463" s="2867"/>
    </row>
    <row r="464" spans="1:101">
      <c r="A464" s="2867"/>
      <c r="B464" s="2867"/>
      <c r="C464" s="2867"/>
      <c r="D464" s="2867"/>
      <c r="E464" s="2867"/>
      <c r="F464" s="2867"/>
      <c r="G464" s="2867"/>
      <c r="H464" s="2867"/>
      <c r="I464" s="2867"/>
      <c r="J464" s="2867"/>
      <c r="K464" s="2867"/>
      <c r="L464" s="2867"/>
      <c r="M464" s="2867"/>
      <c r="O464" s="2867"/>
      <c r="P464" s="2867"/>
      <c r="Q464" s="2867"/>
      <c r="R464" s="2867"/>
      <c r="S464" s="2867"/>
      <c r="T464" s="2867"/>
      <c r="U464" s="2867"/>
      <c r="V464" s="2867"/>
      <c r="W464" s="2867"/>
      <c r="X464" s="2867"/>
      <c r="Y464" s="2867"/>
      <c r="Z464" s="2867"/>
      <c r="AA464" s="2867"/>
      <c r="AB464" s="2867"/>
      <c r="AC464" s="2867"/>
      <c r="AD464" s="2867"/>
      <c r="AE464" s="2867"/>
      <c r="AF464" s="2867"/>
      <c r="AG464" s="2867"/>
      <c r="AH464" s="2867"/>
      <c r="AI464" s="2867"/>
      <c r="AJ464" s="2867"/>
      <c r="AK464" s="2867"/>
      <c r="AL464" s="2867"/>
      <c r="AM464" s="2867"/>
      <c r="AN464" s="2867"/>
      <c r="AO464" s="2867"/>
      <c r="AP464" s="2867"/>
      <c r="AQ464" s="2867"/>
      <c r="AR464" s="2867"/>
      <c r="AS464" s="2867"/>
      <c r="AT464" s="2867"/>
      <c r="AU464" s="2867"/>
      <c r="AV464" s="2867"/>
      <c r="AW464" s="2867"/>
      <c r="AX464" s="2867"/>
      <c r="AY464" s="2867"/>
      <c r="AZ464" s="2867"/>
      <c r="BA464" s="2867"/>
      <c r="BB464" s="2867"/>
      <c r="BC464" s="2867"/>
      <c r="BD464" s="2867"/>
      <c r="BE464" s="2867"/>
      <c r="BF464" s="2867"/>
      <c r="BG464" s="2867"/>
      <c r="BH464" s="2867"/>
      <c r="BI464" s="2867"/>
      <c r="BJ464" s="2867"/>
      <c r="BK464" s="2867"/>
      <c r="BL464" s="2867"/>
      <c r="BM464" s="2867"/>
      <c r="BN464" s="2867"/>
      <c r="BO464" s="2867"/>
      <c r="BP464" s="2867"/>
      <c r="BQ464" s="2867"/>
      <c r="BR464" s="2867"/>
      <c r="BS464" s="2867"/>
      <c r="BT464" s="2867"/>
      <c r="BU464" s="2867"/>
      <c r="BV464" s="2867"/>
      <c r="BW464" s="2867"/>
      <c r="BX464" s="2867"/>
      <c r="BY464" s="2867"/>
      <c r="BZ464" s="2867"/>
      <c r="CA464" s="2867"/>
      <c r="CB464" s="2867"/>
      <c r="CC464" s="2867"/>
      <c r="CD464" s="2867"/>
      <c r="CE464" s="2867"/>
      <c r="CF464" s="2867"/>
      <c r="CG464" s="2867"/>
      <c r="CH464" s="2867"/>
      <c r="CI464" s="2867"/>
      <c r="CJ464" s="2867"/>
      <c r="CK464" s="2867"/>
      <c r="CL464" s="2867"/>
      <c r="CM464" s="2867"/>
      <c r="CN464" s="2867"/>
      <c r="CO464" s="2867"/>
      <c r="CP464" s="2867"/>
      <c r="CQ464" s="2867"/>
      <c r="CR464" s="2867"/>
      <c r="CS464" s="2867"/>
      <c r="CT464" s="2867"/>
      <c r="CU464" s="2867"/>
      <c r="CV464" s="2867"/>
      <c r="CW464" s="2867"/>
    </row>
    <row r="465" spans="1:101">
      <c r="A465" s="2867"/>
      <c r="B465" s="2867"/>
      <c r="C465" s="2867"/>
      <c r="D465" s="2867"/>
      <c r="E465" s="2867"/>
      <c r="F465" s="2867"/>
      <c r="G465" s="2867"/>
      <c r="H465" s="2867"/>
      <c r="I465" s="2867"/>
      <c r="J465" s="2867"/>
      <c r="K465" s="2867"/>
      <c r="L465" s="2867"/>
      <c r="M465" s="2867"/>
      <c r="O465" s="2867"/>
      <c r="P465" s="2867"/>
      <c r="Q465" s="2867"/>
      <c r="R465" s="2867"/>
      <c r="S465" s="2867"/>
      <c r="T465" s="2867"/>
      <c r="U465" s="2867"/>
      <c r="V465" s="2867"/>
      <c r="W465" s="2867"/>
      <c r="X465" s="2867"/>
      <c r="Y465" s="2867"/>
      <c r="Z465" s="2867"/>
      <c r="AA465" s="2867"/>
      <c r="AB465" s="2867"/>
      <c r="AC465" s="2867"/>
      <c r="AD465" s="2867"/>
      <c r="AE465" s="2867"/>
      <c r="AF465" s="2867"/>
      <c r="AG465" s="2867"/>
      <c r="AH465" s="2867"/>
      <c r="AI465" s="2867"/>
      <c r="AJ465" s="2867"/>
      <c r="AK465" s="2867"/>
      <c r="AL465" s="2867"/>
      <c r="AM465" s="2867"/>
      <c r="AN465" s="2867"/>
      <c r="AO465" s="2867"/>
      <c r="AP465" s="2867"/>
      <c r="AQ465" s="2867"/>
      <c r="AR465" s="2867"/>
      <c r="AS465" s="2867"/>
      <c r="AT465" s="2867"/>
      <c r="AU465" s="2867"/>
      <c r="AV465" s="2867"/>
      <c r="AW465" s="2867"/>
      <c r="AX465" s="2867"/>
      <c r="AY465" s="2867"/>
      <c r="AZ465" s="2867"/>
      <c r="BA465" s="2867"/>
      <c r="BB465" s="2867"/>
      <c r="BC465" s="2867"/>
      <c r="BD465" s="2867"/>
      <c r="BE465" s="2867"/>
      <c r="BF465" s="2867"/>
      <c r="BG465" s="2867"/>
      <c r="BH465" s="2867"/>
      <c r="BI465" s="2867"/>
      <c r="BJ465" s="2867"/>
      <c r="BK465" s="2867"/>
      <c r="BL465" s="2867"/>
      <c r="BM465" s="2867"/>
      <c r="BN465" s="2867"/>
      <c r="BO465" s="2867"/>
      <c r="BP465" s="2867"/>
      <c r="BQ465" s="2867"/>
      <c r="BR465" s="2867"/>
      <c r="BS465" s="2867"/>
      <c r="BT465" s="2867"/>
      <c r="BU465" s="2867"/>
      <c r="BV465" s="2867"/>
      <c r="BW465" s="2867"/>
      <c r="BX465" s="2867"/>
      <c r="BY465" s="2867"/>
      <c r="BZ465" s="2867"/>
      <c r="CA465" s="2867"/>
      <c r="CB465" s="2867"/>
      <c r="CC465" s="2867"/>
      <c r="CD465" s="2867"/>
      <c r="CE465" s="2867"/>
      <c r="CF465" s="2867"/>
      <c r="CG465" s="2867"/>
      <c r="CH465" s="2867"/>
      <c r="CI465" s="2867"/>
      <c r="CJ465" s="2867"/>
      <c r="CK465" s="2867"/>
      <c r="CL465" s="2867"/>
      <c r="CM465" s="2867"/>
      <c r="CN465" s="2867"/>
      <c r="CO465" s="2867"/>
      <c r="CP465" s="2867"/>
      <c r="CQ465" s="2867"/>
      <c r="CR465" s="2867"/>
      <c r="CS465" s="2867"/>
      <c r="CT465" s="2867"/>
      <c r="CU465" s="2867"/>
      <c r="CV465" s="2867"/>
      <c r="CW465" s="2867"/>
    </row>
    <row r="466" spans="1:101">
      <c r="A466" s="2867"/>
      <c r="B466" s="2867"/>
      <c r="C466" s="2867"/>
      <c r="D466" s="2867"/>
      <c r="E466" s="2867"/>
      <c r="F466" s="2867"/>
      <c r="G466" s="2867"/>
      <c r="H466" s="2867"/>
      <c r="I466" s="2867"/>
      <c r="J466" s="2867"/>
      <c r="K466" s="2867"/>
      <c r="L466" s="2867"/>
      <c r="M466" s="2867"/>
      <c r="O466" s="2867"/>
      <c r="P466" s="2867"/>
      <c r="Q466" s="2867"/>
      <c r="R466" s="2867"/>
      <c r="S466" s="2867"/>
      <c r="T466" s="2867"/>
      <c r="U466" s="2867"/>
      <c r="V466" s="2867"/>
      <c r="W466" s="2867"/>
      <c r="X466" s="2867"/>
      <c r="Y466" s="2867"/>
      <c r="Z466" s="2867"/>
      <c r="AA466" s="2867"/>
      <c r="AB466" s="2867"/>
      <c r="AC466" s="2867"/>
      <c r="AD466" s="2867"/>
      <c r="AE466" s="2867"/>
      <c r="AF466" s="2867"/>
      <c r="AG466" s="2867"/>
      <c r="AH466" s="2867"/>
      <c r="AI466" s="2867"/>
      <c r="AJ466" s="2867"/>
      <c r="AK466" s="2867"/>
      <c r="AL466" s="2867"/>
      <c r="AM466" s="2867"/>
      <c r="AN466" s="2867"/>
      <c r="AO466" s="2867"/>
      <c r="AP466" s="2867"/>
      <c r="AQ466" s="2867"/>
      <c r="AR466" s="2867"/>
      <c r="AS466" s="2867"/>
      <c r="AT466" s="2867"/>
      <c r="AU466" s="2867"/>
      <c r="AV466" s="2867"/>
      <c r="AW466" s="2867"/>
      <c r="AX466" s="2867"/>
      <c r="AY466" s="2867"/>
      <c r="AZ466" s="2867"/>
      <c r="BA466" s="2867"/>
      <c r="BB466" s="2867"/>
      <c r="BC466" s="2867"/>
      <c r="BD466" s="2867"/>
      <c r="BE466" s="2867"/>
      <c r="BF466" s="2867"/>
      <c r="BG466" s="2867"/>
      <c r="BH466" s="2867"/>
      <c r="BI466" s="2867"/>
      <c r="BJ466" s="2867"/>
      <c r="BK466" s="2867"/>
      <c r="BL466" s="2867"/>
      <c r="BM466" s="2867"/>
      <c r="BN466" s="2867"/>
      <c r="BO466" s="2867"/>
      <c r="BP466" s="2867"/>
      <c r="BQ466" s="2867"/>
      <c r="BR466" s="2867"/>
      <c r="BS466" s="2867"/>
      <c r="BT466" s="2867"/>
      <c r="BU466" s="2867"/>
      <c r="BV466" s="2867"/>
      <c r="BW466" s="2867"/>
      <c r="BX466" s="2867"/>
      <c r="BY466" s="2867"/>
      <c r="BZ466" s="2867"/>
      <c r="CA466" s="2867"/>
      <c r="CB466" s="2867"/>
      <c r="CC466" s="2867"/>
      <c r="CD466" s="2867"/>
      <c r="CE466" s="2867"/>
      <c r="CF466" s="2867"/>
      <c r="CG466" s="2867"/>
      <c r="CH466" s="2867"/>
      <c r="CI466" s="2867"/>
      <c r="CJ466" s="2867"/>
      <c r="CK466" s="2867"/>
      <c r="CL466" s="2867"/>
      <c r="CM466" s="2867"/>
      <c r="CN466" s="2867"/>
      <c r="CO466" s="2867"/>
      <c r="CP466" s="2867"/>
      <c r="CQ466" s="2867"/>
      <c r="CR466" s="2867"/>
      <c r="CS466" s="2867"/>
      <c r="CT466" s="2867"/>
      <c r="CU466" s="2867"/>
      <c r="CV466" s="2867"/>
      <c r="CW466" s="2867"/>
    </row>
    <row r="467" spans="1:101">
      <c r="A467" s="2867"/>
      <c r="B467" s="2867"/>
      <c r="C467" s="2867"/>
      <c r="D467" s="2867"/>
      <c r="E467" s="2867"/>
      <c r="F467" s="2867"/>
      <c r="G467" s="2867"/>
      <c r="H467" s="2867"/>
      <c r="I467" s="2867"/>
      <c r="J467" s="2867"/>
      <c r="K467" s="2867"/>
      <c r="L467" s="2867"/>
      <c r="M467" s="2867"/>
      <c r="O467" s="2867"/>
      <c r="P467" s="2867"/>
      <c r="Q467" s="2867"/>
      <c r="R467" s="2867"/>
      <c r="S467" s="2867"/>
      <c r="T467" s="2867"/>
      <c r="U467" s="2867"/>
      <c r="V467" s="2867"/>
      <c r="W467" s="2867"/>
      <c r="X467" s="2867"/>
      <c r="Y467" s="2867"/>
      <c r="Z467" s="2867"/>
      <c r="AA467" s="2867"/>
      <c r="AB467" s="2867"/>
      <c r="AC467" s="2867"/>
      <c r="AD467" s="2867"/>
      <c r="AE467" s="2867"/>
      <c r="AF467" s="2867"/>
      <c r="AG467" s="2867"/>
      <c r="AH467" s="2867"/>
      <c r="AI467" s="2867"/>
      <c r="AJ467" s="2867"/>
      <c r="AK467" s="2867"/>
      <c r="AL467" s="2867"/>
      <c r="AM467" s="2867"/>
      <c r="AN467" s="2867"/>
      <c r="AO467" s="2867"/>
      <c r="AP467" s="2867"/>
      <c r="AQ467" s="2867"/>
      <c r="AR467" s="2867"/>
      <c r="AS467" s="2867"/>
      <c r="AT467" s="2867"/>
      <c r="AU467" s="2867"/>
      <c r="AV467" s="2867"/>
      <c r="AW467" s="2867"/>
      <c r="AX467" s="2867"/>
      <c r="AY467" s="2867"/>
      <c r="AZ467" s="2867"/>
      <c r="BA467" s="2867"/>
      <c r="BB467" s="2867"/>
      <c r="BC467" s="2867"/>
      <c r="BD467" s="2867"/>
      <c r="BE467" s="2867"/>
      <c r="BF467" s="2867"/>
      <c r="BG467" s="2867"/>
      <c r="BH467" s="2867"/>
      <c r="BI467" s="2867"/>
      <c r="BJ467" s="2867"/>
      <c r="BK467" s="2867"/>
      <c r="BL467" s="2867"/>
      <c r="BM467" s="2867"/>
      <c r="BN467" s="2867"/>
      <c r="BO467" s="2867"/>
      <c r="BP467" s="2867"/>
      <c r="BQ467" s="2867"/>
      <c r="BR467" s="2867"/>
      <c r="BS467" s="2867"/>
      <c r="BT467" s="2867"/>
      <c r="BU467" s="2867"/>
      <c r="BV467" s="2867"/>
      <c r="BW467" s="2867"/>
      <c r="BX467" s="2867"/>
      <c r="BY467" s="2867"/>
      <c r="BZ467" s="2867"/>
      <c r="CA467" s="2867"/>
      <c r="CB467" s="2867"/>
      <c r="CC467" s="2867"/>
      <c r="CD467" s="2867"/>
      <c r="CE467" s="2867"/>
      <c r="CF467" s="2867"/>
      <c r="CG467" s="2867"/>
      <c r="CH467" s="2867"/>
      <c r="CI467" s="2867"/>
      <c r="CJ467" s="2867"/>
      <c r="CK467" s="2867"/>
      <c r="CL467" s="2867"/>
      <c r="CM467" s="2867"/>
      <c r="CN467" s="2867"/>
      <c r="CO467" s="2867"/>
      <c r="CP467" s="2867"/>
      <c r="CQ467" s="2867"/>
      <c r="CR467" s="2867"/>
      <c r="CS467" s="2867"/>
      <c r="CT467" s="2867"/>
      <c r="CU467" s="2867"/>
      <c r="CV467" s="2867"/>
      <c r="CW467" s="2867"/>
    </row>
    <row r="468" spans="1:101">
      <c r="A468" s="2867"/>
      <c r="B468" s="2867"/>
      <c r="C468" s="2867"/>
      <c r="D468" s="2867"/>
      <c r="E468" s="2867"/>
      <c r="F468" s="2867"/>
      <c r="G468" s="2867"/>
      <c r="H468" s="2867"/>
      <c r="I468" s="2867"/>
      <c r="J468" s="2867"/>
      <c r="K468" s="2867"/>
      <c r="L468" s="2867"/>
      <c r="M468" s="2867"/>
      <c r="O468" s="2867"/>
      <c r="P468" s="2867"/>
      <c r="Q468" s="2867"/>
      <c r="R468" s="2867"/>
      <c r="S468" s="2867"/>
      <c r="T468" s="2867"/>
      <c r="U468" s="2867"/>
      <c r="V468" s="2867"/>
      <c r="W468" s="2867"/>
      <c r="X468" s="2867"/>
      <c r="Y468" s="2867"/>
      <c r="Z468" s="2867"/>
      <c r="AA468" s="2867"/>
      <c r="AB468" s="2867"/>
      <c r="AC468" s="2867"/>
      <c r="AD468" s="2867"/>
      <c r="AE468" s="2867"/>
      <c r="AF468" s="2867"/>
      <c r="AG468" s="2867"/>
      <c r="AH468" s="2867"/>
      <c r="AI468" s="2867"/>
      <c r="AJ468" s="2867"/>
      <c r="AK468" s="2867"/>
      <c r="AL468" s="2867"/>
      <c r="AM468" s="2867"/>
      <c r="AN468" s="2867"/>
      <c r="AO468" s="2867"/>
      <c r="AP468" s="2867"/>
      <c r="AQ468" s="2867"/>
      <c r="AR468" s="2867"/>
      <c r="AS468" s="2867"/>
      <c r="AT468" s="2867"/>
      <c r="AU468" s="2867"/>
      <c r="AV468" s="2867"/>
      <c r="AW468" s="2867"/>
      <c r="AX468" s="2867"/>
      <c r="AY468" s="2867"/>
      <c r="AZ468" s="2867"/>
      <c r="BA468" s="2867"/>
      <c r="BB468" s="2867"/>
      <c r="BC468" s="2867"/>
      <c r="BD468" s="2867"/>
      <c r="BE468" s="2867"/>
      <c r="BF468" s="2867"/>
      <c r="BG468" s="2867"/>
      <c r="BH468" s="2867"/>
      <c r="BI468" s="2867"/>
      <c r="BJ468" s="2867"/>
      <c r="BK468" s="2867"/>
      <c r="BL468" s="2867"/>
      <c r="BM468" s="2867"/>
      <c r="BN468" s="2867"/>
      <c r="BO468" s="2867"/>
      <c r="BP468" s="2867"/>
      <c r="BQ468" s="2867"/>
      <c r="BR468" s="2867"/>
      <c r="BS468" s="2867"/>
      <c r="BT468" s="2867"/>
      <c r="BU468" s="2867"/>
      <c r="BV468" s="2867"/>
      <c r="BW468" s="2867"/>
      <c r="BX468" s="2867"/>
      <c r="BY468" s="2867"/>
      <c r="BZ468" s="2867"/>
      <c r="CA468" s="2867"/>
      <c r="CB468" s="2867"/>
      <c r="CC468" s="2867"/>
      <c r="CD468" s="2867"/>
      <c r="CE468" s="2867"/>
      <c r="CF468" s="2867"/>
      <c r="CG468" s="2867"/>
      <c r="CH468" s="2867"/>
      <c r="CI468" s="2867"/>
      <c r="CJ468" s="2867"/>
      <c r="CK468" s="2867"/>
      <c r="CL468" s="2867"/>
      <c r="CM468" s="2867"/>
      <c r="CN468" s="2867"/>
      <c r="CO468" s="2867"/>
      <c r="CP468" s="2867"/>
      <c r="CQ468" s="2867"/>
      <c r="CR468" s="2867"/>
      <c r="CS468" s="2867"/>
      <c r="CT468" s="2867"/>
      <c r="CU468" s="2867"/>
      <c r="CV468" s="2867"/>
      <c r="CW468" s="2867"/>
    </row>
    <row r="469" spans="1:101">
      <c r="A469" s="2867"/>
      <c r="B469" s="2867"/>
      <c r="C469" s="2867"/>
      <c r="D469" s="2867"/>
      <c r="E469" s="2867"/>
      <c r="F469" s="2867"/>
      <c r="G469" s="2867"/>
      <c r="H469" s="2867"/>
      <c r="I469" s="2867"/>
      <c r="J469" s="2867"/>
      <c r="K469" s="2867"/>
      <c r="L469" s="2867"/>
      <c r="M469" s="2867"/>
      <c r="O469" s="2867"/>
      <c r="P469" s="2867"/>
      <c r="Q469" s="2867"/>
      <c r="R469" s="2867"/>
      <c r="S469" s="2867"/>
      <c r="T469" s="2867"/>
      <c r="U469" s="2867"/>
      <c r="V469" s="2867"/>
      <c r="W469" s="2867"/>
      <c r="X469" s="2867"/>
      <c r="Y469" s="2867"/>
      <c r="Z469" s="2867"/>
      <c r="AA469" s="2867"/>
      <c r="AB469" s="2867"/>
      <c r="AC469" s="2867"/>
      <c r="AD469" s="2867"/>
      <c r="AE469" s="2867"/>
      <c r="AF469" s="2867"/>
      <c r="AG469" s="2867"/>
      <c r="AH469" s="2867"/>
      <c r="AI469" s="2867"/>
      <c r="AJ469" s="2867"/>
      <c r="AK469" s="2867"/>
      <c r="AL469" s="2867"/>
      <c r="AM469" s="2867"/>
      <c r="AN469" s="2867"/>
      <c r="AO469" s="2867"/>
      <c r="AP469" s="2867"/>
      <c r="AQ469" s="2867"/>
      <c r="AR469" s="2867"/>
      <c r="AS469" s="2867"/>
      <c r="AT469" s="2867"/>
      <c r="AU469" s="2867"/>
      <c r="AV469" s="2867"/>
      <c r="AW469" s="2867"/>
      <c r="AX469" s="2867"/>
      <c r="AY469" s="2867"/>
      <c r="AZ469" s="2867"/>
      <c r="BA469" s="2867"/>
      <c r="BB469" s="2867"/>
      <c r="BC469" s="2867"/>
      <c r="BD469" s="2867"/>
      <c r="BE469" s="2867"/>
      <c r="BF469" s="2867"/>
      <c r="BG469" s="2867"/>
      <c r="BH469" s="2867"/>
      <c r="BI469" s="2867"/>
      <c r="BJ469" s="2867"/>
      <c r="BK469" s="2867"/>
      <c r="BL469" s="2867"/>
      <c r="BM469" s="2867"/>
      <c r="BN469" s="2867"/>
      <c r="BO469" s="2867"/>
      <c r="BP469" s="2867"/>
      <c r="BQ469" s="2867"/>
      <c r="BR469" s="2867"/>
      <c r="BS469" s="2867"/>
      <c r="BT469" s="2867"/>
      <c r="BU469" s="2867"/>
      <c r="BV469" s="2867"/>
      <c r="BW469" s="2867"/>
      <c r="BX469" s="2867"/>
      <c r="BY469" s="2867"/>
      <c r="BZ469" s="2867"/>
      <c r="CA469" s="2867"/>
      <c r="CB469" s="2867"/>
      <c r="CC469" s="2867"/>
      <c r="CD469" s="2867"/>
      <c r="CE469" s="2867"/>
      <c r="CF469" s="2867"/>
      <c r="CG469" s="2867"/>
      <c r="CH469" s="2867"/>
      <c r="CI469" s="2867"/>
      <c r="CJ469" s="2867"/>
      <c r="CK469" s="2867"/>
      <c r="CL469" s="2867"/>
      <c r="CM469" s="2867"/>
      <c r="CN469" s="2867"/>
      <c r="CO469" s="2867"/>
      <c r="CP469" s="2867"/>
      <c r="CQ469" s="2867"/>
      <c r="CR469" s="2867"/>
      <c r="CS469" s="2867"/>
      <c r="CT469" s="2867"/>
      <c r="CU469" s="2867"/>
      <c r="CV469" s="2867"/>
      <c r="CW469" s="2867"/>
    </row>
    <row r="470" spans="1:101">
      <c r="A470" s="2867"/>
      <c r="B470" s="2867"/>
      <c r="C470" s="2867"/>
      <c r="D470" s="2867"/>
      <c r="E470" s="2867"/>
      <c r="F470" s="2867"/>
      <c r="G470" s="2867"/>
      <c r="H470" s="2867"/>
      <c r="I470" s="2867"/>
      <c r="J470" s="2867"/>
      <c r="K470" s="2867"/>
      <c r="L470" s="2867"/>
      <c r="M470" s="2867"/>
      <c r="O470" s="2867"/>
      <c r="P470" s="2867"/>
      <c r="Q470" s="2867"/>
      <c r="R470" s="2867"/>
      <c r="S470" s="2867"/>
      <c r="T470" s="2867"/>
      <c r="U470" s="2867"/>
      <c r="V470" s="2867"/>
      <c r="W470" s="2867"/>
      <c r="X470" s="2867"/>
      <c r="Y470" s="2867"/>
      <c r="Z470" s="2867"/>
      <c r="AA470" s="2867"/>
      <c r="AB470" s="2867"/>
      <c r="AC470" s="2867"/>
      <c r="AD470" s="2867"/>
      <c r="AE470" s="2867"/>
      <c r="AF470" s="2867"/>
      <c r="AG470" s="2867"/>
      <c r="AH470" s="2867"/>
      <c r="AI470" s="2867"/>
      <c r="AJ470" s="2867"/>
      <c r="AK470" s="2867"/>
      <c r="AL470" s="2867"/>
      <c r="AM470" s="2867"/>
      <c r="AN470" s="2867"/>
      <c r="AO470" s="2867"/>
      <c r="AP470" s="2867"/>
      <c r="AQ470" s="2867"/>
      <c r="AR470" s="2867"/>
      <c r="AS470" s="2867"/>
      <c r="AT470" s="2867"/>
      <c r="AU470" s="2867"/>
      <c r="AV470" s="2867"/>
      <c r="AW470" s="2867"/>
      <c r="AX470" s="2867"/>
      <c r="AY470" s="2867"/>
      <c r="AZ470" s="2867"/>
      <c r="BA470" s="2867"/>
      <c r="BB470" s="2867"/>
      <c r="BC470" s="2867"/>
      <c r="BD470" s="2867"/>
      <c r="BE470" s="2867"/>
      <c r="BF470" s="2867"/>
      <c r="BG470" s="2867"/>
      <c r="BH470" s="2867"/>
      <c r="BI470" s="2867"/>
      <c r="BJ470" s="2867"/>
      <c r="BK470" s="2867"/>
      <c r="BL470" s="2867"/>
      <c r="BM470" s="2867"/>
      <c r="BN470" s="2867"/>
      <c r="BO470" s="2867"/>
      <c r="BP470" s="2867"/>
      <c r="BQ470" s="2867"/>
      <c r="BR470" s="2867"/>
      <c r="BS470" s="2867"/>
      <c r="BT470" s="2867"/>
      <c r="BU470" s="2867"/>
      <c r="BV470" s="2867"/>
      <c r="BW470" s="2867"/>
      <c r="BX470" s="2867"/>
      <c r="BY470" s="2867"/>
      <c r="BZ470" s="2867"/>
      <c r="CA470" s="2867"/>
      <c r="CB470" s="2867"/>
      <c r="CC470" s="2867"/>
      <c r="CD470" s="2867"/>
      <c r="CE470" s="2867"/>
      <c r="CF470" s="2867"/>
      <c r="CG470" s="2867"/>
      <c r="CH470" s="2867"/>
      <c r="CI470" s="2867"/>
      <c r="CJ470" s="2867"/>
      <c r="CK470" s="2867"/>
      <c r="CL470" s="2867"/>
      <c r="CM470" s="2867"/>
      <c r="CN470" s="2867"/>
      <c r="CO470" s="2867"/>
      <c r="CP470" s="2867"/>
      <c r="CQ470" s="2867"/>
      <c r="CR470" s="2867"/>
      <c r="CS470" s="2867"/>
      <c r="CT470" s="2867"/>
      <c r="CU470" s="2867"/>
      <c r="CV470" s="2867"/>
      <c r="CW470" s="2867"/>
    </row>
    <row r="471" spans="1:101">
      <c r="A471" s="2867"/>
      <c r="B471" s="2867"/>
      <c r="C471" s="2867"/>
      <c r="D471" s="2867"/>
      <c r="E471" s="2867"/>
      <c r="F471" s="2867"/>
      <c r="G471" s="2867"/>
      <c r="H471" s="2867"/>
      <c r="I471" s="2867"/>
      <c r="J471" s="2867"/>
      <c r="K471" s="2867"/>
      <c r="L471" s="2867"/>
      <c r="M471" s="2867"/>
      <c r="O471" s="2867"/>
      <c r="P471" s="2867"/>
      <c r="Q471" s="2867"/>
      <c r="R471" s="2867"/>
      <c r="S471" s="2867"/>
      <c r="T471" s="2867"/>
      <c r="U471" s="2867"/>
      <c r="V471" s="2867"/>
      <c r="W471" s="2867"/>
      <c r="X471" s="2867"/>
      <c r="Y471" s="2867"/>
      <c r="Z471" s="2867"/>
      <c r="AA471" s="2867"/>
      <c r="AB471" s="2867"/>
      <c r="AC471" s="2867"/>
      <c r="AD471" s="2867"/>
      <c r="AE471" s="2867"/>
      <c r="AF471" s="2867"/>
      <c r="AG471" s="2867"/>
      <c r="AH471" s="2867"/>
      <c r="AI471" s="2867"/>
      <c r="AJ471" s="2867"/>
      <c r="AK471" s="2867"/>
      <c r="AL471" s="2867"/>
      <c r="AM471" s="2867"/>
      <c r="AN471" s="2867"/>
      <c r="AO471" s="2867"/>
      <c r="AP471" s="2867"/>
      <c r="AQ471" s="2867"/>
      <c r="AR471" s="2867"/>
      <c r="AS471" s="2867"/>
      <c r="AT471" s="2867"/>
      <c r="AU471" s="2867"/>
      <c r="AV471" s="2867"/>
      <c r="AW471" s="2867"/>
      <c r="AX471" s="2867"/>
      <c r="AY471" s="2867"/>
      <c r="AZ471" s="2867"/>
      <c r="BA471" s="2867"/>
      <c r="BB471" s="2867"/>
      <c r="BC471" s="2867"/>
      <c r="BD471" s="2867"/>
      <c r="BE471" s="2867"/>
      <c r="BF471" s="2867"/>
      <c r="BG471" s="2867"/>
      <c r="BH471" s="2867"/>
      <c r="BI471" s="2867"/>
      <c r="BJ471" s="2867"/>
      <c r="BK471" s="2867"/>
      <c r="BL471" s="2867"/>
      <c r="BM471" s="2867"/>
      <c r="BN471" s="2867"/>
      <c r="BO471" s="2867"/>
      <c r="BP471" s="2867"/>
      <c r="BQ471" s="2867"/>
      <c r="BR471" s="2867"/>
      <c r="BS471" s="2867"/>
      <c r="BT471" s="2867"/>
      <c r="BU471" s="2867"/>
      <c r="BV471" s="2867"/>
      <c r="BW471" s="2867"/>
      <c r="BX471" s="2867"/>
      <c r="BY471" s="2867"/>
      <c r="BZ471" s="2867"/>
      <c r="CA471" s="2867"/>
      <c r="CB471" s="2867"/>
      <c r="CC471" s="2867"/>
      <c r="CD471" s="2867"/>
      <c r="CE471" s="2867"/>
      <c r="CF471" s="2867"/>
      <c r="CG471" s="2867"/>
      <c r="CH471" s="2867"/>
      <c r="CI471" s="2867"/>
      <c r="CJ471" s="2867"/>
      <c r="CK471" s="2867"/>
      <c r="CL471" s="2867"/>
      <c r="CM471" s="2867"/>
      <c r="CN471" s="2867"/>
      <c r="CO471" s="2867"/>
      <c r="CP471" s="2867"/>
      <c r="CQ471" s="2867"/>
      <c r="CR471" s="2867"/>
      <c r="CS471" s="2867"/>
      <c r="CT471" s="2867"/>
      <c r="CU471" s="2867"/>
      <c r="CV471" s="2867"/>
      <c r="CW471" s="2867"/>
    </row>
    <row r="472" spans="1:101">
      <c r="A472" s="2867"/>
      <c r="B472" s="2867"/>
      <c r="C472" s="2867"/>
      <c r="D472" s="2867"/>
      <c r="E472" s="2867"/>
      <c r="F472" s="2867"/>
      <c r="G472" s="2867"/>
      <c r="H472" s="2867"/>
      <c r="I472" s="2867"/>
      <c r="J472" s="2867"/>
      <c r="K472" s="2867"/>
      <c r="L472" s="2867"/>
      <c r="M472" s="2867"/>
      <c r="O472" s="2867"/>
      <c r="P472" s="2867"/>
      <c r="Q472" s="2867"/>
      <c r="R472" s="2867"/>
      <c r="S472" s="2867"/>
      <c r="T472" s="2867"/>
      <c r="U472" s="2867"/>
      <c r="V472" s="2867"/>
      <c r="W472" s="2867"/>
      <c r="X472" s="2867"/>
      <c r="Y472" s="2867"/>
      <c r="Z472" s="2867"/>
      <c r="AA472" s="2867"/>
      <c r="AB472" s="2867"/>
      <c r="AC472" s="2867"/>
      <c r="AD472" s="2867"/>
      <c r="AE472" s="2867"/>
      <c r="AF472" s="2867"/>
      <c r="AG472" s="2867"/>
      <c r="AH472" s="2867"/>
      <c r="AI472" s="2867"/>
      <c r="AJ472" s="2867"/>
      <c r="AK472" s="2867"/>
      <c r="AL472" s="2867"/>
      <c r="AM472" s="2867"/>
      <c r="AN472" s="2867"/>
      <c r="AO472" s="2867"/>
      <c r="AP472" s="2867"/>
      <c r="AQ472" s="2867"/>
      <c r="AR472" s="2867"/>
      <c r="AS472" s="2867"/>
      <c r="AT472" s="2867"/>
      <c r="AU472" s="2867"/>
      <c r="AV472" s="2867"/>
      <c r="AW472" s="2867"/>
      <c r="AX472" s="2867"/>
      <c r="AY472" s="2867"/>
      <c r="AZ472" s="2867"/>
      <c r="BA472" s="2867"/>
      <c r="BB472" s="2867"/>
      <c r="BC472" s="2867"/>
      <c r="BD472" s="2867"/>
      <c r="BE472" s="2867"/>
      <c r="BF472" s="2867"/>
      <c r="BG472" s="2867"/>
      <c r="BH472" s="2867"/>
      <c r="BI472" s="2867"/>
      <c r="BJ472" s="2867"/>
      <c r="BK472" s="2867"/>
      <c r="BL472" s="2867"/>
      <c r="BM472" s="2867"/>
      <c r="BN472" s="2867"/>
      <c r="BO472" s="2867"/>
      <c r="BP472" s="2867"/>
      <c r="BQ472" s="2867"/>
      <c r="BR472" s="2867"/>
      <c r="BS472" s="2867"/>
      <c r="BT472" s="2867"/>
      <c r="BU472" s="2867"/>
      <c r="BV472" s="2867"/>
      <c r="BW472" s="2867"/>
      <c r="BX472" s="2867"/>
      <c r="BY472" s="2867"/>
      <c r="BZ472" s="2867"/>
      <c r="CA472" s="2867"/>
      <c r="CB472" s="2867"/>
      <c r="CC472" s="2867"/>
      <c r="CD472" s="2867"/>
      <c r="CE472" s="2867"/>
      <c r="CF472" s="2867"/>
      <c r="CG472" s="2867"/>
      <c r="CH472" s="2867"/>
      <c r="CI472" s="2867"/>
      <c r="CJ472" s="2867"/>
      <c r="CK472" s="2867"/>
      <c r="CL472" s="2867"/>
      <c r="CM472" s="2867"/>
      <c r="CN472" s="2867"/>
      <c r="CO472" s="2867"/>
      <c r="CP472" s="2867"/>
      <c r="CQ472" s="2867"/>
      <c r="CR472" s="2867"/>
      <c r="CS472" s="2867"/>
      <c r="CT472" s="2867"/>
      <c r="CU472" s="2867"/>
      <c r="CV472" s="2867"/>
      <c r="CW472" s="2867"/>
    </row>
    <row r="473" spans="1:101">
      <c r="A473" s="2867"/>
      <c r="B473" s="2867"/>
      <c r="C473" s="2867"/>
      <c r="D473" s="2867"/>
      <c r="E473" s="2867"/>
      <c r="F473" s="2867"/>
      <c r="G473" s="2867"/>
      <c r="H473" s="2867"/>
      <c r="I473" s="2867"/>
      <c r="J473" s="2867"/>
      <c r="K473" s="2867"/>
      <c r="L473" s="2867"/>
      <c r="M473" s="2867"/>
      <c r="O473" s="2867"/>
      <c r="P473" s="2867"/>
      <c r="Q473" s="2867"/>
      <c r="R473" s="2867"/>
      <c r="S473" s="2867"/>
      <c r="T473" s="2867"/>
      <c r="U473" s="2867"/>
      <c r="V473" s="2867"/>
      <c r="W473" s="2867"/>
      <c r="X473" s="2867"/>
      <c r="Y473" s="2867"/>
      <c r="Z473" s="2867"/>
      <c r="AA473" s="2867"/>
      <c r="AB473" s="2867"/>
      <c r="AC473" s="2867"/>
      <c r="AD473" s="2867"/>
      <c r="AE473" s="2867"/>
      <c r="AF473" s="2867"/>
      <c r="AG473" s="2867"/>
      <c r="AH473" s="2867"/>
      <c r="AI473" s="2867"/>
      <c r="AJ473" s="2867"/>
      <c r="AK473" s="2867"/>
      <c r="AL473" s="2867"/>
      <c r="AM473" s="2867"/>
      <c r="AN473" s="2867"/>
      <c r="AO473" s="2867"/>
      <c r="AP473" s="2867"/>
      <c r="AQ473" s="2867"/>
      <c r="AR473" s="2867"/>
      <c r="AS473" s="2867"/>
      <c r="AT473" s="2867"/>
      <c r="AU473" s="2867"/>
      <c r="AV473" s="2867"/>
      <c r="AW473" s="2867"/>
      <c r="AX473" s="2867"/>
      <c r="AY473" s="2867"/>
      <c r="AZ473" s="2867"/>
      <c r="BA473" s="2867"/>
      <c r="BB473" s="2867"/>
      <c r="BC473" s="2867"/>
      <c r="BD473" s="2867"/>
      <c r="BE473" s="2867"/>
      <c r="BF473" s="2867"/>
      <c r="BG473" s="2867"/>
      <c r="BH473" s="2867"/>
      <c r="BI473" s="2867"/>
      <c r="BJ473" s="2867"/>
      <c r="BK473" s="2867"/>
      <c r="BL473" s="2867"/>
      <c r="BM473" s="2867"/>
      <c r="BN473" s="2867"/>
      <c r="BO473" s="2867"/>
      <c r="BP473" s="2867"/>
      <c r="BQ473" s="2867"/>
      <c r="BR473" s="2867"/>
      <c r="BS473" s="2867"/>
      <c r="BT473" s="2867"/>
      <c r="BU473" s="2867"/>
      <c r="BV473" s="2867"/>
      <c r="BW473" s="2867"/>
      <c r="BX473" s="2867"/>
      <c r="BY473" s="2867"/>
      <c r="BZ473" s="2867"/>
      <c r="CA473" s="2867"/>
      <c r="CB473" s="2867"/>
      <c r="CC473" s="2867"/>
      <c r="CD473" s="2867"/>
      <c r="CE473" s="2867"/>
      <c r="CF473" s="2867"/>
      <c r="CG473" s="2867"/>
      <c r="CH473" s="2867"/>
      <c r="CI473" s="2867"/>
      <c r="CJ473" s="2867"/>
      <c r="CK473" s="2867"/>
      <c r="CL473" s="2867"/>
      <c r="CM473" s="2867"/>
      <c r="CN473" s="2867"/>
      <c r="CO473" s="2867"/>
      <c r="CP473" s="2867"/>
      <c r="CQ473" s="2867"/>
      <c r="CR473" s="2867"/>
      <c r="CS473" s="2867"/>
      <c r="CT473" s="2867"/>
      <c r="CU473" s="2867"/>
      <c r="CV473" s="2867"/>
      <c r="CW473" s="2867"/>
    </row>
    <row r="474" spans="1:101">
      <c r="A474" s="2867"/>
      <c r="B474" s="2867"/>
      <c r="C474" s="2867"/>
      <c r="D474" s="2867"/>
      <c r="E474" s="2867"/>
      <c r="F474" s="2867"/>
      <c r="G474" s="2867"/>
      <c r="H474" s="2867"/>
      <c r="I474" s="2867"/>
      <c r="J474" s="2867"/>
      <c r="K474" s="2867"/>
      <c r="L474" s="2867"/>
      <c r="M474" s="2867"/>
      <c r="O474" s="2867"/>
      <c r="P474" s="2867"/>
      <c r="Q474" s="2867"/>
      <c r="R474" s="2867"/>
      <c r="S474" s="2867"/>
      <c r="T474" s="2867"/>
      <c r="U474" s="2867"/>
      <c r="V474" s="2867"/>
      <c r="W474" s="2867"/>
      <c r="X474" s="2867"/>
      <c r="Y474" s="2867"/>
      <c r="Z474" s="2867"/>
      <c r="AA474" s="2867"/>
      <c r="AB474" s="2867"/>
      <c r="AC474" s="2867"/>
      <c r="AD474" s="2867"/>
      <c r="AE474" s="2867"/>
      <c r="AF474" s="2867"/>
      <c r="AG474" s="2867"/>
      <c r="AH474" s="2867"/>
      <c r="AI474" s="2867"/>
      <c r="AJ474" s="2867"/>
      <c r="AK474" s="2867"/>
      <c r="AL474" s="2867"/>
      <c r="AM474" s="2867"/>
      <c r="AN474" s="2867"/>
      <c r="AO474" s="2867"/>
      <c r="AP474" s="2867"/>
      <c r="AQ474" s="2867"/>
      <c r="AR474" s="2867"/>
      <c r="AS474" s="2867"/>
      <c r="AT474" s="2867"/>
      <c r="AU474" s="2867"/>
      <c r="AV474" s="2867"/>
      <c r="AW474" s="2867"/>
      <c r="AX474" s="2867"/>
      <c r="AY474" s="2867"/>
      <c r="AZ474" s="2867"/>
      <c r="BA474" s="2867"/>
      <c r="BB474" s="2867"/>
      <c r="BC474" s="2867"/>
      <c r="BD474" s="2867"/>
      <c r="BE474" s="2867"/>
      <c r="BF474" s="2867"/>
      <c r="BG474" s="2867"/>
      <c r="BH474" s="2867"/>
      <c r="BI474" s="2867"/>
      <c r="BJ474" s="2867"/>
      <c r="BK474" s="2867"/>
      <c r="BL474" s="2867"/>
      <c r="BM474" s="2867"/>
      <c r="BN474" s="2867"/>
      <c r="BO474" s="2867"/>
      <c r="BP474" s="2867"/>
      <c r="BQ474" s="2867"/>
      <c r="BR474" s="2867"/>
      <c r="BS474" s="2867"/>
      <c r="BT474" s="2867"/>
      <c r="BU474" s="2867"/>
      <c r="BV474" s="2867"/>
      <c r="BW474" s="2867"/>
      <c r="BX474" s="2867"/>
      <c r="BY474" s="2867"/>
      <c r="BZ474" s="2867"/>
      <c r="CA474" s="2867"/>
      <c r="CB474" s="2867"/>
      <c r="CC474" s="2867"/>
      <c r="CD474" s="2867"/>
      <c r="CE474" s="2867"/>
      <c r="CF474" s="2867"/>
      <c r="CG474" s="2867"/>
      <c r="CH474" s="2867"/>
      <c r="CI474" s="2867"/>
      <c r="CJ474" s="2867"/>
      <c r="CK474" s="2867"/>
      <c r="CL474" s="2867"/>
      <c r="CM474" s="2867"/>
      <c r="CN474" s="2867"/>
      <c r="CO474" s="2867"/>
      <c r="CP474" s="2867"/>
      <c r="CQ474" s="2867"/>
      <c r="CR474" s="2867"/>
      <c r="CS474" s="2867"/>
      <c r="CT474" s="2867"/>
      <c r="CU474" s="2867"/>
      <c r="CV474" s="2867"/>
      <c r="CW474" s="2867"/>
    </row>
    <row r="475" spans="1:101">
      <c r="A475" s="2867"/>
      <c r="B475" s="2867"/>
      <c r="C475" s="2867"/>
      <c r="D475" s="2867"/>
      <c r="E475" s="2867"/>
      <c r="F475" s="2867"/>
      <c r="G475" s="2867"/>
      <c r="H475" s="2867"/>
      <c r="I475" s="2867"/>
      <c r="J475" s="2867"/>
      <c r="K475" s="2867"/>
      <c r="L475" s="2867"/>
      <c r="M475" s="2867"/>
      <c r="O475" s="2867"/>
      <c r="P475" s="2867"/>
      <c r="Q475" s="2867"/>
      <c r="R475" s="2867"/>
      <c r="S475" s="2867"/>
      <c r="T475" s="2867"/>
      <c r="U475" s="2867"/>
      <c r="V475" s="2867"/>
      <c r="W475" s="2867"/>
      <c r="X475" s="2867"/>
      <c r="Y475" s="2867"/>
      <c r="Z475" s="2867"/>
      <c r="AA475" s="2867"/>
      <c r="AB475" s="2867"/>
      <c r="AC475" s="2867"/>
      <c r="AD475" s="2867"/>
      <c r="AE475" s="2867"/>
      <c r="AF475" s="2867"/>
      <c r="AG475" s="2867"/>
      <c r="AH475" s="2867"/>
      <c r="AI475" s="2867"/>
      <c r="AJ475" s="2867"/>
      <c r="AK475" s="2867"/>
      <c r="AL475" s="2867"/>
      <c r="AM475" s="2867"/>
      <c r="AN475" s="2867"/>
      <c r="AO475" s="2867"/>
      <c r="AP475" s="2867"/>
      <c r="AQ475" s="2867"/>
      <c r="AR475" s="2867"/>
      <c r="AS475" s="2867"/>
      <c r="AT475" s="2867"/>
      <c r="AU475" s="2867"/>
      <c r="AV475" s="2867"/>
      <c r="AW475" s="2867"/>
      <c r="AX475" s="2867"/>
      <c r="AY475" s="2867"/>
      <c r="AZ475" s="2867"/>
      <c r="BA475" s="2867"/>
      <c r="BB475" s="2867"/>
      <c r="BC475" s="2867"/>
      <c r="BD475" s="2867"/>
      <c r="BE475" s="2867"/>
      <c r="BF475" s="2867"/>
      <c r="BG475" s="2867"/>
      <c r="BH475" s="2867"/>
      <c r="BI475" s="2867"/>
      <c r="BJ475" s="2867"/>
      <c r="BK475" s="2867"/>
      <c r="BL475" s="2867"/>
      <c r="BM475" s="2867"/>
      <c r="BN475" s="2867"/>
      <c r="BO475" s="2867"/>
      <c r="BP475" s="2867"/>
      <c r="BQ475" s="2867"/>
      <c r="BR475" s="2867"/>
      <c r="BS475" s="2867"/>
      <c r="BT475" s="2867"/>
      <c r="BU475" s="2867"/>
      <c r="BV475" s="2867"/>
      <c r="BW475" s="2867"/>
      <c r="BX475" s="2867"/>
      <c r="BY475" s="2867"/>
      <c r="BZ475" s="2867"/>
      <c r="CA475" s="2867"/>
      <c r="CB475" s="2867"/>
      <c r="CC475" s="2867"/>
      <c r="CD475" s="2867"/>
      <c r="CE475" s="2867"/>
      <c r="CF475" s="2867"/>
      <c r="CG475" s="2867"/>
      <c r="CH475" s="2867"/>
      <c r="CI475" s="2867"/>
      <c r="CJ475" s="2867"/>
      <c r="CK475" s="2867"/>
      <c r="CL475" s="2867"/>
      <c r="CM475" s="2867"/>
      <c r="CN475" s="2867"/>
      <c r="CO475" s="2867"/>
      <c r="CP475" s="2867"/>
      <c r="CQ475" s="2867"/>
      <c r="CR475" s="2867"/>
      <c r="CS475" s="2867"/>
      <c r="CT475" s="2867"/>
      <c r="CU475" s="2867"/>
      <c r="CV475" s="2867"/>
      <c r="CW475" s="2867"/>
    </row>
    <row r="476" spans="1:101">
      <c r="A476" s="2867"/>
      <c r="B476" s="2867"/>
      <c r="C476" s="2867"/>
      <c r="D476" s="2867"/>
      <c r="E476" s="2867"/>
      <c r="F476" s="2867"/>
      <c r="G476" s="2867"/>
      <c r="H476" s="2867"/>
      <c r="I476" s="2867"/>
      <c r="J476" s="2867"/>
      <c r="K476" s="2867"/>
      <c r="L476" s="2867"/>
      <c r="M476" s="2867"/>
      <c r="O476" s="2867"/>
      <c r="P476" s="2867"/>
      <c r="Q476" s="2867"/>
      <c r="R476" s="2867"/>
      <c r="S476" s="2867"/>
      <c r="T476" s="2867"/>
      <c r="U476" s="2867"/>
      <c r="V476" s="2867"/>
      <c r="W476" s="2867"/>
      <c r="X476" s="2867"/>
      <c r="Y476" s="2867"/>
      <c r="Z476" s="2867"/>
      <c r="AA476" s="2867"/>
      <c r="AB476" s="2867"/>
      <c r="AC476" s="2867"/>
      <c r="AD476" s="2867"/>
      <c r="AE476" s="2867"/>
      <c r="AF476" s="2867"/>
      <c r="AG476" s="2867"/>
      <c r="AH476" s="2867"/>
      <c r="AI476" s="2867"/>
      <c r="AJ476" s="2867"/>
      <c r="AK476" s="2867"/>
      <c r="AL476" s="2867"/>
      <c r="AM476" s="2867"/>
      <c r="AN476" s="2867"/>
      <c r="AO476" s="2867"/>
      <c r="AP476" s="2867"/>
      <c r="AQ476" s="2867"/>
      <c r="AR476" s="2867"/>
      <c r="AS476" s="2867"/>
      <c r="AT476" s="2867"/>
      <c r="AU476" s="2867"/>
      <c r="AV476" s="2867"/>
      <c r="AW476" s="2867"/>
      <c r="AX476" s="2867"/>
      <c r="AY476" s="2867"/>
      <c r="AZ476" s="2867"/>
      <c r="BA476" s="2867"/>
      <c r="BB476" s="2867"/>
      <c r="BC476" s="2867"/>
      <c r="BD476" s="2867"/>
      <c r="BE476" s="2867"/>
      <c r="BF476" s="2867"/>
      <c r="BG476" s="2867"/>
      <c r="BH476" s="2867"/>
      <c r="BI476" s="2867"/>
      <c r="BJ476" s="2867"/>
      <c r="BK476" s="2867"/>
      <c r="BL476" s="2867"/>
      <c r="BM476" s="2867"/>
      <c r="BN476" s="2867"/>
      <c r="BO476" s="2867"/>
      <c r="BP476" s="2867"/>
      <c r="BQ476" s="2867"/>
      <c r="BR476" s="2867"/>
      <c r="BS476" s="2867"/>
      <c r="BT476" s="2867"/>
      <c r="BU476" s="2867"/>
      <c r="BV476" s="2867"/>
      <c r="BW476" s="2867"/>
      <c r="BX476" s="2867"/>
      <c r="BY476" s="2867"/>
      <c r="BZ476" s="2867"/>
      <c r="CA476" s="2867"/>
      <c r="CB476" s="2867"/>
      <c r="CC476" s="2867"/>
      <c r="CD476" s="2867"/>
      <c r="CE476" s="2867"/>
      <c r="CF476" s="2867"/>
      <c r="CG476" s="2867"/>
      <c r="CH476" s="2867"/>
      <c r="CI476" s="2867"/>
      <c r="CJ476" s="2867"/>
      <c r="CK476" s="2867"/>
      <c r="CL476" s="2867"/>
      <c r="CM476" s="2867"/>
      <c r="CN476" s="2867"/>
      <c r="CO476" s="2867"/>
      <c r="CP476" s="2867"/>
      <c r="CQ476" s="2867"/>
      <c r="CR476" s="2867"/>
      <c r="CS476" s="2867"/>
      <c r="CT476" s="2867"/>
      <c r="CU476" s="2867"/>
      <c r="CV476" s="2867"/>
      <c r="CW476" s="2867"/>
    </row>
    <row r="477" spans="1:101">
      <c r="A477" s="2867"/>
      <c r="B477" s="2867"/>
      <c r="C477" s="2867"/>
      <c r="D477" s="2867"/>
      <c r="E477" s="2867"/>
      <c r="F477" s="2867"/>
      <c r="G477" s="2867"/>
      <c r="H477" s="2867"/>
      <c r="I477" s="2867"/>
      <c r="J477" s="2867"/>
      <c r="K477" s="2867"/>
      <c r="L477" s="2867"/>
      <c r="M477" s="2867"/>
      <c r="O477" s="2867"/>
      <c r="P477" s="2867"/>
      <c r="Q477" s="2867"/>
      <c r="R477" s="2867"/>
      <c r="S477" s="2867"/>
      <c r="T477" s="2867"/>
      <c r="U477" s="2867"/>
      <c r="V477" s="2867"/>
      <c r="W477" s="2867"/>
      <c r="X477" s="2867"/>
      <c r="Y477" s="2867"/>
      <c r="Z477" s="2867"/>
      <c r="AA477" s="2867"/>
      <c r="AB477" s="2867"/>
      <c r="AC477" s="2867"/>
      <c r="AD477" s="2867"/>
      <c r="AE477" s="2867"/>
      <c r="AF477" s="2867"/>
      <c r="AG477" s="2867"/>
      <c r="AH477" s="2867"/>
      <c r="AI477" s="2867"/>
      <c r="AJ477" s="2867"/>
      <c r="AK477" s="2867"/>
      <c r="AL477" s="2867"/>
      <c r="AM477" s="2867"/>
      <c r="AN477" s="2867"/>
      <c r="AO477" s="2867"/>
      <c r="AP477" s="2867"/>
      <c r="AQ477" s="2867"/>
      <c r="AR477" s="2867"/>
      <c r="AS477" s="2867"/>
      <c r="AT477" s="2867"/>
      <c r="AU477" s="2867"/>
      <c r="AV477" s="2867"/>
      <c r="AW477" s="2867"/>
      <c r="AX477" s="2867"/>
      <c r="AY477" s="2867"/>
      <c r="AZ477" s="2867"/>
      <c r="BA477" s="2867"/>
      <c r="BB477" s="2867"/>
      <c r="BC477" s="2867"/>
      <c r="BD477" s="2867"/>
      <c r="BE477" s="2867"/>
      <c r="BF477" s="2867"/>
      <c r="BG477" s="2867"/>
      <c r="BH477" s="2867"/>
      <c r="BI477" s="2867"/>
      <c r="BJ477" s="2867"/>
      <c r="BK477" s="2867"/>
      <c r="BL477" s="2867"/>
      <c r="BM477" s="2867"/>
      <c r="BN477" s="2867"/>
      <c r="BO477" s="2867"/>
      <c r="BP477" s="2867"/>
      <c r="BQ477" s="2867"/>
      <c r="BR477" s="2867"/>
      <c r="BS477" s="2867"/>
      <c r="BT477" s="2867"/>
      <c r="BU477" s="2867"/>
      <c r="BV477" s="2867"/>
      <c r="BW477" s="2867"/>
      <c r="BX477" s="2867"/>
      <c r="BY477" s="2867"/>
      <c r="BZ477" s="2867"/>
      <c r="CA477" s="2867"/>
      <c r="CB477" s="2867"/>
      <c r="CC477" s="2867"/>
      <c r="CD477" s="2867"/>
      <c r="CE477" s="2867"/>
      <c r="CF477" s="2867"/>
      <c r="CG477" s="2867"/>
      <c r="CH477" s="2867"/>
      <c r="CI477" s="2867"/>
      <c r="CJ477" s="2867"/>
      <c r="CK477" s="2867"/>
      <c r="CL477" s="2867"/>
      <c r="CM477" s="2867"/>
      <c r="CN477" s="2867"/>
      <c r="CO477" s="2867"/>
      <c r="CP477" s="2867"/>
      <c r="CQ477" s="2867"/>
      <c r="CR477" s="2867"/>
      <c r="CS477" s="2867"/>
      <c r="CT477" s="2867"/>
      <c r="CU477" s="2867"/>
      <c r="CV477" s="2867"/>
      <c r="CW477" s="2867"/>
    </row>
    <row r="478" spans="1:101">
      <c r="A478" s="2867"/>
      <c r="B478" s="2867"/>
      <c r="C478" s="2867"/>
      <c r="D478" s="2867"/>
      <c r="E478" s="2867"/>
      <c r="F478" s="2867"/>
      <c r="G478" s="2867"/>
      <c r="H478" s="2867"/>
      <c r="I478" s="2867"/>
      <c r="J478" s="2867"/>
      <c r="K478" s="2867"/>
      <c r="L478" s="2867"/>
      <c r="M478" s="2867"/>
      <c r="O478" s="2867"/>
      <c r="P478" s="2867"/>
      <c r="Q478" s="2867"/>
      <c r="R478" s="2867"/>
      <c r="S478" s="2867"/>
      <c r="T478" s="2867"/>
      <c r="U478" s="2867"/>
      <c r="V478" s="2867"/>
      <c r="W478" s="2867"/>
      <c r="X478" s="2867"/>
      <c r="Y478" s="2867"/>
      <c r="Z478" s="2867"/>
      <c r="AA478" s="2867"/>
      <c r="AB478" s="2867"/>
      <c r="AC478" s="2867"/>
      <c r="AD478" s="2867"/>
      <c r="AE478" s="2867"/>
      <c r="AF478" s="2867"/>
      <c r="AG478" s="2867"/>
      <c r="AH478" s="2867"/>
      <c r="AI478" s="2867"/>
      <c r="AJ478" s="2867"/>
      <c r="AK478" s="2867"/>
      <c r="AL478" s="2867"/>
      <c r="AM478" s="2867"/>
      <c r="AN478" s="2867"/>
      <c r="AO478" s="2867"/>
      <c r="AP478" s="2867"/>
      <c r="AQ478" s="2867"/>
      <c r="AR478" s="2867"/>
      <c r="AS478" s="2867"/>
      <c r="AT478" s="2867"/>
      <c r="AU478" s="2867"/>
      <c r="AV478" s="2867"/>
      <c r="AW478" s="2867"/>
      <c r="AX478" s="2867"/>
      <c r="AY478" s="2867"/>
      <c r="AZ478" s="2867"/>
      <c r="BA478" s="2867"/>
      <c r="BB478" s="2867"/>
      <c r="BC478" s="2867"/>
      <c r="BD478" s="2867"/>
      <c r="BE478" s="2867"/>
      <c r="BF478" s="2867"/>
      <c r="BG478" s="2867"/>
      <c r="BH478" s="2867"/>
      <c r="BI478" s="2867"/>
      <c r="BJ478" s="2867"/>
      <c r="BK478" s="2867"/>
      <c r="BL478" s="2867"/>
      <c r="BM478" s="2867"/>
      <c r="BN478" s="2867"/>
      <c r="BO478" s="2867"/>
      <c r="BP478" s="2867"/>
      <c r="BQ478" s="2867"/>
      <c r="BR478" s="2867"/>
      <c r="BS478" s="2867"/>
      <c r="BT478" s="2867"/>
      <c r="BU478" s="2867"/>
      <c r="BV478" s="2867"/>
      <c r="BW478" s="2867"/>
      <c r="BX478" s="2867"/>
      <c r="BY478" s="2867"/>
      <c r="BZ478" s="2867"/>
      <c r="CA478" s="2867"/>
      <c r="CB478" s="2867"/>
      <c r="CC478" s="2867"/>
      <c r="CD478" s="2867"/>
      <c r="CE478" s="2867"/>
      <c r="CF478" s="2867"/>
      <c r="CG478" s="2867"/>
      <c r="CH478" s="2867"/>
      <c r="CI478" s="2867"/>
      <c r="CJ478" s="2867"/>
      <c r="CK478" s="2867"/>
      <c r="CL478" s="2867"/>
      <c r="CM478" s="2867"/>
      <c r="CN478" s="2867"/>
      <c r="CO478" s="2867"/>
      <c r="CP478" s="2867"/>
      <c r="CQ478" s="2867"/>
      <c r="CR478" s="2867"/>
      <c r="CS478" s="2867"/>
      <c r="CT478" s="2867"/>
      <c r="CU478" s="2867"/>
      <c r="CV478" s="2867"/>
      <c r="CW478" s="2867"/>
    </row>
    <row r="479" spans="1:101">
      <c r="A479" s="2867"/>
      <c r="B479" s="2867"/>
      <c r="C479" s="2867"/>
      <c r="D479" s="2867"/>
      <c r="E479" s="2867"/>
      <c r="F479" s="2867"/>
      <c r="G479" s="2867"/>
      <c r="H479" s="2867"/>
      <c r="I479" s="2867"/>
      <c r="J479" s="2867"/>
      <c r="K479" s="2867"/>
      <c r="L479" s="2867"/>
      <c r="M479" s="2867"/>
      <c r="O479" s="2867"/>
      <c r="P479" s="2867"/>
      <c r="Q479" s="2867"/>
      <c r="R479" s="2867"/>
      <c r="S479" s="2867"/>
      <c r="T479" s="2867"/>
      <c r="U479" s="2867"/>
      <c r="V479" s="2867"/>
      <c r="W479" s="2867"/>
      <c r="X479" s="2867"/>
      <c r="Y479" s="2867"/>
      <c r="Z479" s="2867"/>
      <c r="AA479" s="2867"/>
      <c r="AB479" s="2867"/>
      <c r="AC479" s="2867"/>
      <c r="AD479" s="2867"/>
      <c r="AE479" s="2867"/>
      <c r="AF479" s="2867"/>
      <c r="AG479" s="2867"/>
      <c r="AH479" s="2867"/>
      <c r="AI479" s="2867"/>
      <c r="AJ479" s="2867"/>
      <c r="AK479" s="2867"/>
      <c r="AL479" s="2867"/>
      <c r="AM479" s="2867"/>
      <c r="AN479" s="2867"/>
      <c r="AO479" s="2867"/>
      <c r="AP479" s="2867"/>
      <c r="AQ479" s="2867"/>
      <c r="AR479" s="2867"/>
      <c r="AS479" s="2867"/>
      <c r="AT479" s="2867"/>
      <c r="AU479" s="2867"/>
      <c r="AV479" s="2867"/>
      <c r="AW479" s="2867"/>
      <c r="AX479" s="2867"/>
      <c r="AY479" s="2867"/>
      <c r="AZ479" s="2867"/>
      <c r="BA479" s="2867"/>
      <c r="BB479" s="2867"/>
      <c r="BC479" s="2867"/>
      <c r="BD479" s="2867"/>
      <c r="BE479" s="2867"/>
      <c r="BF479" s="2867"/>
      <c r="BG479" s="2867"/>
      <c r="BH479" s="2867"/>
      <c r="BI479" s="2867"/>
      <c r="BJ479" s="2867"/>
      <c r="BK479" s="2867"/>
      <c r="BL479" s="2867"/>
      <c r="BM479" s="2867"/>
      <c r="BN479" s="2867"/>
      <c r="BO479" s="2867"/>
      <c r="BP479" s="2867"/>
      <c r="BQ479" s="2867"/>
      <c r="BR479" s="2867"/>
      <c r="BS479" s="2867"/>
      <c r="BT479" s="2867"/>
      <c r="BU479" s="2867"/>
      <c r="BV479" s="2867"/>
      <c r="BW479" s="2867"/>
      <c r="BX479" s="2867"/>
      <c r="BY479" s="2867"/>
      <c r="BZ479" s="2867"/>
      <c r="CA479" s="2867"/>
      <c r="CB479" s="2867"/>
      <c r="CC479" s="2867"/>
      <c r="CD479" s="2867"/>
      <c r="CE479" s="2867"/>
      <c r="CF479" s="2867"/>
      <c r="CG479" s="2867"/>
      <c r="CH479" s="2867"/>
      <c r="CI479" s="2867"/>
      <c r="CJ479" s="2867"/>
      <c r="CK479" s="2867"/>
      <c r="CL479" s="2867"/>
      <c r="CM479" s="2867"/>
      <c r="CN479" s="2867"/>
      <c r="CO479" s="2867"/>
      <c r="CP479" s="2867"/>
      <c r="CQ479" s="2867"/>
      <c r="CR479" s="2867"/>
      <c r="CS479" s="2867"/>
      <c r="CT479" s="2867"/>
      <c r="CU479" s="2867"/>
      <c r="CV479" s="2867"/>
      <c r="CW479" s="2867"/>
    </row>
    <row r="480" spans="1:101">
      <c r="A480" s="2867"/>
      <c r="B480" s="2867"/>
      <c r="C480" s="2867"/>
      <c r="D480" s="2867"/>
      <c r="E480" s="2867"/>
      <c r="F480" s="2867"/>
      <c r="G480" s="2867"/>
      <c r="H480" s="2867"/>
      <c r="I480" s="2867"/>
      <c r="J480" s="2867"/>
      <c r="K480" s="2867"/>
      <c r="L480" s="2867"/>
      <c r="M480" s="2867"/>
      <c r="O480" s="2867"/>
      <c r="P480" s="2867"/>
      <c r="Q480" s="2867"/>
      <c r="R480" s="2867"/>
      <c r="S480" s="2867"/>
      <c r="T480" s="2867"/>
      <c r="U480" s="2867"/>
      <c r="V480" s="2867"/>
      <c r="W480" s="2867"/>
      <c r="X480" s="2867"/>
      <c r="Y480" s="2867"/>
      <c r="Z480" s="2867"/>
      <c r="AA480" s="2867"/>
      <c r="AB480" s="2867"/>
      <c r="AC480" s="2867"/>
      <c r="AD480" s="2867"/>
      <c r="AE480" s="2867"/>
      <c r="AF480" s="2867"/>
      <c r="AG480" s="2867"/>
      <c r="AH480" s="2867"/>
      <c r="AI480" s="2867"/>
      <c r="AJ480" s="2867"/>
      <c r="AK480" s="2867"/>
      <c r="AL480" s="2867"/>
      <c r="AM480" s="2867"/>
      <c r="AN480" s="2867"/>
      <c r="AO480" s="2867"/>
      <c r="AP480" s="2867"/>
      <c r="AQ480" s="2867"/>
      <c r="AR480" s="2867"/>
      <c r="AS480" s="2867"/>
      <c r="AT480" s="2867"/>
      <c r="AU480" s="2867"/>
      <c r="AV480" s="2867"/>
      <c r="AW480" s="2867"/>
      <c r="AX480" s="2867"/>
      <c r="AY480" s="2867"/>
      <c r="AZ480" s="2867"/>
      <c r="BA480" s="2867"/>
      <c r="BB480" s="2867"/>
      <c r="BC480" s="2867"/>
      <c r="BD480" s="2867"/>
      <c r="BE480" s="2867"/>
      <c r="BF480" s="2867"/>
      <c r="BG480" s="2867"/>
      <c r="BH480" s="2867"/>
      <c r="BI480" s="2867"/>
      <c r="BJ480" s="2867"/>
      <c r="BK480" s="2867"/>
      <c r="BL480" s="2867"/>
      <c r="BM480" s="2867"/>
      <c r="BN480" s="2867"/>
      <c r="BO480" s="2867"/>
      <c r="BP480" s="2867"/>
      <c r="BQ480" s="2867"/>
      <c r="BR480" s="2867"/>
      <c r="BS480" s="2867"/>
      <c r="BT480" s="2867"/>
      <c r="BU480" s="2867"/>
      <c r="BV480" s="2867"/>
      <c r="BW480" s="2867"/>
      <c r="BX480" s="2867"/>
      <c r="BY480" s="2867"/>
      <c r="BZ480" s="2867"/>
      <c r="CA480" s="2867"/>
      <c r="CB480" s="2867"/>
      <c r="CC480" s="2867"/>
      <c r="CD480" s="2867"/>
      <c r="CE480" s="2867"/>
      <c r="CF480" s="2867"/>
      <c r="CG480" s="2867"/>
      <c r="CH480" s="2867"/>
      <c r="CI480" s="2867"/>
      <c r="CJ480" s="2867"/>
      <c r="CK480" s="2867"/>
      <c r="CL480" s="2867"/>
      <c r="CM480" s="2867"/>
      <c r="CN480" s="2867"/>
      <c r="CO480" s="2867"/>
      <c r="CP480" s="2867"/>
      <c r="CQ480" s="2867"/>
      <c r="CR480" s="2867"/>
      <c r="CS480" s="2867"/>
      <c r="CT480" s="2867"/>
      <c r="CU480" s="2867"/>
      <c r="CV480" s="2867"/>
      <c r="CW480" s="2867"/>
    </row>
    <row r="481" spans="1:101">
      <c r="A481" s="2867"/>
      <c r="B481" s="2867"/>
      <c r="C481" s="2867"/>
      <c r="D481" s="2867"/>
      <c r="E481" s="2867"/>
      <c r="F481" s="2867"/>
      <c r="G481" s="2867"/>
      <c r="H481" s="2867"/>
      <c r="I481" s="2867"/>
      <c r="J481" s="2867"/>
      <c r="K481" s="2867"/>
      <c r="L481" s="2867"/>
      <c r="M481" s="2867"/>
      <c r="O481" s="2867"/>
      <c r="P481" s="2867"/>
      <c r="Q481" s="2867"/>
      <c r="R481" s="2867"/>
      <c r="S481" s="2867"/>
      <c r="T481" s="2867"/>
      <c r="U481" s="2867"/>
      <c r="V481" s="2867"/>
      <c r="W481" s="2867"/>
      <c r="X481" s="2867"/>
      <c r="Y481" s="2867"/>
      <c r="Z481" s="2867"/>
      <c r="AA481" s="2867"/>
      <c r="AB481" s="2867"/>
      <c r="AC481" s="2867"/>
      <c r="AD481" s="2867"/>
      <c r="AE481" s="2867"/>
      <c r="AF481" s="2867"/>
      <c r="AG481" s="2867"/>
      <c r="AH481" s="2867"/>
      <c r="AI481" s="2867"/>
      <c r="AJ481" s="2867"/>
      <c r="AK481" s="2867"/>
      <c r="AL481" s="2867"/>
      <c r="AM481" s="2867"/>
      <c r="AN481" s="2867"/>
      <c r="AO481" s="2867"/>
      <c r="AP481" s="2867"/>
      <c r="AQ481" s="2867"/>
      <c r="AR481" s="2867"/>
      <c r="AS481" s="2867"/>
      <c r="AT481" s="2867"/>
      <c r="AU481" s="2867"/>
      <c r="AV481" s="2867"/>
      <c r="AW481" s="2867"/>
      <c r="AX481" s="2867"/>
      <c r="AY481" s="2867"/>
      <c r="AZ481" s="2867"/>
      <c r="BA481" s="2867"/>
      <c r="BB481" s="2867"/>
      <c r="BC481" s="2867"/>
      <c r="BD481" s="2867"/>
      <c r="BE481" s="2867"/>
      <c r="BF481" s="2867"/>
      <c r="BG481" s="2867"/>
      <c r="BH481" s="2867"/>
      <c r="BI481" s="2867"/>
      <c r="BJ481" s="2867"/>
      <c r="BK481" s="2867"/>
      <c r="BL481" s="2867"/>
      <c r="BM481" s="2867"/>
      <c r="BN481" s="2867"/>
      <c r="BO481" s="2867"/>
      <c r="BP481" s="2867"/>
      <c r="BQ481" s="2867"/>
      <c r="BR481" s="2867"/>
      <c r="BS481" s="2867"/>
      <c r="BT481" s="2867"/>
      <c r="BU481" s="2867"/>
      <c r="BV481" s="2867"/>
      <c r="BW481" s="2867"/>
      <c r="BX481" s="2867"/>
      <c r="BY481" s="2867"/>
      <c r="BZ481" s="2867"/>
      <c r="CA481" s="2867"/>
      <c r="CB481" s="2867"/>
      <c r="CC481" s="2867"/>
      <c r="CD481" s="2867"/>
      <c r="CE481" s="2867"/>
      <c r="CF481" s="2867"/>
      <c r="CG481" s="2867"/>
      <c r="CH481" s="2867"/>
      <c r="CI481" s="2867"/>
      <c r="CJ481" s="2867"/>
      <c r="CK481" s="2867"/>
      <c r="CL481" s="2867"/>
      <c r="CM481" s="2867"/>
      <c r="CN481" s="2867"/>
      <c r="CO481" s="2867"/>
      <c r="CP481" s="2867"/>
      <c r="CQ481" s="2867"/>
      <c r="CR481" s="2867"/>
      <c r="CS481" s="2867"/>
      <c r="CT481" s="2867"/>
      <c r="CU481" s="2867"/>
      <c r="CV481" s="2867"/>
      <c r="CW481" s="2867"/>
    </row>
    <row r="482" spans="1:101">
      <c r="A482" s="2867"/>
      <c r="B482" s="2867"/>
      <c r="C482" s="2867"/>
      <c r="D482" s="2867"/>
      <c r="E482" s="2867"/>
      <c r="F482" s="2867"/>
      <c r="G482" s="2867"/>
      <c r="H482" s="2867"/>
      <c r="I482" s="2867"/>
      <c r="J482" s="2867"/>
      <c r="K482" s="2867"/>
      <c r="L482" s="2867"/>
      <c r="M482" s="2867"/>
      <c r="O482" s="2867"/>
      <c r="P482" s="2867"/>
      <c r="Q482" s="2867"/>
      <c r="R482" s="2867"/>
      <c r="S482" s="2867"/>
      <c r="T482" s="2867"/>
      <c r="U482" s="2867"/>
      <c r="V482" s="2867"/>
      <c r="W482" s="2867"/>
      <c r="X482" s="2867"/>
      <c r="Y482" s="2867"/>
      <c r="Z482" s="2867"/>
      <c r="AA482" s="2867"/>
      <c r="AB482" s="2867"/>
      <c r="AC482" s="2867"/>
      <c r="AD482" s="2867"/>
      <c r="AE482" s="2867"/>
      <c r="AF482" s="2867"/>
      <c r="AG482" s="2867"/>
      <c r="AH482" s="2867"/>
      <c r="AI482" s="2867"/>
      <c r="AJ482" s="2867"/>
      <c r="AK482" s="2867"/>
      <c r="AL482" s="2867"/>
      <c r="AM482" s="2867"/>
      <c r="AN482" s="2867"/>
      <c r="AO482" s="2867"/>
      <c r="AP482" s="2867"/>
      <c r="AQ482" s="2867"/>
      <c r="AR482" s="2867"/>
      <c r="AS482" s="2867"/>
      <c r="AT482" s="2867"/>
      <c r="AU482" s="2867"/>
      <c r="AV482" s="2867"/>
      <c r="AW482" s="2867"/>
      <c r="AX482" s="2867"/>
      <c r="AY482" s="2867"/>
      <c r="AZ482" s="2867"/>
      <c r="BA482" s="2867"/>
      <c r="BB482" s="2867"/>
      <c r="BC482" s="2867"/>
      <c r="BD482" s="2867"/>
      <c r="BE482" s="2867"/>
      <c r="BF482" s="2867"/>
      <c r="BG482" s="2867"/>
      <c r="BH482" s="2867"/>
      <c r="BI482" s="2867"/>
      <c r="BJ482" s="2867"/>
      <c r="BK482" s="2867"/>
      <c r="BL482" s="2867"/>
      <c r="BM482" s="2867"/>
      <c r="BN482" s="2867"/>
      <c r="BO482" s="2867"/>
      <c r="BP482" s="2867"/>
      <c r="BQ482" s="2867"/>
      <c r="BR482" s="2867"/>
      <c r="BS482" s="2867"/>
      <c r="BT482" s="2867"/>
      <c r="BU482" s="2867"/>
      <c r="BV482" s="2867"/>
      <c r="BW482" s="2867"/>
      <c r="BX482" s="2867"/>
      <c r="BY482" s="2867"/>
      <c r="BZ482" s="2867"/>
      <c r="CA482" s="2867"/>
      <c r="CB482" s="2867"/>
      <c r="CC482" s="2867"/>
      <c r="CD482" s="2867"/>
      <c r="CE482" s="2867"/>
      <c r="CF482" s="2867"/>
      <c r="CG482" s="2867"/>
      <c r="CH482" s="2867"/>
      <c r="CI482" s="2867"/>
      <c r="CJ482" s="2867"/>
      <c r="CK482" s="2867"/>
      <c r="CL482" s="2867"/>
      <c r="CM482" s="2867"/>
      <c r="CN482" s="2867"/>
      <c r="CO482" s="2867"/>
      <c r="CP482" s="2867"/>
      <c r="CQ482" s="2867"/>
      <c r="CR482" s="2867"/>
      <c r="CS482" s="2867"/>
      <c r="CT482" s="2867"/>
      <c r="CU482" s="2867"/>
      <c r="CV482" s="2867"/>
      <c r="CW482" s="2867"/>
    </row>
    <row r="483" spans="1:101">
      <c r="A483" s="2867"/>
      <c r="B483" s="2867"/>
      <c r="C483" s="2867"/>
      <c r="D483" s="2867"/>
      <c r="E483" s="2867"/>
      <c r="F483" s="2867"/>
      <c r="G483" s="2867"/>
      <c r="H483" s="2867"/>
      <c r="I483" s="2867"/>
      <c r="J483" s="2867"/>
      <c r="K483" s="2867"/>
      <c r="L483" s="2867"/>
      <c r="M483" s="2867"/>
      <c r="O483" s="2867"/>
      <c r="P483" s="2867"/>
      <c r="Q483" s="2867"/>
      <c r="R483" s="2867"/>
      <c r="S483" s="2867"/>
      <c r="T483" s="2867"/>
      <c r="U483" s="2867"/>
      <c r="V483" s="2867"/>
      <c r="W483" s="2867"/>
      <c r="X483" s="2867"/>
      <c r="Y483" s="2867"/>
      <c r="Z483" s="2867"/>
      <c r="AA483" s="2867"/>
      <c r="AB483" s="2867"/>
      <c r="AC483" s="2867"/>
      <c r="AD483" s="2867"/>
      <c r="AE483" s="2867"/>
      <c r="AF483" s="2867"/>
      <c r="AG483" s="2867"/>
      <c r="AH483" s="2867"/>
      <c r="AI483" s="2867"/>
      <c r="AJ483" s="2867"/>
      <c r="AK483" s="2867"/>
      <c r="AL483" s="2867"/>
      <c r="AM483" s="2867"/>
      <c r="AN483" s="2867"/>
      <c r="AO483" s="2867"/>
      <c r="AP483" s="2867"/>
      <c r="AQ483" s="2867"/>
      <c r="AR483" s="2867"/>
      <c r="AS483" s="2867"/>
      <c r="AT483" s="2867"/>
      <c r="AU483" s="2867"/>
      <c r="AV483" s="2867"/>
      <c r="AW483" s="2867"/>
      <c r="AX483" s="2867"/>
      <c r="AY483" s="2867"/>
      <c r="AZ483" s="2867"/>
      <c r="BA483" s="2867"/>
      <c r="BB483" s="2867"/>
      <c r="BC483" s="2867"/>
      <c r="BD483" s="2867"/>
      <c r="BE483" s="2867"/>
      <c r="BF483" s="2867"/>
      <c r="BG483" s="2867"/>
      <c r="BH483" s="2867"/>
      <c r="BI483" s="2867"/>
      <c r="BJ483" s="2867"/>
      <c r="BK483" s="2867"/>
      <c r="BL483" s="2867"/>
      <c r="BM483" s="2867"/>
      <c r="BN483" s="2867"/>
      <c r="BO483" s="2867"/>
      <c r="BP483" s="2867"/>
      <c r="BQ483" s="2867"/>
      <c r="BR483" s="2867"/>
      <c r="BS483" s="2867"/>
      <c r="BT483" s="2867"/>
      <c r="BU483" s="2867"/>
      <c r="BV483" s="2867"/>
      <c r="BW483" s="2867"/>
      <c r="BX483" s="2867"/>
      <c r="BY483" s="2867"/>
      <c r="BZ483" s="2867"/>
      <c r="CA483" s="2867"/>
      <c r="CB483" s="2867"/>
      <c r="CC483" s="2867"/>
      <c r="CD483" s="2867"/>
      <c r="CE483" s="2867"/>
      <c r="CF483" s="2867"/>
      <c r="CG483" s="2867"/>
      <c r="CH483" s="2867"/>
      <c r="CI483" s="2867"/>
      <c r="CJ483" s="2867"/>
      <c r="CK483" s="2867"/>
      <c r="CL483" s="2867"/>
      <c r="CM483" s="2867"/>
      <c r="CN483" s="2867"/>
      <c r="CO483" s="2867"/>
      <c r="CP483" s="2867"/>
      <c r="CQ483" s="2867"/>
      <c r="CR483" s="2867"/>
      <c r="CS483" s="2867"/>
      <c r="CT483" s="2867"/>
      <c r="CU483" s="2867"/>
      <c r="CV483" s="2867"/>
      <c r="CW483" s="2867"/>
    </row>
    <row r="484" spans="1:101">
      <c r="A484" s="2867"/>
      <c r="B484" s="2867"/>
      <c r="C484" s="2867"/>
      <c r="D484" s="2867"/>
      <c r="E484" s="2867"/>
      <c r="F484" s="2867"/>
      <c r="G484" s="2867"/>
      <c r="H484" s="2867"/>
      <c r="I484" s="2867"/>
      <c r="J484" s="2867"/>
      <c r="K484" s="2867"/>
      <c r="L484" s="2867"/>
      <c r="M484" s="2867"/>
      <c r="O484" s="2867"/>
      <c r="P484" s="2867"/>
      <c r="Q484" s="2867"/>
      <c r="R484" s="2867"/>
      <c r="S484" s="2867"/>
      <c r="T484" s="2867"/>
      <c r="U484" s="2867"/>
      <c r="V484" s="2867"/>
      <c r="W484" s="2867"/>
      <c r="X484" s="2867"/>
      <c r="Y484" s="2867"/>
      <c r="Z484" s="2867"/>
      <c r="AA484" s="2867"/>
      <c r="AB484" s="2867"/>
      <c r="AC484" s="2867"/>
      <c r="AD484" s="2867"/>
      <c r="AE484" s="2867"/>
      <c r="AF484" s="2867"/>
      <c r="AG484" s="2867"/>
      <c r="AH484" s="2867"/>
      <c r="AI484" s="2867"/>
      <c r="AJ484" s="2867"/>
      <c r="AK484" s="2867"/>
      <c r="AL484" s="2867"/>
      <c r="AM484" s="2867"/>
      <c r="AN484" s="2867"/>
      <c r="AO484" s="2867"/>
      <c r="AP484" s="2867"/>
      <c r="AQ484" s="2867"/>
      <c r="AR484" s="2867"/>
      <c r="AS484" s="2867"/>
      <c r="AT484" s="2867"/>
      <c r="AU484" s="2867"/>
      <c r="AV484" s="2867"/>
      <c r="AW484" s="2867"/>
      <c r="AX484" s="2867"/>
      <c r="AY484" s="2867"/>
      <c r="AZ484" s="2867"/>
      <c r="BA484" s="2867"/>
      <c r="BB484" s="2867"/>
      <c r="BC484" s="2867"/>
      <c r="BD484" s="2867"/>
      <c r="BE484" s="2867"/>
      <c r="BF484" s="2867"/>
      <c r="BG484" s="2867"/>
      <c r="BH484" s="2867"/>
      <c r="BI484" s="2867"/>
      <c r="BJ484" s="2867"/>
      <c r="BK484" s="2867"/>
      <c r="BL484" s="2867"/>
      <c r="BM484" s="2867"/>
      <c r="BN484" s="2867"/>
      <c r="BO484" s="2867"/>
      <c r="BP484" s="2867"/>
      <c r="BQ484" s="2867"/>
      <c r="BR484" s="2867"/>
      <c r="BS484" s="2867"/>
      <c r="BT484" s="2867"/>
      <c r="BU484" s="2867"/>
      <c r="BV484" s="2867"/>
      <c r="BW484" s="2867"/>
      <c r="BX484" s="2867"/>
      <c r="BY484" s="2867"/>
      <c r="BZ484" s="2867"/>
      <c r="CA484" s="2867"/>
      <c r="CB484" s="2867"/>
      <c r="CC484" s="2867"/>
      <c r="CD484" s="2867"/>
      <c r="CE484" s="2867"/>
      <c r="CF484" s="2867"/>
      <c r="CG484" s="2867"/>
      <c r="CH484" s="2867"/>
      <c r="CI484" s="2867"/>
      <c r="CJ484" s="2867"/>
      <c r="CK484" s="2867"/>
      <c r="CL484" s="2867"/>
      <c r="CM484" s="2867"/>
      <c r="CN484" s="2867"/>
      <c r="CO484" s="2867"/>
      <c r="CP484" s="2867"/>
      <c r="CQ484" s="2867"/>
      <c r="CR484" s="2867"/>
      <c r="CS484" s="2867"/>
      <c r="CT484" s="2867"/>
      <c r="CU484" s="2867"/>
      <c r="CV484" s="2867"/>
      <c r="CW484" s="2867"/>
    </row>
    <row r="485" spans="1:101">
      <c r="A485" s="2867"/>
      <c r="B485" s="2867"/>
      <c r="C485" s="2867"/>
      <c r="D485" s="2867"/>
      <c r="E485" s="2867"/>
      <c r="F485" s="2867"/>
      <c r="G485" s="2867"/>
      <c r="H485" s="2867"/>
      <c r="I485" s="2867"/>
      <c r="J485" s="2867"/>
      <c r="K485" s="2867"/>
      <c r="L485" s="2867"/>
      <c r="M485" s="2867"/>
      <c r="O485" s="2867"/>
      <c r="P485" s="2867"/>
      <c r="Q485" s="2867"/>
      <c r="R485" s="2867"/>
      <c r="S485" s="2867"/>
      <c r="T485" s="2867"/>
      <c r="U485" s="2867"/>
      <c r="V485" s="2867"/>
      <c r="W485" s="2867"/>
      <c r="X485" s="2867"/>
      <c r="Y485" s="2867"/>
      <c r="Z485" s="2867"/>
      <c r="AA485" s="2867"/>
      <c r="AB485" s="2867"/>
      <c r="AC485" s="2867"/>
      <c r="AD485" s="2867"/>
      <c r="AE485" s="2867"/>
      <c r="AF485" s="2867"/>
      <c r="AG485" s="2867"/>
      <c r="AH485" s="2867"/>
      <c r="AI485" s="2867"/>
      <c r="AJ485" s="2867"/>
      <c r="AK485" s="2867"/>
      <c r="AL485" s="2867"/>
      <c r="AM485" s="2867"/>
      <c r="AN485" s="2867"/>
      <c r="AO485" s="2867"/>
      <c r="AP485" s="2867"/>
      <c r="AQ485" s="2867"/>
      <c r="AR485" s="2867"/>
      <c r="AS485" s="2867"/>
      <c r="AT485" s="2867"/>
      <c r="AU485" s="2867"/>
      <c r="AV485" s="2867"/>
      <c r="AW485" s="2867"/>
      <c r="AX485" s="2867"/>
      <c r="AY485" s="2867"/>
      <c r="AZ485" s="2867"/>
      <c r="BA485" s="2867"/>
      <c r="BB485" s="2867"/>
      <c r="BC485" s="2867"/>
      <c r="BD485" s="2867"/>
      <c r="BE485" s="2867"/>
      <c r="BF485" s="2867"/>
      <c r="BG485" s="2867"/>
      <c r="BH485" s="2867"/>
      <c r="BI485" s="2867"/>
      <c r="BJ485" s="2867"/>
      <c r="BK485" s="2867"/>
      <c r="BL485" s="2867"/>
      <c r="BM485" s="2867"/>
      <c r="BN485" s="2867"/>
      <c r="BO485" s="2867"/>
      <c r="BP485" s="2867"/>
      <c r="BQ485" s="2867"/>
      <c r="BR485" s="2867"/>
      <c r="BS485" s="2867"/>
      <c r="BT485" s="2867"/>
      <c r="BU485" s="2867"/>
      <c r="BV485" s="2867"/>
      <c r="BW485" s="2867"/>
      <c r="BX485" s="2867"/>
      <c r="BY485" s="2867"/>
      <c r="BZ485" s="2867"/>
      <c r="CA485" s="2867"/>
      <c r="CB485" s="2867"/>
      <c r="CC485" s="2867"/>
      <c r="CD485" s="2867"/>
      <c r="CE485" s="2867"/>
      <c r="CF485" s="2867"/>
      <c r="CG485" s="2867"/>
      <c r="CH485" s="2867"/>
      <c r="CI485" s="2867"/>
      <c r="CJ485" s="2867"/>
      <c r="CK485" s="2867"/>
      <c r="CL485" s="2867"/>
      <c r="CM485" s="2867"/>
      <c r="CN485" s="2867"/>
      <c r="CO485" s="2867"/>
      <c r="CP485" s="2867"/>
      <c r="CQ485" s="2867"/>
      <c r="CR485" s="2867"/>
      <c r="CS485" s="2867"/>
      <c r="CT485" s="2867"/>
      <c r="CU485" s="2867"/>
      <c r="CV485" s="2867"/>
      <c r="CW485" s="2867"/>
    </row>
    <row r="486" spans="1:101">
      <c r="A486" s="2867"/>
      <c r="B486" s="2867"/>
      <c r="C486" s="2867"/>
      <c r="D486" s="2867"/>
      <c r="E486" s="2867"/>
      <c r="F486" s="2867"/>
      <c r="G486" s="2867"/>
      <c r="H486" s="2867"/>
      <c r="I486" s="2867"/>
      <c r="J486" s="2867"/>
      <c r="K486" s="2867"/>
      <c r="L486" s="2867"/>
      <c r="M486" s="2867"/>
      <c r="O486" s="2867"/>
      <c r="P486" s="2867"/>
      <c r="Q486" s="2867"/>
      <c r="R486" s="2867"/>
      <c r="S486" s="2867"/>
      <c r="T486" s="2867"/>
      <c r="U486" s="2867"/>
      <c r="V486" s="2867"/>
      <c r="W486" s="2867"/>
      <c r="X486" s="2867"/>
      <c r="Y486" s="2867"/>
      <c r="Z486" s="2867"/>
      <c r="AA486" s="2867"/>
      <c r="AB486" s="2867"/>
      <c r="AC486" s="2867"/>
      <c r="AD486" s="2867"/>
      <c r="AE486" s="2867"/>
      <c r="AF486" s="2867"/>
      <c r="AG486" s="2867"/>
      <c r="AH486" s="2867"/>
      <c r="AI486" s="2867"/>
      <c r="AJ486" s="2867"/>
      <c r="AK486" s="2867"/>
      <c r="AL486" s="2867"/>
      <c r="AM486" s="2867"/>
      <c r="AN486" s="2867"/>
      <c r="AO486" s="2867"/>
      <c r="AP486" s="2867"/>
      <c r="AQ486" s="2867"/>
      <c r="AR486" s="2867"/>
      <c r="AS486" s="2867"/>
      <c r="AT486" s="2867"/>
      <c r="AU486" s="2867"/>
      <c r="AV486" s="2867"/>
      <c r="AW486" s="2867"/>
      <c r="AX486" s="2867"/>
      <c r="AY486" s="2867"/>
      <c r="AZ486" s="2867"/>
      <c r="BA486" s="2867"/>
      <c r="BB486" s="2867"/>
      <c r="BC486" s="2867"/>
      <c r="BD486" s="2867"/>
      <c r="BE486" s="2867"/>
      <c r="BF486" s="2867"/>
      <c r="BG486" s="2867"/>
      <c r="BH486" s="2867"/>
      <c r="BI486" s="2867"/>
      <c r="BJ486" s="2867"/>
      <c r="BK486" s="2867"/>
      <c r="BL486" s="2867"/>
      <c r="BM486" s="2867"/>
      <c r="BN486" s="2867"/>
      <c r="BO486" s="2867"/>
      <c r="BP486" s="2867"/>
      <c r="BQ486" s="2867"/>
      <c r="BR486" s="2867"/>
      <c r="BS486" s="2867"/>
      <c r="BT486" s="2867"/>
      <c r="BU486" s="2867"/>
      <c r="BV486" s="2867"/>
      <c r="BW486" s="2867"/>
      <c r="BX486" s="2867"/>
      <c r="BY486" s="2867"/>
      <c r="BZ486" s="2867"/>
      <c r="CA486" s="2867"/>
      <c r="CB486" s="2867"/>
      <c r="CC486" s="2867"/>
      <c r="CD486" s="2867"/>
      <c r="CE486" s="2867"/>
      <c r="CF486" s="2867"/>
      <c r="CG486" s="2867"/>
      <c r="CH486" s="2867"/>
      <c r="CI486" s="2867"/>
      <c r="CJ486" s="2867"/>
      <c r="CK486" s="2867"/>
      <c r="CL486" s="2867"/>
      <c r="CM486" s="2867"/>
      <c r="CN486" s="2867"/>
      <c r="CO486" s="2867"/>
      <c r="CP486" s="2867"/>
      <c r="CQ486" s="2867"/>
      <c r="CR486" s="2867"/>
      <c r="CS486" s="2867"/>
      <c r="CT486" s="2867"/>
      <c r="CU486" s="2867"/>
      <c r="CV486" s="2867"/>
      <c r="CW486" s="2867"/>
    </row>
    <row r="487" spans="1:101">
      <c r="A487" s="2867"/>
      <c r="B487" s="2867"/>
      <c r="C487" s="2867"/>
      <c r="D487" s="2867"/>
      <c r="E487" s="2867"/>
      <c r="F487" s="2867"/>
      <c r="G487" s="2867"/>
      <c r="H487" s="2867"/>
      <c r="I487" s="2867"/>
      <c r="J487" s="2867"/>
      <c r="K487" s="2867"/>
      <c r="L487" s="2867"/>
      <c r="M487" s="2867"/>
      <c r="O487" s="2867"/>
      <c r="P487" s="2867"/>
      <c r="Q487" s="2867"/>
      <c r="R487" s="2867"/>
      <c r="S487" s="2867"/>
      <c r="T487" s="2867"/>
      <c r="U487" s="2867"/>
      <c r="V487" s="2867"/>
      <c r="W487" s="2867"/>
      <c r="X487" s="2867"/>
      <c r="Y487" s="2867"/>
      <c r="Z487" s="2867"/>
      <c r="AA487" s="2867"/>
      <c r="AB487" s="2867"/>
      <c r="AC487" s="2867"/>
      <c r="AD487" s="2867"/>
      <c r="AE487" s="2867"/>
      <c r="AF487" s="2867"/>
      <c r="AG487" s="2867"/>
      <c r="AH487" s="2867"/>
      <c r="AI487" s="2867"/>
      <c r="AJ487" s="2867"/>
      <c r="AK487" s="2867"/>
      <c r="AL487" s="2867"/>
      <c r="AM487" s="2867"/>
      <c r="AN487" s="2867"/>
      <c r="AO487" s="2867"/>
      <c r="AP487" s="2867"/>
      <c r="AQ487" s="2867"/>
      <c r="AR487" s="2867"/>
      <c r="AS487" s="2867"/>
      <c r="AT487" s="2867"/>
      <c r="AU487" s="2867"/>
      <c r="AV487" s="2867"/>
      <c r="AW487" s="2867"/>
      <c r="AX487" s="2867"/>
      <c r="AY487" s="2867"/>
      <c r="AZ487" s="2867"/>
      <c r="BA487" s="2867"/>
      <c r="BB487" s="2867"/>
      <c r="BC487" s="2867"/>
      <c r="BD487" s="2867"/>
      <c r="BE487" s="2867"/>
      <c r="BF487" s="2867"/>
      <c r="BG487" s="2867"/>
      <c r="BH487" s="2867"/>
      <c r="BI487" s="2867"/>
      <c r="BJ487" s="2867"/>
      <c r="BK487" s="2867"/>
      <c r="BL487" s="2867"/>
      <c r="BM487" s="2867"/>
      <c r="BN487" s="2867"/>
      <c r="BO487" s="2867"/>
      <c r="BP487" s="2867"/>
      <c r="BQ487" s="2867"/>
      <c r="BR487" s="2867"/>
      <c r="BS487" s="2867"/>
      <c r="BT487" s="2867"/>
      <c r="BU487" s="2867"/>
      <c r="BV487" s="2867"/>
      <c r="BW487" s="2867"/>
      <c r="BX487" s="2867"/>
      <c r="BY487" s="2867"/>
      <c r="BZ487" s="2867"/>
      <c r="CA487" s="2867"/>
      <c r="CB487" s="2867"/>
      <c r="CC487" s="2867"/>
      <c r="CD487" s="2867"/>
      <c r="CE487" s="2867"/>
      <c r="CF487" s="2867"/>
      <c r="CG487" s="2867"/>
      <c r="CH487" s="2867"/>
      <c r="CI487" s="2867"/>
      <c r="CJ487" s="2867"/>
      <c r="CK487" s="2867"/>
      <c r="CL487" s="2867"/>
      <c r="CM487" s="2867"/>
      <c r="CN487" s="2867"/>
      <c r="CO487" s="2867"/>
      <c r="CP487" s="2867"/>
      <c r="CQ487" s="2867"/>
      <c r="CR487" s="2867"/>
      <c r="CS487" s="2867"/>
      <c r="CT487" s="2867"/>
      <c r="CU487" s="2867"/>
      <c r="CV487" s="2867"/>
      <c r="CW487" s="2867"/>
    </row>
    <row r="488" spans="1:101">
      <c r="A488" s="2867"/>
      <c r="B488" s="2867"/>
      <c r="C488" s="2867"/>
      <c r="D488" s="2867"/>
      <c r="E488" s="2867"/>
      <c r="F488" s="2867"/>
      <c r="G488" s="2867"/>
      <c r="H488" s="2867"/>
      <c r="I488" s="2867"/>
      <c r="J488" s="2867"/>
      <c r="K488" s="2867"/>
      <c r="L488" s="2867"/>
      <c r="M488" s="2867"/>
      <c r="O488" s="2867"/>
      <c r="P488" s="2867"/>
      <c r="Q488" s="2867"/>
      <c r="R488" s="2867"/>
      <c r="S488" s="2867"/>
      <c r="T488" s="2867"/>
      <c r="U488" s="2867"/>
      <c r="V488" s="2867"/>
      <c r="W488" s="2867"/>
      <c r="X488" s="2867"/>
      <c r="Y488" s="2867"/>
      <c r="Z488" s="2867"/>
      <c r="AA488" s="2867"/>
      <c r="AB488" s="2867"/>
      <c r="AC488" s="2867"/>
      <c r="AD488" s="2867"/>
      <c r="AE488" s="2867"/>
      <c r="AF488" s="2867"/>
      <c r="AG488" s="2867"/>
      <c r="AH488" s="2867"/>
      <c r="AI488" s="2867"/>
      <c r="AJ488" s="2867"/>
      <c r="AK488" s="2867"/>
      <c r="AL488" s="2867"/>
      <c r="AM488" s="2867"/>
      <c r="AN488" s="2867"/>
      <c r="AO488" s="2867"/>
      <c r="AP488" s="2867"/>
      <c r="AQ488" s="2867"/>
      <c r="AR488" s="2867"/>
      <c r="AS488" s="2867"/>
      <c r="AT488" s="2867"/>
      <c r="AU488" s="2867"/>
      <c r="AV488" s="2867"/>
      <c r="AW488" s="2867"/>
      <c r="AX488" s="2867"/>
      <c r="AY488" s="2867"/>
      <c r="AZ488" s="2867"/>
      <c r="BA488" s="2867"/>
      <c r="BB488" s="2867"/>
      <c r="BC488" s="2867"/>
      <c r="BD488" s="2867"/>
      <c r="BE488" s="2867"/>
      <c r="BF488" s="2867"/>
      <c r="BG488" s="2867"/>
      <c r="BH488" s="2867"/>
      <c r="BI488" s="2867"/>
      <c r="BJ488" s="2867"/>
      <c r="BK488" s="2867"/>
      <c r="BL488" s="2867"/>
      <c r="BM488" s="2867"/>
      <c r="BN488" s="2867"/>
      <c r="BO488" s="2867"/>
      <c r="BP488" s="2867"/>
      <c r="BQ488" s="2867"/>
      <c r="BR488" s="2867"/>
      <c r="BS488" s="2867"/>
      <c r="BT488" s="2867"/>
      <c r="BU488" s="2867"/>
      <c r="BV488" s="2867"/>
      <c r="BW488" s="2867"/>
      <c r="BX488" s="2867"/>
      <c r="BY488" s="2867"/>
      <c r="BZ488" s="2867"/>
      <c r="CA488" s="2867"/>
      <c r="CB488" s="2867"/>
      <c r="CC488" s="2867"/>
      <c r="CD488" s="2867"/>
      <c r="CE488" s="2867"/>
      <c r="CF488" s="2867"/>
      <c r="CG488" s="2867"/>
      <c r="CH488" s="2867"/>
      <c r="CI488" s="2867"/>
      <c r="CJ488" s="2867"/>
      <c r="CK488" s="2867"/>
      <c r="CL488" s="2867"/>
      <c r="CM488" s="2867"/>
      <c r="CN488" s="2867"/>
      <c r="CO488" s="2867"/>
      <c r="CP488" s="2867"/>
      <c r="CQ488" s="2867"/>
      <c r="CR488" s="2867"/>
      <c r="CS488" s="2867"/>
      <c r="CT488" s="2867"/>
      <c r="CU488" s="2867"/>
      <c r="CV488" s="2867"/>
      <c r="CW488" s="2867"/>
    </row>
    <row r="489" spans="1:101">
      <c r="A489" s="2867"/>
      <c r="B489" s="2867"/>
      <c r="C489" s="2867"/>
      <c r="D489" s="2867"/>
      <c r="E489" s="2867"/>
      <c r="F489" s="2867"/>
      <c r="G489" s="2867"/>
      <c r="H489" s="2867"/>
      <c r="I489" s="2867"/>
      <c r="J489" s="2867"/>
      <c r="K489" s="2867"/>
      <c r="L489" s="2867"/>
      <c r="M489" s="2867"/>
      <c r="O489" s="2867"/>
      <c r="P489" s="2867"/>
      <c r="Q489" s="2867"/>
      <c r="R489" s="2867"/>
      <c r="S489" s="2867"/>
      <c r="T489" s="2867"/>
      <c r="U489" s="2867"/>
      <c r="V489" s="2867"/>
      <c r="W489" s="2867"/>
      <c r="X489" s="2867"/>
      <c r="Y489" s="2867"/>
      <c r="Z489" s="2867"/>
      <c r="AA489" s="2867"/>
      <c r="AB489" s="2867"/>
      <c r="AC489" s="2867"/>
      <c r="AD489" s="2867"/>
      <c r="AE489" s="2867"/>
      <c r="AF489" s="2867"/>
      <c r="AG489" s="2867"/>
      <c r="AH489" s="2867"/>
      <c r="AI489" s="2867"/>
      <c r="AJ489" s="2867"/>
      <c r="AK489" s="2867"/>
      <c r="AL489" s="2867"/>
      <c r="AM489" s="2867"/>
      <c r="AN489" s="2867"/>
      <c r="AO489" s="2867"/>
      <c r="AP489" s="2867"/>
      <c r="AQ489" s="2867"/>
      <c r="AR489" s="2867"/>
      <c r="AS489" s="2867"/>
      <c r="AT489" s="2867"/>
      <c r="AU489" s="2867"/>
      <c r="AV489" s="2867"/>
      <c r="AW489" s="2867"/>
      <c r="AX489" s="2867"/>
      <c r="AY489" s="2867"/>
      <c r="AZ489" s="2867"/>
      <c r="BA489" s="2867"/>
      <c r="BB489" s="2867"/>
      <c r="BC489" s="2867"/>
      <c r="BD489" s="2867"/>
      <c r="BE489" s="2867"/>
      <c r="BF489" s="2867"/>
      <c r="BG489" s="2867"/>
      <c r="BH489" s="2867"/>
      <c r="BI489" s="2867"/>
      <c r="BJ489" s="2867"/>
      <c r="BK489" s="2867"/>
      <c r="BL489" s="2867"/>
      <c r="BM489" s="2867"/>
      <c r="BN489" s="2867"/>
      <c r="BO489" s="2867"/>
      <c r="BP489" s="2867"/>
      <c r="BQ489" s="2867"/>
      <c r="BR489" s="2867"/>
      <c r="BS489" s="2867"/>
      <c r="BT489" s="2867"/>
      <c r="BU489" s="2867"/>
      <c r="BV489" s="2867"/>
      <c r="BW489" s="2867"/>
      <c r="BX489" s="2867"/>
      <c r="BY489" s="2867"/>
      <c r="BZ489" s="2867"/>
      <c r="CA489" s="2867"/>
      <c r="CB489" s="2867"/>
      <c r="CC489" s="2867"/>
      <c r="CD489" s="2867"/>
      <c r="CE489" s="2867"/>
      <c r="CF489" s="2867"/>
      <c r="CG489" s="2867"/>
      <c r="CH489" s="2867"/>
      <c r="CI489" s="2867"/>
      <c r="CJ489" s="2867"/>
      <c r="CK489" s="2867"/>
      <c r="CL489" s="2867"/>
      <c r="CM489" s="2867"/>
      <c r="CN489" s="2867"/>
      <c r="CO489" s="2867"/>
      <c r="CP489" s="2867"/>
      <c r="CQ489" s="2867"/>
      <c r="CR489" s="2867"/>
      <c r="CS489" s="2867"/>
      <c r="CT489" s="2867"/>
      <c r="CU489" s="2867"/>
      <c r="CV489" s="2867"/>
      <c r="CW489" s="2867"/>
    </row>
    <row r="490" spans="1:101">
      <c r="A490" s="2867"/>
      <c r="B490" s="2867"/>
      <c r="C490" s="2867"/>
      <c r="D490" s="2867"/>
      <c r="E490" s="2867"/>
      <c r="F490" s="2867"/>
      <c r="G490" s="2867"/>
      <c r="H490" s="2867"/>
      <c r="I490" s="2867"/>
      <c r="J490" s="2867"/>
      <c r="K490" s="2867"/>
      <c r="L490" s="2867"/>
      <c r="M490" s="2867"/>
      <c r="O490" s="2867"/>
      <c r="P490" s="2867"/>
      <c r="Q490" s="2867"/>
      <c r="R490" s="2867"/>
      <c r="S490" s="2867"/>
      <c r="T490" s="2867"/>
      <c r="U490" s="2867"/>
      <c r="V490" s="2867"/>
      <c r="W490" s="2867"/>
      <c r="X490" s="2867"/>
      <c r="Y490" s="2867"/>
      <c r="Z490" s="2867"/>
      <c r="AA490" s="2867"/>
      <c r="AB490" s="2867"/>
      <c r="AC490" s="2867"/>
      <c r="AD490" s="2867"/>
      <c r="AE490" s="2867"/>
      <c r="AF490" s="2867"/>
      <c r="AG490" s="2867"/>
      <c r="AH490" s="2867"/>
      <c r="AI490" s="2867"/>
      <c r="AJ490" s="2867"/>
      <c r="AK490" s="2867"/>
      <c r="AL490" s="2867"/>
      <c r="AM490" s="2867"/>
      <c r="AN490" s="2867"/>
      <c r="AO490" s="2867"/>
      <c r="AP490" s="2867"/>
      <c r="AQ490" s="2867"/>
      <c r="AR490" s="2867"/>
      <c r="AS490" s="2867"/>
      <c r="AT490" s="2867"/>
      <c r="AU490" s="2867"/>
      <c r="AV490" s="2867"/>
      <c r="AW490" s="2867"/>
      <c r="AX490" s="2867"/>
      <c r="AY490" s="2867"/>
      <c r="AZ490" s="2867"/>
      <c r="BA490" s="2867"/>
      <c r="BB490" s="2867"/>
      <c r="BC490" s="2867"/>
      <c r="BD490" s="2867"/>
      <c r="BE490" s="2867"/>
      <c r="BF490" s="2867"/>
      <c r="BG490" s="2867"/>
      <c r="BH490" s="2867"/>
      <c r="BI490" s="2867"/>
      <c r="BJ490" s="2867"/>
      <c r="BK490" s="2867"/>
      <c r="BL490" s="2867"/>
      <c r="BM490" s="2867"/>
      <c r="BN490" s="2867"/>
      <c r="BO490" s="2867"/>
      <c r="BP490" s="2867"/>
      <c r="BQ490" s="2867"/>
      <c r="BR490" s="2867"/>
      <c r="BS490" s="2867"/>
      <c r="BT490" s="2867"/>
      <c r="BU490" s="2867"/>
      <c r="BV490" s="2867"/>
      <c r="BW490" s="2867"/>
      <c r="BX490" s="2867"/>
      <c r="BY490" s="2867"/>
      <c r="BZ490" s="2867"/>
      <c r="CA490" s="2867"/>
      <c r="CB490" s="2867"/>
      <c r="CC490" s="2867"/>
      <c r="CD490" s="2867"/>
      <c r="CE490" s="2867"/>
      <c r="CF490" s="2867"/>
      <c r="CG490" s="2867"/>
      <c r="CH490" s="2867"/>
      <c r="CI490" s="2867"/>
      <c r="CJ490" s="2867"/>
      <c r="CK490" s="2867"/>
      <c r="CL490" s="2867"/>
      <c r="CM490" s="2867"/>
      <c r="CN490" s="2867"/>
      <c r="CO490" s="2867"/>
      <c r="CP490" s="2867"/>
      <c r="CQ490" s="2867"/>
      <c r="CR490" s="2867"/>
      <c r="CS490" s="2867"/>
      <c r="CT490" s="2867"/>
      <c r="CU490" s="2867"/>
      <c r="CV490" s="2867"/>
      <c r="CW490" s="2867"/>
    </row>
    <row r="491" spans="1:101">
      <c r="A491" s="2867"/>
      <c r="B491" s="2867"/>
      <c r="C491" s="2867"/>
      <c r="D491" s="2867"/>
      <c r="E491" s="2867"/>
      <c r="F491" s="2867"/>
      <c r="G491" s="2867"/>
      <c r="H491" s="2867"/>
      <c r="I491" s="2867"/>
      <c r="J491" s="2867"/>
      <c r="K491" s="2867"/>
      <c r="L491" s="2867"/>
      <c r="M491" s="2867"/>
      <c r="O491" s="2867"/>
      <c r="P491" s="2867"/>
      <c r="Q491" s="2867"/>
      <c r="R491" s="2867"/>
      <c r="S491" s="2867"/>
      <c r="T491" s="2867"/>
      <c r="U491" s="2867"/>
      <c r="V491" s="2867"/>
      <c r="W491" s="2867"/>
      <c r="X491" s="2867"/>
      <c r="Y491" s="2867"/>
      <c r="Z491" s="2867"/>
      <c r="AA491" s="2867"/>
      <c r="AB491" s="2867"/>
      <c r="AC491" s="2867"/>
      <c r="AD491" s="2867"/>
      <c r="AE491" s="2867"/>
      <c r="AF491" s="2867"/>
      <c r="AG491" s="2867"/>
      <c r="AH491" s="2867"/>
      <c r="AI491" s="2867"/>
      <c r="AJ491" s="2867"/>
      <c r="AK491" s="2867"/>
      <c r="AL491" s="2867"/>
      <c r="AM491" s="2867"/>
      <c r="AN491" s="2867"/>
      <c r="AO491" s="2867"/>
      <c r="AP491" s="2867"/>
      <c r="AQ491" s="2867"/>
      <c r="AR491" s="2867"/>
      <c r="AS491" s="2867"/>
      <c r="AT491" s="2867"/>
      <c r="AU491" s="2867"/>
      <c r="AV491" s="2867"/>
      <c r="AW491" s="2867"/>
      <c r="AX491" s="2867"/>
      <c r="AY491" s="2867"/>
      <c r="AZ491" s="2867"/>
      <c r="BA491" s="2867"/>
      <c r="BB491" s="2867"/>
      <c r="BC491" s="2867"/>
      <c r="BD491" s="2867"/>
      <c r="BE491" s="2867"/>
      <c r="BF491" s="2867"/>
      <c r="BG491" s="2867"/>
      <c r="BH491" s="2867"/>
      <c r="BI491" s="2867"/>
      <c r="BJ491" s="2867"/>
      <c r="BK491" s="2867"/>
      <c r="BL491" s="2867"/>
      <c r="BM491" s="2867"/>
      <c r="BN491" s="2867"/>
      <c r="BO491" s="2867"/>
      <c r="BP491" s="2867"/>
      <c r="BQ491" s="2867"/>
      <c r="BR491" s="2867"/>
      <c r="BS491" s="2867"/>
      <c r="BT491" s="2867"/>
      <c r="BU491" s="2867"/>
      <c r="BV491" s="2867"/>
      <c r="BW491" s="2867"/>
      <c r="BX491" s="2867"/>
      <c r="BY491" s="2867"/>
      <c r="BZ491" s="2867"/>
      <c r="CA491" s="2867"/>
      <c r="CB491" s="2867"/>
      <c r="CC491" s="2867"/>
      <c r="CD491" s="2867"/>
      <c r="CE491" s="2867"/>
      <c r="CF491" s="2867"/>
      <c r="CG491" s="2867"/>
      <c r="CH491" s="2867"/>
      <c r="CI491" s="2867"/>
      <c r="CJ491" s="2867"/>
      <c r="CK491" s="2867"/>
      <c r="CL491" s="2867"/>
      <c r="CM491" s="2867"/>
      <c r="CN491" s="2867"/>
      <c r="CO491" s="2867"/>
      <c r="CP491" s="2867"/>
      <c r="CQ491" s="2867"/>
      <c r="CR491" s="2867"/>
      <c r="CS491" s="2867"/>
      <c r="CT491" s="2867"/>
      <c r="CU491" s="2867"/>
      <c r="CV491" s="2867"/>
      <c r="CW491" s="2867"/>
    </row>
    <row r="492" spans="1:101">
      <c r="A492" s="2867"/>
      <c r="B492" s="2867"/>
      <c r="C492" s="2867"/>
      <c r="D492" s="2867"/>
      <c r="E492" s="2867"/>
      <c r="F492" s="2867"/>
      <c r="G492" s="2867"/>
      <c r="H492" s="2867"/>
      <c r="I492" s="2867"/>
      <c r="J492" s="2867"/>
      <c r="K492" s="2867"/>
      <c r="L492" s="2867"/>
      <c r="M492" s="2867"/>
      <c r="O492" s="2867"/>
      <c r="P492" s="2867"/>
      <c r="Q492" s="2867"/>
      <c r="R492" s="2867"/>
      <c r="S492" s="2867"/>
      <c r="T492" s="2867"/>
      <c r="U492" s="2867"/>
      <c r="V492" s="2867"/>
      <c r="W492" s="2867"/>
      <c r="X492" s="2867"/>
      <c r="Y492" s="2867"/>
      <c r="Z492" s="2867"/>
      <c r="AA492" s="2867"/>
      <c r="AB492" s="2867"/>
      <c r="AC492" s="2867"/>
      <c r="AD492" s="2867"/>
      <c r="AE492" s="2867"/>
      <c r="AF492" s="2867"/>
      <c r="AG492" s="2867"/>
      <c r="AH492" s="2867"/>
      <c r="AI492" s="2867"/>
      <c r="AJ492" s="2867"/>
      <c r="AK492" s="2867"/>
      <c r="AL492" s="2867"/>
      <c r="AM492" s="2867"/>
      <c r="AN492" s="2867"/>
      <c r="AO492" s="2867"/>
      <c r="AP492" s="2867"/>
      <c r="AQ492" s="2867"/>
      <c r="AR492" s="2867"/>
      <c r="AS492" s="2867"/>
      <c r="AT492" s="2867"/>
      <c r="AU492" s="2867"/>
      <c r="AV492" s="2867"/>
      <c r="AW492" s="2867"/>
      <c r="AX492" s="2867"/>
      <c r="AY492" s="2867"/>
      <c r="AZ492" s="2867"/>
      <c r="BA492" s="2867"/>
      <c r="BB492" s="2867"/>
      <c r="BC492" s="2867"/>
      <c r="BD492" s="2867"/>
      <c r="BE492" s="2867"/>
      <c r="BF492" s="2867"/>
      <c r="BG492" s="2867"/>
      <c r="BH492" s="2867"/>
      <c r="BI492" s="2867"/>
      <c r="BJ492" s="2867"/>
      <c r="BK492" s="2867"/>
      <c r="BL492" s="2867"/>
      <c r="BM492" s="2867"/>
      <c r="BN492" s="2867"/>
      <c r="BO492" s="2867"/>
      <c r="BP492" s="2867"/>
      <c r="BQ492" s="2867"/>
      <c r="BR492" s="2867"/>
      <c r="BS492" s="2867"/>
      <c r="BT492" s="2867"/>
      <c r="BU492" s="2867"/>
      <c r="BV492" s="2867"/>
      <c r="BW492" s="2867"/>
      <c r="BX492" s="2867"/>
      <c r="BY492" s="2867"/>
      <c r="BZ492" s="2867"/>
      <c r="CA492" s="2867"/>
      <c r="CB492" s="2867"/>
      <c r="CC492" s="2867"/>
      <c r="CD492" s="2867"/>
      <c r="CE492" s="2867"/>
      <c r="CF492" s="2867"/>
      <c r="CG492" s="2867"/>
      <c r="CH492" s="2867"/>
      <c r="CI492" s="2867"/>
      <c r="CJ492" s="2867"/>
      <c r="CK492" s="2867"/>
      <c r="CL492" s="2867"/>
      <c r="CM492" s="2867"/>
      <c r="CN492" s="2867"/>
      <c r="CO492" s="2867"/>
      <c r="CP492" s="2867"/>
      <c r="CQ492" s="2867"/>
      <c r="CR492" s="2867"/>
      <c r="CS492" s="2867"/>
      <c r="CT492" s="2867"/>
      <c r="CU492" s="2867"/>
      <c r="CV492" s="2867"/>
      <c r="CW492" s="2867"/>
    </row>
    <row r="493" spans="1:101">
      <c r="A493" s="2867"/>
      <c r="B493" s="2867"/>
      <c r="C493" s="2867"/>
      <c r="D493" s="2867"/>
      <c r="E493" s="2867"/>
      <c r="F493" s="2867"/>
      <c r="G493" s="2867"/>
      <c r="H493" s="2867"/>
      <c r="I493" s="2867"/>
      <c r="J493" s="2867"/>
      <c r="K493" s="2867"/>
      <c r="L493" s="2867"/>
      <c r="M493" s="2867"/>
      <c r="O493" s="2867"/>
      <c r="P493" s="2867"/>
      <c r="Q493" s="2867"/>
      <c r="R493" s="2867"/>
      <c r="S493" s="2867"/>
      <c r="T493" s="2867"/>
      <c r="U493" s="2867"/>
      <c r="V493" s="2867"/>
      <c r="W493" s="2867"/>
      <c r="X493" s="2867"/>
      <c r="Y493" s="2867"/>
      <c r="Z493" s="2867"/>
      <c r="AA493" s="2867"/>
      <c r="AB493" s="2867"/>
      <c r="AC493" s="2867"/>
      <c r="AD493" s="2867"/>
      <c r="AE493" s="2867"/>
      <c r="AF493" s="2867"/>
      <c r="AG493" s="2867"/>
      <c r="AH493" s="2867"/>
      <c r="AI493" s="2867"/>
      <c r="AJ493" s="2867"/>
      <c r="AK493" s="2867"/>
      <c r="AL493" s="2867"/>
      <c r="AM493" s="2867"/>
      <c r="AN493" s="2867"/>
      <c r="AO493" s="2867"/>
      <c r="AP493" s="2867"/>
      <c r="AQ493" s="2867"/>
      <c r="AR493" s="2867"/>
      <c r="AS493" s="2867"/>
      <c r="AT493" s="2867"/>
      <c r="AU493" s="2867"/>
      <c r="AV493" s="2867"/>
      <c r="AW493" s="2867"/>
      <c r="AX493" s="2867"/>
      <c r="AY493" s="2867"/>
      <c r="AZ493" s="2867"/>
      <c r="BA493" s="2867"/>
      <c r="BB493" s="2867"/>
      <c r="BC493" s="2867"/>
      <c r="BD493" s="2867"/>
      <c r="BE493" s="2867"/>
      <c r="BF493" s="2867"/>
      <c r="BG493" s="2867"/>
      <c r="BH493" s="2867"/>
      <c r="BI493" s="2867"/>
      <c r="BJ493" s="2867"/>
      <c r="BK493" s="2867"/>
      <c r="BL493" s="2867"/>
      <c r="BM493" s="2867"/>
      <c r="BN493" s="2867"/>
      <c r="BO493" s="2867"/>
      <c r="BP493" s="2867"/>
      <c r="BQ493" s="2867"/>
      <c r="BR493" s="2867"/>
      <c r="BS493" s="2867"/>
      <c r="BT493" s="2867"/>
      <c r="BU493" s="2867"/>
      <c r="BV493" s="2867"/>
      <c r="BW493" s="2867"/>
      <c r="BX493" s="2867"/>
      <c r="BY493" s="2867"/>
      <c r="BZ493" s="2867"/>
      <c r="CA493" s="2867"/>
      <c r="CB493" s="2867"/>
      <c r="CC493" s="2867"/>
      <c r="CD493" s="2867"/>
      <c r="CE493" s="2867"/>
      <c r="CF493" s="2867"/>
      <c r="CG493" s="2867"/>
      <c r="CH493" s="2867"/>
      <c r="CI493" s="2867"/>
      <c r="CJ493" s="2867"/>
      <c r="CK493" s="2867"/>
      <c r="CL493" s="2867"/>
      <c r="CM493" s="2867"/>
      <c r="CN493" s="2867"/>
      <c r="CO493" s="2867"/>
      <c r="CP493" s="2867"/>
      <c r="CQ493" s="2867"/>
      <c r="CR493" s="2867"/>
      <c r="CS493" s="2867"/>
      <c r="CT493" s="2867"/>
      <c r="CU493" s="2867"/>
      <c r="CV493" s="2867"/>
      <c r="CW493" s="2867"/>
    </row>
    <row r="494" spans="1:101">
      <c r="A494" s="2867"/>
      <c r="B494" s="2867"/>
      <c r="C494" s="2867"/>
      <c r="D494" s="2867"/>
      <c r="E494" s="2867"/>
      <c r="F494" s="2867"/>
      <c r="G494" s="2867"/>
      <c r="H494" s="2867"/>
      <c r="I494" s="2867"/>
      <c r="J494" s="2867"/>
      <c r="K494" s="2867"/>
      <c r="L494" s="2867"/>
      <c r="M494" s="2867"/>
      <c r="O494" s="2867"/>
      <c r="P494" s="2867"/>
      <c r="Q494" s="2867"/>
      <c r="R494" s="2867"/>
      <c r="S494" s="2867"/>
      <c r="T494" s="2867"/>
      <c r="U494" s="2867"/>
      <c r="V494" s="2867"/>
      <c r="W494" s="2867"/>
      <c r="X494" s="2867"/>
      <c r="Y494" s="2867"/>
      <c r="Z494" s="2867"/>
      <c r="AA494" s="2867"/>
      <c r="AB494" s="2867"/>
      <c r="AC494" s="2867"/>
      <c r="AD494" s="2867"/>
      <c r="AE494" s="2867"/>
      <c r="AF494" s="2867"/>
      <c r="AG494" s="2867"/>
      <c r="AH494" s="2867"/>
      <c r="AI494" s="2867"/>
      <c r="AJ494" s="2867"/>
      <c r="AK494" s="2867"/>
      <c r="AL494" s="2867"/>
      <c r="AM494" s="2867"/>
      <c r="AN494" s="2867"/>
      <c r="AO494" s="2867"/>
      <c r="AP494" s="2867"/>
      <c r="AQ494" s="2867"/>
      <c r="AR494" s="2867"/>
      <c r="AS494" s="2867"/>
      <c r="AT494" s="2867"/>
      <c r="AU494" s="2867"/>
      <c r="AV494" s="2867"/>
      <c r="AW494" s="2867"/>
      <c r="AX494" s="2867"/>
      <c r="AY494" s="2867"/>
      <c r="AZ494" s="2867"/>
      <c r="BA494" s="2867"/>
      <c r="BB494" s="2867"/>
      <c r="BC494" s="2867"/>
      <c r="BD494" s="2867"/>
      <c r="BE494" s="2867"/>
      <c r="BF494" s="2867"/>
      <c r="BG494" s="2867"/>
      <c r="BH494" s="2867"/>
      <c r="BI494" s="2867"/>
      <c r="BJ494" s="2867"/>
      <c r="BK494" s="2867"/>
      <c r="BL494" s="2867"/>
      <c r="BM494" s="2867"/>
      <c r="BN494" s="2867"/>
      <c r="BO494" s="2867"/>
      <c r="BP494" s="2867"/>
      <c r="BQ494" s="2867"/>
      <c r="BR494" s="2867"/>
      <c r="BS494" s="2867"/>
      <c r="BT494" s="2867"/>
      <c r="BU494" s="2867"/>
      <c r="BV494" s="2867"/>
      <c r="BW494" s="2867"/>
      <c r="BX494" s="2867"/>
      <c r="BY494" s="2867"/>
      <c r="BZ494" s="2867"/>
      <c r="CA494" s="2867"/>
      <c r="CB494" s="2867"/>
      <c r="CC494" s="2867"/>
      <c r="CD494" s="2867"/>
      <c r="CE494" s="2867"/>
      <c r="CF494" s="2867"/>
      <c r="CG494" s="2867"/>
      <c r="CH494" s="2867"/>
      <c r="CI494" s="2867"/>
      <c r="CJ494" s="2867"/>
      <c r="CK494" s="2867"/>
      <c r="CL494" s="2867"/>
      <c r="CM494" s="2867"/>
      <c r="CN494" s="2867"/>
      <c r="CO494" s="2867"/>
      <c r="CP494" s="2867"/>
      <c r="CQ494" s="2867"/>
      <c r="CR494" s="2867"/>
      <c r="CS494" s="2867"/>
      <c r="CT494" s="2867"/>
      <c r="CU494" s="2867"/>
      <c r="CV494" s="2867"/>
      <c r="CW494" s="2867"/>
    </row>
    <row r="495" spans="1:101">
      <c r="A495" s="2867"/>
      <c r="B495" s="2867"/>
      <c r="C495" s="2867"/>
      <c r="D495" s="2867"/>
      <c r="E495" s="2867"/>
      <c r="F495" s="2867"/>
      <c r="G495" s="2867"/>
      <c r="H495" s="2867"/>
      <c r="I495" s="2867"/>
      <c r="J495" s="2867"/>
      <c r="K495" s="2867"/>
      <c r="L495" s="2867"/>
      <c r="M495" s="2867"/>
      <c r="O495" s="2867"/>
      <c r="P495" s="2867"/>
      <c r="Q495" s="2867"/>
      <c r="R495" s="2867"/>
      <c r="S495" s="2867"/>
      <c r="T495" s="2867"/>
      <c r="U495" s="2867"/>
      <c r="V495" s="2867"/>
      <c r="W495" s="2867"/>
      <c r="X495" s="2867"/>
      <c r="Y495" s="2867"/>
      <c r="Z495" s="2867"/>
      <c r="AA495" s="2867"/>
      <c r="AB495" s="2867"/>
      <c r="AC495" s="2867"/>
      <c r="AD495" s="2867"/>
      <c r="AE495" s="2867"/>
      <c r="AF495" s="2867"/>
      <c r="AG495" s="2867"/>
      <c r="AH495" s="2867"/>
      <c r="AI495" s="2867"/>
      <c r="AJ495" s="2867"/>
      <c r="AK495" s="2867"/>
      <c r="AL495" s="2867"/>
      <c r="AM495" s="2867"/>
      <c r="AN495" s="2867"/>
      <c r="AO495" s="2867"/>
      <c r="AP495" s="2867"/>
      <c r="AQ495" s="2867"/>
      <c r="AR495" s="2867"/>
      <c r="AS495" s="2867"/>
      <c r="AT495" s="2867"/>
      <c r="AU495" s="2867"/>
      <c r="AV495" s="2867"/>
      <c r="AW495" s="2867"/>
      <c r="AX495" s="2867"/>
      <c r="AY495" s="2867"/>
      <c r="AZ495" s="2867"/>
      <c r="BA495" s="2867"/>
      <c r="BB495" s="2867"/>
      <c r="BC495" s="2867"/>
      <c r="BD495" s="2867"/>
      <c r="BE495" s="2867"/>
      <c r="BF495" s="2867"/>
      <c r="BG495" s="2867"/>
      <c r="BH495" s="2867"/>
      <c r="BI495" s="2867"/>
      <c r="BJ495" s="2867"/>
      <c r="BK495" s="2867"/>
      <c r="BL495" s="2867"/>
      <c r="BM495" s="2867"/>
      <c r="BN495" s="2867"/>
      <c r="BO495" s="2867"/>
      <c r="BP495" s="2867"/>
      <c r="BQ495" s="2867"/>
      <c r="BR495" s="2867"/>
      <c r="BS495" s="2867"/>
      <c r="BT495" s="2867"/>
      <c r="BU495" s="2867"/>
      <c r="BV495" s="2867"/>
      <c r="BW495" s="2867"/>
      <c r="BX495" s="2867"/>
      <c r="BY495" s="2867"/>
      <c r="BZ495" s="2867"/>
      <c r="CA495" s="2867"/>
      <c r="CB495" s="2867"/>
      <c r="CC495" s="2867"/>
      <c r="CD495" s="2867"/>
      <c r="CE495" s="2867"/>
      <c r="CF495" s="2867"/>
      <c r="CG495" s="2867"/>
      <c r="CH495" s="2867"/>
      <c r="CI495" s="2867"/>
      <c r="CJ495" s="2867"/>
      <c r="CK495" s="2867"/>
      <c r="CL495" s="2867"/>
      <c r="CM495" s="2867"/>
      <c r="CN495" s="2867"/>
      <c r="CO495" s="2867"/>
      <c r="CP495" s="2867"/>
      <c r="CQ495" s="2867"/>
      <c r="CR495" s="2867"/>
      <c r="CS495" s="2867"/>
      <c r="CT495" s="2867"/>
      <c r="CU495" s="2867"/>
      <c r="CV495" s="2867"/>
      <c r="CW495" s="2867"/>
    </row>
    <row r="496" spans="1:101">
      <c r="A496" s="2867"/>
      <c r="B496" s="2867"/>
      <c r="C496" s="2867"/>
      <c r="D496" s="2867"/>
      <c r="E496" s="2867"/>
      <c r="F496" s="2867"/>
      <c r="G496" s="2867"/>
      <c r="H496" s="2867"/>
      <c r="I496" s="2867"/>
      <c r="J496" s="2867"/>
      <c r="K496" s="2867"/>
      <c r="L496" s="2867"/>
      <c r="M496" s="2867"/>
      <c r="O496" s="2867"/>
      <c r="P496" s="2867"/>
      <c r="Q496" s="2867"/>
      <c r="R496" s="2867"/>
      <c r="S496" s="2867"/>
      <c r="T496" s="2867"/>
      <c r="U496" s="2867"/>
      <c r="V496" s="2867"/>
      <c r="W496" s="2867"/>
      <c r="X496" s="2867"/>
      <c r="Y496" s="2867"/>
      <c r="Z496" s="2867"/>
      <c r="AA496" s="2867"/>
      <c r="AB496" s="2867"/>
      <c r="AC496" s="2867"/>
      <c r="AD496" s="2867"/>
      <c r="AE496" s="2867"/>
      <c r="AF496" s="2867"/>
      <c r="AG496" s="2867"/>
      <c r="AH496" s="2867"/>
      <c r="AI496" s="2867"/>
      <c r="AJ496" s="2867"/>
      <c r="AK496" s="2867"/>
      <c r="AL496" s="2867"/>
      <c r="AM496" s="2867"/>
      <c r="AN496" s="2867"/>
      <c r="AO496" s="2867"/>
      <c r="AP496" s="2867"/>
      <c r="AQ496" s="2867"/>
      <c r="AR496" s="2867"/>
      <c r="AS496" s="2867"/>
      <c r="AT496" s="2867"/>
      <c r="AU496" s="2867"/>
      <c r="AV496" s="2867"/>
      <c r="AW496" s="2867"/>
      <c r="AX496" s="2867"/>
      <c r="AY496" s="2867"/>
      <c r="AZ496" s="2867"/>
      <c r="BA496" s="2867"/>
      <c r="BB496" s="2867"/>
      <c r="BC496" s="2867"/>
      <c r="BD496" s="2867"/>
      <c r="BE496" s="2867"/>
      <c r="BF496" s="2867"/>
      <c r="BG496" s="2867"/>
      <c r="BH496" s="2867"/>
      <c r="BI496" s="2867"/>
      <c r="BJ496" s="2867"/>
      <c r="BK496" s="2867"/>
      <c r="BL496" s="2867"/>
      <c r="BM496" s="2867"/>
      <c r="BN496" s="2867"/>
      <c r="BO496" s="2867"/>
      <c r="BP496" s="2867"/>
      <c r="BQ496" s="2867"/>
      <c r="BR496" s="2867"/>
      <c r="BS496" s="2867"/>
      <c r="BT496" s="2867"/>
      <c r="BU496" s="2867"/>
      <c r="BV496" s="2867"/>
      <c r="BW496" s="2867"/>
      <c r="BX496" s="2867"/>
      <c r="BY496" s="2867"/>
      <c r="BZ496" s="2867"/>
      <c r="CA496" s="2867"/>
      <c r="CB496" s="2867"/>
      <c r="CC496" s="2867"/>
      <c r="CD496" s="2867"/>
      <c r="CE496" s="2867"/>
      <c r="CF496" s="2867"/>
      <c r="CG496" s="2867"/>
      <c r="CH496" s="2867"/>
      <c r="CI496" s="2867"/>
      <c r="CJ496" s="2867"/>
      <c r="CK496" s="2867"/>
      <c r="CL496" s="2867"/>
      <c r="CM496" s="2867"/>
      <c r="CN496" s="2867"/>
      <c r="CO496" s="2867"/>
      <c r="CP496" s="2867"/>
      <c r="CQ496" s="2867"/>
      <c r="CR496" s="2867"/>
      <c r="CS496" s="2867"/>
      <c r="CT496" s="2867"/>
      <c r="CU496" s="2867"/>
      <c r="CV496" s="2867"/>
      <c r="CW496" s="2867"/>
    </row>
    <row r="497" spans="1:101">
      <c r="A497" s="2867"/>
      <c r="B497" s="2867"/>
      <c r="C497" s="2867"/>
      <c r="D497" s="2867"/>
      <c r="E497" s="2867"/>
      <c r="F497" s="2867"/>
      <c r="G497" s="2867"/>
      <c r="H497" s="2867"/>
      <c r="I497" s="2867"/>
      <c r="J497" s="2867"/>
      <c r="K497" s="2867"/>
      <c r="L497" s="2867"/>
      <c r="M497" s="2867"/>
      <c r="O497" s="2867"/>
      <c r="P497" s="2867"/>
      <c r="Q497" s="2867"/>
      <c r="R497" s="2867"/>
      <c r="S497" s="2867"/>
      <c r="T497" s="2867"/>
      <c r="U497" s="2867"/>
      <c r="V497" s="2867"/>
      <c r="W497" s="2867"/>
      <c r="X497" s="2867"/>
      <c r="Y497" s="2867"/>
      <c r="Z497" s="2867"/>
      <c r="AA497" s="2867"/>
      <c r="AB497" s="2867"/>
      <c r="AC497" s="2867"/>
      <c r="AD497" s="2867"/>
      <c r="AE497" s="2867"/>
      <c r="AF497" s="2867"/>
      <c r="AG497" s="2867"/>
      <c r="AH497" s="2867"/>
      <c r="AI497" s="2867"/>
      <c r="AJ497" s="2867"/>
      <c r="AK497" s="2867"/>
      <c r="AL497" s="2867"/>
      <c r="AM497" s="2867"/>
      <c r="AN497" s="2867"/>
      <c r="AO497" s="2867"/>
      <c r="AP497" s="2867"/>
      <c r="AQ497" s="2867"/>
      <c r="AR497" s="2867"/>
      <c r="AS497" s="2867"/>
      <c r="AT497" s="2867"/>
      <c r="AU497" s="2867"/>
      <c r="AV497" s="2867"/>
      <c r="AW497" s="2867"/>
      <c r="AX497" s="2867"/>
      <c r="AY497" s="2867"/>
      <c r="AZ497" s="2867"/>
      <c r="BA497" s="2867"/>
      <c r="BB497" s="2867"/>
      <c r="BC497" s="2867"/>
      <c r="BD497" s="2867"/>
      <c r="BE497" s="2867"/>
      <c r="BF497" s="2867"/>
      <c r="BG497" s="2867"/>
      <c r="BH497" s="2867"/>
      <c r="BI497" s="2867"/>
      <c r="BJ497" s="2867"/>
      <c r="BK497" s="2867"/>
      <c r="BL497" s="2867"/>
      <c r="BM497" s="2867"/>
      <c r="BN497" s="2867"/>
      <c r="BO497" s="2867"/>
      <c r="BP497" s="2867"/>
      <c r="BQ497" s="2867"/>
      <c r="BR497" s="2867"/>
      <c r="BS497" s="2867"/>
      <c r="BT497" s="2867"/>
      <c r="BU497" s="2867"/>
      <c r="BV497" s="2867"/>
      <c r="BW497" s="2867"/>
      <c r="BX497" s="2867"/>
      <c r="BY497" s="2867"/>
      <c r="BZ497" s="2867"/>
      <c r="CA497" s="2867"/>
      <c r="CB497" s="2867"/>
      <c r="CC497" s="2867"/>
      <c r="CD497" s="2867"/>
      <c r="CE497" s="2867"/>
      <c r="CF497" s="2867"/>
      <c r="CG497" s="2867"/>
      <c r="CH497" s="2867"/>
      <c r="CI497" s="2867"/>
      <c r="CJ497" s="2867"/>
      <c r="CK497" s="2867"/>
      <c r="CL497" s="2867"/>
      <c r="CM497" s="2867"/>
      <c r="CN497" s="2867"/>
      <c r="CO497" s="2867"/>
      <c r="CP497" s="2867"/>
      <c r="CQ497" s="2867"/>
      <c r="CR497" s="2867"/>
      <c r="CS497" s="2867"/>
      <c r="CT497" s="2867"/>
      <c r="CU497" s="2867"/>
      <c r="CV497" s="2867"/>
      <c r="CW497" s="2867"/>
    </row>
    <row r="498" spans="1:101">
      <c r="A498" s="2867"/>
      <c r="B498" s="2867"/>
      <c r="C498" s="2867"/>
      <c r="D498" s="2867"/>
      <c r="E498" s="2867"/>
      <c r="F498" s="2867"/>
      <c r="G498" s="2867"/>
      <c r="H498" s="2867"/>
      <c r="I498" s="2867"/>
      <c r="J498" s="2867"/>
      <c r="K498" s="2867"/>
      <c r="L498" s="2867"/>
      <c r="M498" s="2867"/>
      <c r="O498" s="2867"/>
      <c r="P498" s="2867"/>
      <c r="Q498" s="2867"/>
      <c r="R498" s="2867"/>
      <c r="S498" s="2867"/>
      <c r="T498" s="2867"/>
      <c r="U498" s="2867"/>
      <c r="V498" s="2867"/>
      <c r="W498" s="2867"/>
      <c r="X498" s="2867"/>
      <c r="Y498" s="2867"/>
      <c r="Z498" s="2867"/>
      <c r="AA498" s="2867"/>
      <c r="AB498" s="2867"/>
      <c r="AC498" s="2867"/>
      <c r="AD498" s="2867"/>
      <c r="AE498" s="2867"/>
      <c r="AF498" s="2867"/>
      <c r="AG498" s="2867"/>
      <c r="AH498" s="2867"/>
      <c r="AI498" s="2867"/>
      <c r="AJ498" s="2867"/>
      <c r="AK498" s="2867"/>
      <c r="AL498" s="2867"/>
      <c r="AM498" s="2867"/>
      <c r="AN498" s="2867"/>
      <c r="AO498" s="2867"/>
      <c r="AP498" s="2867"/>
      <c r="AQ498" s="2867"/>
      <c r="AR498" s="2867"/>
      <c r="AS498" s="2867"/>
      <c r="AT498" s="2867"/>
      <c r="AU498" s="2867"/>
      <c r="AV498" s="2867"/>
      <c r="AW498" s="2867"/>
      <c r="AX498" s="2867"/>
      <c r="AY498" s="2867"/>
      <c r="AZ498" s="2867"/>
      <c r="BA498" s="2867"/>
      <c r="BB498" s="2867"/>
      <c r="BC498" s="2867"/>
      <c r="BD498" s="2867"/>
      <c r="BE498" s="2867"/>
      <c r="BF498" s="2867"/>
      <c r="BG498" s="2867"/>
      <c r="BH498" s="2867"/>
      <c r="BI498" s="2867"/>
      <c r="BJ498" s="2867"/>
      <c r="BK498" s="2867"/>
      <c r="BL498" s="2867"/>
      <c r="BM498" s="2867"/>
      <c r="BN498" s="2867"/>
      <c r="BO498" s="2867"/>
      <c r="BP498" s="2867"/>
      <c r="BQ498" s="2867"/>
      <c r="BR498" s="2867"/>
      <c r="BS498" s="2867"/>
      <c r="BT498" s="2867"/>
      <c r="BU498" s="2867"/>
      <c r="BV498" s="2867"/>
      <c r="BW498" s="2867"/>
      <c r="BX498" s="2867"/>
      <c r="BY498" s="2867"/>
      <c r="BZ498" s="2867"/>
      <c r="CA498" s="2867"/>
      <c r="CB498" s="2867"/>
      <c r="CC498" s="2867"/>
      <c r="CD498" s="2867"/>
      <c r="CE498" s="2867"/>
      <c r="CF498" s="2867"/>
      <c r="CG498" s="2867"/>
      <c r="CH498" s="2867"/>
      <c r="CI498" s="2867"/>
      <c r="CJ498" s="2867"/>
      <c r="CK498" s="2867"/>
      <c r="CL498" s="2867"/>
      <c r="CM498" s="2867"/>
      <c r="CN498" s="2867"/>
      <c r="CO498" s="2867"/>
      <c r="CP498" s="2867"/>
      <c r="CQ498" s="2867"/>
      <c r="CR498" s="2867"/>
      <c r="CS498" s="2867"/>
      <c r="CT498" s="2867"/>
      <c r="CU498" s="2867"/>
      <c r="CV498" s="2867"/>
      <c r="CW498" s="2867"/>
    </row>
    <row r="499" spans="1:101">
      <c r="A499" s="2867"/>
      <c r="B499" s="2867"/>
      <c r="C499" s="2867"/>
      <c r="D499" s="2867"/>
      <c r="E499" s="2867"/>
      <c r="F499" s="2867"/>
      <c r="G499" s="2867"/>
      <c r="H499" s="2867"/>
      <c r="I499" s="2867"/>
      <c r="J499" s="2867"/>
      <c r="K499" s="2867"/>
      <c r="L499" s="2867"/>
      <c r="M499" s="2867"/>
      <c r="O499" s="2867"/>
      <c r="P499" s="2867"/>
      <c r="Q499" s="2867"/>
      <c r="R499" s="2867"/>
      <c r="S499" s="2867"/>
      <c r="T499" s="2867"/>
      <c r="U499" s="2867"/>
      <c r="V499" s="2867"/>
      <c r="W499" s="2867"/>
      <c r="X499" s="2867"/>
      <c r="Y499" s="2867"/>
      <c r="Z499" s="2867"/>
      <c r="AA499" s="2867"/>
      <c r="AB499" s="2867"/>
      <c r="AC499" s="2867"/>
      <c r="AD499" s="2867"/>
      <c r="AE499" s="2867"/>
      <c r="AF499" s="2867"/>
      <c r="AG499" s="2867"/>
      <c r="AH499" s="2867"/>
      <c r="AI499" s="2867"/>
      <c r="AJ499" s="2867"/>
      <c r="AK499" s="2867"/>
      <c r="AL499" s="2867"/>
      <c r="AM499" s="2867"/>
      <c r="AN499" s="2867"/>
      <c r="AO499" s="2867"/>
      <c r="AP499" s="2867"/>
      <c r="AQ499" s="2867"/>
      <c r="AR499" s="2867"/>
      <c r="AS499" s="2867"/>
      <c r="AT499" s="2867"/>
      <c r="AU499" s="2867"/>
      <c r="AV499" s="2867"/>
      <c r="AW499" s="2867"/>
      <c r="AX499" s="2867"/>
      <c r="AY499" s="2867"/>
      <c r="AZ499" s="2867"/>
      <c r="BA499" s="2867"/>
      <c r="BB499" s="2867"/>
      <c r="BC499" s="2867"/>
      <c r="BD499" s="2867"/>
      <c r="BE499" s="2867"/>
      <c r="BF499" s="2867"/>
      <c r="BG499" s="2867"/>
      <c r="BH499" s="2867"/>
      <c r="BI499" s="2867"/>
      <c r="BJ499" s="2867"/>
      <c r="BK499" s="2867"/>
      <c r="BL499" s="2867"/>
      <c r="BM499" s="2867"/>
      <c r="BN499" s="2867"/>
      <c r="BO499" s="2867"/>
      <c r="BP499" s="2867"/>
      <c r="BQ499" s="2867"/>
      <c r="BR499" s="2867"/>
      <c r="BS499" s="2867"/>
      <c r="BT499" s="2867"/>
      <c r="BU499" s="2867"/>
      <c r="BV499" s="2867"/>
      <c r="BW499" s="2867"/>
      <c r="BX499" s="2867"/>
      <c r="BY499" s="2867"/>
      <c r="BZ499" s="2867"/>
      <c r="CA499" s="2867"/>
      <c r="CB499" s="2867"/>
      <c r="CC499" s="2867"/>
      <c r="CD499" s="2867"/>
      <c r="CE499" s="2867"/>
      <c r="CF499" s="2867"/>
      <c r="CG499" s="2867"/>
      <c r="CH499" s="2867"/>
      <c r="CI499" s="2867"/>
      <c r="CJ499" s="2867"/>
      <c r="CK499" s="2867"/>
      <c r="CL499" s="2867"/>
      <c r="CM499" s="2867"/>
      <c r="CN499" s="2867"/>
      <c r="CO499" s="2867"/>
      <c r="CP499" s="2867"/>
      <c r="CQ499" s="2867"/>
      <c r="CR499" s="2867"/>
      <c r="CS499" s="2867"/>
      <c r="CT499" s="2867"/>
      <c r="CU499" s="2867"/>
      <c r="CV499" s="2867"/>
      <c r="CW499" s="2867"/>
    </row>
    <row r="500" spans="1:101">
      <c r="A500" s="2867"/>
      <c r="B500" s="2867"/>
      <c r="C500" s="2867"/>
      <c r="D500" s="2867"/>
      <c r="E500" s="2867"/>
      <c r="F500" s="2867"/>
      <c r="G500" s="2867"/>
      <c r="H500" s="2867"/>
      <c r="I500" s="2867"/>
      <c r="J500" s="2867"/>
      <c r="K500" s="2867"/>
      <c r="L500" s="2867"/>
      <c r="M500" s="2867"/>
      <c r="O500" s="2867"/>
      <c r="P500" s="2867"/>
      <c r="Q500" s="2867"/>
      <c r="R500" s="2867"/>
      <c r="S500" s="2867"/>
      <c r="T500" s="2867"/>
      <c r="U500" s="2867"/>
      <c r="V500" s="2867"/>
      <c r="W500" s="2867"/>
      <c r="X500" s="2867"/>
      <c r="Y500" s="2867"/>
      <c r="Z500" s="2867"/>
      <c r="AA500" s="2867"/>
      <c r="AB500" s="2867"/>
      <c r="AC500" s="2867"/>
      <c r="AD500" s="2867"/>
      <c r="AE500" s="2867"/>
      <c r="AF500" s="2867"/>
      <c r="AG500" s="2867"/>
      <c r="AH500" s="2867"/>
      <c r="AI500" s="2867"/>
      <c r="AJ500" s="2867"/>
      <c r="AK500" s="2867"/>
      <c r="AL500" s="2867"/>
      <c r="AM500" s="2867"/>
      <c r="AN500" s="2867"/>
      <c r="AO500" s="2867"/>
      <c r="AP500" s="2867"/>
      <c r="AQ500" s="2867"/>
      <c r="AR500" s="2867"/>
      <c r="AS500" s="2867"/>
      <c r="AT500" s="2867"/>
      <c r="AU500" s="2867"/>
      <c r="AV500" s="2867"/>
      <c r="AW500" s="2867"/>
      <c r="AX500" s="2867"/>
      <c r="AY500" s="2867"/>
      <c r="AZ500" s="2867"/>
      <c r="BA500" s="2867"/>
      <c r="BB500" s="2867"/>
      <c r="BC500" s="2867"/>
      <c r="BD500" s="2867"/>
      <c r="BE500" s="2867"/>
      <c r="BF500" s="2867"/>
      <c r="BG500" s="2867"/>
      <c r="BH500" s="2867"/>
      <c r="BI500" s="2867"/>
      <c r="BJ500" s="2867"/>
      <c r="BK500" s="2867"/>
      <c r="BL500" s="2867"/>
      <c r="BM500" s="2867"/>
      <c r="BN500" s="2867"/>
      <c r="BO500" s="2867"/>
      <c r="BP500" s="2867"/>
      <c r="BQ500" s="2867"/>
      <c r="BR500" s="2867"/>
      <c r="BS500" s="2867"/>
      <c r="BT500" s="2867"/>
      <c r="BU500" s="2867"/>
      <c r="BV500" s="2867"/>
      <c r="BW500" s="2867"/>
      <c r="BX500" s="2867"/>
      <c r="BY500" s="2867"/>
      <c r="BZ500" s="2867"/>
      <c r="CA500" s="2867"/>
      <c r="CB500" s="2867"/>
      <c r="CC500" s="2867"/>
      <c r="CD500" s="2867"/>
      <c r="CE500" s="2867"/>
      <c r="CF500" s="2867"/>
      <c r="CG500" s="2867"/>
      <c r="CH500" s="2867"/>
      <c r="CI500" s="2867"/>
      <c r="CJ500" s="2867"/>
      <c r="CK500" s="2867"/>
      <c r="CL500" s="2867"/>
      <c r="CM500" s="2867"/>
      <c r="CN500" s="2867"/>
      <c r="CO500" s="2867"/>
      <c r="CP500" s="2867"/>
      <c r="CQ500" s="2867"/>
      <c r="CR500" s="2867"/>
      <c r="CS500" s="2867"/>
      <c r="CT500" s="2867"/>
      <c r="CU500" s="2867"/>
      <c r="CV500" s="2867"/>
      <c r="CW500" s="2867"/>
    </row>
    <row r="501" spans="1:101">
      <c r="A501" s="2867"/>
      <c r="B501" s="2867"/>
      <c r="C501" s="2867"/>
      <c r="D501" s="2867"/>
      <c r="E501" s="2867"/>
      <c r="F501" s="2867"/>
      <c r="G501" s="2867"/>
      <c r="H501" s="2867"/>
      <c r="I501" s="2867"/>
      <c r="J501" s="2867"/>
      <c r="K501" s="2867"/>
      <c r="L501" s="2867"/>
      <c r="M501" s="2867"/>
      <c r="O501" s="2867"/>
      <c r="P501" s="2867"/>
      <c r="Q501" s="2867"/>
      <c r="R501" s="2867"/>
      <c r="S501" s="2867"/>
      <c r="T501" s="2867"/>
      <c r="U501" s="2867"/>
      <c r="V501" s="2867"/>
      <c r="W501" s="2867"/>
      <c r="X501" s="2867"/>
      <c r="Y501" s="2867"/>
      <c r="Z501" s="2867"/>
      <c r="AA501" s="2867"/>
      <c r="AB501" s="2867"/>
      <c r="AC501" s="2867"/>
      <c r="AD501" s="2867"/>
      <c r="AE501" s="2867"/>
      <c r="AF501" s="2867"/>
      <c r="AG501" s="2867"/>
      <c r="AH501" s="2867"/>
      <c r="AI501" s="2867"/>
      <c r="AJ501" s="2867"/>
      <c r="AK501" s="2867"/>
      <c r="AL501" s="2867"/>
      <c r="AM501" s="2867"/>
      <c r="AN501" s="2867"/>
      <c r="AO501" s="2867"/>
      <c r="AP501" s="2867"/>
      <c r="AQ501" s="2867"/>
      <c r="AR501" s="2867"/>
      <c r="AS501" s="2867"/>
      <c r="AT501" s="2867"/>
      <c r="AU501" s="2867"/>
      <c r="AV501" s="2867"/>
      <c r="AW501" s="2867"/>
      <c r="AX501" s="2867"/>
      <c r="AY501" s="2867"/>
      <c r="AZ501" s="2867"/>
      <c r="BA501" s="2867"/>
      <c r="BB501" s="2867"/>
      <c r="BC501" s="2867"/>
      <c r="BD501" s="2867"/>
      <c r="BE501" s="2867"/>
      <c r="BF501" s="2867"/>
      <c r="BG501" s="2867"/>
      <c r="BH501" s="2867"/>
      <c r="BI501" s="2867"/>
      <c r="BJ501" s="2867"/>
      <c r="BK501" s="2867"/>
      <c r="BL501" s="2867"/>
      <c r="BM501" s="2867"/>
      <c r="BN501" s="2867"/>
      <c r="BO501" s="2867"/>
      <c r="BP501" s="2867"/>
      <c r="BQ501" s="2867"/>
      <c r="BR501" s="2867"/>
      <c r="BS501" s="2867"/>
      <c r="BT501" s="2867"/>
      <c r="BU501" s="2867"/>
      <c r="BV501" s="2867"/>
      <c r="BW501" s="2867"/>
      <c r="BX501" s="2867"/>
      <c r="BY501" s="2867"/>
      <c r="BZ501" s="2867"/>
      <c r="CA501" s="2867"/>
      <c r="CB501" s="2867"/>
      <c r="CC501" s="2867"/>
      <c r="CD501" s="2867"/>
      <c r="CE501" s="2867"/>
      <c r="CF501" s="2867"/>
      <c r="CG501" s="2867"/>
      <c r="CH501" s="2867"/>
      <c r="CI501" s="2867"/>
      <c r="CJ501" s="2867"/>
      <c r="CK501" s="2867"/>
      <c r="CL501" s="2867"/>
      <c r="CM501" s="2867"/>
      <c r="CN501" s="2867"/>
      <c r="CO501" s="2867"/>
      <c r="CP501" s="2867"/>
      <c r="CQ501" s="2867"/>
      <c r="CR501" s="2867"/>
      <c r="CS501" s="2867"/>
      <c r="CT501" s="2867"/>
      <c r="CU501" s="2867"/>
      <c r="CV501" s="2867"/>
      <c r="CW501" s="2867"/>
    </row>
    <row r="502" spans="1:101">
      <c r="A502" s="2867"/>
      <c r="B502" s="2867"/>
      <c r="C502" s="2867"/>
      <c r="D502" s="2867"/>
      <c r="E502" s="2867"/>
      <c r="F502" s="2867"/>
      <c r="G502" s="2867"/>
      <c r="H502" s="2867"/>
      <c r="I502" s="2867"/>
      <c r="J502" s="2867"/>
      <c r="K502" s="2867"/>
      <c r="L502" s="2867"/>
      <c r="M502" s="2867"/>
      <c r="O502" s="2867"/>
      <c r="P502" s="2867"/>
      <c r="Q502" s="2867"/>
      <c r="R502" s="2867"/>
      <c r="S502" s="2867"/>
      <c r="T502" s="2867"/>
      <c r="U502" s="2867"/>
      <c r="V502" s="2867"/>
      <c r="W502" s="2867"/>
      <c r="X502" s="2867"/>
      <c r="Y502" s="2867"/>
      <c r="Z502" s="2867"/>
      <c r="AA502" s="2867"/>
      <c r="AB502" s="2867"/>
      <c r="AC502" s="2867"/>
      <c r="AD502" s="2867"/>
      <c r="AE502" s="2867"/>
      <c r="AF502" s="2867"/>
      <c r="AG502" s="2867"/>
      <c r="AH502" s="2867"/>
      <c r="AI502" s="2867"/>
      <c r="AJ502" s="2867"/>
      <c r="AK502" s="2867"/>
      <c r="AL502" s="2867"/>
      <c r="AM502" s="2867"/>
      <c r="AN502" s="2867"/>
      <c r="AO502" s="2867"/>
      <c r="AP502" s="2867"/>
      <c r="AQ502" s="2867"/>
      <c r="AR502" s="2867"/>
      <c r="AS502" s="2867"/>
      <c r="AT502" s="2867"/>
      <c r="AU502" s="2867"/>
      <c r="AV502" s="2867"/>
      <c r="AW502" s="2867"/>
      <c r="AX502" s="2867"/>
      <c r="AY502" s="2867"/>
      <c r="AZ502" s="2867"/>
      <c r="BA502" s="2867"/>
      <c r="BB502" s="2867"/>
      <c r="BC502" s="2867"/>
      <c r="BD502" s="2867"/>
      <c r="BE502" s="2867"/>
      <c r="BF502" s="2867"/>
      <c r="BG502" s="2867"/>
      <c r="BH502" s="2867"/>
      <c r="BI502" s="2867"/>
      <c r="BJ502" s="2867"/>
      <c r="BK502" s="2867"/>
      <c r="BL502" s="2867"/>
      <c r="BM502" s="2867"/>
      <c r="BN502" s="2867"/>
      <c r="BO502" s="2867"/>
      <c r="BP502" s="2867"/>
      <c r="BQ502" s="2867"/>
      <c r="BR502" s="2867"/>
      <c r="BS502" s="2867"/>
      <c r="BT502" s="2867"/>
      <c r="BU502" s="2867"/>
      <c r="BV502" s="2867"/>
      <c r="BW502" s="2867"/>
      <c r="BX502" s="2867"/>
      <c r="BY502" s="2867"/>
      <c r="BZ502" s="2867"/>
      <c r="CA502" s="2867"/>
      <c r="CB502" s="2867"/>
      <c r="CC502" s="2867"/>
      <c r="CD502" s="2867"/>
      <c r="CE502" s="2867"/>
      <c r="CF502" s="2867"/>
      <c r="CG502" s="2867"/>
      <c r="CH502" s="2867"/>
      <c r="CI502" s="2867"/>
      <c r="CJ502" s="2867"/>
      <c r="CK502" s="2867"/>
      <c r="CL502" s="2867"/>
      <c r="CM502" s="2867"/>
      <c r="CN502" s="2867"/>
      <c r="CO502" s="2867"/>
      <c r="CP502" s="2867"/>
      <c r="CQ502" s="2867"/>
      <c r="CR502" s="2867"/>
      <c r="CS502" s="2867"/>
      <c r="CT502" s="2867"/>
      <c r="CU502" s="2867"/>
      <c r="CV502" s="2867"/>
      <c r="CW502" s="2867"/>
    </row>
    <row r="503" spans="1:101">
      <c r="A503" s="2867"/>
      <c r="B503" s="2867"/>
      <c r="C503" s="2867"/>
      <c r="D503" s="2867"/>
      <c r="E503" s="2867"/>
      <c r="F503" s="2867"/>
      <c r="G503" s="2867"/>
      <c r="H503" s="2867"/>
      <c r="I503" s="2867"/>
      <c r="J503" s="2867"/>
      <c r="K503" s="2867"/>
      <c r="L503" s="2867"/>
      <c r="M503" s="2867"/>
      <c r="O503" s="2867"/>
      <c r="P503" s="2867"/>
      <c r="Q503" s="2867"/>
      <c r="R503" s="2867"/>
      <c r="S503" s="2867"/>
      <c r="T503" s="2867"/>
      <c r="U503" s="2867"/>
      <c r="V503" s="2867"/>
      <c r="W503" s="2867"/>
      <c r="X503" s="2867"/>
      <c r="Y503" s="2867"/>
      <c r="Z503" s="2867"/>
      <c r="AA503" s="2867"/>
      <c r="AB503" s="2867"/>
      <c r="AC503" s="2867"/>
      <c r="AD503" s="2867"/>
      <c r="AE503" s="2867"/>
      <c r="AF503" s="2867"/>
      <c r="AG503" s="2867"/>
      <c r="AH503" s="2867"/>
      <c r="AI503" s="2867"/>
      <c r="AJ503" s="2867"/>
      <c r="AK503" s="2867"/>
      <c r="AL503" s="2867"/>
      <c r="AM503" s="2867"/>
      <c r="AN503" s="2867"/>
      <c r="AO503" s="2867"/>
      <c r="AP503" s="2867"/>
      <c r="AQ503" s="2867"/>
      <c r="AR503" s="2867"/>
      <c r="AS503" s="2867"/>
      <c r="AT503" s="2867"/>
      <c r="AU503" s="2867"/>
      <c r="AV503" s="2867"/>
      <c r="AW503" s="2867"/>
      <c r="AX503" s="2867"/>
      <c r="AY503" s="2867"/>
      <c r="AZ503" s="2867"/>
      <c r="BA503" s="2867"/>
      <c r="BB503" s="2867"/>
      <c r="BC503" s="2867"/>
      <c r="BD503" s="2867"/>
      <c r="BE503" s="2867"/>
      <c r="BF503" s="2867"/>
      <c r="BG503" s="2867"/>
      <c r="BH503" s="2867"/>
      <c r="BI503" s="2867"/>
      <c r="BJ503" s="2867"/>
      <c r="BK503" s="2867"/>
      <c r="BL503" s="2867"/>
      <c r="BM503" s="2867"/>
      <c r="BN503" s="2867"/>
      <c r="BO503" s="2867"/>
      <c r="BP503" s="2867"/>
      <c r="BQ503" s="2867"/>
      <c r="BR503" s="2867"/>
      <c r="BS503" s="2867"/>
      <c r="BT503" s="2867"/>
      <c r="BU503" s="2867"/>
      <c r="BV503" s="2867"/>
      <c r="BW503" s="2867"/>
      <c r="BX503" s="2867"/>
      <c r="BY503" s="2867"/>
      <c r="BZ503" s="2867"/>
      <c r="CA503" s="2867"/>
      <c r="CB503" s="2867"/>
      <c r="CC503" s="2867"/>
      <c r="CD503" s="2867"/>
      <c r="CE503" s="2867"/>
      <c r="CF503" s="2867"/>
      <c r="CG503" s="2867"/>
      <c r="CH503" s="2867"/>
      <c r="CI503" s="2867"/>
      <c r="CJ503" s="2867"/>
      <c r="CK503" s="2867"/>
      <c r="CL503" s="2867"/>
      <c r="CM503" s="2867"/>
      <c r="CN503" s="2867"/>
      <c r="CO503" s="2867"/>
      <c r="CP503" s="2867"/>
      <c r="CQ503" s="2867"/>
      <c r="CR503" s="2867"/>
      <c r="CS503" s="2867"/>
      <c r="CT503" s="2867"/>
      <c r="CU503" s="2867"/>
      <c r="CV503" s="2867"/>
      <c r="CW503" s="2867"/>
    </row>
    <row r="504" spans="1:101">
      <c r="A504" s="2867"/>
      <c r="B504" s="2867"/>
      <c r="C504" s="2867"/>
      <c r="D504" s="2867"/>
      <c r="E504" s="2867"/>
      <c r="F504" s="2867"/>
      <c r="G504" s="2867"/>
      <c r="H504" s="2867"/>
      <c r="I504" s="2867"/>
      <c r="J504" s="2867"/>
      <c r="K504" s="2867"/>
      <c r="L504" s="2867"/>
      <c r="M504" s="2867"/>
      <c r="O504" s="2867"/>
      <c r="P504" s="2867"/>
      <c r="Q504" s="2867"/>
      <c r="R504" s="2867"/>
      <c r="S504" s="2867"/>
      <c r="T504" s="2867"/>
      <c r="U504" s="2867"/>
      <c r="V504" s="2867"/>
      <c r="W504" s="2867"/>
      <c r="X504" s="2867"/>
      <c r="Y504" s="2867"/>
      <c r="Z504" s="2867"/>
      <c r="AA504" s="2867"/>
      <c r="AB504" s="2867"/>
      <c r="AC504" s="2867"/>
      <c r="AD504" s="2867"/>
      <c r="AE504" s="2867"/>
      <c r="AF504" s="2867"/>
      <c r="AG504" s="2867"/>
      <c r="AH504" s="2867"/>
      <c r="AI504" s="2867"/>
      <c r="AJ504" s="2867"/>
      <c r="AK504" s="2867"/>
      <c r="AL504" s="2867"/>
      <c r="AM504" s="2867"/>
      <c r="AN504" s="2867"/>
      <c r="AO504" s="2867"/>
      <c r="AP504" s="2867"/>
      <c r="AQ504" s="2867"/>
      <c r="AR504" s="2867"/>
      <c r="AS504" s="2867"/>
      <c r="AT504" s="2867"/>
      <c r="AU504" s="2867"/>
      <c r="AV504" s="2867"/>
      <c r="AW504" s="2867"/>
      <c r="AX504" s="2867"/>
      <c r="AY504" s="2867"/>
      <c r="AZ504" s="2867"/>
      <c r="BA504" s="2867"/>
      <c r="BB504" s="2867"/>
      <c r="BC504" s="2867"/>
      <c r="BD504" s="2867"/>
      <c r="BE504" s="2867"/>
      <c r="BF504" s="2867"/>
      <c r="BG504" s="2867"/>
      <c r="BH504" s="2867"/>
      <c r="BI504" s="2867"/>
      <c r="BJ504" s="2867"/>
      <c r="BK504" s="2867"/>
      <c r="BL504" s="2867"/>
      <c r="BM504" s="2867"/>
      <c r="BN504" s="2867"/>
      <c r="BO504" s="2867"/>
      <c r="BP504" s="2867"/>
      <c r="BQ504" s="2867"/>
      <c r="BR504" s="2867"/>
      <c r="BS504" s="2867"/>
      <c r="BT504" s="2867"/>
      <c r="BU504" s="2867"/>
      <c r="BV504" s="2867"/>
      <c r="BW504" s="2867"/>
      <c r="BX504" s="2867"/>
      <c r="BY504" s="2867"/>
      <c r="BZ504" s="2867"/>
      <c r="CA504" s="2867"/>
      <c r="CB504" s="2867"/>
      <c r="CC504" s="2867"/>
      <c r="CD504" s="2867"/>
      <c r="CE504" s="2867"/>
      <c r="CF504" s="2867"/>
      <c r="CG504" s="2867"/>
      <c r="CH504" s="2867"/>
      <c r="CI504" s="2867"/>
      <c r="CJ504" s="2867"/>
      <c r="CK504" s="2867"/>
      <c r="CL504" s="2867"/>
      <c r="CM504" s="2867"/>
      <c r="CN504" s="2867"/>
      <c r="CO504" s="2867"/>
      <c r="CP504" s="2867"/>
      <c r="CQ504" s="2867"/>
      <c r="CR504" s="2867"/>
      <c r="CS504" s="2867"/>
      <c r="CT504" s="2867"/>
      <c r="CU504" s="2867"/>
      <c r="CV504" s="2867"/>
      <c r="CW504" s="2867"/>
    </row>
    <row r="505" spans="1:101">
      <c r="A505" s="2867"/>
      <c r="B505" s="2867"/>
      <c r="C505" s="2867"/>
      <c r="D505" s="2867"/>
      <c r="E505" s="2867"/>
      <c r="F505" s="2867"/>
      <c r="G505" s="2867"/>
      <c r="H505" s="2867"/>
      <c r="I505" s="2867"/>
      <c r="J505" s="2867"/>
      <c r="K505" s="2867"/>
      <c r="L505" s="2867"/>
      <c r="M505" s="2867"/>
      <c r="O505" s="2867"/>
      <c r="P505" s="2867"/>
      <c r="Q505" s="2867"/>
      <c r="R505" s="2867"/>
      <c r="S505" s="2867"/>
      <c r="T505" s="2867"/>
      <c r="U505" s="2867"/>
      <c r="V505" s="2867"/>
      <c r="W505" s="2867"/>
      <c r="X505" s="2867"/>
      <c r="Y505" s="2867"/>
      <c r="Z505" s="2867"/>
      <c r="AA505" s="2867"/>
      <c r="AB505" s="2867"/>
      <c r="AC505" s="2867"/>
      <c r="AD505" s="2867"/>
      <c r="AE505" s="2867"/>
      <c r="AF505" s="2867"/>
      <c r="AG505" s="2867"/>
      <c r="AH505" s="2867"/>
      <c r="AI505" s="2867"/>
      <c r="AJ505" s="2867"/>
      <c r="AK505" s="2867"/>
      <c r="AL505" s="2867"/>
      <c r="AM505" s="2867"/>
      <c r="AN505" s="2867"/>
      <c r="AO505" s="2867"/>
      <c r="AP505" s="2867"/>
      <c r="AQ505" s="2867"/>
      <c r="AR505" s="2867"/>
      <c r="AS505" s="2867"/>
      <c r="AT505" s="2867"/>
      <c r="AU505" s="2867"/>
      <c r="AV505" s="2867"/>
      <c r="AW505" s="2867"/>
      <c r="AX505" s="2867"/>
      <c r="AY505" s="2867"/>
      <c r="AZ505" s="2867"/>
      <c r="BA505" s="2867"/>
      <c r="BB505" s="2867"/>
      <c r="BC505" s="2867"/>
      <c r="BD505" s="2867"/>
      <c r="BE505" s="2867"/>
      <c r="BF505" s="2867"/>
      <c r="BG505" s="2867"/>
      <c r="BH505" s="2867"/>
      <c r="BI505" s="2867"/>
      <c r="BJ505" s="2867"/>
      <c r="BK505" s="2867"/>
      <c r="BL505" s="2867"/>
      <c r="BM505" s="2867"/>
      <c r="BN505" s="2867"/>
      <c r="BO505" s="2867"/>
      <c r="BP505" s="2867"/>
      <c r="BQ505" s="2867"/>
      <c r="BR505" s="2867"/>
      <c r="BS505" s="2867"/>
      <c r="BT505" s="2867"/>
      <c r="BU505" s="2867"/>
      <c r="BV505" s="2867"/>
      <c r="BW505" s="2867"/>
      <c r="BX505" s="2867"/>
      <c r="BY505" s="2867"/>
      <c r="BZ505" s="2867"/>
      <c r="CA505" s="2867"/>
      <c r="CB505" s="2867"/>
      <c r="CC505" s="2867"/>
      <c r="CD505" s="2867"/>
      <c r="CE505" s="2867"/>
      <c r="CF505" s="2867"/>
      <c r="CG505" s="2867"/>
      <c r="CH505" s="2867"/>
      <c r="CI505" s="2867"/>
      <c r="CJ505" s="2867"/>
      <c r="CK505" s="2867"/>
      <c r="CL505" s="2867"/>
      <c r="CM505" s="2867"/>
      <c r="CN505" s="2867"/>
      <c r="CO505" s="2867"/>
      <c r="CP505" s="2867"/>
      <c r="CQ505" s="2867"/>
      <c r="CR505" s="2867"/>
      <c r="CS505" s="2867"/>
      <c r="CT505" s="2867"/>
      <c r="CU505" s="2867"/>
      <c r="CV505" s="2867"/>
      <c r="CW505" s="2867"/>
    </row>
    <row r="506" spans="1:101">
      <c r="A506" s="2867"/>
      <c r="B506" s="2867"/>
      <c r="C506" s="2867"/>
      <c r="D506" s="2867"/>
      <c r="E506" s="2867"/>
      <c r="F506" s="2867"/>
      <c r="G506" s="2867"/>
      <c r="H506" s="2867"/>
      <c r="I506" s="2867"/>
      <c r="J506" s="2867"/>
      <c r="K506" s="2867"/>
      <c r="L506" s="2867"/>
      <c r="M506" s="2867"/>
      <c r="O506" s="2867"/>
      <c r="P506" s="2867"/>
      <c r="Q506" s="2867"/>
      <c r="R506" s="2867"/>
      <c r="S506" s="2867"/>
      <c r="T506" s="2867"/>
      <c r="U506" s="2867"/>
      <c r="V506" s="2867"/>
      <c r="W506" s="2867"/>
      <c r="X506" s="2867"/>
      <c r="Y506" s="2867"/>
      <c r="Z506" s="2867"/>
      <c r="AA506" s="2867"/>
      <c r="AB506" s="2867"/>
      <c r="AC506" s="2867"/>
      <c r="AD506" s="2867"/>
      <c r="AE506" s="2867"/>
      <c r="AF506" s="2867"/>
      <c r="AG506" s="2867"/>
      <c r="AH506" s="2867"/>
      <c r="AI506" s="2867"/>
      <c r="AJ506" s="2867"/>
      <c r="AK506" s="2867"/>
      <c r="AL506" s="2867"/>
      <c r="AM506" s="2867"/>
      <c r="AN506" s="2867"/>
      <c r="AO506" s="2867"/>
      <c r="AP506" s="2867"/>
      <c r="AQ506" s="2867"/>
      <c r="AR506" s="2867"/>
      <c r="AS506" s="2867"/>
      <c r="AT506" s="2867"/>
      <c r="AU506" s="2867"/>
      <c r="AV506" s="2867"/>
      <c r="AW506" s="2867"/>
      <c r="AX506" s="2867"/>
      <c r="AY506" s="2867"/>
      <c r="AZ506" s="2867"/>
      <c r="BA506" s="2867"/>
      <c r="BB506" s="2867"/>
      <c r="BC506" s="2867"/>
      <c r="BD506" s="2867"/>
      <c r="BE506" s="2867"/>
      <c r="BF506" s="2867"/>
      <c r="BG506" s="2867"/>
      <c r="BH506" s="2867"/>
      <c r="BI506" s="2867"/>
      <c r="BJ506" s="2867"/>
      <c r="BK506" s="2867"/>
      <c r="BL506" s="2867"/>
      <c r="BM506" s="2867"/>
      <c r="BN506" s="2867"/>
      <c r="BO506" s="2867"/>
      <c r="BP506" s="2867"/>
      <c r="BQ506" s="2867"/>
      <c r="BR506" s="2867"/>
      <c r="BS506" s="2867"/>
      <c r="BT506" s="2867"/>
      <c r="BU506" s="2867"/>
      <c r="BV506" s="2867"/>
      <c r="BW506" s="2867"/>
      <c r="BX506" s="2867"/>
      <c r="BY506" s="2867"/>
      <c r="BZ506" s="2867"/>
      <c r="CA506" s="2867"/>
      <c r="CB506" s="2867"/>
      <c r="CC506" s="2867"/>
      <c r="CD506" s="2867"/>
      <c r="CE506" s="2867"/>
      <c r="CF506" s="2867"/>
      <c r="CG506" s="2867"/>
      <c r="CH506" s="2867"/>
      <c r="CI506" s="2867"/>
      <c r="CJ506" s="2867"/>
      <c r="CK506" s="2867"/>
      <c r="CL506" s="2867"/>
      <c r="CM506" s="2867"/>
      <c r="CN506" s="2867"/>
      <c r="CO506" s="2867"/>
      <c r="CP506" s="2867"/>
      <c r="CQ506" s="2867"/>
      <c r="CR506" s="2867"/>
      <c r="CS506" s="2867"/>
      <c r="CT506" s="2867"/>
      <c r="CU506" s="2867"/>
      <c r="CV506" s="2867"/>
      <c r="CW506" s="2867"/>
    </row>
    <row r="507" spans="1:101">
      <c r="A507" s="2867"/>
      <c r="B507" s="2867"/>
      <c r="C507" s="2867"/>
      <c r="D507" s="2867"/>
      <c r="E507" s="2867"/>
      <c r="F507" s="2867"/>
      <c r="G507" s="2867"/>
      <c r="H507" s="2867"/>
      <c r="I507" s="2867"/>
      <c r="J507" s="2867"/>
      <c r="K507" s="2867"/>
      <c r="L507" s="2867"/>
      <c r="M507" s="2867"/>
      <c r="O507" s="2867"/>
      <c r="P507" s="2867"/>
      <c r="Q507" s="2867"/>
      <c r="R507" s="2867"/>
      <c r="S507" s="2867"/>
      <c r="T507" s="2867"/>
      <c r="U507" s="2867"/>
      <c r="V507" s="2867"/>
      <c r="W507" s="2867"/>
      <c r="X507" s="2867"/>
      <c r="Y507" s="2867"/>
      <c r="Z507" s="2867"/>
      <c r="AA507" s="2867"/>
      <c r="AB507" s="2867"/>
      <c r="AC507" s="2867"/>
      <c r="AD507" s="2867"/>
      <c r="AE507" s="2867"/>
      <c r="AF507" s="2867"/>
      <c r="AG507" s="2867"/>
      <c r="AH507" s="2867"/>
      <c r="AI507" s="2867"/>
      <c r="AJ507" s="2867"/>
      <c r="AK507" s="2867"/>
      <c r="AL507" s="2867"/>
      <c r="AM507" s="2867"/>
      <c r="AN507" s="2867"/>
      <c r="AO507" s="2867"/>
      <c r="AP507" s="2867"/>
      <c r="AQ507" s="2867"/>
      <c r="AR507" s="2867"/>
      <c r="AS507" s="2867"/>
      <c r="AT507" s="2867"/>
      <c r="AU507" s="2867"/>
      <c r="AV507" s="2867"/>
      <c r="AW507" s="2867"/>
      <c r="AX507" s="2867"/>
      <c r="AY507" s="2867"/>
      <c r="AZ507" s="2867"/>
      <c r="BA507" s="2867"/>
      <c r="BB507" s="2867"/>
      <c r="BC507" s="2867"/>
      <c r="BD507" s="2867"/>
      <c r="BE507" s="2867"/>
      <c r="BF507" s="2867"/>
      <c r="BG507" s="2867"/>
      <c r="BH507" s="2867"/>
      <c r="BI507" s="2867"/>
      <c r="BJ507" s="2867"/>
      <c r="BK507" s="2867"/>
      <c r="BL507" s="2867"/>
      <c r="BM507" s="2867"/>
      <c r="BN507" s="2867"/>
      <c r="BO507" s="2867"/>
      <c r="BP507" s="2867"/>
      <c r="BQ507" s="2867"/>
      <c r="BR507" s="2867"/>
      <c r="BS507" s="2867"/>
      <c r="BT507" s="2867"/>
      <c r="BU507" s="2867"/>
      <c r="BV507" s="2867"/>
      <c r="BW507" s="2867"/>
      <c r="BX507" s="2867"/>
      <c r="BY507" s="2867"/>
      <c r="BZ507" s="2867"/>
      <c r="CA507" s="2867"/>
      <c r="CB507" s="2867"/>
      <c r="CC507" s="2867"/>
      <c r="CD507" s="2867"/>
      <c r="CE507" s="2867"/>
      <c r="CF507" s="2867"/>
      <c r="CG507" s="2867"/>
      <c r="CH507" s="2867"/>
      <c r="CI507" s="2867"/>
      <c r="CJ507" s="2867"/>
      <c r="CK507" s="2867"/>
      <c r="CL507" s="2867"/>
      <c r="CM507" s="2867"/>
      <c r="CN507" s="2867"/>
      <c r="CO507" s="2867"/>
      <c r="CP507" s="2867"/>
      <c r="CQ507" s="2867"/>
      <c r="CR507" s="2867"/>
      <c r="CS507" s="2867"/>
      <c r="CT507" s="2867"/>
      <c r="CU507" s="2867"/>
      <c r="CV507" s="2867"/>
      <c r="CW507" s="2867"/>
    </row>
    <row r="508" spans="1:101">
      <c r="A508" s="2867"/>
      <c r="B508" s="2867"/>
      <c r="C508" s="2867"/>
      <c r="D508" s="2867"/>
      <c r="E508" s="2867"/>
      <c r="F508" s="2867"/>
      <c r="G508" s="2867"/>
      <c r="H508" s="2867"/>
      <c r="I508" s="2867"/>
      <c r="J508" s="2867"/>
      <c r="K508" s="2867"/>
      <c r="L508" s="2867"/>
      <c r="M508" s="2867"/>
      <c r="O508" s="2867"/>
      <c r="P508" s="2867"/>
      <c r="Q508" s="2867"/>
      <c r="R508" s="2867"/>
      <c r="S508" s="2867"/>
      <c r="T508" s="2867"/>
      <c r="U508" s="2867"/>
      <c r="V508" s="2867"/>
      <c r="W508" s="2867"/>
      <c r="X508" s="2867"/>
      <c r="Y508" s="2867"/>
      <c r="Z508" s="2867"/>
      <c r="AA508" s="2867"/>
      <c r="AB508" s="2867"/>
      <c r="AC508" s="2867"/>
      <c r="AD508" s="2867"/>
      <c r="AE508" s="2867"/>
      <c r="AF508" s="2867"/>
      <c r="AG508" s="2867"/>
      <c r="AH508" s="2867"/>
      <c r="AI508" s="2867"/>
      <c r="AJ508" s="2867"/>
      <c r="AK508" s="2867"/>
      <c r="AL508" s="2867"/>
      <c r="AM508" s="2867"/>
      <c r="AN508" s="2867"/>
      <c r="AO508" s="2867"/>
      <c r="AP508" s="2867"/>
      <c r="AQ508" s="2867"/>
      <c r="AR508" s="2867"/>
      <c r="AS508" s="2867"/>
      <c r="AT508" s="2867"/>
      <c r="AU508" s="2867"/>
      <c r="AV508" s="2867"/>
      <c r="AW508" s="2867"/>
      <c r="AX508" s="2867"/>
      <c r="AY508" s="2867"/>
      <c r="AZ508" s="2867"/>
      <c r="BA508" s="2867"/>
      <c r="BB508" s="2867"/>
      <c r="BC508" s="2867"/>
      <c r="BD508" s="2867"/>
      <c r="BE508" s="2867"/>
      <c r="BF508" s="2867"/>
      <c r="BG508" s="2867"/>
      <c r="BH508" s="2867"/>
      <c r="BI508" s="2867"/>
      <c r="BJ508" s="2867"/>
      <c r="BK508" s="2867"/>
      <c r="BL508" s="2867"/>
      <c r="BM508" s="2867"/>
      <c r="BN508" s="2867"/>
      <c r="BO508" s="2867"/>
      <c r="BP508" s="2867"/>
      <c r="BQ508" s="2867"/>
      <c r="BR508" s="2867"/>
      <c r="BS508" s="2867"/>
      <c r="BT508" s="2867"/>
      <c r="BU508" s="2867"/>
      <c r="BV508" s="2867"/>
      <c r="BW508" s="2867"/>
      <c r="BX508" s="2867"/>
      <c r="BY508" s="2867"/>
      <c r="BZ508" s="2867"/>
      <c r="CA508" s="2867"/>
      <c r="CB508" s="2867"/>
      <c r="CC508" s="2867"/>
      <c r="CD508" s="2867"/>
      <c r="CE508" s="2867"/>
      <c r="CF508" s="2867"/>
      <c r="CG508" s="2867"/>
      <c r="CH508" s="2867"/>
      <c r="CI508" s="2867"/>
      <c r="CJ508" s="2867"/>
      <c r="CK508" s="2867"/>
      <c r="CL508" s="2867"/>
      <c r="CM508" s="2867"/>
      <c r="CN508" s="2867"/>
      <c r="CO508" s="2867"/>
      <c r="CP508" s="2867"/>
      <c r="CQ508" s="2867"/>
      <c r="CR508" s="2867"/>
      <c r="CS508" s="2867"/>
      <c r="CT508" s="2867"/>
      <c r="CU508" s="2867"/>
      <c r="CV508" s="2867"/>
      <c r="CW508" s="2867"/>
    </row>
    <row r="509" spans="1:101">
      <c r="A509" s="2867"/>
      <c r="B509" s="2867"/>
      <c r="C509" s="2867"/>
      <c r="D509" s="2867"/>
      <c r="E509" s="2867"/>
      <c r="F509" s="2867"/>
      <c r="G509" s="2867"/>
      <c r="H509" s="2867"/>
      <c r="I509" s="2867"/>
      <c r="J509" s="2867"/>
      <c r="K509" s="2867"/>
      <c r="L509" s="2867"/>
      <c r="M509" s="2867"/>
      <c r="O509" s="2867"/>
      <c r="P509" s="2867"/>
      <c r="Q509" s="2867"/>
      <c r="R509" s="2867"/>
      <c r="S509" s="2867"/>
      <c r="T509" s="2867"/>
      <c r="U509" s="2867"/>
      <c r="V509" s="2867"/>
      <c r="W509" s="2867"/>
      <c r="X509" s="2867"/>
      <c r="Y509" s="2867"/>
      <c r="Z509" s="2867"/>
      <c r="AA509" s="2867"/>
      <c r="AB509" s="2867"/>
      <c r="AC509" s="2867"/>
      <c r="AD509" s="2867"/>
      <c r="AE509" s="2867"/>
      <c r="AF509" s="2867"/>
      <c r="AG509" s="2867"/>
      <c r="AH509" s="2867"/>
      <c r="AI509" s="2867"/>
      <c r="AJ509" s="2867"/>
      <c r="AK509" s="2867"/>
      <c r="AL509" s="2867"/>
      <c r="AM509" s="2867"/>
      <c r="AN509" s="2867"/>
      <c r="AO509" s="2867"/>
      <c r="AP509" s="2867"/>
      <c r="AQ509" s="2867"/>
      <c r="AR509" s="2867"/>
      <c r="AS509" s="2867"/>
      <c r="AT509" s="2867"/>
      <c r="AU509" s="2867"/>
      <c r="AV509" s="2867"/>
      <c r="AW509" s="2867"/>
      <c r="AX509" s="2867"/>
      <c r="AY509" s="2867"/>
      <c r="AZ509" s="2867"/>
      <c r="BA509" s="2867"/>
      <c r="BB509" s="2867"/>
      <c r="BC509" s="2867"/>
      <c r="BD509" s="2867"/>
      <c r="BE509" s="2867"/>
      <c r="BF509" s="2867"/>
      <c r="BG509" s="2867"/>
      <c r="BH509" s="2867"/>
      <c r="BI509" s="2867"/>
      <c r="BJ509" s="2867"/>
      <c r="BK509" s="2867"/>
      <c r="BL509" s="2867"/>
      <c r="BM509" s="2867"/>
      <c r="BN509" s="2867"/>
      <c r="BO509" s="2867"/>
      <c r="BP509" s="2867"/>
      <c r="BQ509" s="2867"/>
      <c r="BR509" s="2867"/>
      <c r="BS509" s="2867"/>
      <c r="BT509" s="2867"/>
      <c r="BU509" s="2867"/>
      <c r="BV509" s="2867"/>
      <c r="BW509" s="2867"/>
      <c r="BX509" s="2867"/>
      <c r="BY509" s="2867"/>
      <c r="BZ509" s="2867"/>
      <c r="CA509" s="2867"/>
      <c r="CB509" s="2867"/>
      <c r="CC509" s="2867"/>
      <c r="CD509" s="2867"/>
      <c r="CE509" s="2867"/>
      <c r="CF509" s="2867"/>
      <c r="CG509" s="2867"/>
      <c r="CH509" s="2867"/>
      <c r="CI509" s="2867"/>
      <c r="CJ509" s="2867"/>
      <c r="CK509" s="2867"/>
      <c r="CL509" s="2867"/>
      <c r="CM509" s="2867"/>
      <c r="CN509" s="2867"/>
      <c r="CO509" s="2867"/>
      <c r="CP509" s="2867"/>
      <c r="CQ509" s="2867"/>
      <c r="CR509" s="2867"/>
      <c r="CS509" s="2867"/>
      <c r="CT509" s="2867"/>
      <c r="CU509" s="2867"/>
      <c r="CV509" s="2867"/>
      <c r="CW509" s="2867"/>
    </row>
    <row r="510" spans="1:101">
      <c r="A510" s="2867"/>
      <c r="B510" s="2867"/>
      <c r="C510" s="2867"/>
      <c r="D510" s="2867"/>
      <c r="E510" s="2867"/>
      <c r="F510" s="2867"/>
      <c r="G510" s="2867"/>
      <c r="H510" s="2867"/>
      <c r="I510" s="2867"/>
      <c r="J510" s="2867"/>
      <c r="K510" s="2867"/>
      <c r="L510" s="2867"/>
      <c r="M510" s="2867"/>
      <c r="O510" s="2867"/>
      <c r="P510" s="2867"/>
      <c r="Q510" s="2867"/>
      <c r="R510" s="2867"/>
      <c r="S510" s="2867"/>
      <c r="T510" s="2867"/>
      <c r="U510" s="2867"/>
      <c r="V510" s="2867"/>
      <c r="W510" s="2867"/>
      <c r="X510" s="2867"/>
      <c r="Y510" s="2867"/>
      <c r="Z510" s="2867"/>
      <c r="AA510" s="2867"/>
      <c r="AB510" s="2867"/>
      <c r="AC510" s="2867"/>
      <c r="AD510" s="2867"/>
      <c r="AE510" s="2867"/>
      <c r="AF510" s="2867"/>
      <c r="AG510" s="2867"/>
      <c r="AH510" s="2867"/>
      <c r="AI510" s="2867"/>
      <c r="AJ510" s="2867"/>
      <c r="AK510" s="2867"/>
      <c r="AL510" s="2867"/>
      <c r="AM510" s="2867"/>
      <c r="AN510" s="2867"/>
      <c r="AO510" s="2867"/>
      <c r="AP510" s="2867"/>
      <c r="AQ510" s="2867"/>
      <c r="AR510" s="2867"/>
      <c r="AS510" s="2867"/>
      <c r="AT510" s="2867"/>
      <c r="AU510" s="2867"/>
      <c r="AV510" s="2867"/>
      <c r="AW510" s="2867"/>
      <c r="AX510" s="2867"/>
      <c r="AY510" s="2867"/>
      <c r="AZ510" s="2867"/>
      <c r="BA510" s="2867"/>
      <c r="BB510" s="2867"/>
      <c r="BC510" s="2867"/>
      <c r="BD510" s="2867"/>
      <c r="BE510" s="2867"/>
      <c r="BF510" s="2867"/>
      <c r="BG510" s="2867"/>
      <c r="BH510" s="2867"/>
      <c r="BI510" s="2867"/>
      <c r="BJ510" s="2867"/>
      <c r="BK510" s="2867"/>
      <c r="BL510" s="2867"/>
      <c r="BM510" s="2867"/>
      <c r="BN510" s="2867"/>
      <c r="BO510" s="2867"/>
      <c r="BP510" s="2867"/>
      <c r="BQ510" s="2867"/>
      <c r="BR510" s="2867"/>
      <c r="BS510" s="2867"/>
      <c r="BT510" s="2867"/>
      <c r="BU510" s="2867"/>
      <c r="BV510" s="2867"/>
      <c r="BW510" s="2867"/>
      <c r="BX510" s="2867"/>
      <c r="BY510" s="2867"/>
      <c r="BZ510" s="2867"/>
      <c r="CA510" s="2867"/>
      <c r="CB510" s="2867"/>
      <c r="CC510" s="2867"/>
      <c r="CD510" s="2867"/>
      <c r="CE510" s="2867"/>
      <c r="CF510" s="2867"/>
      <c r="CG510" s="2867"/>
      <c r="CH510" s="2867"/>
      <c r="CI510" s="2867"/>
      <c r="CJ510" s="2867"/>
      <c r="CK510" s="2867"/>
      <c r="CL510" s="2867"/>
      <c r="CM510" s="2867"/>
      <c r="CN510" s="2867"/>
      <c r="CO510" s="2867"/>
      <c r="CP510" s="2867"/>
      <c r="CQ510" s="2867"/>
      <c r="CR510" s="2867"/>
      <c r="CS510" s="2867"/>
      <c r="CT510" s="2867"/>
      <c r="CU510" s="2867"/>
      <c r="CV510" s="2867"/>
      <c r="CW510" s="2867"/>
    </row>
    <row r="511" spans="1:101">
      <c r="A511" s="2867"/>
      <c r="B511" s="2867"/>
      <c r="C511" s="2867"/>
      <c r="D511" s="2867"/>
      <c r="E511" s="2867"/>
      <c r="F511" s="2867"/>
      <c r="G511" s="2867"/>
      <c r="H511" s="2867"/>
      <c r="I511" s="2867"/>
      <c r="J511" s="2867"/>
      <c r="K511" s="2867"/>
      <c r="L511" s="2867"/>
      <c r="M511" s="2867"/>
      <c r="O511" s="2867"/>
      <c r="P511" s="2867"/>
      <c r="Q511" s="2867"/>
      <c r="R511" s="2867"/>
      <c r="S511" s="2867"/>
      <c r="T511" s="2867"/>
      <c r="U511" s="2867"/>
      <c r="V511" s="2867"/>
      <c r="W511" s="2867"/>
      <c r="X511" s="2867"/>
      <c r="Y511" s="2867"/>
      <c r="Z511" s="2867"/>
      <c r="AA511" s="2867"/>
      <c r="AB511" s="2867"/>
      <c r="AC511" s="2867"/>
      <c r="AD511" s="2867"/>
      <c r="AE511" s="2867"/>
      <c r="AF511" s="2867"/>
      <c r="AG511" s="2867"/>
      <c r="AH511" s="2867"/>
      <c r="AI511" s="2867"/>
      <c r="AJ511" s="2867"/>
      <c r="AK511" s="2867"/>
      <c r="AL511" s="2867"/>
      <c r="AM511" s="2867"/>
      <c r="AN511" s="2867"/>
      <c r="AO511" s="2867"/>
      <c r="AP511" s="2867"/>
      <c r="AQ511" s="2867"/>
      <c r="AR511" s="2867"/>
      <c r="AS511" s="2867"/>
      <c r="AT511" s="2867"/>
      <c r="AU511" s="2867"/>
      <c r="AV511" s="2867"/>
      <c r="AW511" s="2867"/>
      <c r="AX511" s="2867"/>
      <c r="AY511" s="2867"/>
      <c r="AZ511" s="2867"/>
      <c r="BA511" s="2867"/>
      <c r="BB511" s="2867"/>
      <c r="BC511" s="2867"/>
      <c r="BD511" s="2867"/>
      <c r="BE511" s="2867"/>
      <c r="BF511" s="2867"/>
      <c r="BG511" s="2867"/>
      <c r="BH511" s="2867"/>
      <c r="BI511" s="2867"/>
      <c r="BJ511" s="2867"/>
      <c r="BK511" s="2867"/>
      <c r="BL511" s="2867"/>
      <c r="BM511" s="2867"/>
      <c r="BN511" s="2867"/>
      <c r="BO511" s="2867"/>
      <c r="BP511" s="2867"/>
      <c r="BQ511" s="2867"/>
      <c r="BR511" s="2867"/>
      <c r="BS511" s="2867"/>
      <c r="BT511" s="2867"/>
      <c r="BU511" s="2867"/>
      <c r="BV511" s="2867"/>
      <c r="BW511" s="2867"/>
      <c r="BX511" s="2867"/>
      <c r="BY511" s="2867"/>
      <c r="BZ511" s="2867"/>
      <c r="CA511" s="2867"/>
      <c r="CB511" s="2867"/>
      <c r="CC511" s="2867"/>
      <c r="CD511" s="2867"/>
      <c r="CE511" s="2867"/>
      <c r="CF511" s="2867"/>
      <c r="CG511" s="2867"/>
      <c r="CH511" s="2867"/>
      <c r="CI511" s="2867"/>
      <c r="CJ511" s="2867"/>
      <c r="CK511" s="2867"/>
      <c r="CL511" s="2867"/>
      <c r="CM511" s="2867"/>
      <c r="CN511" s="2867"/>
      <c r="CO511" s="2867"/>
      <c r="CP511" s="2867"/>
      <c r="CQ511" s="2867"/>
      <c r="CR511" s="2867"/>
      <c r="CS511" s="2867"/>
      <c r="CT511" s="2867"/>
      <c r="CU511" s="2867"/>
      <c r="CV511" s="2867"/>
      <c r="CW511" s="2867"/>
    </row>
    <row r="512" spans="1:101">
      <c r="A512" s="2867"/>
      <c r="B512" s="2867"/>
      <c r="C512" s="2867"/>
      <c r="D512" s="2867"/>
      <c r="E512" s="2867"/>
      <c r="F512" s="2867"/>
      <c r="G512" s="2867"/>
      <c r="H512" s="2867"/>
      <c r="I512" s="2867"/>
      <c r="J512" s="2867"/>
      <c r="K512" s="2867"/>
      <c r="L512" s="2867"/>
      <c r="M512" s="2867"/>
      <c r="O512" s="2867"/>
      <c r="P512" s="2867"/>
      <c r="Q512" s="2867"/>
      <c r="R512" s="2867"/>
      <c r="S512" s="2867"/>
      <c r="T512" s="2867"/>
      <c r="U512" s="2867"/>
      <c r="V512" s="2867"/>
      <c r="W512" s="2867"/>
      <c r="X512" s="2867"/>
      <c r="Y512" s="2867"/>
      <c r="Z512" s="2867"/>
      <c r="AA512" s="2867"/>
      <c r="AB512" s="2867"/>
      <c r="AC512" s="2867"/>
      <c r="AD512" s="2867"/>
      <c r="AE512" s="2867"/>
      <c r="AF512" s="2867"/>
      <c r="AG512" s="2867"/>
      <c r="AH512" s="2867"/>
      <c r="AI512" s="2867"/>
      <c r="AJ512" s="2867"/>
      <c r="AK512" s="2867"/>
      <c r="AL512" s="2867"/>
      <c r="AM512" s="2867"/>
      <c r="AN512" s="2867"/>
      <c r="AO512" s="2867"/>
      <c r="AP512" s="2867"/>
      <c r="AQ512" s="2867"/>
      <c r="AR512" s="2867"/>
      <c r="AS512" s="2867"/>
      <c r="AT512" s="2867"/>
      <c r="AU512" s="2867"/>
      <c r="AV512" s="2867"/>
      <c r="AW512" s="2867"/>
      <c r="AX512" s="2867"/>
      <c r="AY512" s="2867"/>
      <c r="AZ512" s="2867"/>
      <c r="BA512" s="2867"/>
      <c r="BB512" s="2867"/>
      <c r="BC512" s="2867"/>
      <c r="BD512" s="2867"/>
      <c r="BE512" s="2867"/>
      <c r="BF512" s="2867"/>
      <c r="BG512" s="2867"/>
      <c r="BH512" s="2867"/>
      <c r="BI512" s="2867"/>
      <c r="BJ512" s="2867"/>
      <c r="BK512" s="2867"/>
      <c r="BL512" s="2867"/>
      <c r="BM512" s="2867"/>
      <c r="BN512" s="2867"/>
      <c r="BO512" s="2867"/>
      <c r="BP512" s="2867"/>
      <c r="BQ512" s="2867"/>
      <c r="BR512" s="2867"/>
      <c r="BS512" s="2867"/>
      <c r="BT512" s="2867"/>
      <c r="BU512" s="2867"/>
      <c r="BV512" s="2867"/>
      <c r="BW512" s="2867"/>
      <c r="BX512" s="2867"/>
      <c r="BY512" s="2867"/>
      <c r="BZ512" s="2867"/>
      <c r="CA512" s="2867"/>
      <c r="CB512" s="2867"/>
      <c r="CC512" s="2867"/>
      <c r="CD512" s="2867"/>
      <c r="CE512" s="2867"/>
      <c r="CF512" s="2867"/>
      <c r="CG512" s="2867"/>
      <c r="CH512" s="2867"/>
      <c r="CI512" s="2867"/>
      <c r="CJ512" s="2867"/>
      <c r="CK512" s="2867"/>
      <c r="CL512" s="2867"/>
      <c r="CM512" s="2867"/>
      <c r="CN512" s="2867"/>
      <c r="CO512" s="2867"/>
      <c r="CP512" s="2867"/>
      <c r="CQ512" s="2867"/>
      <c r="CR512" s="2867"/>
      <c r="CS512" s="2867"/>
      <c r="CT512" s="2867"/>
      <c r="CU512" s="2867"/>
      <c r="CV512" s="2867"/>
      <c r="CW512" s="2867"/>
    </row>
    <row r="513" spans="1:101">
      <c r="A513" s="2867"/>
      <c r="B513" s="2867"/>
      <c r="C513" s="2867"/>
      <c r="D513" s="2867"/>
      <c r="E513" s="2867"/>
      <c r="F513" s="2867"/>
      <c r="G513" s="2867"/>
      <c r="H513" s="2867"/>
      <c r="I513" s="2867"/>
      <c r="J513" s="2867"/>
      <c r="K513" s="2867"/>
      <c r="L513" s="2867"/>
      <c r="M513" s="2867"/>
      <c r="O513" s="2867"/>
      <c r="P513" s="2867"/>
      <c r="Q513" s="2867"/>
      <c r="R513" s="2867"/>
      <c r="S513" s="2867"/>
      <c r="T513" s="2867"/>
      <c r="U513" s="2867"/>
      <c r="V513" s="2867"/>
      <c r="W513" s="2867"/>
      <c r="X513" s="2867"/>
      <c r="Y513" s="2867"/>
      <c r="Z513" s="2867"/>
      <c r="AA513" s="2867"/>
      <c r="AB513" s="2867"/>
      <c r="AC513" s="2867"/>
      <c r="AD513" s="2867"/>
      <c r="AE513" s="2867"/>
      <c r="AF513" s="2867"/>
      <c r="AG513" s="2867"/>
      <c r="AH513" s="2867"/>
      <c r="AI513" s="2867"/>
      <c r="AJ513" s="2867"/>
      <c r="AK513" s="2867"/>
      <c r="AL513" s="2867"/>
      <c r="AM513" s="2867"/>
      <c r="AN513" s="2867"/>
      <c r="AO513" s="2867"/>
      <c r="AP513" s="2867"/>
      <c r="AQ513" s="2867"/>
      <c r="AR513" s="2867"/>
      <c r="AS513" s="2867"/>
      <c r="AT513" s="2867"/>
      <c r="AU513" s="2867"/>
      <c r="AV513" s="2867"/>
      <c r="AW513" s="2867"/>
      <c r="AX513" s="2867"/>
      <c r="AY513" s="2867"/>
      <c r="AZ513" s="2867"/>
      <c r="BA513" s="2867"/>
      <c r="BB513" s="2867"/>
      <c r="BC513" s="2867"/>
      <c r="BD513" s="2867"/>
      <c r="BE513" s="2867"/>
      <c r="BF513" s="2867"/>
      <c r="BG513" s="2867"/>
      <c r="BH513" s="2867"/>
      <c r="BI513" s="2867"/>
      <c r="BJ513" s="2867"/>
      <c r="BK513" s="2867"/>
      <c r="BL513" s="2867"/>
      <c r="BM513" s="2867"/>
      <c r="BN513" s="2867"/>
      <c r="BO513" s="2867"/>
      <c r="BP513" s="2867"/>
      <c r="BQ513" s="2867"/>
      <c r="BR513" s="2867"/>
      <c r="BS513" s="2867"/>
      <c r="BT513" s="2867"/>
      <c r="BU513" s="2867"/>
      <c r="BV513" s="2867"/>
      <c r="BW513" s="2867"/>
      <c r="BX513" s="2867"/>
      <c r="BY513" s="2867"/>
      <c r="BZ513" s="2867"/>
      <c r="CA513" s="2867"/>
      <c r="CB513" s="2867"/>
      <c r="CC513" s="2867"/>
      <c r="CD513" s="2867"/>
      <c r="CE513" s="2867"/>
      <c r="CF513" s="2867"/>
      <c r="CG513" s="2867"/>
      <c r="CH513" s="2867"/>
      <c r="CI513" s="2867"/>
      <c r="CJ513" s="2867"/>
      <c r="CK513" s="2867"/>
      <c r="CL513" s="2867"/>
      <c r="CM513" s="2867"/>
      <c r="CN513" s="2867"/>
      <c r="CO513" s="2867"/>
      <c r="CP513" s="2867"/>
      <c r="CQ513" s="2867"/>
      <c r="CR513" s="2867"/>
      <c r="CS513" s="2867"/>
      <c r="CT513" s="2867"/>
      <c r="CU513" s="2867"/>
      <c r="CV513" s="2867"/>
      <c r="CW513" s="2867"/>
    </row>
    <row r="514" spans="1:101">
      <c r="A514" s="2867"/>
      <c r="B514" s="2867"/>
      <c r="C514" s="2867"/>
      <c r="D514" s="2867"/>
      <c r="E514" s="2867"/>
      <c r="F514" s="2867"/>
      <c r="G514" s="2867"/>
      <c r="H514" s="2867"/>
      <c r="I514" s="2867"/>
      <c r="J514" s="2867"/>
      <c r="K514" s="2867"/>
      <c r="L514" s="2867"/>
      <c r="M514" s="2867"/>
      <c r="O514" s="2867"/>
      <c r="P514" s="2867"/>
      <c r="Q514" s="2867"/>
      <c r="R514" s="2867"/>
      <c r="S514" s="2867"/>
      <c r="T514" s="2867"/>
      <c r="U514" s="2867"/>
      <c r="V514" s="2867"/>
      <c r="W514" s="2867"/>
      <c r="X514" s="2867"/>
      <c r="Y514" s="2867"/>
      <c r="Z514" s="2867"/>
      <c r="AA514" s="2867"/>
      <c r="AB514" s="2867"/>
      <c r="AC514" s="2867"/>
      <c r="AD514" s="2867"/>
      <c r="AE514" s="2867"/>
      <c r="AF514" s="2867"/>
      <c r="AG514" s="2867"/>
      <c r="AH514" s="2867"/>
      <c r="AI514" s="2867"/>
      <c r="AJ514" s="2867"/>
      <c r="AK514" s="2867"/>
      <c r="AL514" s="2867"/>
      <c r="AM514" s="2867"/>
      <c r="AN514" s="2867"/>
      <c r="AO514" s="2867"/>
      <c r="AP514" s="2867"/>
      <c r="AQ514" s="2867"/>
      <c r="AR514" s="2867"/>
      <c r="AS514" s="2867"/>
      <c r="AT514" s="2867"/>
      <c r="AU514" s="2867"/>
      <c r="AV514" s="2867"/>
      <c r="AW514" s="2867"/>
      <c r="AX514" s="2867"/>
      <c r="AY514" s="2867"/>
      <c r="AZ514" s="2867"/>
      <c r="BA514" s="2867"/>
      <c r="BB514" s="2867"/>
      <c r="BC514" s="2867"/>
      <c r="BD514" s="2867"/>
      <c r="BE514" s="2867"/>
      <c r="BF514" s="2867"/>
      <c r="BG514" s="2867"/>
      <c r="BH514" s="2867"/>
      <c r="BI514" s="2867"/>
      <c r="BJ514" s="2867"/>
      <c r="BK514" s="2867"/>
      <c r="BL514" s="2867"/>
      <c r="BM514" s="2867"/>
      <c r="BN514" s="2867"/>
      <c r="BO514" s="2867"/>
      <c r="BP514" s="2867"/>
      <c r="BQ514" s="2867"/>
      <c r="BR514" s="2867"/>
      <c r="BS514" s="2867"/>
      <c r="BT514" s="2867"/>
      <c r="BU514" s="2867"/>
      <c r="BV514" s="2867"/>
      <c r="BW514" s="2867"/>
      <c r="BX514" s="2867"/>
      <c r="BY514" s="2867"/>
      <c r="BZ514" s="2867"/>
      <c r="CA514" s="2867"/>
      <c r="CB514" s="2867"/>
      <c r="CC514" s="2867"/>
      <c r="CD514" s="2867"/>
      <c r="CE514" s="2867"/>
      <c r="CF514" s="2867"/>
      <c r="CG514" s="2867"/>
      <c r="CH514" s="2867"/>
      <c r="CI514" s="2867"/>
      <c r="CJ514" s="2867"/>
      <c r="CK514" s="2867"/>
      <c r="CL514" s="2867"/>
      <c r="CM514" s="2867"/>
      <c r="CN514" s="2867"/>
      <c r="CO514" s="2867"/>
      <c r="CP514" s="2867"/>
      <c r="CQ514" s="2867"/>
      <c r="CR514" s="2867"/>
      <c r="CS514" s="2867"/>
      <c r="CT514" s="2867"/>
      <c r="CU514" s="2867"/>
      <c r="CV514" s="2867"/>
      <c r="CW514" s="2867"/>
    </row>
    <row r="515" spans="1:101">
      <c r="A515" s="2867"/>
      <c r="B515" s="2867"/>
      <c r="C515" s="2867"/>
      <c r="D515" s="2867"/>
      <c r="E515" s="2867"/>
      <c r="F515" s="2867"/>
      <c r="G515" s="2867"/>
      <c r="H515" s="2867"/>
      <c r="I515" s="2867"/>
      <c r="J515" s="2867"/>
      <c r="K515" s="2867"/>
      <c r="L515" s="2867"/>
      <c r="M515" s="2867"/>
      <c r="O515" s="2867"/>
      <c r="P515" s="2867"/>
      <c r="Q515" s="2867"/>
      <c r="R515" s="2867"/>
      <c r="S515" s="2867"/>
      <c r="T515" s="2867"/>
      <c r="U515" s="2867"/>
      <c r="V515" s="2867"/>
      <c r="W515" s="2867"/>
      <c r="X515" s="2867"/>
      <c r="Y515" s="2867"/>
      <c r="Z515" s="2867"/>
      <c r="AA515" s="2867"/>
      <c r="AB515" s="2867"/>
      <c r="AC515" s="2867"/>
      <c r="AD515" s="2867"/>
      <c r="AE515" s="2867"/>
      <c r="AF515" s="2867"/>
      <c r="AG515" s="2867"/>
      <c r="AH515" s="2867"/>
      <c r="AI515" s="2867"/>
      <c r="AJ515" s="2867"/>
      <c r="AK515" s="2867"/>
      <c r="AL515" s="2867"/>
      <c r="AM515" s="2867"/>
      <c r="AN515" s="2867"/>
      <c r="AO515" s="2867"/>
      <c r="AP515" s="2867"/>
      <c r="AQ515" s="2867"/>
      <c r="AR515" s="2867"/>
      <c r="AS515" s="2867"/>
      <c r="AT515" s="2867"/>
      <c r="AU515" s="2867"/>
      <c r="AV515" s="2867"/>
      <c r="AW515" s="2867"/>
      <c r="AX515" s="2867"/>
      <c r="AY515" s="2867"/>
      <c r="AZ515" s="2867"/>
      <c r="BA515" s="2867"/>
      <c r="BB515" s="2867"/>
      <c r="BC515" s="2867"/>
      <c r="BD515" s="2867"/>
      <c r="BE515" s="2867"/>
      <c r="BF515" s="2867"/>
      <c r="BG515" s="2867"/>
      <c r="BH515" s="2867"/>
      <c r="BI515" s="2867"/>
      <c r="BJ515" s="2867"/>
      <c r="BK515" s="2867"/>
      <c r="BL515" s="2867"/>
      <c r="BM515" s="2867"/>
      <c r="BN515" s="2867"/>
      <c r="BO515" s="2867"/>
      <c r="BP515" s="2867"/>
      <c r="BQ515" s="2867"/>
      <c r="BR515" s="2867"/>
      <c r="BS515" s="2867"/>
      <c r="BT515" s="2867"/>
      <c r="BU515" s="2867"/>
      <c r="BV515" s="2867"/>
      <c r="BW515" s="2867"/>
      <c r="BX515" s="2867"/>
      <c r="BY515" s="2867"/>
      <c r="BZ515" s="2867"/>
      <c r="CA515" s="2867"/>
      <c r="CB515" s="2867"/>
      <c r="CC515" s="2867"/>
      <c r="CD515" s="2867"/>
      <c r="CE515" s="2867"/>
      <c r="CF515" s="2867"/>
      <c r="CG515" s="2867"/>
      <c r="CH515" s="2867"/>
      <c r="CI515" s="2867"/>
      <c r="CJ515" s="2867"/>
      <c r="CK515" s="2867"/>
      <c r="CL515" s="2867"/>
      <c r="CM515" s="2867"/>
      <c r="CN515" s="2867"/>
      <c r="CO515" s="2867"/>
      <c r="CP515" s="2867"/>
      <c r="CQ515" s="2867"/>
      <c r="CR515" s="2867"/>
      <c r="CS515" s="2867"/>
      <c r="CT515" s="2867"/>
      <c r="CU515" s="2867"/>
      <c r="CV515" s="2867"/>
      <c r="CW515" s="2867"/>
    </row>
    <row r="516" spans="1:101">
      <c r="A516" s="2867"/>
      <c r="B516" s="2867"/>
      <c r="C516" s="2867"/>
      <c r="D516" s="2867"/>
      <c r="E516" s="2867"/>
      <c r="F516" s="2867"/>
      <c r="G516" s="2867"/>
      <c r="H516" s="2867"/>
      <c r="I516" s="2867"/>
      <c r="J516" s="2867"/>
      <c r="K516" s="2867"/>
      <c r="L516" s="2867"/>
      <c r="M516" s="2867"/>
      <c r="O516" s="2867"/>
      <c r="P516" s="2867"/>
      <c r="Q516" s="2867"/>
      <c r="R516" s="2867"/>
      <c r="S516" s="2867"/>
      <c r="T516" s="2867"/>
      <c r="U516" s="2867"/>
      <c r="V516" s="2867"/>
      <c r="W516" s="2867"/>
      <c r="X516" s="2867"/>
      <c r="Y516" s="2867"/>
      <c r="Z516" s="2867"/>
      <c r="AA516" s="2867"/>
      <c r="AB516" s="2867"/>
      <c r="AC516" s="2867"/>
      <c r="AD516" s="2867"/>
      <c r="AE516" s="2867"/>
      <c r="AF516" s="2867"/>
      <c r="AG516" s="2867"/>
      <c r="AH516" s="2867"/>
      <c r="AI516" s="2867"/>
      <c r="AJ516" s="2867"/>
      <c r="AK516" s="2867"/>
      <c r="AL516" s="2867"/>
      <c r="AM516" s="2867"/>
      <c r="AN516" s="2867"/>
      <c r="AO516" s="2867"/>
      <c r="AP516" s="2867"/>
      <c r="AQ516" s="2867"/>
      <c r="AR516" s="2867"/>
      <c r="AS516" s="2867"/>
      <c r="AT516" s="2867"/>
      <c r="AU516" s="2867"/>
      <c r="AV516" s="2867"/>
      <c r="AW516" s="2867"/>
      <c r="AX516" s="2867"/>
      <c r="AY516" s="2867"/>
      <c r="AZ516" s="2867"/>
      <c r="BA516" s="2867"/>
      <c r="BB516" s="2867"/>
      <c r="BC516" s="2867"/>
      <c r="BD516" s="2867"/>
      <c r="BE516" s="2867"/>
      <c r="BF516" s="2867"/>
      <c r="BG516" s="2867"/>
      <c r="BH516" s="2867"/>
      <c r="BI516" s="2867"/>
      <c r="BJ516" s="2867"/>
      <c r="BK516" s="2867"/>
      <c r="BL516" s="2867"/>
      <c r="BM516" s="2867"/>
      <c r="BN516" s="2867"/>
      <c r="BO516" s="2867"/>
      <c r="BP516" s="2867"/>
      <c r="BQ516" s="2867"/>
      <c r="BR516" s="2867"/>
      <c r="BS516" s="2867"/>
      <c r="BT516" s="2867"/>
      <c r="BU516" s="2867"/>
      <c r="BV516" s="2867"/>
      <c r="BW516" s="2867"/>
      <c r="BX516" s="2867"/>
      <c r="BY516" s="2867"/>
      <c r="BZ516" s="2867"/>
      <c r="CA516" s="2867"/>
      <c r="CB516" s="2867"/>
      <c r="CC516" s="2867"/>
      <c r="CD516" s="2867"/>
      <c r="CE516" s="2867"/>
      <c r="CF516" s="2867"/>
      <c r="CG516" s="2867"/>
      <c r="CH516" s="2867"/>
      <c r="CI516" s="2867"/>
      <c r="CJ516" s="2867"/>
      <c r="CK516" s="2867"/>
      <c r="CL516" s="2867"/>
      <c r="CM516" s="2867"/>
      <c r="CN516" s="2867"/>
      <c r="CO516" s="2867"/>
      <c r="CP516" s="2867"/>
      <c r="CQ516" s="2867"/>
      <c r="CR516" s="2867"/>
      <c r="CS516" s="2867"/>
      <c r="CT516" s="2867"/>
      <c r="CU516" s="2867"/>
      <c r="CV516" s="2867"/>
      <c r="CW516" s="2867"/>
    </row>
    <row r="517" spans="1:101">
      <c r="A517" s="2867"/>
      <c r="B517" s="2867"/>
      <c r="C517" s="2867"/>
      <c r="D517" s="2867"/>
      <c r="E517" s="2867"/>
      <c r="F517" s="2867"/>
      <c r="G517" s="2867"/>
      <c r="H517" s="2867"/>
      <c r="I517" s="2867"/>
      <c r="J517" s="2867"/>
      <c r="K517" s="2867"/>
      <c r="L517" s="2867"/>
      <c r="M517" s="2867"/>
      <c r="O517" s="2867"/>
      <c r="P517" s="2867"/>
      <c r="Q517" s="2867"/>
      <c r="R517" s="2867"/>
      <c r="S517" s="2867"/>
      <c r="T517" s="2867"/>
      <c r="U517" s="2867"/>
      <c r="V517" s="2867"/>
      <c r="W517" s="2867"/>
      <c r="X517" s="2867"/>
      <c r="Y517" s="2867"/>
      <c r="Z517" s="2867"/>
      <c r="AA517" s="2867"/>
      <c r="AB517" s="2867"/>
      <c r="AC517" s="2867"/>
      <c r="AD517" s="2867"/>
      <c r="AE517" s="2867"/>
      <c r="AF517" s="2867"/>
      <c r="AG517" s="2867"/>
      <c r="AH517" s="2867"/>
      <c r="AI517" s="2867"/>
      <c r="AJ517" s="2867"/>
      <c r="AK517" s="2867"/>
      <c r="AL517" s="2867"/>
      <c r="AM517" s="2867"/>
      <c r="AN517" s="2867"/>
      <c r="AO517" s="2867"/>
      <c r="AP517" s="2867"/>
      <c r="AQ517" s="2867"/>
      <c r="AR517" s="2867"/>
      <c r="AS517" s="2867"/>
      <c r="AT517" s="2867"/>
      <c r="AU517" s="2867"/>
      <c r="AV517" s="2867"/>
      <c r="AW517" s="2867"/>
      <c r="AX517" s="2867"/>
      <c r="AY517" s="2867"/>
      <c r="AZ517" s="2867"/>
      <c r="BA517" s="2867"/>
      <c r="BB517" s="2867"/>
      <c r="BC517" s="2867"/>
      <c r="BD517" s="2867"/>
      <c r="BE517" s="2867"/>
      <c r="BF517" s="2867"/>
      <c r="BG517" s="2867"/>
      <c r="BH517" s="2867"/>
      <c r="BI517" s="2867"/>
      <c r="BJ517" s="2867"/>
      <c r="BK517" s="2867"/>
      <c r="BL517" s="2867"/>
      <c r="BM517" s="2867"/>
      <c r="BN517" s="2867"/>
      <c r="BO517" s="2867"/>
      <c r="BP517" s="2867"/>
      <c r="BQ517" s="2867"/>
      <c r="BR517" s="2867"/>
      <c r="BS517" s="2867"/>
      <c r="BT517" s="2867"/>
      <c r="BU517" s="2867"/>
      <c r="BV517" s="2867"/>
      <c r="BW517" s="2867"/>
      <c r="BX517" s="2867"/>
      <c r="BY517" s="2867"/>
      <c r="BZ517" s="2867"/>
      <c r="CA517" s="2867"/>
      <c r="CB517" s="2867"/>
      <c r="CC517" s="2867"/>
      <c r="CD517" s="2867"/>
      <c r="CE517" s="2867"/>
      <c r="CF517" s="2867"/>
      <c r="CG517" s="2867"/>
      <c r="CH517" s="2867"/>
      <c r="CI517" s="2867"/>
      <c r="CJ517" s="2867"/>
      <c r="CK517" s="2867"/>
      <c r="CL517" s="2867"/>
      <c r="CM517" s="2867"/>
      <c r="CN517" s="2867"/>
      <c r="CO517" s="2867"/>
      <c r="CP517" s="2867"/>
      <c r="CQ517" s="2867"/>
      <c r="CR517" s="2867"/>
      <c r="CS517" s="2867"/>
      <c r="CT517" s="2867"/>
      <c r="CU517" s="2867"/>
      <c r="CV517" s="2867"/>
      <c r="CW517" s="2867"/>
    </row>
    <row r="518" spans="1:101">
      <c r="A518" s="2867"/>
      <c r="B518" s="2867"/>
      <c r="C518" s="2867"/>
      <c r="D518" s="2867"/>
      <c r="E518" s="2867"/>
      <c r="F518" s="2867"/>
      <c r="G518" s="2867"/>
      <c r="H518" s="2867"/>
      <c r="I518" s="2867"/>
      <c r="J518" s="2867"/>
      <c r="K518" s="2867"/>
      <c r="L518" s="2867"/>
      <c r="M518" s="2867"/>
      <c r="O518" s="2867"/>
      <c r="P518" s="2867"/>
      <c r="Q518" s="2867"/>
      <c r="R518" s="2867"/>
      <c r="S518" s="2867"/>
      <c r="T518" s="2867"/>
      <c r="U518" s="2867"/>
      <c r="V518" s="2867"/>
      <c r="W518" s="2867"/>
      <c r="X518" s="2867"/>
      <c r="Y518" s="2867"/>
      <c r="Z518" s="2867"/>
      <c r="AA518" s="2867"/>
      <c r="AB518" s="2867"/>
      <c r="AC518" s="2867"/>
      <c r="AD518" s="2867"/>
      <c r="AE518" s="2867"/>
      <c r="AF518" s="2867"/>
      <c r="AG518" s="2867"/>
      <c r="AH518" s="2867"/>
      <c r="AI518" s="2867"/>
      <c r="AJ518" s="2867"/>
      <c r="AK518" s="2867"/>
      <c r="AL518" s="2867"/>
      <c r="AM518" s="2867"/>
      <c r="AN518" s="2867"/>
      <c r="AO518" s="2867"/>
      <c r="AP518" s="2867"/>
      <c r="AQ518" s="2867"/>
      <c r="AR518" s="2867"/>
      <c r="AS518" s="2867"/>
      <c r="AT518" s="2867"/>
      <c r="AU518" s="2867"/>
      <c r="AV518" s="2867"/>
      <c r="AW518" s="2867"/>
      <c r="AX518" s="2867"/>
      <c r="AY518" s="2867"/>
      <c r="AZ518" s="2867"/>
      <c r="BA518" s="2867"/>
      <c r="BB518" s="2867"/>
      <c r="BC518" s="2867"/>
      <c r="BD518" s="2867"/>
      <c r="BE518" s="2867"/>
      <c r="BF518" s="2867"/>
      <c r="BG518" s="2867"/>
      <c r="BH518" s="2867"/>
      <c r="BI518" s="2867"/>
      <c r="BJ518" s="2867"/>
      <c r="BK518" s="2867"/>
      <c r="BL518" s="2867"/>
      <c r="BM518" s="2867"/>
      <c r="BN518" s="2867"/>
      <c r="BO518" s="2867"/>
      <c r="BP518" s="2867"/>
      <c r="BQ518" s="2867"/>
      <c r="BR518" s="2867"/>
      <c r="BS518" s="2867"/>
      <c r="BT518" s="2867"/>
      <c r="BU518" s="2867"/>
      <c r="BV518" s="2867"/>
      <c r="BW518" s="2867"/>
      <c r="BX518" s="2867"/>
      <c r="BY518" s="2867"/>
      <c r="BZ518" s="2867"/>
      <c r="CA518" s="2867"/>
      <c r="CB518" s="2867"/>
      <c r="CC518" s="2867"/>
      <c r="CD518" s="2867"/>
      <c r="CE518" s="2867"/>
      <c r="CF518" s="2867"/>
      <c r="CG518" s="2867"/>
      <c r="CH518" s="2867"/>
      <c r="CI518" s="2867"/>
      <c r="CJ518" s="2867"/>
      <c r="CK518" s="2867"/>
      <c r="CL518" s="2867"/>
      <c r="CM518" s="2867"/>
      <c r="CN518" s="2867"/>
      <c r="CO518" s="2867"/>
      <c r="CP518" s="2867"/>
      <c r="CQ518" s="2867"/>
      <c r="CR518" s="2867"/>
      <c r="CS518" s="2867"/>
      <c r="CT518" s="2867"/>
      <c r="CU518" s="2867"/>
      <c r="CV518" s="2867"/>
      <c r="CW518" s="2867"/>
    </row>
    <row r="519" spans="1:101">
      <c r="A519" s="2867"/>
      <c r="B519" s="2867"/>
      <c r="C519" s="2867"/>
      <c r="D519" s="2867"/>
      <c r="E519" s="2867"/>
      <c r="F519" s="2867"/>
      <c r="G519" s="2867"/>
      <c r="H519" s="2867"/>
      <c r="I519" s="2867"/>
      <c r="J519" s="2867"/>
      <c r="K519" s="2867"/>
      <c r="L519" s="2867"/>
      <c r="M519" s="2867"/>
      <c r="O519" s="2867"/>
      <c r="P519" s="2867"/>
      <c r="Q519" s="2867"/>
      <c r="R519" s="2867"/>
      <c r="S519" s="2867"/>
      <c r="T519" s="2867"/>
      <c r="U519" s="2867"/>
      <c r="V519" s="2867"/>
      <c r="W519" s="2867"/>
      <c r="X519" s="2867"/>
      <c r="Y519" s="2867"/>
      <c r="Z519" s="2867"/>
      <c r="AA519" s="2867"/>
      <c r="AB519" s="2867"/>
      <c r="AC519" s="2867"/>
      <c r="AD519" s="2867"/>
      <c r="AE519" s="2867"/>
      <c r="AF519" s="2867"/>
      <c r="AG519" s="2867"/>
      <c r="AH519" s="2867"/>
      <c r="AI519" s="2867"/>
      <c r="AJ519" s="2867"/>
      <c r="AK519" s="2867"/>
      <c r="AL519" s="2867"/>
      <c r="AM519" s="2867"/>
      <c r="AN519" s="2867"/>
      <c r="AO519" s="2867"/>
      <c r="AP519" s="2867"/>
      <c r="AQ519" s="2867"/>
      <c r="AR519" s="2867"/>
      <c r="AS519" s="2867"/>
      <c r="AT519" s="2867"/>
      <c r="AU519" s="2867"/>
      <c r="AV519" s="2867"/>
      <c r="AW519" s="2867"/>
      <c r="AX519" s="2867"/>
      <c r="AY519" s="2867"/>
      <c r="AZ519" s="2867"/>
      <c r="BA519" s="2867"/>
      <c r="BB519" s="2867"/>
      <c r="BC519" s="2867"/>
      <c r="BD519" s="2867"/>
      <c r="BE519" s="2867"/>
      <c r="BF519" s="2867"/>
      <c r="BG519" s="2867"/>
      <c r="BH519" s="2867"/>
      <c r="BI519" s="2867"/>
      <c r="BJ519" s="2867"/>
      <c r="BK519" s="2867"/>
      <c r="BL519" s="2867"/>
      <c r="BM519" s="2867"/>
      <c r="BN519" s="2867"/>
      <c r="BO519" s="2867"/>
      <c r="BP519" s="2867"/>
      <c r="BQ519" s="2867"/>
      <c r="BR519" s="2867"/>
      <c r="BS519" s="2867"/>
      <c r="BT519" s="2867"/>
      <c r="BU519" s="2867"/>
      <c r="BV519" s="2867"/>
      <c r="BW519" s="2867"/>
      <c r="BX519" s="2867"/>
      <c r="BY519" s="2867"/>
      <c r="BZ519" s="2867"/>
      <c r="CA519" s="2867"/>
      <c r="CB519" s="2867"/>
      <c r="CC519" s="2867"/>
      <c r="CD519" s="2867"/>
      <c r="CE519" s="2867"/>
      <c r="CF519" s="2867"/>
      <c r="CG519" s="2867"/>
      <c r="CH519" s="2867"/>
      <c r="CI519" s="2867"/>
      <c r="CJ519" s="2867"/>
      <c r="CK519" s="2867"/>
      <c r="CL519" s="2867"/>
      <c r="CM519" s="2867"/>
      <c r="CN519" s="2867"/>
      <c r="CO519" s="2867"/>
      <c r="CP519" s="2867"/>
      <c r="CQ519" s="2867"/>
      <c r="CR519" s="2867"/>
      <c r="CS519" s="2867"/>
      <c r="CT519" s="2867"/>
      <c r="CU519" s="2867"/>
      <c r="CV519" s="2867"/>
      <c r="CW519" s="2867"/>
    </row>
    <row r="520" spans="1:101">
      <c r="A520" s="2867"/>
      <c r="B520" s="2867"/>
      <c r="C520" s="2867"/>
      <c r="D520" s="2867"/>
      <c r="E520" s="2867"/>
      <c r="F520" s="2867"/>
      <c r="G520" s="2867"/>
      <c r="H520" s="2867"/>
      <c r="I520" s="2867"/>
      <c r="J520" s="2867"/>
      <c r="K520" s="2867"/>
      <c r="L520" s="2867"/>
      <c r="M520" s="2867"/>
      <c r="O520" s="2867"/>
      <c r="P520" s="2867"/>
      <c r="Q520" s="2867"/>
      <c r="R520" s="2867"/>
      <c r="S520" s="2867"/>
      <c r="T520" s="2867"/>
      <c r="U520" s="2867"/>
      <c r="V520" s="2867"/>
      <c r="W520" s="2867"/>
      <c r="X520" s="2867"/>
      <c r="Y520" s="2867"/>
      <c r="Z520" s="2867"/>
      <c r="AA520" s="2867"/>
      <c r="AB520" s="2867"/>
      <c r="AC520" s="2867"/>
      <c r="AD520" s="2867"/>
      <c r="AE520" s="2867"/>
      <c r="AF520" s="2867"/>
      <c r="AG520" s="2867"/>
      <c r="AH520" s="2867"/>
      <c r="AI520" s="2867"/>
      <c r="AJ520" s="2867"/>
      <c r="AK520" s="2867"/>
      <c r="AL520" s="2867"/>
      <c r="AM520" s="2867"/>
      <c r="AN520" s="2867"/>
      <c r="AO520" s="2867"/>
      <c r="AP520" s="2867"/>
      <c r="AQ520" s="2867"/>
      <c r="AR520" s="2867"/>
      <c r="AS520" s="2867"/>
      <c r="AT520" s="2867"/>
      <c r="AU520" s="2867"/>
      <c r="AV520" s="2867"/>
      <c r="AW520" s="2867"/>
      <c r="AX520" s="2867"/>
      <c r="AY520" s="2867"/>
      <c r="AZ520" s="2867"/>
      <c r="BA520" s="2867"/>
      <c r="BB520" s="2867"/>
      <c r="BC520" s="2867"/>
      <c r="BD520" s="2867"/>
      <c r="BE520" s="2867"/>
      <c r="BF520" s="2867"/>
      <c r="BG520" s="2867"/>
      <c r="BH520" s="2867"/>
      <c r="BI520" s="2867"/>
      <c r="BJ520" s="2867"/>
      <c r="BK520" s="2867"/>
      <c r="BL520" s="2867"/>
      <c r="BM520" s="2867"/>
      <c r="BN520" s="2867"/>
      <c r="BO520" s="2867"/>
      <c r="BP520" s="2867"/>
      <c r="BQ520" s="2867"/>
      <c r="BR520" s="2867"/>
      <c r="BS520" s="2867"/>
      <c r="BT520" s="2867"/>
      <c r="BU520" s="2867"/>
      <c r="BV520" s="2867"/>
      <c r="BW520" s="2867"/>
      <c r="BX520" s="2867"/>
      <c r="BY520" s="2867"/>
      <c r="BZ520" s="2867"/>
      <c r="CA520" s="2867"/>
      <c r="CB520" s="2867"/>
      <c r="CC520" s="2867"/>
      <c r="CD520" s="2867"/>
      <c r="CE520" s="2867"/>
      <c r="CF520" s="2867"/>
      <c r="CG520" s="2867"/>
      <c r="CH520" s="2867"/>
      <c r="CI520" s="2867"/>
      <c r="CJ520" s="2867"/>
      <c r="CK520" s="2867"/>
      <c r="CL520" s="2867"/>
      <c r="CM520" s="2867"/>
      <c r="CN520" s="2867"/>
      <c r="CO520" s="2867"/>
      <c r="CP520" s="2867"/>
      <c r="CQ520" s="2867"/>
      <c r="CR520" s="2867"/>
      <c r="CS520" s="2867"/>
      <c r="CT520" s="2867"/>
      <c r="CU520" s="2867"/>
      <c r="CV520" s="2867"/>
      <c r="CW520" s="2867"/>
    </row>
    <row r="521" spans="1:101">
      <c r="A521" s="2867"/>
      <c r="B521" s="2867"/>
      <c r="C521" s="2867"/>
      <c r="D521" s="2867"/>
      <c r="E521" s="2867"/>
      <c r="F521" s="2867"/>
      <c r="G521" s="2867"/>
      <c r="H521" s="2867"/>
      <c r="I521" s="2867"/>
      <c r="J521" s="2867"/>
      <c r="K521" s="2867"/>
      <c r="L521" s="2867"/>
      <c r="M521" s="2867"/>
      <c r="O521" s="2867"/>
      <c r="P521" s="2867"/>
      <c r="Q521" s="2867"/>
      <c r="R521" s="2867"/>
      <c r="S521" s="2867"/>
      <c r="T521" s="2867"/>
      <c r="U521" s="2867"/>
      <c r="V521" s="2867"/>
      <c r="W521" s="2867"/>
      <c r="X521" s="2867"/>
      <c r="Y521" s="2867"/>
      <c r="Z521" s="2867"/>
      <c r="AA521" s="2867"/>
      <c r="AB521" s="2867"/>
      <c r="AC521" s="2867"/>
      <c r="AD521" s="2867"/>
      <c r="AE521" s="2867"/>
      <c r="AF521" s="2867"/>
      <c r="AG521" s="2867"/>
      <c r="AH521" s="2867"/>
      <c r="AI521" s="2867"/>
      <c r="AJ521" s="2867"/>
      <c r="AK521" s="2867"/>
      <c r="AL521" s="2867"/>
      <c r="AM521" s="2867"/>
      <c r="AN521" s="2867"/>
      <c r="AO521" s="2867"/>
      <c r="AP521" s="2867"/>
      <c r="AQ521" s="2867"/>
      <c r="AR521" s="2867"/>
      <c r="AS521" s="2867"/>
      <c r="AT521" s="2867"/>
      <c r="AU521" s="2867"/>
      <c r="AV521" s="2867"/>
      <c r="AW521" s="2867"/>
      <c r="AX521" s="2867"/>
      <c r="AY521" s="2867"/>
      <c r="AZ521" s="2867"/>
      <c r="BA521" s="2867"/>
      <c r="BB521" s="2867"/>
      <c r="BC521" s="2867"/>
      <c r="BD521" s="2867"/>
      <c r="BE521" s="2867"/>
      <c r="BF521" s="2867"/>
      <c r="BG521" s="2867"/>
      <c r="BH521" s="2867"/>
      <c r="BI521" s="2867"/>
      <c r="BJ521" s="2867"/>
      <c r="BK521" s="2867"/>
      <c r="BL521" s="2867"/>
      <c r="BM521" s="2867"/>
      <c r="BN521" s="2867"/>
      <c r="BO521" s="2867"/>
      <c r="BP521" s="2867"/>
      <c r="BQ521" s="2867"/>
      <c r="BR521" s="2867"/>
      <c r="BS521" s="2867"/>
      <c r="BT521" s="2867"/>
      <c r="BU521" s="2867"/>
      <c r="BV521" s="2867"/>
      <c r="BW521" s="2867"/>
      <c r="BX521" s="2867"/>
      <c r="BY521" s="2867"/>
      <c r="BZ521" s="2867"/>
      <c r="CA521" s="2867"/>
      <c r="CB521" s="2867"/>
      <c r="CC521" s="2867"/>
      <c r="CD521" s="2867"/>
      <c r="CE521" s="2867"/>
      <c r="CF521" s="2867"/>
      <c r="CG521" s="2867"/>
      <c r="CH521" s="2867"/>
      <c r="CI521" s="2867"/>
      <c r="CJ521" s="2867"/>
      <c r="CK521" s="2867"/>
      <c r="CL521" s="2867"/>
      <c r="CM521" s="2867"/>
      <c r="CN521" s="2867"/>
      <c r="CO521" s="2867"/>
      <c r="CP521" s="2867"/>
      <c r="CQ521" s="2867"/>
      <c r="CR521" s="2867"/>
      <c r="CS521" s="2867"/>
      <c r="CT521" s="2867"/>
      <c r="CU521" s="2867"/>
      <c r="CV521" s="2867"/>
      <c r="CW521" s="2867"/>
    </row>
    <row r="522" spans="1:101">
      <c r="A522" s="2867"/>
      <c r="B522" s="2867"/>
      <c r="C522" s="2867"/>
      <c r="D522" s="2867"/>
      <c r="E522" s="2867"/>
      <c r="F522" s="2867"/>
      <c r="G522" s="2867"/>
      <c r="H522" s="2867"/>
      <c r="I522" s="2867"/>
      <c r="J522" s="2867"/>
      <c r="K522" s="2867"/>
      <c r="L522" s="2867"/>
      <c r="M522" s="2867"/>
      <c r="O522" s="2867"/>
      <c r="P522" s="2867"/>
      <c r="Q522" s="2867"/>
      <c r="R522" s="2867"/>
      <c r="S522" s="2867"/>
      <c r="T522" s="2867"/>
      <c r="U522" s="2867"/>
      <c r="V522" s="2867"/>
      <c r="W522" s="2867"/>
      <c r="X522" s="2867"/>
      <c r="Y522" s="2867"/>
      <c r="Z522" s="2867"/>
      <c r="AA522" s="2867"/>
      <c r="AB522" s="2867"/>
      <c r="AC522" s="2867"/>
      <c r="AD522" s="2867"/>
      <c r="AE522" s="2867"/>
      <c r="AF522" s="2867"/>
      <c r="AG522" s="2867"/>
      <c r="AH522" s="2867"/>
      <c r="AI522" s="2867"/>
      <c r="AJ522" s="2867"/>
      <c r="AK522" s="2867"/>
      <c r="AL522" s="2867"/>
      <c r="AM522" s="2867"/>
      <c r="AN522" s="2867"/>
      <c r="AO522" s="2867"/>
      <c r="AP522" s="2867"/>
      <c r="AQ522" s="2867"/>
      <c r="AR522" s="2867"/>
      <c r="AS522" s="2867"/>
      <c r="AT522" s="2867"/>
      <c r="AU522" s="2867"/>
      <c r="AV522" s="2867"/>
      <c r="AW522" s="2867"/>
      <c r="AX522" s="2867"/>
      <c r="AY522" s="2867"/>
      <c r="AZ522" s="2867"/>
      <c r="BA522" s="2867"/>
      <c r="BB522" s="2867"/>
      <c r="BC522" s="2867"/>
      <c r="BD522" s="2867"/>
      <c r="BE522" s="2867"/>
      <c r="BF522" s="2867"/>
      <c r="BG522" s="2867"/>
      <c r="BH522" s="2867"/>
      <c r="BI522" s="2867"/>
      <c r="BJ522" s="2867"/>
      <c r="BK522" s="2867"/>
      <c r="BL522" s="2867"/>
      <c r="BM522" s="2867"/>
      <c r="BN522" s="2867"/>
      <c r="BO522" s="2867"/>
      <c r="BP522" s="2867"/>
      <c r="BQ522" s="2867"/>
      <c r="BR522" s="2867"/>
      <c r="BS522" s="2867"/>
      <c r="BT522" s="2867"/>
      <c r="BU522" s="2867"/>
      <c r="BV522" s="2867"/>
      <c r="BW522" s="2867"/>
      <c r="BX522" s="2867"/>
      <c r="BY522" s="2867"/>
      <c r="BZ522" s="2867"/>
      <c r="CA522" s="2867"/>
      <c r="CB522" s="2867"/>
      <c r="CC522" s="2867"/>
      <c r="CD522" s="2867"/>
      <c r="CE522" s="2867"/>
      <c r="CF522" s="2867"/>
      <c r="CG522" s="2867"/>
      <c r="CH522" s="2867"/>
      <c r="CI522" s="2867"/>
      <c r="CJ522" s="2867"/>
      <c r="CK522" s="2867"/>
      <c r="CL522" s="2867"/>
      <c r="CM522" s="2867"/>
      <c r="CN522" s="2867"/>
      <c r="CO522" s="2867"/>
      <c r="CP522" s="2867"/>
      <c r="CQ522" s="2867"/>
      <c r="CR522" s="2867"/>
      <c r="CS522" s="2867"/>
      <c r="CT522" s="2867"/>
      <c r="CU522" s="2867"/>
      <c r="CV522" s="2867"/>
      <c r="CW522" s="2867"/>
    </row>
    <row r="523" spans="1:101">
      <c r="A523" s="2867"/>
      <c r="B523" s="2867"/>
      <c r="C523" s="2867"/>
      <c r="D523" s="2867"/>
      <c r="E523" s="2867"/>
      <c r="F523" s="2867"/>
      <c r="G523" s="2867"/>
      <c r="H523" s="2867"/>
      <c r="I523" s="2867"/>
      <c r="J523" s="2867"/>
      <c r="K523" s="2867"/>
      <c r="L523" s="2867"/>
      <c r="M523" s="2867"/>
      <c r="O523" s="2867"/>
      <c r="P523" s="2867"/>
      <c r="Q523" s="2867"/>
      <c r="R523" s="2867"/>
      <c r="S523" s="2867"/>
      <c r="T523" s="2867"/>
      <c r="U523" s="2867"/>
      <c r="V523" s="2867"/>
      <c r="W523" s="2867"/>
      <c r="X523" s="2867"/>
      <c r="Y523" s="2867"/>
      <c r="Z523" s="2867"/>
      <c r="AA523" s="2867"/>
      <c r="AB523" s="2867"/>
      <c r="AC523" s="2867"/>
      <c r="AD523" s="2867"/>
      <c r="AE523" s="2867"/>
      <c r="AF523" s="2867"/>
      <c r="AG523" s="2867"/>
      <c r="AH523" s="2867"/>
      <c r="AI523" s="2867"/>
      <c r="AJ523" s="2867"/>
      <c r="AK523" s="2867"/>
      <c r="AL523" s="2867"/>
      <c r="AM523" s="2867"/>
      <c r="AN523" s="2867"/>
      <c r="AO523" s="2867"/>
      <c r="AP523" s="2867"/>
      <c r="AQ523" s="2867"/>
      <c r="AR523" s="2867"/>
      <c r="AS523" s="2867"/>
      <c r="AT523" s="2867"/>
      <c r="AU523" s="2867"/>
      <c r="AV523" s="2867"/>
      <c r="AW523" s="2867"/>
      <c r="AX523" s="2867"/>
      <c r="AY523" s="2867"/>
      <c r="AZ523" s="2867"/>
      <c r="BA523" s="2867"/>
      <c r="BB523" s="2867"/>
      <c r="BC523" s="2867"/>
      <c r="BD523" s="2867"/>
      <c r="BE523" s="2867"/>
      <c r="BF523" s="2867"/>
      <c r="BG523" s="2867"/>
      <c r="BH523" s="2867"/>
      <c r="BI523" s="2867"/>
      <c r="BJ523" s="2867"/>
      <c r="BK523" s="2867"/>
      <c r="BL523" s="2867"/>
      <c r="BM523" s="2867"/>
      <c r="BN523" s="2867"/>
      <c r="BO523" s="2867"/>
      <c r="BP523" s="2867"/>
      <c r="BQ523" s="2867"/>
      <c r="BR523" s="2867"/>
      <c r="BS523" s="2867"/>
      <c r="BT523" s="2867"/>
      <c r="BU523" s="2867"/>
      <c r="BV523" s="2867"/>
      <c r="BW523" s="2867"/>
      <c r="BX523" s="2867"/>
      <c r="BY523" s="2867"/>
      <c r="BZ523" s="2867"/>
      <c r="CA523" s="2867"/>
      <c r="CB523" s="2867"/>
      <c r="CC523" s="2867"/>
      <c r="CD523" s="2867"/>
      <c r="CE523" s="2867"/>
      <c r="CF523" s="2867"/>
      <c r="CG523" s="2867"/>
      <c r="CH523" s="2867"/>
      <c r="CI523" s="2867"/>
      <c r="CJ523" s="2867"/>
      <c r="CK523" s="2867"/>
      <c r="CL523" s="2867"/>
      <c r="CM523" s="2867"/>
      <c r="CN523" s="2867"/>
      <c r="CO523" s="2867"/>
      <c r="CP523" s="2867"/>
      <c r="CQ523" s="2867"/>
      <c r="CR523" s="2867"/>
      <c r="CS523" s="2867"/>
      <c r="CT523" s="2867"/>
      <c r="CU523" s="2867"/>
      <c r="CV523" s="2867"/>
      <c r="CW523" s="2867"/>
    </row>
    <row r="524" spans="1:101">
      <c r="A524" s="2867"/>
      <c r="B524" s="2867"/>
      <c r="C524" s="2867"/>
      <c r="D524" s="2867"/>
      <c r="E524" s="2867"/>
      <c r="F524" s="2867"/>
      <c r="G524" s="2867"/>
      <c r="H524" s="2867"/>
      <c r="I524" s="2867"/>
      <c r="J524" s="2867"/>
      <c r="K524" s="2867"/>
      <c r="L524" s="2867"/>
      <c r="M524" s="2867"/>
      <c r="O524" s="2867"/>
      <c r="P524" s="2867"/>
      <c r="Q524" s="2867"/>
      <c r="R524" s="2867"/>
      <c r="S524" s="2867"/>
      <c r="T524" s="2867"/>
      <c r="U524" s="2867"/>
      <c r="V524" s="2867"/>
      <c r="W524" s="2867"/>
      <c r="X524" s="2867"/>
      <c r="Y524" s="2867"/>
      <c r="Z524" s="2867"/>
      <c r="AA524" s="2867"/>
      <c r="AB524" s="2867"/>
      <c r="AC524" s="2867"/>
      <c r="AD524" s="2867"/>
      <c r="AE524" s="2867"/>
      <c r="AF524" s="2867"/>
      <c r="AG524" s="2867"/>
      <c r="AH524" s="2867"/>
      <c r="AI524" s="2867"/>
      <c r="AJ524" s="2867"/>
      <c r="AK524" s="2867"/>
      <c r="AL524" s="2867"/>
      <c r="AM524" s="2867"/>
      <c r="AN524" s="2867"/>
      <c r="AO524" s="2867"/>
      <c r="AP524" s="2867"/>
      <c r="AQ524" s="2867"/>
      <c r="AR524" s="2867"/>
      <c r="AS524" s="2867"/>
      <c r="AT524" s="2867"/>
      <c r="AU524" s="2867"/>
      <c r="AV524" s="2867"/>
      <c r="AW524" s="2867"/>
      <c r="AX524" s="2867"/>
      <c r="AY524" s="2867"/>
      <c r="AZ524" s="2867"/>
      <c r="BA524" s="2867"/>
      <c r="BB524" s="2867"/>
      <c r="BC524" s="2867"/>
      <c r="BD524" s="2867"/>
      <c r="BE524" s="2867"/>
      <c r="BF524" s="2867"/>
      <c r="BG524" s="2867"/>
      <c r="BH524" s="2867"/>
      <c r="BI524" s="2867"/>
      <c r="BJ524" s="2867"/>
      <c r="BK524" s="2867"/>
      <c r="BL524" s="2867"/>
      <c r="BM524" s="2867"/>
      <c r="BN524" s="2867"/>
      <c r="BO524" s="2867"/>
      <c r="BP524" s="2867"/>
      <c r="BQ524" s="2867"/>
      <c r="BR524" s="2867"/>
      <c r="BS524" s="2867"/>
      <c r="BT524" s="2867"/>
      <c r="BU524" s="2867"/>
      <c r="BV524" s="2867"/>
      <c r="BW524" s="2867"/>
      <c r="BX524" s="2867"/>
      <c r="BY524" s="2867"/>
      <c r="BZ524" s="2867"/>
      <c r="CA524" s="2867"/>
      <c r="CB524" s="2867"/>
      <c r="CC524" s="2867"/>
      <c r="CD524" s="2867"/>
      <c r="CE524" s="2867"/>
      <c r="CF524" s="2867"/>
      <c r="CG524" s="2867"/>
      <c r="CH524" s="2867"/>
      <c r="CI524" s="2867"/>
      <c r="CJ524" s="2867"/>
      <c r="CK524" s="2867"/>
      <c r="CL524" s="2867"/>
      <c r="CM524" s="2867"/>
      <c r="CN524" s="2867"/>
      <c r="CO524" s="2867"/>
      <c r="CP524" s="2867"/>
      <c r="CQ524" s="2867"/>
      <c r="CR524" s="2867"/>
      <c r="CS524" s="2867"/>
      <c r="CT524" s="2867"/>
      <c r="CU524" s="2867"/>
      <c r="CV524" s="2867"/>
      <c r="CW524" s="2867"/>
    </row>
    <row r="525" spans="1:101">
      <c r="A525" s="2867"/>
      <c r="B525" s="2867"/>
      <c r="C525" s="2867"/>
      <c r="D525" s="2867"/>
      <c r="E525" s="2867"/>
      <c r="F525" s="2867"/>
      <c r="G525" s="2867"/>
      <c r="H525" s="2867"/>
      <c r="I525" s="2867"/>
      <c r="J525" s="2867"/>
      <c r="K525" s="2867"/>
      <c r="L525" s="2867"/>
      <c r="M525" s="2867"/>
      <c r="O525" s="2867"/>
      <c r="P525" s="2867"/>
      <c r="Q525" s="2867"/>
      <c r="R525" s="2867"/>
      <c r="S525" s="2867"/>
      <c r="T525" s="2867"/>
      <c r="U525" s="2867"/>
      <c r="V525" s="2867"/>
      <c r="W525" s="2867"/>
      <c r="X525" s="2867"/>
      <c r="Y525" s="2867"/>
      <c r="Z525" s="2867"/>
      <c r="AA525" s="2867"/>
      <c r="AB525" s="2867"/>
      <c r="AC525" s="2867"/>
      <c r="AD525" s="2867"/>
      <c r="AE525" s="2867"/>
      <c r="AF525" s="2867"/>
      <c r="AG525" s="2867"/>
      <c r="AH525" s="2867"/>
      <c r="AI525" s="2867"/>
      <c r="AJ525" s="2867"/>
      <c r="AK525" s="2867"/>
      <c r="AL525" s="2867"/>
      <c r="AM525" s="2867"/>
      <c r="AN525" s="2867"/>
      <c r="AO525" s="2867"/>
      <c r="AP525" s="2867"/>
      <c r="AQ525" s="2867"/>
      <c r="AR525" s="2867"/>
      <c r="AS525" s="2867"/>
      <c r="AT525" s="2867"/>
      <c r="AU525" s="2867"/>
      <c r="AV525" s="2867"/>
      <c r="AW525" s="2867"/>
      <c r="AX525" s="2867"/>
      <c r="AY525" s="2867"/>
      <c r="AZ525" s="2867"/>
      <c r="BA525" s="2867"/>
      <c r="BB525" s="2867"/>
      <c r="BC525" s="2867"/>
      <c r="BD525" s="2867"/>
      <c r="BE525" s="2867"/>
      <c r="BF525" s="2867"/>
      <c r="BG525" s="2867"/>
      <c r="BH525" s="2867"/>
      <c r="BI525" s="2867"/>
      <c r="BJ525" s="2867"/>
      <c r="BK525" s="2867"/>
      <c r="BL525" s="2867"/>
      <c r="BM525" s="2867"/>
      <c r="BN525" s="2867"/>
      <c r="BO525" s="2867"/>
      <c r="BP525" s="2867"/>
      <c r="BQ525" s="2867"/>
      <c r="BR525" s="2867"/>
      <c r="BS525" s="2867"/>
      <c r="BT525" s="2867"/>
      <c r="BU525" s="2867"/>
      <c r="BV525" s="2867"/>
      <c r="BW525" s="2867"/>
      <c r="BX525" s="2867"/>
      <c r="BY525" s="2867"/>
      <c r="BZ525" s="2867"/>
      <c r="CA525" s="2867"/>
      <c r="CB525" s="2867"/>
      <c r="CC525" s="2867"/>
      <c r="CD525" s="2867"/>
      <c r="CE525" s="2867"/>
      <c r="CF525" s="2867"/>
      <c r="CG525" s="2867"/>
      <c r="CH525" s="2867"/>
      <c r="CI525" s="2867"/>
      <c r="CJ525" s="2867"/>
      <c r="CK525" s="2867"/>
      <c r="CL525" s="2867"/>
      <c r="CM525" s="2867"/>
      <c r="CN525" s="2867"/>
      <c r="CO525" s="2867"/>
      <c r="CP525" s="2867"/>
      <c r="CQ525" s="2867"/>
      <c r="CR525" s="2867"/>
      <c r="CS525" s="2867"/>
      <c r="CT525" s="2867"/>
      <c r="CU525" s="2867"/>
      <c r="CV525" s="2867"/>
      <c r="CW525" s="2867"/>
    </row>
    <row r="526" spans="1:101">
      <c r="A526" s="2867"/>
      <c r="B526" s="2867"/>
      <c r="C526" s="2867"/>
      <c r="D526" s="2867"/>
      <c r="E526" s="2867"/>
      <c r="F526" s="2867"/>
      <c r="G526" s="2867"/>
      <c r="H526" s="2867"/>
      <c r="I526" s="2867"/>
      <c r="J526" s="2867"/>
      <c r="K526" s="2867"/>
      <c r="L526" s="2867"/>
      <c r="M526" s="2867"/>
      <c r="O526" s="2867"/>
      <c r="P526" s="2867"/>
      <c r="Q526" s="2867"/>
      <c r="R526" s="2867"/>
      <c r="S526" s="2867"/>
      <c r="T526" s="2867"/>
      <c r="U526" s="2867"/>
      <c r="V526" s="2867"/>
      <c r="W526" s="2867"/>
      <c r="X526" s="2867"/>
      <c r="Y526" s="2867"/>
      <c r="Z526" s="2867"/>
      <c r="AA526" s="2867"/>
      <c r="AB526" s="2867"/>
      <c r="AC526" s="2867"/>
      <c r="AD526" s="2867"/>
      <c r="AE526" s="2867"/>
      <c r="AF526" s="2867"/>
      <c r="AG526" s="2867"/>
      <c r="AH526" s="2867"/>
      <c r="AI526" s="2867"/>
      <c r="AJ526" s="2867"/>
      <c r="AK526" s="2867"/>
      <c r="AL526" s="2867"/>
      <c r="AM526" s="2867"/>
      <c r="AN526" s="2867"/>
      <c r="AO526" s="2867"/>
      <c r="AP526" s="2867"/>
      <c r="AQ526" s="2867"/>
      <c r="AR526" s="2867"/>
      <c r="AS526" s="2867"/>
      <c r="AT526" s="2867"/>
      <c r="AU526" s="2867"/>
      <c r="AV526" s="2867"/>
      <c r="AW526" s="2867"/>
      <c r="AX526" s="2867"/>
      <c r="AY526" s="2867"/>
      <c r="AZ526" s="2867"/>
      <c r="BA526" s="2867"/>
      <c r="BB526" s="2867"/>
      <c r="BC526" s="2867"/>
      <c r="BD526" s="2867"/>
      <c r="BE526" s="2867"/>
      <c r="BF526" s="2867"/>
      <c r="BG526" s="2867"/>
      <c r="BH526" s="2867"/>
      <c r="BI526" s="2867"/>
      <c r="BJ526" s="2867"/>
      <c r="BK526" s="2867"/>
      <c r="BL526" s="2867"/>
      <c r="BM526" s="2867"/>
      <c r="BN526" s="2867"/>
      <c r="BO526" s="2867"/>
      <c r="BP526" s="2867"/>
      <c r="BQ526" s="2867"/>
      <c r="BR526" s="2867"/>
      <c r="BS526" s="2867"/>
      <c r="BT526" s="2867"/>
      <c r="BU526" s="2867"/>
      <c r="BV526" s="2867"/>
      <c r="BW526" s="2867"/>
      <c r="BX526" s="2867"/>
      <c r="BY526" s="2867"/>
      <c r="BZ526" s="2867"/>
      <c r="CA526" s="2867"/>
      <c r="CB526" s="2867"/>
      <c r="CC526" s="2867"/>
      <c r="CD526" s="2867"/>
      <c r="CE526" s="2867"/>
      <c r="CF526" s="2867"/>
      <c r="CG526" s="2867"/>
      <c r="CH526" s="2867"/>
      <c r="CI526" s="2867"/>
      <c r="CJ526" s="2867"/>
      <c r="CK526" s="2867"/>
      <c r="CL526" s="2867"/>
      <c r="CM526" s="2867"/>
      <c r="CN526" s="2867"/>
      <c r="CO526" s="2867"/>
      <c r="CP526" s="2867"/>
      <c r="CQ526" s="2867"/>
      <c r="CR526" s="2867"/>
      <c r="CS526" s="2867"/>
      <c r="CT526" s="2867"/>
      <c r="CU526" s="2867"/>
      <c r="CV526" s="2867"/>
      <c r="CW526" s="2867"/>
    </row>
    <row r="527" spans="1:101">
      <c r="A527" s="2867"/>
      <c r="B527" s="2867"/>
      <c r="C527" s="2867"/>
      <c r="D527" s="2867"/>
      <c r="E527" s="2867"/>
      <c r="F527" s="2867"/>
      <c r="G527" s="2867"/>
      <c r="H527" s="2867"/>
      <c r="I527" s="2867"/>
      <c r="J527" s="2867"/>
      <c r="K527" s="2867"/>
      <c r="L527" s="2867"/>
      <c r="M527" s="2867"/>
      <c r="O527" s="2867"/>
      <c r="P527" s="2867"/>
      <c r="Q527" s="2867"/>
      <c r="R527" s="2867"/>
      <c r="S527" s="2867"/>
      <c r="T527" s="2867"/>
      <c r="U527" s="2867"/>
      <c r="V527" s="2867"/>
      <c r="W527" s="2867"/>
      <c r="X527" s="2867"/>
      <c r="Y527" s="2867"/>
      <c r="Z527" s="2867"/>
      <c r="AA527" s="2867"/>
      <c r="AB527" s="2867"/>
      <c r="AC527" s="2867"/>
      <c r="AD527" s="2867"/>
      <c r="AE527" s="2867"/>
      <c r="AF527" s="2867"/>
      <c r="AG527" s="2867"/>
      <c r="AH527" s="2867"/>
      <c r="AI527" s="2867"/>
      <c r="AJ527" s="2867"/>
      <c r="AK527" s="2867"/>
      <c r="AL527" s="2867"/>
      <c r="AM527" s="2867"/>
      <c r="AN527" s="2867"/>
      <c r="AO527" s="2867"/>
      <c r="AP527" s="2867"/>
      <c r="AQ527" s="2867"/>
      <c r="AR527" s="2867"/>
      <c r="AS527" s="2867"/>
      <c r="AT527" s="2867"/>
      <c r="AU527" s="2867"/>
      <c r="AV527" s="2867"/>
      <c r="AW527" s="2867"/>
      <c r="AX527" s="2867"/>
      <c r="AY527" s="2867"/>
      <c r="AZ527" s="2867"/>
      <c r="BA527" s="2867"/>
      <c r="BB527" s="2867"/>
      <c r="BC527" s="2867"/>
      <c r="BD527" s="2867"/>
      <c r="BE527" s="2867"/>
      <c r="BF527" s="2867"/>
      <c r="BG527" s="2867"/>
      <c r="BH527" s="2867"/>
      <c r="BI527" s="2867"/>
      <c r="BJ527" s="2867"/>
      <c r="BK527" s="2867"/>
      <c r="BL527" s="2867"/>
      <c r="BM527" s="2867"/>
      <c r="BN527" s="2867"/>
      <c r="BO527" s="2867"/>
      <c r="BP527" s="2867"/>
      <c r="BQ527" s="2867"/>
      <c r="BR527" s="2867"/>
      <c r="BS527" s="2867"/>
      <c r="BT527" s="2867"/>
      <c r="BU527" s="2867"/>
      <c r="BV527" s="2867"/>
      <c r="BW527" s="2867"/>
      <c r="BX527" s="2867"/>
      <c r="BY527" s="2867"/>
      <c r="BZ527" s="2867"/>
      <c r="CA527" s="2867"/>
      <c r="CB527" s="2867"/>
      <c r="CC527" s="2867"/>
      <c r="CD527" s="2867"/>
      <c r="CE527" s="2867"/>
      <c r="CF527" s="2867"/>
      <c r="CG527" s="2867"/>
      <c r="CH527" s="2867"/>
      <c r="CI527" s="2867"/>
      <c r="CJ527" s="2867"/>
      <c r="CK527" s="2867"/>
      <c r="CL527" s="2867"/>
      <c r="CM527" s="2867"/>
      <c r="CN527" s="2867"/>
      <c r="CO527" s="2867"/>
      <c r="CP527" s="2867"/>
      <c r="CQ527" s="2867"/>
      <c r="CR527" s="2867"/>
      <c r="CS527" s="2867"/>
      <c r="CT527" s="2867"/>
      <c r="CU527" s="2867"/>
      <c r="CV527" s="2867"/>
      <c r="CW527" s="2867"/>
    </row>
    <row r="528" spans="1:101">
      <c r="A528" s="2867"/>
      <c r="B528" s="2867"/>
      <c r="C528" s="2867"/>
      <c r="D528" s="2867"/>
      <c r="E528" s="2867"/>
      <c r="F528" s="2867"/>
      <c r="G528" s="2867"/>
      <c r="H528" s="2867"/>
      <c r="I528" s="2867"/>
      <c r="J528" s="2867"/>
      <c r="K528" s="2867"/>
      <c r="L528" s="2867"/>
      <c r="M528" s="2867"/>
      <c r="O528" s="2867"/>
      <c r="P528" s="2867"/>
      <c r="Q528" s="2867"/>
      <c r="R528" s="2867"/>
      <c r="S528" s="2867"/>
      <c r="T528" s="2867"/>
      <c r="U528" s="2867"/>
      <c r="V528" s="2867"/>
      <c r="W528" s="2867"/>
      <c r="X528" s="2867"/>
      <c r="Y528" s="2867"/>
      <c r="Z528" s="2867"/>
      <c r="AA528" s="2867"/>
      <c r="AB528" s="2867"/>
      <c r="AC528" s="2867"/>
      <c r="AD528" s="2867"/>
      <c r="AE528" s="2867"/>
      <c r="AF528" s="2867"/>
      <c r="AG528" s="2867"/>
      <c r="AH528" s="2867"/>
      <c r="AI528" s="2867"/>
      <c r="AJ528" s="2867"/>
      <c r="AK528" s="2867"/>
      <c r="AL528" s="2867"/>
      <c r="AM528" s="2867"/>
      <c r="AN528" s="2867"/>
      <c r="AO528" s="2867"/>
      <c r="AP528" s="2867"/>
      <c r="AQ528" s="2867"/>
      <c r="AR528" s="2867"/>
      <c r="AS528" s="2867"/>
      <c r="AT528" s="2867"/>
      <c r="AU528" s="2867"/>
      <c r="AV528" s="2867"/>
      <c r="AW528" s="2867"/>
      <c r="AX528" s="2867"/>
      <c r="AY528" s="2867"/>
      <c r="AZ528" s="2867"/>
      <c r="BA528" s="2867"/>
      <c r="BB528" s="2867"/>
      <c r="BC528" s="2867"/>
      <c r="BD528" s="2867"/>
      <c r="BE528" s="2867"/>
      <c r="BF528" s="2867"/>
      <c r="BG528" s="2867"/>
      <c r="BH528" s="2867"/>
      <c r="BI528" s="2867"/>
      <c r="BJ528" s="2867"/>
      <c r="BK528" s="2867"/>
      <c r="BL528" s="2867"/>
      <c r="BM528" s="2867"/>
      <c r="BN528" s="2867"/>
      <c r="BO528" s="2867"/>
      <c r="BP528" s="2867"/>
      <c r="BQ528" s="2867"/>
      <c r="BR528" s="2867"/>
      <c r="BS528" s="2867"/>
      <c r="BT528" s="2867"/>
      <c r="BU528" s="2867"/>
      <c r="BV528" s="2867"/>
      <c r="BW528" s="2867"/>
      <c r="BX528" s="2867"/>
      <c r="BY528" s="2867"/>
      <c r="BZ528" s="2867"/>
      <c r="CA528" s="2867"/>
      <c r="CB528" s="2867"/>
      <c r="CC528" s="2867"/>
      <c r="CD528" s="2867"/>
      <c r="CE528" s="2867"/>
      <c r="CF528" s="2867"/>
      <c r="CG528" s="2867"/>
      <c r="CH528" s="2867"/>
      <c r="CI528" s="2867"/>
      <c r="CJ528" s="2867"/>
      <c r="CK528" s="2867"/>
      <c r="CL528" s="2867"/>
      <c r="CM528" s="2867"/>
      <c r="CN528" s="2867"/>
      <c r="CO528" s="2867"/>
      <c r="CP528" s="2867"/>
      <c r="CQ528" s="2867"/>
      <c r="CR528" s="2867"/>
      <c r="CS528" s="2867"/>
      <c r="CT528" s="2867"/>
      <c r="CU528" s="2867"/>
      <c r="CV528" s="2867"/>
      <c r="CW528" s="2867"/>
    </row>
    <row r="529" spans="1:101">
      <c r="A529" s="2867"/>
      <c r="B529" s="2867"/>
      <c r="C529" s="2867"/>
      <c r="D529" s="2867"/>
      <c r="E529" s="2867"/>
      <c r="F529" s="2867"/>
      <c r="G529" s="2867"/>
      <c r="H529" s="2867"/>
      <c r="I529" s="2867"/>
      <c r="J529" s="2867"/>
      <c r="K529" s="2867"/>
      <c r="L529" s="2867"/>
      <c r="M529" s="2867"/>
      <c r="O529" s="2867"/>
      <c r="P529" s="2867"/>
      <c r="Q529" s="2867"/>
      <c r="R529" s="2867"/>
      <c r="S529" s="2867"/>
      <c r="T529" s="2867"/>
      <c r="U529" s="2867"/>
      <c r="V529" s="2867"/>
      <c r="W529" s="2867"/>
      <c r="X529" s="2867"/>
      <c r="Y529" s="2867"/>
      <c r="Z529" s="2867"/>
      <c r="AA529" s="2867"/>
      <c r="AB529" s="2867"/>
      <c r="AC529" s="2867"/>
      <c r="AD529" s="2867"/>
      <c r="AE529" s="2867"/>
      <c r="AF529" s="2867"/>
      <c r="AG529" s="2867"/>
      <c r="AH529" s="2867"/>
      <c r="AI529" s="2867"/>
      <c r="AJ529" s="2867"/>
      <c r="AK529" s="2867"/>
      <c r="AL529" s="2867"/>
      <c r="AM529" s="2867"/>
      <c r="AN529" s="2867"/>
      <c r="AO529" s="2867"/>
      <c r="AP529" s="2867"/>
      <c r="AQ529" s="2867"/>
      <c r="AR529" s="2867"/>
      <c r="AS529" s="2867"/>
      <c r="AT529" s="2867"/>
      <c r="AU529" s="2867"/>
      <c r="AV529" s="2867"/>
      <c r="AW529" s="2867"/>
      <c r="AX529" s="2867"/>
      <c r="AY529" s="2867"/>
      <c r="AZ529" s="2867"/>
      <c r="BA529" s="2867"/>
      <c r="BB529" s="2867"/>
      <c r="BC529" s="2867"/>
      <c r="BD529" s="2867"/>
      <c r="BE529" s="2867"/>
      <c r="BF529" s="2867"/>
      <c r="BG529" s="2867"/>
      <c r="BH529" s="2867"/>
      <c r="BI529" s="2867"/>
      <c r="BJ529" s="2867"/>
      <c r="BK529" s="2867"/>
      <c r="BL529" s="2867"/>
      <c r="BM529" s="2867"/>
      <c r="BN529" s="2867"/>
      <c r="BO529" s="2867"/>
      <c r="BP529" s="2867"/>
      <c r="BQ529" s="2867"/>
      <c r="BR529" s="2867"/>
      <c r="BS529" s="2867"/>
      <c r="BT529" s="2867"/>
      <c r="BU529" s="2867"/>
      <c r="BV529" s="2867"/>
      <c r="BW529" s="2867"/>
      <c r="BX529" s="2867"/>
      <c r="BY529" s="2867"/>
      <c r="BZ529" s="2867"/>
      <c r="CA529" s="2867"/>
      <c r="CB529" s="2867"/>
      <c r="CC529" s="2867"/>
      <c r="CD529" s="2867"/>
      <c r="CE529" s="2867"/>
      <c r="CF529" s="2867"/>
      <c r="CG529" s="2867"/>
      <c r="CH529" s="2867"/>
      <c r="CI529" s="2867"/>
      <c r="CJ529" s="2867"/>
      <c r="CK529" s="2867"/>
      <c r="CL529" s="2867"/>
      <c r="CM529" s="2867"/>
      <c r="CN529" s="2867"/>
      <c r="CO529" s="2867"/>
      <c r="CP529" s="2867"/>
      <c r="CQ529" s="2867"/>
      <c r="CR529" s="2867"/>
      <c r="CS529" s="2867"/>
      <c r="CT529" s="2867"/>
      <c r="CU529" s="2867"/>
      <c r="CV529" s="2867"/>
      <c r="CW529" s="2867"/>
    </row>
    <row r="530" spans="1:101">
      <c r="A530" s="2867"/>
      <c r="B530" s="2867"/>
      <c r="C530" s="2867"/>
      <c r="D530" s="2867"/>
      <c r="E530" s="2867"/>
      <c r="F530" s="2867"/>
      <c r="G530" s="2867"/>
      <c r="H530" s="2867"/>
      <c r="I530" s="2867"/>
      <c r="J530" s="2867"/>
      <c r="K530" s="2867"/>
      <c r="L530" s="2867"/>
      <c r="M530" s="2867"/>
      <c r="O530" s="2867"/>
      <c r="P530" s="2867"/>
      <c r="Q530" s="2867"/>
      <c r="R530" s="2867"/>
      <c r="S530" s="2867"/>
      <c r="T530" s="2867"/>
      <c r="U530" s="2867"/>
      <c r="V530" s="2867"/>
      <c r="W530" s="2867"/>
      <c r="X530" s="2867"/>
      <c r="Y530" s="2867"/>
      <c r="Z530" s="2867"/>
      <c r="AA530" s="2867"/>
      <c r="AB530" s="2867"/>
      <c r="AC530" s="2867"/>
      <c r="AD530" s="2867"/>
      <c r="AE530" s="2867"/>
      <c r="AF530" s="2867"/>
      <c r="AG530" s="2867"/>
      <c r="AH530" s="2867"/>
      <c r="AI530" s="2867"/>
      <c r="AJ530" s="2867"/>
      <c r="AK530" s="2867"/>
      <c r="AL530" s="2867"/>
      <c r="AM530" s="2867"/>
      <c r="AN530" s="2867"/>
      <c r="AO530" s="2867"/>
      <c r="AP530" s="2867"/>
      <c r="AQ530" s="2867"/>
      <c r="AR530" s="2867"/>
      <c r="AS530" s="2867"/>
      <c r="AT530" s="2867"/>
      <c r="AU530" s="2867"/>
      <c r="AV530" s="2867"/>
      <c r="AW530" s="2867"/>
      <c r="AX530" s="2867"/>
      <c r="AY530" s="2867"/>
      <c r="AZ530" s="2867"/>
      <c r="BA530" s="2867"/>
      <c r="BB530" s="2867"/>
      <c r="BC530" s="2867"/>
      <c r="BD530" s="2867"/>
      <c r="BE530" s="2867"/>
      <c r="BF530" s="2867"/>
      <c r="BG530" s="2867"/>
      <c r="BH530" s="2867"/>
      <c r="BI530" s="2867"/>
      <c r="BJ530" s="2867"/>
      <c r="BK530" s="2867"/>
      <c r="BL530" s="2867"/>
      <c r="BM530" s="2867"/>
      <c r="BN530" s="2867"/>
      <c r="BO530" s="2867"/>
      <c r="BP530" s="2867"/>
      <c r="BQ530" s="2867"/>
      <c r="BR530" s="2867"/>
      <c r="BS530" s="2867"/>
      <c r="BT530" s="2867"/>
      <c r="BU530" s="2867"/>
      <c r="BV530" s="2867"/>
      <c r="BW530" s="2867"/>
      <c r="BX530" s="2867"/>
      <c r="BY530" s="2867"/>
      <c r="BZ530" s="2867"/>
      <c r="CA530" s="2867"/>
      <c r="CB530" s="2867"/>
      <c r="CC530" s="2867"/>
      <c r="CD530" s="2867"/>
      <c r="CE530" s="2867"/>
      <c r="CF530" s="2867"/>
      <c r="CG530" s="2867"/>
      <c r="CH530" s="2867"/>
      <c r="CI530" s="2867"/>
      <c r="CJ530" s="2867"/>
      <c r="CK530" s="2867"/>
      <c r="CL530" s="2867"/>
      <c r="CM530" s="2867"/>
      <c r="CN530" s="2867"/>
      <c r="CO530" s="2867"/>
      <c r="CP530" s="2867"/>
      <c r="CQ530" s="2867"/>
      <c r="CR530" s="2867"/>
      <c r="CS530" s="2867"/>
      <c r="CT530" s="2867"/>
      <c r="CU530" s="2867"/>
      <c r="CV530" s="2867"/>
      <c r="CW530" s="2867"/>
    </row>
    <row r="531" spans="1:101">
      <c r="A531" s="2867"/>
      <c r="B531" s="2867"/>
      <c r="C531" s="2867"/>
      <c r="D531" s="2867"/>
      <c r="E531" s="2867"/>
      <c r="F531" s="2867"/>
      <c r="G531" s="2867"/>
      <c r="H531" s="2867"/>
      <c r="I531" s="2867"/>
      <c r="J531" s="2867"/>
      <c r="K531" s="2867"/>
      <c r="L531" s="2867"/>
      <c r="M531" s="2867"/>
      <c r="O531" s="2867"/>
      <c r="P531" s="2867"/>
      <c r="Q531" s="2867"/>
      <c r="R531" s="2867"/>
      <c r="S531" s="2867"/>
      <c r="T531" s="2867"/>
      <c r="U531" s="2867"/>
      <c r="V531" s="2867"/>
      <c r="W531" s="2867"/>
      <c r="X531" s="2867"/>
      <c r="Y531" s="2867"/>
      <c r="Z531" s="2867"/>
      <c r="AA531" s="2867"/>
      <c r="AB531" s="2867"/>
      <c r="AC531" s="2867"/>
      <c r="AD531" s="2867"/>
      <c r="AE531" s="2867"/>
      <c r="AF531" s="2867"/>
      <c r="AG531" s="2867"/>
      <c r="AH531" s="2867"/>
      <c r="AI531" s="2867"/>
      <c r="AJ531" s="2867"/>
      <c r="AK531" s="2867"/>
      <c r="AL531" s="2867"/>
      <c r="AM531" s="2867"/>
      <c r="AN531" s="2867"/>
      <c r="AO531" s="2867"/>
      <c r="AP531" s="2867"/>
      <c r="AQ531" s="2867"/>
      <c r="AR531" s="2867"/>
      <c r="AS531" s="2867"/>
      <c r="AT531" s="2867"/>
      <c r="AU531" s="2867"/>
      <c r="AV531" s="2867"/>
      <c r="AW531" s="2867"/>
      <c r="AX531" s="2867"/>
      <c r="AY531" s="2867"/>
      <c r="AZ531" s="2867"/>
      <c r="BA531" s="2867"/>
      <c r="BB531" s="2867"/>
      <c r="BC531" s="2867"/>
      <c r="BD531" s="2867"/>
      <c r="BE531" s="2867"/>
      <c r="BF531" s="2867"/>
      <c r="BG531" s="2867"/>
      <c r="BH531" s="2867"/>
      <c r="BI531" s="2867"/>
      <c r="BJ531" s="2867"/>
      <c r="BK531" s="2867"/>
      <c r="BL531" s="2867"/>
      <c r="BM531" s="2867"/>
      <c r="BN531" s="2867"/>
      <c r="BO531" s="2867"/>
      <c r="BP531" s="2867"/>
      <c r="BQ531" s="2867"/>
      <c r="BR531" s="2867"/>
      <c r="BS531" s="2867"/>
      <c r="BT531" s="2867"/>
      <c r="BU531" s="2867"/>
      <c r="BV531" s="2867"/>
      <c r="BW531" s="2867"/>
      <c r="BX531" s="2867"/>
      <c r="BY531" s="2867"/>
      <c r="BZ531" s="2867"/>
      <c r="CA531" s="2867"/>
      <c r="CB531" s="2867"/>
      <c r="CC531" s="2867"/>
      <c r="CD531" s="2867"/>
      <c r="CE531" s="2867"/>
      <c r="CF531" s="2867"/>
      <c r="CG531" s="2867"/>
      <c r="CH531" s="2867"/>
      <c r="CI531" s="2867"/>
      <c r="CJ531" s="2867"/>
      <c r="CK531" s="2867"/>
      <c r="CL531" s="2867"/>
      <c r="CM531" s="2867"/>
      <c r="CN531" s="2867"/>
      <c r="CO531" s="2867"/>
      <c r="CP531" s="2867"/>
      <c r="CQ531" s="2867"/>
      <c r="CR531" s="2867"/>
      <c r="CS531" s="2867"/>
      <c r="CT531" s="2867"/>
      <c r="CU531" s="2867"/>
      <c r="CV531" s="2867"/>
      <c r="CW531" s="2867"/>
    </row>
    <row r="532" spans="1:101">
      <c r="A532" s="2867"/>
      <c r="B532" s="2867"/>
      <c r="C532" s="2867"/>
      <c r="D532" s="2867"/>
      <c r="E532" s="2867"/>
      <c r="F532" s="2867"/>
      <c r="G532" s="2867"/>
      <c r="H532" s="2867"/>
      <c r="I532" s="2867"/>
      <c r="J532" s="2867"/>
      <c r="K532" s="2867"/>
      <c r="L532" s="2867"/>
      <c r="M532" s="2867"/>
      <c r="O532" s="2867"/>
      <c r="P532" s="2867"/>
      <c r="Q532" s="2867"/>
      <c r="R532" s="2867"/>
      <c r="S532" s="2867"/>
      <c r="T532" s="2867"/>
      <c r="U532" s="2867"/>
      <c r="V532" s="2867"/>
      <c r="W532" s="2867"/>
      <c r="X532" s="2867"/>
      <c r="Y532" s="2867"/>
      <c r="Z532" s="2867"/>
      <c r="AA532" s="2867"/>
      <c r="AB532" s="2867"/>
      <c r="AC532" s="2867"/>
      <c r="AD532" s="2867"/>
      <c r="AE532" s="2867"/>
      <c r="AF532" s="2867"/>
      <c r="AG532" s="2867"/>
      <c r="AH532" s="2867"/>
      <c r="AI532" s="2867"/>
      <c r="AJ532" s="2867"/>
      <c r="AK532" s="2867"/>
      <c r="AL532" s="2867"/>
      <c r="AM532" s="2867"/>
      <c r="AN532" s="2867"/>
      <c r="AO532" s="2867"/>
      <c r="AP532" s="2867"/>
      <c r="AQ532" s="2867"/>
      <c r="AR532" s="2867"/>
      <c r="AS532" s="2867"/>
      <c r="AT532" s="2867"/>
      <c r="AU532" s="2867"/>
      <c r="AV532" s="2867"/>
      <c r="AW532" s="2867"/>
      <c r="AX532" s="2867"/>
      <c r="AY532" s="2867"/>
      <c r="AZ532" s="2867"/>
      <c r="BA532" s="2867"/>
      <c r="BB532" s="2867"/>
      <c r="BC532" s="2867"/>
      <c r="BD532" s="2867"/>
      <c r="BE532" s="2867"/>
      <c r="BF532" s="2867"/>
      <c r="BG532" s="2867"/>
      <c r="BH532" s="2867"/>
      <c r="BI532" s="2867"/>
      <c r="BJ532" s="2867"/>
      <c r="BK532" s="2867"/>
      <c r="BL532" s="2867"/>
      <c r="BM532" s="2867"/>
      <c r="BN532" s="2867"/>
      <c r="BO532" s="2867"/>
      <c r="BP532" s="2867"/>
      <c r="BQ532" s="2867"/>
      <c r="BR532" s="2867"/>
      <c r="BS532" s="2867"/>
      <c r="BT532" s="2867"/>
      <c r="BU532" s="2867"/>
      <c r="BV532" s="2867"/>
      <c r="BW532" s="2867"/>
      <c r="BX532" s="2867"/>
      <c r="BY532" s="2867"/>
      <c r="BZ532" s="2867"/>
      <c r="CA532" s="2867"/>
      <c r="CB532" s="2867"/>
      <c r="CC532" s="2867"/>
      <c r="CD532" s="2867"/>
      <c r="CE532" s="2867"/>
      <c r="CF532" s="2867"/>
      <c r="CG532" s="2867"/>
      <c r="CH532" s="2867"/>
      <c r="CI532" s="2867"/>
      <c r="CJ532" s="2867"/>
      <c r="CK532" s="2867"/>
      <c r="CL532" s="2867"/>
      <c r="CM532" s="2867"/>
      <c r="CN532" s="2867"/>
      <c r="CO532" s="2867"/>
      <c r="CP532" s="2867"/>
      <c r="CQ532" s="2867"/>
      <c r="CR532" s="2867"/>
      <c r="CS532" s="2867"/>
      <c r="CT532" s="2867"/>
      <c r="CU532" s="2867"/>
      <c r="CV532" s="2867"/>
      <c r="CW532" s="2867"/>
    </row>
    <row r="533" spans="1:101">
      <c r="A533" s="2867"/>
      <c r="B533" s="2867"/>
      <c r="C533" s="2867"/>
      <c r="D533" s="2867"/>
      <c r="E533" s="2867"/>
      <c r="F533" s="2867"/>
      <c r="G533" s="2867"/>
      <c r="H533" s="2867"/>
      <c r="I533" s="2867"/>
      <c r="J533" s="2867"/>
      <c r="K533" s="2867"/>
      <c r="L533" s="2867"/>
      <c r="M533" s="2867"/>
      <c r="O533" s="2867"/>
      <c r="P533" s="2867"/>
      <c r="Q533" s="2867"/>
      <c r="R533" s="2867"/>
      <c r="S533" s="2867"/>
      <c r="T533" s="2867"/>
      <c r="U533" s="2867"/>
      <c r="V533" s="2867"/>
      <c r="W533" s="2867"/>
      <c r="X533" s="2867"/>
      <c r="Y533" s="2867"/>
      <c r="Z533" s="2867"/>
      <c r="AA533" s="2867"/>
      <c r="AB533" s="2867"/>
      <c r="AC533" s="2867"/>
      <c r="AD533" s="2867"/>
      <c r="AE533" s="2867"/>
      <c r="AF533" s="2867"/>
      <c r="AG533" s="2867"/>
      <c r="AH533" s="2867"/>
      <c r="AI533" s="2867"/>
      <c r="AJ533" s="2867"/>
      <c r="AK533" s="2867"/>
      <c r="AL533" s="2867"/>
      <c r="AM533" s="2867"/>
      <c r="AN533" s="2867"/>
      <c r="AO533" s="2867"/>
      <c r="AP533" s="2867"/>
      <c r="AQ533" s="2867"/>
      <c r="AR533" s="2867"/>
      <c r="AS533" s="2867"/>
      <c r="AT533" s="2867"/>
      <c r="AU533" s="2867"/>
      <c r="AV533" s="2867"/>
      <c r="AW533" s="2867"/>
      <c r="AX533" s="2867"/>
      <c r="AY533" s="2867"/>
      <c r="AZ533" s="2867"/>
      <c r="BA533" s="2867"/>
      <c r="BB533" s="2867"/>
      <c r="BC533" s="2867"/>
      <c r="BD533" s="2867"/>
      <c r="BE533" s="2867"/>
      <c r="BF533" s="2867"/>
      <c r="BG533" s="2867"/>
      <c r="BH533" s="2867"/>
      <c r="BI533" s="2867"/>
      <c r="BJ533" s="2867"/>
      <c r="BK533" s="2867"/>
      <c r="BL533" s="2867"/>
      <c r="BM533" s="2867"/>
      <c r="BN533" s="2867"/>
      <c r="BO533" s="2867"/>
      <c r="BP533" s="2867"/>
      <c r="BQ533" s="2867"/>
      <c r="BR533" s="2867"/>
      <c r="BS533" s="2867"/>
      <c r="BT533" s="2867"/>
      <c r="BU533" s="2867"/>
      <c r="BV533" s="2867"/>
      <c r="BW533" s="2867"/>
      <c r="BX533" s="2867"/>
      <c r="BY533" s="2867"/>
      <c r="BZ533" s="2867"/>
      <c r="CA533" s="2867"/>
      <c r="CB533" s="2867"/>
      <c r="CC533" s="2867"/>
      <c r="CD533" s="2867"/>
      <c r="CE533" s="2867"/>
      <c r="CF533" s="2867"/>
      <c r="CG533" s="2867"/>
      <c r="CH533" s="2867"/>
      <c r="CI533" s="2867"/>
      <c r="CJ533" s="2867"/>
      <c r="CK533" s="2867"/>
      <c r="CL533" s="2867"/>
      <c r="CM533" s="2867"/>
      <c r="CN533" s="2867"/>
      <c r="CO533" s="2867"/>
      <c r="CP533" s="2867"/>
      <c r="CQ533" s="2867"/>
      <c r="CR533" s="2867"/>
      <c r="CS533" s="2867"/>
      <c r="CT533" s="2867"/>
      <c r="CU533" s="2867"/>
      <c r="CV533" s="2867"/>
      <c r="CW533" s="2867"/>
    </row>
    <row r="534" spans="1:101">
      <c r="A534" s="2867"/>
      <c r="B534" s="2867"/>
      <c r="C534" s="2867"/>
      <c r="D534" s="2867"/>
      <c r="E534" s="2867"/>
      <c r="F534" s="2867"/>
      <c r="G534" s="2867"/>
      <c r="H534" s="2867"/>
      <c r="I534" s="2867"/>
      <c r="J534" s="2867"/>
      <c r="K534" s="2867"/>
      <c r="L534" s="2867"/>
      <c r="M534" s="2867"/>
      <c r="O534" s="2867"/>
      <c r="P534" s="2867"/>
      <c r="Q534" s="2867"/>
      <c r="R534" s="2867"/>
      <c r="S534" s="2867"/>
      <c r="T534" s="2867"/>
      <c r="U534" s="2867"/>
      <c r="V534" s="2867"/>
      <c r="W534" s="2867"/>
      <c r="X534" s="2867"/>
      <c r="Y534" s="2867"/>
      <c r="Z534" s="2867"/>
      <c r="AA534" s="2867"/>
      <c r="AB534" s="2867"/>
      <c r="AC534" s="2867"/>
      <c r="AD534" s="2867"/>
      <c r="AE534" s="2867"/>
      <c r="AF534" s="2867"/>
      <c r="AG534" s="2867"/>
      <c r="AH534" s="2867"/>
      <c r="AI534" s="2867"/>
      <c r="AJ534" s="2867"/>
      <c r="AK534" s="2867"/>
      <c r="AL534" s="2867"/>
      <c r="AM534" s="2867"/>
      <c r="AN534" s="2867"/>
      <c r="AO534" s="2867"/>
      <c r="AP534" s="2867"/>
      <c r="AQ534" s="2867"/>
      <c r="AR534" s="2867"/>
      <c r="AS534" s="2867"/>
      <c r="AT534" s="2867"/>
      <c r="AU534" s="2867"/>
      <c r="AV534" s="2867"/>
      <c r="AW534" s="2867"/>
      <c r="AX534" s="2867"/>
      <c r="AY534" s="2867"/>
      <c r="AZ534" s="2867"/>
      <c r="BA534" s="2867"/>
      <c r="BB534" s="2867"/>
      <c r="BC534" s="2867"/>
      <c r="BD534" s="2867"/>
      <c r="BE534" s="2867"/>
      <c r="BF534" s="2867"/>
      <c r="BG534" s="2867"/>
      <c r="BH534" s="2867"/>
      <c r="BI534" s="2867"/>
      <c r="BJ534" s="2867"/>
      <c r="BK534" s="2867"/>
      <c r="BL534" s="2867"/>
      <c r="BM534" s="2867"/>
      <c r="BN534" s="2867"/>
      <c r="BO534" s="2867"/>
      <c r="BP534" s="2867"/>
      <c r="BQ534" s="2867"/>
      <c r="BR534" s="2867"/>
      <c r="BS534" s="2867"/>
      <c r="BT534" s="2867"/>
      <c r="BU534" s="2867"/>
      <c r="BV534" s="2867"/>
      <c r="BW534" s="2867"/>
      <c r="BX534" s="2867"/>
      <c r="BY534" s="2867"/>
      <c r="BZ534" s="2867"/>
      <c r="CA534" s="2867"/>
      <c r="CB534" s="2867"/>
      <c r="CC534" s="2867"/>
      <c r="CD534" s="2867"/>
      <c r="CE534" s="2867"/>
      <c r="CF534" s="2867"/>
      <c r="CG534" s="2867"/>
      <c r="CH534" s="2867"/>
      <c r="CI534" s="2867"/>
      <c r="CJ534" s="2867"/>
      <c r="CK534" s="2867"/>
      <c r="CL534" s="2867"/>
      <c r="CM534" s="2867"/>
      <c r="CN534" s="2867"/>
      <c r="CO534" s="2867"/>
      <c r="CP534" s="2867"/>
      <c r="CQ534" s="2867"/>
      <c r="CR534" s="2867"/>
      <c r="CS534" s="2867"/>
      <c r="CT534" s="2867"/>
      <c r="CU534" s="2867"/>
      <c r="CV534" s="2867"/>
      <c r="CW534" s="2867"/>
    </row>
    <row r="535" spans="1:101">
      <c r="A535" s="2867"/>
      <c r="B535" s="2867"/>
      <c r="C535" s="2867"/>
      <c r="D535" s="2867"/>
      <c r="E535" s="2867"/>
      <c r="F535" s="2867"/>
      <c r="G535" s="2867"/>
      <c r="H535" s="2867"/>
      <c r="I535" s="2867"/>
      <c r="J535" s="2867"/>
      <c r="K535" s="2867"/>
      <c r="L535" s="2867"/>
      <c r="M535" s="2867"/>
      <c r="O535" s="2867"/>
      <c r="P535" s="2867"/>
      <c r="Q535" s="2867"/>
      <c r="R535" s="2867"/>
      <c r="S535" s="2867"/>
      <c r="T535" s="2867"/>
      <c r="U535" s="2867"/>
      <c r="V535" s="2867"/>
      <c r="W535" s="2867"/>
      <c r="X535" s="2867"/>
      <c r="Y535" s="2867"/>
      <c r="Z535" s="2867"/>
      <c r="AA535" s="2867"/>
      <c r="AB535" s="2867"/>
      <c r="AC535" s="2867"/>
      <c r="AD535" s="2867"/>
      <c r="AE535" s="2867"/>
      <c r="AF535" s="2867"/>
      <c r="AG535" s="2867"/>
      <c r="AH535" s="2867"/>
      <c r="AI535" s="2867"/>
      <c r="AJ535" s="2867"/>
      <c r="AK535" s="2867"/>
      <c r="AL535" s="2867"/>
      <c r="AM535" s="2867"/>
      <c r="AN535" s="2867"/>
      <c r="AO535" s="2867"/>
      <c r="AP535" s="2867"/>
      <c r="AQ535" s="2867"/>
      <c r="AR535" s="2867"/>
      <c r="AS535" s="2867"/>
      <c r="AT535" s="2867"/>
      <c r="AU535" s="2867"/>
      <c r="AV535" s="2867"/>
      <c r="AW535" s="2867"/>
      <c r="AX535" s="2867"/>
      <c r="AY535" s="2867"/>
      <c r="AZ535" s="2867"/>
      <c r="BA535" s="2867"/>
      <c r="BB535" s="2867"/>
      <c r="BC535" s="2867"/>
      <c r="BD535" s="2867"/>
      <c r="BE535" s="2867"/>
      <c r="BF535" s="2867"/>
      <c r="BG535" s="2867"/>
      <c r="BH535" s="2867"/>
      <c r="BI535" s="2867"/>
      <c r="BJ535" s="2867"/>
      <c r="BK535" s="2867"/>
      <c r="BL535" s="2867"/>
      <c r="BM535" s="2867"/>
      <c r="BN535" s="2867"/>
      <c r="BO535" s="2867"/>
      <c r="BP535" s="2867"/>
      <c r="BQ535" s="2867"/>
      <c r="BR535" s="2867"/>
      <c r="BS535" s="2867"/>
      <c r="BT535" s="2867"/>
      <c r="BU535" s="2867"/>
      <c r="BV535" s="2867"/>
      <c r="BW535" s="2867"/>
      <c r="BX535" s="2867"/>
      <c r="BY535" s="2867"/>
      <c r="BZ535" s="2867"/>
      <c r="CA535" s="2867"/>
      <c r="CB535" s="2867"/>
      <c r="CC535" s="2867"/>
      <c r="CD535" s="2867"/>
      <c r="CE535" s="2867"/>
      <c r="CF535" s="2867"/>
      <c r="CG535" s="2867"/>
      <c r="CH535" s="2867"/>
      <c r="CI535" s="2867"/>
      <c r="CJ535" s="2867"/>
      <c r="CK535" s="2867"/>
      <c r="CL535" s="2867"/>
      <c r="CM535" s="2867"/>
      <c r="CN535" s="2867"/>
      <c r="CO535" s="2867"/>
      <c r="CP535" s="2867"/>
      <c r="CQ535" s="2867"/>
      <c r="CR535" s="2867"/>
      <c r="CS535" s="2867"/>
      <c r="CT535" s="2867"/>
      <c r="CU535" s="2867"/>
      <c r="CV535" s="2867"/>
      <c r="CW535" s="2867"/>
    </row>
    <row r="536" spans="1:101">
      <c r="A536" s="2867"/>
      <c r="B536" s="2867"/>
      <c r="C536" s="2867"/>
      <c r="D536" s="2867"/>
      <c r="E536" s="2867"/>
      <c r="F536" s="2867"/>
      <c r="G536" s="2867"/>
      <c r="H536" s="2867"/>
      <c r="I536" s="2867"/>
      <c r="J536" s="2867"/>
      <c r="K536" s="2867"/>
      <c r="L536" s="2867"/>
      <c r="M536" s="2867"/>
      <c r="O536" s="2867"/>
      <c r="P536" s="2867"/>
      <c r="Q536" s="2867"/>
      <c r="R536" s="2867"/>
      <c r="S536" s="2867"/>
      <c r="T536" s="2867"/>
      <c r="U536" s="2867"/>
      <c r="V536" s="2867"/>
      <c r="W536" s="2867"/>
      <c r="X536" s="2867"/>
      <c r="Y536" s="2867"/>
      <c r="Z536" s="2867"/>
      <c r="AA536" s="2867"/>
      <c r="AB536" s="2867"/>
      <c r="AC536" s="2867"/>
      <c r="AD536" s="2867"/>
      <c r="AE536" s="2867"/>
      <c r="AF536" s="2867"/>
      <c r="AG536" s="2867"/>
      <c r="AH536" s="2867"/>
      <c r="AI536" s="2867"/>
      <c r="AJ536" s="2867"/>
      <c r="AK536" s="2867"/>
      <c r="AL536" s="2867"/>
      <c r="AM536" s="2867"/>
      <c r="AN536" s="2867"/>
      <c r="AO536" s="2867"/>
      <c r="AP536" s="2867"/>
      <c r="AQ536" s="2867"/>
      <c r="AR536" s="2867"/>
      <c r="AS536" s="2867"/>
      <c r="AT536" s="2867"/>
      <c r="AU536" s="2867"/>
      <c r="AV536" s="2867"/>
      <c r="AW536" s="2867"/>
      <c r="AX536" s="2867"/>
      <c r="AY536" s="2867"/>
      <c r="AZ536" s="2867"/>
      <c r="BA536" s="2867"/>
      <c r="BB536" s="2867"/>
      <c r="BC536" s="2867"/>
      <c r="BD536" s="2867"/>
      <c r="BE536" s="2867"/>
      <c r="BF536" s="2867"/>
      <c r="BG536" s="2867"/>
      <c r="BH536" s="2867"/>
      <c r="BI536" s="2867"/>
      <c r="BJ536" s="2867"/>
      <c r="BK536" s="2867"/>
      <c r="BL536" s="2867"/>
      <c r="BM536" s="2867"/>
      <c r="BN536" s="2867"/>
      <c r="BO536" s="2867"/>
      <c r="BP536" s="2867"/>
      <c r="BQ536" s="2867"/>
      <c r="BR536" s="2867"/>
      <c r="BS536" s="2867"/>
      <c r="BT536" s="2867"/>
      <c r="BU536" s="2867"/>
      <c r="BV536" s="2867"/>
      <c r="BW536" s="2867"/>
      <c r="BX536" s="2867"/>
      <c r="BY536" s="2867"/>
      <c r="BZ536" s="2867"/>
      <c r="CA536" s="2867"/>
      <c r="CB536" s="2867"/>
      <c r="CC536" s="2867"/>
      <c r="CD536" s="2867"/>
      <c r="CE536" s="2867"/>
      <c r="CF536" s="2867"/>
      <c r="CG536" s="2867"/>
      <c r="CH536" s="2867"/>
      <c r="CI536" s="2867"/>
      <c r="CJ536" s="2867"/>
      <c r="CK536" s="2867"/>
      <c r="CL536" s="2867"/>
      <c r="CM536" s="2867"/>
      <c r="CN536" s="2867"/>
      <c r="CO536" s="2867"/>
      <c r="CP536" s="2867"/>
      <c r="CQ536" s="2867"/>
      <c r="CR536" s="2867"/>
      <c r="CS536" s="2867"/>
      <c r="CT536" s="2867"/>
      <c r="CU536" s="2867"/>
      <c r="CV536" s="2867"/>
      <c r="CW536" s="2867"/>
    </row>
    <row r="537" spans="1:101">
      <c r="A537" s="2867"/>
      <c r="B537" s="2867"/>
      <c r="C537" s="2867"/>
      <c r="D537" s="2867"/>
      <c r="E537" s="2867"/>
      <c r="F537" s="2867"/>
      <c r="G537" s="2867"/>
      <c r="H537" s="2867"/>
      <c r="I537" s="2867"/>
      <c r="J537" s="2867"/>
      <c r="K537" s="2867"/>
      <c r="L537" s="2867"/>
      <c r="M537" s="2867"/>
      <c r="O537" s="2867"/>
      <c r="P537" s="2867"/>
      <c r="Q537" s="2867"/>
      <c r="R537" s="2867"/>
      <c r="S537" s="2867"/>
      <c r="T537" s="2867"/>
      <c r="U537" s="2867"/>
      <c r="V537" s="2867"/>
      <c r="W537" s="2867"/>
      <c r="X537" s="2867"/>
      <c r="Y537" s="2867"/>
      <c r="Z537" s="2867"/>
      <c r="AA537" s="2867"/>
      <c r="AB537" s="2867"/>
      <c r="AC537" s="2867"/>
      <c r="AD537" s="2867"/>
      <c r="AE537" s="2867"/>
      <c r="AF537" s="2867"/>
      <c r="AG537" s="2867"/>
      <c r="AH537" s="2867"/>
      <c r="AI537" s="2867"/>
      <c r="AJ537" s="2867"/>
      <c r="AK537" s="2867"/>
      <c r="AL537" s="2867"/>
      <c r="AM537" s="2867"/>
      <c r="AN537" s="2867"/>
      <c r="AO537" s="2867"/>
      <c r="AP537" s="2867"/>
      <c r="AQ537" s="2867"/>
      <c r="AR537" s="2867"/>
      <c r="AS537" s="2867"/>
      <c r="AT537" s="2867"/>
      <c r="AU537" s="2867"/>
      <c r="AV537" s="2867"/>
      <c r="AW537" s="2867"/>
      <c r="AX537" s="2867"/>
      <c r="AY537" s="2867"/>
      <c r="AZ537" s="2867"/>
      <c r="BA537" s="2867"/>
      <c r="BB537" s="2867"/>
      <c r="BC537" s="2867"/>
      <c r="BD537" s="2867"/>
      <c r="BE537" s="2867"/>
      <c r="BF537" s="2867"/>
      <c r="BG537" s="2867"/>
      <c r="BH537" s="2867"/>
      <c r="BI537" s="2867"/>
      <c r="BJ537" s="2867"/>
      <c r="BK537" s="2867"/>
      <c r="BL537" s="2867"/>
      <c r="BM537" s="2867"/>
      <c r="BN537" s="2867"/>
      <c r="BO537" s="2867"/>
      <c r="BP537" s="2867"/>
      <c r="BQ537" s="2867"/>
      <c r="BR537" s="2867"/>
      <c r="BS537" s="2867"/>
      <c r="BT537" s="2867"/>
      <c r="BU537" s="2867"/>
      <c r="BV537" s="2867"/>
      <c r="BW537" s="2867"/>
      <c r="BX537" s="2867"/>
      <c r="BY537" s="2867"/>
      <c r="BZ537" s="2867"/>
      <c r="CA537" s="2867"/>
      <c r="CB537" s="2867"/>
      <c r="CC537" s="2867"/>
      <c r="CD537" s="2867"/>
      <c r="CE537" s="2867"/>
      <c r="CF537" s="2867"/>
      <c r="CG537" s="2867"/>
      <c r="CH537" s="2867"/>
      <c r="CI537" s="2867"/>
      <c r="CJ537" s="2867"/>
      <c r="CK537" s="2867"/>
      <c r="CL537" s="2867"/>
      <c r="CM537" s="2867"/>
      <c r="CN537" s="2867"/>
      <c r="CO537" s="2867"/>
      <c r="CP537" s="2867"/>
      <c r="CQ537" s="2867"/>
      <c r="CR537" s="2867"/>
      <c r="CS537" s="2867"/>
      <c r="CT537" s="2867"/>
      <c r="CU537" s="2867"/>
      <c r="CV537" s="2867"/>
      <c r="CW537" s="2867"/>
    </row>
    <row r="538" spans="1:101">
      <c r="A538" s="2867"/>
      <c r="B538" s="2867"/>
      <c r="C538" s="2867"/>
      <c r="D538" s="2867"/>
      <c r="E538" s="2867"/>
      <c r="F538" s="2867"/>
      <c r="G538" s="2867"/>
      <c r="H538" s="2867"/>
      <c r="I538" s="2867"/>
      <c r="J538" s="2867"/>
      <c r="K538" s="2867"/>
      <c r="L538" s="2867"/>
      <c r="M538" s="2867"/>
      <c r="O538" s="2867"/>
      <c r="P538" s="2867"/>
      <c r="Q538" s="2867"/>
      <c r="R538" s="2867"/>
      <c r="S538" s="2867"/>
      <c r="T538" s="2867"/>
      <c r="U538" s="2867"/>
      <c r="V538" s="2867"/>
      <c r="W538" s="2867"/>
      <c r="X538" s="2867"/>
      <c r="Y538" s="2867"/>
      <c r="Z538" s="2867"/>
      <c r="AA538" s="2867"/>
      <c r="AB538" s="2867"/>
      <c r="AC538" s="2867"/>
      <c r="AD538" s="2867"/>
      <c r="AE538" s="2867"/>
      <c r="AF538" s="2867"/>
      <c r="AG538" s="2867"/>
      <c r="AH538" s="2867"/>
      <c r="AI538" s="2867"/>
      <c r="AJ538" s="2867"/>
      <c r="AK538" s="2867"/>
      <c r="AL538" s="2867"/>
      <c r="AM538" s="2867"/>
      <c r="AN538" s="2867"/>
      <c r="AO538" s="2867"/>
      <c r="AP538" s="2867"/>
      <c r="AQ538" s="2867"/>
      <c r="AR538" s="2867"/>
      <c r="AS538" s="2867"/>
      <c r="AT538" s="2867"/>
      <c r="AU538" s="2867"/>
      <c r="AV538" s="2867"/>
      <c r="AW538" s="2867"/>
      <c r="AX538" s="2867"/>
      <c r="AY538" s="2867"/>
      <c r="AZ538" s="2867"/>
      <c r="BA538" s="2867"/>
      <c r="BB538" s="2867"/>
      <c r="BC538" s="2867"/>
      <c r="BD538" s="2867"/>
      <c r="BE538" s="2867"/>
      <c r="BF538" s="2867"/>
      <c r="BG538" s="2867"/>
      <c r="BH538" s="2867"/>
      <c r="BI538" s="2867"/>
      <c r="BJ538" s="2867"/>
      <c r="BK538" s="2867"/>
      <c r="BL538" s="2867"/>
      <c r="BM538" s="2867"/>
      <c r="BN538" s="2867"/>
      <c r="BO538" s="2867"/>
      <c r="BP538" s="2867"/>
      <c r="BQ538" s="2867"/>
      <c r="BR538" s="2867"/>
      <c r="BS538" s="2867"/>
      <c r="BT538" s="2867"/>
      <c r="BU538" s="2867"/>
      <c r="BV538" s="2867"/>
      <c r="BW538" s="2867"/>
      <c r="BX538" s="2867"/>
      <c r="BY538" s="2867"/>
      <c r="BZ538" s="2867"/>
      <c r="CA538" s="2867"/>
      <c r="CB538" s="2867"/>
      <c r="CC538" s="2867"/>
      <c r="CD538" s="2867"/>
      <c r="CE538" s="2867"/>
      <c r="CF538" s="2867"/>
      <c r="CG538" s="2867"/>
      <c r="CH538" s="2867"/>
      <c r="CI538" s="2867"/>
      <c r="CJ538" s="2867"/>
      <c r="CK538" s="2867"/>
      <c r="CL538" s="2867"/>
      <c r="CM538" s="2867"/>
      <c r="CN538" s="2867"/>
      <c r="CO538" s="2867"/>
      <c r="CP538" s="2867"/>
      <c r="CQ538" s="2867"/>
      <c r="CR538" s="2867"/>
      <c r="CS538" s="2867"/>
      <c r="CT538" s="2867"/>
      <c r="CU538" s="2867"/>
      <c r="CV538" s="2867"/>
      <c r="CW538" s="2867"/>
    </row>
    <row r="539" spans="1:101">
      <c r="A539" s="2867"/>
      <c r="B539" s="2867"/>
      <c r="C539" s="2867"/>
      <c r="D539" s="2867"/>
      <c r="E539" s="2867"/>
      <c r="F539" s="2867"/>
      <c r="G539" s="2867"/>
      <c r="H539" s="2867"/>
      <c r="I539" s="2867"/>
      <c r="J539" s="2867"/>
      <c r="K539" s="2867"/>
      <c r="L539" s="2867"/>
      <c r="M539" s="2867"/>
      <c r="O539" s="2867"/>
      <c r="P539" s="2867"/>
      <c r="Q539" s="2867"/>
      <c r="R539" s="2867"/>
      <c r="S539" s="2867"/>
      <c r="T539" s="2867"/>
      <c r="U539" s="2867"/>
      <c r="V539" s="2867"/>
      <c r="W539" s="2867"/>
      <c r="X539" s="2867"/>
      <c r="Y539" s="2867"/>
      <c r="Z539" s="2867"/>
      <c r="AA539" s="2867"/>
      <c r="AB539" s="2867"/>
      <c r="AC539" s="2867"/>
      <c r="AD539" s="2867"/>
      <c r="AE539" s="2867"/>
      <c r="AF539" s="2867"/>
      <c r="AG539" s="2867"/>
      <c r="AH539" s="2867"/>
      <c r="AI539" s="2867"/>
      <c r="AJ539" s="2867"/>
      <c r="AK539" s="2867"/>
      <c r="AL539" s="2867"/>
      <c r="AM539" s="2867"/>
      <c r="AN539" s="2867"/>
      <c r="AO539" s="2867"/>
      <c r="AP539" s="2867"/>
      <c r="AQ539" s="2867"/>
      <c r="AR539" s="2867"/>
      <c r="AS539" s="2867"/>
      <c r="AT539" s="2867"/>
      <c r="AU539" s="2867"/>
      <c r="AV539" s="2867"/>
      <c r="AW539" s="2867"/>
      <c r="AX539" s="2867"/>
      <c r="AY539" s="2867"/>
      <c r="AZ539" s="2867"/>
      <c r="BA539" s="2867"/>
      <c r="BB539" s="2867"/>
      <c r="BC539" s="2867"/>
      <c r="BD539" s="2867"/>
      <c r="BE539" s="2867"/>
      <c r="BF539" s="2867"/>
      <c r="BG539" s="2867"/>
      <c r="BH539" s="2867"/>
      <c r="BI539" s="2867"/>
      <c r="BJ539" s="2867"/>
      <c r="BK539" s="2867"/>
      <c r="BL539" s="2867"/>
      <c r="BM539" s="2867"/>
      <c r="BN539" s="2867"/>
      <c r="BO539" s="2867"/>
      <c r="BP539" s="2867"/>
      <c r="BQ539" s="2867"/>
      <c r="BR539" s="2867"/>
      <c r="BS539" s="2867"/>
      <c r="BT539" s="2867"/>
      <c r="BU539" s="2867"/>
      <c r="BV539" s="2867"/>
      <c r="BW539" s="2867"/>
      <c r="BX539" s="2867"/>
      <c r="BY539" s="2867"/>
      <c r="BZ539" s="2867"/>
      <c r="CA539" s="2867"/>
      <c r="CB539" s="2867"/>
      <c r="CC539" s="2867"/>
      <c r="CD539" s="2867"/>
      <c r="CE539" s="2867"/>
      <c r="CF539" s="2867"/>
      <c r="CG539" s="2867"/>
      <c r="CH539" s="2867"/>
      <c r="CI539" s="2867"/>
      <c r="CJ539" s="2867"/>
      <c r="CK539" s="2867"/>
      <c r="CL539" s="2867"/>
      <c r="CM539" s="2867"/>
      <c r="CN539" s="2867"/>
      <c r="CO539" s="2867"/>
      <c r="CP539" s="2867"/>
      <c r="CQ539" s="2867"/>
      <c r="CR539" s="2867"/>
      <c r="CS539" s="2867"/>
      <c r="CT539" s="2867"/>
      <c r="CU539" s="2867"/>
      <c r="CV539" s="2867"/>
      <c r="CW539" s="2867"/>
    </row>
    <row r="540" spans="1:101">
      <c r="A540" s="2867"/>
      <c r="B540" s="2867"/>
      <c r="C540" s="2867"/>
      <c r="D540" s="2867"/>
      <c r="E540" s="2867"/>
      <c r="F540" s="2867"/>
      <c r="G540" s="2867"/>
      <c r="H540" s="2867"/>
      <c r="I540" s="2867"/>
      <c r="J540" s="2867"/>
      <c r="K540" s="2867"/>
      <c r="L540" s="2867"/>
      <c r="M540" s="2867"/>
      <c r="O540" s="2867"/>
      <c r="P540" s="2867"/>
      <c r="Q540" s="2867"/>
      <c r="R540" s="2867"/>
      <c r="S540" s="2867"/>
      <c r="T540" s="2867"/>
      <c r="U540" s="2867"/>
      <c r="V540" s="2867"/>
      <c r="W540" s="2867"/>
      <c r="X540" s="2867"/>
      <c r="Y540" s="2867"/>
      <c r="Z540" s="2867"/>
      <c r="AA540" s="2867"/>
      <c r="AB540" s="2867"/>
      <c r="AC540" s="2867"/>
      <c r="AD540" s="2867"/>
      <c r="AE540" s="2867"/>
      <c r="AF540" s="2867"/>
      <c r="AG540" s="2867"/>
      <c r="AH540" s="2867"/>
      <c r="AI540" s="2867"/>
      <c r="AJ540" s="2867"/>
      <c r="AK540" s="2867"/>
      <c r="AL540" s="2867"/>
      <c r="AM540" s="2867"/>
      <c r="AN540" s="2867"/>
      <c r="AO540" s="2867"/>
      <c r="AP540" s="2867"/>
      <c r="AQ540" s="2867"/>
      <c r="AR540" s="2867"/>
      <c r="AS540" s="2867"/>
      <c r="AT540" s="2867"/>
      <c r="AU540" s="2867"/>
      <c r="AV540" s="2867"/>
      <c r="AW540" s="2867"/>
      <c r="AX540" s="2867"/>
      <c r="AY540" s="2867"/>
      <c r="AZ540" s="2867"/>
      <c r="BA540" s="2867"/>
      <c r="BB540" s="2867"/>
      <c r="BC540" s="2867"/>
      <c r="BD540" s="2867"/>
      <c r="BE540" s="2867"/>
      <c r="BF540" s="2867"/>
      <c r="BG540" s="2867"/>
      <c r="BH540" s="2867"/>
      <c r="BI540" s="2867"/>
      <c r="BJ540" s="2867"/>
      <c r="BK540" s="2867"/>
      <c r="BL540" s="2867"/>
      <c r="BM540" s="2867"/>
      <c r="BN540" s="2867"/>
      <c r="BO540" s="2867"/>
      <c r="BP540" s="2867"/>
      <c r="BQ540" s="2867"/>
      <c r="BR540" s="2867"/>
      <c r="BS540" s="2867"/>
      <c r="BT540" s="2867"/>
      <c r="BU540" s="2867"/>
      <c r="BV540" s="2867"/>
      <c r="BW540" s="2867"/>
      <c r="BX540" s="2867"/>
      <c r="BY540" s="2867"/>
      <c r="BZ540" s="2867"/>
      <c r="CA540" s="2867"/>
      <c r="CB540" s="2867"/>
      <c r="CC540" s="2867"/>
      <c r="CD540" s="2867"/>
      <c r="CE540" s="2867"/>
      <c r="CF540" s="2867"/>
      <c r="CG540" s="2867"/>
      <c r="CH540" s="2867"/>
      <c r="CI540" s="2867"/>
      <c r="CJ540" s="2867"/>
      <c r="CK540" s="2867"/>
      <c r="CL540" s="2867"/>
      <c r="CM540" s="2867"/>
      <c r="CN540" s="2867"/>
      <c r="CO540" s="2867"/>
      <c r="CP540" s="2867"/>
      <c r="CQ540" s="2867"/>
      <c r="CR540" s="2867"/>
      <c r="CS540" s="2867"/>
      <c r="CT540" s="2867"/>
      <c r="CU540" s="2867"/>
      <c r="CV540" s="2867"/>
      <c r="CW540" s="2867"/>
    </row>
    <row r="541" spans="1:101">
      <c r="A541" s="2867"/>
      <c r="B541" s="2867"/>
      <c r="C541" s="2867"/>
      <c r="D541" s="2867"/>
      <c r="E541" s="2867"/>
      <c r="F541" s="2867"/>
      <c r="G541" s="2867"/>
      <c r="H541" s="2867"/>
      <c r="I541" s="2867"/>
      <c r="J541" s="2867"/>
      <c r="K541" s="2867"/>
      <c r="L541" s="2867"/>
      <c r="M541" s="2867"/>
      <c r="O541" s="2867"/>
      <c r="P541" s="2867"/>
      <c r="Q541" s="2867"/>
      <c r="R541" s="2867"/>
      <c r="S541" s="2867"/>
      <c r="T541" s="2867"/>
      <c r="U541" s="2867"/>
      <c r="V541" s="2867"/>
      <c r="W541" s="2867"/>
      <c r="X541" s="2867"/>
      <c r="Y541" s="2867"/>
      <c r="Z541" s="2867"/>
      <c r="AA541" s="2867"/>
      <c r="AB541" s="2867"/>
      <c r="AC541" s="2867"/>
      <c r="AD541" s="2867"/>
      <c r="AE541" s="2867"/>
      <c r="AF541" s="2867"/>
      <c r="AG541" s="2867"/>
      <c r="AH541" s="2867"/>
      <c r="AI541" s="2867"/>
      <c r="AJ541" s="2867"/>
      <c r="AK541" s="2867"/>
      <c r="AL541" s="2867"/>
      <c r="AM541" s="2867"/>
      <c r="AN541" s="2867"/>
      <c r="AO541" s="2867"/>
      <c r="AP541" s="2867"/>
      <c r="AQ541" s="2867"/>
      <c r="AR541" s="2867"/>
      <c r="AS541" s="2867"/>
      <c r="AT541" s="2867"/>
      <c r="AU541" s="2867"/>
      <c r="AV541" s="2867"/>
      <c r="AW541" s="2867"/>
      <c r="AX541" s="2867"/>
      <c r="AY541" s="2867"/>
      <c r="AZ541" s="2867"/>
      <c r="BA541" s="2867"/>
      <c r="BB541" s="2867"/>
      <c r="BC541" s="2867"/>
      <c r="BD541" s="2867"/>
      <c r="BE541" s="2867"/>
      <c r="BF541" s="2867"/>
      <c r="BG541" s="2867"/>
      <c r="BH541" s="2867"/>
      <c r="BI541" s="2867"/>
      <c r="BJ541" s="2867"/>
      <c r="BK541" s="2867"/>
      <c r="BL541" s="2867"/>
      <c r="BM541" s="2867"/>
      <c r="BN541" s="2867"/>
      <c r="BO541" s="2867"/>
      <c r="BP541" s="2867"/>
      <c r="BQ541" s="2867"/>
      <c r="BR541" s="2867"/>
      <c r="BS541" s="2867"/>
      <c r="BT541" s="2867"/>
      <c r="BU541" s="2867"/>
      <c r="BV541" s="2867"/>
      <c r="BW541" s="2867"/>
      <c r="BX541" s="2867"/>
      <c r="BY541" s="2867"/>
      <c r="BZ541" s="2867"/>
      <c r="CA541" s="2867"/>
      <c r="CB541" s="2867"/>
      <c r="CC541" s="2867"/>
      <c r="CD541" s="2867"/>
      <c r="CE541" s="2867"/>
      <c r="CF541" s="2867"/>
      <c r="CG541" s="2867"/>
      <c r="CH541" s="2867"/>
      <c r="CI541" s="2867"/>
      <c r="CJ541" s="2867"/>
      <c r="CK541" s="2867"/>
      <c r="CL541" s="2867"/>
      <c r="CM541" s="2867"/>
      <c r="CN541" s="2867"/>
      <c r="CO541" s="2867"/>
      <c r="CP541" s="2867"/>
      <c r="CQ541" s="2867"/>
      <c r="CR541" s="2867"/>
      <c r="CS541" s="2867"/>
      <c r="CT541" s="2867"/>
      <c r="CU541" s="2867"/>
      <c r="CV541" s="2867"/>
      <c r="CW541" s="2867"/>
    </row>
    <row r="542" spans="1:101">
      <c r="A542" s="2867"/>
      <c r="B542" s="2867"/>
      <c r="C542" s="2867"/>
      <c r="D542" s="2867"/>
      <c r="E542" s="2867"/>
      <c r="F542" s="2867"/>
      <c r="G542" s="2867"/>
      <c r="H542" s="2867"/>
      <c r="I542" s="2867"/>
      <c r="J542" s="2867"/>
      <c r="K542" s="2867"/>
      <c r="L542" s="2867"/>
      <c r="M542" s="2867"/>
      <c r="O542" s="2867"/>
      <c r="P542" s="2867"/>
      <c r="Q542" s="2867"/>
      <c r="R542" s="2867"/>
      <c r="S542" s="2867"/>
      <c r="T542" s="2867"/>
      <c r="U542" s="2867"/>
      <c r="V542" s="2867"/>
      <c r="W542" s="2867"/>
      <c r="X542" s="2867"/>
      <c r="Y542" s="2867"/>
      <c r="Z542" s="2867"/>
      <c r="AA542" s="2867"/>
      <c r="AB542" s="2867"/>
      <c r="AC542" s="2867"/>
      <c r="AD542" s="2867"/>
      <c r="AE542" s="2867"/>
      <c r="AF542" s="2867"/>
      <c r="AG542" s="2867"/>
      <c r="AH542" s="2867"/>
      <c r="AI542" s="2867"/>
      <c r="AJ542" s="2867"/>
      <c r="AK542" s="2867"/>
      <c r="AL542" s="2867"/>
      <c r="AM542" s="2867"/>
      <c r="AN542" s="2867"/>
      <c r="AO542" s="2867"/>
      <c r="AP542" s="2867"/>
      <c r="AQ542" s="2867"/>
      <c r="AR542" s="2867"/>
      <c r="AS542" s="2867"/>
      <c r="AT542" s="2867"/>
      <c r="AU542" s="2867"/>
      <c r="AV542" s="2867"/>
      <c r="AW542" s="2867"/>
      <c r="AX542" s="2867"/>
      <c r="AY542" s="2867"/>
      <c r="AZ542" s="2867"/>
      <c r="BA542" s="2867"/>
      <c r="BB542" s="2867"/>
      <c r="BC542" s="2867"/>
      <c r="BD542" s="2867"/>
      <c r="BE542" s="2867"/>
      <c r="BF542" s="2867"/>
      <c r="BG542" s="2867"/>
      <c r="BH542" s="2867"/>
      <c r="BI542" s="2867"/>
      <c r="BJ542" s="2867"/>
      <c r="BK542" s="2867"/>
      <c r="BL542" s="2867"/>
      <c r="BM542" s="2867"/>
      <c r="BN542" s="2867"/>
      <c r="BO542" s="2867"/>
      <c r="BP542" s="2867"/>
      <c r="BQ542" s="2867"/>
      <c r="BR542" s="2867"/>
      <c r="BS542" s="2867"/>
      <c r="BT542" s="2867"/>
      <c r="BU542" s="2867"/>
      <c r="BV542" s="2867"/>
      <c r="BW542" s="2867"/>
      <c r="BX542" s="2867"/>
      <c r="BY542" s="2867"/>
      <c r="BZ542" s="2867"/>
      <c r="CA542" s="2867"/>
      <c r="CB542" s="2867"/>
      <c r="CC542" s="2867"/>
      <c r="CD542" s="2867"/>
      <c r="CE542" s="2867"/>
      <c r="CF542" s="2867"/>
      <c r="CG542" s="2867"/>
      <c r="CH542" s="2867"/>
      <c r="CI542" s="2867"/>
      <c r="CJ542" s="2867"/>
      <c r="CK542" s="2867"/>
      <c r="CL542" s="2867"/>
      <c r="CM542" s="2867"/>
      <c r="CN542" s="2867"/>
      <c r="CO542" s="2867"/>
      <c r="CP542" s="2867"/>
      <c r="CQ542" s="2867"/>
      <c r="CR542" s="2867"/>
      <c r="CS542" s="2867"/>
      <c r="CT542" s="2867"/>
      <c r="CU542" s="2867"/>
      <c r="CV542" s="2867"/>
      <c r="CW542" s="2867"/>
    </row>
    <row r="543" spans="1:101">
      <c r="A543" s="2867"/>
      <c r="B543" s="2867"/>
      <c r="C543" s="2867"/>
      <c r="D543" s="2867"/>
      <c r="E543" s="2867"/>
      <c r="F543" s="2867"/>
      <c r="G543" s="2867"/>
      <c r="H543" s="2867"/>
      <c r="I543" s="2867"/>
      <c r="J543" s="2867"/>
      <c r="K543" s="2867"/>
      <c r="L543" s="2867"/>
      <c r="M543" s="2867"/>
      <c r="O543" s="2867"/>
      <c r="P543" s="2867"/>
      <c r="Q543" s="2867"/>
      <c r="R543" s="2867"/>
      <c r="S543" s="2867"/>
      <c r="T543" s="2867"/>
      <c r="U543" s="2867"/>
      <c r="V543" s="2867"/>
      <c r="W543" s="2867"/>
      <c r="X543" s="2867"/>
      <c r="Y543" s="2867"/>
      <c r="Z543" s="2867"/>
      <c r="AA543" s="2867"/>
      <c r="AB543" s="2867"/>
      <c r="AC543" s="2867"/>
      <c r="AD543" s="2867"/>
      <c r="AE543" s="2867"/>
      <c r="AF543" s="2867"/>
      <c r="AG543" s="2867"/>
      <c r="AH543" s="2867"/>
      <c r="AI543" s="2867"/>
      <c r="AJ543" s="2867"/>
      <c r="AK543" s="2867"/>
      <c r="AL543" s="2867"/>
      <c r="AM543" s="2867"/>
      <c r="AN543" s="2867"/>
      <c r="AO543" s="2867"/>
      <c r="AP543" s="2867"/>
      <c r="AQ543" s="2867"/>
      <c r="AR543" s="2867"/>
      <c r="AS543" s="2867"/>
      <c r="AT543" s="2867"/>
      <c r="AU543" s="2867"/>
      <c r="AV543" s="2867"/>
      <c r="AW543" s="2867"/>
      <c r="AX543" s="2867"/>
      <c r="AY543" s="2867"/>
      <c r="AZ543" s="2867"/>
      <c r="BA543" s="2867"/>
      <c r="BB543" s="2867"/>
      <c r="BC543" s="2867"/>
      <c r="BD543" s="2867"/>
      <c r="BE543" s="2867"/>
      <c r="BF543" s="2867"/>
      <c r="BG543" s="2867"/>
      <c r="BH543" s="2867"/>
      <c r="BI543" s="2867"/>
      <c r="BJ543" s="2867"/>
      <c r="BK543" s="2867"/>
      <c r="BL543" s="2867"/>
      <c r="BM543" s="2867"/>
      <c r="BN543" s="2867"/>
      <c r="BO543" s="2867"/>
      <c r="BP543" s="2867"/>
      <c r="BQ543" s="2867"/>
      <c r="BR543" s="2867"/>
      <c r="BS543" s="2867"/>
      <c r="BT543" s="2867"/>
      <c r="BU543" s="2867"/>
      <c r="BV543" s="2867"/>
      <c r="BW543" s="2867"/>
      <c r="BX543" s="2867"/>
      <c r="BY543" s="2867"/>
      <c r="BZ543" s="2867"/>
      <c r="CA543" s="2867"/>
      <c r="CB543" s="2867"/>
      <c r="CC543" s="2867"/>
      <c r="CD543" s="2867"/>
      <c r="CE543" s="2867"/>
      <c r="CF543" s="2867"/>
      <c r="CG543" s="2867"/>
      <c r="CH543" s="2867"/>
      <c r="CI543" s="2867"/>
      <c r="CJ543" s="2867"/>
      <c r="CK543" s="2867"/>
      <c r="CL543" s="2867"/>
      <c r="CM543" s="2867"/>
      <c r="CN543" s="2867"/>
      <c r="CO543" s="2867"/>
      <c r="CP543" s="2867"/>
      <c r="CQ543" s="2867"/>
      <c r="CR543" s="2867"/>
      <c r="CS543" s="2867"/>
      <c r="CT543" s="2867"/>
      <c r="CU543" s="2867"/>
      <c r="CV543" s="2867"/>
      <c r="CW543" s="2867"/>
    </row>
    <row r="544" spans="1:101">
      <c r="A544" s="2867"/>
      <c r="B544" s="2867"/>
      <c r="C544" s="2867"/>
      <c r="D544" s="2867"/>
      <c r="E544" s="2867"/>
      <c r="F544" s="2867"/>
      <c r="G544" s="2867"/>
      <c r="H544" s="2867"/>
      <c r="I544" s="2867"/>
      <c r="J544" s="2867"/>
      <c r="K544" s="2867"/>
      <c r="L544" s="2867"/>
      <c r="M544" s="2867"/>
      <c r="O544" s="2867"/>
      <c r="P544" s="2867"/>
      <c r="Q544" s="2867"/>
      <c r="R544" s="2867"/>
      <c r="S544" s="2867"/>
      <c r="T544" s="2867"/>
      <c r="U544" s="2867"/>
      <c r="V544" s="2867"/>
      <c r="W544" s="2867"/>
      <c r="X544" s="2867"/>
      <c r="Y544" s="2867"/>
      <c r="Z544" s="2867"/>
      <c r="AA544" s="2867"/>
      <c r="AB544" s="2867"/>
      <c r="AC544" s="2867"/>
      <c r="AD544" s="2867"/>
      <c r="AE544" s="2867"/>
      <c r="AF544" s="2867"/>
      <c r="AG544" s="2867"/>
      <c r="AH544" s="2867"/>
      <c r="AI544" s="2867"/>
      <c r="AJ544" s="2867"/>
      <c r="AK544" s="2867"/>
      <c r="AL544" s="2867"/>
      <c r="AM544" s="2867"/>
      <c r="AN544" s="2867"/>
      <c r="AO544" s="2867"/>
      <c r="AP544" s="2867"/>
      <c r="AQ544" s="2867"/>
      <c r="AR544" s="2867"/>
      <c r="AS544" s="2867"/>
      <c r="AT544" s="2867"/>
      <c r="AU544" s="2867"/>
      <c r="AV544" s="2867"/>
      <c r="AW544" s="2867"/>
      <c r="AX544" s="2867"/>
      <c r="AY544" s="2867"/>
      <c r="AZ544" s="2867"/>
      <c r="BA544" s="2867"/>
      <c r="BB544" s="2867"/>
      <c r="BC544" s="2867"/>
      <c r="BD544" s="2867"/>
      <c r="BE544" s="2867"/>
      <c r="BF544" s="2867"/>
      <c r="BG544" s="2867"/>
      <c r="BH544" s="2867"/>
      <c r="BI544" s="2867"/>
      <c r="BJ544" s="2867"/>
      <c r="BK544" s="2867"/>
      <c r="BL544" s="2867"/>
      <c r="BM544" s="2867"/>
      <c r="BN544" s="2867"/>
      <c r="BO544" s="2867"/>
      <c r="BP544" s="2867"/>
      <c r="BQ544" s="2867"/>
      <c r="BR544" s="2867"/>
      <c r="BS544" s="2867"/>
      <c r="BT544" s="2867"/>
      <c r="BU544" s="2867"/>
      <c r="BV544" s="2867"/>
      <c r="BW544" s="2867"/>
      <c r="BX544" s="2867"/>
      <c r="BY544" s="2867"/>
      <c r="BZ544" s="2867"/>
      <c r="CA544" s="2867"/>
      <c r="CB544" s="2867"/>
      <c r="CC544" s="2867"/>
      <c r="CD544" s="2867"/>
      <c r="CE544" s="2867"/>
      <c r="CF544" s="2867"/>
      <c r="CG544" s="2867"/>
      <c r="CH544" s="2867"/>
      <c r="CI544" s="2867"/>
      <c r="CJ544" s="2867"/>
      <c r="CK544" s="2867"/>
      <c r="CL544" s="2867"/>
      <c r="CM544" s="2867"/>
      <c r="CN544" s="2867"/>
      <c r="CO544" s="2867"/>
      <c r="CP544" s="2867"/>
      <c r="CQ544" s="2867"/>
      <c r="CR544" s="2867"/>
      <c r="CS544" s="2867"/>
      <c r="CT544" s="2867"/>
      <c r="CU544" s="2867"/>
      <c r="CV544" s="2867"/>
      <c r="CW544" s="2867"/>
    </row>
    <row r="545" spans="1:101">
      <c r="A545" s="2867"/>
      <c r="B545" s="2867"/>
      <c r="C545" s="2867"/>
      <c r="D545" s="2867"/>
      <c r="E545" s="2867"/>
      <c r="F545" s="2867"/>
      <c r="G545" s="2867"/>
      <c r="H545" s="2867"/>
      <c r="I545" s="2867"/>
      <c r="J545" s="2867"/>
      <c r="K545" s="2867"/>
      <c r="L545" s="2867"/>
      <c r="M545" s="2867"/>
      <c r="O545" s="2867"/>
      <c r="P545" s="2867"/>
      <c r="Q545" s="2867"/>
      <c r="R545" s="2867"/>
      <c r="S545" s="2867"/>
      <c r="T545" s="2867"/>
      <c r="U545" s="2867"/>
      <c r="V545" s="2867"/>
      <c r="W545" s="2867"/>
      <c r="X545" s="2867"/>
      <c r="Y545" s="2867"/>
      <c r="Z545" s="2867"/>
      <c r="AA545" s="2867"/>
      <c r="AB545" s="2867"/>
      <c r="AC545" s="2867"/>
      <c r="AD545" s="2867"/>
      <c r="AE545" s="2867"/>
      <c r="AF545" s="2867"/>
      <c r="AG545" s="2867"/>
      <c r="AH545" s="2867"/>
      <c r="AI545" s="2867"/>
      <c r="AJ545" s="2867"/>
      <c r="AK545" s="2867"/>
      <c r="AL545" s="2867"/>
      <c r="AM545" s="2867"/>
      <c r="AN545" s="2867"/>
      <c r="AO545" s="2867"/>
      <c r="AP545" s="2867"/>
      <c r="AQ545" s="2867"/>
      <c r="AR545" s="2867"/>
      <c r="AS545" s="2867"/>
      <c r="AT545" s="2867"/>
      <c r="AU545" s="2867"/>
      <c r="AV545" s="2867"/>
      <c r="AW545" s="2867"/>
      <c r="AX545" s="2867"/>
      <c r="AY545" s="2867"/>
      <c r="AZ545" s="2867"/>
      <c r="BA545" s="2867"/>
      <c r="BB545" s="2867"/>
      <c r="BC545" s="2867"/>
      <c r="BD545" s="2867"/>
      <c r="BE545" s="2867"/>
      <c r="BF545" s="2867"/>
      <c r="BG545" s="2867"/>
      <c r="BH545" s="2867"/>
      <c r="BI545" s="2867"/>
      <c r="BJ545" s="2867"/>
      <c r="BK545" s="2867"/>
      <c r="BL545" s="2867"/>
      <c r="BM545" s="2867"/>
      <c r="BN545" s="2867"/>
      <c r="BO545" s="2867"/>
      <c r="BP545" s="2867"/>
      <c r="BQ545" s="2867"/>
      <c r="BR545" s="2867"/>
      <c r="BS545" s="2867"/>
      <c r="BT545" s="2867"/>
      <c r="BU545" s="2867"/>
      <c r="BV545" s="2867"/>
      <c r="BW545" s="2867"/>
      <c r="BX545" s="2867"/>
      <c r="BY545" s="2867"/>
      <c r="BZ545" s="2867"/>
      <c r="CA545" s="2867"/>
      <c r="CB545" s="2867"/>
      <c r="CC545" s="2867"/>
      <c r="CD545" s="2867"/>
      <c r="CE545" s="2867"/>
      <c r="CF545" s="2867"/>
      <c r="CG545" s="2867"/>
      <c r="CH545" s="2867"/>
      <c r="CI545" s="2867"/>
      <c r="CJ545" s="2867"/>
      <c r="CK545" s="2867"/>
      <c r="CL545" s="2867"/>
      <c r="CM545" s="2867"/>
      <c r="CN545" s="2867"/>
      <c r="CO545" s="2867"/>
      <c r="CP545" s="2867"/>
      <c r="CQ545" s="2867"/>
      <c r="CR545" s="2867"/>
      <c r="CS545" s="2867"/>
      <c r="CT545" s="2867"/>
      <c r="CU545" s="2867"/>
      <c r="CV545" s="2867"/>
      <c r="CW545" s="2867"/>
    </row>
    <row r="546" spans="1:101">
      <c r="A546" s="2867"/>
      <c r="B546" s="2867"/>
      <c r="C546" s="2867"/>
      <c r="D546" s="2867"/>
      <c r="E546" s="2867"/>
      <c r="F546" s="2867"/>
      <c r="G546" s="2867"/>
      <c r="H546" s="2867"/>
      <c r="I546" s="2867"/>
      <c r="J546" s="2867"/>
      <c r="K546" s="2867"/>
      <c r="L546" s="2867"/>
      <c r="M546" s="2867"/>
      <c r="O546" s="2867"/>
      <c r="P546" s="2867"/>
      <c r="Q546" s="2867"/>
      <c r="R546" s="2867"/>
      <c r="S546" s="2867"/>
      <c r="T546" s="2867"/>
      <c r="U546" s="2867"/>
      <c r="V546" s="2867"/>
      <c r="W546" s="2867"/>
      <c r="X546" s="2867"/>
      <c r="Y546" s="2867"/>
      <c r="Z546" s="2867"/>
      <c r="AA546" s="2867"/>
      <c r="AB546" s="2867"/>
      <c r="AC546" s="2867"/>
      <c r="AD546" s="2867"/>
      <c r="AE546" s="2867"/>
      <c r="AF546" s="2867"/>
      <c r="AG546" s="2867"/>
      <c r="AH546" s="2867"/>
      <c r="AI546" s="2867"/>
      <c r="AJ546" s="2867"/>
      <c r="AK546" s="2867"/>
      <c r="AL546" s="2867"/>
      <c r="AM546" s="2867"/>
      <c r="AN546" s="2867"/>
      <c r="AO546" s="2867"/>
      <c r="AP546" s="2867"/>
      <c r="AQ546" s="2867"/>
      <c r="AR546" s="2867"/>
      <c r="AS546" s="2867"/>
      <c r="AT546" s="2867"/>
      <c r="AU546" s="2867"/>
      <c r="AV546" s="2867"/>
      <c r="AW546" s="2867"/>
      <c r="AX546" s="2867"/>
      <c r="AY546" s="2867"/>
      <c r="AZ546" s="2867"/>
      <c r="BA546" s="2867"/>
      <c r="BB546" s="2867"/>
      <c r="BC546" s="2867"/>
      <c r="BD546" s="2867"/>
      <c r="BE546" s="2867"/>
      <c r="BF546" s="2867"/>
      <c r="BG546" s="2867"/>
      <c r="BH546" s="2867"/>
      <c r="BI546" s="2867"/>
      <c r="BJ546" s="2867"/>
      <c r="BK546" s="2867"/>
      <c r="BL546" s="2867"/>
      <c r="BM546" s="2867"/>
      <c r="BN546" s="2867"/>
      <c r="BO546" s="2867"/>
      <c r="BP546" s="2867"/>
      <c r="BQ546" s="2867"/>
      <c r="BR546" s="2867"/>
      <c r="BS546" s="2867"/>
      <c r="BT546" s="2867"/>
      <c r="BU546" s="2867"/>
      <c r="BV546" s="2867"/>
      <c r="BW546" s="2867"/>
      <c r="BX546" s="2867"/>
      <c r="BY546" s="2867"/>
      <c r="BZ546" s="2867"/>
      <c r="CA546" s="2867"/>
      <c r="CB546" s="2867"/>
      <c r="CC546" s="2867"/>
      <c r="CD546" s="2867"/>
      <c r="CE546" s="2867"/>
      <c r="CF546" s="2867"/>
      <c r="CG546" s="2867"/>
      <c r="CH546" s="2867"/>
      <c r="CI546" s="2867"/>
      <c r="CJ546" s="2867"/>
      <c r="CK546" s="2867"/>
      <c r="CL546" s="2867"/>
      <c r="CM546" s="2867"/>
      <c r="CN546" s="2867"/>
      <c r="CO546" s="2867"/>
      <c r="CP546" s="2867"/>
      <c r="CQ546" s="2867"/>
      <c r="CR546" s="2867"/>
      <c r="CS546" s="2867"/>
      <c r="CT546" s="2867"/>
      <c r="CU546" s="2867"/>
      <c r="CV546" s="2867"/>
      <c r="CW546" s="2867"/>
    </row>
    <row r="547" spans="1:101">
      <c r="A547" s="2867"/>
      <c r="B547" s="2867"/>
      <c r="C547" s="2867"/>
      <c r="D547" s="2867"/>
      <c r="E547" s="2867"/>
      <c r="F547" s="2867"/>
      <c r="G547" s="2867"/>
      <c r="H547" s="2867"/>
      <c r="I547" s="2867"/>
      <c r="J547" s="2867"/>
      <c r="K547" s="2867"/>
      <c r="L547" s="2867"/>
      <c r="M547" s="2867"/>
      <c r="O547" s="2867"/>
      <c r="P547" s="2867"/>
      <c r="Q547" s="2867"/>
      <c r="R547" s="2867"/>
      <c r="S547" s="2867"/>
      <c r="T547" s="2867"/>
      <c r="U547" s="2867"/>
      <c r="V547" s="2867"/>
      <c r="W547" s="2867"/>
      <c r="X547" s="2867"/>
      <c r="Y547" s="2867"/>
      <c r="Z547" s="2867"/>
      <c r="AA547" s="2867"/>
      <c r="AB547" s="2867"/>
      <c r="AC547" s="2867"/>
      <c r="AD547" s="2867"/>
      <c r="AE547" s="2867"/>
      <c r="AF547" s="2867"/>
      <c r="AG547" s="2867"/>
      <c r="AH547" s="2867"/>
      <c r="AI547" s="2867"/>
      <c r="AJ547" s="2867"/>
      <c r="AK547" s="2867"/>
      <c r="AL547" s="2867"/>
      <c r="AM547" s="2867"/>
      <c r="AN547" s="2867"/>
      <c r="AO547" s="2867"/>
      <c r="AP547" s="2867"/>
      <c r="AQ547" s="2867"/>
      <c r="AR547" s="2867"/>
      <c r="AS547" s="2867"/>
      <c r="AT547" s="2867"/>
      <c r="AU547" s="2867"/>
      <c r="AV547" s="2867"/>
      <c r="AW547" s="2867"/>
      <c r="AX547" s="2867"/>
      <c r="AY547" s="2867"/>
      <c r="AZ547" s="2867"/>
      <c r="BA547" s="2867"/>
      <c r="BB547" s="2867"/>
      <c r="BC547" s="2867"/>
      <c r="BD547" s="2867"/>
      <c r="BE547" s="2867"/>
      <c r="BF547" s="2867"/>
      <c r="BG547" s="2867"/>
      <c r="BH547" s="2867"/>
      <c r="BI547" s="2867"/>
      <c r="BJ547" s="2867"/>
      <c r="BK547" s="2867"/>
      <c r="BL547" s="2867"/>
      <c r="BM547" s="2867"/>
      <c r="BN547" s="2867"/>
      <c r="BO547" s="2867"/>
      <c r="BP547" s="2867"/>
      <c r="BQ547" s="2867"/>
      <c r="BR547" s="2867"/>
      <c r="BS547" s="2867"/>
      <c r="BT547" s="2867"/>
      <c r="BU547" s="2867"/>
      <c r="BV547" s="2867"/>
      <c r="BW547" s="2867"/>
      <c r="BX547" s="2867"/>
      <c r="BY547" s="2867"/>
      <c r="BZ547" s="2867"/>
      <c r="CA547" s="2867"/>
      <c r="CB547" s="2867"/>
      <c r="CC547" s="2867"/>
      <c r="CD547" s="2867"/>
      <c r="CE547" s="2867"/>
      <c r="CF547" s="2867"/>
      <c r="CG547" s="2867"/>
      <c r="CH547" s="2867"/>
      <c r="CI547" s="2867"/>
      <c r="CJ547" s="2867"/>
      <c r="CK547" s="2867"/>
      <c r="CL547" s="2867"/>
      <c r="CM547" s="2867"/>
      <c r="CN547" s="2867"/>
      <c r="CO547" s="2867"/>
      <c r="CP547" s="2867"/>
      <c r="CQ547" s="2867"/>
      <c r="CR547" s="2867"/>
      <c r="CS547" s="2867"/>
      <c r="CT547" s="2867"/>
      <c r="CU547" s="2867"/>
      <c r="CV547" s="2867"/>
      <c r="CW547" s="2867"/>
    </row>
    <row r="548" spans="1:101">
      <c r="A548" s="2867"/>
      <c r="B548" s="2867"/>
      <c r="C548" s="2867"/>
      <c r="D548" s="2867"/>
      <c r="E548" s="2867"/>
      <c r="F548" s="2867"/>
      <c r="G548" s="2867"/>
      <c r="H548" s="2867"/>
      <c r="I548" s="2867"/>
      <c r="J548" s="2867"/>
      <c r="K548" s="2867"/>
      <c r="L548" s="2867"/>
      <c r="M548" s="2867"/>
      <c r="O548" s="2867"/>
      <c r="P548" s="2867"/>
      <c r="Q548" s="2867"/>
      <c r="R548" s="2867"/>
      <c r="S548" s="2867"/>
      <c r="T548" s="2867"/>
      <c r="U548" s="2867"/>
      <c r="V548" s="2867"/>
      <c r="W548" s="2867"/>
      <c r="X548" s="2867"/>
      <c r="Y548" s="2867"/>
      <c r="Z548" s="2867"/>
      <c r="AA548" s="2867"/>
      <c r="AB548" s="2867"/>
      <c r="AC548" s="2867"/>
      <c r="AD548" s="2867"/>
      <c r="AE548" s="2867"/>
      <c r="AF548" s="2867"/>
      <c r="AG548" s="2867"/>
      <c r="AH548" s="2867"/>
      <c r="AI548" s="2867"/>
      <c r="AJ548" s="2867"/>
      <c r="AK548" s="2867"/>
      <c r="AL548" s="2867"/>
      <c r="AM548" s="2867"/>
      <c r="AN548" s="2867"/>
      <c r="AO548" s="2867"/>
      <c r="AP548" s="2867"/>
      <c r="AQ548" s="2867"/>
      <c r="AR548" s="2867"/>
      <c r="AS548" s="2867"/>
      <c r="AT548" s="2867"/>
      <c r="AU548" s="2867"/>
      <c r="AV548" s="2867"/>
      <c r="AW548" s="2867"/>
      <c r="AX548" s="2867"/>
      <c r="AY548" s="2867"/>
      <c r="AZ548" s="2867"/>
      <c r="BA548" s="2867"/>
      <c r="BB548" s="2867"/>
      <c r="BC548" s="2867"/>
      <c r="BD548" s="2867"/>
      <c r="BE548" s="2867"/>
      <c r="BF548" s="2867"/>
      <c r="BG548" s="2867"/>
      <c r="BH548" s="2867"/>
      <c r="BI548" s="2867"/>
      <c r="BJ548" s="2867"/>
      <c r="BK548" s="2867"/>
      <c r="BL548" s="2867"/>
      <c r="BM548" s="2867"/>
      <c r="BN548" s="2867"/>
      <c r="BO548" s="2867"/>
      <c r="BP548" s="2867"/>
      <c r="BQ548" s="2867"/>
      <c r="BR548" s="2867"/>
      <c r="BS548" s="2867"/>
      <c r="BT548" s="2867"/>
      <c r="BU548" s="2867"/>
      <c r="BV548" s="2867"/>
      <c r="BW548" s="2867"/>
      <c r="BX548" s="2867"/>
      <c r="BY548" s="2867"/>
      <c r="BZ548" s="2867"/>
      <c r="CA548" s="2867"/>
      <c r="CB548" s="2867"/>
      <c r="CC548" s="2867"/>
      <c r="CD548" s="2867"/>
      <c r="CE548" s="2867"/>
      <c r="CF548" s="2867"/>
      <c r="CG548" s="2867"/>
      <c r="CH548" s="2867"/>
      <c r="CI548" s="2867"/>
      <c r="CJ548" s="2867"/>
      <c r="CK548" s="2867"/>
      <c r="CL548" s="2867"/>
      <c r="CM548" s="2867"/>
      <c r="CN548" s="2867"/>
      <c r="CO548" s="2867"/>
      <c r="CP548" s="2867"/>
      <c r="CQ548" s="2867"/>
      <c r="CR548" s="2867"/>
      <c r="CS548" s="2867"/>
      <c r="CT548" s="2867"/>
      <c r="CU548" s="2867"/>
      <c r="CV548" s="2867"/>
      <c r="CW548" s="2867"/>
    </row>
    <row r="549" spans="1:101">
      <c r="A549" s="2867"/>
      <c r="B549" s="2867"/>
      <c r="C549" s="2867"/>
      <c r="D549" s="2867"/>
      <c r="E549" s="2867"/>
      <c r="F549" s="2867"/>
      <c r="G549" s="2867"/>
      <c r="H549" s="2867"/>
      <c r="I549" s="2867"/>
      <c r="J549" s="2867"/>
      <c r="K549" s="2867"/>
      <c r="L549" s="2867"/>
      <c r="M549" s="2867"/>
      <c r="O549" s="2867"/>
      <c r="P549" s="2867"/>
      <c r="Q549" s="2867"/>
      <c r="R549" s="2867"/>
      <c r="S549" s="2867"/>
      <c r="T549" s="2867"/>
      <c r="U549" s="2867"/>
      <c r="V549" s="2867"/>
      <c r="W549" s="2867"/>
      <c r="X549" s="2867"/>
      <c r="Y549" s="2867"/>
      <c r="Z549" s="2867"/>
      <c r="AA549" s="2867"/>
      <c r="AB549" s="2867"/>
      <c r="AC549" s="2867"/>
      <c r="AD549" s="2867"/>
      <c r="AE549" s="2867"/>
      <c r="AF549" s="2867"/>
      <c r="AG549" s="2867"/>
      <c r="AH549" s="2867"/>
      <c r="AI549" s="2867"/>
      <c r="AJ549" s="2867"/>
      <c r="AK549" s="2867"/>
      <c r="AL549" s="2867"/>
      <c r="AM549" s="2867"/>
      <c r="AN549" s="2867"/>
      <c r="AO549" s="2867"/>
      <c r="AP549" s="2867"/>
      <c r="AQ549" s="2867"/>
      <c r="AR549" s="2867"/>
      <c r="AS549" s="2867"/>
      <c r="AT549" s="2867"/>
      <c r="AU549" s="2867"/>
      <c r="AV549" s="2867"/>
      <c r="AW549" s="2867"/>
      <c r="AX549" s="2867"/>
      <c r="AY549" s="2867"/>
      <c r="AZ549" s="2867"/>
      <c r="BA549" s="2867"/>
      <c r="BB549" s="2867"/>
      <c r="BC549" s="2867"/>
      <c r="BD549" s="2867"/>
      <c r="BE549" s="2867"/>
      <c r="BF549" s="2867"/>
      <c r="BG549" s="2867"/>
      <c r="BH549" s="2867"/>
      <c r="BI549" s="2867"/>
      <c r="BJ549" s="2867"/>
      <c r="BK549" s="2867"/>
      <c r="BL549" s="2867"/>
      <c r="BM549" s="2867"/>
      <c r="BN549" s="2867"/>
      <c r="BO549" s="2867"/>
      <c r="BP549" s="2867"/>
      <c r="BQ549" s="2867"/>
      <c r="BR549" s="2867"/>
      <c r="BS549" s="2867"/>
      <c r="BT549" s="2867"/>
      <c r="BU549" s="2867"/>
      <c r="BV549" s="2867"/>
      <c r="BW549" s="2867"/>
      <c r="BX549" s="2867"/>
      <c r="BY549" s="2867"/>
      <c r="BZ549" s="2867"/>
      <c r="CA549" s="2867"/>
      <c r="CB549" s="2867"/>
      <c r="CC549" s="2867"/>
      <c r="CD549" s="2867"/>
      <c r="CE549" s="2867"/>
      <c r="CF549" s="2867"/>
      <c r="CG549" s="2867"/>
      <c r="CH549" s="2867"/>
      <c r="CI549" s="2867"/>
      <c r="CJ549" s="2867"/>
      <c r="CK549" s="2867"/>
      <c r="CL549" s="2867"/>
      <c r="CM549" s="2867"/>
      <c r="CN549" s="2867"/>
      <c r="CO549" s="2867"/>
      <c r="CP549" s="2867"/>
      <c r="CQ549" s="2867"/>
      <c r="CR549" s="2867"/>
      <c r="CS549" s="2867"/>
      <c r="CT549" s="2867"/>
      <c r="CU549" s="2867"/>
      <c r="CV549" s="2867"/>
      <c r="CW549" s="2867"/>
    </row>
    <row r="550" spans="1:101">
      <c r="A550" s="2867"/>
      <c r="B550" s="2867"/>
      <c r="C550" s="2867"/>
      <c r="D550" s="2867"/>
      <c r="E550" s="2867"/>
      <c r="F550" s="2867"/>
      <c r="G550" s="2867"/>
      <c r="H550" s="2867"/>
      <c r="I550" s="2867"/>
      <c r="J550" s="2867"/>
      <c r="K550" s="2867"/>
      <c r="L550" s="2867"/>
      <c r="M550" s="2867"/>
      <c r="O550" s="2867"/>
      <c r="P550" s="2867"/>
      <c r="Q550" s="2867"/>
      <c r="R550" s="2867"/>
      <c r="S550" s="2867"/>
      <c r="T550" s="2867"/>
      <c r="U550" s="2867"/>
      <c r="V550" s="2867"/>
      <c r="W550" s="2867"/>
      <c r="X550" s="2867"/>
      <c r="Y550" s="2867"/>
      <c r="Z550" s="2867"/>
      <c r="AA550" s="2867"/>
      <c r="AB550" s="2867"/>
      <c r="AC550" s="2867"/>
      <c r="AD550" s="2867"/>
      <c r="AE550" s="2867"/>
      <c r="AF550" s="2867"/>
      <c r="AG550" s="2867"/>
      <c r="AH550" s="2867"/>
      <c r="AI550" s="2867"/>
      <c r="AJ550" s="2867"/>
      <c r="AK550" s="2867"/>
      <c r="AL550" s="2867"/>
      <c r="AM550" s="2867"/>
      <c r="AN550" s="2867"/>
      <c r="AO550" s="2867"/>
      <c r="AP550" s="2867"/>
      <c r="AQ550" s="2867"/>
      <c r="AR550" s="2867"/>
      <c r="AS550" s="2867"/>
      <c r="AT550" s="2867"/>
      <c r="AU550" s="2867"/>
      <c r="AV550" s="2867"/>
      <c r="AW550" s="2867"/>
      <c r="AX550" s="2867"/>
      <c r="AY550" s="2867"/>
      <c r="AZ550" s="2867"/>
      <c r="BA550" s="2867"/>
      <c r="BB550" s="2867"/>
      <c r="BC550" s="2867"/>
      <c r="BD550" s="2867"/>
      <c r="BE550" s="2867"/>
      <c r="BF550" s="2867"/>
      <c r="BG550" s="2867"/>
      <c r="BH550" s="2867"/>
      <c r="BI550" s="2867"/>
      <c r="BJ550" s="2867"/>
      <c r="BK550" s="2867"/>
      <c r="BL550" s="2867"/>
      <c r="BM550" s="2867"/>
      <c r="BN550" s="2867"/>
      <c r="BO550" s="2867"/>
      <c r="BP550" s="2867"/>
      <c r="BQ550" s="2867"/>
      <c r="BR550" s="2867"/>
      <c r="BS550" s="2867"/>
      <c r="BT550" s="2867"/>
      <c r="BU550" s="2867"/>
      <c r="BV550" s="2867"/>
      <c r="BW550" s="2867"/>
      <c r="BX550" s="2867"/>
      <c r="BY550" s="2867"/>
      <c r="BZ550" s="2867"/>
      <c r="CA550" s="2867"/>
      <c r="CB550" s="2867"/>
      <c r="CC550" s="2867"/>
      <c r="CD550" s="2867"/>
      <c r="CE550" s="2867"/>
      <c r="CF550" s="2867"/>
      <c r="CG550" s="2867"/>
      <c r="CH550" s="2867"/>
      <c r="CI550" s="2867"/>
      <c r="CJ550" s="2867"/>
      <c r="CK550" s="2867"/>
      <c r="CL550" s="2867"/>
      <c r="CM550" s="2867"/>
      <c r="CN550" s="2867"/>
      <c r="CO550" s="2867"/>
      <c r="CP550" s="2867"/>
      <c r="CQ550" s="2867"/>
      <c r="CR550" s="2867"/>
      <c r="CS550" s="2867"/>
      <c r="CT550" s="2867"/>
      <c r="CU550" s="2867"/>
      <c r="CV550" s="2867"/>
      <c r="CW550" s="2867"/>
    </row>
    <row r="551" spans="1:101">
      <c r="A551" s="2867"/>
      <c r="B551" s="2867"/>
      <c r="C551" s="2867"/>
      <c r="D551" s="2867"/>
      <c r="E551" s="2867"/>
      <c r="F551" s="2867"/>
      <c r="G551" s="2867"/>
      <c r="H551" s="2867"/>
      <c r="I551" s="2867"/>
      <c r="J551" s="2867"/>
      <c r="K551" s="2867"/>
      <c r="L551" s="2867"/>
      <c r="M551" s="2867"/>
      <c r="O551" s="2867"/>
      <c r="P551" s="2867"/>
      <c r="Q551" s="2867"/>
      <c r="R551" s="2867"/>
      <c r="S551" s="2867"/>
      <c r="T551" s="2867"/>
      <c r="U551" s="2867"/>
      <c r="V551" s="2867"/>
      <c r="W551" s="2867"/>
      <c r="X551" s="2867"/>
      <c r="Y551" s="2867"/>
      <c r="Z551" s="2867"/>
      <c r="AA551" s="2867"/>
      <c r="AB551" s="2867"/>
      <c r="AC551" s="2867"/>
      <c r="AD551" s="2867"/>
      <c r="AE551" s="2867"/>
      <c r="AF551" s="2867"/>
      <c r="AG551" s="2867"/>
      <c r="AH551" s="2867"/>
      <c r="AI551" s="2867"/>
      <c r="AJ551" s="2867"/>
      <c r="AK551" s="2867"/>
      <c r="AL551" s="2867"/>
      <c r="AM551" s="2867"/>
      <c r="AN551" s="2867"/>
      <c r="AO551" s="2867"/>
      <c r="AP551" s="2867"/>
      <c r="AQ551" s="2867"/>
      <c r="AR551" s="2867"/>
      <c r="AS551" s="2867"/>
      <c r="AT551" s="2867"/>
      <c r="AU551" s="2867"/>
      <c r="AV551" s="2867"/>
      <c r="AW551" s="2867"/>
      <c r="AX551" s="2867"/>
      <c r="AY551" s="2867"/>
      <c r="AZ551" s="2867"/>
      <c r="BA551" s="2867"/>
      <c r="BB551" s="2867"/>
      <c r="BC551" s="2867"/>
      <c r="BD551" s="2867"/>
      <c r="BE551" s="2867"/>
      <c r="BF551" s="2867"/>
      <c r="BG551" s="2867"/>
      <c r="BH551" s="2867"/>
      <c r="BI551" s="2867"/>
      <c r="BJ551" s="2867"/>
      <c r="BK551" s="2867"/>
      <c r="BL551" s="2867"/>
      <c r="BM551" s="2867"/>
      <c r="BN551" s="2867"/>
      <c r="BO551" s="2867"/>
      <c r="BP551" s="2867"/>
      <c r="BQ551" s="2867"/>
      <c r="BR551" s="2867"/>
      <c r="BS551" s="2867"/>
      <c r="BT551" s="2867"/>
      <c r="BU551" s="2867"/>
      <c r="BV551" s="2867"/>
      <c r="BW551" s="2867"/>
      <c r="BX551" s="2867"/>
      <c r="BY551" s="2867"/>
      <c r="BZ551" s="2867"/>
      <c r="CA551" s="2867"/>
      <c r="CB551" s="2867"/>
      <c r="CC551" s="2867"/>
      <c r="CD551" s="2867"/>
      <c r="CE551" s="2867"/>
      <c r="CF551" s="2867"/>
      <c r="CG551" s="2867"/>
      <c r="CH551" s="2867"/>
      <c r="CI551" s="2867"/>
      <c r="CJ551" s="2867"/>
      <c r="CK551" s="2867"/>
      <c r="CL551" s="2867"/>
      <c r="CM551" s="2867"/>
      <c r="CN551" s="2867"/>
      <c r="CO551" s="2867"/>
      <c r="CP551" s="2867"/>
      <c r="CQ551" s="2867"/>
      <c r="CR551" s="2867"/>
      <c r="CS551" s="2867"/>
      <c r="CT551" s="2867"/>
      <c r="CU551" s="2867"/>
      <c r="CV551" s="2867"/>
      <c r="CW551" s="2867"/>
    </row>
    <row r="552" spans="1:101">
      <c r="A552" s="2867"/>
      <c r="B552" s="2867"/>
      <c r="C552" s="2867"/>
      <c r="D552" s="2867"/>
      <c r="E552" s="2867"/>
      <c r="F552" s="2867"/>
      <c r="G552" s="2867"/>
      <c r="H552" s="2867"/>
      <c r="I552" s="2867"/>
      <c r="J552" s="2867"/>
      <c r="K552" s="2867"/>
      <c r="L552" s="2867"/>
      <c r="M552" s="2867"/>
      <c r="O552" s="2867"/>
      <c r="P552" s="2867"/>
      <c r="Q552" s="2867"/>
      <c r="R552" s="2867"/>
      <c r="S552" s="2867"/>
      <c r="T552" s="2867"/>
      <c r="U552" s="2867"/>
      <c r="V552" s="2867"/>
      <c r="W552" s="2867"/>
      <c r="X552" s="2867"/>
      <c r="Y552" s="2867"/>
      <c r="Z552" s="2867"/>
      <c r="AA552" s="2867"/>
      <c r="AB552" s="2867"/>
      <c r="AC552" s="2867"/>
      <c r="AD552" s="2867"/>
      <c r="AE552" s="2867"/>
      <c r="AF552" s="2867"/>
      <c r="AG552" s="2867"/>
      <c r="AH552" s="2867"/>
      <c r="AI552" s="2867"/>
      <c r="AJ552" s="2867"/>
      <c r="AK552" s="2867"/>
      <c r="AL552" s="2867"/>
      <c r="AM552" s="2867"/>
      <c r="AN552" s="2867"/>
      <c r="AO552" s="2867"/>
      <c r="AP552" s="2867"/>
      <c r="AQ552" s="2867"/>
      <c r="AR552" s="2867"/>
      <c r="AS552" s="2867"/>
      <c r="AT552" s="2867"/>
      <c r="AU552" s="2867"/>
      <c r="AV552" s="2867"/>
      <c r="AW552" s="2867"/>
      <c r="AX552" s="2867"/>
      <c r="AY552" s="2867"/>
      <c r="AZ552" s="2867"/>
      <c r="BA552" s="2867"/>
      <c r="BB552" s="2867"/>
      <c r="BC552" s="2867"/>
      <c r="BD552" s="2867"/>
      <c r="BE552" s="2867"/>
      <c r="BF552" s="2867"/>
      <c r="BG552" s="2867"/>
      <c r="BH552" s="2867"/>
      <c r="BI552" s="2867"/>
      <c r="BJ552" s="2867"/>
      <c r="BK552" s="2867"/>
      <c r="BL552" s="2867"/>
      <c r="BM552" s="2867"/>
      <c r="BN552" s="2867"/>
      <c r="BO552" s="2867"/>
      <c r="BP552" s="2867"/>
      <c r="BQ552" s="2867"/>
      <c r="BR552" s="2867"/>
      <c r="BS552" s="2867"/>
      <c r="BT552" s="2867"/>
      <c r="BU552" s="2867"/>
      <c r="BV552" s="2867"/>
      <c r="BW552" s="2867"/>
      <c r="BX552" s="2867"/>
      <c r="BY552" s="2867"/>
      <c r="BZ552" s="2867"/>
      <c r="CA552" s="2867"/>
      <c r="CB552" s="2867"/>
      <c r="CC552" s="2867"/>
      <c r="CD552" s="2867"/>
      <c r="CE552" s="2867"/>
      <c r="CF552" s="2867"/>
      <c r="CG552" s="2867"/>
      <c r="CH552" s="2867"/>
      <c r="CI552" s="2867"/>
      <c r="CJ552" s="2867"/>
      <c r="CK552" s="2867"/>
      <c r="CL552" s="2867"/>
      <c r="CM552" s="2867"/>
      <c r="CN552" s="2867"/>
      <c r="CO552" s="2867"/>
      <c r="CP552" s="2867"/>
      <c r="CQ552" s="2867"/>
      <c r="CR552" s="2867"/>
      <c r="CS552" s="2867"/>
      <c r="CT552" s="2867"/>
      <c r="CU552" s="2867"/>
      <c r="CV552" s="2867"/>
      <c r="CW552" s="2867"/>
    </row>
    <row r="553" spans="1:101">
      <c r="A553" s="2867"/>
      <c r="B553" s="2867"/>
      <c r="C553" s="2867"/>
      <c r="D553" s="2867"/>
      <c r="E553" s="2867"/>
      <c r="F553" s="2867"/>
      <c r="G553" s="2867"/>
      <c r="H553" s="2867"/>
      <c r="I553" s="2867"/>
      <c r="J553" s="2867"/>
      <c r="K553" s="2867"/>
      <c r="L553" s="2867"/>
      <c r="M553" s="2867"/>
      <c r="O553" s="2867"/>
      <c r="P553" s="2867"/>
      <c r="Q553" s="2867"/>
      <c r="R553" s="2867"/>
      <c r="S553" s="2867"/>
      <c r="T553" s="2867"/>
      <c r="U553" s="2867"/>
      <c r="V553" s="2867"/>
      <c r="W553" s="2867"/>
      <c r="X553" s="2867"/>
      <c r="Y553" s="2867"/>
      <c r="Z553" s="2867"/>
      <c r="AA553" s="2867"/>
      <c r="AB553" s="2867"/>
      <c r="AC553" s="2867"/>
      <c r="AD553" s="2867"/>
      <c r="AE553" s="2867"/>
      <c r="AF553" s="2867"/>
      <c r="AG553" s="2867"/>
      <c r="AH553" s="2867"/>
      <c r="AI553" s="2867"/>
      <c r="AJ553" s="2867"/>
      <c r="AK553" s="2867"/>
      <c r="AL553" s="2867"/>
      <c r="AM553" s="2867"/>
      <c r="AN553" s="2867"/>
      <c r="AO553" s="2867"/>
      <c r="AP553" s="2867"/>
      <c r="AQ553" s="2867"/>
      <c r="AR553" s="2867"/>
      <c r="AS553" s="2867"/>
      <c r="AT553" s="2867"/>
      <c r="AU553" s="2867"/>
      <c r="AV553" s="2867"/>
      <c r="AW553" s="2867"/>
      <c r="AX553" s="2867"/>
      <c r="AY553" s="2867"/>
      <c r="AZ553" s="2867"/>
      <c r="BA553" s="2867"/>
      <c r="BB553" s="2867"/>
      <c r="BC553" s="2867"/>
      <c r="BD553" s="2867"/>
      <c r="BE553" s="2867"/>
      <c r="BF553" s="2867"/>
      <c r="BG553" s="2867"/>
      <c r="BH553" s="2867"/>
      <c r="BI553" s="2867"/>
      <c r="BJ553" s="2867"/>
      <c r="BK553" s="2867"/>
      <c r="BL553" s="2867"/>
      <c r="BM553" s="2867"/>
      <c r="BN553" s="2867"/>
      <c r="BO553" s="2867"/>
      <c r="BP553" s="2867"/>
      <c r="BQ553" s="2867"/>
      <c r="BR553" s="2867"/>
      <c r="BS553" s="2867"/>
      <c r="BT553" s="2867"/>
      <c r="BU553" s="2867"/>
      <c r="BV553" s="2867"/>
      <c r="BW553" s="2867"/>
      <c r="BX553" s="2867"/>
      <c r="BY553" s="2867"/>
      <c r="BZ553" s="2867"/>
      <c r="CA553" s="2867"/>
      <c r="CB553" s="2867"/>
      <c r="CC553" s="2867"/>
      <c r="CD553" s="2867"/>
      <c r="CE553" s="2867"/>
      <c r="CF553" s="2867"/>
      <c r="CG553" s="2867"/>
      <c r="CH553" s="2867"/>
      <c r="CI553" s="2867"/>
      <c r="CJ553" s="2867"/>
      <c r="CK553" s="2867"/>
      <c r="CL553" s="2867"/>
      <c r="CM553" s="2867"/>
      <c r="CN553" s="2867"/>
      <c r="CO553" s="2867"/>
      <c r="CP553" s="2867"/>
      <c r="CQ553" s="2867"/>
      <c r="CR553" s="2867"/>
      <c r="CS553" s="2867"/>
      <c r="CT553" s="2867"/>
      <c r="CU553" s="2867"/>
      <c r="CV553" s="2867"/>
      <c r="CW553" s="2867"/>
    </row>
    <row r="554" spans="1:101">
      <c r="A554" s="2867"/>
      <c r="B554" s="2867"/>
      <c r="C554" s="2867"/>
      <c r="D554" s="2867"/>
      <c r="E554" s="2867"/>
      <c r="F554" s="2867"/>
      <c r="G554" s="2867"/>
      <c r="H554" s="2867"/>
      <c r="I554" s="2867"/>
      <c r="J554" s="2867"/>
      <c r="K554" s="2867"/>
      <c r="L554" s="2867"/>
      <c r="M554" s="2867"/>
      <c r="O554" s="2867"/>
      <c r="P554" s="2867"/>
      <c r="Q554" s="2867"/>
      <c r="R554" s="2867"/>
      <c r="S554" s="2867"/>
      <c r="T554" s="2867"/>
      <c r="U554" s="2867"/>
      <c r="V554" s="2867"/>
      <c r="W554" s="2867"/>
      <c r="X554" s="2867"/>
      <c r="Y554" s="2867"/>
      <c r="Z554" s="2867"/>
      <c r="AA554" s="2867"/>
      <c r="AB554" s="2867"/>
      <c r="AC554" s="2867"/>
      <c r="AD554" s="2867"/>
      <c r="AE554" s="2867"/>
      <c r="AF554" s="2867"/>
      <c r="AG554" s="2867"/>
      <c r="AH554" s="2867"/>
      <c r="AI554" s="2867"/>
      <c r="AJ554" s="2867"/>
      <c r="AK554" s="2867"/>
      <c r="AL554" s="2867"/>
      <c r="AM554" s="2867"/>
      <c r="AN554" s="2867"/>
      <c r="AO554" s="2867"/>
      <c r="AP554" s="2867"/>
      <c r="AQ554" s="2867"/>
      <c r="AR554" s="2867"/>
      <c r="AS554" s="2867"/>
      <c r="AT554" s="2867"/>
      <c r="AU554" s="2867"/>
      <c r="AV554" s="2867"/>
      <c r="AW554" s="2867"/>
      <c r="AX554" s="2867"/>
      <c r="AY554" s="2867"/>
      <c r="AZ554" s="2867"/>
      <c r="BA554" s="2867"/>
      <c r="BB554" s="2867"/>
      <c r="BC554" s="2867"/>
      <c r="BD554" s="2867"/>
      <c r="BE554" s="2867"/>
      <c r="BF554" s="2867"/>
      <c r="BG554" s="2867"/>
      <c r="BH554" s="2867"/>
      <c r="BI554" s="2867"/>
      <c r="BJ554" s="2867"/>
      <c r="BK554" s="2867"/>
      <c r="BL554" s="2867"/>
      <c r="BM554" s="2867"/>
      <c r="BN554" s="2867"/>
      <c r="BO554" s="2867"/>
      <c r="BP554" s="2867"/>
      <c r="BQ554" s="2867"/>
      <c r="BR554" s="2867"/>
      <c r="BS554" s="2867"/>
      <c r="BT554" s="2867"/>
      <c r="BU554" s="2867"/>
      <c r="BV554" s="2867"/>
      <c r="BW554" s="2867"/>
      <c r="BX554" s="2867"/>
      <c r="BY554" s="2867"/>
      <c r="BZ554" s="2867"/>
      <c r="CA554" s="2867"/>
      <c r="CB554" s="2867"/>
      <c r="CC554" s="2867"/>
      <c r="CD554" s="2867"/>
      <c r="CE554" s="2867"/>
      <c r="CF554" s="2867"/>
      <c r="CG554" s="2867"/>
      <c r="CH554" s="2867"/>
      <c r="CI554" s="2867"/>
      <c r="CJ554" s="2867"/>
      <c r="CK554" s="2867"/>
      <c r="CL554" s="2867"/>
      <c r="CM554" s="2867"/>
      <c r="CN554" s="2867"/>
      <c r="CO554" s="2867"/>
      <c r="CP554" s="2867"/>
      <c r="CQ554" s="2867"/>
      <c r="CR554" s="2867"/>
      <c r="CS554" s="2867"/>
      <c r="CT554" s="2867"/>
      <c r="CU554" s="2867"/>
      <c r="CV554" s="2867"/>
      <c r="CW554" s="2867"/>
    </row>
    <row r="555" spans="1:101">
      <c r="A555" s="2867"/>
      <c r="B555" s="2867"/>
      <c r="C555" s="2867"/>
      <c r="D555" s="2867"/>
      <c r="E555" s="2867"/>
      <c r="F555" s="2867"/>
      <c r="G555" s="2867"/>
      <c r="H555" s="2867"/>
      <c r="I555" s="2867"/>
      <c r="J555" s="2867"/>
      <c r="K555" s="2867"/>
      <c r="L555" s="2867"/>
      <c r="M555" s="2867"/>
      <c r="O555" s="2867"/>
      <c r="P555" s="2867"/>
      <c r="Q555" s="2867"/>
      <c r="R555" s="2867"/>
      <c r="S555" s="2867"/>
      <c r="T555" s="2867"/>
      <c r="U555" s="2867"/>
      <c r="V555" s="2867"/>
      <c r="W555" s="2867"/>
      <c r="X555" s="2867"/>
      <c r="Y555" s="2867"/>
      <c r="Z555" s="2867"/>
      <c r="AA555" s="2867"/>
      <c r="AB555" s="2867"/>
      <c r="AC555" s="2867"/>
      <c r="AD555" s="2867"/>
      <c r="AE555" s="2867"/>
      <c r="AF555" s="2867"/>
      <c r="AG555" s="2867"/>
      <c r="AH555" s="2867"/>
      <c r="AI555" s="2867"/>
      <c r="AJ555" s="2867"/>
      <c r="AK555" s="2867"/>
      <c r="AL555" s="2867"/>
      <c r="AM555" s="2867"/>
      <c r="AN555" s="2867"/>
      <c r="AO555" s="2867"/>
      <c r="AP555" s="2867"/>
      <c r="AQ555" s="2867"/>
      <c r="AR555" s="2867"/>
      <c r="AS555" s="2867"/>
      <c r="AT555" s="2867"/>
      <c r="AU555" s="2867"/>
      <c r="AV555" s="2867"/>
      <c r="AW555" s="2867"/>
      <c r="AX555" s="2867"/>
      <c r="AY555" s="2867"/>
      <c r="AZ555" s="2867"/>
      <c r="BA555" s="2867"/>
      <c r="BB555" s="2867"/>
      <c r="BC555" s="2867"/>
      <c r="BD555" s="2867"/>
      <c r="BE555" s="2867"/>
      <c r="BF555" s="2867"/>
      <c r="BG555" s="2867"/>
      <c r="BH555" s="2867"/>
      <c r="BI555" s="2867"/>
      <c r="BJ555" s="2867"/>
      <c r="BK555" s="2867"/>
      <c r="BL555" s="2867"/>
      <c r="BM555" s="2867"/>
      <c r="BN555" s="2867"/>
      <c r="BO555" s="2867"/>
      <c r="BP555" s="2867"/>
      <c r="BQ555" s="2867"/>
      <c r="BR555" s="2867"/>
      <c r="BS555" s="2867"/>
      <c r="BT555" s="2867"/>
      <c r="BU555" s="2867"/>
      <c r="BV555" s="2867"/>
      <c r="BW555" s="2867"/>
      <c r="BX555" s="2867"/>
      <c r="BY555" s="2867"/>
      <c r="BZ555" s="2867"/>
      <c r="CA555" s="2867"/>
      <c r="CB555" s="2867"/>
      <c r="CC555" s="2867"/>
      <c r="CD555" s="2867"/>
      <c r="CE555" s="2867"/>
      <c r="CF555" s="2867"/>
      <c r="CG555" s="2867"/>
      <c r="CH555" s="2867"/>
      <c r="CI555" s="2867"/>
      <c r="CJ555" s="2867"/>
      <c r="CK555" s="2867"/>
      <c r="CL555" s="2867"/>
      <c r="CM555" s="2867"/>
      <c r="CN555" s="2867"/>
      <c r="CO555" s="2867"/>
      <c r="CP555" s="2867"/>
      <c r="CQ555" s="2867"/>
      <c r="CR555" s="2867"/>
      <c r="CS555" s="2867"/>
      <c r="CT555" s="2867"/>
      <c r="CU555" s="2867"/>
      <c r="CV555" s="2867"/>
      <c r="CW555" s="2867"/>
    </row>
    <row r="556" spans="1:101">
      <c r="A556" s="2867"/>
      <c r="B556" s="2867"/>
      <c r="C556" s="2867"/>
      <c r="D556" s="2867"/>
      <c r="E556" s="2867"/>
      <c r="F556" s="2867"/>
      <c r="G556" s="2867"/>
      <c r="H556" s="2867"/>
      <c r="I556" s="2867"/>
      <c r="J556" s="2867"/>
      <c r="K556" s="2867"/>
      <c r="L556" s="2867"/>
      <c r="M556" s="2867"/>
      <c r="O556" s="2867"/>
      <c r="P556" s="2867"/>
      <c r="Q556" s="2867"/>
      <c r="R556" s="2867"/>
      <c r="S556" s="2867"/>
      <c r="T556" s="2867"/>
      <c r="U556" s="2867"/>
      <c r="V556" s="2867"/>
      <c r="W556" s="2867"/>
      <c r="X556" s="2867"/>
      <c r="Y556" s="2867"/>
      <c r="Z556" s="2867"/>
      <c r="AA556" s="2867"/>
      <c r="AB556" s="2867"/>
      <c r="AC556" s="2867"/>
      <c r="AD556" s="2867"/>
      <c r="AE556" s="2867"/>
      <c r="AF556" s="2867"/>
      <c r="AG556" s="2867"/>
      <c r="AH556" s="2867"/>
      <c r="AI556" s="2867"/>
      <c r="AJ556" s="2867"/>
      <c r="AK556" s="2867"/>
      <c r="AL556" s="2867"/>
      <c r="AM556" s="2867"/>
      <c r="AN556" s="2867"/>
      <c r="AO556" s="2867"/>
      <c r="AP556" s="2867"/>
      <c r="AQ556" s="2867"/>
      <c r="AR556" s="2867"/>
      <c r="AS556" s="2867"/>
      <c r="AT556" s="2867"/>
      <c r="AU556" s="2867"/>
      <c r="AV556" s="2867"/>
      <c r="AW556" s="2867"/>
      <c r="AX556" s="2867"/>
      <c r="AY556" s="2867"/>
      <c r="AZ556" s="2867"/>
      <c r="BA556" s="2867"/>
      <c r="BB556" s="2867"/>
      <c r="BC556" s="2867"/>
      <c r="BD556" s="2867"/>
      <c r="BE556" s="2867"/>
      <c r="BF556" s="2867"/>
      <c r="BG556" s="2867"/>
      <c r="BH556" s="2867"/>
      <c r="BI556" s="2867"/>
      <c r="BJ556" s="2867"/>
      <c r="BK556" s="2867"/>
      <c r="BL556" s="2867"/>
      <c r="BM556" s="2867"/>
      <c r="BN556" s="2867"/>
      <c r="BO556" s="2867"/>
      <c r="BP556" s="2867"/>
      <c r="BQ556" s="2867"/>
      <c r="BR556" s="2867"/>
      <c r="BS556" s="2867"/>
      <c r="BT556" s="2867"/>
      <c r="BU556" s="2867"/>
      <c r="BV556" s="2867"/>
      <c r="BW556" s="2867"/>
      <c r="BX556" s="2867"/>
      <c r="BY556" s="2867"/>
      <c r="BZ556" s="2867"/>
      <c r="CA556" s="2867"/>
      <c r="CB556" s="2867"/>
      <c r="CC556" s="2867"/>
      <c r="CD556" s="2867"/>
      <c r="CE556" s="2867"/>
      <c r="CF556" s="2867"/>
      <c r="CG556" s="2867"/>
      <c r="CH556" s="2867"/>
      <c r="CI556" s="2867"/>
      <c r="CJ556" s="2867"/>
      <c r="CK556" s="2867"/>
      <c r="CL556" s="2867"/>
      <c r="CM556" s="2867"/>
      <c r="CN556" s="2867"/>
      <c r="CO556" s="2867"/>
      <c r="CP556" s="2867"/>
      <c r="CQ556" s="2867"/>
      <c r="CR556" s="2867"/>
      <c r="CS556" s="2867"/>
      <c r="CT556" s="2867"/>
      <c r="CU556" s="2867"/>
      <c r="CV556" s="2867"/>
      <c r="CW556" s="2867"/>
    </row>
    <row r="557" spans="1:101">
      <c r="A557" s="2867"/>
      <c r="B557" s="2867"/>
      <c r="C557" s="2867"/>
      <c r="D557" s="2867"/>
      <c r="E557" s="2867"/>
      <c r="F557" s="2867"/>
      <c r="G557" s="2867"/>
      <c r="H557" s="2867"/>
      <c r="I557" s="2867"/>
      <c r="J557" s="2867"/>
      <c r="K557" s="2867"/>
      <c r="L557" s="2867"/>
      <c r="M557" s="2867"/>
      <c r="O557" s="2867"/>
      <c r="P557" s="2867"/>
      <c r="Q557" s="2867"/>
      <c r="R557" s="2867"/>
      <c r="S557" s="2867"/>
      <c r="T557" s="2867"/>
      <c r="U557" s="2867"/>
      <c r="V557" s="2867"/>
      <c r="W557" s="2867"/>
      <c r="X557" s="2867"/>
      <c r="Y557" s="2867"/>
      <c r="Z557" s="2867"/>
      <c r="AA557" s="2867"/>
      <c r="AB557" s="2867"/>
      <c r="AC557" s="2867"/>
      <c r="AD557" s="2867"/>
      <c r="AE557" s="2867"/>
      <c r="AF557" s="2867"/>
      <c r="AG557" s="2867"/>
      <c r="AH557" s="2867"/>
      <c r="AI557" s="2867"/>
      <c r="AJ557" s="2867"/>
      <c r="AK557" s="2867"/>
      <c r="AL557" s="2867"/>
      <c r="AM557" s="2867"/>
      <c r="AN557" s="2867"/>
      <c r="AO557" s="2867"/>
      <c r="AP557" s="2867"/>
      <c r="AQ557" s="2867"/>
      <c r="AR557" s="2867"/>
      <c r="AS557" s="2867"/>
      <c r="AT557" s="2867"/>
      <c r="AU557" s="2867"/>
      <c r="AV557" s="2867"/>
      <c r="AW557" s="2867"/>
      <c r="AX557" s="2867"/>
      <c r="AY557" s="2867"/>
      <c r="AZ557" s="2867"/>
      <c r="BA557" s="2867"/>
      <c r="BB557" s="2867"/>
      <c r="BC557" s="2867"/>
      <c r="BD557" s="2867"/>
      <c r="BE557" s="2867"/>
      <c r="BF557" s="2867"/>
      <c r="BG557" s="2867"/>
      <c r="BH557" s="2867"/>
      <c r="BI557" s="2867"/>
      <c r="BJ557" s="2867"/>
      <c r="BK557" s="2867"/>
      <c r="BL557" s="2867"/>
      <c r="BM557" s="2867"/>
      <c r="BN557" s="2867"/>
      <c r="BO557" s="2867"/>
      <c r="BP557" s="2867"/>
      <c r="BQ557" s="2867"/>
      <c r="BR557" s="2867"/>
      <c r="BS557" s="2867"/>
      <c r="BT557" s="2867"/>
      <c r="BU557" s="2867"/>
      <c r="BV557" s="2867"/>
      <c r="BW557" s="2867"/>
      <c r="BX557" s="2867"/>
      <c r="BY557" s="2867"/>
      <c r="BZ557" s="2867"/>
      <c r="CA557" s="2867"/>
      <c r="CB557" s="2867"/>
      <c r="CC557" s="2867"/>
      <c r="CD557" s="2867"/>
      <c r="CE557" s="2867"/>
      <c r="CF557" s="2867"/>
      <c r="CG557" s="2867"/>
      <c r="CH557" s="2867"/>
      <c r="CI557" s="2867"/>
      <c r="CJ557" s="2867"/>
      <c r="CK557" s="2867"/>
      <c r="CL557" s="2867"/>
      <c r="CM557" s="2867"/>
      <c r="CN557" s="2867"/>
      <c r="CO557" s="2867"/>
      <c r="CP557" s="2867"/>
      <c r="CQ557" s="2867"/>
      <c r="CR557" s="2867"/>
      <c r="CS557" s="2867"/>
      <c r="CT557" s="2867"/>
      <c r="CU557" s="2867"/>
      <c r="CV557" s="2867"/>
      <c r="CW557" s="2867"/>
    </row>
    <row r="558" spans="1:101">
      <c r="A558" s="2867"/>
      <c r="B558" s="2867"/>
      <c r="C558" s="2867"/>
      <c r="D558" s="2867"/>
      <c r="E558" s="2867"/>
      <c r="F558" s="2867"/>
      <c r="G558" s="2867"/>
      <c r="H558" s="2867"/>
      <c r="I558" s="2867"/>
      <c r="J558" s="2867"/>
      <c r="K558" s="2867"/>
      <c r="L558" s="2867"/>
      <c r="M558" s="2867"/>
      <c r="O558" s="2867"/>
      <c r="P558" s="2867"/>
      <c r="Q558" s="2867"/>
      <c r="R558" s="2867"/>
      <c r="S558" s="2867"/>
      <c r="T558" s="2867"/>
      <c r="U558" s="2867"/>
      <c r="V558" s="2867"/>
      <c r="W558" s="2867"/>
      <c r="X558" s="2867"/>
      <c r="Y558" s="2867"/>
      <c r="Z558" s="2867"/>
      <c r="AA558" s="2867"/>
      <c r="AB558" s="2867"/>
      <c r="AC558" s="2867"/>
      <c r="AD558" s="2867"/>
      <c r="AE558" s="2867"/>
      <c r="AF558" s="2867"/>
      <c r="AG558" s="2867"/>
      <c r="AH558" s="2867"/>
      <c r="AI558" s="2867"/>
      <c r="AJ558" s="2867"/>
      <c r="AK558" s="2867"/>
      <c r="AL558" s="2867"/>
      <c r="AM558" s="2867"/>
      <c r="AN558" s="2867"/>
      <c r="AO558" s="2867"/>
      <c r="AP558" s="2867"/>
      <c r="AQ558" s="2867"/>
      <c r="AR558" s="2867"/>
      <c r="AS558" s="2867"/>
      <c r="AT558" s="2867"/>
      <c r="AU558" s="2867"/>
      <c r="AV558" s="2867"/>
      <c r="AW558" s="2867"/>
      <c r="AX558" s="2867"/>
      <c r="AY558" s="2867"/>
      <c r="AZ558" s="2867"/>
      <c r="BA558" s="2867"/>
      <c r="BB558" s="2867"/>
      <c r="BC558" s="2867"/>
      <c r="BD558" s="2867"/>
      <c r="BE558" s="2867"/>
      <c r="BF558" s="2867"/>
      <c r="BG558" s="2867"/>
      <c r="BH558" s="2867"/>
      <c r="BI558" s="2867"/>
      <c r="BJ558" s="2867"/>
      <c r="BK558" s="2867"/>
      <c r="BL558" s="2867"/>
      <c r="BM558" s="2867"/>
      <c r="BN558" s="2867"/>
      <c r="BO558" s="2867"/>
      <c r="BP558" s="2867"/>
      <c r="BQ558" s="2867"/>
      <c r="BR558" s="2867"/>
      <c r="BS558" s="2867"/>
      <c r="BT558" s="2867"/>
      <c r="BU558" s="2867"/>
      <c r="BV558" s="2867"/>
      <c r="BW558" s="2867"/>
      <c r="BX558" s="2867"/>
      <c r="BY558" s="2867"/>
      <c r="BZ558" s="2867"/>
      <c r="CA558" s="2867"/>
      <c r="CB558" s="2867"/>
      <c r="CC558" s="2867"/>
      <c r="CD558" s="2867"/>
      <c r="CE558" s="2867"/>
      <c r="CF558" s="2867"/>
      <c r="CG558" s="2867"/>
      <c r="CH558" s="2867"/>
      <c r="CI558" s="2867"/>
      <c r="CJ558" s="2867"/>
      <c r="CK558" s="2867"/>
      <c r="CL558" s="2867"/>
      <c r="CM558" s="2867"/>
      <c r="CN558" s="2867"/>
      <c r="CO558" s="2867"/>
      <c r="CP558" s="2867"/>
      <c r="CQ558" s="2867"/>
      <c r="CR558" s="2867"/>
      <c r="CS558" s="2867"/>
      <c r="CT558" s="2867"/>
      <c r="CU558" s="2867"/>
      <c r="CV558" s="2867"/>
      <c r="CW558" s="2867"/>
    </row>
    <row r="559" spans="1:101">
      <c r="A559" s="2867"/>
      <c r="B559" s="2867"/>
      <c r="C559" s="2867"/>
      <c r="D559" s="2867"/>
      <c r="E559" s="2867"/>
      <c r="F559" s="2867"/>
      <c r="G559" s="2867"/>
      <c r="H559" s="2867"/>
      <c r="I559" s="2867"/>
      <c r="J559" s="2867"/>
      <c r="K559" s="2867"/>
      <c r="L559" s="2867"/>
      <c r="M559" s="2867"/>
      <c r="O559" s="2867"/>
      <c r="P559" s="2867"/>
      <c r="Q559" s="2867"/>
      <c r="R559" s="2867"/>
      <c r="S559" s="2867"/>
      <c r="T559" s="2867"/>
      <c r="U559" s="2867"/>
      <c r="V559" s="2867"/>
      <c r="W559" s="2867"/>
      <c r="X559" s="2867"/>
      <c r="Y559" s="2867"/>
      <c r="Z559" s="2867"/>
      <c r="AA559" s="2867"/>
      <c r="AB559" s="2867"/>
      <c r="AC559" s="2867"/>
      <c r="AD559" s="2867"/>
      <c r="AE559" s="2867"/>
      <c r="AF559" s="2867"/>
      <c r="AG559" s="2867"/>
      <c r="AH559" s="2867"/>
      <c r="AI559" s="2867"/>
      <c r="AJ559" s="2867"/>
      <c r="AK559" s="2867"/>
      <c r="AL559" s="2867"/>
      <c r="AM559" s="2867"/>
      <c r="AN559" s="2867"/>
      <c r="AO559" s="2867"/>
      <c r="AP559" s="2867"/>
      <c r="AQ559" s="2867"/>
      <c r="AR559" s="2867"/>
      <c r="AS559" s="2867"/>
      <c r="AT559" s="2867"/>
      <c r="AU559" s="2867"/>
      <c r="AV559" s="2867"/>
      <c r="AW559" s="2867"/>
      <c r="AX559" s="2867"/>
      <c r="AY559" s="2867"/>
      <c r="AZ559" s="2867"/>
      <c r="BA559" s="2867"/>
      <c r="BB559" s="2867"/>
      <c r="BC559" s="2867"/>
      <c r="BD559" s="2867"/>
      <c r="BE559" s="2867"/>
      <c r="BF559" s="2867"/>
      <c r="BG559" s="2867"/>
      <c r="BH559" s="2867"/>
      <c r="BI559" s="2867"/>
      <c r="BJ559" s="2867"/>
      <c r="BK559" s="2867"/>
      <c r="BL559" s="2867"/>
      <c r="BM559" s="2867"/>
      <c r="BN559" s="2867"/>
      <c r="BO559" s="2867"/>
      <c r="BP559" s="2867"/>
      <c r="BQ559" s="2867"/>
      <c r="BR559" s="2867"/>
      <c r="BS559" s="2867"/>
      <c r="BT559" s="2867"/>
      <c r="BU559" s="2867"/>
      <c r="BV559" s="2867"/>
      <c r="BW559" s="2867"/>
      <c r="BX559" s="2867"/>
      <c r="BY559" s="2867"/>
      <c r="BZ559" s="2867"/>
      <c r="CA559" s="2867"/>
      <c r="CB559" s="2867"/>
      <c r="CC559" s="2867"/>
      <c r="CD559" s="2867"/>
      <c r="CE559" s="2867"/>
      <c r="CF559" s="2867"/>
      <c r="CG559" s="2867"/>
      <c r="CH559" s="2867"/>
      <c r="CI559" s="2867"/>
      <c r="CJ559" s="2867"/>
      <c r="CK559" s="2867"/>
      <c r="CL559" s="2867"/>
      <c r="CM559" s="2867"/>
      <c r="CN559" s="2867"/>
      <c r="CO559" s="2867"/>
      <c r="CP559" s="2867"/>
      <c r="CQ559" s="2867"/>
      <c r="CR559" s="2867"/>
      <c r="CS559" s="2867"/>
      <c r="CT559" s="2867"/>
      <c r="CU559" s="2867"/>
      <c r="CV559" s="2867"/>
      <c r="CW559" s="2867"/>
    </row>
    <row r="560" spans="1:101">
      <c r="A560" s="2867"/>
      <c r="B560" s="2867"/>
      <c r="C560" s="2867"/>
      <c r="D560" s="2867"/>
      <c r="E560" s="2867"/>
      <c r="F560" s="2867"/>
      <c r="G560" s="2867"/>
      <c r="H560" s="2867"/>
      <c r="I560" s="2867"/>
      <c r="J560" s="2867"/>
      <c r="K560" s="2867"/>
      <c r="L560" s="2867"/>
      <c r="M560" s="2867"/>
      <c r="O560" s="2867"/>
      <c r="P560" s="2867"/>
      <c r="Q560" s="2867"/>
      <c r="R560" s="2867"/>
      <c r="S560" s="2867"/>
      <c r="T560" s="2867"/>
      <c r="U560" s="2867"/>
      <c r="V560" s="2867"/>
      <c r="W560" s="2867"/>
      <c r="X560" s="2867"/>
      <c r="Y560" s="2867"/>
      <c r="Z560" s="2867"/>
      <c r="AA560" s="2867"/>
      <c r="AB560" s="2867"/>
      <c r="AC560" s="2867"/>
      <c r="AD560" s="2867"/>
      <c r="AE560" s="2867"/>
      <c r="AF560" s="2867"/>
      <c r="AG560" s="2867"/>
      <c r="AH560" s="2867"/>
      <c r="AI560" s="2867"/>
      <c r="AJ560" s="2867"/>
      <c r="AK560" s="2867"/>
      <c r="AL560" s="2867"/>
      <c r="AM560" s="2867"/>
      <c r="AN560" s="2867"/>
      <c r="AO560" s="2867"/>
      <c r="AP560" s="2867"/>
      <c r="AQ560" s="2867"/>
      <c r="AR560" s="2867"/>
      <c r="AS560" s="2867"/>
      <c r="AT560" s="2867"/>
      <c r="AU560" s="2867"/>
      <c r="AV560" s="2867"/>
      <c r="AW560" s="2867"/>
      <c r="AX560" s="2867"/>
      <c r="AY560" s="2867"/>
      <c r="AZ560" s="2867"/>
      <c r="BA560" s="2867"/>
      <c r="BB560" s="2867"/>
      <c r="BC560" s="2867"/>
      <c r="BD560" s="2867"/>
      <c r="BE560" s="2867"/>
      <c r="BF560" s="2867"/>
      <c r="BG560" s="2867"/>
      <c r="BH560" s="2867"/>
      <c r="BI560" s="2867"/>
      <c r="BJ560" s="2867"/>
      <c r="BK560" s="2867"/>
      <c r="BL560" s="2867"/>
      <c r="BM560" s="2867"/>
      <c r="BN560" s="2867"/>
      <c r="BO560" s="2867"/>
      <c r="BP560" s="2867"/>
      <c r="BQ560" s="2867"/>
      <c r="BR560" s="2867"/>
      <c r="BS560" s="2867"/>
      <c r="BT560" s="2867"/>
      <c r="BU560" s="2867"/>
      <c r="BV560" s="2867"/>
      <c r="BW560" s="2867"/>
      <c r="BX560" s="2867"/>
      <c r="BY560" s="2867"/>
      <c r="BZ560" s="2867"/>
      <c r="CA560" s="2867"/>
      <c r="CB560" s="2867"/>
      <c r="CC560" s="2867"/>
      <c r="CD560" s="2867"/>
      <c r="CE560" s="2867"/>
      <c r="CF560" s="2867"/>
      <c r="CG560" s="2867"/>
      <c r="CH560" s="2867"/>
      <c r="CI560" s="2867"/>
      <c r="CJ560" s="2867"/>
      <c r="CK560" s="2867"/>
      <c r="CL560" s="2867"/>
      <c r="CM560" s="2867"/>
      <c r="CN560" s="2867"/>
      <c r="CO560" s="2867"/>
      <c r="CP560" s="2867"/>
      <c r="CQ560" s="2867"/>
      <c r="CR560" s="2867"/>
      <c r="CS560" s="2867"/>
      <c r="CT560" s="2867"/>
      <c r="CU560" s="2867"/>
      <c r="CV560" s="2867"/>
      <c r="CW560" s="2867"/>
    </row>
    <row r="561" spans="1:101">
      <c r="A561" s="2867"/>
      <c r="B561" s="2867"/>
      <c r="C561" s="2867"/>
      <c r="D561" s="2867"/>
      <c r="E561" s="2867"/>
      <c r="F561" s="2867"/>
      <c r="G561" s="2867"/>
      <c r="H561" s="2867"/>
      <c r="I561" s="2867"/>
      <c r="J561" s="2867"/>
      <c r="K561" s="2867"/>
      <c r="L561" s="2867"/>
      <c r="M561" s="2867"/>
      <c r="O561" s="2867"/>
      <c r="P561" s="2867"/>
      <c r="Q561" s="2867"/>
      <c r="R561" s="2867"/>
      <c r="S561" s="2867"/>
      <c r="T561" s="2867"/>
      <c r="U561" s="2867"/>
      <c r="V561" s="2867"/>
      <c r="W561" s="2867"/>
      <c r="X561" s="2867"/>
      <c r="Y561" s="2867"/>
      <c r="Z561" s="2867"/>
      <c r="AA561" s="2867"/>
      <c r="AB561" s="2867"/>
      <c r="AC561" s="2867"/>
      <c r="AD561" s="2867"/>
      <c r="AE561" s="2867"/>
      <c r="AF561" s="2867"/>
      <c r="AG561" s="2867"/>
      <c r="AH561" s="2867"/>
      <c r="AI561" s="2867"/>
      <c r="AJ561" s="2867"/>
      <c r="AK561" s="2867"/>
      <c r="AL561" s="2867"/>
      <c r="AM561" s="2867"/>
      <c r="AN561" s="2867"/>
      <c r="AO561" s="2867"/>
      <c r="AP561" s="2867"/>
      <c r="AQ561" s="2867"/>
      <c r="AR561" s="2867"/>
      <c r="AS561" s="2867"/>
      <c r="AT561" s="2867"/>
      <c r="AU561" s="2867"/>
      <c r="AV561" s="2867"/>
      <c r="AW561" s="2867"/>
      <c r="AX561" s="2867"/>
      <c r="AY561" s="2867"/>
      <c r="AZ561" s="2867"/>
      <c r="BA561" s="2867"/>
      <c r="BB561" s="2867"/>
      <c r="BC561" s="2867"/>
      <c r="BD561" s="2867"/>
      <c r="BE561" s="2867"/>
      <c r="BF561" s="2867"/>
      <c r="BG561" s="2867"/>
      <c r="BH561" s="2867"/>
      <c r="BI561" s="2867"/>
      <c r="BJ561" s="2867"/>
      <c r="BK561" s="2867"/>
      <c r="BL561" s="2867"/>
      <c r="BM561" s="2867"/>
      <c r="BN561" s="2867"/>
      <c r="BO561" s="2867"/>
      <c r="BP561" s="2867"/>
      <c r="BQ561" s="2867"/>
      <c r="BR561" s="2867"/>
      <c r="BS561" s="2867"/>
      <c r="BT561" s="2867"/>
      <c r="BU561" s="2867"/>
      <c r="BV561" s="2867"/>
      <c r="BW561" s="2867"/>
      <c r="BX561" s="2867"/>
      <c r="BY561" s="2867"/>
      <c r="BZ561" s="2867"/>
      <c r="CA561" s="2867"/>
      <c r="CB561" s="2867"/>
      <c r="CC561" s="2867"/>
      <c r="CD561" s="2867"/>
      <c r="CE561" s="2867"/>
      <c r="CF561" s="2867"/>
      <c r="CG561" s="2867"/>
      <c r="CH561" s="2867"/>
      <c r="CI561" s="2867"/>
      <c r="CJ561" s="2867"/>
      <c r="CK561" s="2867"/>
      <c r="CL561" s="2867"/>
      <c r="CM561" s="2867"/>
      <c r="CN561" s="2867"/>
      <c r="CO561" s="2867"/>
      <c r="CP561" s="2867"/>
      <c r="CQ561" s="2867"/>
      <c r="CR561" s="2867"/>
      <c r="CS561" s="2867"/>
      <c r="CT561" s="2867"/>
      <c r="CU561" s="2867"/>
      <c r="CV561" s="2867"/>
      <c r="CW561" s="2867"/>
    </row>
    <row r="562" spans="1:101">
      <c r="A562" s="2867"/>
      <c r="B562" s="2867"/>
      <c r="C562" s="2867"/>
      <c r="D562" s="2867"/>
      <c r="E562" s="2867"/>
      <c r="F562" s="2867"/>
      <c r="G562" s="2867"/>
      <c r="H562" s="2867"/>
      <c r="I562" s="2867"/>
      <c r="J562" s="2867"/>
      <c r="K562" s="2867"/>
      <c r="L562" s="2867"/>
      <c r="M562" s="2867"/>
      <c r="O562" s="2867"/>
      <c r="P562" s="2867"/>
      <c r="Q562" s="2867"/>
      <c r="R562" s="2867"/>
      <c r="S562" s="2867"/>
      <c r="T562" s="2867"/>
      <c r="U562" s="2867"/>
      <c r="V562" s="2867"/>
      <c r="W562" s="2867"/>
      <c r="X562" s="2867"/>
      <c r="Y562" s="2867"/>
      <c r="Z562" s="2867"/>
      <c r="AA562" s="2867"/>
      <c r="AB562" s="2867"/>
      <c r="AC562" s="2867"/>
      <c r="AD562" s="2867"/>
      <c r="AE562" s="2867"/>
      <c r="AF562" s="2867"/>
      <c r="AG562" s="2867"/>
      <c r="AH562" s="2867"/>
      <c r="AI562" s="2867"/>
      <c r="AJ562" s="2867"/>
      <c r="AK562" s="2867"/>
      <c r="AL562" s="2867"/>
      <c r="AM562" s="2867"/>
      <c r="AN562" s="2867"/>
      <c r="AO562" s="2867"/>
      <c r="AP562" s="2867"/>
      <c r="AQ562" s="2867"/>
      <c r="AR562" s="2867"/>
      <c r="AS562" s="2867"/>
      <c r="AT562" s="2867"/>
      <c r="AU562" s="2867"/>
      <c r="AV562" s="2867"/>
      <c r="AW562" s="2867"/>
      <c r="AX562" s="2867"/>
      <c r="AY562" s="2867"/>
      <c r="AZ562" s="2867"/>
      <c r="BA562" s="2867"/>
      <c r="BB562" s="2867"/>
      <c r="BC562" s="2867"/>
      <c r="BD562" s="2867"/>
      <c r="BE562" s="2867"/>
      <c r="BF562" s="2867"/>
      <c r="BG562" s="2867"/>
      <c r="BH562" s="2867"/>
      <c r="BI562" s="2867"/>
      <c r="BJ562" s="2867"/>
      <c r="BK562" s="2867"/>
      <c r="BL562" s="2867"/>
      <c r="BM562" s="2867"/>
      <c r="BN562" s="2867"/>
      <c r="BO562" s="2867"/>
      <c r="BP562" s="2867"/>
      <c r="BQ562" s="2867"/>
      <c r="BR562" s="2867"/>
      <c r="BS562" s="2867"/>
      <c r="BT562" s="2867"/>
      <c r="BU562" s="2867"/>
      <c r="BV562" s="2867"/>
      <c r="BW562" s="2867"/>
      <c r="BX562" s="2867"/>
      <c r="BY562" s="2867"/>
      <c r="BZ562" s="2867"/>
      <c r="CA562" s="2867"/>
      <c r="CB562" s="2867"/>
      <c r="CC562" s="2867"/>
      <c r="CD562" s="2867"/>
      <c r="CE562" s="2867"/>
      <c r="CF562" s="2867"/>
      <c r="CG562" s="2867"/>
      <c r="CH562" s="2867"/>
      <c r="CI562" s="2867"/>
      <c r="CJ562" s="2867"/>
      <c r="CK562" s="2867"/>
      <c r="CL562" s="2867"/>
      <c r="CM562" s="2867"/>
      <c r="CN562" s="2867"/>
      <c r="CO562" s="2867"/>
      <c r="CP562" s="2867"/>
      <c r="CQ562" s="2867"/>
      <c r="CR562" s="2867"/>
      <c r="CS562" s="2867"/>
      <c r="CT562" s="2867"/>
      <c r="CU562" s="2867"/>
      <c r="CV562" s="2867"/>
      <c r="CW562" s="2867"/>
    </row>
    <row r="563" spans="1:101">
      <c r="A563" s="2867"/>
      <c r="B563" s="2867"/>
      <c r="C563" s="2867"/>
      <c r="D563" s="2867"/>
      <c r="E563" s="2867"/>
      <c r="F563" s="2867"/>
      <c r="G563" s="2867"/>
      <c r="H563" s="2867"/>
      <c r="I563" s="2867"/>
      <c r="J563" s="2867"/>
      <c r="K563" s="2867"/>
      <c r="L563" s="2867"/>
      <c r="M563" s="2867"/>
      <c r="O563" s="2867"/>
      <c r="P563" s="2867"/>
      <c r="Q563" s="2867"/>
      <c r="R563" s="2867"/>
      <c r="S563" s="2867"/>
      <c r="T563" s="2867"/>
      <c r="U563" s="2867"/>
      <c r="V563" s="2867"/>
      <c r="W563" s="2867"/>
      <c r="X563" s="2867"/>
      <c r="Y563" s="2867"/>
      <c r="Z563" s="2867"/>
      <c r="AA563" s="2867"/>
      <c r="AB563" s="2867"/>
      <c r="AC563" s="2867"/>
      <c r="AD563" s="2867"/>
      <c r="AE563" s="2867"/>
      <c r="AF563" s="2867"/>
      <c r="AG563" s="2867"/>
      <c r="AH563" s="2867"/>
      <c r="AI563" s="2867"/>
      <c r="AJ563" s="2867"/>
      <c r="AK563" s="2867"/>
      <c r="AL563" s="2867"/>
      <c r="AM563" s="2867"/>
      <c r="AN563" s="2867"/>
      <c r="AO563" s="2867"/>
      <c r="AP563" s="2867"/>
      <c r="AQ563" s="2867"/>
      <c r="AR563" s="2867"/>
      <c r="AS563" s="2867"/>
      <c r="AT563" s="2867"/>
      <c r="AU563" s="2867"/>
      <c r="AV563" s="2867"/>
      <c r="AW563" s="2867"/>
      <c r="AX563" s="2867"/>
      <c r="AY563" s="2867"/>
      <c r="AZ563" s="2867"/>
      <c r="BA563" s="2867"/>
      <c r="BB563" s="2867"/>
      <c r="BC563" s="2867"/>
      <c r="BD563" s="2867"/>
      <c r="BE563" s="2867"/>
      <c r="BF563" s="2867"/>
      <c r="BG563" s="2867"/>
      <c r="BH563" s="2867"/>
      <c r="BI563" s="2867"/>
      <c r="BJ563" s="2867"/>
      <c r="BK563" s="2867"/>
      <c r="BL563" s="2867"/>
      <c r="BM563" s="2867"/>
      <c r="BN563" s="2867"/>
      <c r="BO563" s="2867"/>
      <c r="BP563" s="2867"/>
      <c r="BQ563" s="2867"/>
      <c r="BR563" s="2867"/>
      <c r="BS563" s="2867"/>
      <c r="BT563" s="2867"/>
      <c r="BU563" s="2867"/>
      <c r="BV563" s="2867"/>
      <c r="BW563" s="2867"/>
      <c r="BX563" s="2867"/>
      <c r="BY563" s="2867"/>
      <c r="BZ563" s="2867"/>
      <c r="CA563" s="2867"/>
      <c r="CB563" s="2867"/>
      <c r="CC563" s="2867"/>
      <c r="CD563" s="2867"/>
      <c r="CE563" s="2867"/>
      <c r="CF563" s="2867"/>
      <c r="CG563" s="2867"/>
      <c r="CH563" s="2867"/>
      <c r="CI563" s="2867"/>
      <c r="CJ563" s="2867"/>
      <c r="CK563" s="2867"/>
      <c r="CL563" s="2867"/>
      <c r="CM563" s="2867"/>
      <c r="CN563" s="2867"/>
      <c r="CO563" s="2867"/>
      <c r="CP563" s="2867"/>
      <c r="CQ563" s="2867"/>
      <c r="CR563" s="2867"/>
      <c r="CS563" s="2867"/>
      <c r="CT563" s="2867"/>
      <c r="CU563" s="2867"/>
      <c r="CV563" s="2867"/>
      <c r="CW563" s="2867"/>
    </row>
    <row r="564" spans="1:101">
      <c r="A564" s="2867"/>
      <c r="B564" s="2867"/>
      <c r="C564" s="2867"/>
      <c r="D564" s="2867"/>
      <c r="E564" s="2867"/>
      <c r="F564" s="2867"/>
      <c r="G564" s="2867"/>
      <c r="H564" s="2867"/>
      <c r="I564" s="2867"/>
      <c r="J564" s="2867"/>
      <c r="K564" s="2867"/>
      <c r="L564" s="2867"/>
      <c r="M564" s="2867"/>
      <c r="O564" s="2867"/>
      <c r="P564" s="2867"/>
      <c r="Q564" s="2867"/>
      <c r="R564" s="2867"/>
      <c r="S564" s="2867"/>
      <c r="T564" s="2867"/>
      <c r="U564" s="2867"/>
      <c r="V564" s="2867"/>
      <c r="W564" s="2867"/>
      <c r="X564" s="2867"/>
      <c r="Y564" s="2867"/>
      <c r="Z564" s="2867"/>
      <c r="AA564" s="2867"/>
      <c r="AB564" s="2867"/>
      <c r="AC564" s="2867"/>
      <c r="AD564" s="2867"/>
      <c r="AE564" s="2867"/>
      <c r="AF564" s="2867"/>
      <c r="AG564" s="2867"/>
      <c r="AH564" s="2867"/>
      <c r="AI564" s="2867"/>
      <c r="AJ564" s="2867"/>
      <c r="AK564" s="2867"/>
      <c r="AL564" s="2867"/>
      <c r="AM564" s="2867"/>
      <c r="AN564" s="2867"/>
      <c r="AO564" s="2867"/>
      <c r="AP564" s="2867"/>
      <c r="AQ564" s="2867"/>
      <c r="AR564" s="2867"/>
      <c r="AS564" s="2867"/>
      <c r="AT564" s="2867"/>
      <c r="AU564" s="2867"/>
      <c r="AV564" s="2867"/>
      <c r="AW564" s="2867"/>
      <c r="AX564" s="2867"/>
      <c r="AY564" s="2867"/>
      <c r="AZ564" s="2867"/>
      <c r="BA564" s="2867"/>
      <c r="BB564" s="2867"/>
      <c r="BC564" s="2867"/>
      <c r="BD564" s="2867"/>
      <c r="BE564" s="2867"/>
      <c r="BF564" s="2867"/>
      <c r="BG564" s="2867"/>
      <c r="BH564" s="2867"/>
      <c r="BI564" s="2867"/>
      <c r="BJ564" s="2867"/>
      <c r="BK564" s="2867"/>
      <c r="BL564" s="2867"/>
      <c r="BM564" s="2867"/>
      <c r="BN564" s="2867"/>
      <c r="BO564" s="2867"/>
      <c r="BP564" s="2867"/>
      <c r="BQ564" s="2867"/>
      <c r="BR564" s="2867"/>
      <c r="BS564" s="2867"/>
      <c r="BT564" s="2867"/>
      <c r="BU564" s="2867"/>
      <c r="BV564" s="2867"/>
      <c r="BW564" s="2867"/>
      <c r="BX564" s="2867"/>
      <c r="BY564" s="2867"/>
      <c r="BZ564" s="2867"/>
      <c r="CA564" s="2867"/>
      <c r="CB564" s="2867"/>
      <c r="CC564" s="2867"/>
      <c r="CD564" s="2867"/>
      <c r="CE564" s="2867"/>
      <c r="CF564" s="2867"/>
      <c r="CG564" s="2867"/>
      <c r="CH564" s="2867"/>
      <c r="CI564" s="2867"/>
      <c r="CJ564" s="2867"/>
      <c r="CK564" s="2867"/>
      <c r="CL564" s="2867"/>
      <c r="CM564" s="2867"/>
      <c r="CN564" s="2867"/>
      <c r="CO564" s="2867"/>
      <c r="CP564" s="2867"/>
      <c r="CQ564" s="2867"/>
      <c r="CR564" s="2867"/>
      <c r="CS564" s="2867"/>
      <c r="CT564" s="2867"/>
      <c r="CU564" s="2867"/>
      <c r="CV564" s="2867"/>
      <c r="CW564" s="2867"/>
    </row>
    <row r="565" spans="1:101">
      <c r="A565" s="2867"/>
      <c r="B565" s="2867"/>
      <c r="C565" s="2867"/>
      <c r="D565" s="2867"/>
      <c r="E565" s="2867"/>
      <c r="F565" s="2867"/>
      <c r="G565" s="2867"/>
      <c r="H565" s="2867"/>
      <c r="I565" s="2867"/>
      <c r="J565" s="2867"/>
      <c r="K565" s="2867"/>
      <c r="L565" s="2867"/>
      <c r="M565" s="2867"/>
      <c r="O565" s="2867"/>
      <c r="P565" s="2867"/>
      <c r="Q565" s="2867"/>
      <c r="R565" s="2867"/>
      <c r="S565" s="2867"/>
      <c r="T565" s="2867"/>
      <c r="U565" s="2867"/>
      <c r="V565" s="2867"/>
      <c r="W565" s="2867"/>
      <c r="X565" s="2867"/>
      <c r="Y565" s="2867"/>
      <c r="Z565" s="2867"/>
      <c r="AA565" s="2867"/>
      <c r="AB565" s="2867"/>
      <c r="AC565" s="2867"/>
      <c r="AD565" s="2867"/>
      <c r="AE565" s="2867"/>
      <c r="AF565" s="2867"/>
      <c r="AG565" s="2867"/>
      <c r="AH565" s="2867"/>
      <c r="AI565" s="2867"/>
      <c r="AJ565" s="2867"/>
      <c r="AK565" s="2867"/>
      <c r="AL565" s="2867"/>
      <c r="AM565" s="2867"/>
      <c r="AN565" s="2867"/>
      <c r="AO565" s="2867"/>
      <c r="AP565" s="2867"/>
      <c r="AQ565" s="2867"/>
      <c r="AR565" s="2867"/>
      <c r="AS565" s="2867"/>
      <c r="AT565" s="2867"/>
      <c r="AU565" s="2867"/>
      <c r="AV565" s="2867"/>
      <c r="AW565" s="2867"/>
      <c r="AX565" s="2867"/>
      <c r="AY565" s="2867"/>
      <c r="AZ565" s="2867"/>
      <c r="BA565" s="2867"/>
      <c r="BB565" s="2867"/>
      <c r="BC565" s="2867"/>
      <c r="BD565" s="2867"/>
      <c r="BE565" s="2867"/>
      <c r="BF565" s="2867"/>
      <c r="BG565" s="2867"/>
      <c r="BH565" s="2867"/>
      <c r="BI565" s="2867"/>
      <c r="BJ565" s="2867"/>
      <c r="BK565" s="2867"/>
      <c r="BL565" s="2867"/>
      <c r="BM565" s="2867"/>
      <c r="BN565" s="2867"/>
      <c r="BO565" s="2867"/>
      <c r="BP565" s="2867"/>
      <c r="BQ565" s="2867"/>
      <c r="BR565" s="2867"/>
      <c r="BS565" s="2867"/>
      <c r="BT565" s="2867"/>
      <c r="BU565" s="2867"/>
      <c r="BV565" s="2867"/>
      <c r="BW565" s="2867"/>
      <c r="BX565" s="2867"/>
      <c r="BY565" s="2867"/>
      <c r="BZ565" s="2867"/>
      <c r="CA565" s="2867"/>
      <c r="CB565" s="2867"/>
      <c r="CC565" s="2867"/>
      <c r="CD565" s="2867"/>
      <c r="CE565" s="2867"/>
      <c r="CF565" s="2867"/>
      <c r="CG565" s="2867"/>
      <c r="CH565" s="2867"/>
      <c r="CI565" s="2867"/>
      <c r="CJ565" s="2867"/>
      <c r="CK565" s="2867"/>
      <c r="CL565" s="2867"/>
      <c r="CM565" s="2867"/>
      <c r="CN565" s="2867"/>
      <c r="CO565" s="2867"/>
      <c r="CP565" s="2867"/>
      <c r="CQ565" s="2867"/>
      <c r="CR565" s="2867"/>
      <c r="CS565" s="2867"/>
      <c r="CT565" s="2867"/>
      <c r="CU565" s="2867"/>
      <c r="CV565" s="2867"/>
      <c r="CW565" s="2867"/>
    </row>
    <row r="566" spans="1:101">
      <c r="A566" s="2867"/>
      <c r="B566" s="2867"/>
      <c r="C566" s="2867"/>
      <c r="D566" s="2867"/>
      <c r="E566" s="2867"/>
      <c r="F566" s="2867"/>
      <c r="G566" s="2867"/>
      <c r="H566" s="2867"/>
      <c r="I566" s="2867"/>
      <c r="J566" s="2867"/>
      <c r="K566" s="2867"/>
      <c r="L566" s="2867"/>
      <c r="M566" s="2867"/>
      <c r="O566" s="2867"/>
      <c r="P566" s="2867"/>
      <c r="Q566" s="2867"/>
      <c r="R566" s="2867"/>
      <c r="S566" s="2867"/>
      <c r="T566" s="2867"/>
      <c r="U566" s="2867"/>
      <c r="V566" s="2867"/>
      <c r="W566" s="2867"/>
      <c r="X566" s="2867"/>
      <c r="Y566" s="2867"/>
      <c r="Z566" s="2867"/>
      <c r="AA566" s="2867"/>
      <c r="AB566" s="2867"/>
      <c r="AC566" s="2867"/>
      <c r="AD566" s="2867"/>
      <c r="AE566" s="2867"/>
      <c r="AF566" s="2867"/>
      <c r="AG566" s="2867"/>
      <c r="AH566" s="2867"/>
      <c r="AI566" s="2867"/>
      <c r="AJ566" s="2867"/>
      <c r="AK566" s="2867"/>
      <c r="AL566" s="2867"/>
      <c r="AM566" s="2867"/>
      <c r="AN566" s="2867"/>
      <c r="AO566" s="2867"/>
      <c r="AP566" s="2867"/>
      <c r="AQ566" s="2867"/>
      <c r="AR566" s="2867"/>
      <c r="AS566" s="2867"/>
      <c r="AT566" s="2867"/>
      <c r="AU566" s="2867"/>
      <c r="AV566" s="2867"/>
      <c r="AW566" s="2867"/>
      <c r="AX566" s="2867"/>
      <c r="AY566" s="2867"/>
      <c r="AZ566" s="2867"/>
      <c r="BA566" s="2867"/>
      <c r="BB566" s="2867"/>
      <c r="BC566" s="2867"/>
      <c r="BD566" s="2867"/>
      <c r="BE566" s="2867"/>
      <c r="BF566" s="2867"/>
      <c r="BG566" s="2867"/>
      <c r="BH566" s="2867"/>
      <c r="BI566" s="2867"/>
      <c r="BJ566" s="2867"/>
      <c r="BK566" s="2867"/>
      <c r="BL566" s="2867"/>
      <c r="BM566" s="2867"/>
      <c r="BN566" s="2867"/>
      <c r="BO566" s="2867"/>
      <c r="BP566" s="2867"/>
      <c r="BQ566" s="2867"/>
      <c r="BR566" s="2867"/>
      <c r="BS566" s="2867"/>
      <c r="BT566" s="2867"/>
      <c r="BU566" s="2867"/>
      <c r="BV566" s="2867"/>
      <c r="BW566" s="2867"/>
      <c r="BX566" s="2867"/>
      <c r="BY566" s="2867"/>
      <c r="BZ566" s="2867"/>
      <c r="CA566" s="2867"/>
      <c r="CB566" s="2867"/>
      <c r="CC566" s="2867"/>
      <c r="CD566" s="2867"/>
      <c r="CE566" s="2867"/>
      <c r="CF566" s="2867"/>
      <c r="CG566" s="2867"/>
      <c r="CH566" s="2867"/>
      <c r="CI566" s="2867"/>
      <c r="CJ566" s="2867"/>
      <c r="CK566" s="2867"/>
      <c r="CL566" s="2867"/>
      <c r="CM566" s="2867"/>
      <c r="CN566" s="2867"/>
      <c r="CO566" s="2867"/>
      <c r="CP566" s="2867"/>
      <c r="CQ566" s="2867"/>
      <c r="CR566" s="2867"/>
      <c r="CS566" s="2867"/>
      <c r="CT566" s="2867"/>
      <c r="CU566" s="2867"/>
      <c r="CV566" s="2867"/>
      <c r="CW566" s="2867"/>
    </row>
    <row r="567" spans="1:101">
      <c r="A567" s="2867"/>
      <c r="B567" s="2867"/>
      <c r="C567" s="2867"/>
      <c r="D567" s="2867"/>
      <c r="E567" s="2867"/>
      <c r="F567" s="2867"/>
      <c r="G567" s="2867"/>
      <c r="H567" s="2867"/>
      <c r="I567" s="2867"/>
      <c r="J567" s="2867"/>
      <c r="K567" s="2867"/>
      <c r="L567" s="2867"/>
      <c r="M567" s="2867"/>
      <c r="O567" s="2867"/>
      <c r="P567" s="2867"/>
      <c r="Q567" s="2867"/>
      <c r="R567" s="2867"/>
      <c r="S567" s="2867"/>
      <c r="T567" s="2867"/>
      <c r="U567" s="2867"/>
      <c r="V567" s="2867"/>
      <c r="W567" s="2867"/>
      <c r="X567" s="2867"/>
      <c r="Y567" s="2867"/>
      <c r="Z567" s="2867"/>
      <c r="AA567" s="2867"/>
      <c r="AB567" s="2867"/>
      <c r="AC567" s="2867"/>
      <c r="AD567" s="2867"/>
      <c r="AE567" s="2867"/>
      <c r="AF567" s="2867"/>
      <c r="AG567" s="2867"/>
      <c r="AH567" s="2867"/>
      <c r="AI567" s="2867"/>
      <c r="AJ567" s="2867"/>
      <c r="AK567" s="2867"/>
      <c r="AL567" s="2867"/>
      <c r="AM567" s="2867"/>
      <c r="AN567" s="2867"/>
      <c r="AO567" s="2867"/>
      <c r="AP567" s="2867"/>
      <c r="AQ567" s="2867"/>
      <c r="AR567" s="2867"/>
      <c r="AS567" s="2867"/>
      <c r="AT567" s="2867"/>
      <c r="AU567" s="2867"/>
      <c r="AV567" s="2867"/>
      <c r="AW567" s="2867"/>
      <c r="AX567" s="2867"/>
      <c r="AY567" s="2867"/>
      <c r="AZ567" s="2867"/>
      <c r="BA567" s="2867"/>
      <c r="BB567" s="2867"/>
      <c r="BC567" s="2867"/>
      <c r="BD567" s="2867"/>
      <c r="BE567" s="2867"/>
      <c r="BF567" s="2867"/>
      <c r="BG567" s="2867"/>
      <c r="BH567" s="2867"/>
      <c r="BI567" s="2867"/>
      <c r="BJ567" s="2867"/>
      <c r="BK567" s="2867"/>
      <c r="BL567" s="2867"/>
      <c r="BM567" s="2867"/>
      <c r="BN567" s="2867"/>
      <c r="BO567" s="2867"/>
      <c r="BP567" s="2867"/>
      <c r="BQ567" s="2867"/>
      <c r="BR567" s="2867"/>
      <c r="BS567" s="2867"/>
      <c r="BT567" s="2867"/>
      <c r="BU567" s="2867"/>
      <c r="BV567" s="2867"/>
      <c r="BW567" s="2867"/>
      <c r="BX567" s="2867"/>
      <c r="BY567" s="2867"/>
      <c r="BZ567" s="2867"/>
      <c r="CA567" s="2867"/>
      <c r="CB567" s="2867"/>
      <c r="CC567" s="2867"/>
      <c r="CD567" s="2867"/>
      <c r="CE567" s="2867"/>
      <c r="CF567" s="2867"/>
      <c r="CG567" s="2867"/>
      <c r="CH567" s="2867"/>
      <c r="CI567" s="2867"/>
      <c r="CJ567" s="2867"/>
      <c r="CK567" s="2867"/>
      <c r="CL567" s="2867"/>
      <c r="CM567" s="2867"/>
      <c r="CN567" s="2867"/>
      <c r="CO567" s="2867"/>
      <c r="CP567" s="2867"/>
      <c r="CQ567" s="2867"/>
      <c r="CR567" s="2867"/>
      <c r="CS567" s="2867"/>
      <c r="CT567" s="2867"/>
      <c r="CU567" s="2867"/>
      <c r="CV567" s="2867"/>
      <c r="CW567" s="2867"/>
    </row>
    <row r="568" spans="1:101">
      <c r="A568" s="2867"/>
      <c r="B568" s="2867"/>
      <c r="C568" s="2867"/>
      <c r="D568" s="2867"/>
      <c r="E568" s="2867"/>
      <c r="F568" s="2867"/>
      <c r="G568" s="2867"/>
      <c r="H568" s="2867"/>
      <c r="I568" s="2867"/>
      <c r="J568" s="2867"/>
      <c r="K568" s="2867"/>
      <c r="L568" s="2867"/>
      <c r="M568" s="2867"/>
      <c r="O568" s="2867"/>
      <c r="P568" s="2867"/>
      <c r="Q568" s="2867"/>
      <c r="R568" s="2867"/>
      <c r="S568" s="2867"/>
      <c r="T568" s="2867"/>
      <c r="U568" s="2867"/>
      <c r="V568" s="2867"/>
      <c r="W568" s="2867"/>
      <c r="X568" s="2867"/>
      <c r="Y568" s="2867"/>
      <c r="Z568" s="2867"/>
      <c r="AA568" s="2867"/>
      <c r="AB568" s="2867"/>
      <c r="AC568" s="2867"/>
      <c r="AD568" s="2867"/>
      <c r="AE568" s="2867"/>
      <c r="AF568" s="2867"/>
      <c r="AG568" s="2867"/>
      <c r="AH568" s="2867"/>
      <c r="AI568" s="2867"/>
      <c r="AJ568" s="2867"/>
      <c r="AK568" s="2867"/>
      <c r="AL568" s="2867"/>
      <c r="AM568" s="2867"/>
      <c r="AN568" s="2867"/>
      <c r="AO568" s="2867"/>
      <c r="AP568" s="2867"/>
      <c r="AQ568" s="2867"/>
      <c r="AR568" s="2867"/>
      <c r="AS568" s="2867"/>
      <c r="AT568" s="2867"/>
      <c r="AU568" s="2867"/>
      <c r="AV568" s="2867"/>
      <c r="AW568" s="2867"/>
      <c r="AX568" s="2867"/>
      <c r="AY568" s="2867"/>
      <c r="AZ568" s="2867"/>
      <c r="BA568" s="2867"/>
      <c r="BB568" s="2867"/>
      <c r="BC568" s="2867"/>
      <c r="BD568" s="2867"/>
      <c r="BE568" s="2867"/>
      <c r="BF568" s="2867"/>
      <c r="BG568" s="2867"/>
      <c r="BH568" s="2867"/>
      <c r="BI568" s="2867"/>
      <c r="BJ568" s="2867"/>
      <c r="BK568" s="2867"/>
      <c r="BL568" s="2867"/>
      <c r="BM568" s="2867"/>
      <c r="BN568" s="2867"/>
      <c r="BO568" s="2867"/>
      <c r="BP568" s="2867"/>
      <c r="BQ568" s="2867"/>
      <c r="BR568" s="2867"/>
      <c r="BS568" s="2867"/>
      <c r="BT568" s="2867"/>
      <c r="BU568" s="2867"/>
      <c r="BV568" s="2867"/>
      <c r="BW568" s="2867"/>
      <c r="BX568" s="2867"/>
      <c r="BY568" s="2867"/>
      <c r="BZ568" s="2867"/>
      <c r="CA568" s="2867"/>
      <c r="CB568" s="2867"/>
      <c r="CC568" s="2867"/>
      <c r="CD568" s="2867"/>
      <c r="CE568" s="2867"/>
      <c r="CF568" s="2867"/>
      <c r="CG568" s="2867"/>
      <c r="CH568" s="2867"/>
      <c r="CI568" s="2867"/>
      <c r="CJ568" s="2867"/>
      <c r="CK568" s="2867"/>
      <c r="CL568" s="2867"/>
      <c r="CM568" s="2867"/>
      <c r="CN568" s="2867"/>
      <c r="CO568" s="2867"/>
      <c r="CP568" s="2867"/>
      <c r="CQ568" s="2867"/>
      <c r="CR568" s="2867"/>
      <c r="CS568" s="2867"/>
      <c r="CT568" s="2867"/>
      <c r="CU568" s="2867"/>
      <c r="CV568" s="2867"/>
      <c r="CW568" s="2867"/>
    </row>
    <row r="569" spans="1:101">
      <c r="A569" s="2867"/>
      <c r="B569" s="2867"/>
      <c r="C569" s="2867"/>
      <c r="D569" s="2867"/>
      <c r="E569" s="2867"/>
      <c r="F569" s="2867"/>
      <c r="G569" s="2867"/>
      <c r="H569" s="2867"/>
      <c r="I569" s="2867"/>
      <c r="J569" s="2867"/>
      <c r="K569" s="2867"/>
      <c r="L569" s="2867"/>
      <c r="M569" s="2867"/>
      <c r="O569" s="2867"/>
      <c r="P569" s="2867"/>
      <c r="Q569" s="2867"/>
      <c r="R569" s="2867"/>
      <c r="S569" s="2867"/>
      <c r="T569" s="2867"/>
      <c r="U569" s="2867"/>
      <c r="V569" s="2867"/>
      <c r="W569" s="2867"/>
      <c r="X569" s="2867"/>
      <c r="Y569" s="2867"/>
      <c r="Z569" s="2867"/>
      <c r="AA569" s="2867"/>
      <c r="AB569" s="2867"/>
      <c r="AC569" s="2867"/>
      <c r="AD569" s="2867"/>
      <c r="AE569" s="2867"/>
      <c r="AF569" s="2867"/>
      <c r="AG569" s="2867"/>
      <c r="AH569" s="2867"/>
      <c r="AI569" s="2867"/>
      <c r="AJ569" s="2867"/>
      <c r="AK569" s="2867"/>
      <c r="AL569" s="2867"/>
      <c r="AM569" s="2867"/>
      <c r="AN569" s="2867"/>
      <c r="AO569" s="2867"/>
      <c r="AP569" s="2867"/>
      <c r="AQ569" s="2867"/>
      <c r="AR569" s="2867"/>
      <c r="AS569" s="2867"/>
      <c r="AT569" s="2867"/>
      <c r="AU569" s="2867"/>
      <c r="AV569" s="2867"/>
      <c r="AW569" s="2867"/>
      <c r="AX569" s="2867"/>
      <c r="AY569" s="2867"/>
      <c r="AZ569" s="2867"/>
      <c r="BA569" s="2867"/>
      <c r="BB569" s="2867"/>
      <c r="BC569" s="2867"/>
      <c r="BD569" s="2867"/>
      <c r="BE569" s="2867"/>
      <c r="BF569" s="2867"/>
      <c r="BG569" s="2867"/>
      <c r="BH569" s="2867"/>
      <c r="BI569" s="2867"/>
      <c r="BJ569" s="2867"/>
      <c r="BK569" s="2867"/>
      <c r="BL569" s="2867"/>
      <c r="BM569" s="2867"/>
      <c r="BN569" s="2867"/>
      <c r="BO569" s="2867"/>
      <c r="BP569" s="2867"/>
      <c r="BQ569" s="2867"/>
      <c r="BR569" s="2867"/>
      <c r="BS569" s="2867"/>
      <c r="BT569" s="2867"/>
      <c r="BU569" s="2867"/>
      <c r="BV569" s="2867"/>
      <c r="BW569" s="2867"/>
      <c r="BX569" s="2867"/>
      <c r="BY569" s="2867"/>
      <c r="BZ569" s="2867"/>
      <c r="CA569" s="2867"/>
      <c r="CB569" s="2867"/>
      <c r="CC569" s="2867"/>
      <c r="CD569" s="2867"/>
      <c r="CE569" s="2867"/>
      <c r="CF569" s="2867"/>
      <c r="CG569" s="2867"/>
      <c r="CH569" s="2867"/>
      <c r="CI569" s="2867"/>
      <c r="CJ569" s="2867"/>
      <c r="CK569" s="2867"/>
      <c r="CL569" s="2867"/>
      <c r="CM569" s="2867"/>
      <c r="CN569" s="2867"/>
      <c r="CO569" s="2867"/>
      <c r="CP569" s="2867"/>
      <c r="CQ569" s="2867"/>
      <c r="CR569" s="2867"/>
      <c r="CS569" s="2867"/>
      <c r="CT569" s="2867"/>
      <c r="CU569" s="2867"/>
      <c r="CV569" s="2867"/>
      <c r="CW569" s="2867"/>
    </row>
    <row r="570" spans="1:101">
      <c r="A570" s="2867"/>
      <c r="B570" s="2867"/>
      <c r="C570" s="2867"/>
      <c r="D570" s="2867"/>
      <c r="E570" s="2867"/>
      <c r="F570" s="2867"/>
      <c r="G570" s="2867"/>
      <c r="H570" s="2867"/>
      <c r="I570" s="2867"/>
      <c r="J570" s="2867"/>
      <c r="K570" s="2867"/>
      <c r="L570" s="2867"/>
      <c r="M570" s="2867"/>
      <c r="O570" s="2867"/>
      <c r="P570" s="2867"/>
      <c r="Q570" s="2867"/>
      <c r="R570" s="2867"/>
      <c r="S570" s="2867"/>
      <c r="T570" s="2867"/>
      <c r="U570" s="2867"/>
      <c r="V570" s="2867"/>
      <c r="W570" s="2867"/>
      <c r="X570" s="2867"/>
      <c r="Y570" s="2867"/>
      <c r="Z570" s="2867"/>
      <c r="AA570" s="2867"/>
      <c r="AB570" s="2867"/>
      <c r="AC570" s="2867"/>
      <c r="AD570" s="2867"/>
      <c r="AE570" s="2867"/>
      <c r="AF570" s="2867"/>
      <c r="AG570" s="2867"/>
      <c r="AH570" s="2867"/>
      <c r="AI570" s="2867"/>
      <c r="AJ570" s="2867"/>
      <c r="AK570" s="2867"/>
      <c r="AL570" s="2867"/>
      <c r="AM570" s="2867"/>
      <c r="AN570" s="2867"/>
      <c r="AO570" s="2867"/>
      <c r="AP570" s="2867"/>
      <c r="AQ570" s="2867"/>
      <c r="AR570" s="2867"/>
      <c r="AS570" s="2867"/>
      <c r="AT570" s="2867"/>
      <c r="AU570" s="2867"/>
      <c r="AV570" s="2867"/>
      <c r="AW570" s="2867"/>
      <c r="AX570" s="2867"/>
      <c r="AY570" s="2867"/>
      <c r="AZ570" s="2867"/>
      <c r="BA570" s="2867"/>
      <c r="BB570" s="2867"/>
      <c r="BC570" s="2867"/>
      <c r="BD570" s="2867"/>
      <c r="BE570" s="2867"/>
      <c r="BF570" s="2867"/>
      <c r="BG570" s="2867"/>
      <c r="BH570" s="2867"/>
      <c r="BI570" s="2867"/>
      <c r="BJ570" s="2867"/>
      <c r="BK570" s="2867"/>
      <c r="BL570" s="2867"/>
      <c r="BM570" s="2867"/>
      <c r="BN570" s="2867"/>
      <c r="BO570" s="2867"/>
      <c r="BP570" s="2867"/>
      <c r="BQ570" s="2867"/>
      <c r="BR570" s="2867"/>
      <c r="BS570" s="2867"/>
      <c r="BT570" s="2867"/>
      <c r="BU570" s="2867"/>
      <c r="BV570" s="2867"/>
      <c r="BW570" s="2867"/>
      <c r="BX570" s="2867"/>
      <c r="BY570" s="2867"/>
      <c r="BZ570" s="2867"/>
      <c r="CA570" s="2867"/>
      <c r="CB570" s="2867"/>
      <c r="CC570" s="2867"/>
      <c r="CD570" s="2867"/>
      <c r="CE570" s="2867"/>
      <c r="CF570" s="2867"/>
      <c r="CG570" s="2867"/>
      <c r="CH570" s="2867"/>
      <c r="CI570" s="2867"/>
      <c r="CJ570" s="2867"/>
      <c r="CK570" s="2867"/>
      <c r="CL570" s="2867"/>
      <c r="CM570" s="2867"/>
      <c r="CN570" s="2867"/>
      <c r="CO570" s="2867"/>
      <c r="CP570" s="2867"/>
      <c r="CQ570" s="2867"/>
      <c r="CR570" s="2867"/>
      <c r="CS570" s="2867"/>
      <c r="CT570" s="2867"/>
      <c r="CU570" s="2867"/>
      <c r="CV570" s="2867"/>
      <c r="CW570" s="2867"/>
    </row>
    <row r="571" spans="1:101">
      <c r="A571" s="2867"/>
      <c r="B571" s="2867"/>
      <c r="C571" s="2867"/>
      <c r="D571" s="2867"/>
      <c r="E571" s="2867"/>
      <c r="F571" s="2867"/>
      <c r="G571" s="2867"/>
      <c r="H571" s="2867"/>
      <c r="I571" s="2867"/>
      <c r="J571" s="2867"/>
      <c r="K571" s="2867"/>
      <c r="L571" s="2867"/>
      <c r="M571" s="2867"/>
      <c r="O571" s="2867"/>
      <c r="P571" s="2867"/>
      <c r="Q571" s="2867"/>
      <c r="R571" s="2867"/>
      <c r="S571" s="2867"/>
      <c r="T571" s="2867"/>
      <c r="U571" s="2867"/>
      <c r="V571" s="2867"/>
      <c r="W571" s="2867"/>
      <c r="X571" s="2867"/>
      <c r="Y571" s="2867"/>
      <c r="Z571" s="2867"/>
      <c r="AA571" s="2867"/>
      <c r="AB571" s="2867"/>
      <c r="AC571" s="2867"/>
      <c r="AD571" s="2867"/>
      <c r="AE571" s="2867"/>
      <c r="AF571" s="2867"/>
      <c r="AG571" s="2867"/>
      <c r="AH571" s="2867"/>
      <c r="AI571" s="2867"/>
      <c r="AJ571" s="2867"/>
      <c r="AK571" s="2867"/>
      <c r="AL571" s="2867"/>
      <c r="AM571" s="2867"/>
      <c r="AN571" s="2867"/>
      <c r="AO571" s="2867"/>
      <c r="AP571" s="2867"/>
      <c r="AQ571" s="2867"/>
      <c r="AR571" s="2867"/>
      <c r="AS571" s="2867"/>
      <c r="AT571" s="2867"/>
      <c r="AU571" s="2867"/>
      <c r="AV571" s="2867"/>
      <c r="AW571" s="2867"/>
      <c r="AX571" s="2867"/>
      <c r="AY571" s="2867"/>
      <c r="AZ571" s="2867"/>
      <c r="BA571" s="2867"/>
      <c r="BB571" s="2867"/>
      <c r="BC571" s="2867"/>
      <c r="BD571" s="2867"/>
      <c r="BE571" s="2867"/>
      <c r="BF571" s="2867"/>
      <c r="BG571" s="2867"/>
      <c r="BH571" s="2867"/>
      <c r="BI571" s="2867"/>
      <c r="BJ571" s="2867"/>
      <c r="BK571" s="2867"/>
      <c r="BL571" s="2867"/>
      <c r="BM571" s="2867"/>
      <c r="BN571" s="2867"/>
      <c r="BO571" s="2867"/>
      <c r="BP571" s="2867"/>
      <c r="BQ571" s="2867"/>
      <c r="BR571" s="2867"/>
      <c r="BS571" s="2867"/>
      <c r="BT571" s="2867"/>
      <c r="BU571" s="2867"/>
      <c r="BV571" s="2867"/>
      <c r="BW571" s="2867"/>
      <c r="BX571" s="2867"/>
      <c r="BY571" s="2867"/>
      <c r="BZ571" s="2867"/>
      <c r="CA571" s="2867"/>
      <c r="CB571" s="2867"/>
      <c r="CC571" s="2867"/>
      <c r="CD571" s="2867"/>
      <c r="CE571" s="2867"/>
      <c r="CF571" s="2867"/>
      <c r="CG571" s="2867"/>
      <c r="CH571" s="2867"/>
      <c r="CI571" s="2867"/>
      <c r="CJ571" s="2867"/>
      <c r="CK571" s="2867"/>
      <c r="CL571" s="2867"/>
      <c r="CM571" s="2867"/>
      <c r="CN571" s="2867"/>
      <c r="CO571" s="2867"/>
      <c r="CP571" s="2867"/>
      <c r="CQ571" s="2867"/>
      <c r="CR571" s="2867"/>
      <c r="CS571" s="2867"/>
      <c r="CT571" s="2867"/>
      <c r="CU571" s="2867"/>
      <c r="CV571" s="2867"/>
      <c r="CW571" s="2867"/>
    </row>
    <row r="572" spans="1:101">
      <c r="A572" s="2867"/>
      <c r="B572" s="2867"/>
      <c r="C572" s="2867"/>
      <c r="D572" s="2867"/>
      <c r="E572" s="2867"/>
      <c r="F572" s="2867"/>
      <c r="G572" s="2867"/>
      <c r="H572" s="2867"/>
      <c r="I572" s="2867"/>
      <c r="J572" s="2867"/>
      <c r="K572" s="2867"/>
      <c r="L572" s="2867"/>
      <c r="M572" s="2867"/>
      <c r="O572" s="2867"/>
      <c r="P572" s="2867"/>
      <c r="Q572" s="2867"/>
      <c r="R572" s="2867"/>
      <c r="S572" s="2867"/>
      <c r="T572" s="2867"/>
      <c r="U572" s="2867"/>
      <c r="V572" s="2867"/>
      <c r="W572" s="2867"/>
      <c r="X572" s="2867"/>
      <c r="Y572" s="2867"/>
      <c r="Z572" s="2867"/>
      <c r="AA572" s="2867"/>
      <c r="AB572" s="2867"/>
      <c r="AC572" s="2867"/>
      <c r="AD572" s="2867"/>
      <c r="AE572" s="2867"/>
      <c r="AF572" s="2867"/>
      <c r="AG572" s="2867"/>
      <c r="AH572" s="2867"/>
      <c r="AI572" s="2867"/>
      <c r="AJ572" s="2867"/>
      <c r="AK572" s="2867"/>
      <c r="AL572" s="2867"/>
      <c r="AM572" s="2867"/>
      <c r="AN572" s="2867"/>
      <c r="AO572" s="2867"/>
      <c r="AP572" s="2867"/>
      <c r="AQ572" s="2867"/>
      <c r="AR572" s="2867"/>
      <c r="AS572" s="2867"/>
      <c r="AT572" s="2867"/>
      <c r="AU572" s="2867"/>
      <c r="AV572" s="2867"/>
      <c r="AW572" s="2867"/>
      <c r="AX572" s="2867"/>
      <c r="AY572" s="2867"/>
      <c r="AZ572" s="2867"/>
      <c r="BA572" s="2867"/>
      <c r="BB572" s="2867"/>
      <c r="BC572" s="2867"/>
      <c r="BD572" s="2867"/>
      <c r="BE572" s="2867"/>
      <c r="BF572" s="2867"/>
      <c r="BG572" s="2867"/>
      <c r="BH572" s="2867"/>
      <c r="BI572" s="2867"/>
      <c r="BJ572" s="2867"/>
      <c r="BK572" s="2867"/>
      <c r="BL572" s="2867"/>
      <c r="BM572" s="2867"/>
      <c r="BN572" s="2867"/>
      <c r="BO572" s="2867"/>
      <c r="BP572" s="2867"/>
      <c r="BQ572" s="2867"/>
      <c r="BR572" s="2867"/>
      <c r="BS572" s="2867"/>
      <c r="BT572" s="2867"/>
      <c r="BU572" s="2867"/>
      <c r="BV572" s="2867"/>
      <c r="BW572" s="2867"/>
      <c r="BX572" s="2867"/>
      <c r="BY572" s="2867"/>
      <c r="BZ572" s="2867"/>
      <c r="CA572" s="2867"/>
      <c r="CB572" s="2867"/>
      <c r="CC572" s="2867"/>
      <c r="CD572" s="2867"/>
      <c r="CE572" s="2867"/>
      <c r="CF572" s="2867"/>
      <c r="CG572" s="2867"/>
      <c r="CH572" s="2867"/>
      <c r="CI572" s="2867"/>
      <c r="CJ572" s="2867"/>
      <c r="CK572" s="2867"/>
      <c r="CL572" s="2867"/>
      <c r="CM572" s="2867"/>
      <c r="CN572" s="2867"/>
      <c r="CO572" s="2867"/>
      <c r="CP572" s="2867"/>
      <c r="CQ572" s="2867"/>
      <c r="CR572" s="2867"/>
      <c r="CS572" s="2867"/>
      <c r="CT572" s="2867"/>
      <c r="CU572" s="2867"/>
      <c r="CV572" s="2867"/>
      <c r="CW572" s="2867"/>
    </row>
    <row r="573" spans="1:101">
      <c r="A573" s="2867"/>
      <c r="B573" s="2867"/>
      <c r="C573" s="2867"/>
      <c r="D573" s="2867"/>
      <c r="E573" s="2867"/>
      <c r="F573" s="2867"/>
      <c r="G573" s="2867"/>
      <c r="H573" s="2867"/>
      <c r="I573" s="2867"/>
      <c r="J573" s="2867"/>
      <c r="K573" s="2867"/>
      <c r="L573" s="2867"/>
      <c r="M573" s="2867"/>
      <c r="O573" s="2867"/>
      <c r="P573" s="2867"/>
      <c r="Q573" s="2867"/>
      <c r="R573" s="2867"/>
      <c r="S573" s="2867"/>
      <c r="T573" s="2867"/>
      <c r="U573" s="2867"/>
      <c r="V573" s="2867"/>
      <c r="W573" s="2867"/>
      <c r="X573" s="2867"/>
      <c r="Y573" s="2867"/>
      <c r="Z573" s="2867"/>
      <c r="AA573" s="2867"/>
      <c r="AB573" s="2867"/>
      <c r="AC573" s="2867"/>
      <c r="AD573" s="2867"/>
      <c r="AE573" s="2867"/>
      <c r="AF573" s="2867"/>
      <c r="AG573" s="2867"/>
      <c r="AH573" s="2867"/>
      <c r="AI573" s="2867"/>
      <c r="AJ573" s="2867"/>
      <c r="AK573" s="2867"/>
      <c r="AL573" s="2867"/>
      <c r="AM573" s="2867"/>
      <c r="AN573" s="2867"/>
      <c r="AO573" s="2867"/>
      <c r="AP573" s="2867"/>
      <c r="AQ573" s="2867"/>
      <c r="AR573" s="2867"/>
      <c r="AS573" s="2867"/>
      <c r="AT573" s="2867"/>
      <c r="AU573" s="2867"/>
      <c r="AV573" s="2867"/>
      <c r="AW573" s="2867"/>
      <c r="AX573" s="2867"/>
      <c r="AY573" s="2867"/>
      <c r="AZ573" s="2867"/>
      <c r="BA573" s="2867"/>
      <c r="BB573" s="2867"/>
      <c r="BC573" s="2867"/>
      <c r="BD573" s="2867"/>
      <c r="BE573" s="2867"/>
      <c r="BF573" s="2867"/>
      <c r="BG573" s="2867"/>
      <c r="BH573" s="2867"/>
      <c r="BI573" s="2867"/>
      <c r="BJ573" s="2867"/>
      <c r="BK573" s="2867"/>
      <c r="BL573" s="2867"/>
      <c r="BM573" s="2867"/>
      <c r="BN573" s="2867"/>
      <c r="BO573" s="2867"/>
      <c r="BP573" s="2867"/>
      <c r="BQ573" s="2867"/>
      <c r="BR573" s="2867"/>
      <c r="BS573" s="2867"/>
      <c r="BT573" s="2867"/>
      <c r="BU573" s="2867"/>
      <c r="BV573" s="2867"/>
      <c r="BW573" s="2867"/>
      <c r="BX573" s="2867"/>
      <c r="BY573" s="2867"/>
      <c r="BZ573" s="2867"/>
      <c r="CA573" s="2867"/>
      <c r="CB573" s="2867"/>
      <c r="CC573" s="2867"/>
      <c r="CD573" s="2867"/>
      <c r="CE573" s="2867"/>
      <c r="CF573" s="2867"/>
      <c r="CG573" s="2867"/>
      <c r="CH573" s="2867"/>
      <c r="CI573" s="2867"/>
      <c r="CJ573" s="2867"/>
      <c r="CK573" s="2867"/>
      <c r="CL573" s="2867"/>
      <c r="CM573" s="2867"/>
      <c r="CN573" s="2867"/>
      <c r="CO573" s="2867"/>
      <c r="CP573" s="2867"/>
      <c r="CQ573" s="2867"/>
      <c r="CR573" s="2867"/>
      <c r="CS573" s="2867"/>
      <c r="CT573" s="2867"/>
      <c r="CU573" s="2867"/>
      <c r="CV573" s="2867"/>
      <c r="CW573" s="2867"/>
    </row>
    <row r="574" spans="1:101">
      <c r="A574" s="2867"/>
      <c r="B574" s="2867"/>
      <c r="C574" s="2867"/>
      <c r="D574" s="2867"/>
      <c r="E574" s="2867"/>
      <c r="F574" s="2867"/>
      <c r="G574" s="2867"/>
      <c r="H574" s="2867"/>
      <c r="I574" s="2867"/>
      <c r="J574" s="2867"/>
      <c r="K574" s="2867"/>
      <c r="L574" s="2867"/>
      <c r="M574" s="2867"/>
      <c r="O574" s="2867"/>
      <c r="P574" s="2867"/>
      <c r="Q574" s="2867"/>
      <c r="R574" s="2867"/>
      <c r="S574" s="2867"/>
      <c r="T574" s="2867"/>
      <c r="U574" s="2867"/>
      <c r="V574" s="2867"/>
      <c r="W574" s="2867"/>
      <c r="X574" s="2867"/>
      <c r="Y574" s="2867"/>
      <c r="Z574" s="2867"/>
      <c r="AA574" s="2867"/>
      <c r="AB574" s="2867"/>
      <c r="AC574" s="2867"/>
      <c r="AD574" s="2867"/>
      <c r="AE574" s="2867"/>
      <c r="AF574" s="2867"/>
      <c r="AG574" s="2867"/>
      <c r="AH574" s="2867"/>
      <c r="AI574" s="2867"/>
      <c r="AJ574" s="2867"/>
      <c r="AK574" s="2867"/>
      <c r="AL574" s="2867"/>
      <c r="AM574" s="2867"/>
      <c r="AN574" s="2867"/>
      <c r="AO574" s="2867"/>
      <c r="AP574" s="2867"/>
      <c r="AQ574" s="2867"/>
      <c r="AR574" s="2867"/>
      <c r="AS574" s="2867"/>
      <c r="AT574" s="2867"/>
      <c r="AU574" s="2867"/>
      <c r="AV574" s="2867"/>
      <c r="AW574" s="2867"/>
      <c r="AX574" s="2867"/>
      <c r="AY574" s="2867"/>
      <c r="AZ574" s="2867"/>
      <c r="BA574" s="2867"/>
      <c r="BB574" s="2867"/>
      <c r="BC574" s="2867"/>
      <c r="BD574" s="2867"/>
      <c r="BE574" s="2867"/>
      <c r="BF574" s="2867"/>
      <c r="BG574" s="2867"/>
      <c r="BH574" s="2867"/>
      <c r="BI574" s="2867"/>
      <c r="BJ574" s="2867"/>
      <c r="BK574" s="2867"/>
      <c r="BL574" s="2867"/>
      <c r="BM574" s="2867"/>
      <c r="BN574" s="2867"/>
      <c r="BO574" s="2867"/>
      <c r="BP574" s="2867"/>
      <c r="BQ574" s="2867"/>
      <c r="BR574" s="2867"/>
      <c r="BS574" s="2867"/>
      <c r="BT574" s="2867"/>
      <c r="BU574" s="2867"/>
      <c r="BV574" s="2867"/>
      <c r="BW574" s="2867"/>
      <c r="BX574" s="2867"/>
      <c r="BY574" s="2867"/>
      <c r="BZ574" s="2867"/>
      <c r="CA574" s="2867"/>
      <c r="CB574" s="2867"/>
      <c r="CC574" s="2867"/>
      <c r="CD574" s="2867"/>
      <c r="CE574" s="2867"/>
      <c r="CF574" s="2867"/>
      <c r="CG574" s="2867"/>
      <c r="CH574" s="2867"/>
      <c r="CI574" s="2867"/>
      <c r="CJ574" s="2867"/>
      <c r="CK574" s="2867"/>
      <c r="CL574" s="2867"/>
      <c r="CM574" s="2867"/>
      <c r="CN574" s="2867"/>
      <c r="CO574" s="2867"/>
      <c r="CP574" s="2867"/>
      <c r="CQ574" s="2867"/>
      <c r="CR574" s="2867"/>
      <c r="CS574" s="2867"/>
      <c r="CT574" s="2867"/>
      <c r="CU574" s="2867"/>
      <c r="CV574" s="2867"/>
      <c r="CW574" s="2867"/>
    </row>
    <row r="575" spans="1:101">
      <c r="A575" s="2867"/>
      <c r="B575" s="2867"/>
      <c r="C575" s="2867"/>
      <c r="D575" s="2867"/>
      <c r="E575" s="2867"/>
      <c r="F575" s="2867"/>
      <c r="G575" s="2867"/>
      <c r="H575" s="2867"/>
      <c r="I575" s="2867"/>
      <c r="J575" s="2867"/>
      <c r="K575" s="2867"/>
      <c r="L575" s="2867"/>
      <c r="M575" s="2867"/>
      <c r="O575" s="2867"/>
      <c r="P575" s="2867"/>
      <c r="Q575" s="2867"/>
      <c r="R575" s="2867"/>
      <c r="S575" s="2867"/>
      <c r="T575" s="2867"/>
      <c r="U575" s="2867"/>
      <c r="V575" s="2867"/>
      <c r="W575" s="2867"/>
      <c r="X575" s="2867"/>
      <c r="Y575" s="2867"/>
      <c r="Z575" s="2867"/>
      <c r="AA575" s="2867"/>
      <c r="AB575" s="2867"/>
      <c r="AC575" s="2867"/>
      <c r="AD575" s="2867"/>
      <c r="AE575" s="2867"/>
      <c r="AF575" s="2867"/>
      <c r="AG575" s="2867"/>
      <c r="AH575" s="2867"/>
      <c r="AI575" s="2867"/>
      <c r="AJ575" s="2867"/>
      <c r="AK575" s="2867"/>
      <c r="AL575" s="2867"/>
      <c r="AM575" s="2867"/>
      <c r="AN575" s="2867"/>
      <c r="AO575" s="2867"/>
      <c r="AP575" s="2867"/>
      <c r="AQ575" s="2867"/>
      <c r="AR575" s="2867"/>
      <c r="AS575" s="2867"/>
      <c r="AT575" s="2867"/>
      <c r="AU575" s="2867"/>
      <c r="AV575" s="2867"/>
      <c r="AW575" s="2867"/>
      <c r="AX575" s="2867"/>
      <c r="AY575" s="2867"/>
      <c r="AZ575" s="2867"/>
      <c r="BA575" s="2867"/>
      <c r="BB575" s="2867"/>
      <c r="BC575" s="2867"/>
      <c r="BD575" s="2867"/>
      <c r="BE575" s="2867"/>
      <c r="BF575" s="2867"/>
      <c r="BG575" s="2867"/>
      <c r="BH575" s="2867"/>
      <c r="BI575" s="2867"/>
      <c r="BJ575" s="2867"/>
      <c r="BK575" s="2867"/>
      <c r="BL575" s="2867"/>
      <c r="BM575" s="2867"/>
      <c r="BN575" s="2867"/>
      <c r="BO575" s="2867"/>
      <c r="BP575" s="2867"/>
      <c r="BQ575" s="2867"/>
      <c r="BR575" s="2867"/>
      <c r="BS575" s="2867"/>
      <c r="BT575" s="2867"/>
      <c r="BU575" s="2867"/>
      <c r="BV575" s="2867"/>
      <c r="BW575" s="2867"/>
      <c r="BX575" s="2867"/>
      <c r="BY575" s="2867"/>
      <c r="BZ575" s="2867"/>
      <c r="CA575" s="2867"/>
      <c r="CB575" s="2867"/>
      <c r="CC575" s="2867"/>
      <c r="CD575" s="2867"/>
      <c r="CE575" s="2867"/>
      <c r="CF575" s="2867"/>
      <c r="CG575" s="2867"/>
      <c r="CH575" s="2867"/>
      <c r="CI575" s="2867"/>
      <c r="CJ575" s="2867"/>
      <c r="CK575" s="2867"/>
      <c r="CL575" s="2867"/>
      <c r="CM575" s="2867"/>
      <c r="CN575" s="2867"/>
      <c r="CO575" s="2867"/>
      <c r="CP575" s="2867"/>
      <c r="CQ575" s="2867"/>
      <c r="CR575" s="2867"/>
      <c r="CS575" s="2867"/>
      <c r="CT575" s="2867"/>
      <c r="CU575" s="2867"/>
      <c r="CV575" s="2867"/>
      <c r="CW575" s="2867"/>
    </row>
    <row r="576" spans="1:101">
      <c r="A576" s="2867"/>
      <c r="B576" s="2867"/>
      <c r="C576" s="2867"/>
      <c r="D576" s="2867"/>
      <c r="E576" s="2867"/>
      <c r="F576" s="2867"/>
      <c r="G576" s="2867"/>
      <c r="H576" s="2867"/>
      <c r="I576" s="2867"/>
      <c r="J576" s="2867"/>
      <c r="K576" s="2867"/>
      <c r="L576" s="2867"/>
      <c r="M576" s="2867"/>
      <c r="O576" s="2867"/>
      <c r="P576" s="2867"/>
      <c r="Q576" s="2867"/>
      <c r="R576" s="2867"/>
      <c r="S576" s="2867"/>
      <c r="T576" s="2867"/>
      <c r="U576" s="2867"/>
      <c r="V576" s="2867"/>
      <c r="W576" s="2867"/>
      <c r="X576" s="2867"/>
      <c r="Y576" s="2867"/>
      <c r="Z576" s="2867"/>
      <c r="AA576" s="2867"/>
      <c r="AB576" s="2867"/>
      <c r="AC576" s="2867"/>
      <c r="AD576" s="2867"/>
      <c r="AE576" s="2867"/>
      <c r="AF576" s="2867"/>
      <c r="AG576" s="2867"/>
      <c r="AH576" s="2867"/>
      <c r="AI576" s="2867"/>
      <c r="AJ576" s="2867"/>
      <c r="AK576" s="2867"/>
      <c r="AL576" s="2867"/>
      <c r="AM576" s="2867"/>
      <c r="AN576" s="2867"/>
      <c r="AO576" s="2867"/>
      <c r="AP576" s="2867"/>
      <c r="AQ576" s="2867"/>
      <c r="AR576" s="2867"/>
      <c r="AS576" s="2867"/>
      <c r="AT576" s="2867"/>
      <c r="AU576" s="2867"/>
      <c r="AV576" s="2867"/>
      <c r="AW576" s="2867"/>
      <c r="AX576" s="2867"/>
      <c r="AY576" s="2867"/>
      <c r="AZ576" s="2867"/>
      <c r="BA576" s="2867"/>
      <c r="BB576" s="2867"/>
      <c r="BC576" s="2867"/>
      <c r="BD576" s="2867"/>
      <c r="BE576" s="2867"/>
      <c r="BF576" s="2867"/>
      <c r="BG576" s="2867"/>
      <c r="BH576" s="2867"/>
      <c r="BI576" s="2867"/>
      <c r="BJ576" s="2867"/>
      <c r="BK576" s="2867"/>
      <c r="BL576" s="2867"/>
      <c r="BM576" s="2867"/>
      <c r="BN576" s="2867"/>
      <c r="BO576" s="2867"/>
      <c r="BP576" s="2867"/>
      <c r="BQ576" s="2867"/>
      <c r="BR576" s="2867"/>
      <c r="BS576" s="2867"/>
      <c r="BT576" s="2867"/>
      <c r="BU576" s="2867"/>
      <c r="BV576" s="2867"/>
      <c r="BW576" s="2867"/>
      <c r="BX576" s="2867"/>
      <c r="BY576" s="2867"/>
      <c r="BZ576" s="2867"/>
      <c r="CA576" s="2867"/>
      <c r="CB576" s="2867"/>
      <c r="CC576" s="2867"/>
      <c r="CD576" s="2867"/>
      <c r="CE576" s="2867"/>
      <c r="CF576" s="2867"/>
      <c r="CG576" s="2867"/>
      <c r="CH576" s="2867"/>
      <c r="CI576" s="2867"/>
      <c r="CJ576" s="2867"/>
      <c r="CK576" s="2867"/>
      <c r="CL576" s="2867"/>
      <c r="CM576" s="2867"/>
      <c r="CN576" s="2867"/>
      <c r="CO576" s="2867"/>
      <c r="CP576" s="2867"/>
      <c r="CQ576" s="2867"/>
      <c r="CR576" s="2867"/>
      <c r="CS576" s="2867"/>
      <c r="CT576" s="2867"/>
      <c r="CU576" s="2867"/>
      <c r="CV576" s="2867"/>
      <c r="CW576" s="2867"/>
    </row>
    <row r="577" spans="1:101">
      <c r="A577" s="2867"/>
      <c r="B577" s="2867"/>
      <c r="C577" s="2867"/>
      <c r="D577" s="2867"/>
      <c r="E577" s="2867"/>
      <c r="F577" s="2867"/>
      <c r="G577" s="2867"/>
      <c r="H577" s="2867"/>
      <c r="I577" s="2867"/>
      <c r="J577" s="2867"/>
      <c r="K577" s="2867"/>
      <c r="L577" s="2867"/>
      <c r="M577" s="2867"/>
      <c r="O577" s="2867"/>
      <c r="P577" s="2867"/>
      <c r="Q577" s="2867"/>
      <c r="R577" s="2867"/>
      <c r="S577" s="2867"/>
      <c r="T577" s="2867"/>
      <c r="U577" s="2867"/>
      <c r="V577" s="2867"/>
      <c r="W577" s="2867"/>
      <c r="X577" s="2867"/>
      <c r="Y577" s="2867"/>
      <c r="Z577" s="2867"/>
      <c r="AA577" s="2867"/>
      <c r="AB577" s="2867"/>
      <c r="AC577" s="2867"/>
      <c r="AD577" s="2867"/>
      <c r="AE577" s="2867"/>
      <c r="AF577" s="2867"/>
      <c r="AG577" s="2867"/>
      <c r="AH577" s="2867"/>
      <c r="AI577" s="2867"/>
      <c r="AJ577" s="2867"/>
      <c r="AK577" s="2867"/>
      <c r="AL577" s="2867"/>
      <c r="AM577" s="2867"/>
      <c r="AN577" s="2867"/>
      <c r="AO577" s="2867"/>
      <c r="AP577" s="2867"/>
      <c r="AQ577" s="2867"/>
      <c r="AR577" s="2867"/>
      <c r="AS577" s="2867"/>
      <c r="AT577" s="2867"/>
      <c r="AU577" s="2867"/>
      <c r="AV577" s="2867"/>
      <c r="AW577" s="2867"/>
      <c r="AX577" s="2867"/>
      <c r="AY577" s="2867"/>
      <c r="AZ577" s="2867"/>
      <c r="BA577" s="2867"/>
      <c r="BB577" s="2867"/>
      <c r="BC577" s="2867"/>
      <c r="BD577" s="2867"/>
      <c r="BE577" s="2867"/>
      <c r="BF577" s="2867"/>
      <c r="BG577" s="2867"/>
      <c r="BH577" s="2867"/>
      <c r="BI577" s="2867"/>
      <c r="BJ577" s="2867"/>
      <c r="BK577" s="2867"/>
      <c r="BL577" s="2867"/>
      <c r="BM577" s="2867"/>
      <c r="BN577" s="2867"/>
      <c r="BO577" s="2867"/>
      <c r="BP577" s="2867"/>
      <c r="BQ577" s="2867"/>
      <c r="BR577" s="2867"/>
      <c r="BS577" s="2867"/>
      <c r="BT577" s="2867"/>
      <c r="BU577" s="2867"/>
      <c r="BV577" s="2867"/>
      <c r="BW577" s="2867"/>
      <c r="BX577" s="2867"/>
      <c r="BY577" s="2867"/>
      <c r="BZ577" s="2867"/>
      <c r="CA577" s="2867"/>
      <c r="CB577" s="2867"/>
      <c r="CC577" s="2867"/>
      <c r="CD577" s="2867"/>
      <c r="CE577" s="2867"/>
      <c r="CF577" s="2867"/>
      <c r="CG577" s="2867"/>
      <c r="CH577" s="2867"/>
      <c r="CI577" s="2867"/>
      <c r="CJ577" s="2867"/>
      <c r="CK577" s="2867"/>
      <c r="CL577" s="2867"/>
      <c r="CM577" s="2867"/>
      <c r="CN577" s="2867"/>
      <c r="CO577" s="2867"/>
      <c r="CP577" s="2867"/>
      <c r="CQ577" s="2867"/>
      <c r="CR577" s="2867"/>
      <c r="CS577" s="2867"/>
      <c r="CT577" s="2867"/>
      <c r="CU577" s="2867"/>
      <c r="CV577" s="2867"/>
      <c r="CW577" s="2867"/>
    </row>
    <row r="578" spans="1:101">
      <c r="A578" s="2867"/>
      <c r="B578" s="2867"/>
      <c r="C578" s="2867"/>
      <c r="D578" s="2867"/>
      <c r="E578" s="2867"/>
      <c r="F578" s="2867"/>
      <c r="G578" s="2867"/>
      <c r="H578" s="2867"/>
      <c r="I578" s="2867"/>
      <c r="J578" s="2867"/>
      <c r="K578" s="2867"/>
      <c r="L578" s="2867"/>
      <c r="M578" s="2867"/>
      <c r="O578" s="2867"/>
      <c r="P578" s="2867"/>
      <c r="Q578" s="2867"/>
      <c r="R578" s="2867"/>
      <c r="S578" s="2867"/>
      <c r="T578" s="2867"/>
      <c r="U578" s="2867"/>
      <c r="V578" s="2867"/>
      <c r="W578" s="2867"/>
      <c r="X578" s="2867"/>
      <c r="Y578" s="2867"/>
      <c r="Z578" s="2867"/>
      <c r="AA578" s="2867"/>
      <c r="AB578" s="2867"/>
      <c r="AC578" s="2867"/>
      <c r="AD578" s="2867"/>
      <c r="AE578" s="2867"/>
      <c r="AF578" s="2867"/>
      <c r="AG578" s="2867"/>
      <c r="AH578" s="2867"/>
      <c r="AI578" s="2867"/>
      <c r="AJ578" s="2867"/>
      <c r="AK578" s="2867"/>
      <c r="AL578" s="2867"/>
      <c r="AM578" s="2867"/>
      <c r="AN578" s="2867"/>
      <c r="AO578" s="2867"/>
      <c r="AP578" s="2867"/>
      <c r="AQ578" s="2867"/>
      <c r="AR578" s="2867"/>
      <c r="AS578" s="2867"/>
      <c r="AT578" s="2867"/>
      <c r="AU578" s="2867"/>
      <c r="AV578" s="2867"/>
      <c r="AW578" s="2867"/>
      <c r="AX578" s="2867"/>
      <c r="AY578" s="2867"/>
      <c r="AZ578" s="2867"/>
      <c r="BA578" s="2867"/>
      <c r="BB578" s="2867"/>
      <c r="BC578" s="2867"/>
      <c r="BD578" s="2867"/>
      <c r="BE578" s="2867"/>
      <c r="BF578" s="2867"/>
      <c r="BG578" s="2867"/>
      <c r="BH578" s="2867"/>
      <c r="BI578" s="2867"/>
      <c r="BJ578" s="2867"/>
      <c r="BK578" s="2867"/>
      <c r="BL578" s="2867"/>
      <c r="BM578" s="2867"/>
      <c r="BN578" s="2867"/>
      <c r="BO578" s="2867"/>
      <c r="BP578" s="2867"/>
      <c r="BQ578" s="2867"/>
      <c r="BR578" s="2867"/>
      <c r="BS578" s="2867"/>
      <c r="BT578" s="2867"/>
      <c r="BU578" s="2867"/>
      <c r="BV578" s="2867"/>
      <c r="BW578" s="2867"/>
      <c r="BX578" s="2867"/>
      <c r="BY578" s="2867"/>
      <c r="BZ578" s="2867"/>
      <c r="CA578" s="2867"/>
      <c r="CB578" s="2867"/>
      <c r="CC578" s="2867"/>
      <c r="CD578" s="2867"/>
      <c r="CE578" s="2867"/>
      <c r="CF578" s="2867"/>
      <c r="CG578" s="2867"/>
      <c r="CH578" s="2867"/>
      <c r="CI578" s="2867"/>
      <c r="CJ578" s="2867"/>
      <c r="CK578" s="2867"/>
      <c r="CL578" s="2867"/>
      <c r="CM578" s="2867"/>
      <c r="CN578" s="2867"/>
      <c r="CO578" s="2867"/>
      <c r="CP578" s="2867"/>
      <c r="CQ578" s="2867"/>
      <c r="CR578" s="2867"/>
      <c r="CS578" s="2867"/>
      <c r="CT578" s="2867"/>
      <c r="CU578" s="2867"/>
      <c r="CV578" s="2867"/>
      <c r="CW578" s="2867"/>
    </row>
    <row r="579" spans="1:101">
      <c r="A579" s="2867"/>
      <c r="B579" s="2867"/>
      <c r="C579" s="2867"/>
      <c r="D579" s="2867"/>
      <c r="E579" s="2867"/>
      <c r="F579" s="2867"/>
      <c r="G579" s="2867"/>
      <c r="H579" s="2867"/>
      <c r="I579" s="2867"/>
      <c r="J579" s="2867"/>
      <c r="K579" s="2867"/>
      <c r="L579" s="2867"/>
      <c r="M579" s="2867"/>
      <c r="O579" s="2867"/>
      <c r="P579" s="2867"/>
      <c r="Q579" s="2867"/>
      <c r="R579" s="2867"/>
      <c r="S579" s="2867"/>
      <c r="T579" s="2867"/>
      <c r="U579" s="2867"/>
      <c r="V579" s="2867"/>
      <c r="W579" s="2867"/>
      <c r="X579" s="2867"/>
      <c r="Y579" s="2867"/>
      <c r="Z579" s="2867"/>
      <c r="AA579" s="2867"/>
      <c r="AB579" s="2867"/>
      <c r="AC579" s="2867"/>
      <c r="AD579" s="2867"/>
      <c r="AE579" s="2867"/>
      <c r="AF579" s="2867"/>
      <c r="AG579" s="2867"/>
      <c r="AH579" s="2867"/>
      <c r="AI579" s="2867"/>
      <c r="AJ579" s="2867"/>
      <c r="AK579" s="2867"/>
      <c r="AL579" s="2867"/>
      <c r="AM579" s="2867"/>
      <c r="AN579" s="2867"/>
      <c r="AO579" s="2867"/>
      <c r="AP579" s="2867"/>
      <c r="AQ579" s="2867"/>
      <c r="AR579" s="2867"/>
      <c r="AS579" s="2867"/>
      <c r="AT579" s="2867"/>
      <c r="AU579" s="2867"/>
      <c r="AV579" s="2867"/>
      <c r="AW579" s="2867"/>
      <c r="AX579" s="2867"/>
      <c r="AY579" s="2867"/>
      <c r="AZ579" s="2867"/>
      <c r="BA579" s="2867"/>
      <c r="BB579" s="2867"/>
      <c r="BC579" s="2867"/>
      <c r="BD579" s="2867"/>
      <c r="BE579" s="2867"/>
      <c r="BF579" s="2867"/>
      <c r="BG579" s="2867"/>
      <c r="BH579" s="2867"/>
      <c r="BI579" s="2867"/>
      <c r="BJ579" s="2867"/>
      <c r="BK579" s="2867"/>
      <c r="BL579" s="2867"/>
      <c r="BM579" s="2867"/>
      <c r="BN579" s="2867"/>
      <c r="BO579" s="2867"/>
      <c r="BP579" s="2867"/>
      <c r="BQ579" s="2867"/>
      <c r="BR579" s="2867"/>
      <c r="BS579" s="2867"/>
      <c r="BT579" s="2867"/>
      <c r="BU579" s="2867"/>
      <c r="BV579" s="2867"/>
      <c r="BW579" s="2867"/>
      <c r="BX579" s="2867"/>
      <c r="BY579" s="2867"/>
      <c r="BZ579" s="2867"/>
      <c r="CA579" s="2867"/>
      <c r="CB579" s="2867"/>
      <c r="CC579" s="2867"/>
      <c r="CD579" s="2867"/>
      <c r="CE579" s="2867"/>
      <c r="CF579" s="2867"/>
      <c r="CG579" s="2867"/>
      <c r="CH579" s="2867"/>
      <c r="CI579" s="2867"/>
      <c r="CJ579" s="2867"/>
      <c r="CK579" s="2867"/>
      <c r="CL579" s="2867"/>
      <c r="CM579" s="2867"/>
      <c r="CN579" s="2867"/>
      <c r="CO579" s="2867"/>
      <c r="CP579" s="2867"/>
      <c r="CQ579" s="2867"/>
      <c r="CR579" s="2867"/>
      <c r="CS579" s="2867"/>
      <c r="CT579" s="2867"/>
      <c r="CU579" s="2867"/>
      <c r="CV579" s="2867"/>
      <c r="CW579" s="2867"/>
    </row>
    <row r="580" spans="1:101">
      <c r="A580" s="2867"/>
      <c r="B580" s="2867"/>
      <c r="C580" s="2867"/>
      <c r="D580" s="2867"/>
      <c r="E580" s="2867"/>
      <c r="F580" s="2867"/>
      <c r="G580" s="2867"/>
      <c r="H580" s="2867"/>
      <c r="I580" s="2867"/>
      <c r="J580" s="2867"/>
      <c r="K580" s="2867"/>
      <c r="L580" s="2867"/>
      <c r="M580" s="2867"/>
      <c r="O580" s="2867"/>
      <c r="P580" s="2867"/>
      <c r="Q580" s="2867"/>
      <c r="R580" s="2867"/>
      <c r="S580" s="2867"/>
      <c r="T580" s="2867"/>
      <c r="U580" s="2867"/>
      <c r="V580" s="2867"/>
      <c r="W580" s="2867"/>
      <c r="X580" s="2867"/>
      <c r="Y580" s="2867"/>
      <c r="Z580" s="2867"/>
      <c r="AA580" s="2867"/>
      <c r="AB580" s="2867"/>
      <c r="AC580" s="2867"/>
      <c r="AD580" s="2867"/>
      <c r="AE580" s="2867"/>
      <c r="AF580" s="2867"/>
      <c r="AG580" s="2867"/>
      <c r="AH580" s="2867"/>
      <c r="AI580" s="2867"/>
      <c r="AJ580" s="2867"/>
      <c r="AK580" s="2867"/>
      <c r="AL580" s="2867"/>
      <c r="AM580" s="2867"/>
      <c r="AN580" s="2867"/>
      <c r="AO580" s="2867"/>
      <c r="AP580" s="2867"/>
      <c r="AQ580" s="2867"/>
      <c r="AR580" s="2867"/>
      <c r="AS580" s="2867"/>
      <c r="AT580" s="2867"/>
      <c r="AU580" s="2867"/>
      <c r="AV580" s="2867"/>
      <c r="AW580" s="2867"/>
      <c r="AX580" s="2867"/>
      <c r="AY580" s="2867"/>
      <c r="AZ580" s="2867"/>
      <c r="BA580" s="2867"/>
      <c r="BB580" s="2867"/>
      <c r="BC580" s="2867"/>
      <c r="BD580" s="2867"/>
      <c r="BE580" s="2867"/>
      <c r="BF580" s="2867"/>
      <c r="BG580" s="2867"/>
      <c r="BH580" s="2867"/>
      <c r="BI580" s="2867"/>
      <c r="BJ580" s="2867"/>
      <c r="BK580" s="2867"/>
      <c r="BL580" s="2867"/>
      <c r="BM580" s="2867"/>
      <c r="BN580" s="2867"/>
      <c r="BO580" s="2867"/>
      <c r="BP580" s="2867"/>
      <c r="BQ580" s="2867"/>
      <c r="BR580" s="2867"/>
      <c r="BS580" s="2867"/>
      <c r="BT580" s="2867"/>
      <c r="BU580" s="2867"/>
      <c r="BV580" s="2867"/>
      <c r="BW580" s="2867"/>
      <c r="BX580" s="2867"/>
      <c r="BY580" s="2867"/>
      <c r="BZ580" s="2867"/>
      <c r="CA580" s="2867"/>
      <c r="CB580" s="2867"/>
      <c r="CC580" s="2867"/>
      <c r="CD580" s="2867"/>
      <c r="CE580" s="2867"/>
      <c r="CF580" s="2867"/>
      <c r="CG580" s="2867"/>
      <c r="CH580" s="2867"/>
      <c r="CI580" s="2867"/>
      <c r="CJ580" s="2867"/>
      <c r="CK580" s="2867"/>
      <c r="CL580" s="2867"/>
      <c r="CM580" s="2867"/>
      <c r="CN580" s="2867"/>
      <c r="CO580" s="2867"/>
      <c r="CP580" s="2867"/>
      <c r="CQ580" s="2867"/>
      <c r="CR580" s="2867"/>
      <c r="CS580" s="2867"/>
      <c r="CT580" s="2867"/>
      <c r="CU580" s="2867"/>
      <c r="CV580" s="2867"/>
      <c r="CW580" s="2867"/>
    </row>
    <row r="581" spans="1:101">
      <c r="A581" s="2867"/>
      <c r="B581" s="2867"/>
      <c r="C581" s="2867"/>
      <c r="D581" s="2867"/>
      <c r="E581" s="2867"/>
      <c r="F581" s="2867"/>
      <c r="G581" s="2867"/>
      <c r="H581" s="2867"/>
      <c r="I581" s="2867"/>
      <c r="J581" s="2867"/>
      <c r="K581" s="2867"/>
      <c r="L581" s="2867"/>
      <c r="M581" s="2867"/>
      <c r="O581" s="2867"/>
      <c r="P581" s="2867"/>
      <c r="Q581" s="2867"/>
      <c r="R581" s="2867"/>
      <c r="S581" s="2867"/>
      <c r="T581" s="2867"/>
      <c r="U581" s="2867"/>
      <c r="V581" s="2867"/>
      <c r="W581" s="2867"/>
      <c r="X581" s="2867"/>
      <c r="Y581" s="2867"/>
      <c r="Z581" s="2867"/>
      <c r="AA581" s="2867"/>
      <c r="AB581" s="2867"/>
      <c r="AC581" s="2867"/>
      <c r="AD581" s="2867"/>
      <c r="AE581" s="2867"/>
      <c r="AF581" s="2867"/>
      <c r="AG581" s="2867"/>
      <c r="AH581" s="2867"/>
      <c r="AI581" s="2867"/>
      <c r="AJ581" s="2867"/>
      <c r="AK581" s="2867"/>
      <c r="AL581" s="2867"/>
      <c r="AM581" s="2867"/>
      <c r="AN581" s="2867"/>
      <c r="AO581" s="2867"/>
      <c r="AP581" s="2867"/>
      <c r="AQ581" s="2867"/>
      <c r="AR581" s="2867"/>
      <c r="AS581" s="2867"/>
      <c r="AT581" s="2867"/>
      <c r="AU581" s="2867"/>
      <c r="AV581" s="2867"/>
      <c r="AW581" s="2867"/>
      <c r="AX581" s="2867"/>
      <c r="AY581" s="2867"/>
      <c r="AZ581" s="2867"/>
      <c r="BA581" s="2867"/>
      <c r="BB581" s="2867"/>
      <c r="BC581" s="2867"/>
      <c r="BD581" s="2867"/>
      <c r="BE581" s="2867"/>
      <c r="BF581" s="2867"/>
      <c r="BG581" s="2867"/>
      <c r="BH581" s="2867"/>
      <c r="BI581" s="2867"/>
      <c r="BJ581" s="2867"/>
      <c r="BK581" s="2867"/>
      <c r="BL581" s="2867"/>
      <c r="BM581" s="2867"/>
      <c r="BN581" s="2867"/>
      <c r="BO581" s="2867"/>
      <c r="BP581" s="2867"/>
      <c r="BQ581" s="2867"/>
      <c r="BR581" s="2867"/>
      <c r="BS581" s="2867"/>
      <c r="BT581" s="2867"/>
      <c r="BU581" s="2867"/>
      <c r="BV581" s="2867"/>
      <c r="BW581" s="2867"/>
      <c r="BX581" s="2867"/>
      <c r="BY581" s="2867"/>
      <c r="BZ581" s="2867"/>
      <c r="CA581" s="2867"/>
      <c r="CB581" s="2867"/>
      <c r="CC581" s="2867"/>
      <c r="CD581" s="2867"/>
      <c r="CE581" s="2867"/>
      <c r="CF581" s="2867"/>
      <c r="CG581" s="2867"/>
      <c r="CH581" s="2867"/>
      <c r="CI581" s="2867"/>
      <c r="CJ581" s="2867"/>
      <c r="CK581" s="2867"/>
      <c r="CL581" s="2867"/>
      <c r="CM581" s="2867"/>
      <c r="CN581" s="2867"/>
      <c r="CO581" s="2867"/>
      <c r="CP581" s="2867"/>
      <c r="CQ581" s="2867"/>
      <c r="CR581" s="2867"/>
      <c r="CS581" s="2867"/>
      <c r="CT581" s="2867"/>
      <c r="CU581" s="2867"/>
      <c r="CV581" s="2867"/>
      <c r="CW581" s="2867"/>
    </row>
    <row r="582" spans="1:101">
      <c r="A582" s="2867"/>
      <c r="B582" s="2867"/>
      <c r="C582" s="2867"/>
      <c r="D582" s="2867"/>
      <c r="E582" s="2867"/>
      <c r="F582" s="2867"/>
      <c r="G582" s="2867"/>
      <c r="H582" s="2867"/>
      <c r="I582" s="2867"/>
      <c r="J582" s="2867"/>
      <c r="K582" s="2867"/>
      <c r="L582" s="2867"/>
      <c r="M582" s="2867"/>
      <c r="O582" s="2867"/>
      <c r="P582" s="2867"/>
      <c r="Q582" s="2867"/>
      <c r="R582" s="2867"/>
      <c r="S582" s="2867"/>
      <c r="T582" s="2867"/>
      <c r="U582" s="2867"/>
      <c r="V582" s="2867"/>
      <c r="W582" s="2867"/>
      <c r="X582" s="2867"/>
      <c r="Y582" s="2867"/>
      <c r="Z582" s="2867"/>
      <c r="AA582" s="2867"/>
      <c r="AB582" s="2867"/>
      <c r="AC582" s="2867"/>
      <c r="AD582" s="2867"/>
      <c r="AE582" s="2867"/>
      <c r="AF582" s="2867"/>
      <c r="AG582" s="2867"/>
      <c r="AH582" s="2867"/>
      <c r="AI582" s="2867"/>
      <c r="AJ582" s="2867"/>
      <c r="AK582" s="2867"/>
      <c r="AL582" s="2867"/>
      <c r="AM582" s="2867"/>
      <c r="AN582" s="2867"/>
      <c r="AO582" s="2867"/>
      <c r="AP582" s="2867"/>
      <c r="AQ582" s="2867"/>
      <c r="AR582" s="2867"/>
      <c r="AS582" s="2867"/>
      <c r="AT582" s="2867"/>
      <c r="AU582" s="2867"/>
      <c r="AV582" s="2867"/>
      <c r="AW582" s="2867"/>
      <c r="AX582" s="2867"/>
      <c r="AY582" s="2867"/>
      <c r="AZ582" s="2867"/>
      <c r="BA582" s="2867"/>
      <c r="BB582" s="2867"/>
      <c r="BC582" s="2867"/>
      <c r="BD582" s="2867"/>
      <c r="BE582" s="2867"/>
      <c r="BF582" s="2867"/>
      <c r="BG582" s="2867"/>
      <c r="BH582" s="2867"/>
      <c r="BI582" s="2867"/>
      <c r="BJ582" s="2867"/>
      <c r="BK582" s="2867"/>
      <c r="BL582" s="2867"/>
      <c r="BM582" s="2867"/>
      <c r="BN582" s="2867"/>
      <c r="BO582" s="2867"/>
      <c r="BP582" s="2867"/>
      <c r="BQ582" s="2867"/>
      <c r="BR582" s="2867"/>
      <c r="BS582" s="2867"/>
      <c r="BT582" s="2867"/>
      <c r="BU582" s="2867"/>
      <c r="BV582" s="2867"/>
      <c r="BW582" s="2867"/>
      <c r="BX582" s="2867"/>
      <c r="BY582" s="2867"/>
      <c r="BZ582" s="2867"/>
      <c r="CA582" s="2867"/>
      <c r="CB582" s="2867"/>
      <c r="CC582" s="2867"/>
      <c r="CD582" s="2867"/>
      <c r="CE582" s="2867"/>
      <c r="CF582" s="2867"/>
      <c r="CG582" s="2867"/>
      <c r="CH582" s="2867"/>
      <c r="CI582" s="2867"/>
      <c r="CJ582" s="2867"/>
      <c r="CK582" s="2867"/>
      <c r="CL582" s="2867"/>
      <c r="CM582" s="2867"/>
      <c r="CN582" s="2867"/>
      <c r="CO582" s="2867"/>
      <c r="CP582" s="2867"/>
      <c r="CQ582" s="2867"/>
      <c r="CR582" s="2867"/>
      <c r="CS582" s="2867"/>
      <c r="CT582" s="2867"/>
      <c r="CU582" s="2867"/>
      <c r="CV582" s="2867"/>
      <c r="CW582" s="2867"/>
    </row>
    <row r="583" spans="1:101">
      <c r="A583" s="2867"/>
      <c r="B583" s="2867"/>
      <c r="C583" s="2867"/>
      <c r="D583" s="2867"/>
      <c r="E583" s="2867"/>
      <c r="F583" s="2867"/>
      <c r="G583" s="2867"/>
      <c r="H583" s="2867"/>
      <c r="I583" s="2867"/>
      <c r="J583" s="2867"/>
      <c r="K583" s="2867"/>
      <c r="L583" s="2867"/>
      <c r="M583" s="2867"/>
      <c r="O583" s="2867"/>
      <c r="P583" s="2867"/>
      <c r="Q583" s="2867"/>
      <c r="R583" s="2867"/>
      <c r="S583" s="2867"/>
      <c r="T583" s="2867"/>
      <c r="U583" s="2867"/>
      <c r="V583" s="2867"/>
      <c r="W583" s="2867"/>
      <c r="X583" s="2867"/>
      <c r="Y583" s="2867"/>
      <c r="Z583" s="2867"/>
      <c r="AA583" s="2867"/>
      <c r="AB583" s="2867"/>
      <c r="AC583" s="2867"/>
      <c r="AD583" s="2867"/>
      <c r="AE583" s="2867"/>
      <c r="AF583" s="2867"/>
      <c r="AG583" s="2867"/>
      <c r="AH583" s="2867"/>
      <c r="AI583" s="2867"/>
      <c r="AJ583" s="2867"/>
      <c r="AK583" s="2867"/>
      <c r="AL583" s="2867"/>
      <c r="AM583" s="2867"/>
      <c r="AN583" s="2867"/>
      <c r="AO583" s="2867"/>
      <c r="AP583" s="2867"/>
      <c r="AQ583" s="2867"/>
      <c r="AR583" s="2867"/>
      <c r="AS583" s="2867"/>
      <c r="AT583" s="2867"/>
      <c r="AU583" s="2867"/>
      <c r="AV583" s="2867"/>
      <c r="AW583" s="2867"/>
      <c r="AX583" s="2867"/>
      <c r="AY583" s="2867"/>
      <c r="AZ583" s="2867"/>
      <c r="BA583" s="2867"/>
      <c r="BB583" s="2867"/>
      <c r="BC583" s="2867"/>
      <c r="BD583" s="2867"/>
      <c r="BE583" s="2867"/>
      <c r="BF583" s="2867"/>
      <c r="BG583" s="2867"/>
      <c r="BH583" s="2867"/>
      <c r="BI583" s="2867"/>
      <c r="BJ583" s="2867"/>
      <c r="BK583" s="2867"/>
      <c r="BL583" s="2867"/>
      <c r="BM583" s="2867"/>
      <c r="BN583" s="2867"/>
      <c r="BO583" s="2867"/>
      <c r="BP583" s="2867"/>
      <c r="BQ583" s="2867"/>
      <c r="BR583" s="2867"/>
      <c r="BS583" s="2867"/>
      <c r="BT583" s="2867"/>
      <c r="BU583" s="2867"/>
      <c r="BV583" s="2867"/>
      <c r="BW583" s="2867"/>
      <c r="BX583" s="2867"/>
      <c r="BY583" s="2867"/>
      <c r="BZ583" s="2867"/>
      <c r="CA583" s="2867"/>
      <c r="CB583" s="2867"/>
      <c r="CC583" s="2867"/>
      <c r="CD583" s="2867"/>
      <c r="CE583" s="2867"/>
      <c r="CF583" s="2867"/>
      <c r="CG583" s="2867"/>
      <c r="CH583" s="2867"/>
      <c r="CI583" s="2867"/>
      <c r="CJ583" s="2867"/>
      <c r="CK583" s="2867"/>
      <c r="CL583" s="2867"/>
      <c r="CM583" s="2867"/>
      <c r="CN583" s="2867"/>
      <c r="CO583" s="2867"/>
      <c r="CP583" s="2867"/>
      <c r="CQ583" s="2867"/>
      <c r="CR583" s="2867"/>
      <c r="CS583" s="2867"/>
      <c r="CT583" s="2867"/>
      <c r="CU583" s="2867"/>
      <c r="CV583" s="2867"/>
      <c r="CW583" s="2867"/>
    </row>
    <row r="584" spans="1:101">
      <c r="A584" s="2867"/>
      <c r="B584" s="2867"/>
      <c r="C584" s="2867"/>
      <c r="D584" s="2867"/>
      <c r="E584" s="2867"/>
      <c r="F584" s="2867"/>
      <c r="G584" s="2867"/>
      <c r="H584" s="2867"/>
      <c r="I584" s="2867"/>
      <c r="J584" s="2867"/>
      <c r="K584" s="2867"/>
      <c r="L584" s="2867"/>
      <c r="M584" s="2867"/>
      <c r="O584" s="2867"/>
      <c r="P584" s="2867"/>
      <c r="Q584" s="2867"/>
      <c r="R584" s="2867"/>
      <c r="S584" s="2867"/>
      <c r="T584" s="2867"/>
      <c r="U584" s="2867"/>
      <c r="V584" s="2867"/>
      <c r="W584" s="2867"/>
      <c r="X584" s="2867"/>
      <c r="Y584" s="2867"/>
      <c r="Z584" s="2867"/>
      <c r="AA584" s="2867"/>
      <c r="AB584" s="2867"/>
      <c r="AC584" s="2867"/>
      <c r="AD584" s="2867"/>
      <c r="AE584" s="2867"/>
      <c r="AF584" s="2867"/>
      <c r="AG584" s="2867"/>
      <c r="AH584" s="2867"/>
      <c r="AI584" s="2867"/>
      <c r="AJ584" s="2867"/>
      <c r="AK584" s="2867"/>
      <c r="AL584" s="2867"/>
      <c r="AM584" s="2867"/>
      <c r="AN584" s="2867"/>
      <c r="AO584" s="2867"/>
      <c r="AP584" s="2867"/>
      <c r="AQ584" s="2867"/>
      <c r="AR584" s="2867"/>
      <c r="AS584" s="2867"/>
      <c r="AT584" s="2867"/>
      <c r="AU584" s="2867"/>
      <c r="AV584" s="2867"/>
      <c r="AW584" s="2867"/>
      <c r="AX584" s="2867"/>
      <c r="AY584" s="2867"/>
      <c r="AZ584" s="2867"/>
      <c r="BA584" s="2867"/>
      <c r="BB584" s="2867"/>
      <c r="BC584" s="2867"/>
      <c r="BD584" s="2867"/>
      <c r="BE584" s="2867"/>
      <c r="BF584" s="2867"/>
      <c r="BG584" s="2867"/>
      <c r="BH584" s="2867"/>
      <c r="BI584" s="2867"/>
      <c r="BJ584" s="2867"/>
      <c r="BK584" s="2867"/>
      <c r="BL584" s="2867"/>
      <c r="BM584" s="2867"/>
      <c r="BN584" s="2867"/>
      <c r="BO584" s="2867"/>
      <c r="BP584" s="2867"/>
      <c r="BQ584" s="2867"/>
      <c r="BR584" s="2867"/>
      <c r="BS584" s="2867"/>
      <c r="BT584" s="2867"/>
      <c r="BU584" s="2867"/>
      <c r="BV584" s="2867"/>
      <c r="BW584" s="2867"/>
      <c r="BX584" s="2867"/>
      <c r="BY584" s="2867"/>
      <c r="BZ584" s="2867"/>
      <c r="CA584" s="2867"/>
      <c r="CB584" s="2867"/>
      <c r="CC584" s="2867"/>
      <c r="CD584" s="2867"/>
      <c r="CE584" s="2867"/>
      <c r="CF584" s="2867"/>
      <c r="CG584" s="2867"/>
      <c r="CH584" s="2867"/>
      <c r="CI584" s="2867"/>
      <c r="CJ584" s="2867"/>
      <c r="CK584" s="2867"/>
      <c r="CL584" s="2867"/>
      <c r="CM584" s="2867"/>
      <c r="CN584" s="2867"/>
      <c r="CO584" s="2867"/>
      <c r="CP584" s="2867"/>
      <c r="CQ584" s="2867"/>
      <c r="CR584" s="2867"/>
      <c r="CS584" s="2867"/>
      <c r="CT584" s="2867"/>
      <c r="CU584" s="2867"/>
      <c r="CV584" s="2867"/>
      <c r="CW584" s="2867"/>
    </row>
    <row r="585" spans="1:101">
      <c r="A585" s="2867"/>
      <c r="B585" s="2867"/>
      <c r="C585" s="2867"/>
      <c r="D585" s="2867"/>
      <c r="E585" s="2867"/>
      <c r="F585" s="2867"/>
      <c r="G585" s="2867"/>
      <c r="H585" s="2867"/>
      <c r="I585" s="2867"/>
      <c r="J585" s="2867"/>
      <c r="K585" s="2867"/>
      <c r="L585" s="2867"/>
      <c r="M585" s="2867"/>
      <c r="O585" s="2867"/>
      <c r="P585" s="2867"/>
      <c r="Q585" s="2867"/>
      <c r="R585" s="2867"/>
      <c r="S585" s="2867"/>
      <c r="T585" s="2867"/>
      <c r="U585" s="2867"/>
      <c r="V585" s="2867"/>
      <c r="W585" s="2867"/>
      <c r="X585" s="2867"/>
      <c r="Y585" s="2867"/>
      <c r="Z585" s="2867"/>
      <c r="AA585" s="2867"/>
      <c r="AB585" s="2867"/>
      <c r="AC585" s="2867"/>
      <c r="AD585" s="2867"/>
      <c r="AE585" s="2867"/>
      <c r="AF585" s="2867"/>
      <c r="AG585" s="2867"/>
      <c r="AH585" s="2867"/>
      <c r="AI585" s="2867"/>
      <c r="AJ585" s="2867"/>
      <c r="AK585" s="2867"/>
      <c r="AL585" s="2867"/>
      <c r="AM585" s="2867"/>
      <c r="AN585" s="2867"/>
      <c r="AO585" s="2867"/>
      <c r="AP585" s="2867"/>
      <c r="AQ585" s="2867"/>
      <c r="AR585" s="2867"/>
      <c r="AS585" s="2867"/>
      <c r="AT585" s="2867"/>
      <c r="AU585" s="2867"/>
      <c r="AV585" s="2867"/>
      <c r="AW585" s="2867"/>
      <c r="AX585" s="2867"/>
      <c r="AY585" s="2867"/>
      <c r="AZ585" s="2867"/>
      <c r="BA585" s="2867"/>
      <c r="BB585" s="2867"/>
      <c r="BC585" s="2867"/>
      <c r="BD585" s="2867"/>
      <c r="BE585" s="2867"/>
      <c r="BF585" s="2867"/>
      <c r="BG585" s="2867"/>
      <c r="BH585" s="2867"/>
      <c r="BI585" s="2867"/>
      <c r="BJ585" s="2867"/>
      <c r="BK585" s="2867"/>
      <c r="BL585" s="2867"/>
      <c r="BM585" s="2867"/>
      <c r="BN585" s="2867"/>
      <c r="BO585" s="2867"/>
      <c r="BP585" s="2867"/>
      <c r="BQ585" s="2867"/>
      <c r="BR585" s="2867"/>
      <c r="BS585" s="2867"/>
      <c r="BT585" s="2867"/>
      <c r="BU585" s="2867"/>
      <c r="BV585" s="2867"/>
      <c r="BW585" s="2867"/>
      <c r="BX585" s="2867"/>
      <c r="BY585" s="2867"/>
      <c r="BZ585" s="2867"/>
      <c r="CA585" s="2867"/>
      <c r="CB585" s="2867"/>
      <c r="CC585" s="2867"/>
      <c r="CD585" s="2867"/>
      <c r="CE585" s="2867"/>
      <c r="CF585" s="2867"/>
      <c r="CG585" s="2867"/>
      <c r="CH585" s="2867"/>
      <c r="CI585" s="2867"/>
      <c r="CJ585" s="2867"/>
      <c r="CK585" s="2867"/>
      <c r="CL585" s="2867"/>
      <c r="CM585" s="2867"/>
      <c r="CN585" s="2867"/>
      <c r="CO585" s="2867"/>
      <c r="CP585" s="2867"/>
      <c r="CQ585" s="2867"/>
      <c r="CR585" s="2867"/>
      <c r="CS585" s="2867"/>
      <c r="CT585" s="2867"/>
      <c r="CU585" s="2867"/>
      <c r="CV585" s="2867"/>
      <c r="CW585" s="2867"/>
    </row>
    <row r="586" spans="1:101">
      <c r="A586" s="2867"/>
      <c r="B586" s="2867"/>
      <c r="C586" s="2867"/>
      <c r="D586" s="2867"/>
      <c r="E586" s="2867"/>
      <c r="F586" s="2867"/>
      <c r="G586" s="2867"/>
      <c r="H586" s="2867"/>
      <c r="I586" s="2867"/>
      <c r="J586" s="2867"/>
      <c r="K586" s="2867"/>
      <c r="L586" s="2867"/>
      <c r="M586" s="2867"/>
      <c r="O586" s="2867"/>
      <c r="P586" s="2867"/>
      <c r="Q586" s="2867"/>
      <c r="R586" s="2867"/>
      <c r="S586" s="2867"/>
      <c r="T586" s="2867"/>
      <c r="U586" s="2867"/>
      <c r="V586" s="2867"/>
      <c r="W586" s="2867"/>
      <c r="X586" s="2867"/>
      <c r="Y586" s="2867"/>
      <c r="Z586" s="2867"/>
      <c r="AA586" s="2867"/>
      <c r="AB586" s="2867"/>
      <c r="AC586" s="2867"/>
      <c r="AD586" s="2867"/>
      <c r="AE586" s="2867"/>
      <c r="AF586" s="2867"/>
      <c r="AG586" s="2867"/>
      <c r="AH586" s="2867"/>
      <c r="AI586" s="2867"/>
      <c r="AJ586" s="2867"/>
      <c r="AK586" s="2867"/>
      <c r="AL586" s="2867"/>
      <c r="AM586" s="2867"/>
      <c r="AN586" s="2867"/>
      <c r="AO586" s="2867"/>
      <c r="AP586" s="2867"/>
      <c r="AQ586" s="2867"/>
      <c r="AR586" s="2867"/>
      <c r="AS586" s="2867"/>
      <c r="AT586" s="2867"/>
      <c r="AU586" s="2867"/>
      <c r="AV586" s="2867"/>
      <c r="AW586" s="2867"/>
      <c r="AX586" s="2867"/>
      <c r="AY586" s="2867"/>
      <c r="AZ586" s="2867"/>
      <c r="BA586" s="2867"/>
      <c r="BB586" s="2867"/>
      <c r="BC586" s="2867"/>
      <c r="BD586" s="2867"/>
      <c r="BE586" s="2867"/>
      <c r="BF586" s="2867"/>
      <c r="BG586" s="2867"/>
      <c r="BH586" s="2867"/>
      <c r="BI586" s="2867"/>
      <c r="BJ586" s="2867"/>
      <c r="BK586" s="2867"/>
      <c r="BL586" s="2867"/>
      <c r="BM586" s="2867"/>
      <c r="BN586" s="2867"/>
      <c r="BO586" s="2867"/>
      <c r="BP586" s="2867"/>
      <c r="BQ586" s="2867"/>
      <c r="BR586" s="2867"/>
      <c r="BS586" s="2867"/>
      <c r="BT586" s="2867"/>
      <c r="BU586" s="2867"/>
      <c r="BV586" s="2867"/>
      <c r="BW586" s="2867"/>
      <c r="BX586" s="2867"/>
      <c r="BY586" s="2867"/>
      <c r="BZ586" s="2867"/>
      <c r="CA586" s="2867"/>
      <c r="CB586" s="2867"/>
      <c r="CC586" s="2867"/>
      <c r="CD586" s="2867"/>
      <c r="CE586" s="2867"/>
      <c r="CF586" s="2867"/>
      <c r="CG586" s="2867"/>
      <c r="CH586" s="2867"/>
      <c r="CI586" s="2867"/>
      <c r="CJ586" s="2867"/>
      <c r="CK586" s="2867"/>
      <c r="CL586" s="2867"/>
      <c r="CM586" s="2867"/>
      <c r="CN586" s="2867"/>
      <c r="CO586" s="2867"/>
      <c r="CP586" s="2867"/>
      <c r="CQ586" s="2867"/>
      <c r="CR586" s="2867"/>
      <c r="CS586" s="2867"/>
      <c r="CT586" s="2867"/>
      <c r="CU586" s="2867"/>
      <c r="CV586" s="2867"/>
      <c r="CW586" s="2867"/>
    </row>
    <row r="587" spans="1:101">
      <c r="A587" s="2867"/>
      <c r="B587" s="2867"/>
      <c r="C587" s="2867"/>
      <c r="D587" s="2867"/>
      <c r="E587" s="2867"/>
      <c r="F587" s="2867"/>
      <c r="G587" s="2867"/>
      <c r="H587" s="2867"/>
      <c r="I587" s="2867"/>
      <c r="J587" s="2867"/>
      <c r="K587" s="2867"/>
      <c r="L587" s="2867"/>
      <c r="M587" s="2867"/>
      <c r="O587" s="2867"/>
      <c r="P587" s="2867"/>
      <c r="Q587" s="2867"/>
      <c r="R587" s="2867"/>
      <c r="S587" s="2867"/>
      <c r="T587" s="2867"/>
      <c r="U587" s="2867"/>
      <c r="V587" s="2867"/>
      <c r="W587" s="2867"/>
      <c r="X587" s="2867"/>
      <c r="Y587" s="2867"/>
      <c r="Z587" s="2867"/>
      <c r="AA587" s="2867"/>
      <c r="AB587" s="2867"/>
      <c r="AC587" s="2867"/>
      <c r="AD587" s="2867"/>
      <c r="AE587" s="2867"/>
      <c r="AF587" s="2867"/>
      <c r="AG587" s="2867"/>
      <c r="AH587" s="2867"/>
      <c r="AI587" s="2867"/>
      <c r="AJ587" s="2867"/>
      <c r="AK587" s="2867"/>
      <c r="AL587" s="2867"/>
      <c r="AM587" s="2867"/>
      <c r="AN587" s="2867"/>
      <c r="AO587" s="2867"/>
      <c r="AP587" s="2867"/>
      <c r="AQ587" s="2867"/>
      <c r="AR587" s="2867"/>
      <c r="AS587" s="2867"/>
      <c r="AT587" s="2867"/>
      <c r="AU587" s="2867"/>
      <c r="AV587" s="2867"/>
      <c r="AW587" s="2867"/>
      <c r="AX587" s="2867"/>
      <c r="AY587" s="2867"/>
      <c r="AZ587" s="2867"/>
      <c r="BA587" s="2867"/>
      <c r="BB587" s="2867"/>
      <c r="BC587" s="2867"/>
      <c r="BD587" s="2867"/>
      <c r="BE587" s="2867"/>
      <c r="BF587" s="2867"/>
      <c r="BG587" s="2867"/>
      <c r="BH587" s="2867"/>
      <c r="BI587" s="2867"/>
      <c r="BJ587" s="2867"/>
      <c r="BK587" s="2867"/>
      <c r="BL587" s="2867"/>
      <c r="BM587" s="2867"/>
      <c r="BN587" s="2867"/>
      <c r="BO587" s="2867"/>
      <c r="BP587" s="2867"/>
      <c r="BQ587" s="2867"/>
      <c r="BR587" s="2867"/>
      <c r="BS587" s="2867"/>
      <c r="BT587" s="2867"/>
      <c r="BU587" s="2867"/>
      <c r="BV587" s="2867"/>
      <c r="BW587" s="2867"/>
      <c r="BX587" s="2867"/>
      <c r="BY587" s="2867"/>
      <c r="BZ587" s="2867"/>
      <c r="CA587" s="2867"/>
      <c r="CB587" s="2867"/>
      <c r="CC587" s="2867"/>
      <c r="CD587" s="2867"/>
      <c r="CE587" s="2867"/>
      <c r="CF587" s="2867"/>
      <c r="CG587" s="2867"/>
      <c r="CH587" s="2867"/>
      <c r="CI587" s="2867"/>
      <c r="CJ587" s="2867"/>
      <c r="CK587" s="2867"/>
      <c r="CL587" s="2867"/>
      <c r="CM587" s="2867"/>
      <c r="CN587" s="2867"/>
      <c r="CO587" s="2867"/>
      <c r="CP587" s="2867"/>
      <c r="CQ587" s="2867"/>
      <c r="CR587" s="2867"/>
      <c r="CS587" s="2867"/>
      <c r="CT587" s="2867"/>
      <c r="CU587" s="2867"/>
      <c r="CV587" s="2867"/>
      <c r="CW587" s="2867"/>
    </row>
    <row r="588" spans="1:101">
      <c r="A588" s="2867"/>
      <c r="B588" s="2867"/>
      <c r="C588" s="2867"/>
      <c r="D588" s="2867"/>
      <c r="E588" s="2867"/>
      <c r="F588" s="2867"/>
      <c r="G588" s="2867"/>
      <c r="H588" s="2867"/>
      <c r="I588" s="2867"/>
      <c r="J588" s="2867"/>
      <c r="K588" s="2867"/>
      <c r="L588" s="2867"/>
      <c r="M588" s="2867"/>
      <c r="O588" s="2867"/>
      <c r="P588" s="2867"/>
      <c r="Q588" s="2867"/>
      <c r="R588" s="2867"/>
      <c r="S588" s="2867"/>
      <c r="T588" s="2867"/>
      <c r="U588" s="2867"/>
      <c r="V588" s="2867"/>
      <c r="W588" s="2867"/>
      <c r="X588" s="2867"/>
      <c r="Y588" s="2867"/>
      <c r="Z588" s="2867"/>
      <c r="AA588" s="2867"/>
      <c r="AB588" s="2867"/>
      <c r="AC588" s="2867"/>
      <c r="AD588" s="2867"/>
      <c r="AE588" s="2867"/>
      <c r="AF588" s="2867"/>
      <c r="AG588" s="2867"/>
      <c r="AH588" s="2867"/>
      <c r="AI588" s="2867"/>
      <c r="AJ588" s="2867"/>
      <c r="AK588" s="2867"/>
      <c r="AL588" s="2867"/>
      <c r="AM588" s="2867"/>
      <c r="AN588" s="2867"/>
      <c r="AO588" s="2867"/>
      <c r="AP588" s="2867"/>
      <c r="AQ588" s="2867"/>
      <c r="AR588" s="2867"/>
      <c r="AS588" s="2867"/>
      <c r="AT588" s="2867"/>
      <c r="AU588" s="2867"/>
      <c r="AV588" s="2867"/>
      <c r="AW588" s="2867"/>
      <c r="AX588" s="2867"/>
      <c r="AY588" s="2867"/>
      <c r="AZ588" s="2867"/>
      <c r="BA588" s="2867"/>
      <c r="BB588" s="2867"/>
      <c r="BC588" s="2867"/>
      <c r="BD588" s="2867"/>
      <c r="BE588" s="2867"/>
      <c r="BF588" s="2867"/>
      <c r="BG588" s="2867"/>
      <c r="BH588" s="2867"/>
      <c r="BI588" s="2867"/>
      <c r="BJ588" s="2867"/>
      <c r="BK588" s="2867"/>
      <c r="BL588" s="2867"/>
      <c r="BM588" s="2867"/>
      <c r="BN588" s="2867"/>
      <c r="BO588" s="2867"/>
      <c r="BP588" s="2867"/>
      <c r="BQ588" s="2867"/>
      <c r="BR588" s="2867"/>
      <c r="BS588" s="2867"/>
      <c r="BT588" s="2867"/>
      <c r="BU588" s="2867"/>
      <c r="BV588" s="2867"/>
      <c r="BW588" s="2867"/>
      <c r="BX588" s="2867"/>
      <c r="BY588" s="2867"/>
      <c r="BZ588" s="2867"/>
      <c r="CA588" s="2867"/>
      <c r="CB588" s="2867"/>
      <c r="CC588" s="2867"/>
      <c r="CD588" s="2867"/>
      <c r="CE588" s="2867"/>
      <c r="CF588" s="2867"/>
      <c r="CG588" s="2867"/>
      <c r="CH588" s="2867"/>
      <c r="CI588" s="2867"/>
      <c r="CJ588" s="2867"/>
      <c r="CK588" s="2867"/>
      <c r="CL588" s="2867"/>
      <c r="CM588" s="2867"/>
      <c r="CN588" s="2867"/>
      <c r="CO588" s="2867"/>
      <c r="CP588" s="2867"/>
      <c r="CQ588" s="2867"/>
      <c r="CR588" s="2867"/>
      <c r="CS588" s="2867"/>
      <c r="CT588" s="2867"/>
      <c r="CU588" s="2867"/>
      <c r="CV588" s="2867"/>
      <c r="CW588" s="2867"/>
    </row>
    <row r="589" spans="1:101">
      <c r="A589" s="2867"/>
      <c r="B589" s="2867"/>
      <c r="C589" s="2867"/>
      <c r="D589" s="2867"/>
      <c r="E589" s="2867"/>
      <c r="F589" s="2867"/>
      <c r="G589" s="2867"/>
      <c r="H589" s="2867"/>
      <c r="I589" s="2867"/>
      <c r="J589" s="2867"/>
      <c r="K589" s="2867"/>
      <c r="L589" s="2867"/>
      <c r="M589" s="2867"/>
      <c r="O589" s="2867"/>
      <c r="P589" s="2867"/>
      <c r="Q589" s="2867"/>
      <c r="R589" s="2867"/>
      <c r="S589" s="2867"/>
      <c r="T589" s="2867"/>
      <c r="U589" s="2867"/>
      <c r="V589" s="2867"/>
      <c r="W589" s="2867"/>
      <c r="X589" s="2867"/>
      <c r="Y589" s="2867"/>
      <c r="Z589" s="2867"/>
      <c r="AA589" s="2867"/>
      <c r="AB589" s="2867"/>
      <c r="AC589" s="2867"/>
      <c r="AD589" s="2867"/>
      <c r="AE589" s="2867"/>
      <c r="AF589" s="2867"/>
      <c r="AG589" s="2867"/>
      <c r="AH589" s="2867"/>
      <c r="AI589" s="2867"/>
      <c r="AJ589" s="2867"/>
      <c r="AK589" s="2867"/>
      <c r="AL589" s="2867"/>
      <c r="AM589" s="2867"/>
      <c r="AN589" s="2867"/>
      <c r="AO589" s="2867"/>
      <c r="AP589" s="2867"/>
      <c r="AQ589" s="2867"/>
      <c r="AR589" s="2867"/>
      <c r="AS589" s="2867"/>
      <c r="AT589" s="2867"/>
      <c r="AU589" s="2867"/>
      <c r="AV589" s="2867"/>
      <c r="AW589" s="2867"/>
      <c r="AX589" s="2867"/>
      <c r="AY589" s="2867"/>
      <c r="AZ589" s="2867"/>
      <c r="BA589" s="2867"/>
      <c r="BB589" s="2867"/>
      <c r="BC589" s="2867"/>
      <c r="BD589" s="2867"/>
      <c r="BE589" s="2867"/>
      <c r="BF589" s="2867"/>
      <c r="BG589" s="2867"/>
      <c r="BH589" s="2867"/>
      <c r="BI589" s="2867"/>
      <c r="BJ589" s="2867"/>
      <c r="BK589" s="2867"/>
      <c r="BL589" s="2867"/>
      <c r="BM589" s="2867"/>
      <c r="BN589" s="2867"/>
      <c r="BO589" s="2867"/>
      <c r="BP589" s="2867"/>
      <c r="BQ589" s="2867"/>
      <c r="BR589" s="2867"/>
      <c r="BS589" s="2867"/>
      <c r="BT589" s="2867"/>
      <c r="BU589" s="2867"/>
      <c r="BV589" s="2867"/>
      <c r="BW589" s="2867"/>
      <c r="BX589" s="2867"/>
      <c r="BY589" s="2867"/>
      <c r="BZ589" s="2867"/>
      <c r="CA589" s="2867"/>
      <c r="CB589" s="2867"/>
      <c r="CC589" s="2867"/>
      <c r="CD589" s="2867"/>
      <c r="CE589" s="2867"/>
      <c r="CF589" s="2867"/>
      <c r="CG589" s="2867"/>
      <c r="CH589" s="2867"/>
      <c r="CI589" s="2867"/>
      <c r="CJ589" s="2867"/>
      <c r="CK589" s="2867"/>
      <c r="CL589" s="2867"/>
      <c r="CM589" s="2867"/>
      <c r="CN589" s="2867"/>
      <c r="CO589" s="2867"/>
      <c r="CP589" s="2867"/>
      <c r="CQ589" s="2867"/>
      <c r="CR589" s="2867"/>
      <c r="CS589" s="2867"/>
      <c r="CT589" s="2867"/>
      <c r="CU589" s="2867"/>
      <c r="CV589" s="2867"/>
      <c r="CW589" s="2867"/>
    </row>
    <row r="590" spans="1:101">
      <c r="A590" s="2867"/>
      <c r="B590" s="2867"/>
      <c r="C590" s="2867"/>
      <c r="D590" s="2867"/>
      <c r="E590" s="2867"/>
      <c r="F590" s="2867"/>
      <c r="G590" s="2867"/>
      <c r="H590" s="2867"/>
      <c r="I590" s="2867"/>
      <c r="J590" s="2867"/>
      <c r="K590" s="2867"/>
      <c r="L590" s="2867"/>
      <c r="M590" s="2867"/>
      <c r="O590" s="2867"/>
      <c r="P590" s="2867"/>
      <c r="Q590" s="2867"/>
      <c r="R590" s="2867"/>
      <c r="S590" s="2867"/>
      <c r="T590" s="2867"/>
      <c r="U590" s="2867"/>
      <c r="V590" s="2867"/>
      <c r="W590" s="2867"/>
      <c r="X590" s="2867"/>
      <c r="Y590" s="2867"/>
      <c r="Z590" s="2867"/>
      <c r="AA590" s="2867"/>
      <c r="AB590" s="2867"/>
      <c r="AC590" s="2867"/>
      <c r="AD590" s="2867"/>
      <c r="AE590" s="2867"/>
      <c r="AF590" s="2867"/>
      <c r="AG590" s="2867"/>
      <c r="AH590" s="2867"/>
      <c r="AI590" s="2867"/>
      <c r="AJ590" s="2867"/>
      <c r="AK590" s="2867"/>
      <c r="AL590" s="2867"/>
      <c r="AM590" s="2867"/>
      <c r="AN590" s="2867"/>
      <c r="AO590" s="2867"/>
      <c r="AP590" s="2867"/>
      <c r="AQ590" s="2867"/>
      <c r="AR590" s="2867"/>
      <c r="AS590" s="2867"/>
      <c r="AT590" s="2867"/>
      <c r="AU590" s="2867"/>
      <c r="AV590" s="2867"/>
      <c r="AW590" s="2867"/>
      <c r="AX590" s="2867"/>
      <c r="AY590" s="2867"/>
      <c r="AZ590" s="2867"/>
      <c r="BA590" s="2867"/>
      <c r="BB590" s="2867"/>
      <c r="BC590" s="2867"/>
      <c r="BD590" s="2867"/>
      <c r="BE590" s="2867"/>
      <c r="BF590" s="2867"/>
      <c r="BG590" s="2867"/>
      <c r="BH590" s="2867"/>
      <c r="BI590" s="2867"/>
      <c r="BJ590" s="2867"/>
      <c r="BK590" s="2867"/>
      <c r="BL590" s="2867"/>
      <c r="BM590" s="2867"/>
      <c r="BN590" s="2867"/>
      <c r="BO590" s="2867"/>
      <c r="BP590" s="2867"/>
      <c r="BQ590" s="2867"/>
      <c r="BR590" s="2867"/>
      <c r="BS590" s="2867"/>
      <c r="BT590" s="2867"/>
      <c r="BU590" s="2867"/>
      <c r="BV590" s="2867"/>
      <c r="BW590" s="2867"/>
      <c r="BX590" s="2867"/>
      <c r="BY590" s="2867"/>
      <c r="BZ590" s="2867"/>
      <c r="CA590" s="2867"/>
      <c r="CB590" s="2867"/>
      <c r="CC590" s="2867"/>
      <c r="CD590" s="2867"/>
      <c r="CE590" s="2867"/>
      <c r="CF590" s="2867"/>
      <c r="CG590" s="2867"/>
      <c r="CH590" s="2867"/>
      <c r="CI590" s="2867"/>
      <c r="CJ590" s="2867"/>
      <c r="CK590" s="2867"/>
      <c r="CL590" s="2867"/>
      <c r="CM590" s="2867"/>
      <c r="CN590" s="2867"/>
      <c r="CO590" s="2867"/>
      <c r="CP590" s="2867"/>
      <c r="CQ590" s="2867"/>
      <c r="CR590" s="2867"/>
      <c r="CS590" s="2867"/>
      <c r="CT590" s="2867"/>
      <c r="CU590" s="2867"/>
      <c r="CV590" s="2867"/>
      <c r="CW590" s="2867"/>
    </row>
    <row r="591" spans="1:101">
      <c r="A591" s="2867"/>
      <c r="B591" s="2867"/>
      <c r="C591" s="2867"/>
      <c r="D591" s="2867"/>
      <c r="E591" s="2867"/>
      <c r="F591" s="2867"/>
      <c r="G591" s="2867"/>
      <c r="H591" s="2867"/>
      <c r="I591" s="2867"/>
      <c r="J591" s="2867"/>
      <c r="K591" s="2867"/>
      <c r="L591" s="2867"/>
      <c r="M591" s="2867"/>
      <c r="O591" s="2867"/>
      <c r="P591" s="2867"/>
      <c r="Q591" s="2867"/>
      <c r="R591" s="2867"/>
      <c r="S591" s="2867"/>
      <c r="T591" s="2867"/>
      <c r="U591" s="2867"/>
      <c r="V591" s="2867"/>
      <c r="W591" s="2867"/>
      <c r="X591" s="2867"/>
      <c r="Y591" s="2867"/>
      <c r="Z591" s="2867"/>
      <c r="AA591" s="2867"/>
      <c r="AB591" s="2867"/>
      <c r="AC591" s="2867"/>
      <c r="AD591" s="2867"/>
      <c r="AE591" s="2867"/>
      <c r="AF591" s="2867"/>
      <c r="AG591" s="2867"/>
      <c r="AH591" s="2867"/>
      <c r="AI591" s="2867"/>
      <c r="AJ591" s="2867"/>
      <c r="AK591" s="2867"/>
      <c r="AL591" s="2867"/>
      <c r="AM591" s="2867"/>
      <c r="AN591" s="2867"/>
      <c r="AO591" s="2867"/>
      <c r="AP591" s="2867"/>
      <c r="AQ591" s="2867"/>
      <c r="AR591" s="2867"/>
      <c r="AS591" s="2867"/>
      <c r="AT591" s="2867"/>
      <c r="AU591" s="2867"/>
      <c r="AV591" s="2867"/>
      <c r="AW591" s="2867"/>
      <c r="AX591" s="2867"/>
      <c r="AY591" s="2867"/>
      <c r="AZ591" s="2867"/>
      <c r="BA591" s="2867"/>
      <c r="BB591" s="2867"/>
      <c r="BC591" s="2867"/>
      <c r="BD591" s="2867"/>
      <c r="BE591" s="2867"/>
      <c r="BF591" s="2867"/>
      <c r="BG591" s="2867"/>
      <c r="BH591" s="2867"/>
      <c r="BI591" s="2867"/>
      <c r="BJ591" s="2867"/>
      <c r="BK591" s="2867"/>
      <c r="BL591" s="2867"/>
      <c r="BM591" s="2867"/>
      <c r="BN591" s="2867"/>
      <c r="BO591" s="2867"/>
      <c r="BP591" s="2867"/>
      <c r="BQ591" s="2867"/>
      <c r="BR591" s="2867"/>
      <c r="BS591" s="2867"/>
      <c r="BT591" s="2867"/>
      <c r="BU591" s="2867"/>
      <c r="BV591" s="2867"/>
      <c r="BW591" s="2867"/>
      <c r="BX591" s="2867"/>
      <c r="BY591" s="2867"/>
      <c r="BZ591" s="2867"/>
      <c r="CA591" s="2867"/>
      <c r="CB591" s="2867"/>
      <c r="CC591" s="2867"/>
      <c r="CD591" s="2867"/>
      <c r="CE591" s="2867"/>
      <c r="CF591" s="2867"/>
      <c r="CG591" s="2867"/>
      <c r="CH591" s="2867"/>
      <c r="CI591" s="2867"/>
      <c r="CJ591" s="2867"/>
      <c r="CK591" s="2867"/>
      <c r="CL591" s="2867"/>
      <c r="CM591" s="2867"/>
      <c r="CN591" s="2867"/>
      <c r="CO591" s="2867"/>
      <c r="CP591" s="2867"/>
      <c r="CQ591" s="2867"/>
      <c r="CR591" s="2867"/>
      <c r="CS591" s="2867"/>
      <c r="CT591" s="2867"/>
      <c r="CU591" s="2867"/>
      <c r="CV591" s="2867"/>
      <c r="CW591" s="2867"/>
    </row>
    <row r="592" spans="1:101">
      <c r="A592" s="2867"/>
      <c r="B592" s="2867"/>
      <c r="C592" s="2867"/>
      <c r="D592" s="2867"/>
      <c r="E592" s="2867"/>
      <c r="F592" s="2867"/>
      <c r="G592" s="2867"/>
      <c r="H592" s="2867"/>
      <c r="I592" s="2867"/>
      <c r="J592" s="2867"/>
      <c r="K592" s="2867"/>
      <c r="L592" s="2867"/>
      <c r="M592" s="2867"/>
      <c r="O592" s="2867"/>
      <c r="P592" s="2867"/>
      <c r="Q592" s="2867"/>
      <c r="R592" s="2867"/>
      <c r="S592" s="2867"/>
      <c r="T592" s="2867"/>
      <c r="U592" s="2867"/>
      <c r="V592" s="2867"/>
      <c r="W592" s="2867"/>
      <c r="X592" s="2867"/>
      <c r="Y592" s="2867"/>
      <c r="Z592" s="2867"/>
      <c r="AA592" s="2867"/>
      <c r="AB592" s="2867"/>
      <c r="AC592" s="2867"/>
      <c r="AD592" s="2867"/>
      <c r="AE592" s="2867"/>
      <c r="AF592" s="2867"/>
      <c r="AG592" s="2867"/>
      <c r="AH592" s="2867"/>
      <c r="AI592" s="2867"/>
      <c r="AJ592" s="2867"/>
      <c r="AK592" s="2867"/>
      <c r="AL592" s="2867"/>
      <c r="AM592" s="2867"/>
      <c r="AN592" s="2867"/>
      <c r="AO592" s="2867"/>
      <c r="AP592" s="2867"/>
      <c r="AQ592" s="2867"/>
      <c r="AR592" s="2867"/>
      <c r="AS592" s="2867"/>
      <c r="AT592" s="2867"/>
      <c r="AU592" s="2867"/>
      <c r="AV592" s="2867"/>
      <c r="AW592" s="2867"/>
      <c r="AX592" s="2867"/>
      <c r="AY592" s="2867"/>
      <c r="AZ592" s="2867"/>
      <c r="BA592" s="2867"/>
      <c r="BB592" s="2867"/>
      <c r="BC592" s="2867"/>
      <c r="BD592" s="2867"/>
      <c r="BE592" s="2867"/>
      <c r="BF592" s="2867"/>
      <c r="BG592" s="2867"/>
      <c r="BH592" s="2867"/>
      <c r="BI592" s="2867"/>
      <c r="BJ592" s="2867"/>
      <c r="BK592" s="2867"/>
      <c r="BL592" s="2867"/>
      <c r="BM592" s="2867"/>
      <c r="BN592" s="2867"/>
      <c r="BO592" s="2867"/>
      <c r="BP592" s="2867"/>
      <c r="BQ592" s="2867"/>
      <c r="BR592" s="2867"/>
      <c r="BS592" s="2867"/>
      <c r="BT592" s="2867"/>
      <c r="BU592" s="2867"/>
      <c r="BV592" s="2867"/>
      <c r="BW592" s="2867"/>
      <c r="BX592" s="2867"/>
      <c r="BY592" s="2867"/>
      <c r="BZ592" s="2867"/>
      <c r="CA592" s="2867"/>
      <c r="CB592" s="2867"/>
      <c r="CC592" s="2867"/>
      <c r="CD592" s="2867"/>
      <c r="CE592" s="2867"/>
      <c r="CF592" s="2867"/>
      <c r="CG592" s="2867"/>
      <c r="CH592" s="2867"/>
      <c r="CI592" s="2867"/>
      <c r="CJ592" s="2867"/>
      <c r="CK592" s="2867"/>
      <c r="CL592" s="2867"/>
      <c r="CM592" s="2867"/>
      <c r="CN592" s="2867"/>
      <c r="CO592" s="2867"/>
      <c r="CP592" s="2867"/>
      <c r="CQ592" s="2867"/>
      <c r="CR592" s="2867"/>
      <c r="CS592" s="2867"/>
      <c r="CT592" s="2867"/>
      <c r="CU592" s="2867"/>
      <c r="CV592" s="2867"/>
      <c r="CW592" s="2867"/>
    </row>
    <row r="593" spans="1:101">
      <c r="A593" s="2867"/>
      <c r="B593" s="2867"/>
      <c r="C593" s="2867"/>
      <c r="D593" s="2867"/>
      <c r="E593" s="2867"/>
      <c r="F593" s="2867"/>
      <c r="G593" s="2867"/>
      <c r="H593" s="2867"/>
      <c r="I593" s="2867"/>
      <c r="J593" s="2867"/>
      <c r="K593" s="2867"/>
      <c r="L593" s="2867"/>
      <c r="M593" s="2867"/>
      <c r="O593" s="2867"/>
      <c r="P593" s="2867"/>
      <c r="Q593" s="2867"/>
      <c r="R593" s="2867"/>
      <c r="S593" s="2867"/>
      <c r="T593" s="2867"/>
      <c r="U593" s="2867"/>
      <c r="V593" s="2867"/>
      <c r="W593" s="2867"/>
      <c r="X593" s="2867"/>
      <c r="Y593" s="2867"/>
      <c r="Z593" s="2867"/>
      <c r="AA593" s="2867"/>
      <c r="AB593" s="2867"/>
      <c r="AC593" s="2867"/>
      <c r="AD593" s="2867"/>
      <c r="AE593" s="2867"/>
      <c r="AF593" s="2867"/>
      <c r="AG593" s="2867"/>
      <c r="AH593" s="2867"/>
      <c r="AI593" s="2867"/>
      <c r="AJ593" s="2867"/>
      <c r="AK593" s="2867"/>
      <c r="AL593" s="2867"/>
      <c r="AM593" s="2867"/>
      <c r="AN593" s="2867"/>
      <c r="AO593" s="2867"/>
      <c r="AP593" s="2867"/>
      <c r="AQ593" s="2867"/>
      <c r="AR593" s="2867"/>
      <c r="AS593" s="2867"/>
      <c r="AT593" s="2867"/>
      <c r="AU593" s="2867"/>
      <c r="AV593" s="2867"/>
      <c r="AW593" s="2867"/>
      <c r="AX593" s="2867"/>
      <c r="AY593" s="2867"/>
      <c r="AZ593" s="2867"/>
      <c r="BA593" s="2867"/>
      <c r="BB593" s="2867"/>
      <c r="BC593" s="2867"/>
      <c r="BD593" s="2867"/>
      <c r="BE593" s="2867"/>
      <c r="BF593" s="2867"/>
      <c r="BG593" s="2867"/>
      <c r="BH593" s="2867"/>
      <c r="BI593" s="2867"/>
      <c r="BJ593" s="2867"/>
      <c r="BK593" s="2867"/>
      <c r="BL593" s="2867"/>
      <c r="BM593" s="2867"/>
      <c r="BN593" s="2867"/>
      <c r="BO593" s="2867"/>
      <c r="BP593" s="2867"/>
      <c r="BQ593" s="2867"/>
      <c r="BR593" s="2867"/>
      <c r="BS593" s="2867"/>
      <c r="BT593" s="2867"/>
      <c r="BU593" s="2867"/>
      <c r="BV593" s="2867"/>
      <c r="BW593" s="2867"/>
      <c r="BX593" s="2867"/>
      <c r="BY593" s="2867"/>
      <c r="BZ593" s="2867"/>
      <c r="CA593" s="2867"/>
      <c r="CB593" s="2867"/>
      <c r="CC593" s="2867"/>
      <c r="CD593" s="2867"/>
      <c r="CE593" s="2867"/>
      <c r="CF593" s="2867"/>
      <c r="CG593" s="2867"/>
      <c r="CH593" s="2867"/>
      <c r="CI593" s="2867"/>
      <c r="CJ593" s="2867"/>
      <c r="CK593" s="2867"/>
      <c r="CL593" s="2867"/>
      <c r="CM593" s="2867"/>
      <c r="CN593" s="2867"/>
      <c r="CO593" s="2867"/>
      <c r="CP593" s="2867"/>
      <c r="CQ593" s="2867"/>
      <c r="CR593" s="2867"/>
      <c r="CS593" s="2867"/>
      <c r="CT593" s="2867"/>
      <c r="CU593" s="2867"/>
      <c r="CV593" s="2867"/>
      <c r="CW593" s="2867"/>
    </row>
    <row r="594" spans="1:101">
      <c r="A594" s="2867"/>
      <c r="B594" s="2867"/>
      <c r="C594" s="2867"/>
      <c r="D594" s="2867"/>
      <c r="E594" s="2867"/>
      <c r="F594" s="2867"/>
      <c r="G594" s="2867"/>
      <c r="H594" s="2867"/>
      <c r="I594" s="2867"/>
      <c r="J594" s="2867"/>
      <c r="K594" s="2867"/>
      <c r="L594" s="2867"/>
      <c r="M594" s="2867"/>
      <c r="O594" s="2867"/>
      <c r="P594" s="2867"/>
      <c r="Q594" s="2867"/>
      <c r="R594" s="2867"/>
      <c r="S594" s="2867"/>
      <c r="T594" s="2867"/>
      <c r="U594" s="2867"/>
      <c r="V594" s="2867"/>
      <c r="W594" s="2867"/>
      <c r="X594" s="2867"/>
      <c r="Y594" s="2867"/>
      <c r="Z594" s="2867"/>
      <c r="AA594" s="2867"/>
      <c r="AB594" s="2867"/>
      <c r="AC594" s="2867"/>
      <c r="AD594" s="2867"/>
      <c r="AE594" s="2867"/>
      <c r="AF594" s="2867"/>
      <c r="AG594" s="2867"/>
      <c r="AH594" s="2867"/>
      <c r="AI594" s="2867"/>
      <c r="AJ594" s="2867"/>
      <c r="AK594" s="2867"/>
      <c r="AL594" s="2867"/>
      <c r="AM594" s="2867"/>
      <c r="AN594" s="2867"/>
      <c r="AO594" s="2867"/>
      <c r="AP594" s="2867"/>
      <c r="AQ594" s="2867"/>
      <c r="AR594" s="2867"/>
      <c r="AS594" s="2867"/>
      <c r="AT594" s="2867"/>
      <c r="AU594" s="2867"/>
      <c r="AV594" s="2867"/>
      <c r="AW594" s="2867"/>
      <c r="AX594" s="2867"/>
      <c r="AY594" s="2867"/>
      <c r="AZ594" s="2867"/>
      <c r="BA594" s="2867"/>
      <c r="BB594" s="2867"/>
      <c r="BC594" s="2867"/>
      <c r="BD594" s="2867"/>
      <c r="BE594" s="2867"/>
      <c r="BF594" s="2867"/>
      <c r="BG594" s="2867"/>
      <c r="BH594" s="2867"/>
      <c r="BI594" s="2867"/>
      <c r="BJ594" s="2867"/>
      <c r="BK594" s="2867"/>
      <c r="BL594" s="2867"/>
      <c r="BM594" s="2867"/>
      <c r="BN594" s="2867"/>
      <c r="BO594" s="2867"/>
      <c r="BP594" s="2867"/>
      <c r="BQ594" s="2867"/>
      <c r="BR594" s="2867"/>
      <c r="BS594" s="2867"/>
      <c r="BT594" s="2867"/>
      <c r="BU594" s="2867"/>
      <c r="BV594" s="2867"/>
      <c r="BW594" s="2867"/>
      <c r="BX594" s="2867"/>
      <c r="BY594" s="2867"/>
      <c r="BZ594" s="2867"/>
      <c r="CA594" s="2867"/>
      <c r="CB594" s="2867"/>
      <c r="CC594" s="2867"/>
      <c r="CD594" s="2867"/>
      <c r="CE594" s="2867"/>
      <c r="CF594" s="2867"/>
      <c r="CG594" s="2867"/>
      <c r="CH594" s="2867"/>
      <c r="CI594" s="2867"/>
      <c r="CJ594" s="2867"/>
      <c r="CK594" s="2867"/>
      <c r="CL594" s="2867"/>
      <c r="CM594" s="2867"/>
      <c r="CN594" s="2867"/>
      <c r="CO594" s="2867"/>
      <c r="CP594" s="2867"/>
      <c r="CQ594" s="2867"/>
      <c r="CR594" s="2867"/>
      <c r="CS594" s="2867"/>
      <c r="CT594" s="2867"/>
      <c r="CU594" s="2867"/>
      <c r="CV594" s="2867"/>
      <c r="CW594" s="2867"/>
    </row>
    <row r="595" spans="1:101">
      <c r="A595" s="2867"/>
      <c r="B595" s="2867"/>
      <c r="C595" s="2867"/>
      <c r="D595" s="2867"/>
      <c r="E595" s="2867"/>
      <c r="F595" s="2867"/>
      <c r="G595" s="2867"/>
      <c r="H595" s="2867"/>
      <c r="I595" s="2867"/>
      <c r="J595" s="2867"/>
      <c r="K595" s="2867"/>
      <c r="L595" s="2867"/>
      <c r="M595" s="2867"/>
      <c r="O595" s="2867"/>
      <c r="P595" s="2867"/>
      <c r="Q595" s="2867"/>
      <c r="R595" s="2867"/>
      <c r="S595" s="2867"/>
      <c r="T595" s="2867"/>
      <c r="U595" s="2867"/>
      <c r="V595" s="2867"/>
      <c r="W595" s="2867"/>
      <c r="X595" s="2867"/>
      <c r="Y595" s="2867"/>
      <c r="Z595" s="2867"/>
      <c r="AA595" s="2867"/>
      <c r="AB595" s="2867"/>
      <c r="AC595" s="2867"/>
      <c r="AD595" s="2867"/>
      <c r="AE595" s="2867"/>
      <c r="AF595" s="2867"/>
      <c r="AG595" s="2867"/>
      <c r="AH595" s="2867"/>
      <c r="AI595" s="2867"/>
      <c r="AJ595" s="2867"/>
      <c r="AK595" s="2867"/>
      <c r="AL595" s="2867"/>
      <c r="AM595" s="2867"/>
      <c r="AN595" s="2867"/>
      <c r="AO595" s="2867"/>
      <c r="AP595" s="2867"/>
      <c r="AQ595" s="2867"/>
      <c r="AR595" s="2867"/>
      <c r="AS595" s="2867"/>
      <c r="AT595" s="2867"/>
      <c r="AU595" s="2867"/>
      <c r="AV595" s="2867"/>
      <c r="AW595" s="2867"/>
      <c r="AX595" s="2867"/>
      <c r="AY595" s="2867"/>
      <c r="AZ595" s="2867"/>
      <c r="BA595" s="2867"/>
      <c r="BB595" s="2867"/>
      <c r="BC595" s="2867"/>
      <c r="BD595" s="2867"/>
      <c r="BE595" s="2867"/>
      <c r="BF595" s="2867"/>
      <c r="BG595" s="2867"/>
      <c r="BH595" s="2867"/>
      <c r="BI595" s="2867"/>
      <c r="BJ595" s="2867"/>
      <c r="BK595" s="2867"/>
      <c r="BL595" s="2867"/>
      <c r="BM595" s="2867"/>
      <c r="BN595" s="2867"/>
      <c r="BO595" s="2867"/>
      <c r="BP595" s="2867"/>
      <c r="BQ595" s="2867"/>
      <c r="BR595" s="2867"/>
      <c r="BS595" s="2867"/>
      <c r="BT595" s="2867"/>
      <c r="BU595" s="2867"/>
      <c r="BV595" s="2867"/>
      <c r="BW595" s="2867"/>
      <c r="BX595" s="2867"/>
      <c r="BY595" s="2867"/>
      <c r="BZ595" s="2867"/>
      <c r="CA595" s="2867"/>
      <c r="CB595" s="2867"/>
      <c r="CC595" s="2867"/>
      <c r="CD595" s="2867"/>
      <c r="CE595" s="2867"/>
      <c r="CF595" s="2867"/>
      <c r="CG595" s="2867"/>
      <c r="CH595" s="2867"/>
      <c r="CI595" s="2867"/>
      <c r="CJ595" s="2867"/>
      <c r="CK595" s="2867"/>
      <c r="CL595" s="2867"/>
      <c r="CM595" s="2867"/>
      <c r="CN595" s="2867"/>
      <c r="CO595" s="2867"/>
      <c r="CP595" s="2867"/>
      <c r="CQ595" s="2867"/>
      <c r="CR595" s="2867"/>
      <c r="CS595" s="2867"/>
      <c r="CT595" s="2867"/>
      <c r="CU595" s="2867"/>
      <c r="CV595" s="2867"/>
      <c r="CW595" s="2867"/>
    </row>
    <row r="596" spans="1:101">
      <c r="A596" s="2867"/>
      <c r="B596" s="2867"/>
      <c r="C596" s="2867"/>
      <c r="D596" s="2867"/>
      <c r="E596" s="2867"/>
      <c r="F596" s="2867"/>
      <c r="G596" s="2867"/>
      <c r="H596" s="2867"/>
      <c r="I596" s="2867"/>
      <c r="J596" s="2867"/>
      <c r="K596" s="2867"/>
      <c r="L596" s="2867"/>
      <c r="M596" s="2867"/>
      <c r="O596" s="2867"/>
      <c r="P596" s="2867"/>
      <c r="Q596" s="2867"/>
      <c r="R596" s="2867"/>
      <c r="S596" s="2867"/>
      <c r="T596" s="2867"/>
      <c r="U596" s="2867"/>
      <c r="V596" s="2867"/>
      <c r="W596" s="2867"/>
      <c r="X596" s="2867"/>
      <c r="Y596" s="2867"/>
      <c r="Z596" s="2867"/>
      <c r="AA596" s="2867"/>
      <c r="AB596" s="2867"/>
      <c r="AC596" s="2867"/>
      <c r="AD596" s="2867"/>
      <c r="AE596" s="2867"/>
      <c r="AF596" s="2867"/>
      <c r="AG596" s="2867"/>
      <c r="AH596" s="2867"/>
      <c r="AI596" s="2867"/>
      <c r="AJ596" s="2867"/>
      <c r="AK596" s="2867"/>
      <c r="AL596" s="2867"/>
      <c r="AM596" s="2867"/>
      <c r="AN596" s="2867"/>
      <c r="AO596" s="2867"/>
      <c r="AP596" s="2867"/>
      <c r="AQ596" s="2867"/>
      <c r="AR596" s="2867"/>
      <c r="AS596" s="2867"/>
      <c r="AT596" s="2867"/>
      <c r="AU596" s="2867"/>
      <c r="AV596" s="2867"/>
      <c r="AW596" s="2867"/>
      <c r="AX596" s="2867"/>
      <c r="AY596" s="2867"/>
      <c r="AZ596" s="2867"/>
      <c r="BA596" s="2867"/>
      <c r="BB596" s="2867"/>
      <c r="BC596" s="2867"/>
      <c r="BD596" s="2867"/>
      <c r="BE596" s="2867"/>
      <c r="BF596" s="2867"/>
      <c r="BG596" s="2867"/>
      <c r="BH596" s="2867"/>
      <c r="BI596" s="2867"/>
      <c r="BJ596" s="2867"/>
      <c r="BK596" s="2867"/>
      <c r="BL596" s="2867"/>
      <c r="BM596" s="2867"/>
      <c r="BN596" s="2867"/>
      <c r="BO596" s="2867"/>
      <c r="BP596" s="2867"/>
      <c r="BQ596" s="2867"/>
      <c r="BR596" s="2867"/>
      <c r="BS596" s="2867"/>
      <c r="BT596" s="2867"/>
      <c r="BU596" s="2867"/>
      <c r="BV596" s="2867"/>
      <c r="BW596" s="2867"/>
      <c r="BX596" s="2867"/>
      <c r="BY596" s="2867"/>
      <c r="BZ596" s="2867"/>
      <c r="CA596" s="2867"/>
      <c r="CB596" s="2867"/>
      <c r="CC596" s="2867"/>
      <c r="CD596" s="2867"/>
      <c r="CE596" s="2867"/>
      <c r="CF596" s="2867"/>
      <c r="CG596" s="2867"/>
      <c r="CH596" s="2867"/>
      <c r="CI596" s="2867"/>
      <c r="CJ596" s="2867"/>
      <c r="CK596" s="2867"/>
      <c r="CL596" s="2867"/>
      <c r="CM596" s="2867"/>
      <c r="CN596" s="2867"/>
      <c r="CO596" s="2867"/>
      <c r="CP596" s="2867"/>
      <c r="CQ596" s="2867"/>
      <c r="CR596" s="2867"/>
      <c r="CS596" s="2867"/>
      <c r="CT596" s="2867"/>
      <c r="CU596" s="2867"/>
      <c r="CV596" s="2867"/>
      <c r="CW596" s="2867"/>
    </row>
    <row r="597" spans="1:101">
      <c r="A597" s="2867"/>
      <c r="B597" s="2867"/>
      <c r="C597" s="2867"/>
      <c r="D597" s="2867"/>
      <c r="E597" s="2867"/>
      <c r="F597" s="2867"/>
      <c r="G597" s="2867"/>
      <c r="H597" s="2867"/>
      <c r="I597" s="2867"/>
      <c r="J597" s="2867"/>
      <c r="K597" s="2867"/>
      <c r="L597" s="2867"/>
      <c r="M597" s="2867"/>
      <c r="O597" s="2867"/>
      <c r="P597" s="2867"/>
      <c r="Q597" s="2867"/>
      <c r="R597" s="2867"/>
      <c r="S597" s="2867"/>
      <c r="T597" s="2867"/>
      <c r="U597" s="2867"/>
      <c r="V597" s="2867"/>
      <c r="W597" s="2867"/>
      <c r="X597" s="2867"/>
      <c r="Y597" s="2867"/>
      <c r="Z597" s="2867"/>
      <c r="AA597" s="2867"/>
      <c r="AB597" s="2867"/>
      <c r="AC597" s="2867"/>
      <c r="AD597" s="2867"/>
      <c r="AE597" s="2867"/>
      <c r="AF597" s="2867"/>
      <c r="AG597" s="2867"/>
      <c r="AH597" s="2867"/>
      <c r="AI597" s="2867"/>
      <c r="AJ597" s="2867"/>
      <c r="AK597" s="2867"/>
      <c r="AL597" s="2867"/>
      <c r="AM597" s="2867"/>
      <c r="AN597" s="2867"/>
      <c r="AO597" s="2867"/>
      <c r="AP597" s="2867"/>
      <c r="AQ597" s="2867"/>
      <c r="AR597" s="2867"/>
      <c r="AS597" s="2867"/>
      <c r="AT597" s="2867"/>
      <c r="AU597" s="2867"/>
      <c r="AV597" s="2867"/>
      <c r="AW597" s="2867"/>
      <c r="AX597" s="2867"/>
      <c r="AY597" s="2867"/>
      <c r="AZ597" s="2867"/>
      <c r="BA597" s="2867"/>
      <c r="BB597" s="2867"/>
      <c r="BC597" s="2867"/>
      <c r="BD597" s="2867"/>
      <c r="BE597" s="2867"/>
      <c r="BF597" s="2867"/>
      <c r="BG597" s="2867"/>
      <c r="BH597" s="2867"/>
      <c r="BI597" s="2867"/>
      <c r="BJ597" s="2867"/>
      <c r="BK597" s="2867"/>
      <c r="BL597" s="2867"/>
      <c r="BM597" s="2867"/>
      <c r="BN597" s="2867"/>
      <c r="BO597" s="2867"/>
      <c r="BP597" s="2867"/>
      <c r="BQ597" s="2867"/>
      <c r="BR597" s="2867"/>
      <c r="BS597" s="2867"/>
      <c r="BT597" s="2867"/>
      <c r="BU597" s="2867"/>
      <c r="BV597" s="2867"/>
      <c r="BW597" s="2867"/>
      <c r="BX597" s="2867"/>
      <c r="BY597" s="2867"/>
      <c r="BZ597" s="2867"/>
      <c r="CA597" s="2867"/>
      <c r="CB597" s="2867"/>
      <c r="CC597" s="2867"/>
      <c r="CD597" s="2867"/>
      <c r="CE597" s="2867"/>
      <c r="CF597" s="2867"/>
      <c r="CG597" s="2867"/>
      <c r="CH597" s="2867"/>
      <c r="CI597" s="2867"/>
      <c r="CJ597" s="2867"/>
      <c r="CK597" s="2867"/>
      <c r="CL597" s="2867"/>
      <c r="CM597" s="2867"/>
      <c r="CN597" s="2867"/>
      <c r="CO597" s="2867"/>
      <c r="CP597" s="2867"/>
      <c r="CQ597" s="2867"/>
      <c r="CR597" s="2867"/>
      <c r="CS597" s="2867"/>
      <c r="CT597" s="2867"/>
      <c r="CU597" s="2867"/>
      <c r="CV597" s="2867"/>
      <c r="CW597" s="2867"/>
    </row>
    <row r="598" spans="1:101">
      <c r="A598" s="2867"/>
      <c r="B598" s="2867"/>
      <c r="C598" s="2867"/>
      <c r="D598" s="2867"/>
      <c r="E598" s="2867"/>
      <c r="F598" s="2867"/>
      <c r="G598" s="2867"/>
      <c r="H598" s="2867"/>
      <c r="I598" s="2867"/>
      <c r="J598" s="2867"/>
      <c r="K598" s="2867"/>
      <c r="L598" s="2867"/>
      <c r="M598" s="2867"/>
      <c r="O598" s="2867"/>
      <c r="P598" s="2867"/>
      <c r="Q598" s="2867"/>
      <c r="R598" s="2867"/>
      <c r="S598" s="2867"/>
      <c r="T598" s="2867"/>
      <c r="U598" s="2867"/>
      <c r="V598" s="2867"/>
      <c r="W598" s="2867"/>
      <c r="X598" s="2867"/>
      <c r="Y598" s="2867"/>
      <c r="Z598" s="2867"/>
      <c r="AA598" s="2867"/>
      <c r="AB598" s="2867"/>
      <c r="AC598" s="2867"/>
      <c r="AD598" s="2867"/>
      <c r="AE598" s="2867"/>
      <c r="AF598" s="2867"/>
      <c r="AG598" s="2867"/>
      <c r="AH598" s="2867"/>
      <c r="AI598" s="2867"/>
      <c r="AJ598" s="2867"/>
      <c r="AK598" s="2867"/>
      <c r="AL598" s="2867"/>
      <c r="AM598" s="2867"/>
      <c r="AN598" s="2867"/>
      <c r="AO598" s="2867"/>
      <c r="AP598" s="2867"/>
      <c r="AQ598" s="2867"/>
      <c r="AR598" s="2867"/>
      <c r="AS598" s="2867"/>
      <c r="AT598" s="2867"/>
      <c r="AU598" s="2867"/>
      <c r="AV598" s="2867"/>
      <c r="AW598" s="2867"/>
      <c r="AX598" s="2867"/>
      <c r="AY598" s="2867"/>
      <c r="AZ598" s="2867"/>
      <c r="BA598" s="2867"/>
      <c r="BB598" s="2867"/>
      <c r="BC598" s="2867"/>
      <c r="BD598" s="2867"/>
      <c r="BE598" s="2867"/>
      <c r="BF598" s="2867"/>
      <c r="BG598" s="2867"/>
      <c r="BH598" s="2867"/>
      <c r="BI598" s="2867"/>
      <c r="BJ598" s="2867"/>
      <c r="BK598" s="2867"/>
      <c r="BL598" s="2867"/>
      <c r="BM598" s="2867"/>
      <c r="BN598" s="2867"/>
      <c r="BO598" s="2867"/>
      <c r="BP598" s="2867"/>
      <c r="BQ598" s="2867"/>
      <c r="BR598" s="2867"/>
      <c r="BS598" s="2867"/>
      <c r="BT598" s="2867"/>
      <c r="BU598" s="2867"/>
      <c r="BV598" s="2867"/>
      <c r="BW598" s="2867"/>
      <c r="BX598" s="2867"/>
      <c r="BY598" s="2867"/>
      <c r="BZ598" s="2867"/>
      <c r="CA598" s="2867"/>
      <c r="CB598" s="2867"/>
      <c r="CC598" s="2867"/>
      <c r="CD598" s="2867"/>
      <c r="CE598" s="2867"/>
      <c r="CF598" s="2867"/>
      <c r="CG598" s="2867"/>
      <c r="CH598" s="2867"/>
      <c r="CI598" s="2867"/>
      <c r="CJ598" s="2867"/>
      <c r="CK598" s="2867"/>
      <c r="CL598" s="2867"/>
      <c r="CM598" s="2867"/>
      <c r="CN598" s="2867"/>
      <c r="CO598" s="2867"/>
      <c r="CP598" s="2867"/>
      <c r="CQ598" s="2867"/>
      <c r="CR598" s="2867"/>
      <c r="CS598" s="2867"/>
      <c r="CT598" s="2867"/>
      <c r="CU598" s="2867"/>
      <c r="CV598" s="2867"/>
      <c r="CW598" s="2867"/>
    </row>
    <row r="599" spans="1:101">
      <c r="A599" s="2867"/>
      <c r="B599" s="2867"/>
      <c r="C599" s="2867"/>
      <c r="D599" s="2867"/>
      <c r="E599" s="2867"/>
      <c r="F599" s="2867"/>
      <c r="G599" s="2867"/>
      <c r="H599" s="2867"/>
      <c r="I599" s="2867"/>
      <c r="J599" s="2867"/>
      <c r="K599" s="2867"/>
      <c r="L599" s="2867"/>
      <c r="M599" s="2867"/>
      <c r="O599" s="2867"/>
      <c r="P599" s="2867"/>
      <c r="Q599" s="2867"/>
      <c r="R599" s="2867"/>
      <c r="S599" s="2867"/>
      <c r="T599" s="2867"/>
      <c r="U599" s="2867"/>
      <c r="V599" s="2867"/>
      <c r="W599" s="2867"/>
      <c r="X599" s="2867"/>
      <c r="Y599" s="2867"/>
      <c r="Z599" s="2867"/>
      <c r="AA599" s="2867"/>
      <c r="AB599" s="2867"/>
      <c r="AC599" s="2867"/>
      <c r="AD599" s="2867"/>
      <c r="AE599" s="2867"/>
      <c r="AF599" s="2867"/>
      <c r="AG599" s="2867"/>
      <c r="AH599" s="2867"/>
      <c r="AI599" s="2867"/>
      <c r="AJ599" s="2867"/>
      <c r="AK599" s="2867"/>
      <c r="AL599" s="2867"/>
      <c r="AM599" s="2867"/>
      <c r="AN599" s="2867"/>
      <c r="AO599" s="2867"/>
      <c r="AP599" s="2867"/>
      <c r="AQ599" s="2867"/>
      <c r="AR599" s="2867"/>
      <c r="AS599" s="2867"/>
      <c r="AT599" s="2867"/>
      <c r="AU599" s="2867"/>
      <c r="AV599" s="2867"/>
      <c r="AW599" s="2867"/>
      <c r="AX599" s="2867"/>
      <c r="AY599" s="2867"/>
      <c r="AZ599" s="2867"/>
      <c r="BA599" s="2867"/>
      <c r="BB599" s="2867"/>
      <c r="BC599" s="2867"/>
      <c r="BD599" s="2867"/>
      <c r="BE599" s="2867"/>
      <c r="BF599" s="2867"/>
      <c r="BG599" s="2867"/>
      <c r="BH599" s="2867"/>
      <c r="BI599" s="2867"/>
      <c r="BJ599" s="2867"/>
      <c r="BK599" s="2867"/>
      <c r="BL599" s="2867"/>
      <c r="BM599" s="2867"/>
      <c r="BN599" s="2867"/>
      <c r="BO599" s="2867"/>
      <c r="BP599" s="2867"/>
      <c r="BQ599" s="2867"/>
      <c r="BR599" s="2867"/>
      <c r="BS599" s="2867"/>
      <c r="BT599" s="2867"/>
      <c r="BU599" s="2867"/>
      <c r="BV599" s="2867"/>
      <c r="BW599" s="2867"/>
      <c r="BX599" s="2867"/>
      <c r="BY599" s="2867"/>
      <c r="BZ599" s="2867"/>
      <c r="CA599" s="2867"/>
      <c r="CB599" s="2867"/>
      <c r="CC599" s="2867"/>
      <c r="CD599" s="2867"/>
      <c r="CE599" s="2867"/>
      <c r="CF599" s="2867"/>
      <c r="CG599" s="2867"/>
      <c r="CH599" s="2867"/>
      <c r="CI599" s="2867"/>
      <c r="CJ599" s="2867"/>
      <c r="CK599" s="2867"/>
      <c r="CL599" s="2867"/>
      <c r="CM599" s="2867"/>
      <c r="CN599" s="2867"/>
      <c r="CO599" s="2867"/>
      <c r="CP599" s="2867"/>
      <c r="CQ599" s="2867"/>
      <c r="CR599" s="2867"/>
      <c r="CS599" s="2867"/>
      <c r="CT599" s="2867"/>
      <c r="CU599" s="2867"/>
      <c r="CV599" s="2867"/>
      <c r="CW599" s="2867"/>
    </row>
    <row r="600" spans="1:101">
      <c r="A600" s="2867"/>
      <c r="B600" s="2867"/>
      <c r="C600" s="2867"/>
      <c r="D600" s="2867"/>
      <c r="E600" s="2867"/>
      <c r="F600" s="2867"/>
      <c r="G600" s="2867"/>
      <c r="H600" s="2867"/>
      <c r="I600" s="2867"/>
      <c r="J600" s="2867"/>
      <c r="K600" s="2867"/>
      <c r="L600" s="2867"/>
      <c r="M600" s="2867"/>
      <c r="O600" s="2867"/>
      <c r="P600" s="2867"/>
      <c r="Q600" s="2867"/>
      <c r="R600" s="2867"/>
      <c r="S600" s="2867"/>
      <c r="T600" s="2867"/>
      <c r="U600" s="2867"/>
      <c r="V600" s="2867"/>
      <c r="W600" s="2867"/>
      <c r="X600" s="2867"/>
      <c r="Y600" s="2867"/>
      <c r="Z600" s="2867"/>
      <c r="AA600" s="2867"/>
      <c r="AB600" s="2867"/>
      <c r="AC600" s="2867"/>
      <c r="AD600" s="2867"/>
      <c r="AE600" s="2867"/>
      <c r="AF600" s="2867"/>
      <c r="AG600" s="2867"/>
      <c r="AH600" s="2867"/>
      <c r="AI600" s="2867"/>
      <c r="AJ600" s="2867"/>
      <c r="AK600" s="2867"/>
      <c r="AL600" s="2867"/>
      <c r="AM600" s="2867"/>
      <c r="AN600" s="2867"/>
      <c r="AO600" s="2867"/>
      <c r="AP600" s="2867"/>
      <c r="AQ600" s="2867"/>
      <c r="AR600" s="2867"/>
      <c r="AS600" s="2867"/>
      <c r="AT600" s="2867"/>
      <c r="AU600" s="2867"/>
      <c r="AV600" s="2867"/>
      <c r="AW600" s="2867"/>
      <c r="AX600" s="2867"/>
      <c r="AY600" s="2867"/>
      <c r="AZ600" s="2867"/>
      <c r="BA600" s="2867"/>
      <c r="BB600" s="2867"/>
      <c r="BC600" s="2867"/>
      <c r="BD600" s="2867"/>
      <c r="BE600" s="2867"/>
      <c r="BF600" s="2867"/>
      <c r="BG600" s="2867"/>
      <c r="BH600" s="2867"/>
      <c r="BI600" s="2867"/>
      <c r="BJ600" s="2867"/>
      <c r="BK600" s="2867"/>
      <c r="BL600" s="2867"/>
      <c r="BM600" s="2867"/>
      <c r="BN600" s="2867"/>
      <c r="BO600" s="2867"/>
      <c r="BP600" s="2867"/>
      <c r="BQ600" s="2867"/>
      <c r="BR600" s="2867"/>
      <c r="BS600" s="2867"/>
      <c r="BT600" s="2867"/>
      <c r="BU600" s="2867"/>
      <c r="BV600" s="2867"/>
      <c r="BW600" s="2867"/>
      <c r="BX600" s="2867"/>
      <c r="BY600" s="2867"/>
      <c r="BZ600" s="2867"/>
      <c r="CA600" s="2867"/>
      <c r="CB600" s="2867"/>
      <c r="CC600" s="2867"/>
      <c r="CD600" s="2867"/>
      <c r="CE600" s="2867"/>
      <c r="CF600" s="2867"/>
      <c r="CG600" s="2867"/>
      <c r="CH600" s="2867"/>
      <c r="CI600" s="2867"/>
      <c r="CJ600" s="2867"/>
      <c r="CK600" s="2867"/>
      <c r="CL600" s="2867"/>
      <c r="CM600" s="2867"/>
      <c r="CN600" s="2867"/>
      <c r="CO600" s="2867"/>
      <c r="CP600" s="2867"/>
      <c r="CQ600" s="2867"/>
      <c r="CR600" s="2867"/>
      <c r="CS600" s="2867"/>
      <c r="CT600" s="2867"/>
      <c r="CU600" s="2867"/>
      <c r="CV600" s="2867"/>
      <c r="CW600" s="2867"/>
    </row>
    <row r="601" spans="1:101">
      <c r="A601" s="2867"/>
      <c r="B601" s="2867"/>
      <c r="C601" s="2867"/>
      <c r="D601" s="2867"/>
      <c r="E601" s="2867"/>
      <c r="F601" s="2867"/>
      <c r="G601" s="2867"/>
      <c r="H601" s="2867"/>
      <c r="I601" s="2867"/>
      <c r="J601" s="2867"/>
      <c r="K601" s="2867"/>
      <c r="L601" s="2867"/>
      <c r="M601" s="2867"/>
      <c r="O601" s="2867"/>
      <c r="P601" s="2867"/>
      <c r="Q601" s="2867"/>
      <c r="R601" s="2867"/>
      <c r="S601" s="2867"/>
      <c r="T601" s="2867"/>
      <c r="U601" s="2867"/>
      <c r="V601" s="2867"/>
      <c r="W601" s="2867"/>
      <c r="X601" s="2867"/>
      <c r="Y601" s="2867"/>
      <c r="Z601" s="2867"/>
      <c r="AA601" s="2867"/>
      <c r="AB601" s="2867"/>
      <c r="AC601" s="2867"/>
      <c r="AD601" s="2867"/>
      <c r="AE601" s="2867"/>
      <c r="AF601" s="2867"/>
      <c r="AG601" s="2867"/>
      <c r="AH601" s="2867"/>
      <c r="AI601" s="2867"/>
      <c r="AJ601" s="2867"/>
      <c r="AK601" s="2867"/>
      <c r="AL601" s="2867"/>
      <c r="AM601" s="2867"/>
      <c r="AN601" s="2867"/>
      <c r="AO601" s="2867"/>
      <c r="AP601" s="2867"/>
      <c r="AQ601" s="2867"/>
      <c r="AR601" s="2867"/>
      <c r="AS601" s="2867"/>
      <c r="AT601" s="2867"/>
      <c r="AU601" s="2867"/>
      <c r="AV601" s="2867"/>
      <c r="AW601" s="2867"/>
      <c r="AX601" s="2867"/>
      <c r="AY601" s="2867"/>
      <c r="AZ601" s="2867"/>
      <c r="BA601" s="2867"/>
      <c r="BB601" s="2867"/>
      <c r="BC601" s="2867"/>
      <c r="BD601" s="2867"/>
      <c r="BE601" s="2867"/>
      <c r="BF601" s="2867"/>
      <c r="BG601" s="2867"/>
      <c r="BH601" s="2867"/>
      <c r="BI601" s="2867"/>
      <c r="BJ601" s="2867"/>
      <c r="BK601" s="2867"/>
      <c r="BL601" s="2867"/>
      <c r="BM601" s="2867"/>
      <c r="BN601" s="2867"/>
      <c r="BO601" s="2867"/>
      <c r="BP601" s="2867"/>
      <c r="BQ601" s="2867"/>
      <c r="BR601" s="2867"/>
      <c r="BS601" s="2867"/>
      <c r="BT601" s="2867"/>
      <c r="BU601" s="2867"/>
      <c r="BV601" s="2867"/>
      <c r="BW601" s="2867"/>
      <c r="BX601" s="2867"/>
      <c r="BY601" s="2867"/>
      <c r="BZ601" s="2867"/>
      <c r="CA601" s="2867"/>
      <c r="CB601" s="2867"/>
      <c r="CC601" s="2867"/>
      <c r="CD601" s="2867"/>
      <c r="CE601" s="2867"/>
      <c r="CF601" s="2867"/>
      <c r="CG601" s="2867"/>
      <c r="CH601" s="2867"/>
      <c r="CI601" s="2867"/>
      <c r="CJ601" s="2867"/>
      <c r="CK601" s="2867"/>
      <c r="CL601" s="2867"/>
      <c r="CM601" s="2867"/>
      <c r="CN601" s="2867"/>
      <c r="CO601" s="2867"/>
      <c r="CP601" s="2867"/>
      <c r="CQ601" s="2867"/>
      <c r="CR601" s="2867"/>
      <c r="CS601" s="2867"/>
      <c r="CT601" s="2867"/>
      <c r="CU601" s="2867"/>
      <c r="CV601" s="2867"/>
      <c r="CW601" s="2867"/>
    </row>
    <row r="602" spans="1:101">
      <c r="A602" s="2867"/>
      <c r="B602" s="2867"/>
      <c r="C602" s="2867"/>
      <c r="D602" s="2867"/>
      <c r="E602" s="2867"/>
      <c r="F602" s="2867"/>
      <c r="G602" s="2867"/>
      <c r="H602" s="2867"/>
      <c r="I602" s="2867"/>
      <c r="J602" s="2867"/>
      <c r="K602" s="2867"/>
      <c r="L602" s="2867"/>
      <c r="M602" s="2867"/>
      <c r="O602" s="2867"/>
      <c r="P602" s="2867"/>
      <c r="Q602" s="2867"/>
      <c r="R602" s="2867"/>
      <c r="S602" s="2867"/>
      <c r="T602" s="2867"/>
      <c r="U602" s="2867"/>
      <c r="V602" s="2867"/>
      <c r="W602" s="2867"/>
      <c r="X602" s="2867"/>
      <c r="Y602" s="2867"/>
      <c r="Z602" s="2867"/>
      <c r="AA602" s="2867"/>
      <c r="AB602" s="2867"/>
      <c r="AC602" s="2867"/>
      <c r="AD602" s="2867"/>
      <c r="AE602" s="2867"/>
      <c r="AF602" s="2867"/>
      <c r="AG602" s="2867"/>
      <c r="AH602" s="2867"/>
      <c r="AI602" s="2867"/>
      <c r="AJ602" s="2867"/>
      <c r="AK602" s="2867"/>
      <c r="AL602" s="2867"/>
      <c r="AM602" s="2867"/>
      <c r="AN602" s="2867"/>
      <c r="AO602" s="2867"/>
      <c r="AP602" s="2867"/>
      <c r="AQ602" s="2867"/>
      <c r="AR602" s="2867"/>
      <c r="AS602" s="2867"/>
      <c r="AT602" s="2867"/>
      <c r="AU602" s="2867"/>
      <c r="AV602" s="2867"/>
      <c r="AW602" s="2867"/>
      <c r="AX602" s="2867"/>
      <c r="AY602" s="2867"/>
      <c r="AZ602" s="2867"/>
      <c r="BA602" s="2867"/>
      <c r="BB602" s="2867"/>
      <c r="BC602" s="2867"/>
      <c r="BD602" s="2867"/>
      <c r="BE602" s="2867"/>
      <c r="BF602" s="2867"/>
      <c r="BG602" s="2867"/>
      <c r="BH602" s="2867"/>
      <c r="BI602" s="2867"/>
      <c r="BJ602" s="2867"/>
      <c r="BK602" s="2867"/>
      <c r="BL602" s="2867"/>
      <c r="BM602" s="2867"/>
      <c r="BN602" s="2867"/>
      <c r="BO602" s="2867"/>
      <c r="BP602" s="2867"/>
      <c r="BQ602" s="2867"/>
      <c r="BR602" s="2867"/>
      <c r="BS602" s="2867"/>
      <c r="BT602" s="2867"/>
      <c r="BU602" s="2867"/>
      <c r="BV602" s="2867"/>
      <c r="BW602" s="2867"/>
      <c r="BX602" s="2867"/>
      <c r="BY602" s="2867"/>
      <c r="BZ602" s="2867"/>
      <c r="CA602" s="2867"/>
      <c r="CB602" s="2867"/>
      <c r="CC602" s="2867"/>
      <c r="CD602" s="2867"/>
      <c r="CE602" s="2867"/>
      <c r="CF602" s="2867"/>
      <c r="CG602" s="2867"/>
      <c r="CH602" s="2867"/>
      <c r="CI602" s="2867"/>
      <c r="CJ602" s="2867"/>
      <c r="CK602" s="2867"/>
      <c r="CL602" s="2867"/>
      <c r="CM602" s="2867"/>
      <c r="CN602" s="2867"/>
      <c r="CO602" s="2867"/>
      <c r="CP602" s="2867"/>
      <c r="CQ602" s="2867"/>
      <c r="CR602" s="2867"/>
      <c r="CS602" s="2867"/>
      <c r="CT602" s="2867"/>
      <c r="CU602" s="2867"/>
      <c r="CV602" s="2867"/>
      <c r="CW602" s="2867"/>
    </row>
    <row r="603" spans="1:101">
      <c r="A603" s="2867"/>
      <c r="B603" s="2867"/>
      <c r="C603" s="2867"/>
      <c r="D603" s="2867"/>
      <c r="E603" s="2867"/>
      <c r="F603" s="2867"/>
      <c r="G603" s="2867"/>
      <c r="H603" s="2867"/>
      <c r="I603" s="2867"/>
      <c r="J603" s="2867"/>
      <c r="K603" s="2867"/>
      <c r="L603" s="2867"/>
      <c r="M603" s="2867"/>
      <c r="O603" s="2867"/>
      <c r="P603" s="2867"/>
      <c r="Q603" s="2867"/>
      <c r="R603" s="2867"/>
      <c r="S603" s="2867"/>
      <c r="T603" s="2867"/>
      <c r="U603" s="2867"/>
      <c r="V603" s="2867"/>
      <c r="W603" s="2867"/>
      <c r="X603" s="2867"/>
      <c r="Y603" s="2867"/>
      <c r="Z603" s="2867"/>
      <c r="AA603" s="2867"/>
      <c r="AB603" s="2867"/>
      <c r="AC603" s="2867"/>
      <c r="AD603" s="2867"/>
      <c r="AE603" s="2867"/>
      <c r="AF603" s="2867"/>
      <c r="AG603" s="2867"/>
      <c r="AH603" s="2867"/>
      <c r="AI603" s="2867"/>
      <c r="AJ603" s="2867"/>
      <c r="AK603" s="2867"/>
      <c r="AL603" s="2867"/>
      <c r="AM603" s="2867"/>
      <c r="AN603" s="2867"/>
      <c r="AO603" s="2867"/>
      <c r="AP603" s="2867"/>
      <c r="AQ603" s="2867"/>
      <c r="AR603" s="2867"/>
      <c r="AS603" s="2867"/>
      <c r="AT603" s="2867"/>
      <c r="AU603" s="2867"/>
      <c r="AV603" s="2867"/>
      <c r="AW603" s="2867"/>
      <c r="AX603" s="2867"/>
      <c r="AY603" s="2867"/>
      <c r="AZ603" s="2867"/>
      <c r="BA603" s="2867"/>
      <c r="BB603" s="2867"/>
      <c r="BC603" s="2867"/>
      <c r="BD603" s="2867"/>
      <c r="BE603" s="2867"/>
      <c r="BF603" s="2867"/>
      <c r="BG603" s="2867"/>
      <c r="BH603" s="2867"/>
      <c r="BI603" s="2867"/>
      <c r="BJ603" s="2867"/>
      <c r="BK603" s="2867"/>
      <c r="BL603" s="2867"/>
      <c r="BM603" s="2867"/>
      <c r="BN603" s="2867"/>
      <c r="BO603" s="2867"/>
      <c r="BP603" s="2867"/>
      <c r="BQ603" s="2867"/>
      <c r="BR603" s="2867"/>
      <c r="BS603" s="2867"/>
      <c r="BT603" s="2867"/>
      <c r="BU603" s="2867"/>
      <c r="BV603" s="2867"/>
      <c r="BW603" s="2867"/>
      <c r="BX603" s="2867"/>
      <c r="BY603" s="2867"/>
      <c r="BZ603" s="2867"/>
      <c r="CA603" s="2867"/>
      <c r="CB603" s="2867"/>
      <c r="CC603" s="2867"/>
      <c r="CD603" s="2867"/>
      <c r="CE603" s="2867"/>
      <c r="CF603" s="2867"/>
      <c r="CG603" s="2867"/>
      <c r="CH603" s="2867"/>
      <c r="CI603" s="2867"/>
      <c r="CJ603" s="2867"/>
      <c r="CK603" s="2867"/>
      <c r="CL603" s="2867"/>
      <c r="CM603" s="2867"/>
      <c r="CN603" s="2867"/>
      <c r="CO603" s="2867"/>
      <c r="CP603" s="2867"/>
      <c r="CQ603" s="2867"/>
      <c r="CR603" s="2867"/>
      <c r="CS603" s="2867"/>
      <c r="CT603" s="2867"/>
      <c r="CU603" s="2867"/>
      <c r="CV603" s="2867"/>
      <c r="CW603" s="2867"/>
    </row>
    <row r="604" spans="1:101">
      <c r="A604" s="2867"/>
      <c r="B604" s="2867"/>
      <c r="C604" s="2867"/>
      <c r="D604" s="2867"/>
      <c r="E604" s="2867"/>
      <c r="F604" s="2867"/>
      <c r="G604" s="2867"/>
      <c r="H604" s="2867"/>
      <c r="I604" s="2867"/>
      <c r="J604" s="2867"/>
      <c r="K604" s="2867"/>
      <c r="L604" s="2867"/>
      <c r="M604" s="2867"/>
      <c r="O604" s="2867"/>
      <c r="P604" s="2867"/>
      <c r="Q604" s="2867"/>
      <c r="R604" s="2867"/>
      <c r="S604" s="2867"/>
      <c r="T604" s="2867"/>
      <c r="U604" s="2867"/>
      <c r="V604" s="2867"/>
      <c r="W604" s="2867"/>
      <c r="X604" s="2867"/>
      <c r="Y604" s="2867"/>
      <c r="Z604" s="2867"/>
      <c r="AA604" s="2867"/>
      <c r="AB604" s="2867"/>
      <c r="AC604" s="2867"/>
      <c r="AD604" s="2867"/>
      <c r="AE604" s="2867"/>
      <c r="AF604" s="2867"/>
      <c r="AG604" s="2867"/>
      <c r="AH604" s="2867"/>
      <c r="AI604" s="2867"/>
      <c r="AJ604" s="2867"/>
      <c r="AK604" s="2867"/>
      <c r="AL604" s="2867"/>
      <c r="AM604" s="2867"/>
      <c r="AN604" s="2867"/>
      <c r="AO604" s="2867"/>
      <c r="AP604" s="2867"/>
      <c r="AQ604" s="2867"/>
      <c r="AR604" s="2867"/>
      <c r="AS604" s="2867"/>
      <c r="AT604" s="2867"/>
      <c r="AU604" s="2867"/>
      <c r="AV604" s="2867"/>
      <c r="AW604" s="2867"/>
      <c r="AX604" s="2867"/>
      <c r="AY604" s="2867"/>
      <c r="AZ604" s="2867"/>
      <c r="BA604" s="2867"/>
      <c r="BB604" s="2867"/>
      <c r="BC604" s="2867"/>
      <c r="BD604" s="2867"/>
      <c r="BE604" s="2867"/>
      <c r="BF604" s="2867"/>
      <c r="BG604" s="2867"/>
      <c r="BH604" s="2867"/>
      <c r="BI604" s="2867"/>
      <c r="BJ604" s="2867"/>
      <c r="BK604" s="2867"/>
      <c r="BL604" s="2867"/>
      <c r="BM604" s="2867"/>
      <c r="BN604" s="2867"/>
      <c r="BO604" s="2867"/>
      <c r="BP604" s="2867"/>
      <c r="BQ604" s="2867"/>
      <c r="BR604" s="2867"/>
      <c r="BS604" s="2867"/>
      <c r="BT604" s="2867"/>
      <c r="BU604" s="2867"/>
      <c r="BV604" s="2867"/>
      <c r="BW604" s="2867"/>
      <c r="BX604" s="2867"/>
      <c r="BY604" s="2867"/>
      <c r="BZ604" s="2867"/>
      <c r="CA604" s="2867"/>
      <c r="CB604" s="2867"/>
      <c r="CC604" s="2867"/>
      <c r="CD604" s="2867"/>
      <c r="CE604" s="2867"/>
      <c r="CF604" s="2867"/>
      <c r="CG604" s="2867"/>
      <c r="CH604" s="2867"/>
      <c r="CI604" s="2867"/>
      <c r="CJ604" s="2867"/>
      <c r="CK604" s="2867"/>
      <c r="CL604" s="2867"/>
      <c r="CM604" s="2867"/>
      <c r="CN604" s="2867"/>
      <c r="CO604" s="2867"/>
      <c r="CP604" s="2867"/>
      <c r="CQ604" s="2867"/>
      <c r="CR604" s="2867"/>
      <c r="CS604" s="2867"/>
      <c r="CT604" s="2867"/>
      <c r="CU604" s="2867"/>
      <c r="CV604" s="2867"/>
      <c r="CW604" s="2867"/>
    </row>
    <row r="605" spans="1:101">
      <c r="A605" s="2867"/>
      <c r="B605" s="2867"/>
      <c r="C605" s="2867"/>
      <c r="D605" s="2867"/>
      <c r="E605" s="2867"/>
      <c r="F605" s="2867"/>
      <c r="G605" s="2867"/>
      <c r="H605" s="2867"/>
      <c r="I605" s="2867"/>
      <c r="J605" s="2867"/>
      <c r="K605" s="2867"/>
      <c r="L605" s="2867"/>
      <c r="M605" s="2867"/>
      <c r="O605" s="2867"/>
      <c r="P605" s="2867"/>
      <c r="Q605" s="2867"/>
      <c r="R605" s="2867"/>
      <c r="S605" s="2867"/>
      <c r="T605" s="2867"/>
      <c r="U605" s="2867"/>
      <c r="V605" s="2867"/>
      <c r="W605" s="2867"/>
      <c r="X605" s="2867"/>
      <c r="Y605" s="2867"/>
      <c r="Z605" s="2867"/>
      <c r="AA605" s="2867"/>
      <c r="AB605" s="2867"/>
      <c r="AC605" s="2867"/>
      <c r="AD605" s="2867"/>
      <c r="AE605" s="2867"/>
      <c r="AF605" s="2867"/>
      <c r="AG605" s="2867"/>
      <c r="AH605" s="2867"/>
      <c r="AI605" s="2867"/>
      <c r="AJ605" s="2867"/>
      <c r="AK605" s="2867"/>
      <c r="AL605" s="2867"/>
      <c r="AM605" s="2867"/>
      <c r="AN605" s="2867"/>
      <c r="AO605" s="2867"/>
      <c r="AP605" s="2867"/>
      <c r="AQ605" s="2867"/>
      <c r="AR605" s="2867"/>
      <c r="AS605" s="2867"/>
      <c r="AT605" s="2867"/>
      <c r="AU605" s="2867"/>
      <c r="AV605" s="2867"/>
      <c r="AW605" s="2867"/>
      <c r="AX605" s="2867"/>
      <c r="AY605" s="2867"/>
      <c r="AZ605" s="2867"/>
      <c r="BA605" s="2867"/>
      <c r="BB605" s="2867"/>
      <c r="BC605" s="2867"/>
      <c r="BD605" s="2867"/>
      <c r="BE605" s="2867"/>
      <c r="BF605" s="2867"/>
      <c r="BG605" s="2867"/>
      <c r="BH605" s="2867"/>
      <c r="BI605" s="2867"/>
      <c r="BJ605" s="2867"/>
      <c r="BK605" s="2867"/>
      <c r="BL605" s="2867"/>
      <c r="BM605" s="2867"/>
      <c r="BN605" s="2867"/>
      <c r="BO605" s="2867"/>
      <c r="BP605" s="2867"/>
      <c r="BQ605" s="2867"/>
      <c r="BR605" s="2867"/>
      <c r="BS605" s="2867"/>
      <c r="BT605" s="2867"/>
      <c r="BU605" s="2867"/>
      <c r="BV605" s="2867"/>
      <c r="BW605" s="2867"/>
      <c r="BX605" s="2867"/>
      <c r="BY605" s="2867"/>
      <c r="BZ605" s="2867"/>
      <c r="CA605" s="2867"/>
      <c r="CB605" s="2867"/>
      <c r="CC605" s="2867"/>
      <c r="CD605" s="2867"/>
      <c r="CE605" s="2867"/>
      <c r="CF605" s="2867"/>
      <c r="CG605" s="2867"/>
      <c r="CH605" s="2867"/>
      <c r="CI605" s="2867"/>
      <c r="CJ605" s="2867"/>
      <c r="CK605" s="2867"/>
      <c r="CL605" s="2867"/>
      <c r="CM605" s="2867"/>
      <c r="CN605" s="2867"/>
      <c r="CO605" s="2867"/>
      <c r="CP605" s="2867"/>
      <c r="CQ605" s="2867"/>
      <c r="CR605" s="2867"/>
      <c r="CS605" s="2867"/>
      <c r="CT605" s="2867"/>
      <c r="CU605" s="2867"/>
      <c r="CV605" s="2867"/>
      <c r="CW605" s="2867"/>
    </row>
    <row r="606" spans="1:101">
      <c r="A606" s="2867"/>
      <c r="B606" s="2867"/>
      <c r="C606" s="2867"/>
      <c r="D606" s="2867"/>
      <c r="E606" s="2867"/>
      <c r="F606" s="2867"/>
      <c r="G606" s="2867"/>
      <c r="H606" s="2867"/>
      <c r="I606" s="2867"/>
      <c r="J606" s="2867"/>
      <c r="K606" s="2867"/>
      <c r="L606" s="2867"/>
      <c r="M606" s="2867"/>
      <c r="O606" s="2867"/>
      <c r="P606" s="2867"/>
      <c r="Q606" s="2867"/>
      <c r="R606" s="2867"/>
      <c r="S606" s="2867"/>
      <c r="T606" s="2867"/>
      <c r="U606" s="2867"/>
      <c r="V606" s="2867"/>
      <c r="W606" s="2867"/>
      <c r="X606" s="2867"/>
      <c r="Y606" s="2867"/>
      <c r="Z606" s="2867"/>
      <c r="AA606" s="2867"/>
      <c r="AB606" s="2867"/>
      <c r="AC606" s="2867"/>
      <c r="AD606" s="2867"/>
      <c r="AE606" s="2867"/>
      <c r="AF606" s="2867"/>
      <c r="AG606" s="2867"/>
      <c r="AH606" s="2867"/>
      <c r="AI606" s="2867"/>
      <c r="AJ606" s="2867"/>
      <c r="AK606" s="2867"/>
      <c r="AL606" s="2867"/>
      <c r="AM606" s="2867"/>
      <c r="AN606" s="2867"/>
      <c r="AO606" s="2867"/>
      <c r="AP606" s="2867"/>
      <c r="AQ606" s="2867"/>
      <c r="AR606" s="2867"/>
      <c r="AS606" s="2867"/>
      <c r="AT606" s="2867"/>
      <c r="AU606" s="2867"/>
      <c r="AV606" s="2867"/>
      <c r="AW606" s="2867"/>
      <c r="AX606" s="2867"/>
      <c r="AY606" s="2867"/>
      <c r="AZ606" s="2867"/>
      <c r="BA606" s="2867"/>
      <c r="BB606" s="2867"/>
      <c r="BC606" s="2867"/>
      <c r="BD606" s="2867"/>
      <c r="BE606" s="2867"/>
      <c r="BF606" s="2867"/>
      <c r="BG606" s="2867"/>
      <c r="BH606" s="2867"/>
      <c r="BI606" s="2867"/>
      <c r="BJ606" s="2867"/>
      <c r="BK606" s="2867"/>
      <c r="BL606" s="2867"/>
      <c r="BM606" s="2867"/>
      <c r="BN606" s="2867"/>
      <c r="BO606" s="2867"/>
      <c r="BP606" s="2867"/>
      <c r="BQ606" s="2867"/>
      <c r="BR606" s="2867"/>
      <c r="BS606" s="2867"/>
      <c r="BT606" s="2867"/>
      <c r="BU606" s="2867"/>
      <c r="BV606" s="2867"/>
      <c r="BW606" s="2867"/>
      <c r="BX606" s="2867"/>
      <c r="BY606" s="2867"/>
      <c r="BZ606" s="2867"/>
      <c r="CA606" s="2867"/>
      <c r="CB606" s="2867"/>
      <c r="CC606" s="2867"/>
      <c r="CD606" s="2867"/>
      <c r="CE606" s="2867"/>
      <c r="CF606" s="2867"/>
      <c r="CG606" s="2867"/>
      <c r="CH606" s="2867"/>
      <c r="CI606" s="2867"/>
      <c r="CJ606" s="2867"/>
      <c r="CK606" s="2867"/>
      <c r="CL606" s="2867"/>
      <c r="CM606" s="2867"/>
      <c r="CN606" s="2867"/>
      <c r="CO606" s="2867"/>
      <c r="CP606" s="2867"/>
      <c r="CQ606" s="2867"/>
      <c r="CR606" s="2867"/>
      <c r="CS606" s="2867"/>
      <c r="CT606" s="2867"/>
      <c r="CU606" s="2867"/>
      <c r="CV606" s="2867"/>
      <c r="CW606" s="2867"/>
    </row>
    <row r="607" spans="1:101">
      <c r="A607" s="2867"/>
      <c r="B607" s="2867"/>
      <c r="C607" s="2867"/>
      <c r="D607" s="2867"/>
      <c r="E607" s="2867"/>
      <c r="F607" s="2867"/>
      <c r="G607" s="2867"/>
      <c r="H607" s="2867"/>
      <c r="I607" s="2867"/>
      <c r="J607" s="2867"/>
      <c r="K607" s="2867"/>
      <c r="L607" s="2867"/>
      <c r="M607" s="2867"/>
      <c r="O607" s="2867"/>
      <c r="P607" s="2867"/>
      <c r="Q607" s="2867"/>
      <c r="R607" s="2867"/>
      <c r="S607" s="2867"/>
      <c r="T607" s="2867"/>
      <c r="U607" s="2867"/>
      <c r="V607" s="2867"/>
      <c r="W607" s="2867"/>
      <c r="X607" s="2867"/>
      <c r="Y607" s="2867"/>
      <c r="Z607" s="2867"/>
      <c r="AA607" s="2867"/>
      <c r="AB607" s="2867"/>
      <c r="AC607" s="2867"/>
      <c r="AD607" s="2867"/>
      <c r="AE607" s="2867"/>
      <c r="AF607" s="2867"/>
      <c r="AG607" s="2867"/>
      <c r="AH607" s="2867"/>
      <c r="AI607" s="2867"/>
      <c r="AJ607" s="2867"/>
      <c r="AK607" s="2867"/>
      <c r="AL607" s="2867"/>
      <c r="AM607" s="2867"/>
      <c r="AN607" s="2867"/>
      <c r="AO607" s="2867"/>
      <c r="AP607" s="2867"/>
      <c r="AQ607" s="2867"/>
      <c r="AR607" s="2867"/>
      <c r="AS607" s="2867"/>
      <c r="AT607" s="2867"/>
      <c r="AU607" s="2867"/>
      <c r="AV607" s="2867"/>
      <c r="AW607" s="2867"/>
      <c r="AX607" s="2867"/>
      <c r="AY607" s="2867"/>
      <c r="AZ607" s="2867"/>
      <c r="BA607" s="2867"/>
      <c r="BB607" s="2867"/>
      <c r="BC607" s="2867"/>
      <c r="BD607" s="2867"/>
      <c r="BE607" s="2867"/>
      <c r="BF607" s="2867"/>
      <c r="BG607" s="2867"/>
      <c r="BH607" s="2867"/>
      <c r="BI607" s="2867"/>
      <c r="BJ607" s="2867"/>
      <c r="BK607" s="2867"/>
      <c r="BL607" s="2867"/>
      <c r="BM607" s="2867"/>
      <c r="BN607" s="2867"/>
      <c r="BO607" s="2867"/>
      <c r="BP607" s="2867"/>
      <c r="BQ607" s="2867"/>
      <c r="BR607" s="2867"/>
      <c r="BS607" s="2867"/>
      <c r="BT607" s="2867"/>
      <c r="BU607" s="2867"/>
      <c r="BV607" s="2867"/>
      <c r="BW607" s="2867"/>
      <c r="BX607" s="2867"/>
      <c r="BY607" s="2867"/>
      <c r="BZ607" s="2867"/>
      <c r="CA607" s="2867"/>
      <c r="CB607" s="2867"/>
      <c r="CC607" s="2867"/>
      <c r="CD607" s="2867"/>
      <c r="CE607" s="2867"/>
      <c r="CF607" s="2867"/>
      <c r="CG607" s="2867"/>
      <c r="CH607" s="2867"/>
      <c r="CI607" s="2867"/>
      <c r="CJ607" s="2867"/>
      <c r="CK607" s="2867"/>
      <c r="CL607" s="2867"/>
      <c r="CM607" s="2867"/>
      <c r="CN607" s="2867"/>
      <c r="CO607" s="2867"/>
      <c r="CP607" s="2867"/>
      <c r="CQ607" s="2867"/>
      <c r="CR607" s="2867"/>
      <c r="CS607" s="2867"/>
      <c r="CT607" s="2867"/>
      <c r="CU607" s="2867"/>
      <c r="CV607" s="2867"/>
      <c r="CW607" s="2867"/>
    </row>
    <row r="608" spans="1:101">
      <c r="A608" s="2867"/>
      <c r="B608" s="2867"/>
      <c r="C608" s="2867"/>
      <c r="D608" s="2867"/>
      <c r="E608" s="2867"/>
      <c r="F608" s="2867"/>
      <c r="G608" s="2867"/>
      <c r="H608" s="2867"/>
      <c r="I608" s="2867"/>
      <c r="J608" s="2867"/>
      <c r="K608" s="2867"/>
      <c r="L608" s="2867"/>
      <c r="M608" s="2867"/>
      <c r="O608" s="2867"/>
      <c r="P608" s="2867"/>
      <c r="Q608" s="2867"/>
      <c r="R608" s="2867"/>
      <c r="S608" s="2867"/>
      <c r="T608" s="2867"/>
      <c r="U608" s="2867"/>
      <c r="V608" s="2867"/>
      <c r="W608" s="2867"/>
      <c r="X608" s="2867"/>
      <c r="Y608" s="2867"/>
      <c r="Z608" s="2867"/>
      <c r="AA608" s="2867"/>
      <c r="AB608" s="2867"/>
      <c r="AC608" s="2867"/>
      <c r="AD608" s="2867"/>
      <c r="AE608" s="2867"/>
      <c r="AF608" s="2867"/>
      <c r="AG608" s="2867"/>
      <c r="AH608" s="2867"/>
      <c r="AI608" s="2867"/>
      <c r="AJ608" s="2867"/>
      <c r="AK608" s="2867"/>
      <c r="AL608" s="2867"/>
      <c r="AM608" s="2867"/>
      <c r="AN608" s="2867"/>
      <c r="AO608" s="2867"/>
      <c r="AP608" s="2867"/>
      <c r="AQ608" s="2867"/>
      <c r="AR608" s="2867"/>
      <c r="AS608" s="2867"/>
      <c r="AT608" s="2867"/>
      <c r="AU608" s="2867"/>
      <c r="AV608" s="2867"/>
      <c r="AW608" s="2867"/>
      <c r="AX608" s="2867"/>
      <c r="AY608" s="2867"/>
      <c r="AZ608" s="2867"/>
      <c r="BA608" s="2867"/>
      <c r="BB608" s="2867"/>
      <c r="BC608" s="2867"/>
      <c r="BD608" s="2867"/>
      <c r="BE608" s="2867"/>
      <c r="BF608" s="2867"/>
      <c r="BG608" s="2867"/>
      <c r="BH608" s="2867"/>
      <c r="BI608" s="2867"/>
      <c r="BJ608" s="2867"/>
      <c r="BK608" s="2867"/>
      <c r="BL608" s="2867"/>
      <c r="BM608" s="2867"/>
      <c r="BN608" s="2867"/>
      <c r="BO608" s="2867"/>
      <c r="BP608" s="2867"/>
      <c r="BQ608" s="2867"/>
      <c r="BR608" s="2867"/>
      <c r="BS608" s="2867"/>
      <c r="BT608" s="2867"/>
      <c r="BU608" s="2867"/>
      <c r="BV608" s="2867"/>
      <c r="BW608" s="2867"/>
      <c r="BX608" s="2867"/>
      <c r="BY608" s="2867"/>
      <c r="BZ608" s="2867"/>
      <c r="CA608" s="2867"/>
      <c r="CB608" s="2867"/>
      <c r="CC608" s="2867"/>
      <c r="CD608" s="2867"/>
      <c r="CE608" s="2867"/>
      <c r="CF608" s="2867"/>
      <c r="CG608" s="2867"/>
      <c r="CH608" s="2867"/>
      <c r="CI608" s="2867"/>
      <c r="CJ608" s="2867"/>
      <c r="CK608" s="2867"/>
      <c r="CL608" s="2867"/>
      <c r="CM608" s="2867"/>
      <c r="CN608" s="2867"/>
      <c r="CO608" s="2867"/>
      <c r="CP608" s="2867"/>
      <c r="CQ608" s="2867"/>
      <c r="CR608" s="2867"/>
      <c r="CS608" s="2867"/>
      <c r="CT608" s="2867"/>
      <c r="CU608" s="2867"/>
      <c r="CV608" s="2867"/>
      <c r="CW608" s="2867"/>
    </row>
    <row r="609" spans="1:101">
      <c r="A609" s="2867"/>
      <c r="B609" s="2867"/>
      <c r="C609" s="2867"/>
      <c r="D609" s="2867"/>
      <c r="E609" s="2867"/>
      <c r="F609" s="2867"/>
      <c r="G609" s="2867"/>
      <c r="H609" s="2867"/>
      <c r="I609" s="2867"/>
      <c r="J609" s="2867"/>
      <c r="K609" s="2867"/>
      <c r="L609" s="2867"/>
      <c r="M609" s="2867"/>
      <c r="O609" s="2867"/>
      <c r="P609" s="2867"/>
      <c r="Q609" s="2867"/>
      <c r="R609" s="2867"/>
      <c r="S609" s="2867"/>
      <c r="T609" s="2867"/>
      <c r="U609" s="2867"/>
      <c r="V609" s="2867"/>
      <c r="W609" s="2867"/>
      <c r="X609" s="2867"/>
      <c r="Y609" s="2867"/>
      <c r="Z609" s="2867"/>
      <c r="AA609" s="2867"/>
      <c r="AB609" s="2867"/>
      <c r="AC609" s="2867"/>
      <c r="AD609" s="2867"/>
      <c r="AE609" s="2867"/>
      <c r="AF609" s="2867"/>
      <c r="AG609" s="2867"/>
      <c r="AH609" s="2867"/>
      <c r="AI609" s="2867"/>
      <c r="AJ609" s="2867"/>
      <c r="AK609" s="2867"/>
      <c r="AL609" s="2867"/>
      <c r="AM609" s="2867"/>
      <c r="AN609" s="2867"/>
      <c r="AO609" s="2867"/>
      <c r="AP609" s="2867"/>
      <c r="AQ609" s="2867"/>
      <c r="AR609" s="2867"/>
      <c r="AS609" s="2867"/>
      <c r="AT609" s="2867"/>
      <c r="AU609" s="2867"/>
      <c r="AV609" s="2867"/>
      <c r="AW609" s="2867"/>
      <c r="AX609" s="2867"/>
      <c r="AY609" s="2867"/>
      <c r="AZ609" s="2867"/>
      <c r="BA609" s="2867"/>
      <c r="BB609" s="2867"/>
      <c r="BC609" s="2867"/>
      <c r="BD609" s="2867"/>
      <c r="BE609" s="2867"/>
      <c r="BF609" s="2867"/>
      <c r="BG609" s="2867"/>
      <c r="BH609" s="2867"/>
      <c r="BI609" s="2867"/>
      <c r="BJ609" s="2867"/>
      <c r="BK609" s="2867"/>
      <c r="BL609" s="2867"/>
      <c r="BM609" s="2867"/>
      <c r="BN609" s="2867"/>
      <c r="BO609" s="2867"/>
      <c r="BP609" s="2867"/>
      <c r="BQ609" s="2867"/>
      <c r="BR609" s="2867"/>
      <c r="BS609" s="2867"/>
      <c r="BT609" s="2867"/>
      <c r="BU609" s="2867"/>
      <c r="BV609" s="2867"/>
      <c r="BW609" s="2867"/>
      <c r="BX609" s="2867"/>
      <c r="BY609" s="2867"/>
      <c r="BZ609" s="2867"/>
      <c r="CA609" s="2867"/>
      <c r="CB609" s="2867"/>
      <c r="CC609" s="2867"/>
      <c r="CD609" s="2867"/>
      <c r="CE609" s="2867"/>
      <c r="CF609" s="2867"/>
      <c r="CG609" s="2867"/>
      <c r="CH609" s="2867"/>
      <c r="CI609" s="2867"/>
      <c r="CJ609" s="2867"/>
      <c r="CK609" s="2867"/>
      <c r="CL609" s="2867"/>
      <c r="CM609" s="2867"/>
      <c r="CN609" s="2867"/>
      <c r="CO609" s="2867"/>
      <c r="CP609" s="2867"/>
      <c r="CQ609" s="2867"/>
      <c r="CR609" s="2867"/>
      <c r="CS609" s="2867"/>
      <c r="CT609" s="2867"/>
      <c r="CU609" s="2867"/>
      <c r="CV609" s="2867"/>
      <c r="CW609" s="2867"/>
    </row>
    <row r="610" spans="1:101">
      <c r="A610" s="2867"/>
      <c r="B610" s="2867"/>
      <c r="C610" s="2867"/>
      <c r="D610" s="2867"/>
      <c r="E610" s="2867"/>
      <c r="F610" s="2867"/>
      <c r="G610" s="2867"/>
      <c r="H610" s="2867"/>
      <c r="I610" s="2867"/>
      <c r="J610" s="2867"/>
      <c r="K610" s="2867"/>
      <c r="L610" s="2867"/>
      <c r="M610" s="2867"/>
      <c r="O610" s="2867"/>
      <c r="P610" s="2867"/>
      <c r="Q610" s="2867"/>
      <c r="R610" s="2867"/>
      <c r="S610" s="2867"/>
      <c r="T610" s="2867"/>
      <c r="U610" s="2867"/>
      <c r="V610" s="2867"/>
      <c r="W610" s="2867"/>
      <c r="X610" s="2867"/>
      <c r="Y610" s="2867"/>
      <c r="Z610" s="2867"/>
      <c r="AA610" s="2867"/>
      <c r="AB610" s="2867"/>
      <c r="AC610" s="2867"/>
      <c r="AD610" s="2867"/>
      <c r="AE610" s="2867"/>
      <c r="AF610" s="2867"/>
      <c r="AG610" s="2867"/>
      <c r="AH610" s="2867"/>
      <c r="AI610" s="2867"/>
      <c r="AJ610" s="2867"/>
      <c r="AK610" s="2867"/>
      <c r="AL610" s="2867"/>
      <c r="AM610" s="2867"/>
      <c r="AN610" s="2867"/>
      <c r="AO610" s="2867"/>
      <c r="AP610" s="2867"/>
      <c r="AQ610" s="2867"/>
      <c r="AR610" s="2867"/>
      <c r="AS610" s="2867"/>
      <c r="AT610" s="2867"/>
      <c r="AU610" s="2867"/>
      <c r="AV610" s="2867"/>
      <c r="AW610" s="2867"/>
      <c r="AX610" s="2867"/>
      <c r="AY610" s="2867"/>
      <c r="AZ610" s="2867"/>
      <c r="BA610" s="2867"/>
      <c r="BB610" s="2867"/>
      <c r="BC610" s="2867"/>
      <c r="BD610" s="2867"/>
      <c r="BE610" s="2867"/>
      <c r="BF610" s="2867"/>
      <c r="BG610" s="2867"/>
      <c r="BH610" s="2867"/>
      <c r="BI610" s="2867"/>
      <c r="BJ610" s="2867"/>
      <c r="BK610" s="2867"/>
      <c r="BL610" s="2867"/>
      <c r="BM610" s="2867"/>
      <c r="BN610" s="2867"/>
      <c r="BO610" s="2867"/>
      <c r="BP610" s="2867"/>
      <c r="BQ610" s="2867"/>
      <c r="BR610" s="2867"/>
      <c r="BS610" s="2867"/>
      <c r="BT610" s="2867"/>
      <c r="BU610" s="2867"/>
      <c r="BV610" s="2867"/>
      <c r="BW610" s="2867"/>
      <c r="BX610" s="2867"/>
      <c r="BY610" s="2867"/>
      <c r="BZ610" s="2867"/>
      <c r="CA610" s="2867"/>
      <c r="CB610" s="2867"/>
      <c r="CC610" s="2867"/>
      <c r="CD610" s="2867"/>
      <c r="CE610" s="2867"/>
      <c r="CF610" s="2867"/>
      <c r="CG610" s="2867"/>
      <c r="CH610" s="2867"/>
      <c r="CI610" s="2867"/>
      <c r="CJ610" s="2867"/>
      <c r="CK610" s="2867"/>
      <c r="CL610" s="2867"/>
      <c r="CM610" s="2867"/>
      <c r="CN610" s="2867"/>
      <c r="CO610" s="2867"/>
      <c r="CP610" s="2867"/>
      <c r="CQ610" s="2867"/>
      <c r="CR610" s="2867"/>
      <c r="CS610" s="2867"/>
      <c r="CT610" s="2867"/>
      <c r="CU610" s="2867"/>
      <c r="CV610" s="2867"/>
      <c r="CW610" s="2867"/>
    </row>
    <row r="611" spans="1:101">
      <c r="A611" s="2867"/>
      <c r="B611" s="2867"/>
      <c r="C611" s="2867"/>
      <c r="D611" s="2867"/>
      <c r="E611" s="2867"/>
      <c r="F611" s="2867"/>
      <c r="G611" s="2867"/>
      <c r="H611" s="2867"/>
      <c r="I611" s="2867"/>
      <c r="J611" s="2867"/>
      <c r="K611" s="2867"/>
      <c r="L611" s="2867"/>
      <c r="M611" s="2867"/>
      <c r="O611" s="2867"/>
      <c r="P611" s="2867"/>
      <c r="Q611" s="2867"/>
      <c r="R611" s="2867"/>
      <c r="S611" s="2867"/>
      <c r="T611" s="2867"/>
      <c r="U611" s="2867"/>
      <c r="V611" s="2867"/>
      <c r="W611" s="2867"/>
      <c r="X611" s="2867"/>
      <c r="Y611" s="2867"/>
      <c r="Z611" s="2867"/>
      <c r="AA611" s="2867"/>
      <c r="AB611" s="2867"/>
      <c r="AC611" s="2867"/>
      <c r="AD611" s="2867"/>
      <c r="AE611" s="2867"/>
      <c r="AF611" s="2867"/>
      <c r="AG611" s="2867"/>
      <c r="AH611" s="2867"/>
      <c r="AI611" s="2867"/>
      <c r="AJ611" s="2867"/>
      <c r="AK611" s="2867"/>
      <c r="AL611" s="2867"/>
      <c r="AM611" s="2867"/>
      <c r="AN611" s="2867"/>
      <c r="AO611" s="2867"/>
      <c r="AP611" s="2867"/>
      <c r="AQ611" s="2867"/>
      <c r="AR611" s="2867"/>
      <c r="AS611" s="2867"/>
      <c r="AT611" s="2867"/>
      <c r="AU611" s="2867"/>
      <c r="AV611" s="2867"/>
      <c r="AW611" s="2867"/>
      <c r="AX611" s="2867"/>
      <c r="AY611" s="2867"/>
      <c r="AZ611" s="2867"/>
      <c r="BA611" s="2867"/>
      <c r="BB611" s="2867"/>
      <c r="BC611" s="2867"/>
      <c r="BD611" s="2867"/>
      <c r="BE611" s="2867"/>
      <c r="BF611" s="2867"/>
      <c r="BG611" s="2867"/>
      <c r="BH611" s="2867"/>
      <c r="BI611" s="2867"/>
      <c r="BJ611" s="2867"/>
      <c r="BK611" s="2867"/>
      <c r="BL611" s="2867"/>
      <c r="BM611" s="2867"/>
      <c r="BN611" s="2867"/>
      <c r="BO611" s="2867"/>
      <c r="BP611" s="2867"/>
      <c r="BQ611" s="2867"/>
      <c r="BR611" s="2867"/>
      <c r="BS611" s="2867"/>
      <c r="BT611" s="2867"/>
      <c r="BU611" s="2867"/>
      <c r="BV611" s="2867"/>
      <c r="BW611" s="2867"/>
      <c r="BX611" s="2867"/>
      <c r="BY611" s="2867"/>
      <c r="BZ611" s="2867"/>
      <c r="CA611" s="2867"/>
      <c r="CB611" s="2867"/>
      <c r="CC611" s="2867"/>
      <c r="CD611" s="2867"/>
      <c r="CE611" s="2867"/>
      <c r="CF611" s="2867"/>
      <c r="CG611" s="2867"/>
      <c r="CH611" s="2867"/>
      <c r="CI611" s="2867"/>
      <c r="CJ611" s="2867"/>
      <c r="CK611" s="2867"/>
      <c r="CL611" s="2867"/>
      <c r="CM611" s="2867"/>
      <c r="CN611" s="2867"/>
      <c r="CO611" s="2867"/>
      <c r="CP611" s="2867"/>
      <c r="CQ611" s="2867"/>
      <c r="CR611" s="2867"/>
      <c r="CS611" s="2867"/>
      <c r="CT611" s="2867"/>
      <c r="CU611" s="2867"/>
      <c r="CV611" s="2867"/>
      <c r="CW611" s="2867"/>
    </row>
    <row r="612" spans="1:101">
      <c r="A612" s="2867"/>
      <c r="B612" s="2867"/>
      <c r="C612" s="2867"/>
      <c r="D612" s="2867"/>
      <c r="E612" s="2867"/>
      <c r="F612" s="2867"/>
      <c r="G612" s="2867"/>
      <c r="H612" s="2867"/>
      <c r="I612" s="2867"/>
      <c r="J612" s="2867"/>
      <c r="K612" s="2867"/>
      <c r="L612" s="2867"/>
      <c r="M612" s="2867"/>
      <c r="O612" s="2867"/>
      <c r="P612" s="2867"/>
      <c r="Q612" s="2867"/>
      <c r="R612" s="2867"/>
      <c r="S612" s="2867"/>
      <c r="T612" s="2867"/>
      <c r="U612" s="2867"/>
      <c r="V612" s="2867"/>
      <c r="W612" s="2867"/>
      <c r="X612" s="2867"/>
      <c r="Y612" s="2867"/>
      <c r="Z612" s="2867"/>
      <c r="AA612" s="2867"/>
      <c r="AB612" s="2867"/>
      <c r="AC612" s="2867"/>
      <c r="AD612" s="2867"/>
      <c r="AE612" s="2867"/>
      <c r="AF612" s="2867"/>
      <c r="AG612" s="2867"/>
      <c r="AH612" s="2867"/>
      <c r="AI612" s="2867"/>
      <c r="AJ612" s="2867"/>
      <c r="AK612" s="2867"/>
      <c r="AL612" s="2867"/>
      <c r="AM612" s="2867"/>
      <c r="AN612" s="2867"/>
      <c r="AO612" s="2867"/>
      <c r="AP612" s="2867"/>
      <c r="AQ612" s="2867"/>
      <c r="AR612" s="2867"/>
      <c r="AS612" s="2867"/>
      <c r="AT612" s="2867"/>
      <c r="AU612" s="2867"/>
      <c r="AV612" s="2867"/>
      <c r="AW612" s="2867"/>
      <c r="AX612" s="2867"/>
      <c r="AY612" s="2867"/>
      <c r="AZ612" s="2867"/>
      <c r="BA612" s="2867"/>
      <c r="BB612" s="2867"/>
      <c r="BC612" s="2867"/>
      <c r="BD612" s="2867"/>
      <c r="BE612" s="2867"/>
      <c r="BF612" s="2867"/>
      <c r="BG612" s="2867"/>
      <c r="BH612" s="2867"/>
      <c r="BI612" s="2867"/>
      <c r="BJ612" s="2867"/>
      <c r="BK612" s="2867"/>
      <c r="BL612" s="2867"/>
      <c r="BM612" s="2867"/>
      <c r="BN612" s="2867"/>
      <c r="BO612" s="2867"/>
      <c r="BP612" s="2867"/>
      <c r="BQ612" s="2867"/>
      <c r="BR612" s="2867"/>
      <c r="BS612" s="2867"/>
      <c r="BT612" s="2867"/>
      <c r="BU612" s="2867"/>
      <c r="BV612" s="2867"/>
      <c r="BW612" s="2867"/>
      <c r="BX612" s="2867"/>
      <c r="BY612" s="2867"/>
      <c r="BZ612" s="2867"/>
      <c r="CA612" s="2867"/>
      <c r="CB612" s="2867"/>
      <c r="CC612" s="2867"/>
      <c r="CD612" s="2867"/>
      <c r="CE612" s="2867"/>
      <c r="CF612" s="2867"/>
      <c r="CG612" s="2867"/>
      <c r="CH612" s="2867"/>
      <c r="CI612" s="2867"/>
      <c r="CJ612" s="2867"/>
      <c r="CK612" s="2867"/>
      <c r="CL612" s="2867"/>
      <c r="CM612" s="2867"/>
      <c r="CN612" s="2867"/>
      <c r="CO612" s="2867"/>
      <c r="CP612" s="2867"/>
      <c r="CQ612" s="2867"/>
      <c r="CR612" s="2867"/>
      <c r="CS612" s="2867"/>
      <c r="CT612" s="2867"/>
      <c r="CU612" s="2867"/>
      <c r="CV612" s="2867"/>
      <c r="CW612" s="2867"/>
    </row>
    <row r="613" spans="1:101">
      <c r="A613" s="2867"/>
      <c r="B613" s="2867"/>
      <c r="C613" s="2867"/>
      <c r="D613" s="2867"/>
      <c r="E613" s="2867"/>
      <c r="F613" s="2867"/>
      <c r="G613" s="2867"/>
      <c r="H613" s="2867"/>
      <c r="I613" s="2867"/>
      <c r="J613" s="2867"/>
      <c r="K613" s="2867"/>
      <c r="L613" s="2867"/>
      <c r="M613" s="2867"/>
      <c r="O613" s="2867"/>
      <c r="P613" s="2867"/>
      <c r="Q613" s="2867"/>
      <c r="R613" s="2867"/>
      <c r="S613" s="2867"/>
      <c r="T613" s="2867"/>
      <c r="U613" s="2867"/>
      <c r="V613" s="2867"/>
      <c r="W613" s="2867"/>
      <c r="X613" s="2867"/>
      <c r="Y613" s="2867"/>
      <c r="Z613" s="2867"/>
      <c r="AA613" s="2867"/>
      <c r="AB613" s="2867"/>
      <c r="AC613" s="2867"/>
      <c r="AD613" s="2867"/>
      <c r="AE613" s="2867"/>
      <c r="AF613" s="2867"/>
      <c r="AG613" s="2867"/>
      <c r="AH613" s="2867"/>
      <c r="AI613" s="2867"/>
      <c r="AJ613" s="2867"/>
      <c r="AK613" s="2867"/>
      <c r="AL613" s="2867"/>
      <c r="AM613" s="2867"/>
      <c r="AN613" s="2867"/>
      <c r="AO613" s="2867"/>
      <c r="AP613" s="2867"/>
      <c r="AQ613" s="2867"/>
      <c r="AR613" s="2867"/>
      <c r="AS613" s="2867"/>
      <c r="AT613" s="2867"/>
      <c r="AU613" s="2867"/>
      <c r="AV613" s="2867"/>
      <c r="AW613" s="2867"/>
      <c r="AX613" s="2867"/>
      <c r="AY613" s="2867"/>
      <c r="AZ613" s="2867"/>
      <c r="BA613" s="2867"/>
      <c r="BB613" s="2867"/>
      <c r="BC613" s="2867"/>
      <c r="BD613" s="2867"/>
      <c r="BE613" s="2867"/>
      <c r="BF613" s="2867"/>
      <c r="BG613" s="2867"/>
      <c r="BH613" s="2867"/>
      <c r="BI613" s="2867"/>
      <c r="BJ613" s="2867"/>
      <c r="BK613" s="2867"/>
      <c r="BL613" s="2867"/>
      <c r="BM613" s="2867"/>
      <c r="BN613" s="2867"/>
      <c r="BO613" s="2867"/>
      <c r="BP613" s="2867"/>
      <c r="BQ613" s="2867"/>
      <c r="BR613" s="2867"/>
      <c r="BS613" s="2867"/>
      <c r="BT613" s="2867"/>
      <c r="BU613" s="2867"/>
      <c r="BV613" s="2867"/>
      <c r="BW613" s="2867"/>
      <c r="BX613" s="2867"/>
      <c r="BY613" s="2867"/>
      <c r="BZ613" s="2867"/>
      <c r="CA613" s="2867"/>
      <c r="CB613" s="2867"/>
      <c r="CC613" s="2867"/>
      <c r="CD613" s="2867"/>
      <c r="CE613" s="2867"/>
      <c r="CF613" s="2867"/>
      <c r="CG613" s="2867"/>
      <c r="CH613" s="2867"/>
      <c r="CI613" s="2867"/>
      <c r="CJ613" s="2867"/>
      <c r="CK613" s="2867"/>
      <c r="CL613" s="2867"/>
      <c r="CM613" s="2867"/>
      <c r="CN613" s="2867"/>
      <c r="CO613" s="2867"/>
      <c r="CP613" s="2867"/>
      <c r="CQ613" s="2867"/>
      <c r="CR613" s="2867"/>
      <c r="CS613" s="2867"/>
      <c r="CT613" s="2867"/>
      <c r="CU613" s="2867"/>
      <c r="CV613" s="2867"/>
      <c r="CW613" s="2867"/>
    </row>
    <row r="614" spans="1:101">
      <c r="A614" s="2867"/>
      <c r="B614" s="2867"/>
      <c r="C614" s="2867"/>
      <c r="D614" s="2867"/>
      <c r="E614" s="2867"/>
      <c r="F614" s="2867"/>
      <c r="G614" s="2867"/>
      <c r="H614" s="2867"/>
      <c r="I614" s="2867"/>
      <c r="J614" s="2867"/>
      <c r="K614" s="2867"/>
      <c r="L614" s="2867"/>
      <c r="M614" s="2867"/>
      <c r="O614" s="2867"/>
      <c r="P614" s="2867"/>
      <c r="Q614" s="2867"/>
      <c r="R614" s="2867"/>
      <c r="S614" s="2867"/>
      <c r="T614" s="2867"/>
      <c r="U614" s="2867"/>
      <c r="V614" s="2867"/>
      <c r="W614" s="2867"/>
      <c r="X614" s="2867"/>
      <c r="Y614" s="2867"/>
      <c r="Z614" s="2867"/>
      <c r="AA614" s="2867"/>
      <c r="AB614" s="2867"/>
      <c r="AC614" s="2867"/>
      <c r="AD614" s="2867"/>
      <c r="AE614" s="2867"/>
      <c r="AF614" s="2867"/>
      <c r="AG614" s="2867"/>
      <c r="AH614" s="2867"/>
      <c r="AI614" s="2867"/>
      <c r="AJ614" s="2867"/>
      <c r="AK614" s="2867"/>
      <c r="AL614" s="2867"/>
      <c r="AM614" s="2867"/>
      <c r="AN614" s="2867"/>
      <c r="AO614" s="2867"/>
      <c r="AP614" s="2867"/>
      <c r="AQ614" s="2867"/>
      <c r="AR614" s="2867"/>
      <c r="AS614" s="2867"/>
      <c r="AT614" s="2867"/>
      <c r="AU614" s="2867"/>
      <c r="AV614" s="2867"/>
      <c r="AW614" s="2867"/>
      <c r="AX614" s="2867"/>
      <c r="AY614" s="2867"/>
      <c r="AZ614" s="2867"/>
      <c r="BA614" s="2867"/>
      <c r="BB614" s="2867"/>
      <c r="BC614" s="2867"/>
      <c r="BD614" s="2867"/>
      <c r="BE614" s="2867"/>
      <c r="BF614" s="2867"/>
      <c r="BG614" s="2867"/>
      <c r="BH614" s="2867"/>
      <c r="BI614" s="2867"/>
      <c r="BJ614" s="2867"/>
      <c r="BK614" s="2867"/>
      <c r="BL614" s="2867"/>
      <c r="BM614" s="2867"/>
      <c r="BN614" s="2867"/>
      <c r="BO614" s="2867"/>
      <c r="BP614" s="2867"/>
      <c r="BQ614" s="2867"/>
      <c r="BR614" s="2867"/>
      <c r="BS614" s="2867"/>
      <c r="BT614" s="2867"/>
      <c r="BU614" s="2867"/>
      <c r="BV614" s="2867"/>
      <c r="BW614" s="2867"/>
      <c r="BX614" s="2867"/>
      <c r="BY614" s="2867"/>
      <c r="BZ614" s="2867"/>
      <c r="CA614" s="2867"/>
      <c r="CB614" s="2867"/>
      <c r="CC614" s="2867"/>
      <c r="CD614" s="2867"/>
      <c r="CE614" s="2867"/>
      <c r="CF614" s="2867"/>
      <c r="CG614" s="2867"/>
      <c r="CH614" s="2867"/>
      <c r="CI614" s="2867"/>
      <c r="CJ614" s="2867"/>
      <c r="CK614" s="2867"/>
      <c r="CL614" s="2867"/>
      <c r="CM614" s="2867"/>
      <c r="CN614" s="2867"/>
      <c r="CO614" s="2867"/>
      <c r="CP614" s="2867"/>
      <c r="CQ614" s="2867"/>
      <c r="CR614" s="2867"/>
      <c r="CS614" s="2867"/>
      <c r="CT614" s="2867"/>
      <c r="CU614" s="2867"/>
      <c r="CV614" s="2867"/>
      <c r="CW614" s="2867"/>
    </row>
    <row r="615" spans="1:101">
      <c r="A615" s="2867"/>
      <c r="B615" s="2867"/>
      <c r="C615" s="2867"/>
      <c r="D615" s="2867"/>
      <c r="E615" s="2867"/>
      <c r="F615" s="2867"/>
      <c r="G615" s="2867"/>
      <c r="H615" s="2867"/>
      <c r="I615" s="2867"/>
      <c r="J615" s="2867"/>
      <c r="K615" s="2867"/>
      <c r="L615" s="2867"/>
      <c r="M615" s="2867"/>
      <c r="O615" s="2867"/>
      <c r="P615" s="2867"/>
      <c r="Q615" s="2867"/>
      <c r="R615" s="2867"/>
      <c r="S615" s="2867"/>
      <c r="T615" s="2867"/>
      <c r="U615" s="2867"/>
      <c r="V615" s="2867"/>
      <c r="W615" s="2867"/>
      <c r="X615" s="2867"/>
      <c r="Y615" s="2867"/>
      <c r="Z615" s="2867"/>
      <c r="AA615" s="2867"/>
      <c r="AB615" s="2867"/>
      <c r="AC615" s="2867"/>
      <c r="AD615" s="2867"/>
      <c r="AE615" s="2867"/>
      <c r="AF615" s="2867"/>
      <c r="AG615" s="2867"/>
      <c r="AH615" s="2867"/>
      <c r="AI615" s="2867"/>
      <c r="AJ615" s="2867"/>
      <c r="AK615" s="2867"/>
      <c r="AL615" s="2867"/>
      <c r="AM615" s="2867"/>
      <c r="AN615" s="2867"/>
      <c r="AO615" s="2867"/>
      <c r="AP615" s="2867"/>
      <c r="AQ615" s="2867"/>
      <c r="AR615" s="2867"/>
      <c r="AS615" s="2867"/>
      <c r="AT615" s="2867"/>
      <c r="AU615" s="2867"/>
      <c r="AV615" s="2867"/>
      <c r="AW615" s="2867"/>
      <c r="AX615" s="2867"/>
      <c r="AY615" s="2867"/>
      <c r="AZ615" s="2867"/>
      <c r="BA615" s="2867"/>
      <c r="BB615" s="2867"/>
      <c r="BC615" s="2867"/>
      <c r="BD615" s="2867"/>
      <c r="BE615" s="2867"/>
      <c r="BF615" s="2867"/>
      <c r="BG615" s="2867"/>
      <c r="BH615" s="2867"/>
      <c r="BI615" s="2867"/>
      <c r="BJ615" s="2867"/>
      <c r="BK615" s="2867"/>
      <c r="BL615" s="2867"/>
      <c r="BM615" s="2867"/>
      <c r="BN615" s="2867"/>
      <c r="BO615" s="2867"/>
      <c r="BP615" s="2867"/>
      <c r="BQ615" s="2867"/>
      <c r="BR615" s="2867"/>
      <c r="BS615" s="2867"/>
      <c r="BT615" s="2867"/>
      <c r="BU615" s="2867"/>
      <c r="BV615" s="2867"/>
      <c r="BW615" s="2867"/>
      <c r="BX615" s="2867"/>
      <c r="BY615" s="2867"/>
      <c r="BZ615" s="2867"/>
      <c r="CA615" s="2867"/>
      <c r="CB615" s="2867"/>
      <c r="CC615" s="2867"/>
      <c r="CD615" s="2867"/>
      <c r="CE615" s="2867"/>
      <c r="CF615" s="2867"/>
      <c r="CG615" s="2867"/>
      <c r="CH615" s="2867"/>
      <c r="CI615" s="2867"/>
      <c r="CJ615" s="2867"/>
      <c r="CK615" s="2867"/>
      <c r="CL615" s="2867"/>
      <c r="CM615" s="2867"/>
      <c r="CN615" s="2867"/>
      <c r="CO615" s="2867"/>
      <c r="CP615" s="2867"/>
      <c r="CQ615" s="2867"/>
      <c r="CR615" s="2867"/>
      <c r="CS615" s="2867"/>
      <c r="CT615" s="2867"/>
      <c r="CU615" s="2867"/>
      <c r="CV615" s="2867"/>
      <c r="CW615" s="2867"/>
    </row>
    <row r="616" spans="1:101">
      <c r="A616" s="2867"/>
      <c r="B616" s="2867"/>
      <c r="C616" s="2867"/>
      <c r="D616" s="2867"/>
      <c r="E616" s="2867"/>
      <c r="F616" s="2867"/>
      <c r="G616" s="2867"/>
      <c r="H616" s="2867"/>
      <c r="I616" s="2867"/>
      <c r="J616" s="2867"/>
      <c r="K616" s="2867"/>
      <c r="L616" s="2867"/>
      <c r="M616" s="2867"/>
      <c r="O616" s="2867"/>
      <c r="P616" s="2867"/>
      <c r="Q616" s="2867"/>
      <c r="R616" s="2867"/>
      <c r="S616" s="2867"/>
      <c r="T616" s="2867"/>
      <c r="U616" s="2867"/>
      <c r="V616" s="2867"/>
      <c r="W616" s="2867"/>
      <c r="X616" s="2867"/>
      <c r="Y616" s="2867"/>
      <c r="Z616" s="2867"/>
      <c r="AA616" s="2867"/>
      <c r="AB616" s="2867"/>
      <c r="AC616" s="2867"/>
      <c r="AD616" s="2867"/>
      <c r="AE616" s="2867"/>
      <c r="AF616" s="2867"/>
      <c r="AG616" s="2867"/>
      <c r="AH616" s="2867"/>
      <c r="AI616" s="2867"/>
      <c r="AJ616" s="2867"/>
      <c r="AK616" s="2867"/>
      <c r="AL616" s="2867"/>
      <c r="AM616" s="2867"/>
      <c r="AN616" s="2867"/>
      <c r="AO616" s="2867"/>
      <c r="AP616" s="2867"/>
      <c r="AQ616" s="2867"/>
      <c r="AR616" s="2867"/>
      <c r="AS616" s="2867"/>
      <c r="AT616" s="2867"/>
      <c r="AU616" s="2867"/>
      <c r="AV616" s="2867"/>
      <c r="AW616" s="2867"/>
      <c r="AX616" s="2867"/>
      <c r="AY616" s="2867"/>
      <c r="AZ616" s="2867"/>
      <c r="BA616" s="2867"/>
      <c r="BB616" s="2867"/>
      <c r="BC616" s="2867"/>
      <c r="BD616" s="2867"/>
      <c r="BE616" s="2867"/>
      <c r="BF616" s="2867"/>
      <c r="BG616" s="2867"/>
      <c r="BH616" s="2867"/>
      <c r="BI616" s="2867"/>
      <c r="BJ616" s="2867"/>
      <c r="BK616" s="2867"/>
      <c r="BL616" s="2867"/>
      <c r="BM616" s="2867"/>
      <c r="BN616" s="2867"/>
      <c r="BO616" s="2867"/>
      <c r="BP616" s="2867"/>
      <c r="BQ616" s="2867"/>
      <c r="BR616" s="2867"/>
      <c r="BS616" s="2867"/>
      <c r="BT616" s="2867"/>
      <c r="BU616" s="2867"/>
      <c r="BV616" s="2867"/>
      <c r="BW616" s="2867"/>
      <c r="BX616" s="2867"/>
      <c r="BY616" s="2867"/>
      <c r="BZ616" s="2867"/>
      <c r="CA616" s="2867"/>
      <c r="CB616" s="2867"/>
      <c r="CC616" s="2867"/>
      <c r="CD616" s="2867"/>
      <c r="CE616" s="2867"/>
      <c r="CF616" s="2867"/>
      <c r="CG616" s="2867"/>
      <c r="CH616" s="2867"/>
      <c r="CI616" s="2867"/>
      <c r="CJ616" s="2867"/>
      <c r="CK616" s="2867"/>
      <c r="CL616" s="2867"/>
      <c r="CM616" s="2867"/>
      <c r="CN616" s="2867"/>
      <c r="CO616" s="2867"/>
      <c r="CP616" s="2867"/>
      <c r="CQ616" s="2867"/>
      <c r="CR616" s="2867"/>
      <c r="CS616" s="2867"/>
      <c r="CT616" s="2867"/>
      <c r="CU616" s="2867"/>
      <c r="CV616" s="2867"/>
      <c r="CW616" s="2867"/>
    </row>
    <row r="617" spans="1:101">
      <c r="A617" s="2867"/>
      <c r="B617" s="2867"/>
      <c r="C617" s="2867"/>
      <c r="D617" s="2867"/>
      <c r="E617" s="2867"/>
      <c r="F617" s="2867"/>
      <c r="G617" s="2867"/>
      <c r="H617" s="2867"/>
      <c r="I617" s="2867"/>
      <c r="J617" s="2867"/>
      <c r="K617" s="2867"/>
      <c r="L617" s="2867"/>
      <c r="M617" s="2867"/>
      <c r="O617" s="2867"/>
      <c r="P617" s="2867"/>
      <c r="Q617" s="2867"/>
      <c r="R617" s="2867"/>
      <c r="S617" s="2867"/>
      <c r="T617" s="2867"/>
      <c r="U617" s="2867"/>
      <c r="V617" s="2867"/>
      <c r="W617" s="2867"/>
      <c r="X617" s="2867"/>
      <c r="Y617" s="2867"/>
      <c r="Z617" s="2867"/>
      <c r="AA617" s="2867"/>
      <c r="AB617" s="2867"/>
      <c r="AC617" s="2867"/>
      <c r="AD617" s="2867"/>
      <c r="AE617" s="2867"/>
      <c r="AF617" s="2867"/>
      <c r="AG617" s="2867"/>
      <c r="AH617" s="2867"/>
      <c r="AI617" s="2867"/>
      <c r="AJ617" s="2867"/>
      <c r="AK617" s="2867"/>
      <c r="AL617" s="2867"/>
      <c r="AM617" s="2867"/>
      <c r="AN617" s="2867"/>
      <c r="AO617" s="2867"/>
      <c r="AP617" s="2867"/>
      <c r="AQ617" s="2867"/>
      <c r="AR617" s="2867"/>
      <c r="AS617" s="2867"/>
      <c r="AT617" s="2867"/>
      <c r="AU617" s="2867"/>
      <c r="AV617" s="2867"/>
      <c r="AW617" s="2867"/>
      <c r="AX617" s="2867"/>
      <c r="AY617" s="2867"/>
      <c r="AZ617" s="2867"/>
      <c r="BA617" s="2867"/>
      <c r="BB617" s="2867"/>
      <c r="BC617" s="2867"/>
      <c r="BD617" s="2867"/>
      <c r="BE617" s="2867"/>
      <c r="BF617" s="2867"/>
      <c r="BG617" s="2867"/>
      <c r="BH617" s="2867"/>
      <c r="BI617" s="2867"/>
      <c r="BJ617" s="2867"/>
      <c r="BK617" s="2867"/>
      <c r="BL617" s="2867"/>
      <c r="BM617" s="2867"/>
      <c r="BN617" s="2867"/>
      <c r="BO617" s="2867"/>
      <c r="BP617" s="2867"/>
      <c r="BQ617" s="2867"/>
      <c r="BR617" s="2867"/>
      <c r="BS617" s="2867"/>
      <c r="BT617" s="2867"/>
      <c r="BU617" s="2867"/>
      <c r="BV617" s="2867"/>
      <c r="BW617" s="2867"/>
      <c r="BX617" s="2867"/>
      <c r="BY617" s="2867"/>
      <c r="BZ617" s="2867"/>
      <c r="CA617" s="2867"/>
      <c r="CB617" s="2867"/>
      <c r="CC617" s="2867"/>
      <c r="CD617" s="2867"/>
      <c r="CE617" s="2867"/>
      <c r="CF617" s="2867"/>
      <c r="CG617" s="2867"/>
      <c r="CH617" s="2867"/>
      <c r="CI617" s="2867"/>
      <c r="CJ617" s="2867"/>
      <c r="CK617" s="2867"/>
      <c r="CL617" s="2867"/>
      <c r="CM617" s="2867"/>
      <c r="CN617" s="2867"/>
      <c r="CO617" s="2867"/>
      <c r="CP617" s="2867"/>
      <c r="CQ617" s="2867"/>
      <c r="CR617" s="2867"/>
      <c r="CS617" s="2867"/>
      <c r="CT617" s="2867"/>
      <c r="CU617" s="2867"/>
      <c r="CV617" s="2867"/>
      <c r="CW617" s="2867"/>
    </row>
    <row r="618" spans="1:101">
      <c r="A618" s="2867"/>
      <c r="B618" s="2867"/>
      <c r="C618" s="2867"/>
      <c r="D618" s="2867"/>
      <c r="E618" s="2867"/>
      <c r="F618" s="2867"/>
      <c r="G618" s="2867"/>
      <c r="H618" s="2867"/>
      <c r="I618" s="2867"/>
      <c r="J618" s="2867"/>
      <c r="K618" s="2867"/>
      <c r="L618" s="2867"/>
      <c r="M618" s="2867"/>
      <c r="O618" s="2867"/>
      <c r="P618" s="2867"/>
      <c r="Q618" s="2867"/>
      <c r="R618" s="2867"/>
      <c r="S618" s="2867"/>
      <c r="T618" s="2867"/>
      <c r="U618" s="2867"/>
      <c r="V618" s="2867"/>
      <c r="W618" s="2867"/>
      <c r="X618" s="2867"/>
      <c r="Y618" s="2867"/>
      <c r="Z618" s="2867"/>
      <c r="AA618" s="2867"/>
      <c r="AB618" s="2867"/>
      <c r="AC618" s="2867"/>
      <c r="AD618" s="2867"/>
      <c r="AE618" s="2867"/>
      <c r="AF618" s="2867"/>
      <c r="AG618" s="2867"/>
      <c r="AH618" s="2867"/>
      <c r="AI618" s="2867"/>
      <c r="AJ618" s="2867"/>
      <c r="AK618" s="2867"/>
      <c r="AL618" s="2867"/>
      <c r="AM618" s="2867"/>
      <c r="AN618" s="2867"/>
      <c r="AO618" s="2867"/>
      <c r="AP618" s="2867"/>
      <c r="AQ618" s="2867"/>
      <c r="AR618" s="2867"/>
      <c r="AS618" s="2867"/>
      <c r="AT618" s="2867"/>
      <c r="AU618" s="2867"/>
      <c r="AV618" s="2867"/>
      <c r="AW618" s="2867"/>
      <c r="AX618" s="2867"/>
      <c r="AY618" s="2867"/>
      <c r="AZ618" s="2867"/>
      <c r="BA618" s="2867"/>
      <c r="BB618" s="2867"/>
      <c r="BC618" s="2867"/>
      <c r="BD618" s="2867"/>
      <c r="BE618" s="2867"/>
      <c r="BF618" s="2867"/>
      <c r="BG618" s="2867"/>
      <c r="BH618" s="2867"/>
      <c r="BI618" s="2867"/>
      <c r="BJ618" s="2867"/>
      <c r="BK618" s="2867"/>
      <c r="BL618" s="2867"/>
      <c r="BM618" s="2867"/>
      <c r="BN618" s="2867"/>
      <c r="BO618" s="2867"/>
      <c r="BP618" s="2867"/>
      <c r="BQ618" s="2867"/>
      <c r="BR618" s="2867"/>
      <c r="BS618" s="2867"/>
      <c r="BT618" s="2867"/>
      <c r="BU618" s="2867"/>
      <c r="BV618" s="2867"/>
      <c r="BW618" s="2867"/>
      <c r="BX618" s="2867"/>
      <c r="BY618" s="2867"/>
      <c r="BZ618" s="2867"/>
      <c r="CA618" s="2867"/>
      <c r="CB618" s="2867"/>
      <c r="CC618" s="2867"/>
      <c r="CD618" s="2867"/>
      <c r="CE618" s="2867"/>
      <c r="CF618" s="2867"/>
      <c r="CG618" s="2867"/>
      <c r="CH618" s="2867"/>
      <c r="CI618" s="2867"/>
      <c r="CJ618" s="2867"/>
      <c r="CK618" s="2867"/>
      <c r="CL618" s="2867"/>
      <c r="CM618" s="2867"/>
      <c r="CN618" s="2867"/>
      <c r="CO618" s="2867"/>
      <c r="CP618" s="2867"/>
      <c r="CQ618" s="2867"/>
      <c r="CR618" s="2867"/>
      <c r="CS618" s="2867"/>
      <c r="CT618" s="2867"/>
      <c r="CU618" s="2867"/>
      <c r="CV618" s="2867"/>
      <c r="CW618" s="2867"/>
    </row>
    <row r="619" spans="1:101">
      <c r="A619" s="2867"/>
      <c r="B619" s="2867"/>
      <c r="C619" s="2867"/>
      <c r="D619" s="2867"/>
      <c r="E619" s="2867"/>
      <c r="F619" s="2867"/>
      <c r="G619" s="2867"/>
      <c r="H619" s="2867"/>
      <c r="I619" s="2867"/>
      <c r="J619" s="2867"/>
      <c r="K619" s="2867"/>
      <c r="L619" s="2867"/>
      <c r="M619" s="2867"/>
      <c r="O619" s="2867"/>
      <c r="P619" s="2867"/>
      <c r="Q619" s="2867"/>
      <c r="R619" s="2867"/>
      <c r="S619" s="2867"/>
      <c r="T619" s="2867"/>
      <c r="U619" s="2867"/>
      <c r="V619" s="2867"/>
      <c r="W619" s="2867"/>
      <c r="X619" s="2867"/>
      <c r="Y619" s="2867"/>
      <c r="Z619" s="2867"/>
      <c r="AA619" s="2867"/>
      <c r="AB619" s="2867"/>
      <c r="AC619" s="2867"/>
      <c r="AD619" s="2867"/>
      <c r="AE619" s="2867"/>
      <c r="AF619" s="2867"/>
      <c r="AG619" s="2867"/>
      <c r="AH619" s="2867"/>
      <c r="AI619" s="2867"/>
      <c r="AJ619" s="2867"/>
      <c r="AK619" s="2867"/>
      <c r="AL619" s="2867"/>
      <c r="AM619" s="2867"/>
      <c r="AN619" s="2867"/>
      <c r="AO619" s="2867"/>
      <c r="AP619" s="2867"/>
      <c r="AQ619" s="2867"/>
      <c r="AR619" s="2867"/>
      <c r="AS619" s="2867"/>
      <c r="AT619" s="2867"/>
      <c r="AU619" s="2867"/>
      <c r="AV619" s="2867"/>
      <c r="AW619" s="2867"/>
      <c r="AX619" s="2867"/>
      <c r="AY619" s="2867"/>
      <c r="AZ619" s="2867"/>
      <c r="BA619" s="2867"/>
      <c r="BB619" s="2867"/>
      <c r="BC619" s="2867"/>
      <c r="BD619" s="2867"/>
      <c r="BE619" s="2867"/>
      <c r="BF619" s="2867"/>
      <c r="BG619" s="2867"/>
      <c r="BH619" s="2867"/>
      <c r="BI619" s="2867"/>
      <c r="BJ619" s="2867"/>
      <c r="BK619" s="2867"/>
      <c r="BL619" s="2867"/>
      <c r="BM619" s="2867"/>
      <c r="BN619" s="2867"/>
      <c r="BO619" s="2867"/>
      <c r="BP619" s="2867"/>
      <c r="BQ619" s="2867"/>
      <c r="BR619" s="2867"/>
      <c r="BS619" s="2867"/>
      <c r="BT619" s="2867"/>
      <c r="BU619" s="2867"/>
      <c r="BV619" s="2867"/>
      <c r="BW619" s="2867"/>
      <c r="BX619" s="2867"/>
      <c r="BY619" s="2867"/>
      <c r="BZ619" s="2867"/>
      <c r="CA619" s="2867"/>
      <c r="CB619" s="2867"/>
      <c r="CC619" s="2867"/>
      <c r="CD619" s="2867"/>
      <c r="CE619" s="2867"/>
      <c r="CF619" s="2867"/>
      <c r="CG619" s="2867"/>
      <c r="CH619" s="2867"/>
      <c r="CI619" s="2867"/>
      <c r="CJ619" s="2867"/>
      <c r="CK619" s="2867"/>
      <c r="CL619" s="2867"/>
      <c r="CM619" s="2867"/>
      <c r="CN619" s="2867"/>
      <c r="CO619" s="2867"/>
      <c r="CP619" s="2867"/>
      <c r="CQ619" s="2867"/>
      <c r="CR619" s="2867"/>
      <c r="CS619" s="2867"/>
      <c r="CT619" s="2867"/>
      <c r="CU619" s="2867"/>
      <c r="CV619" s="2867"/>
      <c r="CW619" s="2867"/>
    </row>
    <row r="620" spans="1:101">
      <c r="A620" s="2867"/>
      <c r="B620" s="2867"/>
      <c r="C620" s="2867"/>
      <c r="D620" s="2867"/>
      <c r="E620" s="2867"/>
      <c r="F620" s="2867"/>
      <c r="G620" s="2867"/>
      <c r="H620" s="2867"/>
      <c r="I620" s="2867"/>
      <c r="J620" s="2867"/>
      <c r="K620" s="2867"/>
      <c r="L620" s="2867"/>
      <c r="M620" s="2867"/>
      <c r="O620" s="2867"/>
      <c r="P620" s="2867"/>
      <c r="Q620" s="2867"/>
      <c r="R620" s="2867"/>
      <c r="S620" s="2867"/>
      <c r="T620" s="2867"/>
      <c r="U620" s="2867"/>
      <c r="V620" s="2867"/>
      <c r="W620" s="2867"/>
      <c r="X620" s="2867"/>
      <c r="Y620" s="2867"/>
      <c r="Z620" s="2867"/>
      <c r="AA620" s="2867"/>
      <c r="AB620" s="2867"/>
      <c r="AC620" s="2867"/>
      <c r="AD620" s="2867"/>
      <c r="AE620" s="2867"/>
      <c r="AF620" s="2867"/>
      <c r="AG620" s="2867"/>
      <c r="AH620" s="2867"/>
      <c r="AI620" s="2867"/>
      <c r="AJ620" s="2867"/>
      <c r="AK620" s="2867"/>
      <c r="AL620" s="2867"/>
      <c r="AM620" s="2867"/>
      <c r="AN620" s="2867"/>
      <c r="AO620" s="2867"/>
      <c r="AP620" s="2867"/>
      <c r="AQ620" s="2867"/>
      <c r="AR620" s="2867"/>
      <c r="AS620" s="2867"/>
      <c r="AT620" s="2867"/>
      <c r="AU620" s="2867"/>
      <c r="AV620" s="2867"/>
      <c r="AW620" s="2867"/>
      <c r="AX620" s="2867"/>
      <c r="AY620" s="2867"/>
      <c r="AZ620" s="2867"/>
      <c r="BA620" s="2867"/>
      <c r="BB620" s="2867"/>
      <c r="BC620" s="2867"/>
      <c r="BD620" s="2867"/>
      <c r="BE620" s="2867"/>
      <c r="BF620" s="2867"/>
      <c r="BG620" s="2867"/>
      <c r="BH620" s="2867"/>
      <c r="BI620" s="2867"/>
      <c r="BJ620" s="2867"/>
      <c r="BK620" s="2867"/>
      <c r="BL620" s="2867"/>
      <c r="BM620" s="2867"/>
      <c r="BN620" s="2867"/>
      <c r="BO620" s="2867"/>
      <c r="BP620" s="2867"/>
      <c r="BQ620" s="2867"/>
      <c r="BR620" s="2867"/>
      <c r="BS620" s="2867"/>
      <c r="BT620" s="2867"/>
      <c r="BU620" s="2867"/>
      <c r="BV620" s="2867"/>
      <c r="BW620" s="2867"/>
      <c r="BX620" s="2867"/>
      <c r="BY620" s="2867"/>
      <c r="BZ620" s="2867"/>
      <c r="CA620" s="2867"/>
      <c r="CB620" s="2867"/>
      <c r="CC620" s="2867"/>
      <c r="CD620" s="2867"/>
      <c r="CE620" s="2867"/>
      <c r="CF620" s="2867"/>
      <c r="CG620" s="2867"/>
      <c r="CH620" s="2867"/>
      <c r="CI620" s="2867"/>
      <c r="CJ620" s="2867"/>
      <c r="CK620" s="2867"/>
      <c r="CL620" s="2867"/>
      <c r="CM620" s="2867"/>
      <c r="CN620" s="2867"/>
      <c r="CO620" s="2867"/>
      <c r="CP620" s="2867"/>
      <c r="CQ620" s="2867"/>
      <c r="CR620" s="2867"/>
      <c r="CS620" s="2867"/>
      <c r="CT620" s="2867"/>
      <c r="CU620" s="2867"/>
      <c r="CV620" s="2867"/>
      <c r="CW620" s="2867"/>
    </row>
    <row r="621" spans="1:101">
      <c r="A621" s="2867"/>
      <c r="B621" s="2867"/>
      <c r="C621" s="2867"/>
      <c r="D621" s="2867"/>
      <c r="E621" s="2867"/>
      <c r="F621" s="2867"/>
      <c r="G621" s="2867"/>
      <c r="H621" s="2867"/>
      <c r="I621" s="2867"/>
      <c r="J621" s="2867"/>
      <c r="K621" s="2867"/>
      <c r="L621" s="2867"/>
      <c r="M621" s="2867"/>
      <c r="O621" s="2867"/>
      <c r="P621" s="2867"/>
      <c r="Q621" s="2867"/>
      <c r="R621" s="2867"/>
      <c r="S621" s="2867"/>
      <c r="T621" s="2867"/>
      <c r="U621" s="2867"/>
      <c r="V621" s="2867"/>
      <c r="W621" s="2867"/>
      <c r="X621" s="2867"/>
      <c r="Y621" s="2867"/>
      <c r="Z621" s="2867"/>
      <c r="AA621" s="2867"/>
      <c r="AB621" s="2867"/>
      <c r="AC621" s="2867"/>
      <c r="AD621" s="2867"/>
      <c r="AE621" s="2867"/>
      <c r="AF621" s="2867"/>
      <c r="AG621" s="2867"/>
      <c r="AH621" s="2867"/>
      <c r="AI621" s="2867"/>
      <c r="AJ621" s="2867"/>
      <c r="AK621" s="2867"/>
      <c r="AL621" s="2867"/>
      <c r="AM621" s="2867"/>
      <c r="AN621" s="2867"/>
      <c r="AO621" s="2867"/>
      <c r="AP621" s="2867"/>
      <c r="AQ621" s="2867"/>
      <c r="AR621" s="2867"/>
      <c r="AS621" s="2867"/>
      <c r="AT621" s="2867"/>
      <c r="AU621" s="2867"/>
      <c r="AV621" s="2867"/>
      <c r="AW621" s="2867"/>
      <c r="AX621" s="2867"/>
      <c r="AY621" s="2867"/>
      <c r="AZ621" s="2867"/>
      <c r="BA621" s="2867"/>
      <c r="BB621" s="2867"/>
      <c r="BC621" s="2867"/>
      <c r="BD621" s="2867"/>
      <c r="BE621" s="2867"/>
      <c r="BF621" s="2867"/>
      <c r="BG621" s="2867"/>
      <c r="BH621" s="2867"/>
      <c r="BI621" s="2867"/>
      <c r="BJ621" s="2867"/>
      <c r="BK621" s="2867"/>
      <c r="BL621" s="2867"/>
      <c r="BM621" s="2867"/>
      <c r="BN621" s="2867"/>
      <c r="BO621" s="2867"/>
      <c r="BP621" s="2867"/>
      <c r="BQ621" s="2867"/>
      <c r="BR621" s="2867"/>
      <c r="BS621" s="2867"/>
      <c r="BT621" s="2867"/>
      <c r="BU621" s="2867"/>
      <c r="BV621" s="2867"/>
      <c r="BW621" s="2867"/>
      <c r="BX621" s="2867"/>
      <c r="BY621" s="2867"/>
      <c r="BZ621" s="2867"/>
      <c r="CA621" s="2867"/>
      <c r="CB621" s="2867"/>
      <c r="CC621" s="2867"/>
      <c r="CD621" s="2867"/>
      <c r="CE621" s="2867"/>
      <c r="CF621" s="2867"/>
      <c r="CG621" s="2867"/>
      <c r="CH621" s="2867"/>
      <c r="CI621" s="2867"/>
      <c r="CJ621" s="2867"/>
      <c r="CK621" s="2867"/>
      <c r="CL621" s="2867"/>
      <c r="CM621" s="2867"/>
      <c r="CN621" s="2867"/>
      <c r="CO621" s="2867"/>
      <c r="CP621" s="2867"/>
      <c r="CQ621" s="2867"/>
      <c r="CR621" s="2867"/>
      <c r="CS621" s="2867"/>
      <c r="CT621" s="2867"/>
      <c r="CU621" s="2867"/>
      <c r="CV621" s="2867"/>
      <c r="CW621" s="2867"/>
    </row>
    <row r="622" spans="1:101">
      <c r="A622" s="2867"/>
      <c r="B622" s="2867"/>
      <c r="C622" s="2867"/>
      <c r="D622" s="2867"/>
      <c r="E622" s="2867"/>
      <c r="F622" s="2867"/>
      <c r="G622" s="2867"/>
      <c r="H622" s="2867"/>
      <c r="I622" s="2867"/>
      <c r="J622" s="2867"/>
      <c r="K622" s="2867"/>
      <c r="L622" s="2867"/>
      <c r="M622" s="2867"/>
      <c r="O622" s="2867"/>
      <c r="P622" s="2867"/>
      <c r="Q622" s="2867"/>
      <c r="R622" s="2867"/>
      <c r="S622" s="2867"/>
      <c r="T622" s="2867"/>
      <c r="U622" s="2867"/>
      <c r="V622" s="2867"/>
      <c r="W622" s="2867"/>
      <c r="X622" s="2867"/>
      <c r="Y622" s="2867"/>
      <c r="Z622" s="2867"/>
      <c r="AA622" s="2867"/>
      <c r="AB622" s="2867"/>
      <c r="AC622" s="2867"/>
      <c r="AD622" s="2867"/>
      <c r="AE622" s="2867"/>
      <c r="AF622" s="2867"/>
      <c r="AG622" s="2867"/>
      <c r="AH622" s="2867"/>
      <c r="AI622" s="2867"/>
      <c r="AJ622" s="2867"/>
      <c r="AK622" s="2867"/>
      <c r="AL622" s="2867"/>
      <c r="AM622" s="2867"/>
      <c r="AN622" s="2867"/>
      <c r="AO622" s="2867"/>
      <c r="AP622" s="2867"/>
      <c r="AQ622" s="2867"/>
      <c r="AR622" s="2867"/>
      <c r="AS622" s="2867"/>
      <c r="AT622" s="2867"/>
      <c r="AU622" s="2867"/>
      <c r="AV622" s="2867"/>
      <c r="AW622" s="2867"/>
      <c r="AX622" s="2867"/>
      <c r="AY622" s="2867"/>
      <c r="AZ622" s="2867"/>
      <c r="BA622" s="2867"/>
      <c r="BB622" s="2867"/>
      <c r="BC622" s="2867"/>
      <c r="BD622" s="2867"/>
      <c r="BE622" s="2867"/>
      <c r="BF622" s="2867"/>
      <c r="BG622" s="2867"/>
      <c r="BH622" s="2867"/>
      <c r="BI622" s="2867"/>
      <c r="BJ622" s="2867"/>
      <c r="BK622" s="2867"/>
      <c r="BL622" s="2867"/>
      <c r="BM622" s="2867"/>
      <c r="BN622" s="2867"/>
      <c r="BO622" s="2867"/>
      <c r="BP622" s="2867"/>
      <c r="BQ622" s="2867"/>
      <c r="BR622" s="2867"/>
      <c r="BS622" s="2867"/>
      <c r="BT622" s="2867"/>
      <c r="BU622" s="2867"/>
      <c r="BV622" s="2867"/>
      <c r="BW622" s="2867"/>
      <c r="BX622" s="2867"/>
      <c r="BY622" s="2867"/>
      <c r="BZ622" s="2867"/>
      <c r="CA622" s="2867"/>
      <c r="CB622" s="2867"/>
      <c r="CC622" s="2867"/>
      <c r="CD622" s="2867"/>
      <c r="CE622" s="2867"/>
      <c r="CF622" s="2867"/>
      <c r="CG622" s="2867"/>
      <c r="CH622" s="2867"/>
      <c r="CI622" s="2867"/>
      <c r="CJ622" s="2867"/>
      <c r="CK622" s="2867"/>
      <c r="CL622" s="2867"/>
      <c r="CM622" s="2867"/>
      <c r="CN622" s="2867"/>
      <c r="CO622" s="2867"/>
      <c r="CP622" s="2867"/>
      <c r="CQ622" s="2867"/>
      <c r="CR622" s="2867"/>
      <c r="CS622" s="2867"/>
      <c r="CT622" s="2867"/>
      <c r="CU622" s="2867"/>
      <c r="CV622" s="2867"/>
      <c r="CW622" s="2867"/>
    </row>
    <row r="623" spans="1:101">
      <c r="A623" s="2867"/>
      <c r="B623" s="2867"/>
      <c r="C623" s="2867"/>
      <c r="D623" s="2867"/>
      <c r="E623" s="2867"/>
      <c r="F623" s="2867"/>
      <c r="G623" s="2867"/>
      <c r="H623" s="2867"/>
      <c r="I623" s="2867"/>
      <c r="J623" s="2867"/>
      <c r="K623" s="2867"/>
      <c r="L623" s="2867"/>
      <c r="M623" s="2867"/>
      <c r="O623" s="2867"/>
      <c r="P623" s="2867"/>
      <c r="Q623" s="2867"/>
      <c r="R623" s="2867"/>
      <c r="S623" s="2867"/>
      <c r="T623" s="2867"/>
      <c r="U623" s="2867"/>
      <c r="V623" s="2867"/>
      <c r="W623" s="2867"/>
      <c r="X623" s="2867"/>
      <c r="Y623" s="2867"/>
      <c r="Z623" s="2867"/>
      <c r="AA623" s="2867"/>
      <c r="AB623" s="2867"/>
      <c r="AC623" s="2867"/>
      <c r="AD623" s="2867"/>
      <c r="AE623" s="2867"/>
      <c r="AF623" s="2867"/>
      <c r="AG623" s="2867"/>
      <c r="AH623" s="2867"/>
      <c r="AI623" s="2867"/>
      <c r="AJ623" s="2867"/>
      <c r="AK623" s="2867"/>
      <c r="AL623" s="2867"/>
      <c r="AM623" s="2867"/>
      <c r="AN623" s="2867"/>
      <c r="AO623" s="2867"/>
      <c r="AP623" s="2867"/>
      <c r="AQ623" s="2867"/>
      <c r="AR623" s="2867"/>
      <c r="AS623" s="2867"/>
      <c r="AT623" s="2867"/>
      <c r="AU623" s="2867"/>
      <c r="AV623" s="2867"/>
      <c r="AW623" s="2867"/>
      <c r="AX623" s="2867"/>
      <c r="AY623" s="2867"/>
      <c r="AZ623" s="2867"/>
      <c r="BA623" s="2867"/>
      <c r="BB623" s="2867"/>
      <c r="BC623" s="2867"/>
      <c r="BD623" s="2867"/>
      <c r="BE623" s="2867"/>
      <c r="BF623" s="2867"/>
      <c r="BG623" s="2867"/>
      <c r="BH623" s="2867"/>
      <c r="BI623" s="2867"/>
      <c r="BJ623" s="2867"/>
      <c r="BK623" s="2867"/>
      <c r="BL623" s="2867"/>
      <c r="BM623" s="2867"/>
      <c r="BN623" s="2867"/>
      <c r="BO623" s="2867"/>
      <c r="BP623" s="2867"/>
      <c r="BQ623" s="2867"/>
      <c r="BR623" s="2867"/>
      <c r="BS623" s="2867"/>
      <c r="BT623" s="2867"/>
      <c r="BU623" s="2867"/>
      <c r="BV623" s="2867"/>
      <c r="BW623" s="2867"/>
      <c r="BX623" s="2867"/>
      <c r="BY623" s="2867"/>
      <c r="BZ623" s="2867"/>
      <c r="CA623" s="2867"/>
      <c r="CB623" s="2867"/>
      <c r="CC623" s="2867"/>
      <c r="CD623" s="2867"/>
      <c r="CE623" s="2867"/>
      <c r="CF623" s="2867"/>
      <c r="CG623" s="2867"/>
      <c r="CH623" s="2867"/>
      <c r="CI623" s="2867"/>
      <c r="CJ623" s="2867"/>
      <c r="CK623" s="2867"/>
      <c r="CL623" s="2867"/>
      <c r="CM623" s="2867"/>
      <c r="CN623" s="2867"/>
      <c r="CO623" s="2867"/>
      <c r="CP623" s="2867"/>
      <c r="CQ623" s="2867"/>
      <c r="CR623" s="2867"/>
      <c r="CS623" s="2867"/>
      <c r="CT623" s="2867"/>
      <c r="CU623" s="2867"/>
      <c r="CV623" s="2867"/>
      <c r="CW623" s="2867"/>
    </row>
    <row r="624" spans="1:101">
      <c r="A624" s="2867"/>
      <c r="B624" s="2867"/>
      <c r="C624" s="2867"/>
      <c r="D624" s="2867"/>
      <c r="E624" s="2867"/>
      <c r="F624" s="2867"/>
      <c r="G624" s="2867"/>
      <c r="H624" s="2867"/>
      <c r="I624" s="2867"/>
      <c r="J624" s="2867"/>
      <c r="K624" s="2867"/>
      <c r="L624" s="2867"/>
      <c r="M624" s="2867"/>
      <c r="O624" s="2867"/>
      <c r="P624" s="2867"/>
      <c r="Q624" s="2867"/>
      <c r="R624" s="2867"/>
      <c r="S624" s="2867"/>
      <c r="T624" s="2867"/>
      <c r="U624" s="2867"/>
      <c r="V624" s="2867"/>
      <c r="W624" s="2867"/>
      <c r="X624" s="2867"/>
      <c r="Y624" s="2867"/>
      <c r="Z624" s="2867"/>
      <c r="AA624" s="2867"/>
      <c r="AB624" s="2867"/>
      <c r="AC624" s="2867"/>
      <c r="AD624" s="2867"/>
      <c r="AE624" s="2867"/>
      <c r="AF624" s="2867"/>
      <c r="AG624" s="2867"/>
      <c r="AH624" s="2867"/>
      <c r="AI624" s="2867"/>
      <c r="AJ624" s="2867"/>
      <c r="AK624" s="2867"/>
      <c r="AL624" s="2867"/>
      <c r="AM624" s="2867"/>
      <c r="AN624" s="2867"/>
      <c r="AO624" s="2867"/>
      <c r="AP624" s="2867"/>
      <c r="AQ624" s="2867"/>
      <c r="AR624" s="2867"/>
      <c r="AS624" s="2867"/>
      <c r="AT624" s="2867"/>
      <c r="AU624" s="2867"/>
      <c r="AV624" s="2867"/>
      <c r="AW624" s="2867"/>
      <c r="AX624" s="2867"/>
      <c r="AY624" s="2867"/>
      <c r="AZ624" s="2867"/>
      <c r="BA624" s="2867"/>
      <c r="BB624" s="2867"/>
      <c r="BC624" s="2867"/>
      <c r="BD624" s="2867"/>
      <c r="BE624" s="2867"/>
      <c r="BF624" s="2867"/>
      <c r="BG624" s="2867"/>
      <c r="BH624" s="2867"/>
      <c r="BI624" s="2867"/>
      <c r="BJ624" s="2867"/>
      <c r="BK624" s="2867"/>
      <c r="BL624" s="2867"/>
      <c r="BM624" s="2867"/>
      <c r="BN624" s="2867"/>
      <c r="BO624" s="2867"/>
      <c r="BP624" s="2867"/>
      <c r="BQ624" s="2867"/>
      <c r="BR624" s="2867"/>
      <c r="BS624" s="2867"/>
      <c r="BT624" s="2867"/>
      <c r="BU624" s="2867"/>
      <c r="BV624" s="2867"/>
      <c r="BW624" s="2867"/>
      <c r="BX624" s="2867"/>
      <c r="BY624" s="2867"/>
      <c r="BZ624" s="2867"/>
      <c r="CA624" s="2867"/>
      <c r="CB624" s="2867"/>
      <c r="CC624" s="2867"/>
      <c r="CD624" s="2867"/>
      <c r="CE624" s="2867"/>
      <c r="CF624" s="2867"/>
      <c r="CG624" s="2867"/>
      <c r="CH624" s="2867"/>
      <c r="CI624" s="2867"/>
      <c r="CJ624" s="2867"/>
      <c r="CK624" s="2867"/>
      <c r="CL624" s="2867"/>
      <c r="CM624" s="2867"/>
      <c r="CN624" s="2867"/>
      <c r="CO624" s="2867"/>
      <c r="CP624" s="2867"/>
      <c r="CQ624" s="2867"/>
      <c r="CR624" s="2867"/>
      <c r="CS624" s="2867"/>
      <c r="CT624" s="2867"/>
      <c r="CU624" s="2867"/>
      <c r="CV624" s="2867"/>
      <c r="CW624" s="2867"/>
    </row>
    <row r="625" spans="1:101">
      <c r="A625" s="2867"/>
      <c r="B625" s="2867"/>
      <c r="C625" s="2867"/>
      <c r="D625" s="2867"/>
      <c r="E625" s="2867"/>
      <c r="F625" s="2867"/>
      <c r="G625" s="2867"/>
      <c r="H625" s="2867"/>
      <c r="I625" s="2867"/>
      <c r="J625" s="2867"/>
      <c r="K625" s="2867"/>
      <c r="L625" s="2867"/>
      <c r="M625" s="2867"/>
      <c r="O625" s="2867"/>
      <c r="P625" s="2867"/>
      <c r="Q625" s="2867"/>
      <c r="R625" s="2867"/>
      <c r="S625" s="2867"/>
      <c r="T625" s="2867"/>
      <c r="U625" s="2867"/>
      <c r="V625" s="2867"/>
      <c r="W625" s="2867"/>
      <c r="X625" s="2867"/>
      <c r="Y625" s="2867"/>
      <c r="Z625" s="2867"/>
      <c r="AA625" s="2867"/>
      <c r="AB625" s="2867"/>
      <c r="AC625" s="2867"/>
      <c r="AD625" s="2867"/>
      <c r="AE625" s="2867"/>
      <c r="AF625" s="2867"/>
      <c r="AG625" s="2867"/>
      <c r="AH625" s="2867"/>
      <c r="AI625" s="2867"/>
      <c r="AJ625" s="2867"/>
      <c r="AK625" s="2867"/>
      <c r="AL625" s="2867"/>
      <c r="AM625" s="2867"/>
      <c r="AN625" s="2867"/>
      <c r="AO625" s="2867"/>
      <c r="AP625" s="2867"/>
      <c r="AQ625" s="2867"/>
      <c r="AR625" s="2867"/>
      <c r="AS625" s="2867"/>
      <c r="AT625" s="2867"/>
      <c r="AU625" s="2867"/>
      <c r="AV625" s="2867"/>
      <c r="AW625" s="2867"/>
      <c r="AX625" s="2867"/>
      <c r="AY625" s="2867"/>
      <c r="AZ625" s="2867"/>
      <c r="BA625" s="2867"/>
      <c r="BB625" s="2867"/>
      <c r="BC625" s="2867"/>
      <c r="BD625" s="2867"/>
      <c r="BE625" s="2867"/>
      <c r="BF625" s="2867"/>
      <c r="BG625" s="2867"/>
      <c r="BH625" s="2867"/>
      <c r="BI625" s="2867"/>
      <c r="BJ625" s="2867"/>
      <c r="BK625" s="2867"/>
      <c r="BL625" s="2867"/>
      <c r="BM625" s="2867"/>
      <c r="BN625" s="2867"/>
      <c r="BO625" s="2867"/>
      <c r="BP625" s="2867"/>
      <c r="BQ625" s="2867"/>
      <c r="BR625" s="2867"/>
      <c r="BS625" s="2867"/>
      <c r="BT625" s="2867"/>
      <c r="BU625" s="2867"/>
      <c r="BV625" s="2867"/>
      <c r="BW625" s="2867"/>
      <c r="BX625" s="2867"/>
      <c r="BY625" s="2867"/>
      <c r="BZ625" s="2867"/>
      <c r="CA625" s="2867"/>
      <c r="CB625" s="2867"/>
      <c r="CC625" s="2867"/>
      <c r="CD625" s="2867"/>
      <c r="CE625" s="2867"/>
      <c r="CF625" s="2867"/>
      <c r="CG625" s="2867"/>
      <c r="CH625" s="2867"/>
      <c r="CI625" s="2867"/>
      <c r="CJ625" s="2867"/>
      <c r="CK625" s="2867"/>
      <c r="CL625" s="2867"/>
      <c r="CM625" s="2867"/>
      <c r="CN625" s="2867"/>
      <c r="CO625" s="2867"/>
      <c r="CP625" s="2867"/>
      <c r="CQ625" s="2867"/>
      <c r="CR625" s="2867"/>
      <c r="CS625" s="2867"/>
      <c r="CT625" s="2867"/>
      <c r="CU625" s="2867"/>
      <c r="CV625" s="2867"/>
      <c r="CW625" s="2867"/>
    </row>
    <row r="626" spans="1:101">
      <c r="A626" s="2867"/>
      <c r="B626" s="2867"/>
      <c r="C626" s="2867"/>
      <c r="D626" s="2867"/>
      <c r="E626" s="2867"/>
      <c r="F626" s="2867"/>
      <c r="G626" s="2867"/>
      <c r="H626" s="2867"/>
      <c r="I626" s="2867"/>
      <c r="J626" s="2867"/>
      <c r="K626" s="2867"/>
      <c r="L626" s="2867"/>
      <c r="M626" s="2867"/>
      <c r="O626" s="2867"/>
      <c r="P626" s="2867"/>
      <c r="Q626" s="2867"/>
      <c r="R626" s="2867"/>
      <c r="S626" s="2867"/>
      <c r="T626" s="2867"/>
      <c r="U626" s="2867"/>
      <c r="V626" s="2867"/>
      <c r="W626" s="2867"/>
      <c r="X626" s="2867"/>
      <c r="Y626" s="2867"/>
      <c r="Z626" s="2867"/>
      <c r="AA626" s="2867"/>
      <c r="AB626" s="2867"/>
      <c r="AC626" s="2867"/>
      <c r="AD626" s="2867"/>
      <c r="AE626" s="2867"/>
      <c r="AF626" s="2867"/>
      <c r="AG626" s="2867"/>
      <c r="AH626" s="2867"/>
      <c r="AI626" s="2867"/>
      <c r="AJ626" s="2867"/>
      <c r="AK626" s="2867"/>
      <c r="AL626" s="2867"/>
      <c r="AM626" s="2867"/>
      <c r="AN626" s="2867"/>
      <c r="AO626" s="2867"/>
      <c r="AP626" s="2867"/>
      <c r="AQ626" s="2867"/>
      <c r="AR626" s="2867"/>
      <c r="AS626" s="2867"/>
      <c r="AT626" s="2867"/>
      <c r="AU626" s="2867"/>
      <c r="AV626" s="2867"/>
      <c r="AW626" s="2867"/>
      <c r="AX626" s="2867"/>
      <c r="AY626" s="2867"/>
      <c r="AZ626" s="2867"/>
      <c r="BA626" s="2867"/>
      <c r="BB626" s="2867"/>
      <c r="BC626" s="2867"/>
      <c r="BD626" s="2867"/>
      <c r="BE626" s="2867"/>
      <c r="BF626" s="2867"/>
      <c r="BG626" s="2867"/>
      <c r="BH626" s="2867"/>
      <c r="BI626" s="2867"/>
      <c r="BJ626" s="2867"/>
      <c r="BK626" s="2867"/>
      <c r="BL626" s="2867"/>
      <c r="BM626" s="2867"/>
      <c r="BN626" s="2867"/>
      <c r="BO626" s="2867"/>
      <c r="BP626" s="2867"/>
      <c r="BQ626" s="2867"/>
      <c r="BR626" s="2867"/>
      <c r="BS626" s="2867"/>
      <c r="BT626" s="2867"/>
      <c r="BU626" s="2867"/>
      <c r="BV626" s="2867"/>
      <c r="BW626" s="2867"/>
      <c r="BX626" s="2867"/>
      <c r="BY626" s="2867"/>
      <c r="BZ626" s="2867"/>
      <c r="CA626" s="2867"/>
      <c r="CB626" s="2867"/>
      <c r="CC626" s="2867"/>
      <c r="CD626" s="2867"/>
      <c r="CE626" s="2867"/>
      <c r="CF626" s="2867"/>
      <c r="CG626" s="2867"/>
      <c r="CH626" s="2867"/>
      <c r="CI626" s="2867"/>
      <c r="CJ626" s="2867"/>
      <c r="CK626" s="2867"/>
      <c r="CL626" s="2867"/>
      <c r="CM626" s="2867"/>
      <c r="CN626" s="2867"/>
      <c r="CO626" s="2867"/>
      <c r="CP626" s="2867"/>
      <c r="CQ626" s="2867"/>
      <c r="CR626" s="2867"/>
      <c r="CS626" s="2867"/>
      <c r="CT626" s="2867"/>
      <c r="CU626" s="2867"/>
      <c r="CV626" s="2867"/>
      <c r="CW626" s="2867"/>
    </row>
    <row r="627" spans="1:101">
      <c r="A627" s="2867"/>
      <c r="B627" s="2867"/>
      <c r="C627" s="2867"/>
      <c r="D627" s="2867"/>
      <c r="E627" s="2867"/>
      <c r="F627" s="2867"/>
      <c r="G627" s="2867"/>
      <c r="H627" s="2867"/>
      <c r="I627" s="2867"/>
      <c r="J627" s="2867"/>
      <c r="K627" s="2867"/>
      <c r="L627" s="2867"/>
      <c r="M627" s="2867"/>
      <c r="O627" s="2867"/>
      <c r="P627" s="2867"/>
      <c r="Q627" s="2867"/>
      <c r="R627" s="2867"/>
      <c r="S627" s="2867"/>
      <c r="T627" s="2867"/>
      <c r="U627" s="2867"/>
      <c r="V627" s="2867"/>
      <c r="W627" s="2867"/>
      <c r="X627" s="2867"/>
      <c r="Y627" s="2867"/>
      <c r="Z627" s="2867"/>
      <c r="AA627" s="2867"/>
      <c r="AB627" s="2867"/>
      <c r="AC627" s="2867"/>
      <c r="AD627" s="2867"/>
      <c r="AE627" s="2867"/>
      <c r="AF627" s="2867"/>
      <c r="AG627" s="2867"/>
      <c r="AH627" s="2867"/>
      <c r="AI627" s="2867"/>
      <c r="AJ627" s="2867"/>
      <c r="AK627" s="2867"/>
      <c r="AL627" s="2867"/>
      <c r="AM627" s="2867"/>
      <c r="AN627" s="2867"/>
      <c r="AO627" s="2867"/>
      <c r="AP627" s="2867"/>
      <c r="AQ627" s="2867"/>
      <c r="AR627" s="2867"/>
      <c r="AS627" s="2867"/>
      <c r="AT627" s="2867"/>
      <c r="AU627" s="2867"/>
      <c r="AV627" s="2867"/>
      <c r="AW627" s="2867"/>
      <c r="AX627" s="2867"/>
      <c r="AY627" s="2867"/>
      <c r="AZ627" s="2867"/>
      <c r="BA627" s="2867"/>
      <c r="BB627" s="2867"/>
      <c r="BC627" s="2867"/>
      <c r="BD627" s="2867"/>
      <c r="BE627" s="2867"/>
      <c r="BF627" s="2867"/>
      <c r="BG627" s="2867"/>
      <c r="BH627" s="2867"/>
      <c r="BI627" s="2867"/>
      <c r="BJ627" s="2867"/>
      <c r="BK627" s="2867"/>
      <c r="BL627" s="2867"/>
      <c r="BM627" s="2867"/>
      <c r="BN627" s="2867"/>
      <c r="BO627" s="2867"/>
      <c r="BP627" s="2867"/>
      <c r="BQ627" s="2867"/>
      <c r="BR627" s="2867"/>
      <c r="BS627" s="2867"/>
      <c r="BT627" s="2867"/>
      <c r="BU627" s="2867"/>
      <c r="BV627" s="2867"/>
      <c r="BW627" s="2867"/>
      <c r="BX627" s="2867"/>
      <c r="BY627" s="2867"/>
      <c r="BZ627" s="2867"/>
      <c r="CA627" s="2867"/>
      <c r="CB627" s="2867"/>
      <c r="CC627" s="2867"/>
      <c r="CD627" s="2867"/>
      <c r="CE627" s="2867"/>
      <c r="CF627" s="2867"/>
      <c r="CG627" s="2867"/>
      <c r="CH627" s="2867"/>
      <c r="CI627" s="2867"/>
      <c r="CJ627" s="2867"/>
      <c r="CK627" s="2867"/>
      <c r="CL627" s="2867"/>
      <c r="CM627" s="2867"/>
      <c r="CN627" s="2867"/>
      <c r="CO627" s="2867"/>
      <c r="CP627" s="2867"/>
      <c r="CQ627" s="2867"/>
      <c r="CR627" s="2867"/>
      <c r="CS627" s="2867"/>
      <c r="CT627" s="2867"/>
      <c r="CU627" s="2867"/>
      <c r="CV627" s="2867"/>
      <c r="CW627" s="2867"/>
    </row>
    <row r="628" spans="1:101">
      <c r="A628" s="2867"/>
      <c r="B628" s="2867"/>
      <c r="C628" s="2867"/>
      <c r="D628" s="2867"/>
      <c r="E628" s="2867"/>
      <c r="F628" s="2867"/>
      <c r="G628" s="2867"/>
      <c r="H628" s="2867"/>
      <c r="I628" s="2867"/>
      <c r="J628" s="2867"/>
      <c r="K628" s="2867"/>
      <c r="L628" s="2867"/>
      <c r="M628" s="2867"/>
      <c r="O628" s="2867"/>
      <c r="P628" s="2867"/>
      <c r="Q628" s="2867"/>
      <c r="R628" s="2867"/>
      <c r="S628" s="2867"/>
      <c r="T628" s="2867"/>
      <c r="U628" s="2867"/>
      <c r="V628" s="2867"/>
      <c r="W628" s="2867"/>
      <c r="X628" s="2867"/>
      <c r="Y628" s="2867"/>
      <c r="Z628" s="2867"/>
      <c r="AA628" s="2867"/>
      <c r="AB628" s="2867"/>
      <c r="AC628" s="2867"/>
      <c r="AD628" s="2867"/>
      <c r="AE628" s="2867"/>
      <c r="AF628" s="2867"/>
      <c r="AG628" s="2867"/>
      <c r="AH628" s="2867"/>
      <c r="AI628" s="2867"/>
      <c r="AJ628" s="2867"/>
      <c r="AK628" s="2867"/>
      <c r="AL628" s="2867"/>
      <c r="AM628" s="2867"/>
      <c r="AN628" s="2867"/>
      <c r="AO628" s="2867"/>
      <c r="AP628" s="2867"/>
      <c r="AQ628" s="2867"/>
      <c r="AR628" s="2867"/>
      <c r="AS628" s="2867"/>
      <c r="AT628" s="2867"/>
      <c r="AU628" s="2867"/>
      <c r="AV628" s="2867"/>
      <c r="AW628" s="2867"/>
      <c r="AX628" s="2867"/>
      <c r="AY628" s="2867"/>
      <c r="AZ628" s="2867"/>
      <c r="BA628" s="2867"/>
      <c r="BB628" s="2867"/>
      <c r="BC628" s="2867"/>
      <c r="BD628" s="2867"/>
      <c r="BE628" s="2867"/>
      <c r="BF628" s="2867"/>
      <c r="BG628" s="2867"/>
      <c r="BH628" s="2867"/>
      <c r="BI628" s="2867"/>
      <c r="BJ628" s="2867"/>
      <c r="BK628" s="2867"/>
      <c r="BL628" s="2867"/>
      <c r="BM628" s="2867"/>
      <c r="BN628" s="2867"/>
      <c r="BO628" s="2867"/>
      <c r="BP628" s="2867"/>
      <c r="BQ628" s="2867"/>
      <c r="BR628" s="2867"/>
      <c r="BS628" s="2867"/>
      <c r="BT628" s="2867"/>
      <c r="BU628" s="2867"/>
      <c r="BV628" s="2867"/>
      <c r="BW628" s="2867"/>
      <c r="BX628" s="2867"/>
      <c r="BY628" s="2867"/>
      <c r="BZ628" s="2867"/>
      <c r="CA628" s="2867"/>
      <c r="CB628" s="2867"/>
      <c r="CC628" s="2867"/>
      <c r="CD628" s="2867"/>
      <c r="CE628" s="2867"/>
      <c r="CF628" s="2867"/>
      <c r="CG628" s="2867"/>
      <c r="CH628" s="2867"/>
      <c r="CI628" s="2867"/>
      <c r="CJ628" s="2867"/>
      <c r="CK628" s="2867"/>
      <c r="CL628" s="2867"/>
      <c r="CM628" s="2867"/>
      <c r="CN628" s="2867"/>
      <c r="CO628" s="2867"/>
      <c r="CP628" s="2867"/>
      <c r="CQ628" s="2867"/>
      <c r="CR628" s="2867"/>
      <c r="CS628" s="2867"/>
      <c r="CT628" s="2867"/>
      <c r="CU628" s="2867"/>
      <c r="CV628" s="2867"/>
      <c r="CW628" s="2867"/>
    </row>
    <row r="629" spans="1:101">
      <c r="A629" s="2867"/>
      <c r="B629" s="2867"/>
      <c r="C629" s="2867"/>
      <c r="D629" s="2867"/>
      <c r="E629" s="2867"/>
      <c r="F629" s="2867"/>
      <c r="G629" s="2867"/>
      <c r="H629" s="2867"/>
      <c r="I629" s="2867"/>
      <c r="J629" s="2867"/>
      <c r="K629" s="2867"/>
      <c r="L629" s="2867"/>
      <c r="M629" s="2867"/>
      <c r="O629" s="2867"/>
      <c r="P629" s="2867"/>
      <c r="Q629" s="2867"/>
      <c r="R629" s="2867"/>
      <c r="S629" s="2867"/>
      <c r="T629" s="2867"/>
      <c r="U629" s="2867"/>
      <c r="V629" s="2867"/>
      <c r="W629" s="2867"/>
      <c r="X629" s="2867"/>
      <c r="Y629" s="2867"/>
      <c r="Z629" s="2867"/>
      <c r="AA629" s="2867"/>
      <c r="AB629" s="2867"/>
      <c r="AC629" s="2867"/>
      <c r="AD629" s="2867"/>
      <c r="AE629" s="2867"/>
      <c r="AF629" s="2867"/>
      <c r="AG629" s="2867"/>
      <c r="AH629" s="2867"/>
      <c r="AI629" s="2867"/>
      <c r="AJ629" s="2867"/>
      <c r="AK629" s="2867"/>
      <c r="AL629" s="2867"/>
      <c r="AM629" s="2867"/>
      <c r="AN629" s="2867"/>
      <c r="AO629" s="2867"/>
      <c r="AP629" s="2867"/>
      <c r="AQ629" s="2867"/>
      <c r="AR629" s="2867"/>
      <c r="AS629" s="2867"/>
      <c r="AT629" s="2867"/>
      <c r="AU629" s="2867"/>
      <c r="AV629" s="2867"/>
      <c r="AW629" s="2867"/>
      <c r="AX629" s="2867"/>
      <c r="AY629" s="2867"/>
      <c r="AZ629" s="2867"/>
      <c r="BA629" s="2867"/>
      <c r="BB629" s="2867"/>
      <c r="BC629" s="2867"/>
      <c r="BD629" s="2867"/>
      <c r="BE629" s="2867"/>
      <c r="BF629" s="2867"/>
      <c r="BG629" s="2867"/>
      <c r="BH629" s="2867"/>
      <c r="BI629" s="2867"/>
      <c r="BJ629" s="2867"/>
      <c r="BK629" s="2867"/>
      <c r="BL629" s="2867"/>
      <c r="BM629" s="2867"/>
      <c r="BN629" s="2867"/>
      <c r="BO629" s="2867"/>
      <c r="BP629" s="2867"/>
      <c r="BQ629" s="2867"/>
      <c r="BR629" s="2867"/>
      <c r="BS629" s="2867"/>
      <c r="BT629" s="2867"/>
      <c r="BU629" s="2867"/>
      <c r="BV629" s="2867"/>
      <c r="BW629" s="2867"/>
      <c r="BX629" s="2867"/>
      <c r="BY629" s="2867"/>
      <c r="BZ629" s="2867"/>
      <c r="CA629" s="2867"/>
      <c r="CB629" s="2867"/>
      <c r="CC629" s="2867"/>
      <c r="CD629" s="2867"/>
      <c r="CE629" s="2867"/>
      <c r="CF629" s="2867"/>
      <c r="CG629" s="2867"/>
      <c r="CH629" s="2867"/>
      <c r="CI629" s="2867"/>
      <c r="CJ629" s="2867"/>
      <c r="CK629" s="2867"/>
      <c r="CL629" s="2867"/>
      <c r="CM629" s="2867"/>
      <c r="CN629" s="2867"/>
      <c r="CO629" s="2867"/>
      <c r="CP629" s="2867"/>
      <c r="CQ629" s="2867"/>
      <c r="CR629" s="2867"/>
      <c r="CS629" s="2867"/>
      <c r="CT629" s="2867"/>
      <c r="CU629" s="2867"/>
      <c r="CV629" s="2867"/>
      <c r="CW629" s="2867"/>
    </row>
    <row r="630" spans="1:101">
      <c r="A630" s="2867"/>
      <c r="B630" s="2867"/>
      <c r="C630" s="2867"/>
      <c r="D630" s="2867"/>
      <c r="E630" s="2867"/>
      <c r="F630" s="2867"/>
      <c r="G630" s="2867"/>
      <c r="H630" s="2867"/>
      <c r="I630" s="2867"/>
      <c r="J630" s="2867"/>
      <c r="K630" s="2867"/>
      <c r="L630" s="2867"/>
      <c r="M630" s="2867"/>
      <c r="O630" s="2867"/>
      <c r="P630" s="2867"/>
      <c r="Q630" s="2867"/>
      <c r="R630" s="2867"/>
      <c r="S630" s="2867"/>
      <c r="T630" s="2867"/>
      <c r="U630" s="2867"/>
      <c r="V630" s="2867"/>
      <c r="W630" s="2867"/>
      <c r="X630" s="2867"/>
      <c r="Y630" s="2867"/>
      <c r="Z630" s="2867"/>
      <c r="AA630" s="2867"/>
      <c r="AB630" s="2867"/>
      <c r="AC630" s="2867"/>
      <c r="AD630" s="2867"/>
      <c r="AE630" s="2867"/>
      <c r="AF630" s="2867"/>
      <c r="AG630" s="2867"/>
      <c r="AH630" s="2867"/>
      <c r="AI630" s="2867"/>
      <c r="AJ630" s="2867"/>
      <c r="AK630" s="2867"/>
      <c r="AL630" s="2867"/>
      <c r="AM630" s="2867"/>
      <c r="AN630" s="2867"/>
      <c r="AO630" s="2867"/>
      <c r="AP630" s="2867"/>
      <c r="AQ630" s="2867"/>
      <c r="AR630" s="2867"/>
      <c r="AS630" s="2867"/>
      <c r="AT630" s="2867"/>
      <c r="AU630" s="2867"/>
      <c r="AV630" s="2867"/>
      <c r="AW630" s="2867"/>
      <c r="AX630" s="2867"/>
      <c r="AY630" s="2867"/>
      <c r="AZ630" s="2867"/>
      <c r="BA630" s="2867"/>
      <c r="BB630" s="2867"/>
      <c r="BC630" s="2867"/>
      <c r="BD630" s="2867"/>
      <c r="BE630" s="2867"/>
      <c r="BF630" s="2867"/>
      <c r="BG630" s="2867"/>
      <c r="BH630" s="2867"/>
      <c r="BI630" s="2867"/>
      <c r="BJ630" s="2867"/>
      <c r="BK630" s="2867"/>
      <c r="BL630" s="2867"/>
      <c r="BM630" s="2867"/>
      <c r="BN630" s="2867"/>
      <c r="BO630" s="2867"/>
      <c r="BP630" s="2867"/>
      <c r="BQ630" s="2867"/>
      <c r="BR630" s="2867"/>
      <c r="BS630" s="2867"/>
      <c r="BT630" s="2867"/>
      <c r="BU630" s="2867"/>
      <c r="BV630" s="2867"/>
      <c r="BW630" s="2867"/>
      <c r="BX630" s="2867"/>
      <c r="BY630" s="2867"/>
      <c r="BZ630" s="2867"/>
      <c r="CA630" s="2867"/>
      <c r="CB630" s="2867"/>
      <c r="CC630" s="2867"/>
      <c r="CD630" s="2867"/>
      <c r="CE630" s="2867"/>
      <c r="CF630" s="2867"/>
      <c r="CG630" s="2867"/>
      <c r="CH630" s="2867"/>
      <c r="CI630" s="2867"/>
      <c r="CJ630" s="2867"/>
      <c r="CK630" s="2867"/>
      <c r="CL630" s="2867"/>
      <c r="CM630" s="2867"/>
      <c r="CN630" s="2867"/>
      <c r="CO630" s="2867"/>
      <c r="CP630" s="2867"/>
      <c r="CQ630" s="2867"/>
      <c r="CR630" s="2867"/>
      <c r="CS630" s="2867"/>
      <c r="CT630" s="2867"/>
      <c r="CU630" s="2867"/>
      <c r="CV630" s="2867"/>
      <c r="CW630" s="2867"/>
    </row>
    <row r="631" spans="1:101">
      <c r="A631" s="2867"/>
      <c r="B631" s="2867"/>
      <c r="C631" s="2867"/>
      <c r="D631" s="2867"/>
      <c r="E631" s="2867"/>
      <c r="F631" s="2867"/>
      <c r="G631" s="2867"/>
      <c r="H631" s="2867"/>
      <c r="I631" s="2867"/>
      <c r="J631" s="2867"/>
      <c r="K631" s="2867"/>
      <c r="L631" s="2867"/>
      <c r="M631" s="2867"/>
      <c r="O631" s="2867"/>
      <c r="P631" s="2867"/>
      <c r="Q631" s="2867"/>
      <c r="R631" s="2867"/>
      <c r="S631" s="2867"/>
      <c r="T631" s="2867"/>
      <c r="U631" s="2867"/>
      <c r="V631" s="2867"/>
      <c r="W631" s="2867"/>
      <c r="X631" s="2867"/>
      <c r="Y631" s="2867"/>
      <c r="Z631" s="2867"/>
      <c r="AA631" s="2867"/>
      <c r="AB631" s="2867"/>
      <c r="AC631" s="2867"/>
      <c r="AD631" s="2867"/>
      <c r="AE631" s="2867"/>
      <c r="AF631" s="2867"/>
      <c r="AG631" s="2867"/>
      <c r="AH631" s="2867"/>
      <c r="AI631" s="2867"/>
      <c r="AJ631" s="2867"/>
      <c r="AK631" s="2867"/>
      <c r="AL631" s="2867"/>
      <c r="AM631" s="2867"/>
      <c r="AN631" s="2867"/>
      <c r="AO631" s="2867"/>
      <c r="AP631" s="2867"/>
      <c r="AQ631" s="2867"/>
      <c r="AR631" s="2867"/>
      <c r="AS631" s="2867"/>
      <c r="AT631" s="2867"/>
      <c r="AU631" s="2867"/>
      <c r="AV631" s="2867"/>
      <c r="AW631" s="2867"/>
      <c r="AX631" s="2867"/>
      <c r="AY631" s="2867"/>
      <c r="AZ631" s="2867"/>
      <c r="BA631" s="2867"/>
      <c r="BB631" s="2867"/>
      <c r="BC631" s="2867"/>
      <c r="BD631" s="2867"/>
      <c r="BE631" s="2867"/>
      <c r="BF631" s="2867"/>
      <c r="BG631" s="2867"/>
      <c r="BH631" s="2867"/>
      <c r="BI631" s="2867"/>
      <c r="BJ631" s="2867"/>
      <c r="BK631" s="2867"/>
      <c r="BL631" s="2867"/>
      <c r="BM631" s="2867"/>
      <c r="BN631" s="2867"/>
      <c r="BO631" s="2867"/>
      <c r="BP631" s="2867"/>
      <c r="BQ631" s="2867"/>
      <c r="BR631" s="2867"/>
      <c r="BS631" s="2867"/>
      <c r="BT631" s="2867"/>
      <c r="BU631" s="2867"/>
      <c r="BV631" s="2867"/>
      <c r="BW631" s="2867"/>
      <c r="BX631" s="2867"/>
      <c r="BY631" s="2867"/>
      <c r="BZ631" s="2867"/>
      <c r="CA631" s="2867"/>
      <c r="CB631" s="2867"/>
      <c r="CC631" s="2867"/>
      <c r="CD631" s="2867"/>
      <c r="CE631" s="2867"/>
      <c r="CF631" s="2867"/>
      <c r="CG631" s="2867"/>
      <c r="CH631" s="2867"/>
      <c r="CI631" s="2867"/>
      <c r="CJ631" s="2867"/>
      <c r="CK631" s="2867"/>
      <c r="CL631" s="2867"/>
      <c r="CM631" s="2867"/>
      <c r="CN631" s="2867"/>
      <c r="CO631" s="2867"/>
      <c r="CP631" s="2867"/>
      <c r="CQ631" s="2867"/>
      <c r="CR631" s="2867"/>
      <c r="CS631" s="2867"/>
      <c r="CT631" s="2867"/>
      <c r="CU631" s="2867"/>
      <c r="CV631" s="2867"/>
      <c r="CW631" s="2867"/>
    </row>
    <row r="632" spans="1:101">
      <c r="A632" s="2867"/>
      <c r="B632" s="2867"/>
      <c r="C632" s="2867"/>
      <c r="D632" s="2867"/>
      <c r="E632" s="2867"/>
      <c r="F632" s="2867"/>
      <c r="G632" s="2867"/>
      <c r="H632" s="2867"/>
      <c r="I632" s="2867"/>
      <c r="J632" s="2867"/>
      <c r="K632" s="2867"/>
      <c r="L632" s="2867"/>
      <c r="M632" s="2867"/>
      <c r="O632" s="2867"/>
      <c r="P632" s="2867"/>
      <c r="Q632" s="2867"/>
      <c r="R632" s="2867"/>
      <c r="S632" s="2867"/>
      <c r="T632" s="2867"/>
      <c r="U632" s="2867"/>
      <c r="V632" s="2867"/>
      <c r="W632" s="2867"/>
      <c r="X632" s="2867"/>
      <c r="Y632" s="2867"/>
      <c r="Z632" s="2867"/>
      <c r="AA632" s="2867"/>
      <c r="AB632" s="2867"/>
      <c r="AC632" s="2867"/>
      <c r="AD632" s="2867"/>
      <c r="AE632" s="2867"/>
      <c r="AF632" s="2867"/>
      <c r="AG632" s="2867"/>
      <c r="AH632" s="2867"/>
      <c r="AI632" s="2867"/>
      <c r="AJ632" s="2867"/>
      <c r="AK632" s="2867"/>
      <c r="AL632" s="2867"/>
      <c r="AM632" s="2867"/>
      <c r="AN632" s="2867"/>
      <c r="AO632" s="2867"/>
      <c r="AP632" s="2867"/>
      <c r="AQ632" s="2867"/>
      <c r="AR632" s="2867"/>
      <c r="AS632" s="2867"/>
      <c r="AT632" s="2867"/>
      <c r="AU632" s="2867"/>
      <c r="AV632" s="2867"/>
      <c r="AW632" s="2867"/>
      <c r="AX632" s="2867"/>
      <c r="AY632" s="2867"/>
      <c r="AZ632" s="2867"/>
      <c r="BA632" s="2867"/>
      <c r="BB632" s="2867"/>
      <c r="BC632" s="2867"/>
      <c r="BD632" s="2867"/>
      <c r="BE632" s="2867"/>
      <c r="BF632" s="2867"/>
      <c r="BG632" s="2867"/>
      <c r="BH632" s="2867"/>
      <c r="BI632" s="2867"/>
      <c r="BJ632" s="2867"/>
      <c r="BK632" s="2867"/>
      <c r="BL632" s="2867"/>
      <c r="BM632" s="2867"/>
      <c r="BN632" s="2867"/>
      <c r="BO632" s="2867"/>
      <c r="BP632" s="2867"/>
      <c r="BQ632" s="2867"/>
      <c r="BR632" s="2867"/>
      <c r="BS632" s="2867"/>
      <c r="BT632" s="2867"/>
      <c r="BU632" s="2867"/>
      <c r="BV632" s="2867"/>
      <c r="BW632" s="2867"/>
      <c r="BX632" s="2867"/>
      <c r="BY632" s="2867"/>
      <c r="BZ632" s="2867"/>
      <c r="CA632" s="2867"/>
      <c r="CB632" s="2867"/>
      <c r="CC632" s="2867"/>
      <c r="CD632" s="2867"/>
      <c r="CE632" s="2867"/>
      <c r="CF632" s="2867"/>
      <c r="CG632" s="2867"/>
      <c r="CH632" s="2867"/>
      <c r="CI632" s="2867"/>
      <c r="CJ632" s="2867"/>
      <c r="CK632" s="2867"/>
      <c r="CL632" s="2867"/>
      <c r="CM632" s="2867"/>
      <c r="CN632" s="2867"/>
      <c r="CO632" s="2867"/>
      <c r="CP632" s="2867"/>
      <c r="CQ632" s="2867"/>
      <c r="CR632" s="2867"/>
      <c r="CS632" s="2867"/>
      <c r="CT632" s="2867"/>
      <c r="CU632" s="2867"/>
      <c r="CV632" s="2867"/>
      <c r="CW632" s="2867"/>
    </row>
    <row r="633" spans="1:101">
      <c r="A633" s="2867"/>
      <c r="B633" s="2867"/>
      <c r="C633" s="2867"/>
      <c r="D633" s="2867"/>
      <c r="E633" s="2867"/>
      <c r="F633" s="2867"/>
      <c r="G633" s="2867"/>
      <c r="H633" s="2867"/>
      <c r="I633" s="2867"/>
      <c r="J633" s="2867"/>
      <c r="K633" s="2867"/>
      <c r="L633" s="2867"/>
      <c r="M633" s="2867"/>
      <c r="O633" s="2867"/>
      <c r="P633" s="2867"/>
      <c r="Q633" s="2867"/>
      <c r="R633" s="2867"/>
      <c r="S633" s="2867"/>
      <c r="T633" s="2867"/>
      <c r="U633" s="2867"/>
      <c r="V633" s="2867"/>
      <c r="W633" s="2867"/>
      <c r="X633" s="2867"/>
      <c r="Y633" s="2867"/>
      <c r="Z633" s="2867"/>
      <c r="AA633" s="2867"/>
      <c r="AB633" s="2867"/>
      <c r="AC633" s="2867"/>
      <c r="AD633" s="2867"/>
      <c r="AE633" s="2867"/>
      <c r="AF633" s="2867"/>
      <c r="AG633" s="2867"/>
      <c r="AH633" s="2867"/>
      <c r="AI633" s="2867"/>
      <c r="AJ633" s="2867"/>
      <c r="AK633" s="2867"/>
      <c r="AL633" s="2867"/>
      <c r="AM633" s="2867"/>
      <c r="AN633" s="2867"/>
      <c r="AO633" s="2867"/>
      <c r="AP633" s="2867"/>
      <c r="AQ633" s="2867"/>
      <c r="AR633" s="2867"/>
      <c r="AS633" s="2867"/>
      <c r="AT633" s="2867"/>
      <c r="AU633" s="2867"/>
      <c r="AV633" s="2867"/>
      <c r="AW633" s="2867"/>
      <c r="AX633" s="2867"/>
      <c r="AY633" s="2867"/>
      <c r="AZ633" s="2867"/>
      <c r="BA633" s="2867"/>
      <c r="BB633" s="2867"/>
      <c r="BC633" s="2867"/>
      <c r="BD633" s="2867"/>
      <c r="BE633" s="2867"/>
      <c r="BF633" s="2867"/>
      <c r="BG633" s="2867"/>
      <c r="BH633" s="2867"/>
      <c r="BI633" s="2867"/>
      <c r="BJ633" s="2867"/>
      <c r="BK633" s="2867"/>
      <c r="BL633" s="2867"/>
      <c r="BM633" s="2867"/>
      <c r="BN633" s="2867"/>
      <c r="BO633" s="2867"/>
      <c r="BP633" s="2867"/>
      <c r="BQ633" s="2867"/>
      <c r="BR633" s="2867"/>
      <c r="BS633" s="2867"/>
      <c r="BT633" s="2867"/>
      <c r="BU633" s="2867"/>
      <c r="BV633" s="2867"/>
      <c r="BW633" s="2867"/>
      <c r="BX633" s="2867"/>
      <c r="BY633" s="2867"/>
      <c r="BZ633" s="2867"/>
      <c r="CA633" s="2867"/>
      <c r="CB633" s="2867"/>
      <c r="CC633" s="2867"/>
      <c r="CD633" s="2867"/>
      <c r="CE633" s="2867"/>
      <c r="CF633" s="2867"/>
      <c r="CG633" s="2867"/>
      <c r="CH633" s="2867"/>
      <c r="CI633" s="2867"/>
      <c r="CJ633" s="2867"/>
      <c r="CK633" s="2867"/>
      <c r="CL633" s="2867"/>
      <c r="CM633" s="2867"/>
      <c r="CN633" s="2867"/>
      <c r="CO633" s="2867"/>
      <c r="CP633" s="2867"/>
      <c r="CQ633" s="2867"/>
      <c r="CR633" s="2867"/>
      <c r="CS633" s="2867"/>
      <c r="CT633" s="2867"/>
      <c r="CU633" s="2867"/>
      <c r="CV633" s="2867"/>
      <c r="CW633" s="2867"/>
    </row>
    <row r="634" spans="1:101">
      <c r="A634" s="2867"/>
      <c r="B634" s="2867"/>
      <c r="C634" s="2867"/>
      <c r="D634" s="2867"/>
      <c r="E634" s="2867"/>
      <c r="F634" s="2867"/>
      <c r="G634" s="2867"/>
      <c r="H634" s="2867"/>
      <c r="I634" s="2867"/>
      <c r="J634" s="2867"/>
      <c r="K634" s="2867"/>
      <c r="L634" s="2867"/>
      <c r="M634" s="2867"/>
      <c r="O634" s="2867"/>
      <c r="P634" s="2867"/>
      <c r="Q634" s="2867"/>
      <c r="R634" s="2867"/>
      <c r="S634" s="2867"/>
      <c r="T634" s="2867"/>
      <c r="U634" s="2867"/>
      <c r="V634" s="2867"/>
      <c r="W634" s="2867"/>
      <c r="X634" s="2867"/>
      <c r="Y634" s="2867"/>
      <c r="Z634" s="2867"/>
      <c r="AA634" s="2867"/>
      <c r="AB634" s="2867"/>
      <c r="AC634" s="2867"/>
      <c r="AD634" s="2867"/>
      <c r="AE634" s="2867"/>
      <c r="AF634" s="2867"/>
      <c r="AG634" s="2867"/>
      <c r="AH634" s="2867"/>
      <c r="AI634" s="2867"/>
      <c r="AJ634" s="2867"/>
      <c r="AK634" s="2867"/>
      <c r="AL634" s="2867"/>
      <c r="AM634" s="2867"/>
      <c r="AN634" s="2867"/>
      <c r="AO634" s="2867"/>
      <c r="AP634" s="2867"/>
      <c r="AQ634" s="2867"/>
      <c r="AR634" s="2867"/>
      <c r="AS634" s="2867"/>
      <c r="AT634" s="2867"/>
      <c r="AU634" s="2867"/>
      <c r="AV634" s="2867"/>
      <c r="AW634" s="2867"/>
      <c r="AX634" s="2867"/>
      <c r="AY634" s="2867"/>
      <c r="AZ634" s="2867"/>
      <c r="BA634" s="2867"/>
      <c r="BB634" s="2867"/>
      <c r="BC634" s="2867"/>
      <c r="BD634" s="2867"/>
      <c r="BE634" s="2867"/>
      <c r="BF634" s="2867"/>
      <c r="BG634" s="2867"/>
      <c r="BH634" s="2867"/>
      <c r="BI634" s="2867"/>
      <c r="BJ634" s="2867"/>
      <c r="BK634" s="2867"/>
      <c r="BL634" s="2867"/>
      <c r="BM634" s="2867"/>
      <c r="BN634" s="2867"/>
      <c r="BO634" s="2867"/>
      <c r="BP634" s="2867"/>
      <c r="BQ634" s="2867"/>
      <c r="BR634" s="2867"/>
      <c r="BS634" s="2867"/>
      <c r="BT634" s="2867"/>
      <c r="BU634" s="2867"/>
      <c r="BV634" s="2867"/>
      <c r="BW634" s="2867"/>
      <c r="BX634" s="2867"/>
      <c r="BY634" s="2867"/>
      <c r="BZ634" s="2867"/>
      <c r="CA634" s="2867"/>
      <c r="CB634" s="2867"/>
      <c r="CC634" s="2867"/>
      <c r="CD634" s="2867"/>
      <c r="CE634" s="2867"/>
      <c r="CF634" s="2867"/>
      <c r="CG634" s="2867"/>
      <c r="CH634" s="2867"/>
      <c r="CI634" s="2867"/>
      <c r="CJ634" s="2867"/>
      <c r="CK634" s="2867"/>
      <c r="CL634" s="2867"/>
      <c r="CM634" s="2867"/>
      <c r="CN634" s="2867"/>
      <c r="CO634" s="2867"/>
      <c r="CP634" s="2867"/>
      <c r="CQ634" s="2867"/>
      <c r="CR634" s="2867"/>
      <c r="CS634" s="2867"/>
      <c r="CT634" s="2867"/>
      <c r="CU634" s="2867"/>
      <c r="CV634" s="2867"/>
      <c r="CW634" s="2867"/>
    </row>
    <row r="635" spans="1:101">
      <c r="A635" s="2867"/>
      <c r="B635" s="2867"/>
      <c r="C635" s="2867"/>
      <c r="D635" s="2867"/>
      <c r="E635" s="2867"/>
      <c r="F635" s="2867"/>
      <c r="G635" s="2867"/>
      <c r="H635" s="2867"/>
      <c r="I635" s="2867"/>
      <c r="J635" s="2867"/>
      <c r="K635" s="2867"/>
      <c r="L635" s="2867"/>
      <c r="M635" s="2867"/>
      <c r="O635" s="2867"/>
      <c r="P635" s="2867"/>
      <c r="Q635" s="2867"/>
      <c r="R635" s="2867"/>
      <c r="S635" s="2867"/>
      <c r="T635" s="2867"/>
      <c r="U635" s="2867"/>
      <c r="V635" s="2867"/>
      <c r="W635" s="2867"/>
      <c r="X635" s="2867"/>
      <c r="Y635" s="2867"/>
      <c r="Z635" s="2867"/>
      <c r="AA635" s="2867"/>
      <c r="AB635" s="2867"/>
      <c r="AC635" s="2867"/>
      <c r="AD635" s="2867"/>
      <c r="AE635" s="2867"/>
      <c r="AF635" s="2867"/>
      <c r="AG635" s="2867"/>
      <c r="AH635" s="2867"/>
      <c r="AI635" s="2867"/>
      <c r="AJ635" s="2867"/>
      <c r="AK635" s="2867"/>
      <c r="AL635" s="2867"/>
      <c r="AM635" s="2867"/>
      <c r="AN635" s="2867"/>
      <c r="AO635" s="2867"/>
      <c r="AP635" s="2867"/>
      <c r="AQ635" s="2867"/>
      <c r="AR635" s="2867"/>
      <c r="AS635" s="2867"/>
      <c r="AT635" s="2867"/>
      <c r="AU635" s="2867"/>
      <c r="AV635" s="2867"/>
      <c r="AW635" s="2867"/>
      <c r="AX635" s="2867"/>
      <c r="AY635" s="2867"/>
      <c r="AZ635" s="2867"/>
      <c r="BA635" s="2867"/>
      <c r="BB635" s="2867"/>
      <c r="BC635" s="2867"/>
      <c r="BD635" s="2867"/>
      <c r="BE635" s="2867"/>
      <c r="BF635" s="2867"/>
      <c r="BG635" s="2867"/>
      <c r="BH635" s="2867"/>
      <c r="BI635" s="2867"/>
      <c r="BJ635" s="2867"/>
      <c r="BK635" s="2867"/>
      <c r="BL635" s="2867"/>
      <c r="BM635" s="2867"/>
      <c r="BN635" s="2867"/>
      <c r="BO635" s="2867"/>
      <c r="BP635" s="2867"/>
      <c r="BQ635" s="2867"/>
      <c r="BR635" s="2867"/>
      <c r="BS635" s="2867"/>
      <c r="BT635" s="2867"/>
      <c r="BU635" s="2867"/>
      <c r="BV635" s="2867"/>
      <c r="BW635" s="2867"/>
      <c r="BX635" s="2867"/>
      <c r="BY635" s="2867"/>
      <c r="BZ635" s="2867"/>
      <c r="CA635" s="2867"/>
      <c r="CB635" s="2867"/>
      <c r="CC635" s="2867"/>
      <c r="CD635" s="2867"/>
      <c r="CE635" s="2867"/>
      <c r="CF635" s="2867"/>
      <c r="CG635" s="2867"/>
      <c r="CH635" s="2867"/>
      <c r="CI635" s="2867"/>
      <c r="CJ635" s="2867"/>
      <c r="CK635" s="2867"/>
      <c r="CL635" s="2867"/>
      <c r="CM635" s="2867"/>
      <c r="CN635" s="2867"/>
      <c r="CO635" s="2867"/>
      <c r="CP635" s="2867"/>
      <c r="CQ635" s="2867"/>
      <c r="CR635" s="2867"/>
      <c r="CS635" s="2867"/>
      <c r="CT635" s="2867"/>
      <c r="CU635" s="2867"/>
      <c r="CV635" s="2867"/>
      <c r="CW635" s="2867"/>
    </row>
    <row r="636" spans="1:101">
      <c r="A636" s="2867"/>
      <c r="B636" s="2867"/>
      <c r="C636" s="2867"/>
      <c r="D636" s="2867"/>
      <c r="E636" s="2867"/>
      <c r="F636" s="2867"/>
      <c r="G636" s="2867"/>
      <c r="H636" s="2867"/>
      <c r="I636" s="2867"/>
      <c r="J636" s="2867"/>
      <c r="K636" s="2867"/>
      <c r="L636" s="2867"/>
      <c r="M636" s="2867"/>
      <c r="O636" s="2867"/>
      <c r="P636" s="2867"/>
      <c r="Q636" s="2867"/>
      <c r="R636" s="2867"/>
      <c r="S636" s="2867"/>
      <c r="T636" s="2867"/>
      <c r="U636" s="2867"/>
      <c r="V636" s="2867"/>
      <c r="W636" s="2867"/>
      <c r="X636" s="2867"/>
      <c r="Y636" s="2867"/>
      <c r="Z636" s="2867"/>
      <c r="AA636" s="2867"/>
      <c r="AB636" s="2867"/>
      <c r="AC636" s="2867"/>
      <c r="AD636" s="2867"/>
      <c r="AE636" s="2867"/>
      <c r="AF636" s="2867"/>
      <c r="AG636" s="2867"/>
      <c r="AH636" s="2867"/>
      <c r="AI636" s="2867"/>
      <c r="AJ636" s="2867"/>
      <c r="AK636" s="2867"/>
      <c r="AL636" s="2867"/>
      <c r="AM636" s="2867"/>
      <c r="AN636" s="2867"/>
      <c r="AO636" s="2867"/>
      <c r="AP636" s="2867"/>
      <c r="AQ636" s="2867"/>
      <c r="AR636" s="2867"/>
      <c r="AS636" s="2867"/>
      <c r="AT636" s="2867"/>
      <c r="AU636" s="2867"/>
      <c r="AV636" s="2867"/>
      <c r="AW636" s="2867"/>
      <c r="AX636" s="2867"/>
      <c r="AY636" s="2867"/>
      <c r="AZ636" s="2867"/>
      <c r="BA636" s="2867"/>
      <c r="BB636" s="2867"/>
      <c r="BC636" s="2867"/>
      <c r="BD636" s="2867"/>
      <c r="BE636" s="2867"/>
      <c r="BF636" s="2867"/>
      <c r="BG636" s="2867"/>
      <c r="BH636" s="2867"/>
      <c r="BI636" s="2867"/>
      <c r="BJ636" s="2867"/>
      <c r="BK636" s="2867"/>
      <c r="BL636" s="2867"/>
      <c r="BM636" s="2867"/>
      <c r="BN636" s="2867"/>
      <c r="BO636" s="2867"/>
      <c r="BP636" s="2867"/>
      <c r="BQ636" s="2867"/>
      <c r="BR636" s="2867"/>
      <c r="BS636" s="2867"/>
      <c r="BT636" s="2867"/>
      <c r="BU636" s="2867"/>
      <c r="BV636" s="2867"/>
      <c r="BW636" s="2867"/>
      <c r="BX636" s="2867"/>
      <c r="BY636" s="2867"/>
      <c r="BZ636" s="2867"/>
      <c r="CA636" s="2867"/>
      <c r="CB636" s="2867"/>
      <c r="CC636" s="2867"/>
      <c r="CD636" s="2867"/>
      <c r="CE636" s="2867"/>
      <c r="CF636" s="2867"/>
      <c r="CG636" s="2867"/>
      <c r="CH636" s="2867"/>
      <c r="CI636" s="2867"/>
      <c r="CJ636" s="2867"/>
      <c r="CK636" s="2867"/>
      <c r="CL636" s="2867"/>
      <c r="CM636" s="2867"/>
      <c r="CN636" s="2867"/>
      <c r="CO636" s="2867"/>
      <c r="CP636" s="2867"/>
      <c r="CQ636" s="2867"/>
      <c r="CR636" s="2867"/>
      <c r="CS636" s="2867"/>
      <c r="CT636" s="2867"/>
      <c r="CU636" s="2867"/>
      <c r="CV636" s="2867"/>
      <c r="CW636" s="2867"/>
    </row>
    <row r="637" spans="1:101">
      <c r="A637" s="2867"/>
      <c r="B637" s="2867"/>
      <c r="C637" s="2867"/>
      <c r="D637" s="2867"/>
      <c r="E637" s="2867"/>
      <c r="F637" s="2867"/>
      <c r="G637" s="2867"/>
      <c r="H637" s="2867"/>
      <c r="I637" s="2867"/>
      <c r="J637" s="2867"/>
      <c r="K637" s="2867"/>
      <c r="L637" s="2867"/>
      <c r="M637" s="2867"/>
      <c r="O637" s="2867"/>
      <c r="P637" s="2867"/>
      <c r="Q637" s="2867"/>
      <c r="R637" s="2867"/>
      <c r="S637" s="2867"/>
      <c r="T637" s="2867"/>
      <c r="U637" s="2867"/>
      <c r="V637" s="2867"/>
      <c r="W637" s="2867"/>
      <c r="X637" s="2867"/>
      <c r="Y637" s="2867"/>
      <c r="Z637" s="2867"/>
      <c r="AA637" s="2867"/>
      <c r="AB637" s="2867"/>
      <c r="AC637" s="2867"/>
      <c r="AD637" s="2867"/>
      <c r="AE637" s="2867"/>
      <c r="AF637" s="2867"/>
      <c r="AG637" s="2867"/>
      <c r="AH637" s="2867"/>
      <c r="AI637" s="2867"/>
      <c r="AJ637" s="2867"/>
      <c r="AK637" s="2867"/>
      <c r="AL637" s="2867"/>
      <c r="AM637" s="2867"/>
      <c r="AN637" s="2867"/>
      <c r="AO637" s="2867"/>
      <c r="AP637" s="2867"/>
      <c r="AQ637" s="2867"/>
      <c r="AR637" s="2867"/>
      <c r="AS637" s="2867"/>
      <c r="AT637" s="2867"/>
      <c r="AU637" s="2867"/>
      <c r="AV637" s="2867"/>
      <c r="AW637" s="2867"/>
      <c r="AX637" s="2867"/>
      <c r="AY637" s="2867"/>
      <c r="AZ637" s="2867"/>
      <c r="BA637" s="2867"/>
      <c r="BB637" s="2867"/>
      <c r="BC637" s="2867"/>
      <c r="BD637" s="2867"/>
      <c r="BE637" s="2867"/>
      <c r="BF637" s="2867"/>
      <c r="BG637" s="2867"/>
      <c r="BH637" s="2867"/>
      <c r="BI637" s="2867"/>
      <c r="BJ637" s="2867"/>
      <c r="BK637" s="2867"/>
      <c r="BL637" s="2867"/>
      <c r="BM637" s="2867"/>
      <c r="BN637" s="2867"/>
      <c r="BO637" s="2867"/>
      <c r="BP637" s="2867"/>
      <c r="BQ637" s="2867"/>
      <c r="BR637" s="2867"/>
      <c r="BS637" s="2867"/>
      <c r="BT637" s="2867"/>
      <c r="BU637" s="2867"/>
      <c r="BV637" s="2867"/>
      <c r="BW637" s="2867"/>
      <c r="BX637" s="2867"/>
      <c r="BY637" s="2867"/>
      <c r="BZ637" s="2867"/>
      <c r="CA637" s="2867"/>
      <c r="CB637" s="2867"/>
      <c r="CC637" s="2867"/>
      <c r="CD637" s="2867"/>
      <c r="CE637" s="2867"/>
      <c r="CF637" s="2867"/>
      <c r="CG637" s="2867"/>
      <c r="CH637" s="2867"/>
      <c r="CI637" s="2867"/>
      <c r="CJ637" s="2867"/>
      <c r="CK637" s="2867"/>
      <c r="CL637" s="2867"/>
      <c r="CM637" s="2867"/>
      <c r="CN637" s="2867"/>
      <c r="CO637" s="2867"/>
      <c r="CP637" s="2867"/>
      <c r="CQ637" s="2867"/>
      <c r="CR637" s="2867"/>
      <c r="CS637" s="2867"/>
      <c r="CT637" s="2867"/>
      <c r="CU637" s="2867"/>
      <c r="CV637" s="2867"/>
      <c r="CW637" s="2867"/>
    </row>
    <row r="638" spans="1:101">
      <c r="A638" s="2867"/>
      <c r="B638" s="2867"/>
      <c r="C638" s="2867"/>
      <c r="D638" s="2867"/>
      <c r="E638" s="2867"/>
      <c r="F638" s="2867"/>
      <c r="G638" s="2867"/>
      <c r="H638" s="2867"/>
      <c r="I638" s="2867"/>
      <c r="J638" s="2867"/>
      <c r="K638" s="2867"/>
      <c r="L638" s="2867"/>
      <c r="M638" s="2867"/>
      <c r="O638" s="2867"/>
      <c r="P638" s="2867"/>
      <c r="Q638" s="2867"/>
      <c r="R638" s="2867"/>
      <c r="S638" s="2867"/>
      <c r="T638" s="2867"/>
      <c r="U638" s="2867"/>
      <c r="V638" s="2867"/>
      <c r="W638" s="2867"/>
      <c r="X638" s="2867"/>
      <c r="Y638" s="2867"/>
      <c r="Z638" s="2867"/>
      <c r="AA638" s="2867"/>
      <c r="AB638" s="2867"/>
      <c r="AC638" s="2867"/>
      <c r="AD638" s="2867"/>
      <c r="AE638" s="2867"/>
      <c r="AF638" s="2867"/>
      <c r="AG638" s="2867"/>
      <c r="AH638" s="2867"/>
      <c r="AI638" s="2867"/>
      <c r="AJ638" s="2867"/>
      <c r="AK638" s="2867"/>
      <c r="AL638" s="2867"/>
      <c r="AM638" s="2867"/>
      <c r="AN638" s="2867"/>
      <c r="AO638" s="2867"/>
      <c r="AP638" s="2867"/>
      <c r="AQ638" s="2867"/>
      <c r="AR638" s="2867"/>
      <c r="AS638" s="2867"/>
      <c r="AT638" s="2867"/>
      <c r="AU638" s="2867"/>
      <c r="AV638" s="2867"/>
      <c r="AW638" s="2867"/>
      <c r="AX638" s="2867"/>
      <c r="AY638" s="2867"/>
      <c r="AZ638" s="2867"/>
      <c r="BA638" s="2867"/>
      <c r="BB638" s="2867"/>
      <c r="BC638" s="2867"/>
      <c r="BD638" s="2867"/>
      <c r="BE638" s="2867"/>
      <c r="BF638" s="2867"/>
      <c r="BG638" s="2867"/>
      <c r="BH638" s="2867"/>
      <c r="BI638" s="2867"/>
      <c r="BJ638" s="2867"/>
      <c r="BK638" s="2867"/>
      <c r="BL638" s="2867"/>
      <c r="BM638" s="2867"/>
      <c r="BN638" s="2867"/>
      <c r="BO638" s="2867"/>
      <c r="BP638" s="2867"/>
      <c r="BQ638" s="2867"/>
      <c r="BR638" s="2867"/>
      <c r="BS638" s="2867"/>
      <c r="BT638" s="2867"/>
      <c r="BU638" s="2867"/>
      <c r="BV638" s="2867"/>
      <c r="BW638" s="2867"/>
      <c r="BX638" s="2867"/>
      <c r="BY638" s="2867"/>
      <c r="BZ638" s="2867"/>
      <c r="CA638" s="2867"/>
      <c r="CB638" s="2867"/>
      <c r="CC638" s="2867"/>
      <c r="CD638" s="2867"/>
      <c r="CE638" s="2867"/>
      <c r="CF638" s="2867"/>
      <c r="CG638" s="2867"/>
      <c r="CH638" s="2867"/>
      <c r="CI638" s="2867"/>
      <c r="CJ638" s="2867"/>
      <c r="CK638" s="2867"/>
      <c r="CL638" s="2867"/>
      <c r="CM638" s="2867"/>
      <c r="CN638" s="2867"/>
      <c r="CO638" s="2867"/>
      <c r="CP638" s="2867"/>
      <c r="CQ638" s="2867"/>
      <c r="CR638" s="2867"/>
      <c r="CS638" s="2867"/>
      <c r="CT638" s="2867"/>
      <c r="CU638" s="2867"/>
      <c r="CV638" s="2867"/>
      <c r="CW638" s="2867"/>
    </row>
    <row r="639" spans="1:101">
      <c r="A639" s="2867"/>
      <c r="B639" s="2867"/>
      <c r="C639" s="2867"/>
      <c r="D639" s="2867"/>
      <c r="E639" s="2867"/>
      <c r="F639" s="2867"/>
      <c r="G639" s="2867"/>
      <c r="H639" s="2867"/>
      <c r="I639" s="2867"/>
      <c r="J639" s="2867"/>
      <c r="K639" s="2867"/>
      <c r="L639" s="2867"/>
      <c r="M639" s="2867"/>
      <c r="O639" s="2867"/>
      <c r="P639" s="2867"/>
      <c r="Q639" s="2867"/>
      <c r="R639" s="2867"/>
      <c r="S639" s="2867"/>
      <c r="T639" s="2867"/>
      <c r="U639" s="2867"/>
      <c r="V639" s="2867"/>
      <c r="W639" s="2867"/>
      <c r="X639" s="2867"/>
      <c r="Y639" s="2867"/>
      <c r="Z639" s="2867"/>
      <c r="AA639" s="2867"/>
      <c r="AB639" s="2867"/>
      <c r="AC639" s="2867"/>
      <c r="AD639" s="2867"/>
      <c r="AE639" s="2867"/>
      <c r="AF639" s="2867"/>
      <c r="AG639" s="2867"/>
      <c r="AH639" s="2867"/>
      <c r="AI639" s="2867"/>
      <c r="AJ639" s="2867"/>
      <c r="AK639" s="2867"/>
      <c r="AL639" s="2867"/>
      <c r="AM639" s="2867"/>
      <c r="AN639" s="2867"/>
      <c r="AO639" s="2867"/>
      <c r="AP639" s="2867"/>
      <c r="AQ639" s="2867"/>
      <c r="AR639" s="2867"/>
      <c r="AS639" s="2867"/>
      <c r="AT639" s="2867"/>
      <c r="AU639" s="2867"/>
      <c r="AV639" s="2867"/>
      <c r="AW639" s="2867"/>
      <c r="AX639" s="2867"/>
      <c r="AY639" s="2867"/>
      <c r="AZ639" s="2867"/>
      <c r="BA639" s="2867"/>
      <c r="BB639" s="2867"/>
      <c r="BC639" s="2867"/>
      <c r="BD639" s="2867"/>
      <c r="BE639" s="2867"/>
      <c r="BF639" s="2867"/>
      <c r="BG639" s="2867"/>
      <c r="BH639" s="2867"/>
      <c r="BI639" s="2867"/>
      <c r="BJ639" s="2867"/>
      <c r="BK639" s="2867"/>
      <c r="BL639" s="2867"/>
      <c r="BM639" s="2867"/>
      <c r="BN639" s="2867"/>
      <c r="BO639" s="2867"/>
      <c r="BP639" s="2867"/>
      <c r="BQ639" s="2867"/>
      <c r="BR639" s="2867"/>
      <c r="BS639" s="2867"/>
      <c r="BT639" s="2867"/>
      <c r="BU639" s="2867"/>
      <c r="BV639" s="2867"/>
      <c r="BW639" s="2867"/>
      <c r="BX639" s="2867"/>
      <c r="BY639" s="2867"/>
      <c r="BZ639" s="2867"/>
      <c r="CA639" s="2867"/>
      <c r="CB639" s="2867"/>
      <c r="CC639" s="2867"/>
      <c r="CD639" s="2867"/>
      <c r="CE639" s="2867"/>
      <c r="CF639" s="2867"/>
      <c r="CG639" s="2867"/>
      <c r="CH639" s="2867"/>
      <c r="CI639" s="2867"/>
      <c r="CJ639" s="2867"/>
      <c r="CK639" s="2867"/>
      <c r="CL639" s="2867"/>
      <c r="CM639" s="2867"/>
      <c r="CN639" s="2867"/>
      <c r="CO639" s="2867"/>
      <c r="CP639" s="2867"/>
      <c r="CQ639" s="2867"/>
      <c r="CR639" s="2867"/>
      <c r="CS639" s="2867"/>
      <c r="CT639" s="2867"/>
      <c r="CU639" s="2867"/>
      <c r="CV639" s="2867"/>
      <c r="CW639" s="2867"/>
    </row>
    <row r="640" spans="1:101">
      <c r="A640" s="2867"/>
      <c r="B640" s="2867"/>
      <c r="C640" s="2867"/>
      <c r="D640" s="2867"/>
      <c r="E640" s="2867"/>
      <c r="F640" s="2867"/>
      <c r="G640" s="2867"/>
      <c r="H640" s="2867"/>
      <c r="I640" s="2867"/>
      <c r="J640" s="2867"/>
      <c r="K640" s="2867"/>
      <c r="L640" s="2867"/>
      <c r="M640" s="2867"/>
      <c r="O640" s="2867"/>
      <c r="P640" s="2867"/>
      <c r="Q640" s="2867"/>
      <c r="R640" s="2867"/>
      <c r="S640" s="2867"/>
      <c r="T640" s="2867"/>
      <c r="U640" s="2867"/>
      <c r="V640" s="2867"/>
      <c r="W640" s="2867"/>
      <c r="X640" s="2867"/>
      <c r="Y640" s="2867"/>
      <c r="Z640" s="2867"/>
      <c r="AA640" s="2867"/>
      <c r="AB640" s="2867"/>
      <c r="AC640" s="2867"/>
      <c r="AD640" s="2867"/>
      <c r="AE640" s="2867"/>
      <c r="AF640" s="2867"/>
      <c r="AG640" s="2867"/>
      <c r="AH640" s="2867"/>
      <c r="AI640" s="2867"/>
      <c r="AJ640" s="2867"/>
      <c r="AK640" s="2867"/>
      <c r="AL640" s="2867"/>
      <c r="AM640" s="2867"/>
      <c r="AN640" s="2867"/>
      <c r="AO640" s="2867"/>
      <c r="AP640" s="2867"/>
      <c r="AQ640" s="2867"/>
      <c r="AR640" s="2867"/>
      <c r="AS640" s="2867"/>
      <c r="AT640" s="2867"/>
      <c r="AU640" s="2867"/>
      <c r="AV640" s="2867"/>
      <c r="AW640" s="2867"/>
      <c r="AX640" s="2867"/>
      <c r="AY640" s="2867"/>
      <c r="AZ640" s="2867"/>
      <c r="BA640" s="2867"/>
      <c r="BB640" s="2867"/>
      <c r="BC640" s="2867"/>
      <c r="BD640" s="2867"/>
      <c r="BE640" s="2867"/>
      <c r="BF640" s="2867"/>
      <c r="BG640" s="2867"/>
      <c r="BH640" s="2867"/>
      <c r="BI640" s="2867"/>
      <c r="BJ640" s="2867"/>
      <c r="BK640" s="2867"/>
      <c r="BL640" s="2867"/>
      <c r="BM640" s="2867"/>
      <c r="BN640" s="2867"/>
      <c r="BO640" s="2867"/>
      <c r="BP640" s="2867"/>
      <c r="BQ640" s="2867"/>
      <c r="BR640" s="2867"/>
      <c r="BS640" s="2867"/>
      <c r="BT640" s="2867"/>
      <c r="BU640" s="2867"/>
      <c r="BV640" s="2867"/>
      <c r="BW640" s="2867"/>
      <c r="BX640" s="2867"/>
      <c r="BY640" s="2867"/>
      <c r="BZ640" s="2867"/>
      <c r="CA640" s="2867"/>
      <c r="CB640" s="2867"/>
      <c r="CC640" s="2867"/>
      <c r="CD640" s="2867"/>
      <c r="CE640" s="2867"/>
      <c r="CF640" s="2867"/>
      <c r="CG640" s="2867"/>
      <c r="CH640" s="2867"/>
      <c r="CI640" s="2867"/>
      <c r="CJ640" s="2867"/>
      <c r="CK640" s="2867"/>
      <c r="CL640" s="2867"/>
      <c r="CM640" s="2867"/>
      <c r="CN640" s="2867"/>
      <c r="CO640" s="2867"/>
      <c r="CP640" s="2867"/>
      <c r="CQ640" s="2867"/>
      <c r="CR640" s="2867"/>
      <c r="CS640" s="2867"/>
      <c r="CT640" s="2867"/>
      <c r="CU640" s="2867"/>
      <c r="CV640" s="2867"/>
      <c r="CW640" s="2867"/>
    </row>
    <row r="641" spans="1:101">
      <c r="A641" s="2867"/>
      <c r="B641" s="2867"/>
      <c r="C641" s="2867"/>
      <c r="D641" s="2867"/>
      <c r="E641" s="2867"/>
      <c r="F641" s="2867"/>
      <c r="G641" s="2867"/>
      <c r="H641" s="2867"/>
      <c r="I641" s="2867"/>
      <c r="J641" s="2867"/>
      <c r="K641" s="2867"/>
      <c r="L641" s="2867"/>
      <c r="M641" s="2867"/>
      <c r="O641" s="2867"/>
      <c r="P641" s="2867"/>
      <c r="Q641" s="2867"/>
      <c r="R641" s="2867"/>
      <c r="S641" s="2867"/>
      <c r="T641" s="2867"/>
      <c r="U641" s="2867"/>
      <c r="V641" s="2867"/>
      <c r="W641" s="2867"/>
      <c r="X641" s="2867"/>
      <c r="Y641" s="2867"/>
      <c r="Z641" s="2867"/>
      <c r="AA641" s="2867"/>
      <c r="AB641" s="2867"/>
      <c r="AC641" s="2867"/>
      <c r="AD641" s="2867"/>
      <c r="AE641" s="2867"/>
      <c r="AF641" s="2867"/>
      <c r="AG641" s="2867"/>
      <c r="AH641" s="2867"/>
      <c r="AI641" s="2867"/>
      <c r="AJ641" s="2867"/>
      <c r="AK641" s="2867"/>
      <c r="AL641" s="2867"/>
      <c r="AM641" s="2867"/>
      <c r="AN641" s="2867"/>
      <c r="AO641" s="2867"/>
      <c r="AP641" s="2867"/>
      <c r="AQ641" s="2867"/>
      <c r="AR641" s="2867"/>
      <c r="AS641" s="2867"/>
      <c r="AT641" s="2867"/>
      <c r="AU641" s="2867"/>
      <c r="AV641" s="2867"/>
      <c r="AW641" s="2867"/>
      <c r="AX641" s="2867"/>
      <c r="AY641" s="2867"/>
      <c r="AZ641" s="2867"/>
      <c r="BA641" s="2867"/>
      <c r="BB641" s="2867"/>
      <c r="BC641" s="2867"/>
      <c r="BD641" s="2867"/>
      <c r="BE641" s="2867"/>
      <c r="BF641" s="2867"/>
      <c r="BG641" s="2867"/>
      <c r="BH641" s="2867"/>
      <c r="BI641" s="2867"/>
      <c r="BJ641" s="2867"/>
      <c r="BK641" s="2867"/>
      <c r="BL641" s="2867"/>
      <c r="BM641" s="2867"/>
      <c r="BN641" s="2867"/>
      <c r="BO641" s="2867"/>
      <c r="BP641" s="2867"/>
      <c r="BQ641" s="2867"/>
      <c r="BR641" s="2867"/>
      <c r="BS641" s="2867"/>
      <c r="BT641" s="2867"/>
      <c r="BU641" s="2867"/>
      <c r="BV641" s="2867"/>
      <c r="BW641" s="2867"/>
      <c r="BX641" s="2867"/>
      <c r="BY641" s="2867"/>
      <c r="BZ641" s="2867"/>
      <c r="CA641" s="2867"/>
      <c r="CB641" s="2867"/>
      <c r="CC641" s="2867"/>
      <c r="CD641" s="2867"/>
      <c r="CE641" s="2867"/>
      <c r="CF641" s="2867"/>
      <c r="CG641" s="2867"/>
      <c r="CH641" s="2867"/>
      <c r="CI641" s="2867"/>
      <c r="CJ641" s="2867"/>
      <c r="CK641" s="2867"/>
      <c r="CL641" s="2867"/>
      <c r="CM641" s="2867"/>
      <c r="CN641" s="2867"/>
      <c r="CO641" s="2867"/>
      <c r="CP641" s="2867"/>
      <c r="CQ641" s="2867"/>
      <c r="CR641" s="2867"/>
      <c r="CS641" s="2867"/>
      <c r="CT641" s="2867"/>
      <c r="CU641" s="2867"/>
      <c r="CV641" s="2867"/>
      <c r="CW641" s="2867"/>
    </row>
    <row r="642" spans="1:101">
      <c r="A642" s="2867"/>
      <c r="B642" s="2867"/>
      <c r="C642" s="2867"/>
      <c r="D642" s="2867"/>
      <c r="E642" s="2867"/>
      <c r="F642" s="2867"/>
      <c r="G642" s="2867"/>
      <c r="H642" s="2867"/>
      <c r="I642" s="2867"/>
      <c r="J642" s="2867"/>
      <c r="K642" s="2867"/>
      <c r="L642" s="2867"/>
      <c r="M642" s="2867"/>
      <c r="O642" s="2867"/>
      <c r="P642" s="2867"/>
      <c r="Q642" s="2867"/>
      <c r="R642" s="2867"/>
      <c r="S642" s="2867"/>
      <c r="T642" s="2867"/>
      <c r="U642" s="2867"/>
      <c r="V642" s="2867"/>
      <c r="W642" s="2867"/>
      <c r="X642" s="2867"/>
      <c r="Y642" s="2867"/>
      <c r="Z642" s="2867"/>
      <c r="AA642" s="2867"/>
      <c r="AB642" s="2867"/>
      <c r="AC642" s="2867"/>
      <c r="AD642" s="2867"/>
      <c r="AE642" s="2867"/>
      <c r="AF642" s="2867"/>
      <c r="AG642" s="2867"/>
      <c r="AH642" s="2867"/>
      <c r="AI642" s="2867"/>
      <c r="AJ642" s="2867"/>
      <c r="AK642" s="2867"/>
      <c r="AL642" s="2867"/>
      <c r="AM642" s="2867"/>
      <c r="AN642" s="2867"/>
      <c r="AO642" s="2867"/>
      <c r="AP642" s="2867"/>
      <c r="AQ642" s="2867"/>
      <c r="AR642" s="2867"/>
      <c r="AS642" s="2867"/>
      <c r="AT642" s="2867"/>
      <c r="AU642" s="2867"/>
      <c r="AV642" s="2867"/>
      <c r="AW642" s="2867"/>
      <c r="AX642" s="2867"/>
      <c r="AY642" s="2867"/>
      <c r="AZ642" s="2867"/>
      <c r="BA642" s="2867"/>
      <c r="BB642" s="2867"/>
      <c r="BC642" s="2867"/>
      <c r="BD642" s="2867"/>
      <c r="BE642" s="2867"/>
      <c r="BF642" s="2867"/>
      <c r="BG642" s="2867"/>
      <c r="BH642" s="2867"/>
      <c r="BI642" s="2867"/>
      <c r="BJ642" s="2867"/>
      <c r="BK642" s="2867"/>
      <c r="BL642" s="2867"/>
      <c r="BM642" s="2867"/>
      <c r="BN642" s="2867"/>
      <c r="BO642" s="2867"/>
      <c r="BP642" s="2867"/>
      <c r="BQ642" s="2867"/>
      <c r="BR642" s="2867"/>
      <c r="BS642" s="2867"/>
      <c r="BT642" s="2867"/>
      <c r="BU642" s="2867"/>
      <c r="BV642" s="2867"/>
      <c r="BW642" s="2867"/>
      <c r="BX642" s="2867"/>
      <c r="BY642" s="2867"/>
      <c r="BZ642" s="2867"/>
      <c r="CA642" s="2867"/>
      <c r="CB642" s="2867"/>
      <c r="CC642" s="2867"/>
      <c r="CD642" s="2867"/>
      <c r="CE642" s="2867"/>
      <c r="CF642" s="2867"/>
      <c r="CG642" s="2867"/>
      <c r="CH642" s="2867"/>
      <c r="CI642" s="2867"/>
      <c r="CJ642" s="2867"/>
      <c r="CK642" s="2867"/>
      <c r="CL642" s="2867"/>
      <c r="CM642" s="2867"/>
      <c r="CN642" s="2867"/>
      <c r="CO642" s="2867"/>
      <c r="CP642" s="2867"/>
      <c r="CQ642" s="2867"/>
      <c r="CR642" s="2867"/>
      <c r="CS642" s="2867"/>
      <c r="CT642" s="2867"/>
      <c r="CU642" s="2867"/>
      <c r="CV642" s="2867"/>
      <c r="CW642" s="2867"/>
    </row>
    <row r="643" spans="1:101">
      <c r="A643" s="2867"/>
      <c r="B643" s="2867"/>
      <c r="C643" s="2867"/>
      <c r="D643" s="2867"/>
      <c r="E643" s="2867"/>
      <c r="F643" s="2867"/>
      <c r="G643" s="2867"/>
      <c r="H643" s="2867"/>
      <c r="I643" s="2867"/>
      <c r="J643" s="2867"/>
      <c r="K643" s="2867"/>
      <c r="L643" s="2867"/>
      <c r="M643" s="2867"/>
      <c r="O643" s="2867"/>
      <c r="P643" s="2867"/>
      <c r="Q643" s="2867"/>
      <c r="R643" s="2867"/>
      <c r="S643" s="2867"/>
      <c r="T643" s="2867"/>
      <c r="U643" s="2867"/>
      <c r="V643" s="2867"/>
      <c r="W643" s="2867"/>
      <c r="X643" s="2867"/>
      <c r="Y643" s="2867"/>
      <c r="Z643" s="2867"/>
      <c r="AA643" s="2867"/>
      <c r="AB643" s="2867"/>
      <c r="AC643" s="2867"/>
      <c r="AD643" s="2867"/>
      <c r="AE643" s="2867"/>
      <c r="AF643" s="2867"/>
      <c r="AG643" s="2867"/>
      <c r="AH643" s="2867"/>
      <c r="AI643" s="2867"/>
      <c r="AJ643" s="2867"/>
      <c r="AK643" s="2867"/>
      <c r="AL643" s="2867"/>
      <c r="AM643" s="2867"/>
      <c r="AN643" s="2867"/>
      <c r="AO643" s="2867"/>
      <c r="AP643" s="2867"/>
      <c r="AQ643" s="2867"/>
      <c r="AR643" s="2867"/>
      <c r="AS643" s="2867"/>
      <c r="AT643" s="2867"/>
      <c r="AU643" s="2867"/>
      <c r="AV643" s="2867"/>
      <c r="AW643" s="2867"/>
      <c r="AX643" s="2867"/>
      <c r="AY643" s="2867"/>
      <c r="AZ643" s="2867"/>
      <c r="BA643" s="2867"/>
      <c r="BB643" s="2867"/>
      <c r="BC643" s="2867"/>
      <c r="BD643" s="2867"/>
      <c r="BE643" s="2867"/>
      <c r="BF643" s="2867"/>
      <c r="BG643" s="2867"/>
      <c r="BH643" s="2867"/>
      <c r="BI643" s="2867"/>
      <c r="BJ643" s="2867"/>
      <c r="BK643" s="2867"/>
      <c r="BL643" s="2867"/>
      <c r="BM643" s="2867"/>
      <c r="BN643" s="2867"/>
      <c r="BO643" s="2867"/>
      <c r="BP643" s="2867"/>
      <c r="BQ643" s="2867"/>
      <c r="BR643" s="2867"/>
      <c r="BS643" s="2867"/>
      <c r="BT643" s="2867"/>
      <c r="BU643" s="2867"/>
      <c r="BV643" s="2867"/>
      <c r="BW643" s="2867"/>
      <c r="BX643" s="2867"/>
      <c r="BY643" s="2867"/>
      <c r="BZ643" s="2867"/>
      <c r="CA643" s="2867"/>
      <c r="CB643" s="2867"/>
      <c r="CC643" s="2867"/>
      <c r="CD643" s="2867"/>
      <c r="CE643" s="2867"/>
      <c r="CF643" s="2867"/>
      <c r="CG643" s="2867"/>
      <c r="CH643" s="2867"/>
      <c r="CI643" s="2867"/>
      <c r="CJ643" s="2867"/>
      <c r="CK643" s="2867"/>
      <c r="CL643" s="2867"/>
      <c r="CM643" s="2867"/>
      <c r="CN643" s="2867"/>
      <c r="CO643" s="2867"/>
      <c r="CP643" s="2867"/>
      <c r="CQ643" s="2867"/>
      <c r="CR643" s="2867"/>
      <c r="CS643" s="2867"/>
      <c r="CT643" s="2867"/>
      <c r="CU643" s="2867"/>
      <c r="CV643" s="2867"/>
      <c r="CW643" s="2867"/>
    </row>
    <row r="644" spans="1:101">
      <c r="A644" s="2867"/>
      <c r="B644" s="2867"/>
      <c r="C644" s="2867"/>
      <c r="D644" s="2867"/>
      <c r="E644" s="2867"/>
      <c r="F644" s="2867"/>
      <c r="G644" s="2867"/>
      <c r="H644" s="2867"/>
      <c r="I644" s="2867"/>
      <c r="J644" s="2867"/>
      <c r="K644" s="2867"/>
      <c r="L644" s="2867"/>
      <c r="M644" s="2867"/>
      <c r="O644" s="2867"/>
      <c r="P644" s="2867"/>
      <c r="Q644" s="2867"/>
      <c r="R644" s="2867"/>
      <c r="S644" s="2867"/>
      <c r="T644" s="2867"/>
      <c r="U644" s="2867"/>
      <c r="V644" s="2867"/>
      <c r="W644" s="2867"/>
      <c r="X644" s="2867"/>
      <c r="Y644" s="2867"/>
      <c r="Z644" s="2867"/>
      <c r="AA644" s="2867"/>
      <c r="AB644" s="2867"/>
      <c r="AC644" s="2867"/>
      <c r="AD644" s="2867"/>
      <c r="AE644" s="2867"/>
      <c r="AF644" s="2867"/>
      <c r="AG644" s="2867"/>
      <c r="AH644" s="2867"/>
      <c r="AI644" s="2867"/>
      <c r="AJ644" s="2867"/>
      <c r="AK644" s="2867"/>
      <c r="AL644" s="2867"/>
      <c r="AM644" s="2867"/>
      <c r="AN644" s="2867"/>
      <c r="AO644" s="2867"/>
      <c r="AP644" s="2867"/>
      <c r="AQ644" s="2867"/>
      <c r="AR644" s="2867"/>
      <c r="AS644" s="2867"/>
      <c r="AT644" s="2867"/>
      <c r="AU644" s="2867"/>
      <c r="AV644" s="2867"/>
      <c r="AW644" s="2867"/>
      <c r="AX644" s="2867"/>
      <c r="AY644" s="2867"/>
      <c r="AZ644" s="2867"/>
      <c r="BA644" s="2867"/>
      <c r="BB644" s="2867"/>
      <c r="BC644" s="2867"/>
      <c r="BD644" s="2867"/>
      <c r="BE644" s="2867"/>
      <c r="BF644" s="2867"/>
      <c r="BG644" s="2867"/>
      <c r="BH644" s="2867"/>
      <c r="BI644" s="2867"/>
      <c r="BJ644" s="2867"/>
      <c r="BK644" s="2867"/>
      <c r="BL644" s="2867"/>
      <c r="BM644" s="2867"/>
      <c r="BN644" s="2867"/>
      <c r="BO644" s="2867"/>
      <c r="BP644" s="2867"/>
      <c r="BQ644" s="2867"/>
      <c r="BR644" s="2867"/>
      <c r="BS644" s="2867"/>
      <c r="BT644" s="2867"/>
      <c r="BU644" s="2867"/>
      <c r="BV644" s="2867"/>
      <c r="BW644" s="2867"/>
      <c r="BX644" s="2867"/>
      <c r="BY644" s="2867"/>
      <c r="BZ644" s="2867"/>
      <c r="CA644" s="2867"/>
      <c r="CB644" s="2867"/>
      <c r="CC644" s="2867"/>
      <c r="CD644" s="2867"/>
      <c r="CE644" s="2867"/>
      <c r="CF644" s="2867"/>
      <c r="CG644" s="2867"/>
      <c r="CH644" s="2867"/>
      <c r="CI644" s="2867"/>
      <c r="CJ644" s="2867"/>
      <c r="CK644" s="2867"/>
      <c r="CL644" s="2867"/>
      <c r="CM644" s="2867"/>
      <c r="CN644" s="2867"/>
      <c r="CO644" s="2867"/>
      <c r="CP644" s="2867"/>
      <c r="CQ644" s="2867"/>
      <c r="CR644" s="2867"/>
      <c r="CS644" s="2867"/>
      <c r="CT644" s="2867"/>
      <c r="CU644" s="2867"/>
      <c r="CV644" s="2867"/>
      <c r="CW644" s="2867"/>
    </row>
    <row r="645" spans="1:101">
      <c r="A645" s="2867"/>
      <c r="B645" s="2867"/>
      <c r="C645" s="2867"/>
      <c r="D645" s="2867"/>
      <c r="E645" s="2867"/>
      <c r="F645" s="2867"/>
      <c r="G645" s="2867"/>
      <c r="H645" s="2867"/>
      <c r="I645" s="2867"/>
      <c r="J645" s="2867"/>
      <c r="K645" s="2867"/>
      <c r="L645" s="2867"/>
      <c r="M645" s="2867"/>
      <c r="O645" s="2867"/>
      <c r="P645" s="2867"/>
      <c r="Q645" s="2867"/>
      <c r="R645" s="2867"/>
      <c r="S645" s="2867"/>
      <c r="T645" s="2867"/>
      <c r="U645" s="2867"/>
      <c r="V645" s="2867"/>
      <c r="W645" s="2867"/>
      <c r="X645" s="2867"/>
      <c r="Y645" s="2867"/>
      <c r="Z645" s="2867"/>
      <c r="AA645" s="2867"/>
      <c r="AB645" s="2867"/>
      <c r="AC645" s="2867"/>
      <c r="AD645" s="2867"/>
      <c r="AE645" s="2867"/>
      <c r="AF645" s="2867"/>
      <c r="AG645" s="2867"/>
      <c r="AH645" s="2867"/>
      <c r="AI645" s="2867"/>
      <c r="AJ645" s="2867"/>
      <c r="AK645" s="2867"/>
      <c r="AL645" s="2867"/>
      <c r="AM645" s="2867"/>
      <c r="AN645" s="2867"/>
      <c r="AO645" s="2867"/>
      <c r="AP645" s="2867"/>
      <c r="AQ645" s="2867"/>
      <c r="AR645" s="2867"/>
      <c r="AS645" s="2867"/>
      <c r="AT645" s="2867"/>
      <c r="AU645" s="2867"/>
      <c r="AV645" s="2867"/>
      <c r="AW645" s="2867"/>
      <c r="AX645" s="2867"/>
      <c r="AY645" s="2867"/>
      <c r="AZ645" s="2867"/>
      <c r="BA645" s="2867"/>
      <c r="BB645" s="2867"/>
      <c r="BC645" s="2867"/>
      <c r="BD645" s="2867"/>
      <c r="BE645" s="2867"/>
      <c r="BF645" s="2867"/>
      <c r="BG645" s="2867"/>
      <c r="BH645" s="2867"/>
      <c r="BI645" s="2867"/>
      <c r="BJ645" s="2867"/>
      <c r="BK645" s="2867"/>
      <c r="BL645" s="2867"/>
      <c r="BM645" s="2867"/>
      <c r="BN645" s="2867"/>
      <c r="BO645" s="2867"/>
      <c r="BP645" s="2867"/>
      <c r="BQ645" s="2867"/>
      <c r="BR645" s="2867"/>
      <c r="BS645" s="2867"/>
      <c r="BT645" s="2867"/>
      <c r="BU645" s="2867"/>
      <c r="BV645" s="2867"/>
      <c r="BW645" s="2867"/>
      <c r="BX645" s="2867"/>
      <c r="BY645" s="2867"/>
      <c r="BZ645" s="2867"/>
      <c r="CA645" s="2867"/>
      <c r="CB645" s="2867"/>
      <c r="CC645" s="2867"/>
      <c r="CD645" s="2867"/>
      <c r="CE645" s="2867"/>
      <c r="CF645" s="2867"/>
      <c r="CG645" s="2867"/>
      <c r="CH645" s="2867"/>
      <c r="CI645" s="2867"/>
      <c r="CJ645" s="2867"/>
      <c r="CK645" s="2867"/>
      <c r="CL645" s="2867"/>
      <c r="CM645" s="2867"/>
      <c r="CN645" s="2867"/>
      <c r="CO645" s="2867"/>
      <c r="CP645" s="2867"/>
      <c r="CQ645" s="2867"/>
      <c r="CR645" s="2867"/>
      <c r="CS645" s="2867"/>
      <c r="CT645" s="2867"/>
      <c r="CU645" s="2867"/>
      <c r="CV645" s="2867"/>
      <c r="CW645" s="2867"/>
    </row>
    <row r="646" spans="1:101">
      <c r="A646" s="2867"/>
      <c r="B646" s="2867"/>
      <c r="C646" s="2867"/>
      <c r="D646" s="2867"/>
      <c r="E646" s="2867"/>
      <c r="F646" s="2867"/>
      <c r="G646" s="2867"/>
      <c r="H646" s="2867"/>
      <c r="I646" s="2867"/>
      <c r="J646" s="2867"/>
      <c r="K646" s="2867"/>
      <c r="L646" s="2867"/>
      <c r="M646" s="2867"/>
      <c r="O646" s="2867"/>
      <c r="P646" s="2867"/>
      <c r="Q646" s="2867"/>
      <c r="R646" s="2867"/>
      <c r="S646" s="2867"/>
      <c r="T646" s="2867"/>
      <c r="U646" s="2867"/>
      <c r="V646" s="2867"/>
      <c r="W646" s="2867"/>
      <c r="X646" s="2867"/>
      <c r="Y646" s="2867"/>
      <c r="Z646" s="2867"/>
      <c r="AA646" s="2867"/>
      <c r="AB646" s="2867"/>
      <c r="AC646" s="2867"/>
      <c r="AD646" s="2867"/>
      <c r="AE646" s="2867"/>
      <c r="AF646" s="2867"/>
      <c r="AG646" s="2867"/>
      <c r="AH646" s="2867"/>
      <c r="AI646" s="2867"/>
      <c r="AJ646" s="2867"/>
      <c r="AK646" s="2867"/>
      <c r="AL646" s="2867"/>
      <c r="AM646" s="2867"/>
      <c r="AN646" s="2867"/>
      <c r="AO646" s="2867"/>
      <c r="AP646" s="2867"/>
      <c r="AQ646" s="2867"/>
      <c r="AR646" s="2867"/>
      <c r="AS646" s="2867"/>
      <c r="AT646" s="2867"/>
      <c r="AU646" s="2867"/>
      <c r="AV646" s="2867"/>
      <c r="AW646" s="2867"/>
      <c r="AX646" s="2867"/>
      <c r="AY646" s="2867"/>
      <c r="AZ646" s="2867"/>
      <c r="BA646" s="2867"/>
      <c r="BB646" s="2867"/>
      <c r="BC646" s="2867"/>
      <c r="BD646" s="2867"/>
      <c r="BE646" s="2867"/>
      <c r="BF646" s="2867"/>
      <c r="BG646" s="2867"/>
      <c r="BH646" s="2867"/>
      <c r="BI646" s="2867"/>
      <c r="BJ646" s="2867"/>
      <c r="BK646" s="2867"/>
      <c r="BL646" s="2867"/>
      <c r="BM646" s="2867"/>
      <c r="BN646" s="2867"/>
      <c r="BO646" s="2867"/>
      <c r="BP646" s="2867"/>
      <c r="BQ646" s="2867"/>
      <c r="BR646" s="2867"/>
      <c r="BS646" s="2867"/>
      <c r="BT646" s="2867"/>
      <c r="BU646" s="2867"/>
      <c r="BV646" s="2867"/>
      <c r="BW646" s="2867"/>
      <c r="BX646" s="2867"/>
      <c r="BY646" s="2867"/>
      <c r="BZ646" s="2867"/>
      <c r="CA646" s="2867"/>
      <c r="CB646" s="2867"/>
      <c r="CC646" s="2867"/>
      <c r="CD646" s="2867"/>
      <c r="CE646" s="2867"/>
      <c r="CF646" s="2867"/>
      <c r="CG646" s="2867"/>
      <c r="CH646" s="2867"/>
      <c r="CI646" s="2867"/>
      <c r="CJ646" s="2867"/>
      <c r="CK646" s="2867"/>
      <c r="CL646" s="2867"/>
      <c r="CM646" s="2867"/>
      <c r="CN646" s="2867"/>
      <c r="CO646" s="2867"/>
      <c r="CP646" s="2867"/>
      <c r="CQ646" s="2867"/>
      <c r="CR646" s="2867"/>
      <c r="CS646" s="2867"/>
      <c r="CT646" s="2867"/>
      <c r="CU646" s="2867"/>
      <c r="CV646" s="2867"/>
      <c r="CW646" s="2867"/>
    </row>
    <row r="647" spans="1:101">
      <c r="A647" s="2867"/>
      <c r="B647" s="2867"/>
      <c r="C647" s="2867"/>
      <c r="D647" s="2867"/>
      <c r="E647" s="2867"/>
      <c r="F647" s="2867"/>
      <c r="G647" s="2867"/>
      <c r="H647" s="2867"/>
      <c r="I647" s="2867"/>
      <c r="J647" s="2867"/>
      <c r="K647" s="2867"/>
      <c r="L647" s="2867"/>
      <c r="M647" s="2867"/>
      <c r="O647" s="2867"/>
      <c r="P647" s="2867"/>
      <c r="Q647" s="2867"/>
      <c r="R647" s="2867"/>
      <c r="S647" s="2867"/>
      <c r="T647" s="2867"/>
      <c r="U647" s="2867"/>
      <c r="V647" s="2867"/>
      <c r="W647" s="2867"/>
      <c r="X647" s="2867"/>
      <c r="Y647" s="2867"/>
      <c r="Z647" s="2867"/>
      <c r="AA647" s="2867"/>
      <c r="AB647" s="2867"/>
      <c r="AC647" s="2867"/>
      <c r="AD647" s="2867"/>
      <c r="AE647" s="2867"/>
      <c r="AF647" s="2867"/>
      <c r="AG647" s="2867"/>
      <c r="AH647" s="2867"/>
      <c r="AI647" s="2867"/>
      <c r="AJ647" s="2867"/>
      <c r="AK647" s="2867"/>
      <c r="AL647" s="2867"/>
      <c r="AM647" s="2867"/>
      <c r="AN647" s="2867"/>
      <c r="AO647" s="2867"/>
      <c r="AP647" s="2867"/>
      <c r="AQ647" s="2867"/>
      <c r="AR647" s="2867"/>
      <c r="AS647" s="2867"/>
      <c r="AT647" s="2867"/>
      <c r="AU647" s="2867"/>
      <c r="AV647" s="2867"/>
      <c r="AW647" s="2867"/>
      <c r="AX647" s="2867"/>
      <c r="AY647" s="2867"/>
      <c r="AZ647" s="2867"/>
      <c r="BA647" s="2867"/>
      <c r="BB647" s="2867"/>
      <c r="BC647" s="2867"/>
      <c r="BD647" s="2867"/>
      <c r="BE647" s="2867"/>
      <c r="BF647" s="2867"/>
      <c r="BG647" s="2867"/>
      <c r="BH647" s="2867"/>
      <c r="BI647" s="2867"/>
      <c r="BJ647" s="2867"/>
      <c r="BK647" s="2867"/>
      <c r="BL647" s="2867"/>
      <c r="BM647" s="2867"/>
      <c r="BN647" s="2867"/>
      <c r="BO647" s="2867"/>
      <c r="BP647" s="2867"/>
      <c r="BQ647" s="2867"/>
      <c r="BR647" s="2867"/>
      <c r="BS647" s="2867"/>
      <c r="BT647" s="2867"/>
      <c r="BU647" s="2867"/>
      <c r="BV647" s="2867"/>
      <c r="BW647" s="2867"/>
      <c r="BX647" s="2867"/>
      <c r="BY647" s="2867"/>
      <c r="BZ647" s="2867"/>
      <c r="CA647" s="2867"/>
      <c r="CB647" s="2867"/>
      <c r="CC647" s="2867"/>
      <c r="CD647" s="2867"/>
      <c r="CE647" s="2867"/>
      <c r="CF647" s="2867"/>
      <c r="CG647" s="2867"/>
      <c r="CH647" s="2867"/>
      <c r="CI647" s="2867"/>
      <c r="CJ647" s="2867"/>
      <c r="CK647" s="2867"/>
      <c r="CL647" s="2867"/>
      <c r="CM647" s="2867"/>
      <c r="CN647" s="2867"/>
      <c r="CO647" s="2867"/>
      <c r="CP647" s="2867"/>
      <c r="CQ647" s="2867"/>
      <c r="CR647" s="2867"/>
      <c r="CS647" s="2867"/>
      <c r="CT647" s="2867"/>
      <c r="CU647" s="2867"/>
      <c r="CV647" s="2867"/>
      <c r="CW647" s="2867"/>
    </row>
    <row r="648" spans="1:101">
      <c r="A648" s="2867"/>
      <c r="B648" s="2867"/>
      <c r="C648" s="2867"/>
      <c r="D648" s="2867"/>
      <c r="E648" s="2867"/>
      <c r="F648" s="2867"/>
      <c r="G648" s="2867"/>
      <c r="H648" s="2867"/>
      <c r="I648" s="2867"/>
      <c r="J648" s="2867"/>
      <c r="K648" s="2867"/>
      <c r="L648" s="2867"/>
      <c r="M648" s="2867"/>
      <c r="O648" s="2867"/>
      <c r="P648" s="2867"/>
      <c r="Q648" s="2867"/>
      <c r="R648" s="2867"/>
      <c r="S648" s="2867"/>
      <c r="T648" s="2867"/>
      <c r="U648" s="2867"/>
      <c r="V648" s="2867"/>
      <c r="W648" s="2867"/>
      <c r="X648" s="2867"/>
      <c r="Y648" s="2867"/>
      <c r="Z648" s="2867"/>
      <c r="AA648" s="2867"/>
      <c r="AB648" s="2867"/>
      <c r="AC648" s="2867"/>
      <c r="AD648" s="2867"/>
      <c r="AE648" s="2867"/>
      <c r="AF648" s="2867"/>
      <c r="AG648" s="2867"/>
      <c r="AH648" s="2867"/>
      <c r="AI648" s="2867"/>
      <c r="AJ648" s="2867"/>
      <c r="AK648" s="2867"/>
      <c r="AL648" s="2867"/>
      <c r="AM648" s="2867"/>
      <c r="AN648" s="2867"/>
      <c r="AO648" s="2867"/>
      <c r="AP648" s="2867"/>
      <c r="AQ648" s="2867"/>
      <c r="AR648" s="2867"/>
      <c r="AS648" s="2867"/>
      <c r="AT648" s="2867"/>
      <c r="AU648" s="2867"/>
      <c r="AV648" s="2867"/>
      <c r="AW648" s="2867"/>
      <c r="AX648" s="2867"/>
      <c r="AY648" s="2867"/>
      <c r="AZ648" s="2867"/>
      <c r="BA648" s="2867"/>
      <c r="BB648" s="2867"/>
      <c r="BC648" s="2867"/>
      <c r="BD648" s="2867"/>
      <c r="BE648" s="2867"/>
      <c r="BF648" s="2867"/>
      <c r="BG648" s="2867"/>
      <c r="BH648" s="2867"/>
      <c r="BI648" s="2867"/>
      <c r="BJ648" s="2867"/>
      <c r="BK648" s="2867"/>
      <c r="BL648" s="2867"/>
      <c r="BM648" s="2867"/>
      <c r="BN648" s="2867"/>
      <c r="BO648" s="2867"/>
      <c r="BP648" s="2867"/>
      <c r="BQ648" s="2867"/>
      <c r="BR648" s="2867"/>
      <c r="BS648" s="2867"/>
      <c r="BT648" s="2867"/>
      <c r="BU648" s="2867"/>
      <c r="BV648" s="2867"/>
      <c r="BW648" s="2867"/>
      <c r="BX648" s="2867"/>
      <c r="BY648" s="2867"/>
      <c r="BZ648" s="2867"/>
      <c r="CA648" s="2867"/>
      <c r="CB648" s="2867"/>
      <c r="CC648" s="2867"/>
      <c r="CD648" s="2867"/>
      <c r="CE648" s="2867"/>
      <c r="CF648" s="2867"/>
      <c r="CG648" s="2867"/>
      <c r="CH648" s="2867"/>
      <c r="CI648" s="2867"/>
      <c r="CJ648" s="2867"/>
      <c r="CK648" s="2867"/>
      <c r="CL648" s="2867"/>
      <c r="CM648" s="2867"/>
      <c r="CN648" s="2867"/>
      <c r="CO648" s="2867"/>
      <c r="CP648" s="2867"/>
      <c r="CQ648" s="2867"/>
      <c r="CR648" s="2867"/>
      <c r="CS648" s="2867"/>
      <c r="CT648" s="2867"/>
      <c r="CU648" s="2867"/>
      <c r="CV648" s="2867"/>
      <c r="CW648" s="2867"/>
    </row>
    <row r="649" spans="1:101">
      <c r="A649" s="2867"/>
      <c r="B649" s="2867"/>
      <c r="C649" s="2867"/>
      <c r="D649" s="2867"/>
      <c r="E649" s="2867"/>
      <c r="F649" s="2867"/>
      <c r="G649" s="2867"/>
      <c r="H649" s="2867"/>
      <c r="I649" s="2867"/>
      <c r="J649" s="2867"/>
      <c r="K649" s="2867"/>
      <c r="L649" s="2867"/>
      <c r="M649" s="2867"/>
      <c r="O649" s="2867"/>
      <c r="P649" s="2867"/>
      <c r="Q649" s="2867"/>
      <c r="R649" s="2867"/>
      <c r="S649" s="2867"/>
      <c r="T649" s="2867"/>
      <c r="U649" s="2867"/>
      <c r="V649" s="2867"/>
      <c r="W649" s="2867"/>
      <c r="X649" s="2867"/>
      <c r="Y649" s="2867"/>
      <c r="Z649" s="2867"/>
      <c r="AA649" s="2867"/>
      <c r="AB649" s="2867"/>
      <c r="AC649" s="2867"/>
      <c r="AD649" s="2867"/>
      <c r="AE649" s="2867"/>
      <c r="AF649" s="2867"/>
      <c r="AG649" s="2867"/>
      <c r="AH649" s="2867"/>
      <c r="AI649" s="2867"/>
      <c r="AJ649" s="2867"/>
      <c r="AK649" s="2867"/>
      <c r="AL649" s="2867"/>
      <c r="AM649" s="2867"/>
      <c r="AN649" s="2867"/>
      <c r="AO649" s="2867"/>
      <c r="AP649" s="2867"/>
      <c r="AQ649" s="2867"/>
      <c r="AR649" s="2867"/>
      <c r="AS649" s="2867"/>
      <c r="AT649" s="2867"/>
      <c r="AU649" s="2867"/>
      <c r="AV649" s="2867"/>
      <c r="AW649" s="2867"/>
      <c r="AX649" s="2867"/>
      <c r="AY649" s="2867"/>
      <c r="AZ649" s="2867"/>
      <c r="BA649" s="2867"/>
      <c r="BB649" s="2867"/>
      <c r="BC649" s="2867"/>
      <c r="BD649" s="2867"/>
      <c r="BE649" s="2867"/>
      <c r="BF649" s="2867"/>
      <c r="BG649" s="2867"/>
      <c r="BH649" s="2867"/>
      <c r="BI649" s="2867"/>
      <c r="BJ649" s="2867"/>
      <c r="BK649" s="2867"/>
      <c r="BL649" s="2867"/>
      <c r="BM649" s="2867"/>
      <c r="BN649" s="2867"/>
      <c r="BO649" s="2867"/>
      <c r="BP649" s="2867"/>
      <c r="BQ649" s="2867"/>
      <c r="BR649" s="2867"/>
      <c r="BS649" s="2867"/>
      <c r="BT649" s="2867"/>
      <c r="BU649" s="2867"/>
      <c r="BV649" s="2867"/>
      <c r="BW649" s="2867"/>
      <c r="BX649" s="2867"/>
      <c r="BY649" s="2867"/>
      <c r="BZ649" s="2867"/>
      <c r="CA649" s="2867"/>
      <c r="CB649" s="2867"/>
      <c r="CC649" s="2867"/>
      <c r="CD649" s="2867"/>
      <c r="CE649" s="2867"/>
      <c r="CF649" s="2867"/>
      <c r="CG649" s="2867"/>
      <c r="CH649" s="2867"/>
      <c r="CI649" s="2867"/>
      <c r="CJ649" s="2867"/>
      <c r="CK649" s="2867"/>
      <c r="CL649" s="2867"/>
      <c r="CM649" s="2867"/>
      <c r="CN649" s="2867"/>
      <c r="CO649" s="2867"/>
      <c r="CP649" s="2867"/>
      <c r="CQ649" s="2867"/>
      <c r="CR649" s="2867"/>
      <c r="CS649" s="2867"/>
      <c r="CT649" s="2867"/>
      <c r="CU649" s="2867"/>
      <c r="CV649" s="2867"/>
      <c r="CW649" s="2867"/>
    </row>
    <row r="650" spans="1:101">
      <c r="A650" s="2867"/>
      <c r="B650" s="2867"/>
      <c r="C650" s="2867"/>
      <c r="D650" s="2867"/>
      <c r="E650" s="2867"/>
      <c r="F650" s="2867"/>
      <c r="G650" s="2867"/>
      <c r="H650" s="2867"/>
      <c r="I650" s="2867"/>
      <c r="J650" s="2867"/>
      <c r="K650" s="2867"/>
      <c r="L650" s="2867"/>
      <c r="M650" s="2867"/>
      <c r="O650" s="2867"/>
      <c r="P650" s="2867"/>
      <c r="Q650" s="2867"/>
      <c r="R650" s="2867"/>
      <c r="S650" s="2867"/>
      <c r="T650" s="2867"/>
      <c r="U650" s="2867"/>
      <c r="V650" s="2867"/>
      <c r="W650" s="2867"/>
      <c r="X650" s="2867"/>
      <c r="Y650" s="2867"/>
      <c r="Z650" s="2867"/>
      <c r="AA650" s="2867"/>
      <c r="AB650" s="2867"/>
      <c r="AC650" s="2867"/>
      <c r="AD650" s="2867"/>
      <c r="AE650" s="2867"/>
      <c r="AF650" s="2867"/>
      <c r="AG650" s="2867"/>
      <c r="AH650" s="2867"/>
      <c r="AI650" s="2867"/>
      <c r="AJ650" s="2867"/>
      <c r="AK650" s="2867"/>
      <c r="AL650" s="2867"/>
      <c r="AM650" s="2867"/>
      <c r="AN650" s="2867"/>
      <c r="AO650" s="2867"/>
      <c r="AP650" s="2867"/>
      <c r="AQ650" s="2867"/>
      <c r="AR650" s="2867"/>
      <c r="AS650" s="2867"/>
      <c r="AT650" s="2867"/>
      <c r="AU650" s="2867"/>
      <c r="AV650" s="2867"/>
      <c r="AW650" s="2867"/>
      <c r="AX650" s="2867"/>
      <c r="AY650" s="2867"/>
      <c r="AZ650" s="2867"/>
      <c r="BA650" s="2867"/>
      <c r="BB650" s="2867"/>
      <c r="BC650" s="2867"/>
      <c r="BD650" s="2867"/>
      <c r="BE650" s="2867"/>
      <c r="BF650" s="2867"/>
      <c r="BG650" s="2867"/>
      <c r="BH650" s="2867"/>
      <c r="BI650" s="2867"/>
      <c r="BJ650" s="2867"/>
      <c r="BK650" s="2867"/>
      <c r="BL650" s="2867"/>
      <c r="BM650" s="2867"/>
      <c r="BN650" s="2867"/>
      <c r="BO650" s="2867"/>
      <c r="BP650" s="2867"/>
      <c r="BQ650" s="2867"/>
      <c r="BR650" s="2867"/>
      <c r="BS650" s="2867"/>
      <c r="BT650" s="2867"/>
      <c r="BU650" s="2867"/>
      <c r="BV650" s="2867"/>
      <c r="BW650" s="2867"/>
      <c r="BX650" s="2867"/>
      <c r="BY650" s="2867"/>
      <c r="BZ650" s="2867"/>
      <c r="CA650" s="2867"/>
      <c r="CB650" s="2867"/>
      <c r="CC650" s="2867"/>
      <c r="CD650" s="2867"/>
      <c r="CE650" s="2867"/>
      <c r="CF650" s="2867"/>
      <c r="CG650" s="2867"/>
      <c r="CH650" s="2867"/>
      <c r="CI650" s="2867"/>
      <c r="CJ650" s="2867"/>
      <c r="CK650" s="2867"/>
      <c r="CL650" s="2867"/>
      <c r="CM650" s="2867"/>
      <c r="CN650" s="2867"/>
      <c r="CO650" s="2867"/>
      <c r="CP650" s="2867"/>
      <c r="CQ650" s="2867"/>
      <c r="CR650" s="2867"/>
      <c r="CS650" s="2867"/>
      <c r="CT650" s="2867"/>
      <c r="CU650" s="2867"/>
      <c r="CV650" s="2867"/>
      <c r="CW650" s="2867"/>
    </row>
    <row r="651" spans="1:101">
      <c r="A651" s="2867"/>
      <c r="B651" s="2867"/>
      <c r="C651" s="2867"/>
      <c r="D651" s="2867"/>
      <c r="E651" s="2867"/>
      <c r="F651" s="2867"/>
      <c r="G651" s="2867"/>
      <c r="H651" s="2867"/>
      <c r="I651" s="2867"/>
      <c r="J651" s="2867"/>
      <c r="K651" s="2867"/>
      <c r="L651" s="2867"/>
      <c r="M651" s="2867"/>
      <c r="O651" s="2867"/>
      <c r="P651" s="2867"/>
      <c r="Q651" s="2867"/>
      <c r="R651" s="2867"/>
      <c r="S651" s="2867"/>
      <c r="T651" s="2867"/>
      <c r="U651" s="2867"/>
      <c r="V651" s="2867"/>
      <c r="W651" s="2867"/>
      <c r="X651" s="2867"/>
      <c r="Y651" s="2867"/>
      <c r="Z651" s="2867"/>
      <c r="AA651" s="2867"/>
      <c r="AB651" s="2867"/>
      <c r="AC651" s="2867"/>
      <c r="AD651" s="2867"/>
      <c r="AE651" s="2867"/>
      <c r="AF651" s="2867"/>
      <c r="AG651" s="2867"/>
      <c r="AH651" s="2867"/>
      <c r="AI651" s="2867"/>
      <c r="AJ651" s="2867"/>
      <c r="AK651" s="2867"/>
      <c r="AL651" s="2867"/>
      <c r="AM651" s="2867"/>
      <c r="AN651" s="2867"/>
      <c r="AO651" s="2867"/>
      <c r="AP651" s="2867"/>
      <c r="AQ651" s="2867"/>
      <c r="AR651" s="2867"/>
      <c r="AS651" s="2867"/>
      <c r="AT651" s="2867"/>
      <c r="AU651" s="2867"/>
      <c r="AV651" s="2867"/>
      <c r="AW651" s="2867"/>
      <c r="AX651" s="2867"/>
      <c r="AY651" s="2867"/>
      <c r="AZ651" s="2867"/>
      <c r="BA651" s="2867"/>
      <c r="BB651" s="2867"/>
      <c r="BC651" s="2867"/>
      <c r="BD651" s="2867"/>
      <c r="BE651" s="2867"/>
      <c r="BF651" s="2867"/>
      <c r="BG651" s="2867"/>
      <c r="BH651" s="2867"/>
      <c r="BI651" s="2867"/>
      <c r="BJ651" s="2867"/>
      <c r="BK651" s="2867"/>
      <c r="BL651" s="2867"/>
      <c r="BM651" s="2867"/>
      <c r="BN651" s="2867"/>
      <c r="BO651" s="2867"/>
      <c r="BP651" s="2867"/>
      <c r="BQ651" s="2867"/>
      <c r="BR651" s="2867"/>
      <c r="BS651" s="2867"/>
      <c r="BT651" s="2867"/>
      <c r="BU651" s="2867"/>
      <c r="BV651" s="2867"/>
      <c r="BW651" s="2867"/>
      <c r="BX651" s="2867"/>
      <c r="BY651" s="2867"/>
      <c r="BZ651" s="2867"/>
      <c r="CA651" s="2867"/>
      <c r="CB651" s="2867"/>
      <c r="CC651" s="2867"/>
      <c r="CD651" s="2867"/>
      <c r="CE651" s="2867"/>
      <c r="CF651" s="2867"/>
      <c r="CG651" s="2867"/>
      <c r="CH651" s="2867"/>
      <c r="CI651" s="2867"/>
      <c r="CJ651" s="2867"/>
      <c r="CK651" s="2867"/>
      <c r="CL651" s="2867"/>
      <c r="CM651" s="2867"/>
      <c r="CN651" s="2867"/>
      <c r="CO651" s="2867"/>
      <c r="CP651" s="2867"/>
      <c r="CQ651" s="2867"/>
      <c r="CR651" s="2867"/>
      <c r="CS651" s="2867"/>
      <c r="CT651" s="2867"/>
      <c r="CU651" s="2867"/>
      <c r="CV651" s="2867"/>
      <c r="CW651" s="2867"/>
    </row>
    <row r="652" spans="1:101">
      <c r="A652" s="2867"/>
      <c r="B652" s="2867"/>
      <c r="C652" s="2867"/>
      <c r="D652" s="2867"/>
      <c r="E652" s="2867"/>
      <c r="F652" s="2867"/>
      <c r="G652" s="2867"/>
      <c r="H652" s="2867"/>
      <c r="I652" s="2867"/>
      <c r="J652" s="2867"/>
      <c r="K652" s="2867"/>
      <c r="L652" s="2867"/>
      <c r="M652" s="2867"/>
      <c r="O652" s="2867"/>
      <c r="P652" s="2867"/>
      <c r="Q652" s="2867"/>
      <c r="R652" s="2867"/>
      <c r="S652" s="2867"/>
      <c r="T652" s="2867"/>
      <c r="U652" s="2867"/>
      <c r="V652" s="2867"/>
      <c r="W652" s="2867"/>
      <c r="X652" s="2867"/>
      <c r="Y652" s="2867"/>
      <c r="Z652" s="2867"/>
      <c r="AA652" s="2867"/>
      <c r="AB652" s="2867"/>
      <c r="AC652" s="2867"/>
      <c r="AD652" s="2867"/>
      <c r="AE652" s="2867"/>
      <c r="AF652" s="2867"/>
      <c r="AG652" s="2867"/>
      <c r="AH652" s="2867"/>
      <c r="AI652" s="2867"/>
      <c r="AJ652" s="2867"/>
      <c r="AK652" s="2867"/>
      <c r="AL652" s="2867"/>
      <c r="AM652" s="2867"/>
      <c r="AN652" s="2867"/>
      <c r="AO652" s="2867"/>
      <c r="AP652" s="2867"/>
      <c r="AQ652" s="2867"/>
      <c r="AR652" s="2867"/>
      <c r="AS652" s="2867"/>
      <c r="AT652" s="2867"/>
      <c r="AU652" s="2867"/>
      <c r="AV652" s="2867"/>
      <c r="AW652" s="2867"/>
      <c r="AX652" s="2867"/>
      <c r="AY652" s="2867"/>
      <c r="AZ652" s="2867"/>
      <c r="BA652" s="2867"/>
      <c r="BB652" s="2867"/>
      <c r="BC652" s="2867"/>
      <c r="BD652" s="2867"/>
      <c r="BE652" s="2867"/>
      <c r="BF652" s="2867"/>
      <c r="BG652" s="2867"/>
      <c r="BH652" s="2867"/>
      <c r="BI652" s="2867"/>
      <c r="BJ652" s="2867"/>
      <c r="BK652" s="2867"/>
      <c r="BL652" s="2867"/>
      <c r="BM652" s="2867"/>
      <c r="BN652" s="2867"/>
      <c r="BO652" s="2867"/>
      <c r="BP652" s="2867"/>
      <c r="BQ652" s="2867"/>
      <c r="BR652" s="2867"/>
      <c r="BS652" s="2867"/>
      <c r="BT652" s="2867"/>
      <c r="BU652" s="2867"/>
      <c r="BV652" s="2867"/>
      <c r="BW652" s="2867"/>
      <c r="BX652" s="2867"/>
      <c r="BY652" s="2867"/>
      <c r="BZ652" s="2867"/>
      <c r="CA652" s="2867"/>
      <c r="CB652" s="2867"/>
      <c r="CC652" s="2867"/>
      <c r="CD652" s="2867"/>
      <c r="CE652" s="2867"/>
      <c r="CF652" s="2867"/>
      <c r="CG652" s="2867"/>
      <c r="CH652" s="2867"/>
      <c r="CI652" s="2867"/>
      <c r="CJ652" s="2867"/>
      <c r="CK652" s="2867"/>
      <c r="CL652" s="2867"/>
      <c r="CM652" s="2867"/>
      <c r="CN652" s="2867"/>
      <c r="CO652" s="2867"/>
      <c r="CP652" s="2867"/>
      <c r="CQ652" s="2867"/>
      <c r="CR652" s="2867"/>
      <c r="CS652" s="2867"/>
      <c r="CT652" s="2867"/>
      <c r="CU652" s="2867"/>
      <c r="CV652" s="2867"/>
      <c r="CW652" s="2867"/>
    </row>
    <row r="653" spans="1:101">
      <c r="A653" s="2867"/>
      <c r="B653" s="2867"/>
      <c r="C653" s="2867"/>
      <c r="D653" s="2867"/>
      <c r="E653" s="2867"/>
      <c r="F653" s="2867"/>
      <c r="G653" s="2867"/>
      <c r="H653" s="2867"/>
      <c r="I653" s="2867"/>
      <c r="J653" s="2867"/>
      <c r="K653" s="2867"/>
      <c r="L653" s="2867"/>
      <c r="M653" s="2867"/>
      <c r="O653" s="2867"/>
      <c r="P653" s="2867"/>
      <c r="Q653" s="2867"/>
      <c r="R653" s="2867"/>
      <c r="S653" s="2867"/>
      <c r="T653" s="2867"/>
      <c r="U653" s="2867"/>
      <c r="V653" s="2867"/>
      <c r="W653" s="2867"/>
      <c r="X653" s="2867"/>
      <c r="Y653" s="2867"/>
      <c r="Z653" s="2867"/>
      <c r="AA653" s="2867"/>
      <c r="AB653" s="2867"/>
      <c r="AC653" s="2867"/>
      <c r="AD653" s="2867"/>
      <c r="AE653" s="2867"/>
      <c r="AF653" s="2867"/>
      <c r="AG653" s="2867"/>
      <c r="AH653" s="2867"/>
      <c r="AI653" s="2867"/>
      <c r="AJ653" s="2867"/>
      <c r="AK653" s="2867"/>
      <c r="AL653" s="2867"/>
      <c r="AM653" s="2867"/>
      <c r="AN653" s="2867"/>
      <c r="AO653" s="2867"/>
      <c r="AP653" s="2867"/>
      <c r="AQ653" s="2867"/>
      <c r="AR653" s="2867"/>
      <c r="AS653" s="2867"/>
      <c r="AT653" s="2867"/>
      <c r="AU653" s="2867"/>
      <c r="AV653" s="2867"/>
      <c r="AW653" s="2867"/>
      <c r="AX653" s="2867"/>
      <c r="AY653" s="2867"/>
      <c r="AZ653" s="2867"/>
      <c r="BA653" s="2867"/>
      <c r="BB653" s="2867"/>
      <c r="BC653" s="2867"/>
      <c r="BD653" s="2867"/>
      <c r="BE653" s="2867"/>
      <c r="BF653" s="2867"/>
      <c r="BG653" s="2867"/>
      <c r="BH653" s="2867"/>
      <c r="BI653" s="2867"/>
      <c r="BJ653" s="2867"/>
      <c r="BK653" s="2867"/>
      <c r="BL653" s="2867"/>
      <c r="BM653" s="2867"/>
      <c r="BN653" s="2867"/>
      <c r="BO653" s="2867"/>
      <c r="BP653" s="2867"/>
      <c r="BQ653" s="2867"/>
      <c r="BR653" s="2867"/>
      <c r="BS653" s="2867"/>
      <c r="BT653" s="2867"/>
      <c r="BU653" s="2867"/>
      <c r="BV653" s="2867"/>
      <c r="BW653" s="2867"/>
      <c r="BX653" s="2867"/>
      <c r="BY653" s="2867"/>
      <c r="BZ653" s="2867"/>
      <c r="CA653" s="2867"/>
      <c r="CB653" s="2867"/>
      <c r="CC653" s="2867"/>
      <c r="CD653" s="2867"/>
      <c r="CE653" s="2867"/>
      <c r="CF653" s="2867"/>
      <c r="CG653" s="2867"/>
      <c r="CH653" s="2867"/>
      <c r="CI653" s="2867"/>
      <c r="CJ653" s="2867"/>
      <c r="CK653" s="2867"/>
      <c r="CL653" s="2867"/>
      <c r="CM653" s="2867"/>
      <c r="CN653" s="2867"/>
      <c r="CO653" s="2867"/>
      <c r="CP653" s="2867"/>
      <c r="CQ653" s="2867"/>
      <c r="CR653" s="2867"/>
      <c r="CS653" s="2867"/>
      <c r="CT653" s="2867"/>
      <c r="CU653" s="2867"/>
      <c r="CV653" s="2867"/>
      <c r="CW653" s="2867"/>
    </row>
    <row r="654" spans="1:101">
      <c r="A654" s="2867"/>
      <c r="B654" s="2867"/>
      <c r="C654" s="2867"/>
      <c r="D654" s="2867"/>
      <c r="E654" s="2867"/>
      <c r="F654" s="2867"/>
      <c r="G654" s="2867"/>
      <c r="H654" s="2867"/>
      <c r="I654" s="2867"/>
      <c r="J654" s="2867"/>
      <c r="K654" s="2867"/>
      <c r="L654" s="2867"/>
      <c r="M654" s="2867"/>
      <c r="O654" s="2867"/>
      <c r="P654" s="2867"/>
      <c r="Q654" s="2867"/>
      <c r="R654" s="2867"/>
      <c r="S654" s="2867"/>
      <c r="T654" s="2867"/>
      <c r="U654" s="2867"/>
      <c r="V654" s="2867"/>
      <c r="W654" s="2867"/>
      <c r="X654" s="2867"/>
      <c r="Y654" s="2867"/>
      <c r="Z654" s="2867"/>
      <c r="AA654" s="2867"/>
      <c r="AB654" s="2867"/>
      <c r="AC654" s="2867"/>
      <c r="AD654" s="2867"/>
      <c r="AE654" s="2867"/>
      <c r="AF654" s="2867"/>
      <c r="AG654" s="2867"/>
      <c r="AH654" s="2867"/>
      <c r="AI654" s="2867"/>
      <c r="AJ654" s="2867"/>
      <c r="AK654" s="2867"/>
      <c r="AL654" s="2867"/>
      <c r="AM654" s="2867"/>
      <c r="AN654" s="2867"/>
      <c r="AO654" s="2867"/>
      <c r="AP654" s="2867"/>
      <c r="AQ654" s="2867"/>
      <c r="AR654" s="2867"/>
      <c r="AS654" s="2867"/>
      <c r="AT654" s="2867"/>
      <c r="AU654" s="2867"/>
      <c r="AV654" s="2867"/>
      <c r="AW654" s="2867"/>
      <c r="AX654" s="2867"/>
      <c r="AY654" s="2867"/>
      <c r="AZ654" s="2867"/>
      <c r="BA654" s="2867"/>
      <c r="BB654" s="2867"/>
      <c r="BC654" s="2867"/>
      <c r="BD654" s="2867"/>
      <c r="BE654" s="2867"/>
      <c r="BF654" s="2867"/>
      <c r="BG654" s="2867"/>
      <c r="BH654" s="2867"/>
      <c r="BI654" s="2867"/>
      <c r="BJ654" s="2867"/>
      <c r="BK654" s="2867"/>
      <c r="BL654" s="2867"/>
      <c r="BM654" s="2867"/>
      <c r="BN654" s="2867"/>
      <c r="BO654" s="2867"/>
      <c r="BP654" s="2867"/>
      <c r="BQ654" s="2867"/>
      <c r="BR654" s="2867"/>
      <c r="BS654" s="2867"/>
      <c r="BT654" s="2867"/>
      <c r="BU654" s="2867"/>
      <c r="BV654" s="2867"/>
      <c r="BW654" s="2867"/>
      <c r="BX654" s="2867"/>
      <c r="BY654" s="2867"/>
      <c r="BZ654" s="2867"/>
      <c r="CA654" s="2867"/>
      <c r="CB654" s="2867"/>
      <c r="CC654" s="2867"/>
      <c r="CD654" s="2867"/>
      <c r="CE654" s="2867"/>
      <c r="CF654" s="2867"/>
      <c r="CG654" s="2867"/>
      <c r="CH654" s="2867"/>
      <c r="CI654" s="2867"/>
      <c r="CJ654" s="2867"/>
      <c r="CK654" s="2867"/>
      <c r="CL654" s="2867"/>
      <c r="CM654" s="2867"/>
      <c r="CN654" s="2867"/>
      <c r="CO654" s="2867"/>
      <c r="CP654" s="2867"/>
      <c r="CQ654" s="2867"/>
      <c r="CR654" s="2867"/>
      <c r="CS654" s="2867"/>
      <c r="CT654" s="2867"/>
      <c r="CU654" s="2867"/>
      <c r="CV654" s="2867"/>
      <c r="CW654" s="2867"/>
    </row>
    <row r="655" spans="1:101">
      <c r="A655" s="2867"/>
      <c r="B655" s="2867"/>
      <c r="C655" s="2867"/>
      <c r="D655" s="2867"/>
      <c r="E655" s="2867"/>
      <c r="F655" s="2867"/>
      <c r="G655" s="2867"/>
      <c r="H655" s="2867"/>
      <c r="I655" s="2867"/>
      <c r="J655" s="2867"/>
      <c r="K655" s="2867"/>
      <c r="L655" s="2867"/>
      <c r="M655" s="2867"/>
      <c r="O655" s="2867"/>
      <c r="P655" s="2867"/>
      <c r="Q655" s="2867"/>
      <c r="R655" s="2867"/>
      <c r="S655" s="2867"/>
      <c r="T655" s="2867"/>
      <c r="U655" s="2867"/>
      <c r="V655" s="2867"/>
      <c r="W655" s="2867"/>
      <c r="X655" s="2867"/>
      <c r="Y655" s="2867"/>
      <c r="Z655" s="2867"/>
      <c r="AA655" s="2867"/>
      <c r="AB655" s="2867"/>
      <c r="AC655" s="2867"/>
      <c r="AD655" s="2867"/>
      <c r="AE655" s="2867"/>
      <c r="AF655" s="2867"/>
      <c r="AG655" s="2867"/>
      <c r="AH655" s="2867"/>
      <c r="AI655" s="2867"/>
      <c r="AJ655" s="2867"/>
      <c r="AK655" s="2867"/>
      <c r="AL655" s="2867"/>
      <c r="AM655" s="2867"/>
      <c r="AN655" s="2867"/>
      <c r="AO655" s="2867"/>
      <c r="AP655" s="2867"/>
      <c r="AQ655" s="2867"/>
      <c r="AR655" s="2867"/>
      <c r="AS655" s="2867"/>
      <c r="AT655" s="2867"/>
      <c r="AU655" s="2867"/>
      <c r="AV655" s="2867"/>
      <c r="AW655" s="2867"/>
      <c r="AX655" s="2867"/>
      <c r="AY655" s="2867"/>
      <c r="AZ655" s="2867"/>
      <c r="BA655" s="2867"/>
      <c r="BB655" s="2867"/>
      <c r="BC655" s="2867"/>
      <c r="BD655" s="2867"/>
      <c r="BE655" s="2867"/>
      <c r="BF655" s="2867"/>
      <c r="BG655" s="2867"/>
      <c r="BH655" s="2867"/>
      <c r="BI655" s="2867"/>
      <c r="BJ655" s="2867"/>
      <c r="BK655" s="2867"/>
      <c r="BL655" s="2867"/>
      <c r="BM655" s="2867"/>
      <c r="BN655" s="2867"/>
      <c r="BO655" s="2867"/>
      <c r="BP655" s="2867"/>
      <c r="BQ655" s="2867"/>
      <c r="BR655" s="2867"/>
      <c r="BS655" s="2867"/>
      <c r="BT655" s="2867"/>
      <c r="BU655" s="2867"/>
      <c r="BV655" s="2867"/>
      <c r="BW655" s="2867"/>
      <c r="BX655" s="2867"/>
      <c r="BY655" s="2867"/>
      <c r="BZ655" s="2867"/>
      <c r="CA655" s="2867"/>
      <c r="CB655" s="2867"/>
      <c r="CC655" s="2867"/>
      <c r="CD655" s="2867"/>
      <c r="CE655" s="2867"/>
      <c r="CF655" s="2867"/>
      <c r="CG655" s="2867"/>
      <c r="CH655" s="2867"/>
      <c r="CI655" s="2867"/>
      <c r="CJ655" s="2867"/>
      <c r="CK655" s="2867"/>
      <c r="CL655" s="2867"/>
      <c r="CM655" s="2867"/>
      <c r="CN655" s="2867"/>
      <c r="CO655" s="2867"/>
      <c r="CP655" s="2867"/>
      <c r="CQ655" s="2867"/>
      <c r="CR655" s="2867"/>
      <c r="CS655" s="2867"/>
      <c r="CT655" s="2867"/>
      <c r="CU655" s="2867"/>
      <c r="CV655" s="2867"/>
      <c r="CW655" s="2867"/>
    </row>
    <row r="656" spans="1:101">
      <c r="A656" s="2867"/>
      <c r="B656" s="2867"/>
      <c r="C656" s="2867"/>
      <c r="D656" s="2867"/>
      <c r="E656" s="2867"/>
      <c r="F656" s="2867"/>
      <c r="G656" s="2867"/>
      <c r="H656" s="2867"/>
      <c r="I656" s="2867"/>
      <c r="J656" s="2867"/>
      <c r="K656" s="2867"/>
      <c r="L656" s="2867"/>
      <c r="M656" s="2867"/>
      <c r="O656" s="2867"/>
      <c r="P656" s="2867"/>
      <c r="Q656" s="2867"/>
      <c r="R656" s="2867"/>
      <c r="S656" s="2867"/>
      <c r="T656" s="2867"/>
      <c r="U656" s="2867"/>
      <c r="V656" s="2867"/>
      <c r="W656" s="2867"/>
      <c r="X656" s="2867"/>
      <c r="Y656" s="2867"/>
      <c r="Z656" s="2867"/>
      <c r="AA656" s="2867"/>
      <c r="AB656" s="2867"/>
      <c r="AC656" s="2867"/>
      <c r="AD656" s="2867"/>
      <c r="AE656" s="2867"/>
      <c r="AF656" s="2867"/>
      <c r="AG656" s="2867"/>
      <c r="AH656" s="2867"/>
      <c r="AI656" s="2867"/>
      <c r="AJ656" s="2867"/>
      <c r="AK656" s="2867"/>
      <c r="AL656" s="2867"/>
      <c r="AM656" s="2867"/>
      <c r="AN656" s="2867"/>
      <c r="AO656" s="2867"/>
      <c r="AP656" s="2867"/>
      <c r="AQ656" s="2867"/>
      <c r="AR656" s="2867"/>
      <c r="AS656" s="2867"/>
      <c r="AT656" s="2867"/>
      <c r="AU656" s="2867"/>
      <c r="AV656" s="2867"/>
      <c r="AW656" s="2867"/>
      <c r="AX656" s="2867"/>
      <c r="AY656" s="2867"/>
      <c r="AZ656" s="2867"/>
      <c r="BA656" s="2867"/>
      <c r="BB656" s="2867"/>
      <c r="BC656" s="2867"/>
      <c r="BD656" s="2867"/>
      <c r="BE656" s="2867"/>
      <c r="BF656" s="2867"/>
      <c r="BG656" s="2867"/>
      <c r="BH656" s="2867"/>
      <c r="BI656" s="2867"/>
      <c r="BJ656" s="2867"/>
      <c r="BK656" s="2867"/>
      <c r="BL656" s="2867"/>
      <c r="BM656" s="2867"/>
      <c r="BN656" s="2867"/>
      <c r="BO656" s="2867"/>
      <c r="BP656" s="2867"/>
      <c r="BQ656" s="2867"/>
      <c r="BR656" s="2867"/>
      <c r="BS656" s="2867"/>
      <c r="BT656" s="2867"/>
      <c r="BU656" s="2867"/>
      <c r="BV656" s="2867"/>
      <c r="BW656" s="2867"/>
      <c r="BX656" s="2867"/>
      <c r="BY656" s="2867"/>
      <c r="BZ656" s="2867"/>
      <c r="CA656" s="2867"/>
      <c r="CB656" s="2867"/>
      <c r="CC656" s="2867"/>
      <c r="CD656" s="2867"/>
      <c r="CE656" s="2867"/>
      <c r="CF656" s="2867"/>
      <c r="CG656" s="2867"/>
      <c r="CH656" s="2867"/>
      <c r="CI656" s="2867"/>
      <c r="CJ656" s="2867"/>
      <c r="CK656" s="2867"/>
      <c r="CL656" s="2867"/>
      <c r="CM656" s="2867"/>
      <c r="CN656" s="2867"/>
      <c r="CO656" s="2867"/>
      <c r="CP656" s="2867"/>
      <c r="CQ656" s="2867"/>
      <c r="CR656" s="2867"/>
      <c r="CS656" s="2867"/>
      <c r="CT656" s="2867"/>
      <c r="CU656" s="2867"/>
      <c r="CV656" s="2867"/>
      <c r="CW656" s="2867"/>
    </row>
    <row r="657" spans="1:101">
      <c r="A657" s="2867"/>
      <c r="B657" s="2867"/>
      <c r="C657" s="2867"/>
      <c r="D657" s="2867"/>
      <c r="E657" s="2867"/>
      <c r="F657" s="2867"/>
      <c r="G657" s="2867"/>
      <c r="H657" s="2867"/>
      <c r="I657" s="2867"/>
      <c r="J657" s="2867"/>
      <c r="K657" s="2867"/>
      <c r="L657" s="2867"/>
      <c r="M657" s="2867"/>
      <c r="O657" s="2867"/>
      <c r="P657" s="2867"/>
      <c r="Q657" s="2867"/>
      <c r="R657" s="2867"/>
      <c r="S657" s="2867"/>
      <c r="T657" s="2867"/>
      <c r="U657" s="2867"/>
      <c r="V657" s="2867"/>
      <c r="W657" s="2867"/>
      <c r="X657" s="2867"/>
      <c r="Y657" s="2867"/>
      <c r="Z657" s="2867"/>
      <c r="AA657" s="2867"/>
      <c r="AB657" s="2867"/>
      <c r="AC657" s="2867"/>
      <c r="AD657" s="2867"/>
      <c r="AE657" s="2867"/>
      <c r="AF657" s="2867"/>
      <c r="AG657" s="2867"/>
      <c r="AH657" s="2867"/>
      <c r="AI657" s="2867"/>
      <c r="AJ657" s="2867"/>
      <c r="AK657" s="2867"/>
      <c r="AL657" s="2867"/>
      <c r="AM657" s="2867"/>
      <c r="AN657" s="2867"/>
      <c r="AO657" s="2867"/>
      <c r="AP657" s="2867"/>
      <c r="AQ657" s="2867"/>
      <c r="AR657" s="2867"/>
      <c r="AS657" s="2867"/>
      <c r="AT657" s="2867"/>
      <c r="AU657" s="2867"/>
      <c r="AV657" s="2867"/>
      <c r="AW657" s="2867"/>
      <c r="AX657" s="2867"/>
      <c r="AY657" s="2867"/>
      <c r="AZ657" s="2867"/>
      <c r="BA657" s="2867"/>
      <c r="BB657" s="2867"/>
      <c r="BC657" s="2867"/>
      <c r="BD657" s="2867"/>
      <c r="BE657" s="2867"/>
      <c r="BF657" s="2867"/>
      <c r="BG657" s="2867"/>
      <c r="BH657" s="2867"/>
      <c r="BI657" s="2867"/>
      <c r="BJ657" s="2867"/>
      <c r="BK657" s="2867"/>
      <c r="BL657" s="2867"/>
      <c r="BM657" s="2867"/>
      <c r="BN657" s="2867"/>
      <c r="BO657" s="2867"/>
      <c r="BP657" s="2867"/>
      <c r="BQ657" s="2867"/>
      <c r="BR657" s="2867"/>
      <c r="BS657" s="2867"/>
      <c r="BT657" s="2867"/>
      <c r="BU657" s="2867"/>
      <c r="BV657" s="2867"/>
      <c r="BW657" s="2867"/>
      <c r="BX657" s="2867"/>
      <c r="BY657" s="2867"/>
      <c r="BZ657" s="2867"/>
      <c r="CA657" s="2867"/>
      <c r="CB657" s="2867"/>
      <c r="CC657" s="2867"/>
      <c r="CD657" s="2867"/>
      <c r="CE657" s="2867"/>
      <c r="CF657" s="2867"/>
      <c r="CG657" s="2867"/>
      <c r="CH657" s="2867"/>
      <c r="CI657" s="2867"/>
      <c r="CJ657" s="2867"/>
      <c r="CK657" s="2867"/>
      <c r="CL657" s="2867"/>
      <c r="CM657" s="2867"/>
      <c r="CN657" s="2867"/>
      <c r="CO657" s="2867"/>
      <c r="CP657" s="2867"/>
      <c r="CQ657" s="2867"/>
      <c r="CR657" s="2867"/>
      <c r="CS657" s="2867"/>
      <c r="CT657" s="2867"/>
      <c r="CU657" s="2867"/>
      <c r="CV657" s="2867"/>
      <c r="CW657" s="2867"/>
    </row>
    <row r="658" spans="1:101">
      <c r="A658" s="2867"/>
      <c r="B658" s="2867"/>
      <c r="C658" s="2867"/>
      <c r="D658" s="2867"/>
      <c r="E658" s="2867"/>
      <c r="F658" s="2867"/>
      <c r="G658" s="2867"/>
      <c r="H658" s="2867"/>
      <c r="I658" s="2867"/>
      <c r="J658" s="2867"/>
      <c r="K658" s="2867"/>
      <c r="L658" s="2867"/>
      <c r="M658" s="2867"/>
      <c r="O658" s="2867"/>
      <c r="P658" s="2867"/>
      <c r="Q658" s="2867"/>
      <c r="R658" s="2867"/>
      <c r="S658" s="2867"/>
      <c r="T658" s="2867"/>
      <c r="U658" s="2867"/>
      <c r="V658" s="2867"/>
      <c r="W658" s="2867"/>
      <c r="X658" s="2867"/>
      <c r="Y658" s="2867"/>
      <c r="Z658" s="2867"/>
      <c r="AA658" s="2867"/>
      <c r="AB658" s="2867"/>
      <c r="AC658" s="2867"/>
      <c r="AD658" s="2867"/>
      <c r="AE658" s="2867"/>
      <c r="AF658" s="2867"/>
      <c r="AG658" s="2867"/>
      <c r="AH658" s="2867"/>
      <c r="AI658" s="2867"/>
      <c r="AJ658" s="2867"/>
      <c r="AK658" s="2867"/>
      <c r="AL658" s="2867"/>
      <c r="AM658" s="2867"/>
      <c r="AN658" s="2867"/>
      <c r="AO658" s="2867"/>
      <c r="AP658" s="2867"/>
      <c r="AQ658" s="2867"/>
      <c r="AR658" s="2867"/>
      <c r="AS658" s="2867"/>
      <c r="AT658" s="2867"/>
      <c r="AU658" s="2867"/>
      <c r="AV658" s="2867"/>
      <c r="AW658" s="2867"/>
      <c r="AX658" s="2867"/>
      <c r="AY658" s="2867"/>
      <c r="AZ658" s="2867"/>
      <c r="BA658" s="2867"/>
      <c r="BB658" s="2867"/>
      <c r="BC658" s="2867"/>
      <c r="BD658" s="2867"/>
      <c r="BE658" s="2867"/>
      <c r="BF658" s="2867"/>
      <c r="BG658" s="2867"/>
      <c r="BH658" s="2867"/>
      <c r="BI658" s="2867"/>
      <c r="BJ658" s="2867"/>
      <c r="BK658" s="2867"/>
      <c r="BL658" s="2867"/>
      <c r="BM658" s="2867"/>
      <c r="BN658" s="2867"/>
      <c r="BO658" s="2867"/>
      <c r="BP658" s="2867"/>
      <c r="BQ658" s="2867"/>
      <c r="BR658" s="2867"/>
      <c r="BS658" s="2867"/>
      <c r="BT658" s="2867"/>
      <c r="BU658" s="2867"/>
      <c r="BV658" s="2867"/>
      <c r="BW658" s="2867"/>
      <c r="BX658" s="2867"/>
      <c r="BY658" s="2867"/>
      <c r="BZ658" s="2867"/>
      <c r="CA658" s="2867"/>
      <c r="CB658" s="2867"/>
      <c r="CC658" s="2867"/>
      <c r="CD658" s="2867"/>
      <c r="CE658" s="2867"/>
      <c r="CF658" s="2867"/>
      <c r="CG658" s="2867"/>
      <c r="CH658" s="2867"/>
      <c r="CI658" s="2867"/>
      <c r="CJ658" s="2867"/>
      <c r="CK658" s="2867"/>
      <c r="CL658" s="2867"/>
      <c r="CM658" s="2867"/>
      <c r="CN658" s="2867"/>
      <c r="CO658" s="2867"/>
      <c r="CP658" s="2867"/>
      <c r="CQ658" s="2867"/>
      <c r="CR658" s="2867"/>
      <c r="CS658" s="2867"/>
      <c r="CT658" s="2867"/>
      <c r="CU658" s="2867"/>
      <c r="CV658" s="2867"/>
      <c r="CW658" s="2867"/>
    </row>
    <row r="659" spans="1:101">
      <c r="A659" s="2867"/>
      <c r="B659" s="2867"/>
      <c r="C659" s="2867"/>
      <c r="D659" s="2867"/>
      <c r="E659" s="2867"/>
      <c r="F659" s="2867"/>
      <c r="G659" s="2867"/>
      <c r="H659" s="2867"/>
      <c r="I659" s="2867"/>
      <c r="J659" s="2867"/>
      <c r="K659" s="2867"/>
      <c r="L659" s="2867"/>
      <c r="M659" s="2867"/>
      <c r="O659" s="2867"/>
      <c r="P659" s="2867"/>
      <c r="Q659" s="2867"/>
      <c r="R659" s="2867"/>
      <c r="S659" s="2867"/>
      <c r="T659" s="2867"/>
      <c r="U659" s="2867"/>
      <c r="V659" s="2867"/>
      <c r="W659" s="2867"/>
      <c r="X659" s="2867"/>
      <c r="Y659" s="2867"/>
      <c r="Z659" s="2867"/>
      <c r="AA659" s="2867"/>
      <c r="AB659" s="2867"/>
      <c r="AC659" s="2867"/>
      <c r="AD659" s="2867"/>
      <c r="AE659" s="2867"/>
      <c r="AF659" s="2867"/>
      <c r="AG659" s="2867"/>
      <c r="AH659" s="2867"/>
      <c r="AI659" s="2867"/>
      <c r="AJ659" s="2867"/>
      <c r="AK659" s="2867"/>
      <c r="AL659" s="2867"/>
      <c r="AM659" s="2867"/>
      <c r="AN659" s="2867"/>
      <c r="AO659" s="2867"/>
      <c r="AP659" s="2867"/>
      <c r="AQ659" s="2867"/>
      <c r="AR659" s="2867"/>
      <c r="AS659" s="2867"/>
      <c r="AT659" s="2867"/>
      <c r="AU659" s="2867"/>
      <c r="AV659" s="2867"/>
      <c r="AW659" s="2867"/>
      <c r="AX659" s="2867"/>
      <c r="AY659" s="2867"/>
      <c r="AZ659" s="2867"/>
      <c r="BA659" s="2867"/>
      <c r="BB659" s="2867"/>
      <c r="BC659" s="2867"/>
      <c r="BD659" s="2867"/>
      <c r="BE659" s="2867"/>
      <c r="BF659" s="2867"/>
      <c r="BG659" s="2867"/>
      <c r="BH659" s="2867"/>
      <c r="BI659" s="2867"/>
      <c r="BJ659" s="2867"/>
      <c r="BK659" s="2867"/>
      <c r="BL659" s="2867"/>
      <c r="BM659" s="2867"/>
      <c r="BN659" s="2867"/>
      <c r="BO659" s="2867"/>
      <c r="BP659" s="2867"/>
      <c r="BQ659" s="2867"/>
      <c r="BR659" s="2867"/>
      <c r="BS659" s="2867"/>
      <c r="BT659" s="2867"/>
      <c r="BU659" s="2867"/>
      <c r="BV659" s="2867"/>
      <c r="BW659" s="2867"/>
      <c r="BX659" s="2867"/>
      <c r="BY659" s="2867"/>
      <c r="BZ659" s="2867"/>
      <c r="CA659" s="2867"/>
      <c r="CB659" s="2867"/>
      <c r="CC659" s="2867"/>
      <c r="CD659" s="2867"/>
      <c r="CE659" s="2867"/>
      <c r="CF659" s="2867"/>
      <c r="CG659" s="2867"/>
      <c r="CH659" s="2867"/>
      <c r="CI659" s="2867"/>
      <c r="CJ659" s="2867"/>
      <c r="CK659" s="2867"/>
      <c r="CL659" s="2867"/>
      <c r="CM659" s="2867"/>
      <c r="CN659" s="2867"/>
      <c r="CO659" s="2867"/>
      <c r="CP659" s="2867"/>
      <c r="CQ659" s="2867"/>
      <c r="CR659" s="2867"/>
      <c r="CS659" s="2867"/>
      <c r="CT659" s="2867"/>
      <c r="CU659" s="2867"/>
      <c r="CV659" s="2867"/>
      <c r="CW659" s="2867"/>
    </row>
    <row r="660" spans="1:101">
      <c r="A660" s="2867"/>
      <c r="B660" s="2867"/>
      <c r="C660" s="2867"/>
      <c r="D660" s="2867"/>
      <c r="E660" s="2867"/>
      <c r="F660" s="2867"/>
      <c r="G660" s="2867"/>
      <c r="H660" s="2867"/>
      <c r="I660" s="2867"/>
      <c r="J660" s="2867"/>
      <c r="K660" s="2867"/>
      <c r="L660" s="2867"/>
      <c r="M660" s="2867"/>
      <c r="O660" s="2867"/>
      <c r="P660" s="2867"/>
      <c r="Q660" s="2867"/>
      <c r="R660" s="2867"/>
      <c r="S660" s="2867"/>
      <c r="T660" s="2867"/>
      <c r="U660" s="2867"/>
      <c r="V660" s="2867"/>
      <c r="W660" s="2867"/>
      <c r="X660" s="2867"/>
      <c r="Y660" s="2867"/>
      <c r="Z660" s="2867"/>
      <c r="AA660" s="2867"/>
      <c r="AB660" s="2867"/>
      <c r="AC660" s="2867"/>
      <c r="AD660" s="2867"/>
      <c r="AE660" s="2867"/>
      <c r="AF660" s="2867"/>
      <c r="AG660" s="2867"/>
      <c r="AH660" s="2867"/>
      <c r="AI660" s="2867"/>
      <c r="AJ660" s="2867"/>
      <c r="AK660" s="2867"/>
      <c r="AL660" s="2867"/>
      <c r="AM660" s="2867"/>
      <c r="AN660" s="2867"/>
      <c r="AO660" s="2867"/>
      <c r="AP660" s="2867"/>
      <c r="AQ660" s="2867"/>
      <c r="AR660" s="2867"/>
      <c r="AS660" s="2867"/>
      <c r="AT660" s="2867"/>
      <c r="AU660" s="2867"/>
      <c r="AV660" s="2867"/>
      <c r="AW660" s="2867"/>
      <c r="AX660" s="2867"/>
      <c r="AY660" s="2867"/>
      <c r="AZ660" s="2867"/>
      <c r="BA660" s="2867"/>
      <c r="BB660" s="2867"/>
      <c r="BC660" s="2867"/>
      <c r="BD660" s="2867"/>
      <c r="BE660" s="2867"/>
      <c r="BF660" s="2867"/>
      <c r="BG660" s="2867"/>
      <c r="BH660" s="2867"/>
      <c r="BI660" s="2867"/>
      <c r="BJ660" s="2867"/>
      <c r="BK660" s="2867"/>
      <c r="BL660" s="2867"/>
      <c r="BM660" s="2867"/>
      <c r="BN660" s="2867"/>
      <c r="BO660" s="2867"/>
      <c r="BP660" s="2867"/>
      <c r="BQ660" s="2867"/>
      <c r="BR660" s="2867"/>
      <c r="BS660" s="2867"/>
      <c r="BT660" s="2867"/>
      <c r="BU660" s="2867"/>
      <c r="BV660" s="2867"/>
      <c r="BW660" s="2867"/>
      <c r="BX660" s="2867"/>
      <c r="BY660" s="2867"/>
      <c r="BZ660" s="2867"/>
      <c r="CA660" s="2867"/>
      <c r="CB660" s="2867"/>
      <c r="CC660" s="2867"/>
      <c r="CD660" s="2867"/>
      <c r="CE660" s="2867"/>
      <c r="CF660" s="2867"/>
      <c r="CG660" s="2867"/>
      <c r="CH660" s="2867"/>
      <c r="CI660" s="2867"/>
      <c r="CJ660" s="2867"/>
      <c r="CK660" s="2867"/>
      <c r="CL660" s="2867"/>
      <c r="CM660" s="2867"/>
      <c r="CN660" s="2867"/>
      <c r="CO660" s="2867"/>
      <c r="CP660" s="2867"/>
      <c r="CQ660" s="2867"/>
      <c r="CR660" s="2867"/>
      <c r="CS660" s="2867"/>
      <c r="CT660" s="2867"/>
      <c r="CU660" s="2867"/>
      <c r="CV660" s="2867"/>
      <c r="CW660" s="2867"/>
    </row>
    <row r="661" spans="1:101">
      <c r="A661" s="2867"/>
      <c r="B661" s="2867"/>
      <c r="C661" s="2867"/>
      <c r="D661" s="2867"/>
      <c r="E661" s="2867"/>
      <c r="F661" s="2867"/>
      <c r="G661" s="2867"/>
      <c r="H661" s="2867"/>
      <c r="I661" s="2867"/>
      <c r="J661" s="2867"/>
      <c r="K661" s="2867"/>
      <c r="L661" s="2867"/>
      <c r="M661" s="2867"/>
      <c r="O661" s="2867"/>
      <c r="P661" s="2867"/>
      <c r="Q661" s="2867"/>
      <c r="R661" s="2867"/>
      <c r="S661" s="2867"/>
      <c r="T661" s="2867"/>
      <c r="U661" s="2867"/>
      <c r="V661" s="2867"/>
      <c r="W661" s="2867"/>
      <c r="X661" s="2867"/>
      <c r="Y661" s="2867"/>
      <c r="Z661" s="2867"/>
      <c r="AA661" s="2867"/>
      <c r="AB661" s="2867"/>
      <c r="AC661" s="2867"/>
      <c r="AD661" s="2867"/>
      <c r="AE661" s="2867"/>
      <c r="AF661" s="2867"/>
      <c r="AG661" s="2867"/>
      <c r="AH661" s="2867"/>
      <c r="AI661" s="2867"/>
      <c r="AJ661" s="2867"/>
      <c r="AK661" s="2867"/>
      <c r="AL661" s="2867"/>
      <c r="AM661" s="2867"/>
      <c r="AN661" s="2867"/>
      <c r="AO661" s="2867"/>
      <c r="AP661" s="2867"/>
      <c r="AQ661" s="2867"/>
      <c r="AR661" s="2867"/>
      <c r="AS661" s="2867"/>
      <c r="AT661" s="2867"/>
      <c r="AU661" s="2867"/>
      <c r="AV661" s="2867"/>
      <c r="AW661" s="2867"/>
      <c r="AX661" s="2867"/>
      <c r="AY661" s="2867"/>
      <c r="AZ661" s="2867"/>
      <c r="BA661" s="2867"/>
      <c r="BB661" s="2867"/>
      <c r="BC661" s="2867"/>
      <c r="BD661" s="2867"/>
      <c r="BE661" s="2867"/>
      <c r="BF661" s="2867"/>
      <c r="BG661" s="2867"/>
      <c r="BH661" s="2867"/>
      <c r="BI661" s="2867"/>
      <c r="BJ661" s="2867"/>
      <c r="BK661" s="2867"/>
      <c r="BL661" s="2867"/>
      <c r="BM661" s="2867"/>
      <c r="BN661" s="2867"/>
      <c r="BO661" s="2867"/>
      <c r="BP661" s="2867"/>
      <c r="BQ661" s="2867"/>
      <c r="BR661" s="2867"/>
      <c r="BS661" s="2867"/>
      <c r="BT661" s="2867"/>
      <c r="BU661" s="2867"/>
      <c r="BV661" s="2867"/>
      <c r="BW661" s="2867"/>
      <c r="BX661" s="2867"/>
      <c r="BY661" s="2867"/>
      <c r="BZ661" s="2867"/>
      <c r="CA661" s="2867"/>
      <c r="CB661" s="2867"/>
      <c r="CC661" s="2867"/>
      <c r="CD661" s="2867"/>
      <c r="CE661" s="2867"/>
      <c r="CF661" s="2867"/>
      <c r="CG661" s="2867"/>
      <c r="CH661" s="2867"/>
      <c r="CI661" s="2867"/>
      <c r="CJ661" s="2867"/>
      <c r="CK661" s="2867"/>
      <c r="CL661" s="2867"/>
      <c r="CM661" s="2867"/>
      <c r="CN661" s="2867"/>
      <c r="CO661" s="2867"/>
      <c r="CP661" s="2867"/>
      <c r="CQ661" s="2867"/>
      <c r="CR661" s="2867"/>
      <c r="CS661" s="2867"/>
      <c r="CT661" s="2867"/>
      <c r="CU661" s="2867"/>
      <c r="CV661" s="2867"/>
      <c r="CW661" s="2867"/>
    </row>
    <row r="662" spans="1:101">
      <c r="A662" s="2867"/>
      <c r="B662" s="2867"/>
      <c r="C662" s="2867"/>
      <c r="D662" s="2867"/>
      <c r="E662" s="2867"/>
      <c r="F662" s="2867"/>
      <c r="G662" s="2867"/>
      <c r="H662" s="2867"/>
      <c r="I662" s="2867"/>
      <c r="J662" s="2867"/>
      <c r="K662" s="2867"/>
      <c r="L662" s="2867"/>
      <c r="M662" s="2867"/>
      <c r="O662" s="2867"/>
      <c r="P662" s="2867"/>
      <c r="Q662" s="2867"/>
      <c r="R662" s="2867"/>
      <c r="S662" s="2867"/>
      <c r="T662" s="2867"/>
      <c r="U662" s="2867"/>
      <c r="V662" s="2867"/>
      <c r="W662" s="2867"/>
      <c r="X662" s="2867"/>
      <c r="Y662" s="2867"/>
      <c r="Z662" s="2867"/>
      <c r="AA662" s="2867"/>
      <c r="AB662" s="2867"/>
      <c r="AC662" s="2867"/>
      <c r="AD662" s="2867"/>
      <c r="AE662" s="2867"/>
      <c r="AF662" s="2867"/>
      <c r="AG662" s="2867"/>
      <c r="AH662" s="2867"/>
      <c r="AI662" s="2867"/>
      <c r="AJ662" s="2867"/>
      <c r="AK662" s="2867"/>
      <c r="AL662" s="2867"/>
      <c r="AM662" s="2867"/>
      <c r="AN662" s="2867"/>
      <c r="AO662" s="2867"/>
      <c r="AP662" s="2867"/>
      <c r="AQ662" s="2867"/>
      <c r="AR662" s="2867"/>
      <c r="AS662" s="2867"/>
      <c r="AT662" s="2867"/>
      <c r="AU662" s="2867"/>
      <c r="AV662" s="2867"/>
      <c r="AW662" s="2867"/>
      <c r="AX662" s="2867"/>
      <c r="AY662" s="2867"/>
      <c r="AZ662" s="2867"/>
      <c r="BA662" s="2867"/>
      <c r="BB662" s="2867"/>
      <c r="BC662" s="2867"/>
      <c r="BD662" s="2867"/>
      <c r="BE662" s="2867"/>
      <c r="BF662" s="2867"/>
      <c r="BG662" s="2867"/>
      <c r="BH662" s="2867"/>
      <c r="BI662" s="2867"/>
      <c r="BJ662" s="2867"/>
      <c r="BK662" s="2867"/>
      <c r="BL662" s="2867"/>
      <c r="BM662" s="2867"/>
      <c r="BN662" s="2867"/>
      <c r="BO662" s="2867"/>
      <c r="BP662" s="2867"/>
      <c r="BQ662" s="2867"/>
      <c r="BR662" s="2867"/>
      <c r="BS662" s="2867"/>
      <c r="BT662" s="2867"/>
      <c r="BU662" s="2867"/>
      <c r="BV662" s="2867"/>
      <c r="BW662" s="2867"/>
      <c r="BX662" s="2867"/>
      <c r="BY662" s="2867"/>
      <c r="BZ662" s="2867"/>
      <c r="CA662" s="2867"/>
      <c r="CB662" s="2867"/>
      <c r="CC662" s="2867"/>
      <c r="CD662" s="2867"/>
      <c r="CE662" s="2867"/>
      <c r="CF662" s="2867"/>
      <c r="CG662" s="2867"/>
      <c r="CH662" s="2867"/>
      <c r="CI662" s="2867"/>
      <c r="CJ662" s="2867"/>
      <c r="CK662" s="2867"/>
      <c r="CL662" s="2867"/>
      <c r="CM662" s="2867"/>
      <c r="CN662" s="2867"/>
      <c r="CO662" s="2867"/>
      <c r="CP662" s="2867"/>
      <c r="CQ662" s="2867"/>
      <c r="CR662" s="2867"/>
      <c r="CS662" s="2867"/>
      <c r="CT662" s="2867"/>
      <c r="CU662" s="2867"/>
      <c r="CV662" s="2867"/>
      <c r="CW662" s="2867"/>
    </row>
    <row r="663" spans="1:101">
      <c r="A663" s="2867"/>
      <c r="B663" s="2867"/>
      <c r="C663" s="2867"/>
      <c r="D663" s="2867"/>
      <c r="E663" s="2867"/>
      <c r="F663" s="2867"/>
      <c r="G663" s="2867"/>
      <c r="H663" s="2867"/>
      <c r="I663" s="2867"/>
      <c r="J663" s="2867"/>
      <c r="K663" s="2867"/>
      <c r="L663" s="2867"/>
      <c r="M663" s="2867"/>
      <c r="O663" s="2867"/>
      <c r="P663" s="2867"/>
      <c r="Q663" s="2867"/>
      <c r="R663" s="2867"/>
      <c r="S663" s="2867"/>
      <c r="T663" s="2867"/>
      <c r="U663" s="2867"/>
      <c r="V663" s="2867"/>
      <c r="W663" s="2867"/>
      <c r="X663" s="2867"/>
      <c r="Y663" s="2867"/>
      <c r="Z663" s="2867"/>
      <c r="AA663" s="2867"/>
      <c r="AB663" s="2867"/>
      <c r="AC663" s="2867"/>
      <c r="AD663" s="2867"/>
      <c r="AE663" s="2867"/>
      <c r="AF663" s="2867"/>
      <c r="AG663" s="2867"/>
      <c r="AH663" s="2867"/>
      <c r="AI663" s="2867"/>
      <c r="AJ663" s="2867"/>
      <c r="AK663" s="2867"/>
      <c r="AL663" s="2867"/>
      <c r="AM663" s="2867"/>
      <c r="AN663" s="2867"/>
      <c r="AO663" s="2867"/>
      <c r="AP663" s="2867"/>
      <c r="AQ663" s="2867"/>
      <c r="AR663" s="2867"/>
      <c r="AS663" s="2867"/>
      <c r="AT663" s="2867"/>
      <c r="AU663" s="2867"/>
      <c r="AV663" s="2867"/>
      <c r="AW663" s="2867"/>
      <c r="AX663" s="2867"/>
      <c r="AY663" s="2867"/>
      <c r="AZ663" s="2867"/>
      <c r="BA663" s="2867"/>
      <c r="BB663" s="2867"/>
      <c r="BC663" s="2867"/>
      <c r="BD663" s="2867"/>
      <c r="BE663" s="2867"/>
      <c r="BF663" s="2867"/>
      <c r="BG663" s="2867"/>
      <c r="BH663" s="2867"/>
      <c r="BI663" s="2867"/>
      <c r="BJ663" s="2867"/>
      <c r="BK663" s="2867"/>
      <c r="BL663" s="2867"/>
      <c r="BM663" s="2867"/>
      <c r="BN663" s="2867"/>
      <c r="BO663" s="2867"/>
      <c r="BP663" s="2867"/>
      <c r="BQ663" s="2867"/>
      <c r="BR663" s="2867"/>
      <c r="BS663" s="2867"/>
      <c r="BT663" s="2867"/>
      <c r="BU663" s="2867"/>
      <c r="BV663" s="2867"/>
      <c r="BW663" s="2867"/>
      <c r="BX663" s="2867"/>
      <c r="BY663" s="2867"/>
      <c r="BZ663" s="2867"/>
      <c r="CA663" s="2867"/>
      <c r="CB663" s="2867"/>
      <c r="CC663" s="2867"/>
      <c r="CD663" s="2867"/>
      <c r="CE663" s="2867"/>
      <c r="CF663" s="2867"/>
      <c r="CG663" s="2867"/>
      <c r="CH663" s="2867"/>
      <c r="CI663" s="2867"/>
      <c r="CJ663" s="2867"/>
      <c r="CK663" s="2867"/>
      <c r="CL663" s="2867"/>
      <c r="CM663" s="2867"/>
      <c r="CN663" s="2867"/>
      <c r="CO663" s="2867"/>
      <c r="CP663" s="2867"/>
      <c r="CQ663" s="2867"/>
      <c r="CR663" s="2867"/>
      <c r="CS663" s="2867"/>
      <c r="CT663" s="2867"/>
      <c r="CU663" s="2867"/>
      <c r="CV663" s="2867"/>
      <c r="CW663" s="2867"/>
    </row>
    <row r="664" spans="1:101">
      <c r="A664" s="2867"/>
      <c r="B664" s="2867"/>
      <c r="C664" s="2867"/>
      <c r="D664" s="2867"/>
      <c r="E664" s="2867"/>
      <c r="F664" s="2867"/>
      <c r="G664" s="2867"/>
      <c r="H664" s="2867"/>
      <c r="I664" s="2867"/>
      <c r="J664" s="2867"/>
      <c r="K664" s="2867"/>
      <c r="L664" s="2867"/>
      <c r="M664" s="2867"/>
      <c r="O664" s="2867"/>
      <c r="P664" s="2867"/>
      <c r="Q664" s="2867"/>
      <c r="R664" s="2867"/>
      <c r="S664" s="2867"/>
      <c r="T664" s="2867"/>
      <c r="U664" s="2867"/>
      <c r="V664" s="2867"/>
      <c r="W664" s="2867"/>
      <c r="X664" s="2867"/>
      <c r="Y664" s="2867"/>
      <c r="Z664" s="2867"/>
      <c r="AA664" s="2867"/>
      <c r="AB664" s="2867"/>
      <c r="AC664" s="2867"/>
      <c r="AD664" s="2867"/>
      <c r="AE664" s="2867"/>
      <c r="AF664" s="2867"/>
      <c r="AG664" s="2867"/>
      <c r="AH664" s="2867"/>
      <c r="AI664" s="2867"/>
      <c r="AJ664" s="2867"/>
      <c r="AK664" s="2867"/>
      <c r="AL664" s="2867"/>
      <c r="AM664" s="2867"/>
      <c r="AN664" s="2867"/>
      <c r="AO664" s="2867"/>
      <c r="AP664" s="2867"/>
      <c r="AQ664" s="2867"/>
      <c r="AR664" s="2867"/>
      <c r="AS664" s="2867"/>
      <c r="AT664" s="2867"/>
      <c r="AU664" s="2867"/>
      <c r="AV664" s="2867"/>
      <c r="AW664" s="2867"/>
      <c r="AX664" s="2867"/>
      <c r="AY664" s="2867"/>
      <c r="AZ664" s="2867"/>
      <c r="BA664" s="2867"/>
      <c r="BB664" s="2867"/>
      <c r="BC664" s="2867"/>
      <c r="BD664" s="2867"/>
      <c r="BE664" s="2867"/>
      <c r="BF664" s="2867"/>
      <c r="BG664" s="2867"/>
      <c r="BH664" s="2867"/>
      <c r="BI664" s="2867"/>
      <c r="BJ664" s="2867"/>
      <c r="BK664" s="2867"/>
      <c r="BL664" s="2867"/>
      <c r="BM664" s="2867"/>
      <c r="BN664" s="2867"/>
      <c r="BO664" s="2867"/>
      <c r="BP664" s="2867"/>
      <c r="BQ664" s="2867"/>
      <c r="BR664" s="2867"/>
      <c r="BS664" s="2867"/>
      <c r="BT664" s="2867"/>
      <c r="BU664" s="2867"/>
      <c r="BV664" s="2867"/>
      <c r="BW664" s="2867"/>
      <c r="BX664" s="2867"/>
      <c r="BY664" s="2867"/>
      <c r="BZ664" s="2867"/>
      <c r="CA664" s="2867"/>
      <c r="CB664" s="2867"/>
      <c r="CC664" s="2867"/>
      <c r="CD664" s="2867"/>
      <c r="CE664" s="2867"/>
      <c r="CF664" s="2867"/>
      <c r="CG664" s="2867"/>
      <c r="CH664" s="2867"/>
      <c r="CI664" s="2867"/>
      <c r="CJ664" s="2867"/>
      <c r="CK664" s="2867"/>
      <c r="CL664" s="2867"/>
      <c r="CM664" s="2867"/>
      <c r="CN664" s="2867"/>
      <c r="CO664" s="2867"/>
      <c r="CP664" s="2867"/>
      <c r="CQ664" s="2867"/>
      <c r="CR664" s="2867"/>
      <c r="CS664" s="2867"/>
      <c r="CT664" s="2867"/>
      <c r="CU664" s="2867"/>
      <c r="CV664" s="2867"/>
      <c r="CW664" s="2867"/>
    </row>
    <row r="665" spans="1:101">
      <c r="A665" s="2867"/>
      <c r="B665" s="2867"/>
      <c r="C665" s="2867"/>
      <c r="D665" s="2867"/>
      <c r="E665" s="2867"/>
      <c r="F665" s="2867"/>
      <c r="G665" s="2867"/>
      <c r="H665" s="2867"/>
      <c r="I665" s="2867"/>
      <c r="J665" s="2867"/>
      <c r="K665" s="2867"/>
      <c r="L665" s="2867"/>
      <c r="M665" s="2867"/>
      <c r="O665" s="2867"/>
      <c r="P665" s="2867"/>
      <c r="Q665" s="2867"/>
      <c r="R665" s="2867"/>
      <c r="S665" s="2867"/>
      <c r="T665" s="2867"/>
      <c r="U665" s="2867"/>
      <c r="V665" s="2867"/>
      <c r="W665" s="2867"/>
      <c r="X665" s="2867"/>
      <c r="Y665" s="2867"/>
      <c r="Z665" s="2867"/>
      <c r="AA665" s="2867"/>
      <c r="AB665" s="2867"/>
      <c r="AC665" s="2867"/>
      <c r="AD665" s="2867"/>
      <c r="AE665" s="2867"/>
      <c r="AF665" s="2867"/>
      <c r="AG665" s="2867"/>
      <c r="AH665" s="2867"/>
      <c r="AI665" s="2867"/>
      <c r="AJ665" s="2867"/>
      <c r="AK665" s="2867"/>
      <c r="AL665" s="2867"/>
      <c r="AM665" s="2867"/>
      <c r="AN665" s="2867"/>
      <c r="AO665" s="2867"/>
      <c r="AP665" s="2867"/>
      <c r="AQ665" s="2867"/>
      <c r="AR665" s="2867"/>
      <c r="AS665" s="2867"/>
      <c r="AT665" s="2867"/>
      <c r="AU665" s="2867"/>
      <c r="AV665" s="2867"/>
      <c r="AW665" s="2867"/>
      <c r="AX665" s="2867"/>
      <c r="AY665" s="2867"/>
      <c r="AZ665" s="2867"/>
      <c r="BA665" s="2867"/>
      <c r="BB665" s="2867"/>
      <c r="BC665" s="2867"/>
      <c r="BD665" s="2867"/>
      <c r="BE665" s="2867"/>
      <c r="BF665" s="2867"/>
      <c r="BG665" s="2867"/>
      <c r="BH665" s="2867"/>
      <c r="BI665" s="2867"/>
      <c r="BJ665" s="2867"/>
      <c r="BK665" s="2867"/>
      <c r="BL665" s="2867"/>
      <c r="BM665" s="2867"/>
      <c r="BN665" s="2867"/>
      <c r="BO665" s="2867"/>
      <c r="BP665" s="2867"/>
      <c r="BQ665" s="2867"/>
      <c r="BR665" s="2867"/>
      <c r="BS665" s="2867"/>
      <c r="BT665" s="2867"/>
      <c r="BU665" s="2867"/>
      <c r="BV665" s="2867"/>
      <c r="BW665" s="2867"/>
      <c r="BX665" s="2867"/>
      <c r="BY665" s="2867"/>
      <c r="BZ665" s="2867"/>
      <c r="CA665" s="2867"/>
      <c r="CB665" s="2867"/>
      <c r="CC665" s="2867"/>
      <c r="CD665" s="2867"/>
      <c r="CE665" s="2867"/>
      <c r="CF665" s="2867"/>
      <c r="CG665" s="2867"/>
      <c r="CH665" s="2867"/>
      <c r="CI665" s="2867"/>
      <c r="CJ665" s="2867"/>
      <c r="CK665" s="2867"/>
      <c r="CL665" s="2867"/>
      <c r="CM665" s="2867"/>
      <c r="CN665" s="2867"/>
      <c r="CO665" s="2867"/>
      <c r="CP665" s="2867"/>
      <c r="CQ665" s="2867"/>
      <c r="CR665" s="2867"/>
      <c r="CS665" s="2867"/>
      <c r="CT665" s="2867"/>
      <c r="CU665" s="2867"/>
      <c r="CV665" s="2867"/>
      <c r="CW665" s="2867"/>
    </row>
    <row r="666" spans="1:101">
      <c r="A666" s="2867"/>
      <c r="B666" s="2867"/>
      <c r="C666" s="2867"/>
      <c r="D666" s="2867"/>
      <c r="E666" s="2867"/>
      <c r="F666" s="2867"/>
      <c r="G666" s="2867"/>
      <c r="H666" s="2867"/>
      <c r="I666" s="2867"/>
      <c r="J666" s="2867"/>
      <c r="K666" s="2867"/>
      <c r="L666" s="2867"/>
      <c r="M666" s="2867"/>
      <c r="O666" s="2867"/>
      <c r="P666" s="2867"/>
      <c r="Q666" s="2867"/>
      <c r="R666" s="2867"/>
      <c r="S666" s="2867"/>
      <c r="T666" s="2867"/>
      <c r="U666" s="2867"/>
      <c r="V666" s="2867"/>
      <c r="W666" s="2867"/>
      <c r="X666" s="2867"/>
      <c r="Y666" s="2867"/>
      <c r="Z666" s="2867"/>
      <c r="AA666" s="2867"/>
      <c r="AB666" s="2867"/>
      <c r="AC666" s="2867"/>
      <c r="AD666" s="2867"/>
      <c r="AE666" s="2867"/>
      <c r="AF666" s="2867"/>
      <c r="AG666" s="2867"/>
      <c r="AH666" s="2867"/>
      <c r="AI666" s="2867"/>
      <c r="AJ666" s="2867"/>
      <c r="AK666" s="2867"/>
      <c r="AL666" s="2867"/>
      <c r="AM666" s="2867"/>
      <c r="AN666" s="2867"/>
      <c r="AO666" s="2867"/>
      <c r="AP666" s="2867"/>
      <c r="AQ666" s="2867"/>
      <c r="AR666" s="2867"/>
      <c r="AS666" s="2867"/>
      <c r="AT666" s="2867"/>
      <c r="AU666" s="2867"/>
      <c r="AV666" s="2867"/>
      <c r="AW666" s="2867"/>
      <c r="AX666" s="2867"/>
      <c r="AY666" s="2867"/>
      <c r="AZ666" s="2867"/>
      <c r="BA666" s="2867"/>
      <c r="BB666" s="2867"/>
      <c r="BC666" s="2867"/>
      <c r="BD666" s="2867"/>
      <c r="BE666" s="2867"/>
      <c r="BF666" s="2867"/>
      <c r="BG666" s="2867"/>
      <c r="BH666" s="2867"/>
      <c r="BI666" s="2867"/>
      <c r="BJ666" s="2867"/>
      <c r="BK666" s="2867"/>
      <c r="BL666" s="2867"/>
      <c r="BM666" s="2867"/>
      <c r="BN666" s="2867"/>
      <c r="BO666" s="2867"/>
      <c r="BP666" s="2867"/>
      <c r="BQ666" s="2867"/>
      <c r="BR666" s="2867"/>
      <c r="BS666" s="2867"/>
      <c r="BT666" s="2867"/>
      <c r="BU666" s="2867"/>
      <c r="BV666" s="2867"/>
      <c r="BW666" s="2867"/>
      <c r="BX666" s="2867"/>
      <c r="BY666" s="2867"/>
      <c r="BZ666" s="2867"/>
      <c r="CA666" s="2867"/>
      <c r="CB666" s="2867"/>
      <c r="CC666" s="2867"/>
      <c r="CD666" s="2867"/>
      <c r="CE666" s="2867"/>
      <c r="CF666" s="2867"/>
      <c r="CG666" s="2867"/>
      <c r="CH666" s="2867"/>
      <c r="CI666" s="2867"/>
      <c r="CJ666" s="2867"/>
      <c r="CK666" s="2867"/>
      <c r="CL666" s="2867"/>
      <c r="CM666" s="2867"/>
      <c r="CN666" s="2867"/>
      <c r="CO666" s="2867"/>
      <c r="CP666" s="2867"/>
      <c r="CQ666" s="2867"/>
      <c r="CR666" s="2867"/>
      <c r="CS666" s="2867"/>
      <c r="CT666" s="2867"/>
      <c r="CU666" s="2867"/>
      <c r="CV666" s="2867"/>
      <c r="CW666" s="2867"/>
    </row>
    <row r="667" spans="1:101">
      <c r="A667" s="2867"/>
      <c r="B667" s="2867"/>
      <c r="C667" s="2867"/>
      <c r="D667" s="2867"/>
      <c r="E667" s="2867"/>
      <c r="F667" s="2867"/>
      <c r="G667" s="2867"/>
      <c r="H667" s="2867"/>
      <c r="I667" s="2867"/>
      <c r="J667" s="2867"/>
      <c r="K667" s="2867"/>
      <c r="L667" s="2867"/>
      <c r="M667" s="2867"/>
      <c r="O667" s="2867"/>
      <c r="P667" s="2867"/>
      <c r="Q667" s="2867"/>
      <c r="R667" s="2867"/>
      <c r="S667" s="2867"/>
      <c r="T667" s="2867"/>
      <c r="U667" s="2867"/>
      <c r="V667" s="2867"/>
      <c r="W667" s="2867"/>
      <c r="X667" s="2867"/>
      <c r="Y667" s="2867"/>
      <c r="Z667" s="2867"/>
      <c r="AA667" s="2867"/>
      <c r="AB667" s="2867"/>
      <c r="AC667" s="2867"/>
      <c r="AD667" s="2867"/>
      <c r="AE667" s="2867"/>
      <c r="AF667" s="2867"/>
      <c r="AG667" s="2867"/>
      <c r="AH667" s="2867"/>
      <c r="AI667" s="2867"/>
      <c r="AJ667" s="2867"/>
      <c r="AK667" s="2867"/>
      <c r="AL667" s="2867"/>
      <c r="AM667" s="2867"/>
      <c r="AN667" s="2867"/>
      <c r="AO667" s="2867"/>
      <c r="AP667" s="2867"/>
      <c r="AQ667" s="2867"/>
      <c r="AR667" s="2867"/>
      <c r="AS667" s="2867"/>
      <c r="AT667" s="2867"/>
      <c r="AU667" s="2867"/>
      <c r="AV667" s="2867"/>
      <c r="AW667" s="2867"/>
      <c r="AX667" s="2867"/>
      <c r="AY667" s="2867"/>
      <c r="AZ667" s="2867"/>
      <c r="BA667" s="2867"/>
      <c r="BB667" s="2867"/>
      <c r="BC667" s="2867"/>
      <c r="BD667" s="2867"/>
      <c r="BE667" s="2867"/>
      <c r="BF667" s="2867"/>
      <c r="BG667" s="2867"/>
      <c r="BH667" s="2867"/>
      <c r="BI667" s="2867"/>
      <c r="BJ667" s="2867"/>
      <c r="BK667" s="2867"/>
      <c r="BL667" s="2867"/>
      <c r="BM667" s="2867"/>
      <c r="BN667" s="2867"/>
      <c r="BO667" s="2867"/>
      <c r="BP667" s="2867"/>
      <c r="BQ667" s="2867"/>
      <c r="BR667" s="2867"/>
      <c r="BS667" s="2867"/>
      <c r="BT667" s="2867"/>
      <c r="BU667" s="2867"/>
      <c r="BV667" s="2867"/>
      <c r="BW667" s="2867"/>
      <c r="BX667" s="2867"/>
      <c r="BY667" s="2867"/>
      <c r="BZ667" s="2867"/>
      <c r="CA667" s="2867"/>
      <c r="CB667" s="2867"/>
      <c r="CC667" s="2867"/>
      <c r="CD667" s="2867"/>
      <c r="CE667" s="2867"/>
      <c r="CF667" s="2867"/>
      <c r="CG667" s="2867"/>
      <c r="CH667" s="2867"/>
      <c r="CI667" s="2867"/>
      <c r="CJ667" s="2867"/>
      <c r="CK667" s="2867"/>
      <c r="CL667" s="2867"/>
      <c r="CM667" s="2867"/>
      <c r="CN667" s="2867"/>
      <c r="CO667" s="2867"/>
      <c r="CP667" s="2867"/>
      <c r="CQ667" s="2867"/>
      <c r="CR667" s="2867"/>
      <c r="CS667" s="2867"/>
      <c r="CT667" s="2867"/>
      <c r="CU667" s="2867"/>
      <c r="CV667" s="2867"/>
      <c r="CW667" s="2867"/>
    </row>
    <row r="668" spans="1:101">
      <c r="A668" s="2867"/>
      <c r="B668" s="2867"/>
      <c r="C668" s="2867"/>
      <c r="D668" s="2867"/>
      <c r="E668" s="2867"/>
      <c r="F668" s="2867"/>
      <c r="G668" s="2867"/>
      <c r="H668" s="2867"/>
      <c r="I668" s="2867"/>
      <c r="J668" s="2867"/>
      <c r="K668" s="2867"/>
      <c r="L668" s="2867"/>
      <c r="M668" s="2867"/>
      <c r="O668" s="2867"/>
      <c r="P668" s="2867"/>
      <c r="Q668" s="2867"/>
      <c r="R668" s="2867"/>
      <c r="S668" s="2867"/>
      <c r="T668" s="2867"/>
      <c r="U668" s="2867"/>
      <c r="V668" s="2867"/>
      <c r="W668" s="2867"/>
      <c r="X668" s="2867"/>
      <c r="Y668" s="2867"/>
      <c r="Z668" s="2867"/>
      <c r="AA668" s="2867"/>
      <c r="AB668" s="2867"/>
      <c r="AC668" s="2867"/>
      <c r="AD668" s="2867"/>
      <c r="AE668" s="2867"/>
      <c r="AF668" s="2867"/>
      <c r="AG668" s="2867"/>
      <c r="AH668" s="2867"/>
      <c r="AI668" s="2867"/>
      <c r="AJ668" s="2867"/>
      <c r="AK668" s="2867"/>
      <c r="AL668" s="2867"/>
      <c r="AM668" s="2867"/>
      <c r="AN668" s="2867"/>
      <c r="AO668" s="2867"/>
      <c r="AP668" s="2867"/>
      <c r="AQ668" s="2867"/>
      <c r="AR668" s="2867"/>
      <c r="AS668" s="2867"/>
      <c r="AT668" s="2867"/>
      <c r="AU668" s="2867"/>
      <c r="AV668" s="2867"/>
      <c r="AW668" s="2867"/>
      <c r="AX668" s="2867"/>
      <c r="AY668" s="2867"/>
      <c r="AZ668" s="2867"/>
      <c r="BA668" s="2867"/>
      <c r="BB668" s="2867"/>
      <c r="BC668" s="2867"/>
      <c r="BD668" s="2867"/>
      <c r="BE668" s="2867"/>
      <c r="BF668" s="2867"/>
      <c r="BG668" s="2867"/>
      <c r="BH668" s="2867"/>
      <c r="BI668" s="2867"/>
      <c r="BJ668" s="2867"/>
      <c r="BK668" s="2867"/>
      <c r="BL668" s="2867"/>
      <c r="BM668" s="2867"/>
      <c r="BN668" s="2867"/>
      <c r="BO668" s="2867"/>
      <c r="BP668" s="2867"/>
      <c r="BQ668" s="2867"/>
      <c r="BR668" s="2867"/>
      <c r="BS668" s="2867"/>
      <c r="BT668" s="2867"/>
      <c r="BU668" s="2867"/>
      <c r="BV668" s="2867"/>
      <c r="BW668" s="2867"/>
      <c r="BX668" s="2867"/>
      <c r="BY668" s="2867"/>
      <c r="BZ668" s="2867"/>
      <c r="CA668" s="2867"/>
      <c r="CB668" s="2867"/>
      <c r="CC668" s="2867"/>
      <c r="CD668" s="2867"/>
      <c r="CE668" s="2867"/>
      <c r="CF668" s="2867"/>
      <c r="CG668" s="2867"/>
      <c r="CH668" s="2867"/>
      <c r="CI668" s="2867"/>
      <c r="CJ668" s="2867"/>
      <c r="CK668" s="2867"/>
      <c r="CL668" s="2867"/>
      <c r="CM668" s="2867"/>
      <c r="CN668" s="2867"/>
      <c r="CO668" s="2867"/>
      <c r="CP668" s="2867"/>
      <c r="CQ668" s="2867"/>
      <c r="CR668" s="2867"/>
      <c r="CS668" s="2867"/>
      <c r="CT668" s="2867"/>
      <c r="CU668" s="2867"/>
      <c r="CV668" s="2867"/>
      <c r="CW668" s="2867"/>
    </row>
    <row r="669" spans="1:101">
      <c r="A669" s="2867"/>
      <c r="B669" s="2867"/>
      <c r="C669" s="2867"/>
      <c r="D669" s="2867"/>
      <c r="E669" s="2867"/>
      <c r="F669" s="2867"/>
      <c r="G669" s="2867"/>
      <c r="H669" s="2867"/>
      <c r="I669" s="2867"/>
      <c r="J669" s="2867"/>
      <c r="K669" s="2867"/>
      <c r="L669" s="2867"/>
      <c r="M669" s="2867"/>
      <c r="O669" s="2867"/>
      <c r="P669" s="2867"/>
      <c r="Q669" s="2867"/>
      <c r="R669" s="2867"/>
      <c r="S669" s="2867"/>
      <c r="T669" s="2867"/>
      <c r="U669" s="2867"/>
      <c r="V669" s="2867"/>
      <c r="W669" s="2867"/>
      <c r="X669" s="2867"/>
      <c r="Y669" s="2867"/>
      <c r="Z669" s="2867"/>
      <c r="AA669" s="2867"/>
      <c r="AB669" s="2867"/>
      <c r="AC669" s="2867"/>
      <c r="AD669" s="2867"/>
      <c r="AE669" s="2867"/>
      <c r="AF669" s="2867"/>
      <c r="AG669" s="2867"/>
      <c r="AH669" s="2867"/>
      <c r="AI669" s="2867"/>
      <c r="AJ669" s="2867"/>
      <c r="AK669" s="2867"/>
      <c r="AL669" s="2867"/>
      <c r="AM669" s="2867"/>
      <c r="AN669" s="2867"/>
      <c r="AO669" s="2867"/>
      <c r="AP669" s="2867"/>
      <c r="AQ669" s="2867"/>
      <c r="AR669" s="2867"/>
      <c r="AS669" s="2867"/>
      <c r="AT669" s="2867"/>
      <c r="AU669" s="2867"/>
      <c r="AV669" s="2867"/>
      <c r="AW669" s="2867"/>
      <c r="AX669" s="2867"/>
      <c r="AY669" s="2867"/>
      <c r="AZ669" s="2867"/>
      <c r="BA669" s="2867"/>
      <c r="BB669" s="2867"/>
      <c r="BC669" s="2867"/>
      <c r="BD669" s="2867"/>
      <c r="BE669" s="2867"/>
      <c r="BF669" s="2867"/>
      <c r="BG669" s="2867"/>
      <c r="BH669" s="2867"/>
      <c r="BI669" s="2867"/>
      <c r="BJ669" s="2867"/>
      <c r="BK669" s="2867"/>
      <c r="BL669" s="2867"/>
      <c r="BM669" s="2867"/>
      <c r="BN669" s="2867"/>
      <c r="BO669" s="2867"/>
      <c r="BP669" s="2867"/>
      <c r="BQ669" s="2867"/>
      <c r="BR669" s="2867"/>
      <c r="BS669" s="2867"/>
      <c r="BT669" s="2867"/>
      <c r="BU669" s="2867"/>
      <c r="BV669" s="2867"/>
      <c r="BW669" s="2867"/>
      <c r="BX669" s="2867"/>
      <c r="BY669" s="2867"/>
      <c r="BZ669" s="2867"/>
      <c r="CA669" s="2867"/>
      <c r="CB669" s="2867"/>
      <c r="CC669" s="2867"/>
      <c r="CD669" s="2867"/>
      <c r="CE669" s="2867"/>
      <c r="CF669" s="2867"/>
      <c r="CG669" s="2867"/>
      <c r="CH669" s="2867"/>
      <c r="CI669" s="2867"/>
      <c r="CJ669" s="2867"/>
      <c r="CK669" s="2867"/>
      <c r="CL669" s="2867"/>
      <c r="CM669" s="2867"/>
      <c r="CN669" s="2867"/>
      <c r="CO669" s="2867"/>
      <c r="CP669" s="2867"/>
      <c r="CQ669" s="2867"/>
      <c r="CR669" s="2867"/>
      <c r="CS669" s="2867"/>
      <c r="CT669" s="2867"/>
      <c r="CU669" s="2867"/>
      <c r="CV669" s="2867"/>
      <c r="CW669" s="2867"/>
    </row>
    <row r="670" spans="1:101">
      <c r="A670" s="2867"/>
      <c r="B670" s="2867"/>
      <c r="C670" s="2867"/>
      <c r="D670" s="2867"/>
      <c r="E670" s="2867"/>
      <c r="F670" s="2867"/>
      <c r="G670" s="2867"/>
      <c r="H670" s="2867"/>
      <c r="I670" s="2867"/>
      <c r="J670" s="2867"/>
      <c r="K670" s="2867"/>
      <c r="L670" s="2867"/>
      <c r="M670" s="2867"/>
      <c r="O670" s="2867"/>
      <c r="P670" s="2867"/>
      <c r="Q670" s="2867"/>
      <c r="R670" s="2867"/>
      <c r="S670" s="2867"/>
      <c r="T670" s="2867"/>
      <c r="U670" s="2867"/>
      <c r="V670" s="2867"/>
      <c r="W670" s="2867"/>
      <c r="X670" s="2867"/>
      <c r="Y670" s="2867"/>
      <c r="Z670" s="2867"/>
      <c r="AA670" s="2867"/>
      <c r="AB670" s="2867"/>
      <c r="AC670" s="2867"/>
      <c r="AD670" s="2867"/>
      <c r="AE670" s="2867"/>
      <c r="AF670" s="2867"/>
      <c r="AG670" s="2867"/>
      <c r="AH670" s="2867"/>
      <c r="AI670" s="2867"/>
      <c r="AJ670" s="2867"/>
      <c r="AK670" s="2867"/>
      <c r="AL670" s="2867"/>
      <c r="AM670" s="2867"/>
      <c r="AN670" s="2867"/>
      <c r="AO670" s="2867"/>
      <c r="AP670" s="2867"/>
      <c r="AQ670" s="2867"/>
      <c r="AR670" s="2867"/>
      <c r="AS670" s="2867"/>
      <c r="AT670" s="2867"/>
      <c r="AU670" s="2867"/>
      <c r="AV670" s="2867"/>
      <c r="AW670" s="2867"/>
      <c r="AX670" s="2867"/>
      <c r="AY670" s="2867"/>
      <c r="AZ670" s="2867"/>
      <c r="BA670" s="2867"/>
      <c r="BB670" s="2867"/>
      <c r="BC670" s="2867"/>
      <c r="BD670" s="2867"/>
      <c r="BE670" s="2867"/>
      <c r="BF670" s="2867"/>
      <c r="BG670" s="2867"/>
      <c r="BH670" s="2867"/>
      <c r="BI670" s="2867"/>
      <c r="BJ670" s="2867"/>
      <c r="BK670" s="2867"/>
      <c r="BL670" s="2867"/>
      <c r="BM670" s="2867"/>
      <c r="BN670" s="2867"/>
      <c r="BO670" s="2867"/>
      <c r="BP670" s="2867"/>
      <c r="BQ670" s="2867"/>
      <c r="BR670" s="2867"/>
      <c r="BS670" s="2867"/>
      <c r="BT670" s="2867"/>
      <c r="BU670" s="2867"/>
      <c r="BV670" s="2867"/>
      <c r="BW670" s="2867"/>
      <c r="BX670" s="2867"/>
      <c r="BY670" s="2867"/>
      <c r="BZ670" s="2867"/>
      <c r="CA670" s="2867"/>
      <c r="CB670" s="2867"/>
      <c r="CC670" s="2867"/>
      <c r="CD670" s="2867"/>
      <c r="CE670" s="2867"/>
      <c r="CF670" s="2867"/>
      <c r="CG670" s="2867"/>
      <c r="CH670" s="2867"/>
      <c r="CI670" s="2867"/>
      <c r="CJ670" s="2867"/>
      <c r="CK670" s="2867"/>
      <c r="CL670" s="2867"/>
      <c r="CM670" s="2867"/>
      <c r="CN670" s="2867"/>
      <c r="CO670" s="2867"/>
      <c r="CP670" s="2867"/>
      <c r="CQ670" s="2867"/>
      <c r="CR670" s="2867"/>
      <c r="CS670" s="2867"/>
      <c r="CT670" s="2867"/>
      <c r="CU670" s="2867"/>
      <c r="CV670" s="2867"/>
      <c r="CW670" s="2867"/>
    </row>
    <row r="671" spans="1:101">
      <c r="A671" s="2867"/>
      <c r="B671" s="2867"/>
      <c r="C671" s="2867"/>
      <c r="D671" s="2867"/>
      <c r="E671" s="2867"/>
      <c r="F671" s="2867"/>
      <c r="G671" s="2867"/>
      <c r="H671" s="2867"/>
      <c r="I671" s="2867"/>
      <c r="J671" s="2867"/>
      <c r="K671" s="2867"/>
      <c r="L671" s="2867"/>
      <c r="M671" s="2867"/>
      <c r="O671" s="2867"/>
      <c r="P671" s="2867"/>
      <c r="Q671" s="2867"/>
      <c r="R671" s="2867"/>
      <c r="S671" s="2867"/>
      <c r="T671" s="2867"/>
      <c r="U671" s="2867"/>
      <c r="V671" s="2867"/>
      <c r="W671" s="2867"/>
      <c r="X671" s="2867"/>
      <c r="Y671" s="2867"/>
      <c r="Z671" s="2867"/>
      <c r="AA671" s="2867"/>
      <c r="AB671" s="2867"/>
      <c r="AC671" s="2867"/>
      <c r="AD671" s="2867"/>
      <c r="AE671" s="2867"/>
      <c r="AF671" s="2867"/>
      <c r="AG671" s="2867"/>
      <c r="AH671" s="2867"/>
      <c r="AI671" s="2867"/>
      <c r="AJ671" s="2867"/>
      <c r="AK671" s="2867"/>
      <c r="AL671" s="2867"/>
      <c r="AM671" s="2867"/>
      <c r="AN671" s="2867"/>
      <c r="AO671" s="2867"/>
      <c r="AP671" s="2867"/>
      <c r="AQ671" s="2867"/>
      <c r="AR671" s="2867"/>
      <c r="AS671" s="2867"/>
      <c r="AT671" s="2867"/>
      <c r="AU671" s="2867"/>
      <c r="AV671" s="2867"/>
      <c r="AW671" s="2867"/>
      <c r="AX671" s="2867"/>
      <c r="AY671" s="2867"/>
      <c r="AZ671" s="2867"/>
      <c r="BA671" s="2867"/>
      <c r="BB671" s="2867"/>
      <c r="BC671" s="2867"/>
      <c r="BD671" s="2867"/>
      <c r="BE671" s="2867"/>
      <c r="BF671" s="2867"/>
      <c r="BG671" s="2867"/>
      <c r="BH671" s="2867"/>
      <c r="BI671" s="2867"/>
      <c r="BJ671" s="2867"/>
      <c r="BK671" s="2867"/>
      <c r="BL671" s="2867"/>
      <c r="BM671" s="2867"/>
      <c r="BN671" s="2867"/>
      <c r="BO671" s="2867"/>
      <c r="BP671" s="2867"/>
      <c r="BQ671" s="2867"/>
      <c r="BR671" s="2867"/>
      <c r="BS671" s="2867"/>
      <c r="BT671" s="2867"/>
      <c r="BU671" s="2867"/>
      <c r="BV671" s="2867"/>
      <c r="BW671" s="2867"/>
      <c r="BX671" s="2867"/>
      <c r="BY671" s="2867"/>
      <c r="BZ671" s="2867"/>
      <c r="CA671" s="2867"/>
      <c r="CB671" s="2867"/>
      <c r="CC671" s="2867"/>
      <c r="CD671" s="2867"/>
      <c r="CE671" s="2867"/>
      <c r="CF671" s="2867"/>
      <c r="CG671" s="2867"/>
      <c r="CH671" s="2867"/>
      <c r="CI671" s="2867"/>
      <c r="CJ671" s="2867"/>
      <c r="CK671" s="2867"/>
      <c r="CL671" s="2867"/>
      <c r="CM671" s="2867"/>
      <c r="CN671" s="2867"/>
      <c r="CO671" s="2867"/>
      <c r="CP671" s="2867"/>
      <c r="CQ671" s="2867"/>
      <c r="CR671" s="2867"/>
      <c r="CS671" s="2867"/>
      <c r="CT671" s="2867"/>
      <c r="CU671" s="2867"/>
      <c r="CV671" s="2867"/>
      <c r="CW671" s="2867"/>
    </row>
    <row r="672" spans="1:101">
      <c r="A672" s="2867"/>
      <c r="B672" s="2867"/>
      <c r="C672" s="2867"/>
      <c r="D672" s="2867"/>
      <c r="E672" s="2867"/>
      <c r="F672" s="2867"/>
      <c r="G672" s="2867"/>
      <c r="H672" s="2867"/>
      <c r="I672" s="2867"/>
      <c r="J672" s="2867"/>
      <c r="K672" s="2867"/>
      <c r="L672" s="2867"/>
      <c r="M672" s="2867"/>
      <c r="O672" s="2867"/>
      <c r="P672" s="2867"/>
      <c r="Q672" s="2867"/>
      <c r="R672" s="2867"/>
      <c r="S672" s="2867"/>
      <c r="T672" s="2867"/>
      <c r="U672" s="2867"/>
      <c r="V672" s="2867"/>
      <c r="W672" s="2867"/>
      <c r="X672" s="2867"/>
      <c r="Y672" s="2867"/>
      <c r="Z672" s="2867"/>
      <c r="AA672" s="2867"/>
      <c r="AB672" s="2867"/>
      <c r="AC672" s="2867"/>
      <c r="AD672" s="2867"/>
      <c r="AE672" s="2867"/>
      <c r="AF672" s="2867"/>
      <c r="AG672" s="2867"/>
      <c r="AH672" s="2867"/>
      <c r="AI672" s="2867"/>
      <c r="AJ672" s="2867"/>
      <c r="AK672" s="2867"/>
      <c r="AL672" s="2867"/>
      <c r="AM672" s="2867"/>
      <c r="AN672" s="2867"/>
      <c r="AO672" s="2867"/>
      <c r="AP672" s="2867"/>
      <c r="AQ672" s="2867"/>
      <c r="AR672" s="2867"/>
      <c r="AS672" s="2867"/>
      <c r="AT672" s="2867"/>
      <c r="AU672" s="2867"/>
      <c r="AV672" s="2867"/>
      <c r="AW672" s="2867"/>
      <c r="AX672" s="2867"/>
      <c r="AY672" s="2867"/>
      <c r="AZ672" s="2867"/>
      <c r="BA672" s="2867"/>
      <c r="BB672" s="2867"/>
      <c r="BC672" s="2867"/>
      <c r="BD672" s="2867"/>
      <c r="BE672" s="2867"/>
      <c r="BF672" s="2867"/>
      <c r="BG672" s="2867"/>
      <c r="BH672" s="2867"/>
      <c r="BI672" s="2867"/>
      <c r="BJ672" s="2867"/>
      <c r="BK672" s="2867"/>
      <c r="BL672" s="2867"/>
      <c r="BM672" s="2867"/>
      <c r="BN672" s="2867"/>
      <c r="BO672" s="2867"/>
      <c r="BP672" s="2867"/>
      <c r="BQ672" s="2867"/>
      <c r="BR672" s="2867"/>
      <c r="BS672" s="2867"/>
      <c r="BT672" s="2867"/>
      <c r="BU672" s="2867"/>
      <c r="BV672" s="2867"/>
      <c r="BW672" s="2867"/>
      <c r="BX672" s="2867"/>
      <c r="BY672" s="2867"/>
      <c r="BZ672" s="2867"/>
      <c r="CA672" s="2867"/>
      <c r="CB672" s="2867"/>
      <c r="CC672" s="2867"/>
      <c r="CD672" s="2867"/>
      <c r="CE672" s="2867"/>
      <c r="CF672" s="2867"/>
      <c r="CG672" s="2867"/>
      <c r="CH672" s="2867"/>
      <c r="CI672" s="2867"/>
      <c r="CJ672" s="2867"/>
      <c r="CK672" s="2867"/>
      <c r="CL672" s="2867"/>
      <c r="CM672" s="2867"/>
      <c r="CN672" s="2867"/>
      <c r="CO672" s="2867"/>
      <c r="CP672" s="2867"/>
      <c r="CQ672" s="2867"/>
      <c r="CR672" s="2867"/>
      <c r="CS672" s="2867"/>
      <c r="CT672" s="2867"/>
      <c r="CU672" s="2867"/>
      <c r="CV672" s="2867"/>
      <c r="CW672" s="2867"/>
    </row>
    <row r="673" spans="1:101">
      <c r="A673" s="2867"/>
      <c r="B673" s="2867"/>
      <c r="C673" s="2867"/>
      <c r="D673" s="2867"/>
      <c r="E673" s="2867"/>
      <c r="F673" s="2867"/>
      <c r="G673" s="2867"/>
      <c r="H673" s="2867"/>
      <c r="I673" s="2867"/>
      <c r="J673" s="2867"/>
      <c r="K673" s="2867"/>
      <c r="L673" s="2867"/>
      <c r="M673" s="2867"/>
      <c r="O673" s="2867"/>
      <c r="P673" s="2867"/>
      <c r="Q673" s="2867"/>
      <c r="R673" s="2867"/>
      <c r="S673" s="2867"/>
      <c r="T673" s="2867"/>
      <c r="U673" s="2867"/>
      <c r="V673" s="2867"/>
      <c r="W673" s="2867"/>
      <c r="X673" s="2867"/>
      <c r="Y673" s="2867"/>
      <c r="Z673" s="2867"/>
      <c r="AA673" s="2867"/>
      <c r="AB673" s="2867"/>
      <c r="AC673" s="2867"/>
      <c r="AD673" s="2867"/>
      <c r="AE673" s="2867"/>
      <c r="AF673" s="2867"/>
      <c r="AG673" s="2867"/>
      <c r="AH673" s="2867"/>
      <c r="AI673" s="2867"/>
      <c r="AJ673" s="2867"/>
      <c r="AK673" s="2867"/>
      <c r="AL673" s="2867"/>
      <c r="AM673" s="2867"/>
      <c r="AN673" s="2867"/>
      <c r="AO673" s="2867"/>
      <c r="AP673" s="2867"/>
      <c r="AQ673" s="2867"/>
      <c r="AR673" s="2867"/>
      <c r="AS673" s="2867"/>
      <c r="AT673" s="2867"/>
      <c r="AU673" s="2867"/>
      <c r="AV673" s="2867"/>
      <c r="AW673" s="2867"/>
      <c r="AX673" s="2867"/>
      <c r="AY673" s="2867"/>
      <c r="AZ673" s="2867"/>
      <c r="BA673" s="2867"/>
      <c r="BB673" s="2867"/>
      <c r="BC673" s="2867"/>
      <c r="BD673" s="2867"/>
      <c r="BE673" s="2867"/>
      <c r="BF673" s="2867"/>
      <c r="BG673" s="2867"/>
      <c r="BH673" s="2867"/>
      <c r="BI673" s="2867"/>
      <c r="BJ673" s="2867"/>
      <c r="BK673" s="2867"/>
      <c r="BL673" s="2867"/>
      <c r="BM673" s="2867"/>
      <c r="BN673" s="2867"/>
      <c r="BO673" s="2867"/>
      <c r="BP673" s="2867"/>
      <c r="BQ673" s="2867"/>
      <c r="BR673" s="2867"/>
      <c r="BS673" s="2867"/>
      <c r="BT673" s="2867"/>
      <c r="BU673" s="2867"/>
      <c r="BV673" s="2867"/>
      <c r="BW673" s="2867"/>
      <c r="BX673" s="2867"/>
      <c r="BY673" s="2867"/>
      <c r="BZ673" s="2867"/>
      <c r="CA673" s="2867"/>
      <c r="CB673" s="2867"/>
      <c r="CC673" s="2867"/>
      <c r="CD673" s="2867"/>
      <c r="CE673" s="2867"/>
      <c r="CF673" s="2867"/>
      <c r="CG673" s="2867"/>
      <c r="CH673" s="2867"/>
      <c r="CI673" s="2867"/>
      <c r="CJ673" s="2867"/>
      <c r="CK673" s="2867"/>
      <c r="CL673" s="2867"/>
      <c r="CM673" s="2867"/>
      <c r="CN673" s="2867"/>
      <c r="CO673" s="2867"/>
      <c r="CP673" s="2867"/>
      <c r="CQ673" s="2867"/>
      <c r="CR673" s="2867"/>
      <c r="CS673" s="2867"/>
      <c r="CT673" s="2867"/>
      <c r="CU673" s="2867"/>
      <c r="CV673" s="2867"/>
      <c r="CW673" s="2867"/>
    </row>
    <row r="674" spans="1:101">
      <c r="A674" s="2867"/>
      <c r="B674" s="2867"/>
      <c r="C674" s="2867"/>
      <c r="D674" s="2867"/>
      <c r="E674" s="2867"/>
      <c r="F674" s="2867"/>
      <c r="G674" s="2867"/>
      <c r="H674" s="2867"/>
      <c r="I674" s="2867"/>
      <c r="J674" s="2867"/>
      <c r="K674" s="2867"/>
      <c r="L674" s="2867"/>
      <c r="M674" s="2867"/>
      <c r="O674" s="2867"/>
      <c r="P674" s="2867"/>
      <c r="Q674" s="2867"/>
      <c r="R674" s="2867"/>
      <c r="S674" s="2867"/>
      <c r="T674" s="2867"/>
      <c r="U674" s="2867"/>
      <c r="V674" s="2867"/>
      <c r="W674" s="2867"/>
      <c r="X674" s="2867"/>
      <c r="Y674" s="2867"/>
      <c r="Z674" s="2867"/>
      <c r="AA674" s="2867"/>
      <c r="AB674" s="2867"/>
      <c r="AC674" s="2867"/>
      <c r="AD674" s="2867"/>
      <c r="AE674" s="2867"/>
      <c r="AF674" s="2867"/>
      <c r="AG674" s="2867"/>
      <c r="AH674" s="2867"/>
      <c r="AI674" s="2867"/>
      <c r="AJ674" s="2867"/>
      <c r="AK674" s="2867"/>
      <c r="AL674" s="2867"/>
      <c r="AM674" s="2867"/>
      <c r="AN674" s="2867"/>
      <c r="AO674" s="2867"/>
      <c r="AP674" s="2867"/>
      <c r="AQ674" s="2867"/>
      <c r="AR674" s="2867"/>
      <c r="AS674" s="2867"/>
      <c r="AT674" s="2867"/>
      <c r="AU674" s="2867"/>
      <c r="AV674" s="2867"/>
      <c r="AW674" s="2867"/>
      <c r="AX674" s="2867"/>
      <c r="AY674" s="2867"/>
      <c r="AZ674" s="2867"/>
      <c r="BA674" s="2867"/>
      <c r="BB674" s="2867"/>
      <c r="BC674" s="2867"/>
      <c r="BD674" s="2867"/>
      <c r="BE674" s="2867"/>
      <c r="BF674" s="2867"/>
      <c r="BG674" s="2867"/>
      <c r="BH674" s="2867"/>
      <c r="BI674" s="2867"/>
      <c r="BJ674" s="2867"/>
      <c r="BK674" s="2867"/>
      <c r="BL674" s="2867"/>
      <c r="BM674" s="2867"/>
      <c r="BN674" s="2867"/>
      <c r="BO674" s="2867"/>
      <c r="BP674" s="2867"/>
      <c r="BQ674" s="2867"/>
      <c r="BR674" s="2867"/>
      <c r="BS674" s="2867"/>
      <c r="BT674" s="2867"/>
      <c r="BU674" s="2867"/>
      <c r="BV674" s="2867"/>
      <c r="BW674" s="2867"/>
      <c r="BX674" s="2867"/>
      <c r="BY674" s="2867"/>
      <c r="BZ674" s="2867"/>
      <c r="CA674" s="2867"/>
      <c r="CB674" s="2867"/>
      <c r="CC674" s="2867"/>
      <c r="CD674" s="2867"/>
      <c r="CE674" s="2867"/>
      <c r="CF674" s="2867"/>
      <c r="CG674" s="2867"/>
      <c r="CH674" s="2867"/>
      <c r="CI674" s="2867"/>
      <c r="CJ674" s="2867"/>
      <c r="CK674" s="2867"/>
      <c r="CL674" s="2867"/>
      <c r="CM674" s="2867"/>
      <c r="CN674" s="2867"/>
      <c r="CO674" s="2867"/>
      <c r="CP674" s="2867"/>
      <c r="CQ674" s="2867"/>
      <c r="CR674" s="2867"/>
      <c r="CS674" s="2867"/>
      <c r="CT674" s="2867"/>
      <c r="CU674" s="2867"/>
      <c r="CV674" s="2867"/>
      <c r="CW674" s="2867"/>
    </row>
    <row r="675" spans="1:101">
      <c r="A675" s="2867"/>
      <c r="B675" s="2867"/>
      <c r="C675" s="2867"/>
      <c r="D675" s="2867"/>
      <c r="E675" s="2867"/>
      <c r="F675" s="2867"/>
      <c r="G675" s="2867"/>
      <c r="H675" s="2867"/>
      <c r="I675" s="2867"/>
      <c r="J675" s="2867"/>
      <c r="K675" s="2867"/>
      <c r="L675" s="2867"/>
      <c r="M675" s="2867"/>
      <c r="O675" s="2867"/>
      <c r="P675" s="2867"/>
      <c r="Q675" s="2867"/>
      <c r="R675" s="2867"/>
      <c r="S675" s="2867"/>
      <c r="T675" s="2867"/>
      <c r="U675" s="2867"/>
      <c r="V675" s="2867"/>
      <c r="W675" s="2867"/>
      <c r="X675" s="2867"/>
      <c r="Y675" s="2867"/>
      <c r="Z675" s="2867"/>
      <c r="AA675" s="2867"/>
      <c r="AB675" s="2867"/>
      <c r="AC675" s="2867"/>
      <c r="AD675" s="2867"/>
      <c r="AE675" s="2867"/>
      <c r="AF675" s="2867"/>
      <c r="AG675" s="2867"/>
      <c r="AH675" s="2867"/>
      <c r="AI675" s="2867"/>
      <c r="AJ675" s="2867"/>
      <c r="AK675" s="2867"/>
      <c r="AL675" s="2867"/>
      <c r="AM675" s="2867"/>
      <c r="AN675" s="2867"/>
      <c r="AO675" s="2867"/>
      <c r="AP675" s="2867"/>
      <c r="AQ675" s="2867"/>
      <c r="AR675" s="2867"/>
      <c r="AS675" s="2867"/>
      <c r="AT675" s="2867"/>
      <c r="AU675" s="2867"/>
      <c r="AV675" s="2867"/>
      <c r="AW675" s="2867"/>
      <c r="AX675" s="2867"/>
      <c r="AY675" s="2867"/>
      <c r="AZ675" s="2867"/>
      <c r="BA675" s="2867"/>
      <c r="BB675" s="2867"/>
      <c r="BC675" s="2867"/>
      <c r="BD675" s="2867"/>
      <c r="BE675" s="2867"/>
      <c r="BF675" s="2867"/>
      <c r="BG675" s="2867"/>
      <c r="BH675" s="2867"/>
      <c r="BI675" s="2867"/>
      <c r="BJ675" s="2867"/>
      <c r="BK675" s="2867"/>
      <c r="BL675" s="2867"/>
      <c r="BM675" s="2867"/>
      <c r="BN675" s="2867"/>
      <c r="BO675" s="2867"/>
      <c r="BP675" s="2867"/>
      <c r="BQ675" s="2867"/>
      <c r="BR675" s="2867"/>
      <c r="BS675" s="2867"/>
      <c r="BT675" s="2867"/>
      <c r="BU675" s="2867"/>
      <c r="BV675" s="2867"/>
      <c r="BW675" s="2867"/>
      <c r="BX675" s="2867"/>
      <c r="BY675" s="2867"/>
      <c r="BZ675" s="2867"/>
      <c r="CA675" s="2867"/>
      <c r="CB675" s="2867"/>
      <c r="CC675" s="2867"/>
      <c r="CD675" s="2867"/>
      <c r="CE675" s="2867"/>
      <c r="CF675" s="2867"/>
      <c r="CG675" s="2867"/>
      <c r="CH675" s="2867"/>
      <c r="CI675" s="2867"/>
      <c r="CJ675" s="2867"/>
      <c r="CK675" s="2867"/>
      <c r="CL675" s="2867"/>
      <c r="CM675" s="2867"/>
      <c r="CN675" s="2867"/>
      <c r="CO675" s="2867"/>
      <c r="CP675" s="2867"/>
      <c r="CQ675" s="2867"/>
      <c r="CR675" s="2867"/>
      <c r="CS675" s="2867"/>
      <c r="CT675" s="2867"/>
      <c r="CU675" s="2867"/>
      <c r="CV675" s="2867"/>
      <c r="CW675" s="2867"/>
    </row>
    <row r="676" spans="1:101">
      <c r="A676" s="2867"/>
      <c r="B676" s="2867"/>
      <c r="C676" s="2867"/>
      <c r="D676" s="2867"/>
      <c r="E676" s="2867"/>
      <c r="F676" s="2867"/>
      <c r="G676" s="2867"/>
      <c r="H676" s="2867"/>
      <c r="I676" s="2867"/>
      <c r="J676" s="2867"/>
      <c r="K676" s="2867"/>
      <c r="L676" s="2867"/>
      <c r="M676" s="2867"/>
      <c r="O676" s="2867"/>
      <c r="P676" s="2867"/>
      <c r="Q676" s="2867"/>
      <c r="R676" s="2867"/>
      <c r="S676" s="2867"/>
      <c r="T676" s="2867"/>
      <c r="U676" s="2867"/>
      <c r="V676" s="2867"/>
      <c r="W676" s="2867"/>
      <c r="X676" s="2867"/>
      <c r="Y676" s="2867"/>
      <c r="Z676" s="2867"/>
      <c r="AA676" s="2867"/>
      <c r="AB676" s="2867"/>
      <c r="AC676" s="2867"/>
      <c r="AD676" s="2867"/>
      <c r="AE676" s="2867"/>
      <c r="AF676" s="2867"/>
      <c r="AG676" s="2867"/>
      <c r="AH676" s="2867"/>
      <c r="AI676" s="2867"/>
      <c r="AJ676" s="2867"/>
      <c r="AK676" s="2867"/>
      <c r="AL676" s="2867"/>
      <c r="AM676" s="2867"/>
      <c r="AN676" s="2867"/>
      <c r="AO676" s="2867"/>
      <c r="AP676" s="2867"/>
      <c r="AQ676" s="2867"/>
      <c r="AR676" s="2867"/>
      <c r="AS676" s="2867"/>
      <c r="AT676" s="2867"/>
      <c r="AU676" s="2867"/>
      <c r="AV676" s="2867"/>
      <c r="AW676" s="2867"/>
      <c r="AX676" s="2867"/>
      <c r="AY676" s="2867"/>
      <c r="AZ676" s="2867"/>
      <c r="BA676" s="2867"/>
      <c r="BB676" s="2867"/>
      <c r="BC676" s="2867"/>
      <c r="BD676" s="2867"/>
      <c r="BE676" s="2867"/>
      <c r="BF676" s="2867"/>
      <c r="BG676" s="2867"/>
      <c r="BH676" s="2867"/>
      <c r="BI676" s="2867"/>
      <c r="BJ676" s="2867"/>
      <c r="BK676" s="2867"/>
      <c r="BL676" s="2867"/>
      <c r="BM676" s="2867"/>
      <c r="BN676" s="2867"/>
      <c r="BO676" s="2867"/>
      <c r="BP676" s="2867"/>
      <c r="BQ676" s="2867"/>
      <c r="BR676" s="2867"/>
      <c r="BS676" s="2867"/>
      <c r="BT676" s="2867"/>
      <c r="BU676" s="2867"/>
      <c r="BV676" s="2867"/>
      <c r="BW676" s="2867"/>
      <c r="BX676" s="2867"/>
      <c r="BY676" s="2867"/>
      <c r="BZ676" s="2867"/>
      <c r="CA676" s="2867"/>
      <c r="CB676" s="2867"/>
      <c r="CC676" s="2867"/>
      <c r="CD676" s="2867"/>
      <c r="CE676" s="2867"/>
      <c r="CF676" s="2867"/>
      <c r="CG676" s="2867"/>
      <c r="CH676" s="2867"/>
      <c r="CI676" s="2867"/>
      <c r="CJ676" s="2867"/>
      <c r="CK676" s="2867"/>
      <c r="CL676" s="2867"/>
      <c r="CM676" s="2867"/>
      <c r="CN676" s="2867"/>
      <c r="CO676" s="2867"/>
      <c r="CP676" s="2867"/>
      <c r="CQ676" s="2867"/>
      <c r="CR676" s="2867"/>
      <c r="CS676" s="2867"/>
      <c r="CT676" s="2867"/>
      <c r="CU676" s="2867"/>
      <c r="CV676" s="2867"/>
      <c r="CW676" s="2867"/>
    </row>
    <row r="677" spans="1:101">
      <c r="A677" s="2867"/>
      <c r="B677" s="2867"/>
      <c r="C677" s="2867"/>
      <c r="D677" s="2867"/>
      <c r="E677" s="2867"/>
      <c r="F677" s="2867"/>
      <c r="G677" s="2867"/>
      <c r="H677" s="2867"/>
      <c r="I677" s="2867"/>
      <c r="J677" s="2867"/>
      <c r="K677" s="2867"/>
      <c r="L677" s="2867"/>
      <c r="M677" s="2867"/>
      <c r="O677" s="2867"/>
      <c r="P677" s="2867"/>
      <c r="Q677" s="2867"/>
      <c r="R677" s="2867"/>
      <c r="S677" s="2867"/>
      <c r="T677" s="2867"/>
      <c r="U677" s="2867"/>
      <c r="V677" s="2867"/>
      <c r="W677" s="2867"/>
      <c r="X677" s="2867"/>
      <c r="Y677" s="2867"/>
      <c r="Z677" s="2867"/>
      <c r="AA677" s="2867"/>
      <c r="AB677" s="2867"/>
      <c r="AC677" s="2867"/>
      <c r="AD677" s="2867"/>
      <c r="AE677" s="2867"/>
      <c r="AF677" s="2867"/>
      <c r="AG677" s="2867"/>
      <c r="AH677" s="2867"/>
      <c r="AI677" s="2867"/>
      <c r="AJ677" s="2867"/>
      <c r="AK677" s="2867"/>
      <c r="AL677" s="2867"/>
      <c r="AM677" s="2867"/>
      <c r="AN677" s="2867"/>
      <c r="AO677" s="2867"/>
      <c r="AP677" s="2867"/>
      <c r="AQ677" s="2867"/>
      <c r="AR677" s="2867"/>
      <c r="AS677" s="2867"/>
      <c r="AT677" s="2867"/>
      <c r="AU677" s="2867"/>
      <c r="AV677" s="2867"/>
      <c r="AW677" s="2867"/>
      <c r="AX677" s="2867"/>
      <c r="AY677" s="2867"/>
      <c r="AZ677" s="2867"/>
      <c r="BA677" s="2867"/>
      <c r="BB677" s="2867"/>
      <c r="BC677" s="2867"/>
      <c r="BD677" s="2867"/>
      <c r="BE677" s="2867"/>
      <c r="BF677" s="2867"/>
      <c r="BG677" s="2867"/>
      <c r="BH677" s="2867"/>
      <c r="BI677" s="2867"/>
      <c r="BJ677" s="2867"/>
      <c r="BK677" s="2867"/>
      <c r="BL677" s="2867"/>
      <c r="BM677" s="2867"/>
      <c r="BN677" s="2867"/>
      <c r="BO677" s="2867"/>
      <c r="BP677" s="2867"/>
      <c r="BQ677" s="2867"/>
      <c r="BR677" s="2867"/>
      <c r="BS677" s="2867"/>
      <c r="BT677" s="2867"/>
      <c r="BU677" s="2867"/>
      <c r="BV677" s="2867"/>
      <c r="BW677" s="2867"/>
      <c r="BX677" s="2867"/>
      <c r="BY677" s="2867"/>
      <c r="BZ677" s="2867"/>
      <c r="CA677" s="2867"/>
      <c r="CB677" s="2867"/>
      <c r="CC677" s="2867"/>
      <c r="CD677" s="2867"/>
      <c r="CE677" s="2867"/>
      <c r="CF677" s="2867"/>
      <c r="CG677" s="2867"/>
      <c r="CH677" s="2867"/>
      <c r="CI677" s="2867"/>
      <c r="CJ677" s="2867"/>
      <c r="CK677" s="2867"/>
      <c r="CL677" s="2867"/>
      <c r="CM677" s="2867"/>
      <c r="CN677" s="2867"/>
      <c r="CO677" s="2867"/>
      <c r="CP677" s="2867"/>
      <c r="CQ677" s="2867"/>
      <c r="CR677" s="2867"/>
      <c r="CS677" s="2867"/>
      <c r="CT677" s="2867"/>
      <c r="CU677" s="2867"/>
      <c r="CV677" s="2867"/>
      <c r="CW677" s="2867"/>
    </row>
    <row r="678" spans="1:101">
      <c r="A678" s="2867"/>
      <c r="B678" s="2867"/>
      <c r="C678" s="2867"/>
      <c r="D678" s="2867"/>
      <c r="E678" s="2867"/>
      <c r="F678" s="2867"/>
      <c r="G678" s="2867"/>
      <c r="H678" s="2867"/>
      <c r="I678" s="2867"/>
      <c r="J678" s="2867"/>
      <c r="K678" s="2867"/>
      <c r="L678" s="2867"/>
      <c r="M678" s="2867"/>
      <c r="O678" s="2867"/>
      <c r="P678" s="2867"/>
      <c r="Q678" s="2867"/>
      <c r="R678" s="2867"/>
      <c r="S678" s="2867"/>
      <c r="T678" s="2867"/>
      <c r="U678" s="2867"/>
      <c r="V678" s="2867"/>
      <c r="W678" s="2867"/>
      <c r="X678" s="2867"/>
      <c r="Y678" s="2867"/>
      <c r="Z678" s="2867"/>
      <c r="AA678" s="2867"/>
      <c r="AB678" s="2867"/>
      <c r="AC678" s="2867"/>
      <c r="AD678" s="2867"/>
      <c r="AE678" s="2867"/>
      <c r="AF678" s="2867"/>
      <c r="AG678" s="2867"/>
      <c r="AH678" s="2867"/>
      <c r="AI678" s="2867"/>
      <c r="AJ678" s="2867"/>
      <c r="AK678" s="2867"/>
      <c r="AL678" s="2867"/>
      <c r="AM678" s="2867"/>
      <c r="AN678" s="2867"/>
      <c r="AO678" s="2867"/>
      <c r="AP678" s="2867"/>
      <c r="AQ678" s="2867"/>
      <c r="AR678" s="2867"/>
      <c r="AS678" s="2867"/>
      <c r="AT678" s="2867"/>
      <c r="AU678" s="2867"/>
      <c r="AV678" s="2867"/>
      <c r="AW678" s="2867"/>
      <c r="AX678" s="2867"/>
      <c r="AY678" s="2867"/>
      <c r="AZ678" s="2867"/>
      <c r="BA678" s="2867"/>
      <c r="BB678" s="2867"/>
      <c r="BC678" s="2867"/>
      <c r="BD678" s="2867"/>
      <c r="BE678" s="2867"/>
      <c r="BF678" s="2867"/>
      <c r="BG678" s="2867"/>
      <c r="BH678" s="2867"/>
      <c r="BI678" s="2867"/>
      <c r="BJ678" s="2867"/>
      <c r="BK678" s="2867"/>
      <c r="BL678" s="2867"/>
      <c r="BM678" s="2867"/>
      <c r="BN678" s="2867"/>
      <c r="BO678" s="2867"/>
      <c r="BP678" s="2867"/>
      <c r="BQ678" s="2867"/>
      <c r="BR678" s="2867"/>
      <c r="BS678" s="2867"/>
      <c r="BT678" s="2867"/>
      <c r="BU678" s="2867"/>
      <c r="BV678" s="2867"/>
      <c r="BW678" s="2867"/>
      <c r="BX678" s="2867"/>
      <c r="BY678" s="2867"/>
      <c r="BZ678" s="2867"/>
      <c r="CA678" s="2867"/>
      <c r="CB678" s="2867"/>
      <c r="CC678" s="2867"/>
      <c r="CD678" s="2867"/>
      <c r="CE678" s="2867"/>
      <c r="CF678" s="2867"/>
      <c r="CG678" s="2867"/>
      <c r="CH678" s="2867"/>
      <c r="CI678" s="2867"/>
      <c r="CJ678" s="2867"/>
      <c r="CK678" s="2867"/>
      <c r="CL678" s="2867"/>
      <c r="CM678" s="2867"/>
      <c r="CN678" s="2867"/>
      <c r="CO678" s="2867"/>
      <c r="CP678" s="2867"/>
      <c r="CQ678" s="2867"/>
      <c r="CR678" s="2867"/>
      <c r="CS678" s="2867"/>
      <c r="CT678" s="2867"/>
      <c r="CU678" s="2867"/>
      <c r="CV678" s="2867"/>
      <c r="CW678" s="2867"/>
    </row>
    <row r="679" spans="1:101">
      <c r="A679" s="2867"/>
      <c r="B679" s="2867"/>
      <c r="C679" s="2867"/>
      <c r="D679" s="2867"/>
      <c r="E679" s="2867"/>
      <c r="F679" s="2867"/>
      <c r="G679" s="2867"/>
      <c r="H679" s="2867"/>
      <c r="I679" s="2867"/>
      <c r="J679" s="2867"/>
      <c r="K679" s="2867"/>
      <c r="L679" s="2867"/>
      <c r="M679" s="2867"/>
      <c r="O679" s="2867"/>
      <c r="P679" s="2867"/>
      <c r="Q679" s="2867"/>
      <c r="R679" s="2867"/>
      <c r="S679" s="2867"/>
      <c r="T679" s="2867"/>
      <c r="U679" s="2867"/>
      <c r="V679" s="2867"/>
      <c r="W679" s="2867"/>
      <c r="X679" s="2867"/>
      <c r="Y679" s="2867"/>
      <c r="Z679" s="2867"/>
      <c r="AA679" s="2867"/>
      <c r="AB679" s="2867"/>
      <c r="AC679" s="2867"/>
      <c r="AD679" s="2867"/>
      <c r="AE679" s="2867"/>
      <c r="AF679" s="2867"/>
      <c r="AG679" s="2867"/>
      <c r="AH679" s="2867"/>
      <c r="AI679" s="2867"/>
      <c r="AJ679" s="2867"/>
      <c r="AK679" s="2867"/>
      <c r="AL679" s="2867"/>
      <c r="AM679" s="2867"/>
      <c r="AN679" s="2867"/>
      <c r="AO679" s="2867"/>
      <c r="AP679" s="2867"/>
      <c r="AQ679" s="2867"/>
      <c r="AR679" s="2867"/>
      <c r="AS679" s="2867"/>
      <c r="AT679" s="2867"/>
      <c r="AU679" s="2867"/>
      <c r="AV679" s="2867"/>
      <c r="AW679" s="2867"/>
      <c r="AX679" s="2867"/>
      <c r="AY679" s="2867"/>
      <c r="AZ679" s="2867"/>
      <c r="BA679" s="2867"/>
      <c r="BB679" s="2867"/>
      <c r="BC679" s="2867"/>
      <c r="BD679" s="2867"/>
      <c r="BE679" s="2867"/>
      <c r="BF679" s="2867"/>
      <c r="BG679" s="2867"/>
      <c r="BH679" s="2867"/>
      <c r="BI679" s="2867"/>
      <c r="BJ679" s="2867"/>
      <c r="BK679" s="2867"/>
      <c r="BL679" s="2867"/>
      <c r="BM679" s="2867"/>
      <c r="BN679" s="2867"/>
      <c r="BO679" s="2867"/>
      <c r="BP679" s="2867"/>
      <c r="BQ679" s="2867"/>
      <c r="BR679" s="2867"/>
      <c r="BS679" s="2867"/>
      <c r="BT679" s="2867"/>
      <c r="BU679" s="2867"/>
      <c r="BV679" s="2867"/>
      <c r="BW679" s="2867"/>
      <c r="BX679" s="2867"/>
      <c r="BY679" s="2867"/>
      <c r="BZ679" s="2867"/>
      <c r="CA679" s="2867"/>
      <c r="CB679" s="2867"/>
      <c r="CC679" s="2867"/>
      <c r="CD679" s="2867"/>
      <c r="CE679" s="2867"/>
      <c r="CF679" s="2867"/>
      <c r="CG679" s="2867"/>
      <c r="CH679" s="2867"/>
      <c r="CI679" s="2867"/>
      <c r="CJ679" s="2867"/>
      <c r="CK679" s="2867"/>
      <c r="CL679" s="2867"/>
      <c r="CM679" s="2867"/>
      <c r="CN679" s="2867"/>
      <c r="CO679" s="2867"/>
      <c r="CP679" s="2867"/>
      <c r="CQ679" s="2867"/>
      <c r="CR679" s="2867"/>
      <c r="CS679" s="2867"/>
      <c r="CT679" s="2867"/>
      <c r="CU679" s="2867"/>
      <c r="CV679" s="2867"/>
      <c r="CW679" s="2867"/>
    </row>
    <row r="680" spans="1:101">
      <c r="A680" s="2867"/>
      <c r="B680" s="2867"/>
      <c r="C680" s="2867"/>
      <c r="D680" s="2867"/>
      <c r="E680" s="2867"/>
      <c r="F680" s="2867"/>
      <c r="G680" s="2867"/>
      <c r="H680" s="2867"/>
      <c r="I680" s="2867"/>
      <c r="J680" s="2867"/>
      <c r="K680" s="2867"/>
      <c r="L680" s="2867"/>
      <c r="M680" s="2867"/>
      <c r="O680" s="2867"/>
      <c r="P680" s="2867"/>
      <c r="Q680" s="2867"/>
      <c r="R680" s="2867"/>
      <c r="S680" s="2867"/>
      <c r="T680" s="2867"/>
      <c r="U680" s="2867"/>
      <c r="V680" s="2867"/>
      <c r="W680" s="2867"/>
      <c r="X680" s="2867"/>
      <c r="Y680" s="2867"/>
      <c r="Z680" s="2867"/>
      <c r="AA680" s="2867"/>
      <c r="AB680" s="2867"/>
      <c r="AC680" s="2867"/>
      <c r="AD680" s="2867"/>
      <c r="AE680" s="2867"/>
      <c r="AF680" s="2867"/>
      <c r="AG680" s="2867"/>
      <c r="AH680" s="2867"/>
      <c r="AI680" s="2867"/>
      <c r="AJ680" s="2867"/>
      <c r="AK680" s="2867"/>
      <c r="AL680" s="2867"/>
      <c r="AM680" s="2867"/>
      <c r="AN680" s="2867"/>
      <c r="AO680" s="2867"/>
      <c r="AP680" s="2867"/>
      <c r="AQ680" s="2867"/>
      <c r="AR680" s="2867"/>
      <c r="AS680" s="2867"/>
      <c r="AT680" s="2867"/>
      <c r="AU680" s="2867"/>
      <c r="AV680" s="2867"/>
      <c r="AW680" s="2867"/>
      <c r="AX680" s="2867"/>
      <c r="AY680" s="2867"/>
      <c r="AZ680" s="2867"/>
      <c r="BA680" s="2867"/>
      <c r="BB680" s="2867"/>
      <c r="BC680" s="2867"/>
      <c r="BD680" s="2867"/>
      <c r="BE680" s="2867"/>
      <c r="BF680" s="2867"/>
      <c r="BG680" s="2867"/>
      <c r="BH680" s="2867"/>
      <c r="BI680" s="2867"/>
      <c r="BJ680" s="2867"/>
      <c r="BK680" s="2867"/>
      <c r="BL680" s="2867"/>
      <c r="BM680" s="2867"/>
      <c r="BN680" s="2867"/>
      <c r="BO680" s="2867"/>
      <c r="BP680" s="2867"/>
      <c r="BQ680" s="2867"/>
      <c r="BR680" s="2867"/>
      <c r="BS680" s="2867"/>
      <c r="BT680" s="2867"/>
      <c r="BU680" s="2867"/>
      <c r="BV680" s="2867"/>
      <c r="BW680" s="2867"/>
      <c r="BX680" s="2867"/>
      <c r="BY680" s="2867"/>
      <c r="BZ680" s="2867"/>
      <c r="CA680" s="2867"/>
      <c r="CB680" s="2867"/>
      <c r="CC680" s="2867"/>
      <c r="CD680" s="2867"/>
      <c r="CE680" s="2867"/>
      <c r="CF680" s="2867"/>
      <c r="CG680" s="2867"/>
      <c r="CH680" s="2867"/>
      <c r="CI680" s="2867"/>
      <c r="CJ680" s="2867"/>
      <c r="CK680" s="2867"/>
      <c r="CL680" s="2867"/>
      <c r="CM680" s="2867"/>
      <c r="CN680" s="2867"/>
      <c r="CO680" s="2867"/>
      <c r="CP680" s="2867"/>
      <c r="CQ680" s="2867"/>
      <c r="CR680" s="2867"/>
      <c r="CS680" s="2867"/>
      <c r="CT680" s="2867"/>
      <c r="CU680" s="2867"/>
      <c r="CV680" s="2867"/>
      <c r="CW680" s="2867"/>
    </row>
    <row r="681" spans="1:101">
      <c r="A681" s="2867"/>
      <c r="B681" s="2867"/>
      <c r="C681" s="2867"/>
      <c r="D681" s="2867"/>
      <c r="E681" s="2867"/>
      <c r="F681" s="2867"/>
      <c r="G681" s="2867"/>
      <c r="H681" s="2867"/>
      <c r="I681" s="2867"/>
      <c r="J681" s="2867"/>
      <c r="K681" s="2867"/>
      <c r="L681" s="2867"/>
      <c r="M681" s="2867"/>
      <c r="O681" s="2867"/>
      <c r="P681" s="2867"/>
      <c r="Q681" s="2867"/>
      <c r="R681" s="2867"/>
      <c r="S681" s="2867"/>
      <c r="T681" s="2867"/>
      <c r="U681" s="2867"/>
      <c r="V681" s="2867"/>
      <c r="W681" s="2867"/>
      <c r="X681" s="2867"/>
      <c r="Y681" s="2867"/>
      <c r="Z681" s="2867"/>
      <c r="AA681" s="2867"/>
      <c r="AB681" s="2867"/>
      <c r="AC681" s="2867"/>
      <c r="AD681" s="2867"/>
      <c r="AE681" s="2867"/>
      <c r="AF681" s="2867"/>
      <c r="AG681" s="2867"/>
      <c r="AH681" s="2867"/>
      <c r="AI681" s="2867"/>
      <c r="AJ681" s="2867"/>
      <c r="AK681" s="2867"/>
      <c r="AL681" s="2867"/>
      <c r="AM681" s="2867"/>
      <c r="AN681" s="2867"/>
      <c r="AO681" s="2867"/>
      <c r="AP681" s="2867"/>
      <c r="AQ681" s="2867"/>
      <c r="AR681" s="2867"/>
      <c r="AS681" s="2867"/>
      <c r="AT681" s="2867"/>
      <c r="AU681" s="2867"/>
      <c r="AV681" s="2867"/>
      <c r="AW681" s="2867"/>
      <c r="AX681" s="2867"/>
      <c r="AY681" s="2867"/>
      <c r="AZ681" s="2867"/>
      <c r="BA681" s="2867"/>
      <c r="BB681" s="2867"/>
      <c r="BC681" s="2867"/>
      <c r="BD681" s="2867"/>
      <c r="BE681" s="2867"/>
      <c r="BF681" s="2867"/>
      <c r="BG681" s="2867"/>
      <c r="BH681" s="2867"/>
      <c r="BI681" s="2867"/>
      <c r="BJ681" s="2867"/>
      <c r="BK681" s="2867"/>
      <c r="BL681" s="2867"/>
      <c r="BM681" s="2867"/>
      <c r="BN681" s="2867"/>
      <c r="BO681" s="2867"/>
      <c r="BP681" s="2867"/>
      <c r="BQ681" s="2867"/>
      <c r="BR681" s="2867"/>
      <c r="BS681" s="2867"/>
      <c r="BT681" s="2867"/>
      <c r="BU681" s="2867"/>
      <c r="BV681" s="2867"/>
      <c r="BW681" s="2867"/>
      <c r="BX681" s="2867"/>
      <c r="BY681" s="2867"/>
      <c r="BZ681" s="2867"/>
      <c r="CA681" s="2867"/>
      <c r="CB681" s="2867"/>
      <c r="CC681" s="2867"/>
      <c r="CD681" s="2867"/>
      <c r="CE681" s="2867"/>
      <c r="CF681" s="2867"/>
      <c r="CG681" s="2867"/>
      <c r="CH681" s="2867"/>
      <c r="CI681" s="2867"/>
      <c r="CJ681" s="2867"/>
      <c r="CK681" s="2867"/>
      <c r="CL681" s="2867"/>
      <c r="CM681" s="2867"/>
      <c r="CN681" s="2867"/>
      <c r="CO681" s="2867"/>
      <c r="CP681" s="2867"/>
      <c r="CQ681" s="2867"/>
      <c r="CR681" s="2867"/>
      <c r="CS681" s="2867"/>
      <c r="CT681" s="2867"/>
      <c r="CU681" s="2867"/>
      <c r="CV681" s="2867"/>
      <c r="CW681" s="2867"/>
    </row>
    <row r="682" spans="1:101">
      <c r="A682" s="2867"/>
      <c r="B682" s="2867"/>
      <c r="C682" s="2867"/>
      <c r="D682" s="2867"/>
      <c r="E682" s="2867"/>
      <c r="F682" s="2867"/>
      <c r="G682" s="2867"/>
      <c r="H682" s="2867"/>
      <c r="I682" s="2867"/>
      <c r="J682" s="2867"/>
      <c r="K682" s="2867"/>
      <c r="L682" s="2867"/>
      <c r="M682" s="2867"/>
      <c r="O682" s="2867"/>
      <c r="P682" s="2867"/>
      <c r="Q682" s="2867"/>
      <c r="R682" s="2867"/>
      <c r="S682" s="2867"/>
      <c r="T682" s="2867"/>
      <c r="U682" s="2867"/>
      <c r="V682" s="2867"/>
      <c r="W682" s="2867"/>
      <c r="X682" s="2867"/>
      <c r="Y682" s="2867"/>
      <c r="Z682" s="2867"/>
      <c r="AA682" s="2867"/>
      <c r="AB682" s="2867"/>
      <c r="AC682" s="2867"/>
      <c r="AD682" s="2867"/>
      <c r="AE682" s="2867"/>
      <c r="AF682" s="2867"/>
      <c r="AG682" s="2867"/>
      <c r="AH682" s="2867"/>
      <c r="AI682" s="2867"/>
      <c r="AJ682" s="2867"/>
      <c r="AK682" s="2867"/>
      <c r="AL682" s="2867"/>
      <c r="AM682" s="2867"/>
      <c r="AN682" s="2867"/>
      <c r="AO682" s="2867"/>
      <c r="AP682" s="2867"/>
      <c r="AQ682" s="2867"/>
      <c r="AR682" s="2867"/>
      <c r="AS682" s="2867"/>
      <c r="AT682" s="2867"/>
      <c r="AU682" s="2867"/>
      <c r="AV682" s="2867"/>
      <c r="AW682" s="2867"/>
      <c r="AX682" s="2867"/>
      <c r="AY682" s="2867"/>
      <c r="AZ682" s="2867"/>
      <c r="BA682" s="2867"/>
      <c r="BB682" s="2867"/>
      <c r="BC682" s="2867"/>
      <c r="BD682" s="2867"/>
      <c r="BE682" s="2867"/>
      <c r="BF682" s="2867"/>
      <c r="BG682" s="2867"/>
      <c r="BH682" s="2867"/>
      <c r="BI682" s="2867"/>
      <c r="BJ682" s="2867"/>
      <c r="BK682" s="2867"/>
      <c r="BL682" s="2867"/>
      <c r="BM682" s="2867"/>
      <c r="BN682" s="2867"/>
      <c r="BO682" s="2867"/>
      <c r="BP682" s="2867"/>
      <c r="BQ682" s="2867"/>
      <c r="BR682" s="2867"/>
      <c r="BS682" s="2867"/>
      <c r="BT682" s="2867"/>
      <c r="BU682" s="2867"/>
      <c r="BV682" s="2867"/>
      <c r="BW682" s="2867"/>
      <c r="BX682" s="2867"/>
      <c r="BY682" s="2867"/>
      <c r="BZ682" s="2867"/>
      <c r="CA682" s="2867"/>
      <c r="CB682" s="2867"/>
      <c r="CC682" s="2867"/>
      <c r="CD682" s="2867"/>
      <c r="CE682" s="2867"/>
      <c r="CF682" s="2867"/>
      <c r="CG682" s="2867"/>
      <c r="CH682" s="2867"/>
      <c r="CI682" s="2867"/>
      <c r="CJ682" s="2867"/>
      <c r="CK682" s="2867"/>
      <c r="CL682" s="2867"/>
      <c r="CM682" s="2867"/>
      <c r="CN682" s="2867"/>
      <c r="CO682" s="2867"/>
      <c r="CP682" s="2867"/>
      <c r="CQ682" s="2867"/>
      <c r="CR682" s="2867"/>
      <c r="CS682" s="2867"/>
      <c r="CT682" s="2867"/>
      <c r="CU682" s="2867"/>
      <c r="CV682" s="2867"/>
      <c r="CW682" s="2867"/>
    </row>
    <row r="683" spans="1:101">
      <c r="A683" s="2867"/>
      <c r="B683" s="2867"/>
      <c r="C683" s="2867"/>
      <c r="D683" s="2867"/>
      <c r="E683" s="2867"/>
      <c r="F683" s="2867"/>
      <c r="G683" s="2867"/>
      <c r="H683" s="2867"/>
      <c r="I683" s="2867"/>
      <c r="J683" s="2867"/>
      <c r="K683" s="2867"/>
      <c r="L683" s="2867"/>
      <c r="M683" s="2867"/>
      <c r="O683" s="2867"/>
      <c r="P683" s="2867"/>
      <c r="Q683" s="2867"/>
      <c r="R683" s="2867"/>
      <c r="S683" s="2867"/>
      <c r="T683" s="2867"/>
      <c r="U683" s="2867"/>
      <c r="V683" s="2867"/>
      <c r="W683" s="2867"/>
      <c r="X683" s="2867"/>
      <c r="Y683" s="2867"/>
      <c r="Z683" s="2867"/>
      <c r="AA683" s="2867"/>
      <c r="AB683" s="2867"/>
      <c r="AC683" s="2867"/>
      <c r="AD683" s="2867"/>
      <c r="AE683" s="2867"/>
      <c r="AF683" s="2867"/>
      <c r="AG683" s="2867"/>
      <c r="AH683" s="2867"/>
      <c r="AI683" s="2867"/>
      <c r="AJ683" s="2867"/>
      <c r="AK683" s="2867"/>
      <c r="AL683" s="2867"/>
      <c r="AM683" s="2867"/>
      <c r="AN683" s="2867"/>
      <c r="AO683" s="2867"/>
      <c r="AP683" s="2867"/>
      <c r="AQ683" s="2867"/>
      <c r="AR683" s="2867"/>
      <c r="AS683" s="2867"/>
      <c r="AT683" s="2867"/>
      <c r="AU683" s="2867"/>
      <c r="AV683" s="2867"/>
      <c r="AW683" s="2867"/>
      <c r="AX683" s="2867"/>
      <c r="AY683" s="2867"/>
      <c r="AZ683" s="2867"/>
      <c r="BA683" s="2867"/>
      <c r="BB683" s="2867"/>
      <c r="BC683" s="2867"/>
      <c r="BD683" s="2867"/>
      <c r="BE683" s="2867"/>
      <c r="BF683" s="2867"/>
      <c r="BG683" s="2867"/>
      <c r="BH683" s="2867"/>
      <c r="BI683" s="2867"/>
      <c r="BJ683" s="2867"/>
      <c r="BK683" s="2867"/>
      <c r="BL683" s="2867"/>
      <c r="BM683" s="2867"/>
      <c r="BN683" s="2867"/>
      <c r="BO683" s="2867"/>
      <c r="BP683" s="2867"/>
      <c r="BQ683" s="2867"/>
      <c r="BR683" s="2867"/>
      <c r="BS683" s="2867"/>
      <c r="BT683" s="2867"/>
      <c r="BU683" s="2867"/>
      <c r="BV683" s="2867"/>
      <c r="BW683" s="2867"/>
      <c r="BX683" s="2867"/>
      <c r="BY683" s="2867"/>
      <c r="BZ683" s="2867"/>
      <c r="CA683" s="2867"/>
      <c r="CB683" s="2867"/>
      <c r="CC683" s="2867"/>
      <c r="CD683" s="2867"/>
      <c r="CE683" s="2867"/>
      <c r="CF683" s="2867"/>
      <c r="CG683" s="2867"/>
      <c r="CH683" s="2867"/>
      <c r="CI683" s="2867"/>
      <c r="CJ683" s="2867"/>
      <c r="CK683" s="2867"/>
      <c r="CL683" s="2867"/>
      <c r="CM683" s="2867"/>
      <c r="CN683" s="2867"/>
      <c r="CO683" s="2867"/>
      <c r="CP683" s="2867"/>
      <c r="CQ683" s="2867"/>
      <c r="CR683" s="2867"/>
      <c r="CS683" s="2867"/>
      <c r="CT683" s="2867"/>
      <c r="CU683" s="2867"/>
      <c r="CV683" s="2867"/>
      <c r="CW683" s="2867"/>
    </row>
    <row r="684" spans="1:101">
      <c r="A684" s="2867"/>
      <c r="B684" s="2867"/>
      <c r="C684" s="2867"/>
      <c r="D684" s="2867"/>
      <c r="E684" s="2867"/>
      <c r="F684" s="2867"/>
      <c r="G684" s="2867"/>
      <c r="H684" s="2867"/>
      <c r="I684" s="2867"/>
      <c r="J684" s="2867"/>
      <c r="K684" s="2867"/>
      <c r="L684" s="2867"/>
      <c r="M684" s="2867"/>
      <c r="O684" s="2867"/>
      <c r="P684" s="2867"/>
      <c r="Q684" s="2867"/>
      <c r="R684" s="2867"/>
      <c r="S684" s="2867"/>
      <c r="T684" s="2867"/>
      <c r="U684" s="2867"/>
      <c r="V684" s="2867"/>
      <c r="W684" s="2867"/>
      <c r="X684" s="2867"/>
      <c r="Y684" s="2867"/>
      <c r="Z684" s="2867"/>
      <c r="AA684" s="2867"/>
      <c r="AB684" s="2867"/>
      <c r="AC684" s="2867"/>
      <c r="AD684" s="2867"/>
      <c r="AE684" s="2867"/>
      <c r="AF684" s="2867"/>
      <c r="AG684" s="2867"/>
      <c r="AH684" s="2867"/>
      <c r="AI684" s="2867"/>
      <c r="AJ684" s="2867"/>
      <c r="AK684" s="2867"/>
      <c r="AL684" s="2867"/>
      <c r="AM684" s="2867"/>
      <c r="AN684" s="2867"/>
      <c r="AO684" s="2867"/>
      <c r="AP684" s="2867"/>
      <c r="AQ684" s="2867"/>
      <c r="AR684" s="2867"/>
      <c r="AS684" s="2867"/>
      <c r="AT684" s="2867"/>
      <c r="AU684" s="2867"/>
      <c r="AV684" s="2867"/>
      <c r="AW684" s="2867"/>
      <c r="AX684" s="2867"/>
      <c r="AY684" s="2867"/>
      <c r="AZ684" s="2867"/>
      <c r="BA684" s="2867"/>
      <c r="BB684" s="2867"/>
      <c r="BC684" s="2867"/>
      <c r="BD684" s="2867"/>
      <c r="BE684" s="2867"/>
      <c r="BF684" s="2867"/>
      <c r="BG684" s="2867"/>
      <c r="BH684" s="2867"/>
      <c r="BI684" s="2867"/>
      <c r="BJ684" s="2867"/>
      <c r="BK684" s="2867"/>
      <c r="BL684" s="2867"/>
      <c r="BM684" s="2867"/>
      <c r="BN684" s="2867"/>
      <c r="BO684" s="2867"/>
      <c r="BP684" s="2867"/>
      <c r="BQ684" s="2867"/>
      <c r="BR684" s="2867"/>
      <c r="BS684" s="2867"/>
      <c r="BT684" s="2867"/>
      <c r="BU684" s="2867"/>
      <c r="BV684" s="2867"/>
      <c r="BW684" s="2867"/>
      <c r="BX684" s="2867"/>
      <c r="BY684" s="2867"/>
      <c r="BZ684" s="2867"/>
      <c r="CA684" s="2867"/>
      <c r="CB684" s="2867"/>
      <c r="CC684" s="2867"/>
      <c r="CD684" s="2867"/>
      <c r="CE684" s="2867"/>
      <c r="CF684" s="2867"/>
      <c r="CG684" s="2867"/>
      <c r="CH684" s="2867"/>
      <c r="CI684" s="2867"/>
      <c r="CJ684" s="2867"/>
      <c r="CK684" s="2867"/>
      <c r="CL684" s="2867"/>
      <c r="CM684" s="2867"/>
      <c r="CN684" s="2867"/>
      <c r="CO684" s="2867"/>
      <c r="CP684" s="2867"/>
      <c r="CQ684" s="2867"/>
      <c r="CR684" s="2867"/>
      <c r="CS684" s="2867"/>
      <c r="CT684" s="2867"/>
      <c r="CU684" s="2867"/>
      <c r="CV684" s="2867"/>
      <c r="CW684" s="2867"/>
    </row>
    <row r="685" spans="1:101">
      <c r="A685" s="2867"/>
      <c r="B685" s="2867"/>
      <c r="C685" s="2867"/>
      <c r="D685" s="2867"/>
      <c r="E685" s="2867"/>
      <c r="F685" s="2867"/>
      <c r="G685" s="2867"/>
      <c r="H685" s="2867"/>
      <c r="I685" s="2867"/>
      <c r="J685" s="2867"/>
      <c r="K685" s="2867"/>
      <c r="L685" s="2867"/>
      <c r="M685" s="2867"/>
      <c r="O685" s="2867"/>
      <c r="P685" s="2867"/>
      <c r="Q685" s="2867"/>
      <c r="R685" s="2867"/>
      <c r="S685" s="2867"/>
      <c r="T685" s="2867"/>
      <c r="U685" s="2867"/>
      <c r="V685" s="2867"/>
      <c r="W685" s="2867"/>
      <c r="X685" s="2867"/>
      <c r="Y685" s="2867"/>
      <c r="Z685" s="2867"/>
      <c r="AA685" s="2867"/>
      <c r="AB685" s="2867"/>
      <c r="AC685" s="2867"/>
      <c r="AD685" s="2867"/>
      <c r="AE685" s="2867"/>
      <c r="AF685" s="2867"/>
      <c r="AG685" s="2867"/>
      <c r="AH685" s="2867"/>
      <c r="AI685" s="2867"/>
      <c r="AJ685" s="2867"/>
      <c r="AK685" s="2867"/>
      <c r="AL685" s="2867"/>
      <c r="AM685" s="2867"/>
      <c r="AN685" s="2867"/>
      <c r="AO685" s="2867"/>
      <c r="AP685" s="2867"/>
      <c r="AQ685" s="2867"/>
      <c r="AR685" s="2867"/>
      <c r="AS685" s="2867"/>
      <c r="AT685" s="2867"/>
      <c r="AU685" s="2867"/>
      <c r="AV685" s="2867"/>
      <c r="AW685" s="2867"/>
      <c r="AX685" s="2867"/>
      <c r="AY685" s="2867"/>
      <c r="AZ685" s="2867"/>
      <c r="BA685" s="2867"/>
      <c r="BB685" s="2867"/>
      <c r="BC685" s="2867"/>
      <c r="BD685" s="2867"/>
      <c r="BE685" s="2867"/>
      <c r="BF685" s="2867"/>
      <c r="BG685" s="2867"/>
      <c r="BH685" s="2867"/>
      <c r="BI685" s="2867"/>
      <c r="BJ685" s="2867"/>
      <c r="BK685" s="2867"/>
      <c r="BL685" s="2867"/>
      <c r="BM685" s="2867"/>
      <c r="BN685" s="2867"/>
      <c r="BO685" s="2867"/>
      <c r="BP685" s="2867"/>
      <c r="BQ685" s="2867"/>
      <c r="BR685" s="2867"/>
      <c r="BS685" s="2867"/>
      <c r="BT685" s="2867"/>
      <c r="BU685" s="2867"/>
      <c r="BV685" s="2867"/>
      <c r="BW685" s="2867"/>
      <c r="BX685" s="2867"/>
      <c r="BY685" s="2867"/>
      <c r="BZ685" s="2867"/>
      <c r="CA685" s="2867"/>
      <c r="CB685" s="2867"/>
      <c r="CC685" s="2867"/>
      <c r="CD685" s="2867"/>
      <c r="CE685" s="2867"/>
      <c r="CF685" s="2867"/>
      <c r="CG685" s="2867"/>
      <c r="CH685" s="2867"/>
      <c r="CI685" s="2867"/>
      <c r="CJ685" s="2867"/>
      <c r="CK685" s="2867"/>
      <c r="CL685" s="2867"/>
      <c r="CM685" s="2867"/>
      <c r="CN685" s="2867"/>
      <c r="CO685" s="2867"/>
      <c r="CP685" s="2867"/>
      <c r="CQ685" s="2867"/>
      <c r="CR685" s="2867"/>
      <c r="CS685" s="2867"/>
      <c r="CT685" s="2867"/>
      <c r="CU685" s="2867"/>
      <c r="CV685" s="2867"/>
      <c r="CW685" s="2867"/>
    </row>
    <row r="686" spans="1:101">
      <c r="A686" s="2867"/>
      <c r="B686" s="2867"/>
      <c r="C686" s="2867"/>
      <c r="D686" s="2867"/>
      <c r="E686" s="2867"/>
      <c r="F686" s="2867"/>
      <c r="G686" s="2867"/>
      <c r="H686" s="2867"/>
      <c r="I686" s="2867"/>
      <c r="J686" s="2867"/>
      <c r="K686" s="2867"/>
      <c r="L686" s="2867"/>
      <c r="M686" s="2867"/>
      <c r="O686" s="2867"/>
      <c r="P686" s="2867"/>
      <c r="Q686" s="2867"/>
      <c r="R686" s="2867"/>
      <c r="S686" s="2867"/>
      <c r="T686" s="2867"/>
      <c r="U686" s="2867"/>
      <c r="V686" s="2867"/>
      <c r="W686" s="2867"/>
      <c r="X686" s="2867"/>
      <c r="Y686" s="2867"/>
      <c r="Z686" s="2867"/>
      <c r="AA686" s="2867"/>
      <c r="AB686" s="2867"/>
      <c r="AC686" s="2867"/>
      <c r="AD686" s="2867"/>
      <c r="AE686" s="2867"/>
      <c r="AF686" s="2867"/>
      <c r="AG686" s="2867"/>
      <c r="AH686" s="2867"/>
      <c r="AI686" s="2867"/>
      <c r="AJ686" s="2867"/>
      <c r="AK686" s="2867"/>
      <c r="AL686" s="2867"/>
      <c r="AM686" s="2867"/>
      <c r="AN686" s="2867"/>
      <c r="AO686" s="2867"/>
      <c r="AP686" s="2867"/>
      <c r="AQ686" s="2867"/>
      <c r="AR686" s="2867"/>
      <c r="AS686" s="2867"/>
      <c r="AT686" s="2867"/>
      <c r="AU686" s="2867"/>
      <c r="AV686" s="2867"/>
      <c r="AW686" s="2867"/>
      <c r="AX686" s="2867"/>
      <c r="AY686" s="2867"/>
      <c r="AZ686" s="2867"/>
      <c r="BA686" s="2867"/>
      <c r="BB686" s="2867"/>
      <c r="BC686" s="2867"/>
      <c r="BD686" s="2867"/>
      <c r="BE686" s="2867"/>
      <c r="BF686" s="2867"/>
      <c r="BG686" s="2867"/>
      <c r="BH686" s="2867"/>
      <c r="BI686" s="2867"/>
      <c r="BJ686" s="2867"/>
      <c r="BK686" s="2867"/>
      <c r="BL686" s="2867"/>
      <c r="BM686" s="2867"/>
      <c r="BN686" s="2867"/>
      <c r="BO686" s="2867"/>
      <c r="BP686" s="2867"/>
      <c r="BQ686" s="2867"/>
      <c r="BR686" s="2867"/>
      <c r="BS686" s="2867"/>
      <c r="BT686" s="2867"/>
      <c r="BU686" s="2867"/>
      <c r="BV686" s="2867"/>
      <c r="BW686" s="2867"/>
      <c r="BX686" s="2867"/>
      <c r="BY686" s="2867"/>
      <c r="BZ686" s="2867"/>
      <c r="CA686" s="2867"/>
      <c r="CB686" s="2867"/>
      <c r="CC686" s="2867"/>
      <c r="CD686" s="2867"/>
      <c r="CE686" s="2867"/>
      <c r="CF686" s="2867"/>
      <c r="CG686" s="2867"/>
      <c r="CH686" s="2867"/>
      <c r="CI686" s="2867"/>
      <c r="CJ686" s="2867"/>
      <c r="CK686" s="2867"/>
      <c r="CL686" s="2867"/>
      <c r="CM686" s="2867"/>
      <c r="CN686" s="2867"/>
      <c r="CO686" s="2867"/>
      <c r="CP686" s="2867"/>
      <c r="CQ686" s="2867"/>
      <c r="CR686" s="2867"/>
      <c r="CS686" s="2867"/>
      <c r="CT686" s="2867"/>
      <c r="CU686" s="2867"/>
      <c r="CV686" s="2867"/>
      <c r="CW686" s="2867"/>
    </row>
    <row r="687" spans="1:101">
      <c r="A687" s="2867"/>
      <c r="B687" s="2867"/>
      <c r="C687" s="2867"/>
      <c r="D687" s="2867"/>
      <c r="E687" s="2867"/>
      <c r="F687" s="2867"/>
      <c r="G687" s="2867"/>
      <c r="H687" s="2867"/>
      <c r="I687" s="2867"/>
      <c r="J687" s="2867"/>
      <c r="K687" s="2867"/>
      <c r="L687" s="2867"/>
      <c r="M687" s="2867"/>
      <c r="O687" s="2867"/>
      <c r="P687" s="2867"/>
      <c r="Q687" s="2867"/>
      <c r="R687" s="2867"/>
      <c r="S687" s="2867"/>
      <c r="T687" s="2867"/>
      <c r="U687" s="2867"/>
      <c r="V687" s="2867"/>
      <c r="W687" s="2867"/>
      <c r="X687" s="2867"/>
      <c r="Y687" s="2867"/>
      <c r="Z687" s="2867"/>
      <c r="AA687" s="2867"/>
      <c r="AB687" s="2867"/>
      <c r="AC687" s="2867"/>
      <c r="AD687" s="2867"/>
      <c r="AE687" s="2867"/>
      <c r="AF687" s="2867"/>
      <c r="AG687" s="2867"/>
      <c r="AH687" s="2867"/>
      <c r="AI687" s="2867"/>
      <c r="AJ687" s="2867"/>
      <c r="AK687" s="2867"/>
      <c r="AL687" s="2867"/>
      <c r="AM687" s="2867"/>
      <c r="AN687" s="2867"/>
      <c r="AO687" s="2867"/>
      <c r="AP687" s="2867"/>
      <c r="AQ687" s="2867"/>
      <c r="AR687" s="2867"/>
      <c r="AS687" s="2867"/>
      <c r="AT687" s="2867"/>
      <c r="AU687" s="2867"/>
      <c r="AV687" s="2867"/>
      <c r="AW687" s="2867"/>
      <c r="AX687" s="2867"/>
      <c r="AY687" s="2867"/>
      <c r="AZ687" s="2867"/>
      <c r="BA687" s="2867"/>
      <c r="BB687" s="2867"/>
      <c r="BC687" s="2867"/>
      <c r="BD687" s="2867"/>
      <c r="BE687" s="2867"/>
      <c r="BF687" s="2867"/>
      <c r="BG687" s="2867"/>
      <c r="BH687" s="2867"/>
      <c r="BI687" s="2867"/>
      <c r="BJ687" s="2867"/>
      <c r="BK687" s="2867"/>
      <c r="BL687" s="2867"/>
      <c r="BM687" s="2867"/>
      <c r="BN687" s="2867"/>
      <c r="BO687" s="2867"/>
      <c r="BP687" s="2867"/>
      <c r="BQ687" s="2867"/>
      <c r="BR687" s="2867"/>
      <c r="BS687" s="2867"/>
      <c r="BT687" s="2867"/>
      <c r="BU687" s="2867"/>
      <c r="BV687" s="2867"/>
      <c r="BW687" s="2867"/>
      <c r="BX687" s="2867"/>
      <c r="BY687" s="2867"/>
      <c r="BZ687" s="2867"/>
      <c r="CA687" s="2867"/>
      <c r="CB687" s="2867"/>
      <c r="CC687" s="2867"/>
      <c r="CD687" s="2867"/>
      <c r="CE687" s="2867"/>
      <c r="CF687" s="2867"/>
      <c r="CG687" s="2867"/>
      <c r="CH687" s="2867"/>
      <c r="CI687" s="2867"/>
      <c r="CJ687" s="2867"/>
      <c r="CK687" s="2867"/>
      <c r="CL687" s="2867"/>
      <c r="CM687" s="2867"/>
      <c r="CN687" s="2867"/>
      <c r="CO687" s="2867"/>
      <c r="CP687" s="2867"/>
      <c r="CQ687" s="2867"/>
      <c r="CR687" s="2867"/>
      <c r="CS687" s="2867"/>
      <c r="CT687" s="2867"/>
      <c r="CU687" s="2867"/>
      <c r="CV687" s="2867"/>
      <c r="CW687" s="2867"/>
    </row>
    <row r="688" spans="1:101">
      <c r="A688" s="2867"/>
      <c r="B688" s="2867"/>
      <c r="C688" s="2867"/>
      <c r="D688" s="2867"/>
      <c r="E688" s="2867"/>
      <c r="F688" s="2867"/>
      <c r="G688" s="2867"/>
      <c r="H688" s="2867"/>
      <c r="I688" s="2867"/>
      <c r="J688" s="2867"/>
      <c r="K688" s="2867"/>
      <c r="L688" s="2867"/>
      <c r="M688" s="2867"/>
      <c r="O688" s="2867"/>
      <c r="P688" s="2867"/>
      <c r="Q688" s="2867"/>
      <c r="R688" s="2867"/>
      <c r="S688" s="2867"/>
      <c r="T688" s="2867"/>
      <c r="U688" s="2867"/>
      <c r="V688" s="2867"/>
      <c r="W688" s="2867"/>
      <c r="X688" s="2867"/>
      <c r="Y688" s="2867"/>
      <c r="Z688" s="2867"/>
      <c r="AA688" s="2867"/>
      <c r="AB688" s="2867"/>
      <c r="AC688" s="2867"/>
      <c r="AD688" s="2867"/>
      <c r="AE688" s="2867"/>
      <c r="AF688" s="2867"/>
      <c r="AG688" s="2867"/>
      <c r="AH688" s="2867"/>
      <c r="AI688" s="2867"/>
      <c r="AJ688" s="2867"/>
      <c r="AK688" s="2867"/>
      <c r="AL688" s="2867"/>
      <c r="AM688" s="2867"/>
      <c r="AN688" s="2867"/>
      <c r="AO688" s="2867"/>
      <c r="AP688" s="2867"/>
      <c r="AQ688" s="2867"/>
      <c r="AR688" s="2867"/>
      <c r="AS688" s="2867"/>
      <c r="AT688" s="2867"/>
      <c r="AU688" s="2867"/>
      <c r="AV688" s="2867"/>
      <c r="AW688" s="2867"/>
      <c r="AX688" s="2867"/>
      <c r="AY688" s="2867"/>
      <c r="AZ688" s="2867"/>
      <c r="BA688" s="2867"/>
      <c r="BB688" s="2867"/>
      <c r="BC688" s="2867"/>
      <c r="BD688" s="2867"/>
      <c r="BE688" s="2867"/>
      <c r="BF688" s="2867"/>
      <c r="BG688" s="2867"/>
      <c r="BH688" s="2867"/>
      <c r="BI688" s="2867"/>
      <c r="BJ688" s="2867"/>
      <c r="BK688" s="2867"/>
      <c r="BL688" s="2867"/>
      <c r="BM688" s="2867"/>
      <c r="BN688" s="2867"/>
      <c r="BO688" s="2867"/>
      <c r="BP688" s="2867"/>
      <c r="BQ688" s="2867"/>
      <c r="BR688" s="2867"/>
      <c r="BS688" s="2867"/>
      <c r="BT688" s="2867"/>
      <c r="BU688" s="2867"/>
      <c r="BV688" s="2867"/>
      <c r="BW688" s="2867"/>
      <c r="BX688" s="2867"/>
      <c r="BY688" s="2867"/>
      <c r="BZ688" s="2867"/>
      <c r="CA688" s="2867"/>
      <c r="CB688" s="2867"/>
      <c r="CC688" s="2867"/>
      <c r="CD688" s="2867"/>
      <c r="CE688" s="2867"/>
      <c r="CF688" s="2867"/>
      <c r="CG688" s="2867"/>
      <c r="CH688" s="2867"/>
      <c r="CI688" s="2867"/>
      <c r="CJ688" s="2867"/>
      <c r="CK688" s="2867"/>
      <c r="CL688" s="2867"/>
      <c r="CM688" s="2867"/>
      <c r="CN688" s="2867"/>
      <c r="CO688" s="2867"/>
      <c r="CP688" s="2867"/>
      <c r="CQ688" s="2867"/>
      <c r="CR688" s="2867"/>
      <c r="CS688" s="2867"/>
      <c r="CT688" s="2867"/>
      <c r="CU688" s="2867"/>
      <c r="CV688" s="2867"/>
      <c r="CW688" s="2867"/>
    </row>
    <row r="689" spans="1:101">
      <c r="A689" s="2867"/>
      <c r="B689" s="2867"/>
      <c r="C689" s="2867"/>
      <c r="D689" s="2867"/>
      <c r="E689" s="2867"/>
      <c r="F689" s="2867"/>
      <c r="G689" s="2867"/>
      <c r="H689" s="2867"/>
      <c r="I689" s="2867"/>
      <c r="J689" s="2867"/>
      <c r="K689" s="2867"/>
      <c r="L689" s="2867"/>
      <c r="M689" s="2867"/>
      <c r="O689" s="2867"/>
      <c r="P689" s="2867"/>
      <c r="Q689" s="2867"/>
      <c r="R689" s="2867"/>
      <c r="S689" s="2867"/>
      <c r="T689" s="2867"/>
      <c r="U689" s="2867"/>
      <c r="V689" s="2867"/>
      <c r="W689" s="2867"/>
      <c r="X689" s="2867"/>
      <c r="Y689" s="2867"/>
      <c r="Z689" s="2867"/>
      <c r="AA689" s="2867"/>
      <c r="AB689" s="2867"/>
      <c r="AC689" s="2867"/>
      <c r="AD689" s="2867"/>
      <c r="AE689" s="2867"/>
      <c r="AF689" s="2867"/>
      <c r="AG689" s="2867"/>
      <c r="AH689" s="2867"/>
      <c r="AI689" s="2867"/>
      <c r="AJ689" s="2867"/>
      <c r="AK689" s="2867"/>
      <c r="AL689" s="2867"/>
      <c r="AM689" s="2867"/>
      <c r="AN689" s="2867"/>
      <c r="AO689" s="2867"/>
      <c r="AP689" s="2867"/>
      <c r="AQ689" s="2867"/>
      <c r="AR689" s="2867"/>
      <c r="AS689" s="2867"/>
      <c r="AT689" s="2867"/>
      <c r="AU689" s="2867"/>
      <c r="AV689" s="2867"/>
      <c r="AW689" s="2867"/>
      <c r="AX689" s="2867"/>
      <c r="AY689" s="2867"/>
      <c r="AZ689" s="2867"/>
      <c r="BA689" s="2867"/>
      <c r="BB689" s="2867"/>
      <c r="BC689" s="2867"/>
      <c r="BD689" s="2867"/>
      <c r="BE689" s="2867"/>
      <c r="BF689" s="2867"/>
      <c r="BG689" s="2867"/>
      <c r="BH689" s="2867"/>
      <c r="BI689" s="2867"/>
      <c r="BJ689" s="2867"/>
      <c r="BK689" s="2867"/>
      <c r="BL689" s="2867"/>
      <c r="BM689" s="2867"/>
      <c r="BN689" s="2867"/>
      <c r="BO689" s="2867"/>
      <c r="BP689" s="2867"/>
      <c r="BQ689" s="2867"/>
      <c r="BR689" s="2867"/>
      <c r="BS689" s="2867"/>
      <c r="BT689" s="2867"/>
      <c r="BU689" s="2867"/>
      <c r="BV689" s="2867"/>
      <c r="BW689" s="2867"/>
      <c r="BX689" s="2867"/>
      <c r="BY689" s="2867"/>
      <c r="BZ689" s="2867"/>
      <c r="CA689" s="2867"/>
      <c r="CB689" s="2867"/>
      <c r="CC689" s="2867"/>
      <c r="CD689" s="2867"/>
      <c r="CE689" s="2867"/>
      <c r="CF689" s="2867"/>
      <c r="CG689" s="2867"/>
      <c r="CH689" s="2867"/>
      <c r="CI689" s="2867"/>
      <c r="CJ689" s="2867"/>
      <c r="CK689" s="2867"/>
      <c r="CL689" s="2867"/>
      <c r="CM689" s="2867"/>
      <c r="CN689" s="2867"/>
      <c r="CO689" s="2867"/>
      <c r="CP689" s="2867"/>
      <c r="CQ689" s="2867"/>
      <c r="CR689" s="2867"/>
      <c r="CS689" s="2867"/>
      <c r="CT689" s="2867"/>
      <c r="CU689" s="2867"/>
      <c r="CV689" s="2867"/>
      <c r="CW689" s="2867"/>
    </row>
    <row r="690" spans="1:101">
      <c r="A690" s="2867"/>
      <c r="B690" s="2867"/>
      <c r="C690" s="2867"/>
      <c r="D690" s="2867"/>
      <c r="E690" s="2867"/>
      <c r="F690" s="2867"/>
      <c r="G690" s="2867"/>
      <c r="H690" s="2867"/>
      <c r="I690" s="2867"/>
      <c r="J690" s="2867"/>
      <c r="K690" s="2867"/>
      <c r="L690" s="2867"/>
      <c r="M690" s="2867"/>
      <c r="O690" s="2867"/>
      <c r="P690" s="2867"/>
      <c r="Q690" s="2867"/>
      <c r="R690" s="2867"/>
      <c r="S690" s="2867"/>
      <c r="T690" s="2867"/>
      <c r="U690" s="2867"/>
      <c r="V690" s="2867"/>
      <c r="W690" s="2867"/>
      <c r="X690" s="2867"/>
      <c r="Y690" s="2867"/>
      <c r="Z690" s="2867"/>
      <c r="AA690" s="2867"/>
      <c r="AB690" s="2867"/>
      <c r="AC690" s="2867"/>
      <c r="AD690" s="2867"/>
      <c r="AE690" s="2867"/>
      <c r="AF690" s="2867"/>
      <c r="AG690" s="2867"/>
      <c r="AH690" s="2867"/>
      <c r="AI690" s="2867"/>
      <c r="AJ690" s="2867"/>
      <c r="AK690" s="2867"/>
      <c r="AL690" s="2867"/>
      <c r="AM690" s="2867"/>
      <c r="AN690" s="2867"/>
      <c r="AO690" s="2867"/>
      <c r="AP690" s="2867"/>
      <c r="AQ690" s="2867"/>
      <c r="AR690" s="2867"/>
      <c r="AS690" s="2867"/>
      <c r="AT690" s="2867"/>
      <c r="AU690" s="2867"/>
      <c r="AV690" s="2867"/>
      <c r="AW690" s="2867"/>
      <c r="AX690" s="2867"/>
      <c r="AY690" s="2867"/>
      <c r="AZ690" s="2867"/>
      <c r="BA690" s="2867"/>
      <c r="BB690" s="2867"/>
      <c r="BC690" s="2867"/>
      <c r="BD690" s="2867"/>
      <c r="BE690" s="2867"/>
      <c r="BF690" s="2867"/>
      <c r="BG690" s="2867"/>
      <c r="BH690" s="2867"/>
      <c r="BI690" s="2867"/>
      <c r="BJ690" s="2867"/>
      <c r="BK690" s="2867"/>
      <c r="BL690" s="2867"/>
      <c r="BM690" s="2867"/>
      <c r="BN690" s="2867"/>
      <c r="BO690" s="2867"/>
      <c r="BP690" s="2867"/>
      <c r="BQ690" s="2867"/>
      <c r="BR690" s="2867"/>
      <c r="BS690" s="2867"/>
      <c r="BT690" s="2867"/>
      <c r="BU690" s="2867"/>
      <c r="BV690" s="2867"/>
      <c r="BW690" s="2867"/>
      <c r="BX690" s="2867"/>
      <c r="BY690" s="2867"/>
      <c r="BZ690" s="2867"/>
      <c r="CA690" s="2867"/>
      <c r="CB690" s="2867"/>
      <c r="CC690" s="2867"/>
      <c r="CD690" s="2867"/>
      <c r="CE690" s="2867"/>
      <c r="CF690" s="2867"/>
      <c r="CG690" s="2867"/>
      <c r="CH690" s="2867"/>
      <c r="CI690" s="2867"/>
      <c r="CJ690" s="2867"/>
      <c r="CK690" s="2867"/>
      <c r="CL690" s="2867"/>
      <c r="CM690" s="2867"/>
      <c r="CN690" s="2867"/>
      <c r="CO690" s="2867"/>
      <c r="CP690" s="2867"/>
      <c r="CQ690" s="2867"/>
      <c r="CR690" s="2867"/>
      <c r="CS690" s="2867"/>
      <c r="CT690" s="2867"/>
      <c r="CU690" s="2867"/>
      <c r="CV690" s="2867"/>
      <c r="CW690" s="2867"/>
    </row>
    <row r="691" spans="1:101">
      <c r="A691" s="2867"/>
      <c r="B691" s="2867"/>
      <c r="C691" s="2867"/>
      <c r="D691" s="2867"/>
      <c r="E691" s="2867"/>
      <c r="F691" s="2867"/>
      <c r="G691" s="2867"/>
      <c r="H691" s="2867"/>
      <c r="I691" s="2867"/>
      <c r="J691" s="2867"/>
      <c r="K691" s="2867"/>
      <c r="L691" s="2867"/>
      <c r="M691" s="2867"/>
      <c r="O691" s="2867"/>
      <c r="P691" s="2867"/>
      <c r="Q691" s="2867"/>
      <c r="R691" s="2867"/>
      <c r="S691" s="2867"/>
      <c r="T691" s="2867"/>
      <c r="U691" s="2867"/>
      <c r="V691" s="2867"/>
      <c r="W691" s="2867"/>
      <c r="X691" s="2867"/>
      <c r="Y691" s="2867"/>
      <c r="Z691" s="2867"/>
      <c r="AA691" s="2867"/>
      <c r="AB691" s="2867"/>
      <c r="AC691" s="2867"/>
      <c r="AD691" s="2867"/>
      <c r="AE691" s="2867"/>
      <c r="AF691" s="2867"/>
      <c r="AG691" s="2867"/>
      <c r="AH691" s="2867"/>
      <c r="AI691" s="2867"/>
      <c r="AJ691" s="2867"/>
      <c r="AK691" s="2867"/>
      <c r="AL691" s="2867"/>
      <c r="AM691" s="2867"/>
      <c r="AN691" s="2867"/>
      <c r="AO691" s="2867"/>
      <c r="AP691" s="2867"/>
      <c r="AQ691" s="2867"/>
      <c r="AR691" s="2867"/>
      <c r="AS691" s="2867"/>
      <c r="AT691" s="2867"/>
      <c r="AU691" s="2867"/>
      <c r="AV691" s="2867"/>
      <c r="AW691" s="2867"/>
      <c r="AX691" s="2867"/>
      <c r="AY691" s="2867"/>
      <c r="AZ691" s="2867"/>
      <c r="BA691" s="2867"/>
      <c r="BB691" s="2867"/>
      <c r="BC691" s="2867"/>
      <c r="BD691" s="2867"/>
      <c r="BE691" s="2867"/>
      <c r="BF691" s="2867"/>
      <c r="BG691" s="2867"/>
      <c r="BH691" s="2867"/>
      <c r="BI691" s="2867"/>
      <c r="BJ691" s="2867"/>
      <c r="BK691" s="2867"/>
      <c r="BL691" s="2867"/>
      <c r="BM691" s="2867"/>
      <c r="BN691" s="2867"/>
      <c r="BO691" s="2867"/>
      <c r="BP691" s="2867"/>
      <c r="BQ691" s="2867"/>
      <c r="BR691" s="2867"/>
      <c r="BS691" s="2867"/>
      <c r="BT691" s="2867"/>
      <c r="BU691" s="2867"/>
      <c r="BV691" s="2867"/>
      <c r="BW691" s="2867"/>
      <c r="BX691" s="2867"/>
      <c r="BY691" s="2867"/>
      <c r="BZ691" s="2867"/>
      <c r="CA691" s="2867"/>
      <c r="CB691" s="2867"/>
      <c r="CC691" s="2867"/>
      <c r="CD691" s="2867"/>
      <c r="CE691" s="2867"/>
      <c r="CF691" s="2867"/>
      <c r="CG691" s="2867"/>
      <c r="CH691" s="2867"/>
      <c r="CI691" s="2867"/>
      <c r="CJ691" s="2867"/>
      <c r="CK691" s="2867"/>
      <c r="CL691" s="2867"/>
      <c r="CM691" s="2867"/>
      <c r="CN691" s="2867"/>
      <c r="CO691" s="2867"/>
      <c r="CP691" s="2867"/>
      <c r="CQ691" s="2867"/>
      <c r="CR691" s="2867"/>
      <c r="CS691" s="2867"/>
      <c r="CT691" s="2867"/>
      <c r="CU691" s="2867"/>
      <c r="CV691" s="2867"/>
      <c r="CW691" s="2867"/>
    </row>
    <row r="692" spans="1:101">
      <c r="A692" s="2867"/>
      <c r="B692" s="2867"/>
      <c r="C692" s="2867"/>
      <c r="D692" s="2867"/>
      <c r="E692" s="2867"/>
      <c r="F692" s="2867"/>
      <c r="G692" s="2867"/>
      <c r="H692" s="2867"/>
      <c r="I692" s="2867"/>
      <c r="J692" s="2867"/>
      <c r="K692" s="2867"/>
      <c r="L692" s="2867"/>
      <c r="M692" s="2867"/>
      <c r="O692" s="2867"/>
      <c r="P692" s="2867"/>
      <c r="Q692" s="2867"/>
      <c r="R692" s="2867"/>
      <c r="S692" s="2867"/>
      <c r="T692" s="2867"/>
      <c r="U692" s="2867"/>
      <c r="V692" s="2867"/>
      <c r="W692" s="2867"/>
      <c r="X692" s="2867"/>
      <c r="Y692" s="2867"/>
      <c r="Z692" s="2867"/>
      <c r="AA692" s="2867"/>
      <c r="AB692" s="2867"/>
      <c r="AC692" s="2867"/>
      <c r="AD692" s="2867"/>
      <c r="AE692" s="2867"/>
      <c r="AF692" s="2867"/>
      <c r="AG692" s="2867"/>
      <c r="AH692" s="2867"/>
      <c r="AI692" s="2867"/>
      <c r="AJ692" s="2867"/>
      <c r="AK692" s="2867"/>
      <c r="AL692" s="2867"/>
      <c r="AM692" s="2867"/>
      <c r="AN692" s="2867"/>
      <c r="AO692" s="2867"/>
      <c r="AP692" s="2867"/>
      <c r="AQ692" s="2867"/>
      <c r="AR692" s="2867"/>
      <c r="AS692" s="2867"/>
      <c r="AT692" s="2867"/>
      <c r="AU692" s="2867"/>
      <c r="AV692" s="2867"/>
      <c r="AW692" s="2867"/>
      <c r="AX692" s="2867"/>
      <c r="AY692" s="2867"/>
      <c r="AZ692" s="2867"/>
      <c r="BA692" s="2867"/>
      <c r="BB692" s="2867"/>
      <c r="BC692" s="2867"/>
      <c r="BD692" s="2867"/>
      <c r="BE692" s="2867"/>
      <c r="BF692" s="2867"/>
      <c r="BG692" s="2867"/>
      <c r="BH692" s="2867"/>
      <c r="BI692" s="2867"/>
      <c r="BJ692" s="2867"/>
      <c r="BK692" s="2867"/>
      <c r="BL692" s="2867"/>
      <c r="BM692" s="2867"/>
      <c r="BN692" s="2867"/>
      <c r="BO692" s="2867"/>
      <c r="BP692" s="2867"/>
      <c r="BQ692" s="2867"/>
      <c r="BR692" s="2867"/>
      <c r="BS692" s="2867"/>
      <c r="BT692" s="2867"/>
      <c r="BU692" s="2867"/>
      <c r="BV692" s="2867"/>
      <c r="BW692" s="2867"/>
      <c r="BX692" s="2867"/>
      <c r="BY692" s="2867"/>
      <c r="BZ692" s="2867"/>
      <c r="CA692" s="2867"/>
      <c r="CB692" s="2867"/>
      <c r="CC692" s="2867"/>
      <c r="CD692" s="2867"/>
      <c r="CE692" s="2867"/>
      <c r="CF692" s="2867"/>
      <c r="CG692" s="2867"/>
      <c r="CH692" s="2867"/>
      <c r="CI692" s="2867"/>
      <c r="CJ692" s="2867"/>
      <c r="CK692" s="2867"/>
      <c r="CL692" s="2867"/>
      <c r="CM692" s="2867"/>
      <c r="CN692" s="2867"/>
      <c r="CO692" s="2867"/>
      <c r="CP692" s="2867"/>
      <c r="CQ692" s="2867"/>
      <c r="CR692" s="2867"/>
      <c r="CS692" s="2867"/>
      <c r="CT692" s="2867"/>
      <c r="CU692" s="2867"/>
      <c r="CV692" s="2867"/>
      <c r="CW692" s="2867"/>
    </row>
    <row r="693" spans="1:101">
      <c r="A693" s="2867"/>
      <c r="B693" s="2867"/>
      <c r="C693" s="2867"/>
      <c r="D693" s="2867"/>
      <c r="E693" s="2867"/>
      <c r="F693" s="2867"/>
      <c r="G693" s="2867"/>
      <c r="H693" s="2867"/>
      <c r="I693" s="2867"/>
      <c r="J693" s="2867"/>
      <c r="K693" s="2867"/>
      <c r="L693" s="2867"/>
      <c r="M693" s="2867"/>
      <c r="O693" s="2867"/>
      <c r="P693" s="2867"/>
      <c r="Q693" s="2867"/>
      <c r="R693" s="2867"/>
      <c r="S693" s="2867"/>
      <c r="T693" s="2867"/>
      <c r="U693" s="2867"/>
      <c r="V693" s="2867"/>
      <c r="W693" s="2867"/>
      <c r="X693" s="2867"/>
      <c r="Y693" s="2867"/>
      <c r="Z693" s="2867"/>
      <c r="AA693" s="2867"/>
      <c r="AB693" s="2867"/>
      <c r="AC693" s="2867"/>
      <c r="AD693" s="2867"/>
      <c r="AE693" s="2867"/>
      <c r="AF693" s="2867"/>
      <c r="AG693" s="2867"/>
      <c r="AH693" s="2867"/>
      <c r="AI693" s="2867"/>
      <c r="AJ693" s="2867"/>
      <c r="AK693" s="2867"/>
      <c r="AL693" s="2867"/>
      <c r="AM693" s="2867"/>
      <c r="AN693" s="2867"/>
      <c r="AO693" s="2867"/>
      <c r="AP693" s="2867"/>
      <c r="AQ693" s="2867"/>
      <c r="AR693" s="2867"/>
      <c r="AS693" s="2867"/>
      <c r="AT693" s="2867"/>
      <c r="AU693" s="2867"/>
      <c r="AV693" s="2867"/>
      <c r="AW693" s="2867"/>
      <c r="AX693" s="2867"/>
      <c r="AY693" s="2867"/>
      <c r="AZ693" s="2867"/>
      <c r="BA693" s="2867"/>
      <c r="BB693" s="2867"/>
      <c r="BC693" s="2867"/>
      <c r="BD693" s="2867"/>
      <c r="BE693" s="2867"/>
      <c r="BF693" s="2867"/>
      <c r="BG693" s="2867"/>
      <c r="BH693" s="2867"/>
      <c r="BI693" s="2867"/>
      <c r="BJ693" s="2867"/>
      <c r="BK693" s="2867"/>
      <c r="BL693" s="2867"/>
      <c r="BM693" s="2867"/>
      <c r="BN693" s="2867"/>
      <c r="BO693" s="2867"/>
      <c r="BP693" s="2867"/>
      <c r="BQ693" s="2867"/>
      <c r="BR693" s="2867"/>
      <c r="BS693" s="2867"/>
      <c r="BT693" s="2867"/>
      <c r="BU693" s="2867"/>
      <c r="BV693" s="2867"/>
      <c r="BW693" s="2867"/>
      <c r="BX693" s="2867"/>
      <c r="BY693" s="2867"/>
      <c r="BZ693" s="2867"/>
      <c r="CA693" s="2867"/>
      <c r="CB693" s="2867"/>
      <c r="CC693" s="2867"/>
      <c r="CD693" s="2867"/>
      <c r="CE693" s="2867"/>
      <c r="CF693" s="2867"/>
      <c r="CG693" s="2867"/>
      <c r="CH693" s="2867"/>
      <c r="CI693" s="2867"/>
      <c r="CJ693" s="2867"/>
      <c r="CK693" s="2867"/>
      <c r="CL693" s="2867"/>
      <c r="CM693" s="2867"/>
      <c r="CN693" s="2867"/>
      <c r="CO693" s="2867"/>
      <c r="CP693" s="2867"/>
      <c r="CQ693" s="2867"/>
      <c r="CR693" s="2867"/>
      <c r="CS693" s="2867"/>
      <c r="CT693" s="2867"/>
      <c r="CU693" s="2867"/>
      <c r="CV693" s="2867"/>
      <c r="CW693" s="2867"/>
    </row>
    <row r="694" spans="1:101">
      <c r="A694" s="2867"/>
      <c r="B694" s="2867"/>
      <c r="C694" s="2867"/>
      <c r="D694" s="2867"/>
      <c r="E694" s="2867"/>
      <c r="F694" s="2867"/>
      <c r="G694" s="2867"/>
      <c r="H694" s="2867"/>
      <c r="I694" s="2867"/>
      <c r="J694" s="2867"/>
      <c r="K694" s="2867"/>
      <c r="L694" s="2867"/>
      <c r="M694" s="2867"/>
      <c r="O694" s="2867"/>
      <c r="P694" s="2867"/>
      <c r="Q694" s="2867"/>
      <c r="R694" s="2867"/>
      <c r="S694" s="2867"/>
      <c r="T694" s="2867"/>
      <c r="U694" s="2867"/>
      <c r="V694" s="2867"/>
      <c r="W694" s="2867"/>
      <c r="X694" s="2867"/>
      <c r="Y694" s="2867"/>
      <c r="Z694" s="2867"/>
      <c r="AA694" s="2867"/>
      <c r="AB694" s="2867"/>
      <c r="AC694" s="2867"/>
      <c r="AD694" s="2867"/>
      <c r="AE694" s="2867"/>
      <c r="AF694" s="2867"/>
      <c r="AG694" s="2867"/>
      <c r="AH694" s="2867"/>
      <c r="AI694" s="2867"/>
      <c r="AJ694" s="2867"/>
      <c r="AK694" s="2867"/>
      <c r="AL694" s="2867"/>
      <c r="AM694" s="2867"/>
      <c r="AN694" s="2867"/>
      <c r="AO694" s="2867"/>
      <c r="AP694" s="2867"/>
      <c r="AQ694" s="2867"/>
      <c r="AR694" s="2867"/>
      <c r="AS694" s="2867"/>
      <c r="AT694" s="2867"/>
      <c r="AU694" s="2867"/>
      <c r="AV694" s="2867"/>
      <c r="AW694" s="2867"/>
      <c r="AX694" s="2867"/>
      <c r="AY694" s="2867"/>
      <c r="AZ694" s="2867"/>
      <c r="BA694" s="2867"/>
      <c r="BB694" s="2867"/>
      <c r="BC694" s="2867"/>
      <c r="BD694" s="2867"/>
      <c r="BE694" s="2867"/>
      <c r="BF694" s="2867"/>
      <c r="BG694" s="2867"/>
      <c r="BH694" s="2867"/>
      <c r="BI694" s="2867"/>
      <c r="BJ694" s="2867"/>
      <c r="BK694" s="2867"/>
      <c r="BL694" s="2867"/>
      <c r="BM694" s="2867"/>
      <c r="BN694" s="2867"/>
      <c r="BO694" s="2867"/>
      <c r="BP694" s="2867"/>
      <c r="BQ694" s="2867"/>
      <c r="BR694" s="2867"/>
      <c r="BS694" s="2867"/>
      <c r="BT694" s="2867"/>
      <c r="BU694" s="2867"/>
      <c r="BV694" s="2867"/>
      <c r="BW694" s="2867"/>
      <c r="BX694" s="2867"/>
      <c r="BY694" s="2867"/>
      <c r="BZ694" s="2867"/>
      <c r="CA694" s="2867"/>
      <c r="CB694" s="2867"/>
      <c r="CC694" s="2867"/>
      <c r="CD694" s="2867"/>
      <c r="CE694" s="2867"/>
      <c r="CF694" s="2867"/>
      <c r="CG694" s="2867"/>
      <c r="CH694" s="2867"/>
      <c r="CI694" s="2867"/>
      <c r="CJ694" s="2867"/>
      <c r="CK694" s="2867"/>
      <c r="CL694" s="2867"/>
      <c r="CM694" s="2867"/>
      <c r="CN694" s="2867"/>
      <c r="CO694" s="2867"/>
      <c r="CP694" s="2867"/>
      <c r="CQ694" s="2867"/>
      <c r="CR694" s="2867"/>
      <c r="CS694" s="2867"/>
      <c r="CT694" s="2867"/>
      <c r="CU694" s="2867"/>
      <c r="CV694" s="2867"/>
      <c r="CW694" s="2867"/>
    </row>
    <row r="695" spans="1:101">
      <c r="A695" s="2867"/>
      <c r="B695" s="2867"/>
      <c r="C695" s="2867"/>
      <c r="D695" s="2867"/>
      <c r="E695" s="2867"/>
      <c r="F695" s="2867"/>
      <c r="G695" s="2867"/>
      <c r="H695" s="2867"/>
      <c r="I695" s="2867"/>
      <c r="J695" s="2867"/>
      <c r="K695" s="2867"/>
      <c r="L695" s="2867"/>
      <c r="M695" s="2867"/>
      <c r="O695" s="2867"/>
      <c r="P695" s="2867"/>
      <c r="Q695" s="2867"/>
      <c r="R695" s="2867"/>
      <c r="S695" s="2867"/>
      <c r="T695" s="2867"/>
      <c r="U695" s="2867"/>
      <c r="V695" s="2867"/>
      <c r="W695" s="2867"/>
      <c r="X695" s="2867"/>
      <c r="Y695" s="2867"/>
      <c r="Z695" s="2867"/>
      <c r="AA695" s="2867"/>
      <c r="AB695" s="2867"/>
      <c r="AC695" s="2867"/>
      <c r="AD695" s="2867"/>
      <c r="AE695" s="2867"/>
      <c r="AF695" s="2867"/>
      <c r="AG695" s="2867"/>
      <c r="AH695" s="2867"/>
      <c r="AI695" s="2867"/>
      <c r="AJ695" s="2867"/>
      <c r="AK695" s="2867"/>
      <c r="AL695" s="2867"/>
      <c r="AM695" s="2867"/>
      <c r="AN695" s="2867"/>
      <c r="AO695" s="2867"/>
      <c r="AP695" s="2867"/>
      <c r="AQ695" s="2867"/>
      <c r="AR695" s="2867"/>
      <c r="AS695" s="2867"/>
      <c r="AT695" s="2867"/>
      <c r="AU695" s="2867"/>
      <c r="AV695" s="2867"/>
      <c r="AW695" s="2867"/>
      <c r="AX695" s="2867"/>
      <c r="AY695" s="2867"/>
      <c r="AZ695" s="2867"/>
      <c r="BA695" s="2867"/>
      <c r="BB695" s="2867"/>
      <c r="BC695" s="2867"/>
      <c r="BD695" s="2867"/>
      <c r="BE695" s="2867"/>
      <c r="BF695" s="2867"/>
      <c r="BG695" s="2867"/>
      <c r="BH695" s="2867"/>
      <c r="BI695" s="2867"/>
      <c r="BJ695" s="2867"/>
      <c r="BK695" s="2867"/>
      <c r="BL695" s="2867"/>
      <c r="BM695" s="2867"/>
      <c r="BN695" s="2867"/>
      <c r="BO695" s="2867"/>
      <c r="BP695" s="2867"/>
      <c r="BQ695" s="2867"/>
      <c r="BR695" s="2867"/>
      <c r="BS695" s="2867"/>
      <c r="BT695" s="2867"/>
      <c r="BU695" s="2867"/>
      <c r="BV695" s="2867"/>
      <c r="BW695" s="2867"/>
      <c r="BX695" s="2867"/>
      <c r="BY695" s="2867"/>
      <c r="BZ695" s="2867"/>
      <c r="CA695" s="2867"/>
      <c r="CB695" s="2867"/>
      <c r="CC695" s="2867"/>
      <c r="CD695" s="2867"/>
      <c r="CE695" s="2867"/>
      <c r="CF695" s="2867"/>
      <c r="CG695" s="2867"/>
      <c r="CH695" s="2867"/>
      <c r="CI695" s="2867"/>
      <c r="CJ695" s="2867"/>
      <c r="CK695" s="2867"/>
      <c r="CL695" s="2867"/>
      <c r="CM695" s="2867"/>
      <c r="CN695" s="2867"/>
      <c r="CO695" s="2867"/>
      <c r="CP695" s="2867"/>
      <c r="CQ695" s="2867"/>
      <c r="CR695" s="2867"/>
      <c r="CS695" s="2867"/>
      <c r="CT695" s="2867"/>
      <c r="CU695" s="2867"/>
      <c r="CV695" s="2867"/>
      <c r="CW695" s="2867"/>
    </row>
    <row r="696" spans="1:101">
      <c r="A696" s="2867"/>
      <c r="B696" s="2867"/>
      <c r="C696" s="2867"/>
      <c r="D696" s="2867"/>
      <c r="E696" s="2867"/>
      <c r="F696" s="2867"/>
      <c r="G696" s="2867"/>
      <c r="H696" s="2867"/>
      <c r="I696" s="2867"/>
      <c r="J696" s="2867"/>
      <c r="K696" s="2867"/>
      <c r="L696" s="2867"/>
      <c r="M696" s="2867"/>
      <c r="O696" s="2867"/>
      <c r="P696" s="2867"/>
      <c r="Q696" s="2867"/>
      <c r="R696" s="2867"/>
      <c r="S696" s="2867"/>
      <c r="T696" s="2867"/>
      <c r="U696" s="2867"/>
      <c r="V696" s="2867"/>
      <c r="W696" s="2867"/>
      <c r="X696" s="2867"/>
      <c r="Y696" s="2867"/>
      <c r="Z696" s="2867"/>
      <c r="AA696" s="2867"/>
      <c r="AB696" s="2867"/>
      <c r="AC696" s="2867"/>
      <c r="AD696" s="2867"/>
      <c r="AE696" s="2867"/>
      <c r="AF696" s="2867"/>
      <c r="AG696" s="2867"/>
      <c r="AH696" s="2867"/>
      <c r="AI696" s="2867"/>
      <c r="AJ696" s="2867"/>
      <c r="AK696" s="2867"/>
      <c r="AL696" s="2867"/>
      <c r="AM696" s="2867"/>
      <c r="AN696" s="2867"/>
      <c r="AO696" s="2867"/>
      <c r="AP696" s="2867"/>
      <c r="AQ696" s="2867"/>
      <c r="AR696" s="2867"/>
      <c r="AS696" s="2867"/>
      <c r="AT696" s="2867"/>
      <c r="AU696" s="2867"/>
      <c r="AV696" s="2867"/>
      <c r="AW696" s="2867"/>
      <c r="AX696" s="2867"/>
      <c r="AY696" s="2867"/>
      <c r="AZ696" s="2867"/>
      <c r="BA696" s="2867"/>
      <c r="BB696" s="2867"/>
      <c r="BC696" s="2867"/>
      <c r="BD696" s="2867"/>
      <c r="BE696" s="2867"/>
      <c r="BF696" s="2867"/>
      <c r="BG696" s="2867"/>
      <c r="BH696" s="2867"/>
      <c r="BI696" s="2867"/>
      <c r="BJ696" s="2867"/>
      <c r="BK696" s="2867"/>
      <c r="BL696" s="2867"/>
      <c r="BM696" s="2867"/>
      <c r="BN696" s="2867"/>
      <c r="BO696" s="2867"/>
      <c r="BP696" s="2867"/>
      <c r="BQ696" s="2867"/>
      <c r="BR696" s="2867"/>
      <c r="BS696" s="2867"/>
      <c r="BT696" s="2867"/>
      <c r="BU696" s="2867"/>
      <c r="BV696" s="2867"/>
      <c r="BW696" s="2867"/>
      <c r="BX696" s="2867"/>
      <c r="BY696" s="2867"/>
      <c r="BZ696" s="2867"/>
      <c r="CA696" s="2867"/>
      <c r="CB696" s="2867"/>
      <c r="CC696" s="2867"/>
      <c r="CD696" s="2867"/>
      <c r="CE696" s="2867"/>
      <c r="CF696" s="2867"/>
      <c r="CG696" s="2867"/>
      <c r="CH696" s="2867"/>
      <c r="CI696" s="2867"/>
      <c r="CJ696" s="2867"/>
      <c r="CK696" s="2867"/>
      <c r="CL696" s="2867"/>
      <c r="CM696" s="2867"/>
      <c r="CN696" s="2867"/>
      <c r="CO696" s="2867"/>
      <c r="CP696" s="2867"/>
      <c r="CQ696" s="2867"/>
      <c r="CR696" s="2867"/>
      <c r="CS696" s="2867"/>
      <c r="CT696" s="2867"/>
      <c r="CU696" s="2867"/>
      <c r="CV696" s="2867"/>
      <c r="CW696" s="2867"/>
    </row>
    <row r="697" spans="1:101">
      <c r="A697" s="2867"/>
      <c r="B697" s="2867"/>
      <c r="C697" s="2867"/>
      <c r="D697" s="2867"/>
      <c r="E697" s="2867"/>
      <c r="F697" s="2867"/>
      <c r="G697" s="2867"/>
      <c r="H697" s="2867"/>
      <c r="I697" s="2867"/>
      <c r="J697" s="2867"/>
      <c r="K697" s="2867"/>
      <c r="L697" s="2867"/>
      <c r="M697" s="2867"/>
      <c r="O697" s="2867"/>
      <c r="P697" s="2867"/>
      <c r="Q697" s="2867"/>
      <c r="R697" s="2867"/>
      <c r="S697" s="2867"/>
      <c r="T697" s="2867"/>
      <c r="U697" s="2867"/>
      <c r="V697" s="2867"/>
      <c r="W697" s="2867"/>
      <c r="X697" s="2867"/>
      <c r="Y697" s="2867"/>
      <c r="Z697" s="2867"/>
      <c r="AA697" s="2867"/>
      <c r="AB697" s="2867"/>
      <c r="AC697" s="2867"/>
      <c r="AD697" s="2867"/>
      <c r="AE697" s="2867"/>
      <c r="AF697" s="2867"/>
      <c r="AG697" s="2867"/>
      <c r="AH697" s="2867"/>
      <c r="AI697" s="2867"/>
      <c r="AJ697" s="2867"/>
      <c r="AK697" s="2867"/>
      <c r="AL697" s="2867"/>
      <c r="AM697" s="2867"/>
      <c r="AN697" s="2867"/>
      <c r="AO697" s="2867"/>
      <c r="AP697" s="2867"/>
      <c r="AQ697" s="2867"/>
      <c r="AR697" s="2867"/>
      <c r="AS697" s="2867"/>
      <c r="AT697" s="2867"/>
      <c r="AU697" s="2867"/>
      <c r="AV697" s="2867"/>
      <c r="AW697" s="2867"/>
      <c r="AX697" s="2867"/>
      <c r="AY697" s="2867"/>
      <c r="AZ697" s="2867"/>
      <c r="BA697" s="2867"/>
      <c r="BB697" s="2867"/>
      <c r="BC697" s="2867"/>
      <c r="BD697" s="2867"/>
      <c r="BE697" s="2867"/>
      <c r="BF697" s="2867"/>
      <c r="BG697" s="2867"/>
      <c r="BH697" s="2867"/>
      <c r="BI697" s="2867"/>
      <c r="BJ697" s="2867"/>
      <c r="BK697" s="2867"/>
      <c r="BL697" s="2867"/>
      <c r="BM697" s="2867"/>
      <c r="BN697" s="2867"/>
      <c r="BO697" s="2867"/>
      <c r="BP697" s="2867"/>
      <c r="BQ697" s="2867"/>
      <c r="BR697" s="2867"/>
      <c r="BS697" s="2867"/>
      <c r="BT697" s="2867"/>
      <c r="BU697" s="2867"/>
      <c r="BV697" s="2867"/>
      <c r="BW697" s="2867"/>
      <c r="BX697" s="2867"/>
      <c r="BY697" s="2867"/>
      <c r="BZ697" s="2867"/>
      <c r="CA697" s="2867"/>
      <c r="CB697" s="2867"/>
      <c r="CC697" s="2867"/>
      <c r="CD697" s="2867"/>
      <c r="CE697" s="2867"/>
      <c r="CF697" s="2867"/>
      <c r="CG697" s="2867"/>
      <c r="CH697" s="2867"/>
      <c r="CI697" s="2867"/>
      <c r="CJ697" s="2867"/>
      <c r="CK697" s="2867"/>
      <c r="CL697" s="2867"/>
      <c r="CM697" s="2867"/>
      <c r="CN697" s="2867"/>
      <c r="CO697" s="2867"/>
      <c r="CP697" s="2867"/>
      <c r="CQ697" s="2867"/>
      <c r="CR697" s="2867"/>
      <c r="CS697" s="2867"/>
      <c r="CT697" s="2867"/>
      <c r="CU697" s="2867"/>
      <c r="CV697" s="2867"/>
      <c r="CW697" s="2867"/>
    </row>
    <row r="698" spans="1:101">
      <c r="A698" s="2867"/>
      <c r="B698" s="2867"/>
      <c r="C698" s="2867"/>
      <c r="D698" s="2867"/>
      <c r="E698" s="2867"/>
      <c r="F698" s="2867"/>
      <c r="G698" s="2867"/>
      <c r="H698" s="2867"/>
      <c r="I698" s="2867"/>
      <c r="J698" s="2867"/>
      <c r="K698" s="2867"/>
      <c r="L698" s="2867"/>
      <c r="M698" s="2867"/>
      <c r="O698" s="2867"/>
      <c r="P698" s="2867"/>
      <c r="Q698" s="2867"/>
      <c r="R698" s="2867"/>
      <c r="S698" s="2867"/>
      <c r="T698" s="2867"/>
      <c r="U698" s="2867"/>
      <c r="V698" s="2867"/>
      <c r="W698" s="2867"/>
      <c r="X698" s="2867"/>
      <c r="Y698" s="2867"/>
      <c r="Z698" s="2867"/>
      <c r="AA698" s="2867"/>
      <c r="AB698" s="2867"/>
      <c r="AC698" s="2867"/>
      <c r="AD698" s="2867"/>
      <c r="AE698" s="2867"/>
      <c r="AF698" s="2867"/>
      <c r="AG698" s="2867"/>
      <c r="AH698" s="2867"/>
      <c r="AI698" s="2867"/>
      <c r="AJ698" s="2867"/>
      <c r="AK698" s="2867"/>
      <c r="AL698" s="2867"/>
      <c r="AM698" s="2867"/>
      <c r="AN698" s="2867"/>
      <c r="AO698" s="2867"/>
      <c r="AP698" s="2867"/>
      <c r="AQ698" s="2867"/>
      <c r="AR698" s="2867"/>
      <c r="AS698" s="2867"/>
      <c r="AT698" s="2867"/>
      <c r="AU698" s="2867"/>
      <c r="AV698" s="2867"/>
      <c r="AW698" s="2867"/>
      <c r="AX698" s="2867"/>
      <c r="AY698" s="2867"/>
      <c r="AZ698" s="2867"/>
      <c r="BA698" s="2867"/>
      <c r="BB698" s="2867"/>
      <c r="BC698" s="2867"/>
      <c r="BD698" s="2867"/>
      <c r="BE698" s="2867"/>
      <c r="BF698" s="2867"/>
      <c r="BG698" s="2867"/>
      <c r="BH698" s="2867"/>
      <c r="BI698" s="2867"/>
      <c r="BJ698" s="2867"/>
      <c r="BK698" s="2867"/>
      <c r="BL698" s="2867"/>
      <c r="BM698" s="2867"/>
      <c r="BN698" s="2867"/>
      <c r="BO698" s="2867"/>
      <c r="BP698" s="2867"/>
      <c r="BQ698" s="2867"/>
      <c r="BR698" s="2867"/>
      <c r="BS698" s="2867"/>
      <c r="BT698" s="2867"/>
      <c r="BU698" s="2867"/>
      <c r="BV698" s="2867"/>
      <c r="BW698" s="2867"/>
      <c r="BX698" s="2867"/>
      <c r="BY698" s="2867"/>
      <c r="BZ698" s="2867"/>
      <c r="CA698" s="2867"/>
      <c r="CB698" s="2867"/>
      <c r="CC698" s="2867"/>
      <c r="CD698" s="2867"/>
      <c r="CE698" s="2867"/>
      <c r="CF698" s="2867"/>
      <c r="CG698" s="2867"/>
      <c r="CH698" s="2867"/>
      <c r="CI698" s="2867"/>
      <c r="CJ698" s="2867"/>
      <c r="CK698" s="2867"/>
      <c r="CL698" s="2867"/>
      <c r="CM698" s="2867"/>
      <c r="CN698" s="2867"/>
      <c r="CO698" s="2867"/>
      <c r="CP698" s="2867"/>
      <c r="CQ698" s="2867"/>
      <c r="CR698" s="2867"/>
      <c r="CS698" s="2867"/>
      <c r="CT698" s="2867"/>
      <c r="CU698" s="2867"/>
      <c r="CV698" s="2867"/>
      <c r="CW698" s="2867"/>
    </row>
    <row r="699" spans="1:101">
      <c r="A699" s="2867"/>
      <c r="B699" s="2867"/>
      <c r="C699" s="2867"/>
      <c r="D699" s="2867"/>
      <c r="E699" s="2867"/>
      <c r="F699" s="2867"/>
      <c r="G699" s="2867"/>
      <c r="H699" s="2867"/>
      <c r="I699" s="2867"/>
      <c r="J699" s="2867"/>
      <c r="K699" s="2867"/>
      <c r="L699" s="2867"/>
      <c r="M699" s="2867"/>
      <c r="O699" s="2867"/>
      <c r="P699" s="2867"/>
      <c r="Q699" s="2867"/>
      <c r="R699" s="2867"/>
      <c r="S699" s="2867"/>
      <c r="T699" s="2867"/>
      <c r="U699" s="2867"/>
      <c r="V699" s="2867"/>
      <c r="W699" s="2867"/>
      <c r="X699" s="2867"/>
      <c r="Y699" s="2867"/>
      <c r="Z699" s="2867"/>
      <c r="AA699" s="2867"/>
      <c r="AB699" s="2867"/>
      <c r="AC699" s="2867"/>
      <c r="AD699" s="2867"/>
      <c r="AE699" s="2867"/>
      <c r="AF699" s="2867"/>
      <c r="AG699" s="2867"/>
      <c r="AH699" s="2867"/>
      <c r="AI699" s="2867"/>
      <c r="AJ699" s="2867"/>
      <c r="AK699" s="2867"/>
      <c r="AL699" s="2867"/>
      <c r="AM699" s="2867"/>
      <c r="AN699" s="2867"/>
      <c r="AO699" s="2867"/>
      <c r="AP699" s="2867"/>
      <c r="AQ699" s="2867"/>
      <c r="AR699" s="2867"/>
      <c r="AS699" s="2867"/>
      <c r="AT699" s="2867"/>
      <c r="AU699" s="2867"/>
      <c r="AV699" s="2867"/>
      <c r="AW699" s="2867"/>
      <c r="AX699" s="2867"/>
      <c r="AY699" s="2867"/>
      <c r="AZ699" s="2867"/>
      <c r="BA699" s="2867"/>
      <c r="BB699" s="2867"/>
      <c r="BC699" s="2867"/>
      <c r="BD699" s="2867"/>
      <c r="BE699" s="2867"/>
      <c r="BF699" s="2867"/>
      <c r="BG699" s="2867"/>
      <c r="BH699" s="2867"/>
      <c r="BI699" s="2867"/>
      <c r="BJ699" s="2867"/>
      <c r="BK699" s="2867"/>
      <c r="BL699" s="2867"/>
      <c r="BM699" s="2867"/>
      <c r="BN699" s="2867"/>
      <c r="BO699" s="2867"/>
      <c r="BP699" s="2867"/>
      <c r="BQ699" s="2867"/>
      <c r="BR699" s="2867"/>
      <c r="BS699" s="2867"/>
      <c r="BT699" s="2867"/>
      <c r="BU699" s="2867"/>
      <c r="BV699" s="2867"/>
      <c r="BW699" s="2867"/>
      <c r="BX699" s="2867"/>
      <c r="BY699" s="2867"/>
      <c r="BZ699" s="2867"/>
      <c r="CA699" s="2867"/>
      <c r="CB699" s="2867"/>
      <c r="CC699" s="2867"/>
      <c r="CD699" s="2867"/>
      <c r="CE699" s="2867"/>
      <c r="CF699" s="2867"/>
      <c r="CG699" s="2867"/>
      <c r="CH699" s="2867"/>
      <c r="CI699" s="2867"/>
      <c r="CJ699" s="2867"/>
      <c r="CK699" s="2867"/>
      <c r="CL699" s="2867"/>
      <c r="CM699" s="2867"/>
      <c r="CN699" s="2867"/>
      <c r="CO699" s="2867"/>
      <c r="CP699" s="2867"/>
      <c r="CQ699" s="2867"/>
      <c r="CR699" s="2867"/>
      <c r="CS699" s="2867"/>
      <c r="CT699" s="2867"/>
      <c r="CU699" s="2867"/>
      <c r="CV699" s="2867"/>
      <c r="CW699" s="2867"/>
    </row>
    <row r="700" spans="1:101">
      <c r="A700" s="2867"/>
      <c r="B700" s="2867"/>
      <c r="C700" s="2867"/>
      <c r="D700" s="2867"/>
      <c r="E700" s="2867"/>
      <c r="F700" s="2867"/>
      <c r="G700" s="2867"/>
      <c r="H700" s="2867"/>
      <c r="I700" s="2867"/>
      <c r="J700" s="2867"/>
      <c r="K700" s="2867"/>
      <c r="L700" s="2867"/>
      <c r="M700" s="2867"/>
      <c r="O700" s="2867"/>
      <c r="P700" s="2867"/>
      <c r="Q700" s="2867"/>
      <c r="R700" s="2867"/>
      <c r="S700" s="2867"/>
      <c r="T700" s="2867"/>
      <c r="U700" s="2867"/>
      <c r="V700" s="2867"/>
      <c r="W700" s="2867"/>
      <c r="X700" s="2867"/>
      <c r="Y700" s="2867"/>
      <c r="Z700" s="2867"/>
      <c r="AA700" s="2867"/>
      <c r="AB700" s="2867"/>
      <c r="AC700" s="2867"/>
      <c r="AD700" s="2867"/>
      <c r="AE700" s="2867"/>
      <c r="AF700" s="2867"/>
      <c r="AG700" s="2867"/>
      <c r="AH700" s="2867"/>
      <c r="AI700" s="2867"/>
      <c r="AJ700" s="2867"/>
      <c r="AK700" s="2867"/>
      <c r="AL700" s="2867"/>
      <c r="AM700" s="2867"/>
      <c r="AN700" s="2867"/>
      <c r="AO700" s="2867"/>
      <c r="AP700" s="2867"/>
      <c r="AQ700" s="2867"/>
      <c r="AR700" s="2867"/>
      <c r="AS700" s="2867"/>
      <c r="AT700" s="2867"/>
      <c r="AU700" s="2867"/>
      <c r="AV700" s="2867"/>
      <c r="AW700" s="2867"/>
      <c r="AX700" s="2867"/>
      <c r="AY700" s="2867"/>
      <c r="AZ700" s="2867"/>
      <c r="BA700" s="2867"/>
      <c r="BB700" s="2867"/>
      <c r="BC700" s="2867"/>
      <c r="BD700" s="2867"/>
      <c r="BE700" s="2867"/>
      <c r="BF700" s="2867"/>
      <c r="BG700" s="2867"/>
      <c r="BH700" s="2867"/>
      <c r="BI700" s="2867"/>
      <c r="BJ700" s="2867"/>
      <c r="BK700" s="2867"/>
      <c r="BL700" s="2867"/>
      <c r="BM700" s="2867"/>
      <c r="BN700" s="2867"/>
      <c r="BO700" s="2867"/>
      <c r="BP700" s="2867"/>
      <c r="BQ700" s="2867"/>
      <c r="BR700" s="2867"/>
      <c r="BS700" s="2867"/>
      <c r="BT700" s="2867"/>
      <c r="BU700" s="2867"/>
      <c r="BV700" s="2867"/>
      <c r="BW700" s="2867"/>
      <c r="BX700" s="2867"/>
      <c r="BY700" s="2867"/>
      <c r="BZ700" s="2867"/>
      <c r="CA700" s="2867"/>
      <c r="CB700" s="2867"/>
      <c r="CC700" s="2867"/>
      <c r="CD700" s="2867"/>
      <c r="CE700" s="2867"/>
      <c r="CF700" s="2867"/>
      <c r="CG700" s="2867"/>
      <c r="CH700" s="2867"/>
      <c r="CI700" s="2867"/>
      <c r="CJ700" s="2867"/>
      <c r="CK700" s="2867"/>
      <c r="CL700" s="2867"/>
      <c r="CM700" s="2867"/>
      <c r="CN700" s="2867"/>
      <c r="CO700" s="2867"/>
      <c r="CP700" s="2867"/>
      <c r="CQ700" s="2867"/>
      <c r="CR700" s="2867"/>
      <c r="CS700" s="2867"/>
      <c r="CT700" s="2867"/>
      <c r="CU700" s="2867"/>
      <c r="CV700" s="2867"/>
      <c r="CW700" s="2867"/>
    </row>
    <row r="701" spans="1:101">
      <c r="A701" s="2867"/>
      <c r="B701" s="2867"/>
      <c r="C701" s="2867"/>
      <c r="D701" s="2867"/>
      <c r="E701" s="2867"/>
      <c r="F701" s="2867"/>
      <c r="G701" s="2867"/>
      <c r="H701" s="2867"/>
      <c r="I701" s="2867"/>
      <c r="J701" s="2867"/>
      <c r="K701" s="2867"/>
      <c r="L701" s="2867"/>
      <c r="M701" s="2867"/>
      <c r="O701" s="2867"/>
      <c r="P701" s="2867"/>
      <c r="Q701" s="2867"/>
      <c r="R701" s="2867"/>
      <c r="S701" s="2867"/>
      <c r="T701" s="2867"/>
      <c r="U701" s="2867"/>
      <c r="V701" s="2867"/>
      <c r="W701" s="2867"/>
      <c r="X701" s="2867"/>
      <c r="Y701" s="2867"/>
      <c r="Z701" s="2867"/>
      <c r="AA701" s="2867"/>
      <c r="AB701" s="2867"/>
      <c r="AC701" s="2867"/>
      <c r="AD701" s="2867"/>
      <c r="AE701" s="2867"/>
      <c r="AF701" s="2867"/>
      <c r="AG701" s="2867"/>
      <c r="AH701" s="2867"/>
      <c r="AI701" s="2867"/>
      <c r="AJ701" s="2867"/>
      <c r="AK701" s="2867"/>
      <c r="AL701" s="2867"/>
      <c r="AM701" s="2867"/>
      <c r="AN701" s="2867"/>
      <c r="AO701" s="2867"/>
      <c r="AP701" s="2867"/>
      <c r="AQ701" s="2867"/>
      <c r="AR701" s="2867"/>
      <c r="AS701" s="2867"/>
      <c r="AT701" s="2867"/>
      <c r="AU701" s="2867"/>
      <c r="AV701" s="2867"/>
      <c r="AW701" s="2867"/>
      <c r="AX701" s="2867"/>
      <c r="AY701" s="2867"/>
      <c r="AZ701" s="2867"/>
      <c r="BA701" s="2867"/>
      <c r="BB701" s="2867"/>
      <c r="BC701" s="2867"/>
      <c r="BD701" s="2867"/>
      <c r="BE701" s="2867"/>
      <c r="BF701" s="2867"/>
      <c r="BG701" s="2867"/>
      <c r="BH701" s="2867"/>
      <c r="BI701" s="2867"/>
      <c r="BJ701" s="2867"/>
      <c r="BK701" s="2867"/>
      <c r="BL701" s="2867"/>
      <c r="BM701" s="2867"/>
      <c r="BN701" s="2867"/>
      <c r="BO701" s="2867"/>
      <c r="BP701" s="2867"/>
      <c r="BQ701" s="2867"/>
      <c r="BR701" s="2867"/>
      <c r="BS701" s="2867"/>
      <c r="BT701" s="2867"/>
      <c r="BU701" s="2867"/>
      <c r="BV701" s="2867"/>
      <c r="BW701" s="2867"/>
      <c r="BX701" s="2867"/>
      <c r="BY701" s="2867"/>
      <c r="BZ701" s="2867"/>
      <c r="CA701" s="2867"/>
      <c r="CB701" s="2867"/>
      <c r="CC701" s="2867"/>
      <c r="CD701" s="2867"/>
      <c r="CE701" s="2867"/>
      <c r="CF701" s="2867"/>
      <c r="CG701" s="2867"/>
      <c r="CH701" s="2867"/>
      <c r="CI701" s="2867"/>
      <c r="CJ701" s="2867"/>
      <c r="CK701" s="2867"/>
      <c r="CL701" s="2867"/>
      <c r="CM701" s="2867"/>
      <c r="CN701" s="2867"/>
      <c r="CO701" s="2867"/>
      <c r="CP701" s="2867"/>
      <c r="CQ701" s="2867"/>
      <c r="CR701" s="2867"/>
      <c r="CS701" s="2867"/>
      <c r="CT701" s="2867"/>
      <c r="CU701" s="2867"/>
      <c r="CV701" s="2867"/>
      <c r="CW701" s="2867"/>
    </row>
    <row r="702" spans="1:101">
      <c r="A702" s="2867"/>
      <c r="B702" s="2867"/>
      <c r="C702" s="2867"/>
      <c r="D702" s="2867"/>
      <c r="E702" s="2867"/>
      <c r="F702" s="2867"/>
      <c r="G702" s="2867"/>
      <c r="H702" s="2867"/>
      <c r="I702" s="2867"/>
      <c r="J702" s="2867"/>
      <c r="K702" s="2867"/>
      <c r="L702" s="2867"/>
      <c r="M702" s="2867"/>
      <c r="O702" s="2867"/>
      <c r="P702" s="2867"/>
      <c r="Q702" s="2867"/>
      <c r="R702" s="2867"/>
      <c r="S702" s="2867"/>
      <c r="T702" s="2867"/>
      <c r="U702" s="2867"/>
      <c r="V702" s="2867"/>
      <c r="W702" s="2867"/>
      <c r="X702" s="2867"/>
      <c r="Y702" s="2867"/>
      <c r="Z702" s="2867"/>
      <c r="AA702" s="2867"/>
      <c r="AB702" s="2867"/>
      <c r="AC702" s="2867"/>
      <c r="AD702" s="2867"/>
      <c r="AE702" s="2867"/>
      <c r="AF702" s="2867"/>
      <c r="AG702" s="2867"/>
      <c r="AH702" s="2867"/>
      <c r="AI702" s="2867"/>
      <c r="AJ702" s="2867"/>
      <c r="AK702" s="2867"/>
      <c r="AL702" s="2867"/>
      <c r="AM702" s="2867"/>
      <c r="AN702" s="2867"/>
      <c r="AO702" s="2867"/>
      <c r="AP702" s="2867"/>
      <c r="AQ702" s="2867"/>
      <c r="AR702" s="2867"/>
      <c r="AS702" s="2867"/>
      <c r="AT702" s="2867"/>
      <c r="AU702" s="2867"/>
      <c r="AV702" s="2867"/>
      <c r="AW702" s="2867"/>
      <c r="AX702" s="2867"/>
      <c r="AY702" s="2867"/>
      <c r="AZ702" s="2867"/>
      <c r="BA702" s="2867"/>
      <c r="BB702" s="2867"/>
      <c r="BC702" s="2867"/>
      <c r="BD702" s="2867"/>
      <c r="BE702" s="2867"/>
      <c r="BF702" s="2867"/>
      <c r="BG702" s="2867"/>
      <c r="BH702" s="2867"/>
      <c r="BI702" s="2867"/>
      <c r="BJ702" s="2867"/>
      <c r="BK702" s="2867"/>
      <c r="BL702" s="2867"/>
      <c r="BM702" s="2867"/>
      <c r="BN702" s="2867"/>
      <c r="BO702" s="2867"/>
      <c r="BP702" s="2867"/>
      <c r="BQ702" s="2867"/>
      <c r="BR702" s="2867"/>
      <c r="BS702" s="2867"/>
      <c r="BT702" s="2867"/>
      <c r="BU702" s="2867"/>
      <c r="BV702" s="2867"/>
      <c r="BW702" s="2867"/>
      <c r="BX702" s="2867"/>
      <c r="BY702" s="2867"/>
      <c r="BZ702" s="2867"/>
      <c r="CA702" s="2867"/>
      <c r="CB702" s="2867"/>
      <c r="CC702" s="2867"/>
      <c r="CD702" s="2867"/>
      <c r="CE702" s="2867"/>
      <c r="CF702" s="2867"/>
      <c r="CG702" s="2867"/>
      <c r="CH702" s="2867"/>
      <c r="CI702" s="2867"/>
      <c r="CJ702" s="2867"/>
      <c r="CK702" s="2867"/>
      <c r="CL702" s="2867"/>
      <c r="CM702" s="2867"/>
      <c r="CN702" s="2867"/>
      <c r="CO702" s="2867"/>
      <c r="CP702" s="2867"/>
      <c r="CQ702" s="2867"/>
      <c r="CR702" s="2867"/>
      <c r="CS702" s="2867"/>
      <c r="CT702" s="2867"/>
      <c r="CU702" s="2867"/>
      <c r="CV702" s="2867"/>
      <c r="CW702" s="2867"/>
    </row>
    <row r="703" spans="1:101">
      <c r="A703" s="2867"/>
      <c r="B703" s="2867"/>
      <c r="C703" s="2867"/>
      <c r="D703" s="2867"/>
      <c r="E703" s="2867"/>
      <c r="F703" s="2867"/>
      <c r="G703" s="2867"/>
      <c r="H703" s="2867"/>
      <c r="I703" s="2867"/>
      <c r="J703" s="2867"/>
      <c r="K703" s="2867"/>
      <c r="L703" s="2867"/>
      <c r="M703" s="2867"/>
      <c r="O703" s="2867"/>
      <c r="P703" s="2867"/>
      <c r="Q703" s="2867"/>
      <c r="R703" s="2867"/>
      <c r="S703" s="2867"/>
      <c r="T703" s="2867"/>
      <c r="U703" s="2867"/>
      <c r="V703" s="2867"/>
      <c r="W703" s="2867"/>
      <c r="X703" s="2867"/>
      <c r="Y703" s="2867"/>
      <c r="Z703" s="2867"/>
      <c r="AA703" s="2867"/>
      <c r="AB703" s="2867"/>
      <c r="AC703" s="2867"/>
      <c r="AD703" s="2867"/>
      <c r="AE703" s="2867"/>
      <c r="AF703" s="2867"/>
      <c r="AG703" s="2867"/>
      <c r="AH703" s="2867"/>
      <c r="AI703" s="2867"/>
      <c r="AJ703" s="2867"/>
      <c r="AK703" s="2867"/>
      <c r="AL703" s="2867"/>
      <c r="AM703" s="2867"/>
      <c r="AN703" s="2867"/>
      <c r="AO703" s="2867"/>
      <c r="AP703" s="2867"/>
      <c r="AQ703" s="2867"/>
      <c r="AR703" s="2867"/>
      <c r="AS703" s="2867"/>
      <c r="AT703" s="2867"/>
      <c r="AU703" s="2867"/>
      <c r="AV703" s="2867"/>
      <c r="AW703" s="2867"/>
      <c r="AX703" s="2867"/>
      <c r="AY703" s="2867"/>
      <c r="AZ703" s="2867"/>
      <c r="BA703" s="2867"/>
      <c r="BB703" s="2867"/>
      <c r="BC703" s="2867"/>
      <c r="BD703" s="2867"/>
      <c r="BE703" s="2867"/>
      <c r="BF703" s="2867"/>
      <c r="BG703" s="2867"/>
      <c r="BH703" s="2867"/>
      <c r="BI703" s="2867"/>
      <c r="BJ703" s="2867"/>
      <c r="BK703" s="2867"/>
      <c r="BL703" s="2867"/>
      <c r="BM703" s="2867"/>
      <c r="BN703" s="2867"/>
      <c r="BO703" s="2867"/>
      <c r="BP703" s="2867"/>
      <c r="BQ703" s="2867"/>
      <c r="BR703" s="2867"/>
      <c r="BS703" s="2867"/>
      <c r="BT703" s="2867"/>
      <c r="BU703" s="2867"/>
      <c r="BV703" s="2867"/>
      <c r="BW703" s="2867"/>
      <c r="BX703" s="2867"/>
      <c r="BY703" s="2867"/>
      <c r="BZ703" s="2867"/>
      <c r="CA703" s="2867"/>
      <c r="CB703" s="2867"/>
      <c r="CC703" s="2867"/>
      <c r="CD703" s="2867"/>
      <c r="CE703" s="2867"/>
      <c r="CF703" s="2867"/>
      <c r="CG703" s="2867"/>
      <c r="CH703" s="2867"/>
      <c r="CI703" s="2867"/>
      <c r="CJ703" s="2867"/>
      <c r="CK703" s="2867"/>
      <c r="CL703" s="2867"/>
      <c r="CM703" s="2867"/>
      <c r="CN703" s="2867"/>
      <c r="CO703" s="2867"/>
      <c r="CP703" s="2867"/>
      <c r="CQ703" s="2867"/>
      <c r="CR703" s="2867"/>
      <c r="CS703" s="2867"/>
      <c r="CT703" s="2867"/>
      <c r="CU703" s="2867"/>
      <c r="CV703" s="2867"/>
      <c r="CW703" s="2867"/>
    </row>
    <row r="704" spans="1:101">
      <c r="A704" s="2867"/>
      <c r="B704" s="2867"/>
      <c r="C704" s="2867"/>
      <c r="D704" s="2867"/>
      <c r="E704" s="2867"/>
      <c r="F704" s="2867"/>
      <c r="G704" s="2867"/>
      <c r="H704" s="2867"/>
      <c r="I704" s="2867"/>
      <c r="J704" s="2867"/>
      <c r="K704" s="2867"/>
      <c r="L704" s="2867"/>
      <c r="M704" s="2867"/>
      <c r="O704" s="2867"/>
      <c r="P704" s="2867"/>
      <c r="Q704" s="2867"/>
      <c r="R704" s="2867"/>
      <c r="S704" s="2867"/>
      <c r="T704" s="2867"/>
      <c r="U704" s="2867"/>
      <c r="V704" s="2867"/>
      <c r="W704" s="2867"/>
      <c r="X704" s="2867"/>
      <c r="Y704" s="2867"/>
      <c r="Z704" s="2867"/>
      <c r="AA704" s="2867"/>
      <c r="AB704" s="2867"/>
      <c r="AC704" s="2867"/>
      <c r="AD704" s="2867"/>
      <c r="AE704" s="2867"/>
      <c r="AF704" s="2867"/>
      <c r="AG704" s="2867"/>
      <c r="AH704" s="2867"/>
      <c r="AI704" s="2867"/>
      <c r="AJ704" s="2867"/>
      <c r="AK704" s="2867"/>
      <c r="AL704" s="2867"/>
      <c r="AM704" s="2867"/>
      <c r="AN704" s="2867"/>
      <c r="AO704" s="2867"/>
      <c r="AP704" s="2867"/>
      <c r="AQ704" s="2867"/>
      <c r="AR704" s="2867"/>
      <c r="AS704" s="2867"/>
      <c r="AT704" s="2867"/>
      <c r="AU704" s="2867"/>
      <c r="AV704" s="2867"/>
      <c r="AW704" s="2867"/>
      <c r="AX704" s="2867"/>
      <c r="AY704" s="2867"/>
      <c r="AZ704" s="2867"/>
      <c r="BA704" s="2867"/>
      <c r="BB704" s="2867"/>
      <c r="BC704" s="2867"/>
      <c r="BD704" s="2867"/>
      <c r="BE704" s="2867"/>
      <c r="BF704" s="2867"/>
      <c r="BG704" s="2867"/>
      <c r="BH704" s="2867"/>
      <c r="BI704" s="2867"/>
      <c r="BJ704" s="2867"/>
      <c r="BK704" s="2867"/>
      <c r="BL704" s="2867"/>
      <c r="BM704" s="2867"/>
      <c r="BN704" s="2867"/>
      <c r="BO704" s="2867"/>
      <c r="BP704" s="2867"/>
      <c r="BQ704" s="2867"/>
      <c r="BR704" s="2867"/>
      <c r="BS704" s="2867"/>
      <c r="BT704" s="2867"/>
      <c r="BU704" s="2867"/>
      <c r="BV704" s="2867"/>
      <c r="BW704" s="2867"/>
      <c r="BX704" s="2867"/>
      <c r="BY704" s="2867"/>
      <c r="BZ704" s="2867"/>
      <c r="CA704" s="2867"/>
      <c r="CB704" s="2867"/>
      <c r="CC704" s="2867"/>
      <c r="CD704" s="2867"/>
      <c r="CE704" s="2867"/>
      <c r="CF704" s="2867"/>
      <c r="CG704" s="2867"/>
      <c r="CH704" s="2867"/>
      <c r="CI704" s="2867"/>
      <c r="CJ704" s="2867"/>
      <c r="CK704" s="2867"/>
      <c r="CL704" s="2867"/>
      <c r="CM704" s="2867"/>
      <c r="CN704" s="2867"/>
      <c r="CO704" s="2867"/>
      <c r="CP704" s="2867"/>
      <c r="CQ704" s="2867"/>
      <c r="CR704" s="2867"/>
      <c r="CS704" s="2867"/>
      <c r="CT704" s="2867"/>
      <c r="CU704" s="2867"/>
      <c r="CV704" s="2867"/>
      <c r="CW704" s="2867"/>
    </row>
    <row r="705" spans="1:101">
      <c r="A705" s="2867"/>
      <c r="B705" s="2867"/>
      <c r="C705" s="2867"/>
      <c r="D705" s="2867"/>
      <c r="E705" s="2867"/>
      <c r="F705" s="2867"/>
      <c r="G705" s="2867"/>
      <c r="H705" s="2867"/>
      <c r="I705" s="2867"/>
      <c r="J705" s="2867"/>
      <c r="K705" s="2867"/>
      <c r="L705" s="2867"/>
      <c r="M705" s="2867"/>
      <c r="O705" s="2867"/>
      <c r="P705" s="2867"/>
      <c r="Q705" s="2867"/>
      <c r="R705" s="2867"/>
      <c r="S705" s="2867"/>
      <c r="T705" s="2867"/>
      <c r="U705" s="2867"/>
      <c r="V705" s="2867"/>
      <c r="W705" s="2867"/>
      <c r="X705" s="2867"/>
      <c r="Y705" s="2867"/>
      <c r="Z705" s="2867"/>
      <c r="AA705" s="2867"/>
      <c r="AB705" s="2867"/>
      <c r="AC705" s="2867"/>
      <c r="AD705" s="2867"/>
      <c r="AE705" s="2867"/>
      <c r="AF705" s="2867"/>
      <c r="AG705" s="2867"/>
      <c r="AH705" s="2867"/>
      <c r="AI705" s="2867"/>
      <c r="AJ705" s="2867"/>
      <c r="AK705" s="2867"/>
      <c r="AL705" s="2867"/>
      <c r="AM705" s="2867"/>
      <c r="AN705" s="2867"/>
      <c r="AO705" s="2867"/>
      <c r="AP705" s="2867"/>
      <c r="AQ705" s="2867"/>
      <c r="AR705" s="2867"/>
      <c r="AS705" s="2867"/>
      <c r="AT705" s="2867"/>
      <c r="AU705" s="2867"/>
      <c r="AV705" s="2867"/>
      <c r="AW705" s="2867"/>
      <c r="AX705" s="2867"/>
      <c r="AY705" s="2867"/>
      <c r="AZ705" s="2867"/>
      <c r="BA705" s="2867"/>
      <c r="BB705" s="2867"/>
      <c r="BC705" s="2867"/>
      <c r="BD705" s="2867"/>
      <c r="BE705" s="2867"/>
      <c r="BF705" s="2867"/>
      <c r="BG705" s="2867"/>
      <c r="BH705" s="2867"/>
      <c r="BI705" s="2867"/>
      <c r="BJ705" s="2867"/>
      <c r="BK705" s="2867"/>
      <c r="BL705" s="2867"/>
      <c r="BM705" s="2867"/>
      <c r="BN705" s="2867"/>
      <c r="BO705" s="2867"/>
      <c r="BP705" s="2867"/>
      <c r="BQ705" s="2867"/>
      <c r="BR705" s="2867"/>
      <c r="BS705" s="2867"/>
      <c r="BT705" s="2867"/>
      <c r="BU705" s="2867"/>
      <c r="BV705" s="2867"/>
      <c r="BW705" s="2867"/>
      <c r="BX705" s="2867"/>
      <c r="BY705" s="2867"/>
      <c r="BZ705" s="2867"/>
      <c r="CA705" s="2867"/>
      <c r="CB705" s="2867"/>
      <c r="CC705" s="2867"/>
      <c r="CD705" s="2867"/>
      <c r="CE705" s="2867"/>
      <c r="CF705" s="2867"/>
      <c r="CG705" s="2867"/>
      <c r="CH705" s="2867"/>
      <c r="CI705" s="2867"/>
      <c r="CJ705" s="2867"/>
      <c r="CK705" s="2867"/>
      <c r="CL705" s="2867"/>
      <c r="CM705" s="2867"/>
      <c r="CN705" s="2867"/>
      <c r="CO705" s="2867"/>
      <c r="CP705" s="2867"/>
      <c r="CQ705" s="2867"/>
      <c r="CR705" s="2867"/>
      <c r="CS705" s="2867"/>
      <c r="CT705" s="2867"/>
      <c r="CU705" s="2867"/>
      <c r="CV705" s="2867"/>
      <c r="CW705" s="2867"/>
    </row>
    <row r="706" spans="1:101">
      <c r="A706" s="2867"/>
      <c r="B706" s="2867"/>
      <c r="C706" s="2867"/>
      <c r="D706" s="2867"/>
      <c r="E706" s="2867"/>
      <c r="F706" s="2867"/>
      <c r="G706" s="2867"/>
      <c r="H706" s="2867"/>
      <c r="I706" s="2867"/>
      <c r="J706" s="2867"/>
      <c r="K706" s="2867"/>
      <c r="L706" s="2867"/>
      <c r="M706" s="2867"/>
      <c r="O706" s="2867"/>
      <c r="P706" s="2867"/>
      <c r="Q706" s="2867"/>
      <c r="R706" s="2867"/>
      <c r="S706" s="2867"/>
      <c r="T706" s="2867"/>
      <c r="U706" s="2867"/>
      <c r="V706" s="2867"/>
      <c r="W706" s="2867"/>
      <c r="X706" s="2867"/>
      <c r="Y706" s="2867"/>
      <c r="Z706" s="2867"/>
      <c r="AA706" s="2867"/>
      <c r="AB706" s="2867"/>
      <c r="AC706" s="2867"/>
      <c r="AD706" s="2867"/>
      <c r="AE706" s="2867"/>
      <c r="AF706" s="2867"/>
      <c r="AG706" s="2867"/>
      <c r="AH706" s="2867"/>
      <c r="AI706" s="2867"/>
      <c r="AJ706" s="2867"/>
      <c r="AK706" s="2867"/>
      <c r="AL706" s="2867"/>
      <c r="AM706" s="2867"/>
      <c r="AN706" s="2867"/>
      <c r="AO706" s="2867"/>
      <c r="AP706" s="2867"/>
      <c r="AQ706" s="2867"/>
      <c r="AR706" s="2867"/>
      <c r="AS706" s="2867"/>
      <c r="AT706" s="2867"/>
      <c r="AU706" s="2867"/>
      <c r="AV706" s="2867"/>
      <c r="AW706" s="2867"/>
      <c r="AX706" s="2867"/>
      <c r="AY706" s="2867"/>
      <c r="AZ706" s="2867"/>
      <c r="BA706" s="2867"/>
      <c r="BB706" s="2867"/>
      <c r="BC706" s="2867"/>
      <c r="BD706" s="2867"/>
      <c r="BE706" s="2867"/>
      <c r="BF706" s="2867"/>
      <c r="BG706" s="2867"/>
      <c r="BH706" s="2867"/>
      <c r="BI706" s="2867"/>
      <c r="BJ706" s="2867"/>
      <c r="BK706" s="2867"/>
      <c r="BL706" s="2867"/>
      <c r="BM706" s="2867"/>
      <c r="BN706" s="2867"/>
      <c r="BO706" s="2867"/>
      <c r="BP706" s="2867"/>
      <c r="BQ706" s="2867"/>
      <c r="BR706" s="2867"/>
      <c r="BS706" s="2867"/>
      <c r="BT706" s="2867"/>
      <c r="BU706" s="2867"/>
      <c r="BV706" s="2867"/>
      <c r="BW706" s="2867"/>
      <c r="BX706" s="2867"/>
      <c r="BY706" s="2867"/>
      <c r="BZ706" s="2867"/>
      <c r="CA706" s="2867"/>
      <c r="CB706" s="2867"/>
      <c r="CC706" s="2867"/>
      <c r="CD706" s="2867"/>
      <c r="CE706" s="2867"/>
      <c r="CF706" s="2867"/>
      <c r="CG706" s="2867"/>
      <c r="CH706" s="2867"/>
      <c r="CI706" s="2867"/>
      <c r="CJ706" s="2867"/>
      <c r="CK706" s="2867"/>
      <c r="CL706" s="2867"/>
      <c r="CM706" s="2867"/>
      <c r="CN706" s="2867"/>
      <c r="CO706" s="2867"/>
      <c r="CP706" s="2867"/>
      <c r="CQ706" s="2867"/>
      <c r="CR706" s="2867"/>
      <c r="CS706" s="2867"/>
      <c r="CT706" s="2867"/>
      <c r="CU706" s="2867"/>
      <c r="CV706" s="2867"/>
      <c r="CW706" s="2867"/>
    </row>
    <row r="707" spans="1:101">
      <c r="A707" s="2867"/>
      <c r="B707" s="2867"/>
      <c r="C707" s="2867"/>
      <c r="D707" s="2867"/>
      <c r="E707" s="2867"/>
      <c r="F707" s="2867"/>
      <c r="G707" s="2867"/>
      <c r="H707" s="2867"/>
      <c r="I707" s="2867"/>
      <c r="J707" s="2867"/>
      <c r="K707" s="2867"/>
      <c r="L707" s="2867"/>
      <c r="M707" s="2867"/>
      <c r="O707" s="2867"/>
      <c r="P707" s="2867"/>
      <c r="Q707" s="2867"/>
      <c r="R707" s="2867"/>
      <c r="S707" s="2867"/>
      <c r="T707" s="2867"/>
      <c r="U707" s="2867"/>
      <c r="V707" s="2867"/>
      <c r="W707" s="2867"/>
      <c r="X707" s="2867"/>
      <c r="Y707" s="2867"/>
      <c r="Z707" s="2867"/>
      <c r="AA707" s="2867"/>
      <c r="AB707" s="2867"/>
      <c r="AC707" s="2867"/>
      <c r="AD707" s="2867"/>
      <c r="AE707" s="2867"/>
      <c r="AF707" s="2867"/>
      <c r="AG707" s="2867"/>
      <c r="AH707" s="2867"/>
      <c r="AI707" s="2867"/>
      <c r="AJ707" s="2867"/>
      <c r="AK707" s="2867"/>
      <c r="AL707" s="2867"/>
      <c r="AM707" s="2867"/>
      <c r="AN707" s="2867"/>
      <c r="AO707" s="2867"/>
      <c r="AP707" s="2867"/>
      <c r="AQ707" s="2867"/>
      <c r="AR707" s="2867"/>
      <c r="AS707" s="2867"/>
      <c r="AT707" s="2867"/>
      <c r="AU707" s="2867"/>
      <c r="AV707" s="2867"/>
      <c r="AW707" s="2867"/>
      <c r="AX707" s="2867"/>
      <c r="AY707" s="2867"/>
      <c r="AZ707" s="2867"/>
      <c r="BA707" s="2867"/>
      <c r="BB707" s="2867"/>
      <c r="BC707" s="2867"/>
      <c r="BD707" s="2867"/>
      <c r="BE707" s="2867"/>
      <c r="BF707" s="2867"/>
      <c r="BG707" s="2867"/>
      <c r="BH707" s="2867"/>
      <c r="BI707" s="2867"/>
      <c r="BJ707" s="2867"/>
      <c r="BK707" s="2867"/>
      <c r="BL707" s="2867"/>
      <c r="BM707" s="2867"/>
      <c r="BN707" s="2867"/>
      <c r="BO707" s="2867"/>
      <c r="BP707" s="2867"/>
      <c r="BQ707" s="2867"/>
      <c r="BR707" s="2867"/>
      <c r="BS707" s="2867"/>
      <c r="BT707" s="2867"/>
      <c r="BU707" s="2867"/>
      <c r="BV707" s="2867"/>
      <c r="BW707" s="2867"/>
      <c r="BX707" s="2867"/>
      <c r="BY707" s="2867"/>
      <c r="BZ707" s="2867"/>
      <c r="CA707" s="2867"/>
      <c r="CB707" s="2867"/>
      <c r="CC707" s="2867"/>
      <c r="CD707" s="2867"/>
      <c r="CE707" s="2867"/>
      <c r="CF707" s="2867"/>
      <c r="CG707" s="2867"/>
      <c r="CH707" s="2867"/>
      <c r="CI707" s="2867"/>
      <c r="CJ707" s="2867"/>
      <c r="CK707" s="2867"/>
      <c r="CL707" s="2867"/>
      <c r="CM707" s="2867"/>
      <c r="CN707" s="2867"/>
      <c r="CO707" s="2867"/>
      <c r="CP707" s="2867"/>
      <c r="CQ707" s="2867"/>
      <c r="CR707" s="2867"/>
      <c r="CS707" s="2867"/>
      <c r="CT707" s="2867"/>
      <c r="CU707" s="2867"/>
      <c r="CV707" s="2867"/>
      <c r="CW707" s="2867"/>
    </row>
    <row r="708" spans="1:101">
      <c r="A708" s="2867"/>
      <c r="B708" s="2867"/>
      <c r="C708" s="2867"/>
      <c r="D708" s="2867"/>
      <c r="E708" s="2867"/>
      <c r="F708" s="2867"/>
      <c r="G708" s="2867"/>
      <c r="H708" s="2867"/>
      <c r="I708" s="2867"/>
      <c r="J708" s="2867"/>
      <c r="K708" s="2867"/>
      <c r="L708" s="2867"/>
      <c r="M708" s="2867"/>
      <c r="O708" s="2867"/>
      <c r="P708" s="2867"/>
      <c r="Q708" s="2867"/>
      <c r="R708" s="2867"/>
      <c r="S708" s="2867"/>
      <c r="T708" s="2867"/>
      <c r="U708" s="2867"/>
      <c r="V708" s="2867"/>
      <c r="W708" s="2867"/>
      <c r="X708" s="2867"/>
      <c r="Y708" s="2867"/>
      <c r="Z708" s="2867"/>
      <c r="AA708" s="2867"/>
      <c r="AB708" s="2867"/>
      <c r="AC708" s="2867"/>
      <c r="AD708" s="2867"/>
      <c r="AE708" s="2867"/>
      <c r="AF708" s="2867"/>
      <c r="AG708" s="2867"/>
      <c r="AH708" s="2867"/>
      <c r="AI708" s="2867"/>
      <c r="AJ708" s="2867"/>
      <c r="AK708" s="2867"/>
      <c r="AL708" s="2867"/>
      <c r="AM708" s="2867"/>
      <c r="AN708" s="2867"/>
      <c r="AO708" s="2867"/>
      <c r="AP708" s="2867"/>
      <c r="AQ708" s="2867"/>
      <c r="AR708" s="2867"/>
      <c r="AS708" s="2867"/>
      <c r="AT708" s="2867"/>
      <c r="AU708" s="2867"/>
      <c r="AV708" s="2867"/>
      <c r="AW708" s="2867"/>
      <c r="AX708" s="2867"/>
      <c r="AY708" s="2867"/>
      <c r="AZ708" s="2867"/>
      <c r="BA708" s="2867"/>
      <c r="BB708" s="2867"/>
      <c r="BC708" s="2867"/>
      <c r="BD708" s="2867"/>
      <c r="BE708" s="2867"/>
      <c r="BF708" s="2867"/>
      <c r="BG708" s="2867"/>
      <c r="BH708" s="2867"/>
      <c r="BI708" s="2867"/>
      <c r="BJ708" s="2867"/>
      <c r="BK708" s="2867"/>
      <c r="BL708" s="2867"/>
      <c r="BM708" s="2867"/>
      <c r="BN708" s="2867"/>
      <c r="BO708" s="2867"/>
      <c r="BP708" s="2867"/>
      <c r="BQ708" s="2867"/>
      <c r="BR708" s="2867"/>
      <c r="BS708" s="2867"/>
      <c r="BT708" s="2867"/>
      <c r="BU708" s="2867"/>
      <c r="BV708" s="2867"/>
      <c r="BW708" s="2867"/>
      <c r="BX708" s="2867"/>
      <c r="BY708" s="2867"/>
      <c r="BZ708" s="2867"/>
      <c r="CA708" s="2867"/>
      <c r="CB708" s="2867"/>
      <c r="CC708" s="2867"/>
      <c r="CD708" s="2867"/>
      <c r="CE708" s="2867"/>
      <c r="CF708" s="2867"/>
      <c r="CG708" s="2867"/>
      <c r="CH708" s="2867"/>
      <c r="CI708" s="2867"/>
      <c r="CJ708" s="2867"/>
      <c r="CK708" s="2867"/>
      <c r="CL708" s="2867"/>
      <c r="CM708" s="2867"/>
      <c r="CN708" s="2867"/>
      <c r="CO708" s="2867"/>
      <c r="CP708" s="2867"/>
      <c r="CQ708" s="2867"/>
      <c r="CR708" s="2867"/>
      <c r="CS708" s="2867"/>
      <c r="CT708" s="2867"/>
      <c r="CU708" s="2867"/>
      <c r="CV708" s="2867"/>
      <c r="CW708" s="2867"/>
    </row>
    <row r="709" spans="1:101">
      <c r="A709" s="2867"/>
      <c r="B709" s="2867"/>
      <c r="C709" s="2867"/>
      <c r="D709" s="2867"/>
      <c r="E709" s="2867"/>
      <c r="F709" s="2867"/>
      <c r="G709" s="2867"/>
      <c r="H709" s="2867"/>
      <c r="I709" s="2867"/>
      <c r="J709" s="2867"/>
      <c r="K709" s="2867"/>
      <c r="L709" s="2867"/>
      <c r="M709" s="2867"/>
      <c r="O709" s="2867"/>
      <c r="P709" s="2867"/>
      <c r="Q709" s="2867"/>
      <c r="R709" s="2867"/>
      <c r="S709" s="2867"/>
      <c r="T709" s="2867"/>
      <c r="U709" s="2867"/>
      <c r="V709" s="2867"/>
      <c r="W709" s="2867"/>
      <c r="X709" s="2867"/>
      <c r="Y709" s="2867"/>
      <c r="Z709" s="2867"/>
      <c r="AA709" s="2867"/>
      <c r="AB709" s="2867"/>
      <c r="AC709" s="2867"/>
      <c r="AD709" s="2867"/>
      <c r="AE709" s="2867"/>
      <c r="AF709" s="2867"/>
      <c r="AG709" s="2867"/>
      <c r="AH709" s="2867"/>
      <c r="AI709" s="2867"/>
      <c r="AJ709" s="2867"/>
      <c r="AK709" s="2867"/>
      <c r="AL709" s="2867"/>
      <c r="AM709" s="2867"/>
      <c r="AN709" s="2867"/>
      <c r="AO709" s="2867"/>
      <c r="AP709" s="2867"/>
      <c r="AQ709" s="2867"/>
      <c r="AR709" s="2867"/>
      <c r="AS709" s="2867"/>
      <c r="AT709" s="2867"/>
      <c r="AU709" s="2867"/>
      <c r="AV709" s="2867"/>
      <c r="AW709" s="2867"/>
      <c r="AX709" s="2867"/>
      <c r="AY709" s="2867"/>
      <c r="AZ709" s="2867"/>
      <c r="BA709" s="2867"/>
      <c r="BB709" s="2867"/>
      <c r="BC709" s="2867"/>
      <c r="BD709" s="2867"/>
      <c r="BE709" s="2867"/>
      <c r="BF709" s="2867"/>
      <c r="BG709" s="2867"/>
      <c r="BH709" s="2867"/>
      <c r="BI709" s="2867"/>
      <c r="BJ709" s="2867"/>
      <c r="BK709" s="2867"/>
      <c r="BL709" s="2867"/>
      <c r="BM709" s="2867"/>
      <c r="BN709" s="2867"/>
      <c r="BO709" s="2867"/>
      <c r="BP709" s="2867"/>
      <c r="BQ709" s="2867"/>
      <c r="BR709" s="2867"/>
      <c r="BS709" s="2867"/>
      <c r="BT709" s="2867"/>
      <c r="BU709" s="2867"/>
      <c r="BV709" s="2867"/>
      <c r="BW709" s="2867"/>
      <c r="BX709" s="2867"/>
      <c r="BY709" s="2867"/>
      <c r="BZ709" s="2867"/>
      <c r="CA709" s="2867"/>
      <c r="CB709" s="2867"/>
      <c r="CC709" s="2867"/>
      <c r="CD709" s="2867"/>
      <c r="CE709" s="2867"/>
      <c r="CF709" s="2867"/>
      <c r="CG709" s="2867"/>
      <c r="CH709" s="2867"/>
      <c r="CI709" s="2867"/>
      <c r="CJ709" s="2867"/>
      <c r="CK709" s="2867"/>
      <c r="CL709" s="2867"/>
      <c r="CM709" s="2867"/>
      <c r="CN709" s="2867"/>
      <c r="CO709" s="2867"/>
      <c r="CP709" s="2867"/>
      <c r="CQ709" s="2867"/>
      <c r="CR709" s="2867"/>
      <c r="CS709" s="2867"/>
      <c r="CT709" s="2867"/>
      <c r="CU709" s="2867"/>
      <c r="CV709" s="2867"/>
      <c r="CW709" s="2867"/>
    </row>
    <row r="710" spans="1:101">
      <c r="A710" s="2867"/>
      <c r="B710" s="2867"/>
      <c r="C710" s="2867"/>
      <c r="D710" s="2867"/>
      <c r="E710" s="2867"/>
      <c r="F710" s="2867"/>
      <c r="G710" s="2867"/>
      <c r="H710" s="2867"/>
      <c r="I710" s="2867"/>
      <c r="J710" s="2867"/>
      <c r="K710" s="2867"/>
      <c r="L710" s="2867"/>
      <c r="M710" s="2867"/>
      <c r="O710" s="2867"/>
      <c r="P710" s="2867"/>
      <c r="Q710" s="2867"/>
      <c r="R710" s="2867"/>
      <c r="S710" s="2867"/>
      <c r="T710" s="2867"/>
      <c r="U710" s="2867"/>
      <c r="V710" s="2867"/>
      <c r="W710" s="2867"/>
      <c r="X710" s="2867"/>
      <c r="Y710" s="2867"/>
      <c r="Z710" s="2867"/>
      <c r="AA710" s="2867"/>
      <c r="AB710" s="2867"/>
      <c r="AC710" s="2867"/>
      <c r="AD710" s="2867"/>
      <c r="AE710" s="2867"/>
      <c r="AF710" s="2867"/>
      <c r="AG710" s="2867"/>
      <c r="AH710" s="2867"/>
      <c r="AI710" s="2867"/>
      <c r="AJ710" s="2867"/>
      <c r="AK710" s="2867"/>
      <c r="AL710" s="2867"/>
      <c r="AM710" s="2867"/>
      <c r="AN710" s="2867"/>
      <c r="AO710" s="2867"/>
      <c r="AP710" s="2867"/>
      <c r="AQ710" s="2867"/>
      <c r="AR710" s="2867"/>
      <c r="AS710" s="2867"/>
      <c r="AT710" s="2867"/>
      <c r="AU710" s="2867"/>
      <c r="AV710" s="2867"/>
      <c r="AW710" s="2867"/>
      <c r="AX710" s="2867"/>
      <c r="AY710" s="2867"/>
      <c r="AZ710" s="2867"/>
      <c r="BA710" s="2867"/>
      <c r="BB710" s="2867"/>
      <c r="BC710" s="2867"/>
      <c r="BD710" s="2867"/>
      <c r="BE710" s="2867"/>
      <c r="BF710" s="2867"/>
      <c r="BG710" s="2867"/>
      <c r="BH710" s="2867"/>
      <c r="BI710" s="2867"/>
      <c r="BJ710" s="2867"/>
      <c r="BK710" s="2867"/>
      <c r="BL710" s="2867"/>
      <c r="BM710" s="2867"/>
      <c r="BN710" s="2867"/>
      <c r="BO710" s="2867"/>
      <c r="BP710" s="2867"/>
      <c r="BQ710" s="2867"/>
      <c r="BR710" s="2867"/>
      <c r="BS710" s="2867"/>
      <c r="BT710" s="2867"/>
      <c r="BU710" s="2867"/>
      <c r="BV710" s="2867"/>
      <c r="BW710" s="2867"/>
      <c r="BX710" s="2867"/>
      <c r="BY710" s="2867"/>
      <c r="BZ710" s="2867"/>
      <c r="CA710" s="2867"/>
      <c r="CB710" s="2867"/>
      <c r="CC710" s="2867"/>
      <c r="CD710" s="2867"/>
      <c r="CE710" s="2867"/>
      <c r="CF710" s="2867"/>
      <c r="CG710" s="2867"/>
      <c r="CH710" s="2867"/>
      <c r="CI710" s="2867"/>
      <c r="CJ710" s="2867"/>
      <c r="CK710" s="2867"/>
      <c r="CL710" s="2867"/>
      <c r="CM710" s="2867"/>
      <c r="CN710" s="2867"/>
      <c r="CO710" s="2867"/>
      <c r="CP710" s="2867"/>
      <c r="CQ710" s="2867"/>
      <c r="CR710" s="2867"/>
      <c r="CS710" s="2867"/>
      <c r="CT710" s="2867"/>
      <c r="CU710" s="2867"/>
      <c r="CV710" s="2867"/>
      <c r="CW710" s="2867"/>
    </row>
    <row r="711" spans="1:101">
      <c r="A711" s="2867"/>
      <c r="B711" s="2867"/>
      <c r="C711" s="2867"/>
      <c r="D711" s="2867"/>
      <c r="E711" s="2867"/>
      <c r="F711" s="2867"/>
      <c r="G711" s="2867"/>
      <c r="H711" s="2867"/>
      <c r="I711" s="2867"/>
      <c r="J711" s="2867"/>
      <c r="K711" s="2867"/>
      <c r="L711" s="2867"/>
      <c r="M711" s="2867"/>
      <c r="O711" s="2867"/>
      <c r="P711" s="2867"/>
      <c r="Q711" s="2867"/>
      <c r="R711" s="2867"/>
      <c r="S711" s="2867"/>
      <c r="T711" s="2867"/>
      <c r="U711" s="2867"/>
      <c r="V711" s="2867"/>
      <c r="W711" s="2867"/>
      <c r="X711" s="2867"/>
      <c r="Y711" s="2867"/>
      <c r="Z711" s="2867"/>
      <c r="AA711" s="2867"/>
      <c r="AB711" s="2867"/>
      <c r="AC711" s="2867"/>
      <c r="AD711" s="2867"/>
      <c r="AE711" s="2867"/>
      <c r="AF711" s="2867"/>
      <c r="AG711" s="2867"/>
      <c r="AH711" s="2867"/>
      <c r="AI711" s="2867"/>
      <c r="AJ711" s="2867"/>
      <c r="AK711" s="2867"/>
      <c r="AL711" s="2867"/>
      <c r="AM711" s="2867"/>
      <c r="AN711" s="2867"/>
      <c r="AO711" s="2867"/>
      <c r="AP711" s="2867"/>
      <c r="AQ711" s="2867"/>
      <c r="AR711" s="2867"/>
      <c r="AS711" s="2867"/>
      <c r="AT711" s="2867"/>
      <c r="AU711" s="2867"/>
      <c r="AV711" s="2867"/>
      <c r="AW711" s="2867"/>
      <c r="AX711" s="2867"/>
      <c r="AY711" s="2867"/>
      <c r="AZ711" s="2867"/>
      <c r="BA711" s="2867"/>
      <c r="BB711" s="2867"/>
      <c r="BC711" s="2867"/>
      <c r="BD711" s="2867"/>
      <c r="BE711" s="2867"/>
      <c r="BF711" s="2867"/>
      <c r="BG711" s="2867"/>
      <c r="BH711" s="2867"/>
      <c r="BI711" s="2867"/>
      <c r="BJ711" s="2867"/>
      <c r="BK711" s="2867"/>
      <c r="BL711" s="2867"/>
      <c r="BM711" s="2867"/>
      <c r="BN711" s="2867"/>
      <c r="BO711" s="2867"/>
      <c r="BP711" s="2867"/>
      <c r="BQ711" s="2867"/>
      <c r="BR711" s="2867"/>
      <c r="BS711" s="2867"/>
      <c r="BT711" s="2867"/>
      <c r="BU711" s="2867"/>
      <c r="BV711" s="2867"/>
      <c r="BW711" s="2867"/>
      <c r="BX711" s="2867"/>
      <c r="BY711" s="2867"/>
      <c r="BZ711" s="2867"/>
      <c r="CA711" s="2867"/>
      <c r="CB711" s="2867"/>
      <c r="CC711" s="2867"/>
      <c r="CD711" s="2867"/>
      <c r="CE711" s="2867"/>
      <c r="CF711" s="2867"/>
      <c r="CG711" s="2867"/>
      <c r="CH711" s="2867"/>
      <c r="CI711" s="2867"/>
      <c r="CJ711" s="2867"/>
      <c r="CK711" s="2867"/>
      <c r="CL711" s="2867"/>
      <c r="CM711" s="2867"/>
      <c r="CN711" s="2867"/>
      <c r="CO711" s="2867"/>
      <c r="CP711" s="2867"/>
      <c r="CQ711" s="2867"/>
      <c r="CR711" s="2867"/>
      <c r="CS711" s="2867"/>
      <c r="CT711" s="2867"/>
      <c r="CU711" s="2867"/>
      <c r="CV711" s="2867"/>
      <c r="CW711" s="2867"/>
    </row>
    <row r="712" spans="1:101">
      <c r="A712" s="2867"/>
      <c r="B712" s="2867"/>
      <c r="C712" s="2867"/>
      <c r="D712" s="2867"/>
      <c r="E712" s="2867"/>
      <c r="F712" s="2867"/>
      <c r="G712" s="2867"/>
      <c r="H712" s="2867"/>
      <c r="I712" s="2867"/>
      <c r="J712" s="2867"/>
      <c r="K712" s="2867"/>
      <c r="L712" s="2867"/>
      <c r="M712" s="2867"/>
      <c r="O712" s="2867"/>
      <c r="P712" s="2867"/>
      <c r="Q712" s="2867"/>
      <c r="R712" s="2867"/>
      <c r="S712" s="2867"/>
      <c r="T712" s="2867"/>
      <c r="U712" s="2867"/>
      <c r="V712" s="2867"/>
      <c r="W712" s="2867"/>
      <c r="X712" s="2867"/>
      <c r="Y712" s="2867"/>
      <c r="Z712" s="2867"/>
      <c r="AA712" s="2867"/>
      <c r="AB712" s="2867"/>
      <c r="AC712" s="2867"/>
      <c r="AD712" s="2867"/>
      <c r="AE712" s="2867"/>
      <c r="AF712" s="2867"/>
      <c r="AG712" s="2867"/>
      <c r="AH712" s="2867"/>
      <c r="AI712" s="2867"/>
      <c r="AJ712" s="2867"/>
      <c r="AK712" s="2867"/>
      <c r="AL712" s="2867"/>
      <c r="AM712" s="2867"/>
      <c r="AN712" s="2867"/>
      <c r="AO712" s="2867"/>
      <c r="AP712" s="2867"/>
      <c r="AQ712" s="2867"/>
      <c r="AR712" s="2867"/>
      <c r="AS712" s="2867"/>
      <c r="AT712" s="2867"/>
      <c r="AU712" s="2867"/>
      <c r="AV712" s="2867"/>
      <c r="AW712" s="2867"/>
      <c r="AX712" s="2867"/>
      <c r="AY712" s="2867"/>
      <c r="AZ712" s="2867"/>
      <c r="BA712" s="2867"/>
      <c r="BB712" s="2867"/>
      <c r="BC712" s="2867"/>
      <c r="BD712" s="2867"/>
      <c r="BE712" s="2867"/>
      <c r="BF712" s="2867"/>
      <c r="BG712" s="2867"/>
      <c r="BH712" s="2867"/>
      <c r="BI712" s="2867"/>
      <c r="BJ712" s="2867"/>
      <c r="BK712" s="2867"/>
      <c r="BL712" s="2867"/>
      <c r="BM712" s="2867"/>
      <c r="BN712" s="2867"/>
      <c r="BO712" s="2867"/>
      <c r="BP712" s="2867"/>
      <c r="BQ712" s="2867"/>
      <c r="BR712" s="2867"/>
      <c r="BS712" s="2867"/>
      <c r="BT712" s="2867"/>
      <c r="BU712" s="2867"/>
      <c r="BV712" s="2867"/>
      <c r="BW712" s="2867"/>
      <c r="BX712" s="2867"/>
      <c r="BY712" s="2867"/>
      <c r="BZ712" s="2867"/>
      <c r="CA712" s="2867"/>
      <c r="CB712" s="2867"/>
      <c r="CC712" s="2867"/>
      <c r="CD712" s="2867"/>
      <c r="CE712" s="2867"/>
      <c r="CF712" s="2867"/>
      <c r="CG712" s="2867"/>
      <c r="CH712" s="2867"/>
      <c r="CI712" s="2867"/>
      <c r="CJ712" s="2867"/>
      <c r="CK712" s="2867"/>
      <c r="CL712" s="2867"/>
      <c r="CM712" s="2867"/>
      <c r="CN712" s="2867"/>
      <c r="CO712" s="2867"/>
      <c r="CP712" s="2867"/>
      <c r="CQ712" s="2867"/>
      <c r="CR712" s="2867"/>
      <c r="CS712" s="2867"/>
      <c r="CT712" s="2867"/>
      <c r="CU712" s="2867"/>
      <c r="CV712" s="2867"/>
      <c r="CW712" s="2867"/>
    </row>
    <row r="713" spans="1:101">
      <c r="A713" s="2867"/>
      <c r="B713" s="2867"/>
      <c r="C713" s="2867"/>
      <c r="D713" s="2867"/>
      <c r="E713" s="2867"/>
      <c r="F713" s="2867"/>
      <c r="G713" s="2867"/>
      <c r="H713" s="2867"/>
      <c r="I713" s="2867"/>
      <c r="J713" s="2867"/>
      <c r="K713" s="2867"/>
      <c r="L713" s="2867"/>
      <c r="M713" s="2867"/>
      <c r="O713" s="2867"/>
      <c r="P713" s="2867"/>
      <c r="Q713" s="2867"/>
      <c r="R713" s="2867"/>
      <c r="S713" s="2867"/>
      <c r="T713" s="2867"/>
      <c r="U713" s="2867"/>
      <c r="V713" s="2867"/>
      <c r="W713" s="2867"/>
      <c r="X713" s="2867"/>
      <c r="Y713" s="2867"/>
      <c r="Z713" s="2867"/>
      <c r="AA713" s="2867"/>
      <c r="AB713" s="2867"/>
      <c r="AC713" s="2867"/>
      <c r="AD713" s="2867"/>
      <c r="AE713" s="2867"/>
      <c r="AF713" s="2867"/>
      <c r="AG713" s="2867"/>
      <c r="AH713" s="2867"/>
      <c r="AI713" s="2867"/>
      <c r="AJ713" s="2867"/>
      <c r="AK713" s="2867"/>
      <c r="AL713" s="2867"/>
      <c r="AM713" s="2867"/>
      <c r="AN713" s="2867"/>
      <c r="AO713" s="2867"/>
      <c r="AP713" s="2867"/>
      <c r="AQ713" s="2867"/>
      <c r="AR713" s="2867"/>
      <c r="AS713" s="2867"/>
      <c r="AT713" s="2867"/>
      <c r="AU713" s="2867"/>
      <c r="AV713" s="2867"/>
      <c r="AW713" s="2867"/>
      <c r="AX713" s="2867"/>
      <c r="AY713" s="2867"/>
      <c r="AZ713" s="2867"/>
      <c r="BA713" s="2867"/>
      <c r="BB713" s="2867"/>
      <c r="BC713" s="2867"/>
      <c r="BD713" s="2867"/>
      <c r="BE713" s="2867"/>
      <c r="BF713" s="2867"/>
      <c r="BG713" s="2867"/>
      <c r="BH713" s="2867"/>
      <c r="BI713" s="2867"/>
      <c r="BJ713" s="2867"/>
      <c r="BK713" s="2867"/>
      <c r="BL713" s="2867"/>
      <c r="BM713" s="2867"/>
      <c r="BN713" s="2867"/>
      <c r="BO713" s="2867"/>
      <c r="BP713" s="2867"/>
      <c r="BQ713" s="2867"/>
      <c r="BR713" s="2867"/>
      <c r="BS713" s="2867"/>
      <c r="BT713" s="2867"/>
      <c r="BU713" s="2867"/>
      <c r="BV713" s="2867"/>
      <c r="BW713" s="2867"/>
      <c r="BX713" s="2867"/>
      <c r="BY713" s="2867"/>
      <c r="BZ713" s="2867"/>
      <c r="CA713" s="2867"/>
      <c r="CB713" s="2867"/>
      <c r="CC713" s="2867"/>
      <c r="CD713" s="2867"/>
      <c r="CE713" s="2867"/>
      <c r="CF713" s="2867"/>
      <c r="CG713" s="2867"/>
      <c r="CH713" s="2867"/>
      <c r="CI713" s="2867"/>
      <c r="CJ713" s="2867"/>
      <c r="CK713" s="2867"/>
      <c r="CL713" s="2867"/>
      <c r="CM713" s="2867"/>
      <c r="CN713" s="2867"/>
      <c r="CO713" s="2867"/>
      <c r="CP713" s="2867"/>
      <c r="CQ713" s="2867"/>
      <c r="CR713" s="2867"/>
      <c r="CS713" s="2867"/>
      <c r="CT713" s="2867"/>
      <c r="CU713" s="2867"/>
      <c r="CV713" s="2867"/>
      <c r="CW713" s="2867"/>
    </row>
    <row r="714" spans="1:101">
      <c r="A714" s="2867"/>
      <c r="B714" s="2867"/>
      <c r="C714" s="2867"/>
      <c r="D714" s="2867"/>
      <c r="E714" s="2867"/>
      <c r="F714" s="2867"/>
      <c r="G714" s="2867"/>
      <c r="H714" s="2867"/>
      <c r="I714" s="2867"/>
      <c r="J714" s="2867"/>
      <c r="K714" s="2867"/>
      <c r="L714" s="2867"/>
      <c r="M714" s="2867"/>
      <c r="O714" s="2867"/>
      <c r="P714" s="2867"/>
      <c r="Q714" s="2867"/>
      <c r="R714" s="2867"/>
      <c r="S714" s="2867"/>
      <c r="T714" s="2867"/>
      <c r="U714" s="2867"/>
      <c r="V714" s="2867"/>
      <c r="W714" s="2867"/>
      <c r="X714" s="2867"/>
      <c r="Y714" s="2867"/>
      <c r="Z714" s="2867"/>
      <c r="AA714" s="2867"/>
      <c r="AB714" s="2867"/>
      <c r="AC714" s="2867"/>
      <c r="AD714" s="2867"/>
      <c r="AE714" s="2867"/>
      <c r="AF714" s="2867"/>
      <c r="AG714" s="2867"/>
      <c r="AH714" s="2867"/>
      <c r="AI714" s="2867"/>
      <c r="AJ714" s="2867"/>
      <c r="AK714" s="2867"/>
      <c r="AL714" s="2867"/>
      <c r="AM714" s="2867"/>
      <c r="AN714" s="2867"/>
      <c r="AO714" s="2867"/>
      <c r="AP714" s="2867"/>
      <c r="AQ714" s="2867"/>
      <c r="AR714" s="2867"/>
      <c r="AS714" s="2867"/>
      <c r="AT714" s="2867"/>
      <c r="AU714" s="2867"/>
      <c r="AV714" s="2867"/>
      <c r="AW714" s="2867"/>
      <c r="AX714" s="2867"/>
      <c r="AY714" s="2867"/>
      <c r="AZ714" s="2867"/>
      <c r="BA714" s="2867"/>
      <c r="BB714" s="2867"/>
      <c r="BC714" s="2867"/>
      <c r="BD714" s="2867"/>
      <c r="BE714" s="2867"/>
      <c r="BF714" s="2867"/>
      <c r="BG714" s="2867"/>
      <c r="BH714" s="2867"/>
      <c r="BI714" s="2867"/>
      <c r="BJ714" s="2867"/>
      <c r="BK714" s="2867"/>
      <c r="BL714" s="2867"/>
      <c r="BM714" s="2867"/>
      <c r="BN714" s="2867"/>
      <c r="BO714" s="2867"/>
      <c r="BP714" s="2867"/>
      <c r="BQ714" s="2867"/>
      <c r="BR714" s="2867"/>
      <c r="BS714" s="2867"/>
      <c r="BT714" s="2867"/>
      <c r="BU714" s="2867"/>
      <c r="BV714" s="2867"/>
      <c r="BW714" s="2867"/>
      <c r="BX714" s="2867"/>
      <c r="BY714" s="2867"/>
      <c r="BZ714" s="2867"/>
      <c r="CA714" s="2867"/>
      <c r="CB714" s="2867"/>
      <c r="CC714" s="2867"/>
      <c r="CD714" s="2867"/>
      <c r="CE714" s="2867"/>
      <c r="CF714" s="2867"/>
      <c r="CG714" s="2867"/>
      <c r="CH714" s="2867"/>
      <c r="CI714" s="2867"/>
      <c r="CJ714" s="2867"/>
      <c r="CK714" s="2867"/>
      <c r="CL714" s="2867"/>
      <c r="CM714" s="2867"/>
      <c r="CN714" s="2867"/>
      <c r="CO714" s="2867"/>
      <c r="CP714" s="2867"/>
      <c r="CQ714" s="2867"/>
      <c r="CR714" s="2867"/>
      <c r="CS714" s="2867"/>
      <c r="CT714" s="2867"/>
      <c r="CU714" s="2867"/>
      <c r="CV714" s="2867"/>
      <c r="CW714" s="2867"/>
    </row>
    <row r="715" spans="1:101">
      <c r="A715" s="2867"/>
      <c r="B715" s="2867"/>
      <c r="C715" s="2867"/>
      <c r="D715" s="2867"/>
      <c r="E715" s="2867"/>
      <c r="F715" s="2867"/>
      <c r="G715" s="2867"/>
      <c r="H715" s="2867"/>
      <c r="I715" s="2867"/>
      <c r="J715" s="2867"/>
      <c r="K715" s="2867"/>
      <c r="L715" s="2867"/>
      <c r="M715" s="2867"/>
      <c r="O715" s="2867"/>
      <c r="P715" s="2867"/>
      <c r="Q715" s="2867"/>
      <c r="R715" s="2867"/>
      <c r="S715" s="2867"/>
      <c r="T715" s="2867"/>
      <c r="U715" s="2867"/>
      <c r="V715" s="2867"/>
      <c r="W715" s="2867"/>
      <c r="X715" s="2867"/>
      <c r="Y715" s="2867"/>
      <c r="Z715" s="2867"/>
      <c r="AA715" s="2867"/>
      <c r="AB715" s="2867"/>
      <c r="AC715" s="2867"/>
      <c r="AD715" s="2867"/>
      <c r="AE715" s="2867"/>
      <c r="AF715" s="2867"/>
      <c r="AG715" s="2867"/>
      <c r="AH715" s="2867"/>
      <c r="AI715" s="2867"/>
      <c r="AJ715" s="2867"/>
      <c r="AK715" s="2867"/>
      <c r="AL715" s="2867"/>
      <c r="AM715" s="2867"/>
      <c r="AN715" s="2867"/>
      <c r="AO715" s="2867"/>
      <c r="AP715" s="2867"/>
      <c r="AQ715" s="2867"/>
      <c r="AR715" s="2867"/>
      <c r="AS715" s="2867"/>
      <c r="AT715" s="2867"/>
      <c r="AU715" s="2867"/>
      <c r="AV715" s="2867"/>
      <c r="AW715" s="2867"/>
      <c r="AX715" s="2867"/>
      <c r="AY715" s="2867"/>
      <c r="AZ715" s="2867"/>
      <c r="BA715" s="2867"/>
      <c r="BB715" s="2867"/>
      <c r="BC715" s="2867"/>
      <c r="BD715" s="2867"/>
      <c r="BE715" s="2867"/>
      <c r="BF715" s="2867"/>
      <c r="BG715" s="2867"/>
      <c r="BH715" s="2867"/>
      <c r="BI715" s="2867"/>
      <c r="BJ715" s="2867"/>
      <c r="BK715" s="2867"/>
      <c r="BL715" s="2867"/>
      <c r="BM715" s="2867"/>
      <c r="BN715" s="2867"/>
      <c r="BO715" s="2867"/>
      <c r="BP715" s="2867"/>
      <c r="BQ715" s="2867"/>
      <c r="BR715" s="2867"/>
      <c r="BS715" s="2867"/>
      <c r="BT715" s="2867"/>
      <c r="BU715" s="2867"/>
      <c r="BV715" s="2867"/>
      <c r="BW715" s="2867"/>
      <c r="BX715" s="2867"/>
      <c r="BY715" s="2867"/>
      <c r="BZ715" s="2867"/>
      <c r="CA715" s="2867"/>
      <c r="CB715" s="2867"/>
      <c r="CC715" s="2867"/>
      <c r="CD715" s="2867"/>
      <c r="CE715" s="2867"/>
      <c r="CF715" s="2867"/>
      <c r="CG715" s="2867"/>
      <c r="CH715" s="2867"/>
      <c r="CI715" s="2867"/>
      <c r="CJ715" s="2867"/>
      <c r="CK715" s="2867"/>
      <c r="CL715" s="2867"/>
      <c r="CM715" s="2867"/>
      <c r="CN715" s="2867"/>
      <c r="CO715" s="2867"/>
      <c r="CP715" s="2867"/>
      <c r="CQ715" s="2867"/>
      <c r="CR715" s="2867"/>
      <c r="CS715" s="2867"/>
      <c r="CT715" s="2867"/>
      <c r="CU715" s="2867"/>
      <c r="CV715" s="2867"/>
      <c r="CW715" s="2867"/>
    </row>
    <row r="716" spans="1:101">
      <c r="A716" s="2867"/>
      <c r="B716" s="2867"/>
      <c r="C716" s="2867"/>
      <c r="D716" s="2867"/>
      <c r="E716" s="2867"/>
      <c r="F716" s="2867"/>
      <c r="G716" s="2867"/>
      <c r="H716" s="2867"/>
      <c r="I716" s="2867"/>
      <c r="J716" s="2867"/>
      <c r="K716" s="2867"/>
      <c r="L716" s="2867"/>
      <c r="M716" s="2867"/>
      <c r="O716" s="2867"/>
      <c r="P716" s="2867"/>
      <c r="Q716" s="2867"/>
      <c r="R716" s="2867"/>
      <c r="S716" s="2867"/>
      <c r="T716" s="2867"/>
      <c r="U716" s="2867"/>
      <c r="V716" s="2867"/>
      <c r="W716" s="2867"/>
      <c r="X716" s="2867"/>
      <c r="Y716" s="2867"/>
      <c r="Z716" s="2867"/>
      <c r="AA716" s="2867"/>
      <c r="AB716" s="2867"/>
      <c r="AC716" s="2867"/>
      <c r="AD716" s="2867"/>
      <c r="AE716" s="2867"/>
      <c r="AF716" s="2867"/>
      <c r="AG716" s="2867"/>
      <c r="AH716" s="2867"/>
      <c r="AI716" s="2867"/>
      <c r="AJ716" s="2867"/>
      <c r="AK716" s="2867"/>
      <c r="AL716" s="2867"/>
      <c r="AM716" s="2867"/>
      <c r="AN716" s="2867"/>
      <c r="AO716" s="2867"/>
      <c r="AP716" s="2867"/>
      <c r="AQ716" s="2867"/>
      <c r="AR716" s="2867"/>
      <c r="AS716" s="2867"/>
      <c r="AT716" s="2867"/>
      <c r="AU716" s="2867"/>
      <c r="AV716" s="2867"/>
      <c r="AW716" s="2867"/>
      <c r="AX716" s="2867"/>
      <c r="AY716" s="2867"/>
      <c r="AZ716" s="2867"/>
      <c r="BA716" s="2867"/>
      <c r="BB716" s="2867"/>
      <c r="BC716" s="2867"/>
      <c r="BD716" s="2867"/>
      <c r="BE716" s="2867"/>
      <c r="BF716" s="2867"/>
      <c r="BG716" s="2867"/>
      <c r="BH716" s="2867"/>
      <c r="BI716" s="2867"/>
      <c r="BJ716" s="2867"/>
      <c r="BK716" s="2867"/>
      <c r="BL716" s="2867"/>
      <c r="BM716" s="2867"/>
      <c r="BN716" s="2867"/>
      <c r="BO716" s="2867"/>
      <c r="BP716" s="2867"/>
      <c r="BQ716" s="2867"/>
      <c r="BR716" s="2867"/>
      <c r="BS716" s="2867"/>
      <c r="BT716" s="2867"/>
      <c r="BU716" s="2867"/>
      <c r="BV716" s="2867"/>
      <c r="BW716" s="2867"/>
      <c r="BX716" s="2867"/>
      <c r="BY716" s="2867"/>
      <c r="BZ716" s="2867"/>
      <c r="CA716" s="2867"/>
      <c r="CB716" s="2867"/>
      <c r="CC716" s="2867"/>
      <c r="CD716" s="2867"/>
      <c r="CE716" s="2867"/>
      <c r="CF716" s="2867"/>
      <c r="CG716" s="2867"/>
      <c r="CH716" s="2867"/>
      <c r="CI716" s="2867"/>
      <c r="CJ716" s="2867"/>
      <c r="CK716" s="2867"/>
      <c r="CL716" s="2867"/>
      <c r="CM716" s="2867"/>
      <c r="CN716" s="2867"/>
      <c r="CO716" s="2867"/>
      <c r="CP716" s="2867"/>
      <c r="CQ716" s="2867"/>
      <c r="CR716" s="2867"/>
      <c r="CS716" s="2867"/>
      <c r="CT716" s="2867"/>
      <c r="CU716" s="2867"/>
      <c r="CV716" s="2867"/>
      <c r="CW716" s="2867"/>
    </row>
    <row r="717" spans="1:101">
      <c r="A717" s="2867"/>
      <c r="B717" s="2867"/>
      <c r="C717" s="2867"/>
      <c r="D717" s="2867"/>
      <c r="E717" s="2867"/>
      <c r="F717" s="2867"/>
      <c r="G717" s="2867"/>
      <c r="H717" s="2867"/>
      <c r="I717" s="2867"/>
      <c r="J717" s="2867"/>
      <c r="K717" s="2867"/>
      <c r="L717" s="2867"/>
      <c r="M717" s="2867"/>
      <c r="O717" s="2867"/>
      <c r="P717" s="2867"/>
      <c r="Q717" s="2867"/>
      <c r="R717" s="2867"/>
      <c r="S717" s="2867"/>
      <c r="T717" s="2867"/>
      <c r="U717" s="2867"/>
      <c r="V717" s="2867"/>
      <c r="W717" s="2867"/>
      <c r="X717" s="2867"/>
      <c r="Y717" s="2867"/>
      <c r="Z717" s="2867"/>
      <c r="AA717" s="2867"/>
      <c r="AB717" s="2867"/>
      <c r="AC717" s="2867"/>
      <c r="AD717" s="2867"/>
      <c r="AE717" s="2867"/>
      <c r="AF717" s="2867"/>
      <c r="AG717" s="2867"/>
      <c r="AH717" s="2867"/>
      <c r="AI717" s="2867"/>
      <c r="AJ717" s="2867"/>
      <c r="AK717" s="2867"/>
      <c r="AL717" s="2867"/>
      <c r="AM717" s="2867"/>
      <c r="AN717" s="2867"/>
      <c r="AO717" s="2867"/>
      <c r="AP717" s="2867"/>
      <c r="AQ717" s="2867"/>
      <c r="AR717" s="2867"/>
      <c r="AS717" s="2867"/>
      <c r="AT717" s="2867"/>
      <c r="AU717" s="2867"/>
      <c r="AV717" s="2867"/>
      <c r="AW717" s="2867"/>
      <c r="AX717" s="2867"/>
      <c r="AY717" s="2867"/>
      <c r="AZ717" s="2867"/>
      <c r="BA717" s="2867"/>
      <c r="BB717" s="2867"/>
      <c r="BC717" s="2867"/>
      <c r="BD717" s="2867"/>
      <c r="BE717" s="2867"/>
      <c r="BF717" s="2867"/>
      <c r="BG717" s="2867"/>
      <c r="BH717" s="2867"/>
      <c r="BI717" s="2867"/>
      <c r="BJ717" s="2867"/>
      <c r="BK717" s="2867"/>
      <c r="BL717" s="2867"/>
      <c r="BM717" s="2867"/>
      <c r="BN717" s="2867"/>
      <c r="BO717" s="2867"/>
      <c r="BP717" s="2867"/>
      <c r="BQ717" s="2867"/>
      <c r="BR717" s="2867"/>
      <c r="BS717" s="2867"/>
      <c r="BT717" s="2867"/>
      <c r="BU717" s="2867"/>
      <c r="BV717" s="2867"/>
      <c r="BW717" s="2867"/>
      <c r="BX717" s="2867"/>
      <c r="BY717" s="2867"/>
      <c r="BZ717" s="2867"/>
      <c r="CA717" s="2867"/>
      <c r="CB717" s="2867"/>
      <c r="CC717" s="2867"/>
      <c r="CD717" s="2867"/>
      <c r="CE717" s="2867"/>
      <c r="CF717" s="2867"/>
      <c r="CG717" s="2867"/>
      <c r="CH717" s="2867"/>
      <c r="CI717" s="2867"/>
      <c r="CJ717" s="2867"/>
      <c r="CK717" s="2867"/>
      <c r="CL717" s="2867"/>
      <c r="CM717" s="2867"/>
      <c r="CN717" s="2867"/>
      <c r="CO717" s="2867"/>
      <c r="CP717" s="2867"/>
      <c r="CQ717" s="2867"/>
      <c r="CR717" s="2867"/>
      <c r="CS717" s="2867"/>
      <c r="CT717" s="2867"/>
      <c r="CU717" s="2867"/>
      <c r="CV717" s="2867"/>
      <c r="CW717" s="2867"/>
    </row>
    <row r="718" spans="1:101">
      <c r="A718" s="2867"/>
      <c r="B718" s="2867"/>
      <c r="C718" s="2867"/>
      <c r="D718" s="2867"/>
      <c r="E718" s="2867"/>
      <c r="F718" s="2867"/>
      <c r="G718" s="2867"/>
      <c r="H718" s="2867"/>
      <c r="I718" s="2867"/>
      <c r="J718" s="2867"/>
      <c r="K718" s="2867"/>
      <c r="L718" s="2867"/>
      <c r="M718" s="2867"/>
      <c r="O718" s="2867"/>
      <c r="P718" s="2867"/>
      <c r="Q718" s="2867"/>
      <c r="R718" s="2867"/>
      <c r="S718" s="2867"/>
      <c r="T718" s="2867"/>
      <c r="U718" s="2867"/>
      <c r="V718" s="2867"/>
      <c r="W718" s="2867"/>
      <c r="X718" s="2867"/>
      <c r="Y718" s="2867"/>
      <c r="Z718" s="2867"/>
      <c r="AA718" s="2867"/>
      <c r="AB718" s="2867"/>
      <c r="AC718" s="2867"/>
      <c r="AD718" s="2867"/>
      <c r="AE718" s="2867"/>
      <c r="AF718" s="2867"/>
      <c r="AG718" s="2867"/>
      <c r="AH718" s="2867"/>
      <c r="AI718" s="2867"/>
      <c r="AJ718" s="2867"/>
      <c r="AK718" s="2867"/>
      <c r="AL718" s="2867"/>
      <c r="AM718" s="2867"/>
      <c r="AN718" s="2867"/>
      <c r="AO718" s="2867"/>
      <c r="AP718" s="2867"/>
      <c r="AQ718" s="2867"/>
      <c r="AR718" s="2867"/>
      <c r="AS718" s="2867"/>
      <c r="AT718" s="2867"/>
      <c r="AU718" s="2867"/>
      <c r="AV718" s="2867"/>
      <c r="AW718" s="2867"/>
      <c r="AX718" s="2867"/>
      <c r="AY718" s="2867"/>
      <c r="AZ718" s="2867"/>
      <c r="BA718" s="2867"/>
      <c r="BB718" s="2867"/>
      <c r="BC718" s="2867"/>
      <c r="BD718" s="2867"/>
      <c r="BE718" s="2867"/>
      <c r="BF718" s="2867"/>
      <c r="BG718" s="2867"/>
      <c r="BH718" s="2867"/>
      <c r="BI718" s="2867"/>
      <c r="BJ718" s="2867"/>
      <c r="BK718" s="2867"/>
      <c r="BL718" s="2867"/>
      <c r="BM718" s="2867"/>
      <c r="BN718" s="2867"/>
      <c r="BO718" s="2867"/>
      <c r="BP718" s="2867"/>
      <c r="BQ718" s="2867"/>
      <c r="BR718" s="2867"/>
      <c r="BS718" s="2867"/>
      <c r="BT718" s="2867"/>
      <c r="BU718" s="2867"/>
      <c r="BV718" s="2867"/>
      <c r="BW718" s="2867"/>
      <c r="BX718" s="2867"/>
      <c r="BY718" s="2867"/>
      <c r="BZ718" s="2867"/>
      <c r="CA718" s="2867"/>
      <c r="CB718" s="2867"/>
      <c r="CC718" s="2867"/>
      <c r="CD718" s="2867"/>
      <c r="CE718" s="2867"/>
      <c r="CF718" s="2867"/>
      <c r="CG718" s="2867"/>
      <c r="CH718" s="2867"/>
      <c r="CI718" s="2867"/>
      <c r="CJ718" s="2867"/>
      <c r="CK718" s="2867"/>
      <c r="CL718" s="2867"/>
      <c r="CM718" s="2867"/>
      <c r="CN718" s="2867"/>
      <c r="CO718" s="2867"/>
      <c r="CP718" s="2867"/>
      <c r="CQ718" s="2867"/>
      <c r="CR718" s="2867"/>
      <c r="CS718" s="2867"/>
      <c r="CT718" s="2867"/>
      <c r="CU718" s="2867"/>
      <c r="CV718" s="2867"/>
      <c r="CW718" s="2867"/>
    </row>
    <row r="719" spans="1:101">
      <c r="A719" s="2867"/>
      <c r="B719" s="2867"/>
      <c r="C719" s="2867"/>
      <c r="D719" s="2867"/>
      <c r="E719" s="2867"/>
      <c r="F719" s="2867"/>
      <c r="G719" s="2867"/>
      <c r="H719" s="2867"/>
      <c r="I719" s="2867"/>
      <c r="J719" s="2867"/>
      <c r="K719" s="2867"/>
      <c r="L719" s="2867"/>
      <c r="M719" s="2867"/>
      <c r="O719" s="2867"/>
      <c r="P719" s="2867"/>
      <c r="Q719" s="2867"/>
      <c r="R719" s="2867"/>
      <c r="S719" s="2867"/>
      <c r="T719" s="2867"/>
      <c r="U719" s="2867"/>
      <c r="V719" s="2867"/>
      <c r="W719" s="2867"/>
      <c r="X719" s="2867"/>
      <c r="Y719" s="2867"/>
      <c r="Z719" s="2867"/>
      <c r="AA719" s="2867"/>
      <c r="AB719" s="2867"/>
      <c r="AC719" s="2867"/>
      <c r="AD719" s="2867"/>
      <c r="AE719" s="2867"/>
      <c r="AF719" s="2867"/>
      <c r="AG719" s="2867"/>
      <c r="AH719" s="2867"/>
      <c r="AI719" s="2867"/>
      <c r="AJ719" s="2867"/>
      <c r="AK719" s="2867"/>
      <c r="AL719" s="2867"/>
      <c r="AM719" s="2867"/>
      <c r="AN719" s="2867"/>
      <c r="AO719" s="2867"/>
      <c r="AP719" s="2867"/>
      <c r="AQ719" s="2867"/>
      <c r="AR719" s="2867"/>
      <c r="AS719" s="2867"/>
      <c r="AT719" s="2867"/>
      <c r="AU719" s="2867"/>
      <c r="AV719" s="2867"/>
      <c r="AW719" s="2867"/>
      <c r="AX719" s="2867"/>
      <c r="AY719" s="2867"/>
      <c r="AZ719" s="2867"/>
      <c r="BA719" s="2867"/>
      <c r="BB719" s="2867"/>
      <c r="BC719" s="2867"/>
      <c r="BD719" s="2867"/>
      <c r="BE719" s="2867"/>
      <c r="BF719" s="2867"/>
      <c r="BG719" s="2867"/>
      <c r="BH719" s="2867"/>
      <c r="BI719" s="2867"/>
      <c r="BJ719" s="2867"/>
      <c r="BK719" s="2867"/>
      <c r="BL719" s="2867"/>
      <c r="BM719" s="2867"/>
      <c r="BN719" s="2867"/>
      <c r="BO719" s="2867"/>
      <c r="BP719" s="2867"/>
      <c r="BQ719" s="2867"/>
      <c r="BR719" s="2867"/>
      <c r="BS719" s="2867"/>
      <c r="BT719" s="2867"/>
      <c r="BU719" s="2867"/>
      <c r="BV719" s="2867"/>
      <c r="BW719" s="2867"/>
      <c r="BX719" s="2867"/>
      <c r="BY719" s="2867"/>
      <c r="BZ719" s="2867"/>
      <c r="CA719" s="2867"/>
      <c r="CB719" s="2867"/>
      <c r="CC719" s="2867"/>
      <c r="CD719" s="2867"/>
      <c r="CE719" s="2867"/>
      <c r="CF719" s="2867"/>
      <c r="CG719" s="2867"/>
      <c r="CH719" s="2867"/>
      <c r="CI719" s="2867"/>
      <c r="CJ719" s="2867"/>
      <c r="CK719" s="2867"/>
      <c r="CL719" s="2867"/>
      <c r="CM719" s="2867"/>
      <c r="CN719" s="2867"/>
      <c r="CO719" s="2867"/>
      <c r="CP719" s="2867"/>
      <c r="CQ719" s="2867"/>
      <c r="CR719" s="2867"/>
      <c r="CS719" s="2867"/>
      <c r="CT719" s="2867"/>
      <c r="CU719" s="2867"/>
      <c r="CV719" s="2867"/>
      <c r="CW719" s="2867"/>
    </row>
    <row r="720" spans="1:101">
      <c r="A720" s="2867"/>
      <c r="B720" s="2867"/>
      <c r="C720" s="2867"/>
      <c r="D720" s="2867"/>
      <c r="E720" s="2867"/>
      <c r="F720" s="2867"/>
      <c r="G720" s="2867"/>
      <c r="H720" s="2867"/>
      <c r="I720" s="2867"/>
      <c r="J720" s="2867"/>
      <c r="K720" s="2867"/>
      <c r="L720" s="2867"/>
      <c r="M720" s="2867"/>
      <c r="O720" s="2867"/>
      <c r="P720" s="2867"/>
      <c r="Q720" s="2867"/>
      <c r="R720" s="2867"/>
      <c r="S720" s="2867"/>
      <c r="T720" s="2867"/>
      <c r="U720" s="2867"/>
      <c r="V720" s="2867"/>
      <c r="W720" s="2867"/>
      <c r="X720" s="2867"/>
      <c r="Y720" s="2867"/>
      <c r="Z720" s="2867"/>
      <c r="AA720" s="2867"/>
      <c r="AB720" s="2867"/>
      <c r="AC720" s="2867"/>
      <c r="AD720" s="2867"/>
      <c r="AE720" s="2867"/>
      <c r="AF720" s="2867"/>
      <c r="AG720" s="2867"/>
      <c r="AH720" s="2867"/>
      <c r="AI720" s="2867"/>
      <c r="AJ720" s="2867"/>
      <c r="AK720" s="2867"/>
      <c r="AL720" s="2867"/>
      <c r="AM720" s="2867"/>
      <c r="AN720" s="2867"/>
      <c r="AO720" s="2867"/>
      <c r="AP720" s="2867"/>
      <c r="AQ720" s="2867"/>
      <c r="AR720" s="2867"/>
      <c r="AS720" s="2867"/>
      <c r="AT720" s="2867"/>
      <c r="AU720" s="2867"/>
      <c r="AV720" s="2867"/>
      <c r="AW720" s="2867"/>
      <c r="AX720" s="2867"/>
      <c r="AY720" s="2867"/>
      <c r="AZ720" s="2867"/>
      <c r="BA720" s="2867"/>
      <c r="BB720" s="2867"/>
      <c r="BC720" s="2867"/>
      <c r="BD720" s="2867"/>
      <c r="BE720" s="2867"/>
      <c r="BF720" s="2867"/>
      <c r="BG720" s="2867"/>
      <c r="BH720" s="2867"/>
      <c r="BI720" s="2867"/>
      <c r="BJ720" s="2867"/>
      <c r="BK720" s="2867"/>
      <c r="BL720" s="2867"/>
      <c r="BM720" s="2867"/>
      <c r="BN720" s="2867"/>
      <c r="BO720" s="2867"/>
      <c r="BP720" s="2867"/>
      <c r="BQ720" s="2867"/>
      <c r="BR720" s="2867"/>
      <c r="BS720" s="2867"/>
      <c r="BT720" s="2867"/>
      <c r="BU720" s="2867"/>
      <c r="BV720" s="2867"/>
      <c r="BW720" s="2867"/>
      <c r="BX720" s="2867"/>
      <c r="BY720" s="2867"/>
      <c r="BZ720" s="2867"/>
      <c r="CA720" s="2867"/>
      <c r="CB720" s="2867"/>
      <c r="CC720" s="2867"/>
      <c r="CD720" s="2867"/>
      <c r="CE720" s="2867"/>
      <c r="CF720" s="2867"/>
      <c r="CG720" s="2867"/>
      <c r="CH720" s="2867"/>
      <c r="CI720" s="2867"/>
      <c r="CJ720" s="2867"/>
      <c r="CK720" s="2867"/>
      <c r="CL720" s="2867"/>
      <c r="CM720" s="2867"/>
      <c r="CN720" s="2867"/>
      <c r="CO720" s="2867"/>
      <c r="CP720" s="2867"/>
      <c r="CQ720" s="2867"/>
      <c r="CR720" s="2867"/>
      <c r="CS720" s="2867"/>
      <c r="CT720" s="2867"/>
      <c r="CU720" s="2867"/>
      <c r="CV720" s="2867"/>
      <c r="CW720" s="2867"/>
    </row>
    <row r="721" spans="1:101">
      <c r="A721" s="2867"/>
      <c r="B721" s="2867"/>
      <c r="C721" s="2867"/>
      <c r="D721" s="2867"/>
      <c r="E721" s="2867"/>
      <c r="F721" s="2867"/>
      <c r="G721" s="2867"/>
      <c r="H721" s="2867"/>
      <c r="I721" s="2867"/>
      <c r="J721" s="2867"/>
      <c r="K721" s="2867"/>
      <c r="L721" s="2867"/>
      <c r="M721" s="2867"/>
      <c r="O721" s="2867"/>
      <c r="P721" s="2867"/>
      <c r="Q721" s="2867"/>
      <c r="R721" s="2867"/>
      <c r="S721" s="2867"/>
      <c r="T721" s="2867"/>
      <c r="U721" s="2867"/>
      <c r="V721" s="2867"/>
      <c r="W721" s="2867"/>
      <c r="X721" s="2867"/>
      <c r="Y721" s="2867"/>
      <c r="Z721" s="2867"/>
      <c r="AA721" s="2867"/>
      <c r="AB721" s="2867"/>
      <c r="AC721" s="2867"/>
      <c r="AD721" s="2867"/>
      <c r="AE721" s="2867"/>
      <c r="AF721" s="2867"/>
      <c r="AG721" s="2867"/>
      <c r="AH721" s="2867"/>
      <c r="AI721" s="2867"/>
      <c r="AJ721" s="2867"/>
      <c r="AK721" s="2867"/>
      <c r="AL721" s="2867"/>
      <c r="AM721" s="2867"/>
      <c r="AN721" s="2867"/>
      <c r="AO721" s="2867"/>
      <c r="AP721" s="2867"/>
      <c r="AQ721" s="2867"/>
      <c r="AR721" s="2867"/>
      <c r="AS721" s="2867"/>
      <c r="AT721" s="2867"/>
      <c r="AU721" s="2867"/>
      <c r="AV721" s="2867"/>
      <c r="AW721" s="2867"/>
      <c r="AX721" s="2867"/>
      <c r="AY721" s="2867"/>
      <c r="AZ721" s="2867"/>
      <c r="BA721" s="2867"/>
      <c r="BB721" s="2867"/>
      <c r="BC721" s="2867"/>
      <c r="BD721" s="2867"/>
      <c r="BE721" s="2867"/>
      <c r="BF721" s="2867"/>
      <c r="BG721" s="2867"/>
      <c r="BH721" s="2867"/>
      <c r="BI721" s="2867"/>
      <c r="BJ721" s="2867"/>
      <c r="BK721" s="2867"/>
      <c r="BL721" s="2867"/>
      <c r="BM721" s="2867"/>
      <c r="BN721" s="2867"/>
      <c r="BO721" s="2867"/>
      <c r="BP721" s="2867"/>
      <c r="BQ721" s="2867"/>
      <c r="BR721" s="2867"/>
      <c r="BS721" s="2867"/>
      <c r="BT721" s="2867"/>
      <c r="BU721" s="2867"/>
      <c r="BV721" s="2867"/>
      <c r="BW721" s="2867"/>
      <c r="BX721" s="2867"/>
      <c r="BY721" s="2867"/>
      <c r="BZ721" s="2867"/>
      <c r="CA721" s="2867"/>
      <c r="CB721" s="2867"/>
      <c r="CC721" s="2867"/>
      <c r="CD721" s="2867"/>
      <c r="CE721" s="2867"/>
      <c r="CF721" s="2867"/>
      <c r="CG721" s="2867"/>
      <c r="CH721" s="2867"/>
      <c r="CI721" s="2867"/>
      <c r="CJ721" s="2867"/>
      <c r="CK721" s="2867"/>
      <c r="CL721" s="2867"/>
      <c r="CM721" s="2867"/>
      <c r="CN721" s="2867"/>
      <c r="CO721" s="2867"/>
      <c r="CP721" s="2867"/>
      <c r="CQ721" s="2867"/>
      <c r="CR721" s="2867"/>
      <c r="CS721" s="2867"/>
      <c r="CT721" s="2867"/>
      <c r="CU721" s="2867"/>
      <c r="CV721" s="2867"/>
      <c r="CW721" s="2867"/>
    </row>
    <row r="722" spans="1:101">
      <c r="A722" s="2867"/>
      <c r="B722" s="2867"/>
      <c r="C722" s="2867"/>
      <c r="D722" s="2867"/>
      <c r="E722" s="2867"/>
      <c r="F722" s="2867"/>
      <c r="G722" s="2867"/>
      <c r="H722" s="2867"/>
      <c r="I722" s="2867"/>
      <c r="J722" s="2867"/>
      <c r="K722" s="2867"/>
      <c r="L722" s="2867"/>
      <c r="M722" s="2867"/>
      <c r="O722" s="2867"/>
      <c r="P722" s="2867"/>
      <c r="Q722" s="2867"/>
      <c r="R722" s="2867"/>
      <c r="S722" s="2867"/>
      <c r="T722" s="2867"/>
      <c r="U722" s="2867"/>
      <c r="V722" s="2867"/>
      <c r="W722" s="2867"/>
      <c r="X722" s="2867"/>
      <c r="Y722" s="2867"/>
      <c r="Z722" s="2867"/>
      <c r="AA722" s="2867"/>
      <c r="AB722" s="2867"/>
      <c r="AC722" s="2867"/>
      <c r="AD722" s="2867"/>
      <c r="AE722" s="2867"/>
      <c r="AF722" s="2867"/>
      <c r="AG722" s="2867"/>
      <c r="AH722" s="2867"/>
      <c r="AI722" s="2867"/>
      <c r="AJ722" s="2867"/>
      <c r="AK722" s="2867"/>
      <c r="AL722" s="2867"/>
      <c r="AM722" s="2867"/>
      <c r="AN722" s="2867"/>
      <c r="AO722" s="2867"/>
      <c r="AP722" s="2867"/>
      <c r="AQ722" s="2867"/>
      <c r="AR722" s="2867"/>
      <c r="AS722" s="2867"/>
      <c r="AT722" s="2867"/>
      <c r="AU722" s="2867"/>
      <c r="AV722" s="2867"/>
      <c r="AW722" s="2867"/>
      <c r="AX722" s="2867"/>
      <c r="AY722" s="2867"/>
      <c r="AZ722" s="2867"/>
      <c r="BA722" s="2867"/>
      <c r="BB722" s="2867"/>
      <c r="BC722" s="2867"/>
      <c r="BD722" s="2867"/>
      <c r="BE722" s="2867"/>
      <c r="BF722" s="2867"/>
      <c r="BG722" s="2867"/>
      <c r="BH722" s="2867"/>
      <c r="BI722" s="2867"/>
      <c r="BJ722" s="2867"/>
      <c r="BK722" s="2867"/>
      <c r="BL722" s="2867"/>
      <c r="BM722" s="2867"/>
      <c r="BN722" s="2867"/>
      <c r="BO722" s="2867"/>
      <c r="BP722" s="2867"/>
      <c r="BQ722" s="2867"/>
      <c r="BR722" s="2867"/>
      <c r="BS722" s="2867"/>
      <c r="BT722" s="2867"/>
      <c r="BU722" s="2867"/>
      <c r="BV722" s="2867"/>
      <c r="BW722" s="2867"/>
      <c r="BX722" s="2867"/>
      <c r="BY722" s="2867"/>
      <c r="BZ722" s="2867"/>
      <c r="CA722" s="2867"/>
      <c r="CB722" s="2867"/>
      <c r="CC722" s="2867"/>
      <c r="CD722" s="2867"/>
      <c r="CE722" s="2867"/>
      <c r="CF722" s="2867"/>
      <c r="CG722" s="2867"/>
      <c r="CH722" s="2867"/>
      <c r="CI722" s="2867"/>
      <c r="CJ722" s="2867"/>
      <c r="CK722" s="2867"/>
      <c r="CL722" s="2867"/>
      <c r="CM722" s="2867"/>
      <c r="CN722" s="2867"/>
      <c r="CO722" s="2867"/>
      <c r="CP722" s="2867"/>
      <c r="CQ722" s="2867"/>
      <c r="CR722" s="2867"/>
      <c r="CS722" s="2867"/>
      <c r="CT722" s="2867"/>
      <c r="CU722" s="2867"/>
      <c r="CV722" s="2867"/>
      <c r="CW722" s="2867"/>
    </row>
    <row r="723" spans="1:101">
      <c r="A723" s="2867"/>
      <c r="B723" s="2867"/>
      <c r="C723" s="2867"/>
      <c r="D723" s="2867"/>
      <c r="E723" s="2867"/>
      <c r="F723" s="2867"/>
      <c r="G723" s="2867"/>
      <c r="H723" s="2867"/>
      <c r="I723" s="2867"/>
      <c r="J723" s="2867"/>
      <c r="K723" s="2867"/>
      <c r="L723" s="2867"/>
      <c r="M723" s="2867"/>
      <c r="O723" s="2867"/>
      <c r="P723" s="2867"/>
      <c r="Q723" s="2867"/>
      <c r="R723" s="2867"/>
      <c r="S723" s="2867"/>
      <c r="T723" s="2867"/>
      <c r="U723" s="2867"/>
      <c r="V723" s="2867"/>
      <c r="W723" s="2867"/>
      <c r="X723" s="2867"/>
      <c r="Y723" s="2867"/>
      <c r="Z723" s="2867"/>
      <c r="AA723" s="2867"/>
      <c r="AB723" s="2867"/>
      <c r="AC723" s="2867"/>
      <c r="AD723" s="2867"/>
      <c r="AE723" s="2867"/>
      <c r="AF723" s="2867"/>
      <c r="AG723" s="2867"/>
      <c r="AH723" s="2867"/>
      <c r="AI723" s="2867"/>
      <c r="AJ723" s="2867"/>
      <c r="AK723" s="2867"/>
      <c r="AL723" s="2867"/>
      <c r="AM723" s="2867"/>
      <c r="AN723" s="2867"/>
      <c r="AO723" s="2867"/>
      <c r="AP723" s="2867"/>
      <c r="AQ723" s="2867"/>
      <c r="AR723" s="2867"/>
      <c r="AS723" s="2867"/>
      <c r="AT723" s="2867"/>
      <c r="AU723" s="2867"/>
      <c r="AV723" s="2867"/>
      <c r="AW723" s="2867"/>
      <c r="AX723" s="2867"/>
      <c r="AY723" s="2867"/>
      <c r="AZ723" s="2867"/>
      <c r="BA723" s="2867"/>
      <c r="BB723" s="2867"/>
      <c r="BC723" s="2867"/>
      <c r="BD723" s="2867"/>
      <c r="BE723" s="2867"/>
      <c r="BF723" s="2867"/>
      <c r="BG723" s="2867"/>
      <c r="BH723" s="2867"/>
      <c r="BI723" s="2867"/>
      <c r="BJ723" s="2867"/>
      <c r="BK723" s="2867"/>
      <c r="BL723" s="2867"/>
      <c r="BM723" s="2867"/>
      <c r="BN723" s="2867"/>
      <c r="BO723" s="2867"/>
      <c r="BP723" s="2867"/>
      <c r="BQ723" s="2867"/>
      <c r="BR723" s="2867"/>
      <c r="BS723" s="2867"/>
      <c r="BT723" s="2867"/>
      <c r="BU723" s="2867"/>
      <c r="BV723" s="2867"/>
      <c r="BW723" s="2867"/>
      <c r="BX723" s="2867"/>
      <c r="BY723" s="2867"/>
      <c r="BZ723" s="2867"/>
      <c r="CA723" s="2867"/>
      <c r="CB723" s="2867"/>
      <c r="CC723" s="2867"/>
      <c r="CD723" s="2867"/>
      <c r="CE723" s="2867"/>
      <c r="CF723" s="2867"/>
      <c r="CG723" s="2867"/>
      <c r="CH723" s="2867"/>
      <c r="CI723" s="2867"/>
      <c r="CJ723" s="2867"/>
      <c r="CK723" s="2867"/>
      <c r="CL723" s="2867"/>
      <c r="CM723" s="2867"/>
      <c r="CN723" s="2867"/>
      <c r="CO723" s="2867"/>
      <c r="CP723" s="2867"/>
      <c r="CQ723" s="2867"/>
      <c r="CR723" s="2867"/>
      <c r="CS723" s="2867"/>
      <c r="CT723" s="2867"/>
      <c r="CU723" s="2867"/>
      <c r="CV723" s="2867"/>
      <c r="CW723" s="2867"/>
    </row>
    <row r="724" spans="1:101">
      <c r="A724" s="2867"/>
      <c r="B724" s="2867"/>
      <c r="C724" s="2867"/>
      <c r="D724" s="2867"/>
      <c r="E724" s="2867"/>
      <c r="F724" s="2867"/>
      <c r="G724" s="2867"/>
      <c r="H724" s="2867"/>
      <c r="I724" s="2867"/>
      <c r="J724" s="2867"/>
      <c r="K724" s="2867"/>
      <c r="L724" s="2867"/>
      <c r="M724" s="2867"/>
      <c r="O724" s="2867"/>
      <c r="P724" s="2867"/>
      <c r="Q724" s="2867"/>
      <c r="R724" s="2867"/>
      <c r="S724" s="2867"/>
      <c r="T724" s="2867"/>
      <c r="U724" s="2867"/>
      <c r="V724" s="2867"/>
      <c r="W724" s="2867"/>
      <c r="X724" s="2867"/>
      <c r="Y724" s="2867"/>
      <c r="Z724" s="2867"/>
      <c r="AA724" s="2867"/>
      <c r="AB724" s="2867"/>
      <c r="AC724" s="2867"/>
      <c r="AD724" s="2867"/>
      <c r="AE724" s="2867"/>
      <c r="AF724" s="2867"/>
      <c r="AG724" s="2867"/>
      <c r="AH724" s="2867"/>
      <c r="AI724" s="2867"/>
      <c r="AJ724" s="2867"/>
      <c r="AK724" s="2867"/>
      <c r="AL724" s="2867"/>
      <c r="AM724" s="2867"/>
      <c r="AN724" s="2867"/>
      <c r="AO724" s="2867"/>
      <c r="AP724" s="2867"/>
      <c r="AQ724" s="2867"/>
      <c r="AR724" s="2867"/>
      <c r="AS724" s="2867"/>
      <c r="AT724" s="2867"/>
      <c r="AU724" s="2867"/>
      <c r="AV724" s="2867"/>
      <c r="AW724" s="2867"/>
      <c r="AX724" s="2867"/>
      <c r="AY724" s="2867"/>
      <c r="AZ724" s="2867"/>
      <c r="BA724" s="2867"/>
      <c r="BB724" s="2867"/>
      <c r="BC724" s="2867"/>
      <c r="BD724" s="2867"/>
      <c r="BE724" s="2867"/>
      <c r="BF724" s="2867"/>
      <c r="BG724" s="2867"/>
      <c r="BH724" s="2867"/>
      <c r="BI724" s="2867"/>
      <c r="BJ724" s="2867"/>
      <c r="BK724" s="2867"/>
      <c r="BL724" s="2867"/>
      <c r="BM724" s="2867"/>
      <c r="BN724" s="2867"/>
      <c r="BO724" s="2867"/>
      <c r="BP724" s="2867"/>
      <c r="BQ724" s="2867"/>
      <c r="BR724" s="2867"/>
      <c r="BS724" s="2867"/>
      <c r="BT724" s="2867"/>
      <c r="BU724" s="2867"/>
      <c r="BV724" s="2867"/>
      <c r="BW724" s="2867"/>
      <c r="BX724" s="2867"/>
      <c r="BY724" s="2867"/>
      <c r="BZ724" s="2867"/>
      <c r="CA724" s="2867"/>
      <c r="CB724" s="2867"/>
      <c r="CC724" s="2867"/>
      <c r="CD724" s="2867"/>
      <c r="CE724" s="2867"/>
      <c r="CF724" s="2867"/>
      <c r="CG724" s="2867"/>
      <c r="CH724" s="2867"/>
      <c r="CI724" s="2867"/>
      <c r="CJ724" s="2867"/>
      <c r="CK724" s="2867"/>
      <c r="CL724" s="2867"/>
      <c r="CM724" s="2867"/>
      <c r="CN724" s="2867"/>
      <c r="CO724" s="2867"/>
      <c r="CP724" s="2867"/>
      <c r="CQ724" s="2867"/>
      <c r="CR724" s="2867"/>
      <c r="CS724" s="2867"/>
      <c r="CT724" s="2867"/>
      <c r="CU724" s="2867"/>
      <c r="CV724" s="2867"/>
      <c r="CW724" s="2867"/>
    </row>
    <row r="725" spans="1:101">
      <c r="A725" s="2867"/>
      <c r="B725" s="2867"/>
      <c r="C725" s="2867"/>
      <c r="D725" s="2867"/>
      <c r="E725" s="2867"/>
      <c r="F725" s="2867"/>
      <c r="G725" s="2867"/>
      <c r="H725" s="2867"/>
      <c r="I725" s="2867"/>
      <c r="J725" s="2867"/>
      <c r="K725" s="2867"/>
      <c r="L725" s="2867"/>
      <c r="M725" s="2867"/>
      <c r="O725" s="2867"/>
      <c r="P725" s="2867"/>
      <c r="Q725" s="2867"/>
      <c r="R725" s="2867"/>
      <c r="S725" s="2867"/>
      <c r="T725" s="2867"/>
      <c r="U725" s="2867"/>
      <c r="V725" s="2867"/>
      <c r="W725" s="2867"/>
      <c r="X725" s="2867"/>
      <c r="Y725" s="2867"/>
      <c r="Z725" s="2867"/>
      <c r="AA725" s="2867"/>
      <c r="AB725" s="2867"/>
      <c r="AC725" s="2867"/>
      <c r="AD725" s="2867"/>
      <c r="AE725" s="2867"/>
      <c r="AF725" s="2867"/>
      <c r="AG725" s="2867"/>
      <c r="AH725" s="2867"/>
      <c r="AI725" s="2867"/>
      <c r="AJ725" s="2867"/>
      <c r="AK725" s="2867"/>
      <c r="AL725" s="2867"/>
      <c r="AM725" s="2867"/>
      <c r="AN725" s="2867"/>
      <c r="AO725" s="2867"/>
      <c r="AP725" s="2867"/>
      <c r="AQ725" s="2867"/>
      <c r="AR725" s="2867"/>
      <c r="AS725" s="2867"/>
      <c r="AT725" s="2867"/>
      <c r="AU725" s="2867"/>
      <c r="AV725" s="2867"/>
      <c r="AW725" s="2867"/>
      <c r="AX725" s="2867"/>
      <c r="AY725" s="2867"/>
      <c r="AZ725" s="2867"/>
      <c r="BA725" s="2867"/>
      <c r="BB725" s="2867"/>
      <c r="BC725" s="2867"/>
      <c r="BD725" s="2867"/>
      <c r="BE725" s="2867"/>
      <c r="BF725" s="2867"/>
      <c r="BG725" s="2867"/>
      <c r="BH725" s="2867"/>
      <c r="BI725" s="2867"/>
      <c r="BJ725" s="2867"/>
      <c r="BK725" s="2867"/>
      <c r="BL725" s="2867"/>
      <c r="BM725" s="2867"/>
      <c r="BN725" s="2867"/>
      <c r="BO725" s="2867"/>
      <c r="BP725" s="2867"/>
      <c r="BQ725" s="2867"/>
      <c r="BR725" s="2867"/>
      <c r="BS725" s="2867"/>
      <c r="BT725" s="2867"/>
      <c r="BU725" s="2867"/>
      <c r="BV725" s="2867"/>
      <c r="BW725" s="2867"/>
      <c r="BX725" s="2867"/>
      <c r="BY725" s="2867"/>
      <c r="BZ725" s="2867"/>
      <c r="CA725" s="2867"/>
      <c r="CB725" s="2867"/>
      <c r="CC725" s="2867"/>
      <c r="CD725" s="2867"/>
      <c r="CE725" s="2867"/>
      <c r="CF725" s="2867"/>
      <c r="CG725" s="2867"/>
      <c r="CH725" s="2867"/>
      <c r="CI725" s="2867"/>
      <c r="CJ725" s="2867"/>
      <c r="CK725" s="2867"/>
      <c r="CL725" s="2867"/>
      <c r="CM725" s="2867"/>
      <c r="CN725" s="2867"/>
      <c r="CO725" s="2867"/>
      <c r="CP725" s="2867"/>
      <c r="CQ725" s="2867"/>
      <c r="CR725" s="2867"/>
      <c r="CS725" s="2867"/>
      <c r="CT725" s="2867"/>
      <c r="CU725" s="2867"/>
      <c r="CV725" s="2867"/>
      <c r="CW725" s="2867"/>
    </row>
    <row r="726" spans="1:101">
      <c r="A726" s="2867"/>
      <c r="B726" s="2867"/>
      <c r="C726" s="2867"/>
      <c r="D726" s="2867"/>
      <c r="E726" s="2867"/>
      <c r="F726" s="2867"/>
      <c r="G726" s="2867"/>
      <c r="H726" s="2867"/>
      <c r="I726" s="2867"/>
      <c r="J726" s="2867"/>
      <c r="K726" s="2867"/>
      <c r="L726" s="2867"/>
      <c r="M726" s="2867"/>
      <c r="O726" s="2867"/>
      <c r="P726" s="2867"/>
      <c r="Q726" s="2867"/>
      <c r="R726" s="2867"/>
      <c r="S726" s="2867"/>
      <c r="T726" s="2867"/>
      <c r="U726" s="2867"/>
      <c r="V726" s="2867"/>
      <c r="W726" s="2867"/>
      <c r="X726" s="2867"/>
      <c r="Y726" s="2867"/>
      <c r="Z726" s="2867"/>
      <c r="AA726" s="2867"/>
      <c r="AB726" s="2867"/>
      <c r="AC726" s="2867"/>
      <c r="AD726" s="2867"/>
      <c r="AE726" s="2867"/>
      <c r="AF726" s="2867"/>
      <c r="AG726" s="2867"/>
      <c r="AH726" s="2867"/>
      <c r="AI726" s="2867"/>
      <c r="AJ726" s="2867"/>
      <c r="AK726" s="2867"/>
      <c r="AL726" s="2867"/>
      <c r="AM726" s="2867"/>
      <c r="AN726" s="2867"/>
      <c r="AO726" s="2867"/>
      <c r="AP726" s="2867"/>
      <c r="AQ726" s="2867"/>
      <c r="AR726" s="2867"/>
      <c r="AS726" s="2867"/>
      <c r="AT726" s="2867"/>
      <c r="AU726" s="2867"/>
      <c r="AV726" s="2867"/>
      <c r="AW726" s="2867"/>
      <c r="AX726" s="2867"/>
      <c r="AY726" s="2867"/>
      <c r="AZ726" s="2867"/>
      <c r="BA726" s="2867"/>
      <c r="BB726" s="2867"/>
      <c r="BC726" s="2867"/>
      <c r="BD726" s="2867"/>
      <c r="BE726" s="2867"/>
      <c r="BF726" s="2867"/>
      <c r="BG726" s="2867"/>
      <c r="BH726" s="2867"/>
      <c r="BI726" s="2867"/>
      <c r="BJ726" s="2867"/>
      <c r="BK726" s="2867"/>
      <c r="BL726" s="2867"/>
      <c r="BM726" s="2867"/>
      <c r="BN726" s="2867"/>
      <c r="BO726" s="2867"/>
      <c r="BP726" s="2867"/>
      <c r="BQ726" s="2867"/>
      <c r="BR726" s="2867"/>
      <c r="BS726" s="2867"/>
      <c r="BT726" s="2867"/>
      <c r="BU726" s="2867"/>
      <c r="BV726" s="2867"/>
      <c r="BW726" s="2867"/>
      <c r="BX726" s="2867"/>
      <c r="BY726" s="2867"/>
      <c r="BZ726" s="2867"/>
      <c r="CA726" s="2867"/>
      <c r="CB726" s="2867"/>
      <c r="CC726" s="2867"/>
      <c r="CD726" s="2867"/>
      <c r="CE726" s="2867"/>
      <c r="CF726" s="2867"/>
      <c r="CG726" s="2867"/>
      <c r="CH726" s="2867"/>
      <c r="CI726" s="2867"/>
      <c r="CJ726" s="2867"/>
      <c r="CK726" s="2867"/>
      <c r="CL726" s="2867"/>
      <c r="CM726" s="2867"/>
      <c r="CN726" s="2867"/>
      <c r="CO726" s="2867"/>
      <c r="CP726" s="2867"/>
      <c r="CQ726" s="2867"/>
      <c r="CR726" s="2867"/>
      <c r="CS726" s="2867"/>
      <c r="CT726" s="2867"/>
      <c r="CU726" s="2867"/>
      <c r="CV726" s="2867"/>
      <c r="CW726" s="2867"/>
    </row>
    <row r="727" spans="1:101">
      <c r="A727" s="2867"/>
      <c r="B727" s="2867"/>
      <c r="C727" s="2867"/>
      <c r="D727" s="2867"/>
      <c r="E727" s="2867"/>
      <c r="F727" s="2867"/>
      <c r="G727" s="2867"/>
      <c r="H727" s="2867"/>
      <c r="I727" s="2867"/>
      <c r="J727" s="2867"/>
      <c r="K727" s="2867"/>
      <c r="L727" s="2867"/>
      <c r="M727" s="2867"/>
      <c r="O727" s="2867"/>
      <c r="P727" s="2867"/>
      <c r="Q727" s="2867"/>
      <c r="R727" s="2867"/>
      <c r="S727" s="2867"/>
      <c r="T727" s="2867"/>
      <c r="U727" s="2867"/>
      <c r="V727" s="2867"/>
      <c r="W727" s="2867"/>
      <c r="X727" s="2867"/>
      <c r="Y727" s="2867"/>
      <c r="Z727" s="2867"/>
      <c r="AA727" s="2867"/>
      <c r="AB727" s="2867"/>
      <c r="AC727" s="2867"/>
      <c r="AD727" s="2867"/>
      <c r="AE727" s="2867"/>
      <c r="AF727" s="2867"/>
      <c r="AG727" s="2867"/>
      <c r="AH727" s="2867"/>
      <c r="AI727" s="2867"/>
      <c r="AJ727" s="2867"/>
      <c r="AK727" s="2867"/>
      <c r="AL727" s="2867"/>
      <c r="AM727" s="2867"/>
      <c r="AN727" s="2867"/>
      <c r="AO727" s="2867"/>
      <c r="AP727" s="2867"/>
      <c r="AQ727" s="2867"/>
      <c r="AR727" s="2867"/>
      <c r="AS727" s="2867"/>
      <c r="AT727" s="2867"/>
      <c r="AU727" s="2867"/>
      <c r="AV727" s="2867"/>
      <c r="AW727" s="2867"/>
      <c r="AX727" s="2867"/>
      <c r="AY727" s="2867"/>
      <c r="AZ727" s="2867"/>
      <c r="BA727" s="2867"/>
      <c r="BB727" s="2867"/>
      <c r="BC727" s="2867"/>
      <c r="BD727" s="2867"/>
      <c r="BE727" s="2867"/>
      <c r="BF727" s="2867"/>
      <c r="BG727" s="2867"/>
      <c r="BH727" s="2867"/>
      <c r="BI727" s="2867"/>
      <c r="BJ727" s="2867"/>
      <c r="BK727" s="2867"/>
      <c r="BL727" s="2867"/>
      <c r="BM727" s="2867"/>
      <c r="BN727" s="2867"/>
      <c r="BO727" s="2867"/>
      <c r="BP727" s="2867"/>
      <c r="BQ727" s="2867"/>
      <c r="BR727" s="2867"/>
      <c r="BS727" s="2867"/>
      <c r="BT727" s="2867"/>
      <c r="BU727" s="2867"/>
      <c r="BV727" s="2867"/>
      <c r="BW727" s="2867"/>
      <c r="BX727" s="2867"/>
      <c r="BY727" s="2867"/>
      <c r="BZ727" s="2867"/>
      <c r="CA727" s="2867"/>
      <c r="CB727" s="2867"/>
      <c r="CC727" s="2867"/>
      <c r="CD727" s="2867"/>
      <c r="CE727" s="2867"/>
      <c r="CF727" s="2867"/>
      <c r="CG727" s="2867"/>
      <c r="CH727" s="2867"/>
      <c r="CI727" s="2867"/>
      <c r="CJ727" s="2867"/>
      <c r="CK727" s="2867"/>
      <c r="CL727" s="2867"/>
      <c r="CM727" s="2867"/>
      <c r="CN727" s="2867"/>
      <c r="CO727" s="2867"/>
      <c r="CP727" s="2867"/>
      <c r="CQ727" s="2867"/>
      <c r="CR727" s="2867"/>
      <c r="CS727" s="2867"/>
      <c r="CT727" s="2867"/>
      <c r="CU727" s="2867"/>
      <c r="CV727" s="2867"/>
      <c r="CW727" s="2867"/>
    </row>
    <row r="728" spans="1:101">
      <c r="A728" s="2867"/>
      <c r="B728" s="2867"/>
      <c r="C728" s="2867"/>
      <c r="D728" s="2867"/>
      <c r="E728" s="2867"/>
      <c r="F728" s="2867"/>
      <c r="G728" s="2867"/>
      <c r="H728" s="2867"/>
      <c r="I728" s="2867"/>
      <c r="J728" s="2867"/>
      <c r="K728" s="2867"/>
      <c r="L728" s="2867"/>
      <c r="M728" s="2867"/>
      <c r="O728" s="2867"/>
      <c r="P728" s="2867"/>
      <c r="Q728" s="2867"/>
      <c r="R728" s="2867"/>
      <c r="S728" s="2867"/>
      <c r="T728" s="2867"/>
      <c r="U728" s="2867"/>
      <c r="V728" s="2867"/>
      <c r="W728" s="2867"/>
      <c r="X728" s="2867"/>
      <c r="Y728" s="2867"/>
      <c r="Z728" s="2867"/>
      <c r="AA728" s="2867"/>
      <c r="AB728" s="2867"/>
      <c r="AC728" s="2867"/>
      <c r="AD728" s="2867"/>
      <c r="AE728" s="2867"/>
      <c r="AF728" s="2867"/>
      <c r="AG728" s="2867"/>
      <c r="AH728" s="2867"/>
      <c r="AI728" s="2867"/>
      <c r="AJ728" s="2867"/>
      <c r="AK728" s="2867"/>
      <c r="AL728" s="2867"/>
      <c r="AM728" s="2867"/>
      <c r="AN728" s="2867"/>
      <c r="AO728" s="2867"/>
      <c r="AP728" s="2867"/>
      <c r="AQ728" s="2867"/>
      <c r="AR728" s="2867"/>
      <c r="AS728" s="2867"/>
      <c r="AT728" s="2867"/>
      <c r="AU728" s="2867"/>
      <c r="AV728" s="2867"/>
      <c r="AW728" s="2867"/>
      <c r="AX728" s="2867"/>
      <c r="AY728" s="2867"/>
      <c r="AZ728" s="2867"/>
      <c r="BA728" s="2867"/>
      <c r="BB728" s="2867"/>
      <c r="BC728" s="2867"/>
      <c r="BD728" s="2867"/>
      <c r="BE728" s="2867"/>
      <c r="BF728" s="2867"/>
      <c r="BG728" s="2867"/>
      <c r="BH728" s="2867"/>
      <c r="BI728" s="2867"/>
      <c r="BJ728" s="2867"/>
      <c r="BK728" s="2867"/>
      <c r="BL728" s="2867"/>
      <c r="BM728" s="2867"/>
      <c r="BN728" s="2867"/>
      <c r="BO728" s="2867"/>
      <c r="BP728" s="2867"/>
      <c r="BQ728" s="2867"/>
      <c r="BR728" s="2867"/>
      <c r="BS728" s="2867"/>
      <c r="BT728" s="2867"/>
      <c r="BU728" s="2867"/>
      <c r="BV728" s="2867"/>
      <c r="BW728" s="2867"/>
      <c r="BX728" s="2867"/>
      <c r="BY728" s="2867"/>
      <c r="BZ728" s="2867"/>
      <c r="CA728" s="2867"/>
      <c r="CB728" s="2867"/>
      <c r="CC728" s="2867"/>
      <c r="CD728" s="2867"/>
      <c r="CE728" s="2867"/>
      <c r="CF728" s="2867"/>
      <c r="CG728" s="2867"/>
      <c r="CH728" s="2867"/>
      <c r="CI728" s="2867"/>
      <c r="CJ728" s="2867"/>
      <c r="CK728" s="2867"/>
      <c r="CL728" s="2867"/>
      <c r="CM728" s="2867"/>
      <c r="CN728" s="2867"/>
      <c r="CO728" s="2867"/>
      <c r="CP728" s="2867"/>
      <c r="CQ728" s="2867"/>
      <c r="CR728" s="2867"/>
      <c r="CS728" s="2867"/>
      <c r="CT728" s="2867"/>
      <c r="CU728" s="2867"/>
      <c r="CV728" s="2867"/>
      <c r="CW728" s="2867"/>
    </row>
    <row r="729" spans="1:101">
      <c r="A729" s="2867"/>
      <c r="B729" s="2867"/>
      <c r="C729" s="2867"/>
      <c r="D729" s="2867"/>
      <c r="E729" s="2867"/>
      <c r="F729" s="2867"/>
      <c r="G729" s="2867"/>
      <c r="H729" s="2867"/>
      <c r="I729" s="2867"/>
      <c r="J729" s="2867"/>
      <c r="K729" s="2867"/>
      <c r="L729" s="2867"/>
      <c r="M729" s="2867"/>
      <c r="O729" s="2867"/>
      <c r="P729" s="2867"/>
      <c r="Q729" s="2867"/>
      <c r="R729" s="2867"/>
      <c r="S729" s="2867"/>
      <c r="T729" s="2867"/>
      <c r="U729" s="2867"/>
      <c r="V729" s="2867"/>
      <c r="W729" s="2867"/>
      <c r="X729" s="2867"/>
      <c r="Y729" s="2867"/>
      <c r="Z729" s="2867"/>
      <c r="AA729" s="2867"/>
      <c r="AB729" s="2867"/>
      <c r="AC729" s="2867"/>
      <c r="AD729" s="2867"/>
      <c r="AE729" s="2867"/>
      <c r="AF729" s="2867"/>
      <c r="AG729" s="2867"/>
      <c r="AH729" s="2867"/>
      <c r="AI729" s="2867"/>
      <c r="AJ729" s="2867"/>
      <c r="AK729" s="2867"/>
      <c r="AL729" s="2867"/>
      <c r="AM729" s="2867"/>
      <c r="AN729" s="2867"/>
      <c r="AO729" s="2867"/>
      <c r="AP729" s="2867"/>
      <c r="AQ729" s="2867"/>
      <c r="AR729" s="2867"/>
      <c r="AS729" s="2867"/>
      <c r="AT729" s="2867"/>
      <c r="AU729" s="2867"/>
      <c r="AV729" s="2867"/>
      <c r="AW729" s="2867"/>
      <c r="AX729" s="2867"/>
      <c r="AY729" s="2867"/>
      <c r="AZ729" s="2867"/>
      <c r="BA729" s="2867"/>
      <c r="BB729" s="2867"/>
      <c r="BC729" s="2867"/>
      <c r="BD729" s="2867"/>
      <c r="BE729" s="2867"/>
      <c r="BF729" s="2867"/>
      <c r="BG729" s="2867"/>
      <c r="BH729" s="2867"/>
      <c r="BI729" s="2867"/>
      <c r="BJ729" s="2867"/>
      <c r="BK729" s="2867"/>
      <c r="BL729" s="2867"/>
      <c r="BM729" s="2867"/>
      <c r="BN729" s="2867"/>
      <c r="BO729" s="2867"/>
      <c r="BP729" s="2867"/>
      <c r="BQ729" s="2867"/>
      <c r="BR729" s="2867"/>
      <c r="BS729" s="2867"/>
      <c r="BT729" s="2867"/>
      <c r="BU729" s="2867"/>
      <c r="BV729" s="2867"/>
      <c r="BW729" s="2867"/>
      <c r="BX729" s="2867"/>
      <c r="BY729" s="2867"/>
      <c r="BZ729" s="2867"/>
      <c r="CA729" s="2867"/>
      <c r="CB729" s="2867"/>
      <c r="CC729" s="2867"/>
      <c r="CD729" s="2867"/>
      <c r="CE729" s="2867"/>
      <c r="CF729" s="2867"/>
      <c r="CG729" s="2867"/>
      <c r="CH729" s="2867"/>
      <c r="CI729" s="2867"/>
      <c r="CJ729" s="2867"/>
      <c r="CK729" s="2867"/>
      <c r="CL729" s="2867"/>
      <c r="CM729" s="2867"/>
      <c r="CN729" s="2867"/>
      <c r="CO729" s="2867"/>
      <c r="CP729" s="2867"/>
      <c r="CQ729" s="2867"/>
      <c r="CR729" s="2867"/>
      <c r="CS729" s="2867"/>
      <c r="CT729" s="2867"/>
      <c r="CU729" s="2867"/>
      <c r="CV729" s="2867"/>
      <c r="CW729" s="2867"/>
    </row>
    <row r="730" spans="1:101">
      <c r="A730" s="2867"/>
      <c r="B730" s="2867"/>
      <c r="C730" s="2867"/>
      <c r="D730" s="2867"/>
      <c r="E730" s="2867"/>
      <c r="F730" s="2867"/>
      <c r="G730" s="2867"/>
      <c r="H730" s="2867"/>
      <c r="I730" s="2867"/>
      <c r="J730" s="2867"/>
      <c r="K730" s="2867"/>
      <c r="L730" s="2867"/>
      <c r="M730" s="2867"/>
      <c r="O730" s="2867"/>
      <c r="P730" s="2867"/>
      <c r="Q730" s="2867"/>
      <c r="R730" s="2867"/>
      <c r="S730" s="2867"/>
      <c r="T730" s="2867"/>
      <c r="U730" s="2867"/>
      <c r="V730" s="2867"/>
      <c r="W730" s="2867"/>
      <c r="X730" s="2867"/>
      <c r="Y730" s="2867"/>
      <c r="Z730" s="2867"/>
      <c r="AA730" s="2867"/>
      <c r="AB730" s="2867"/>
      <c r="AC730" s="2867"/>
      <c r="AD730" s="2867"/>
      <c r="AE730" s="2867"/>
      <c r="AF730" s="2867"/>
      <c r="AG730" s="2867"/>
      <c r="AH730" s="2867"/>
      <c r="AI730" s="2867"/>
      <c r="AJ730" s="2867"/>
      <c r="AK730" s="2867"/>
      <c r="AL730" s="2867"/>
      <c r="AM730" s="2867"/>
      <c r="AN730" s="2867"/>
      <c r="AO730" s="2867"/>
      <c r="AP730" s="2867"/>
      <c r="AQ730" s="2867"/>
      <c r="AR730" s="2867"/>
      <c r="AS730" s="2867"/>
      <c r="AT730" s="2867"/>
      <c r="AU730" s="2867"/>
      <c r="AV730" s="2867"/>
      <c r="AW730" s="2867"/>
      <c r="AX730" s="2867"/>
      <c r="AY730" s="2867"/>
      <c r="AZ730" s="2867"/>
      <c r="BA730" s="2867"/>
      <c r="BB730" s="2867"/>
      <c r="BC730" s="2867"/>
      <c r="BD730" s="2867"/>
      <c r="BE730" s="2867"/>
      <c r="BF730" s="2867"/>
      <c r="BG730" s="2867"/>
      <c r="BH730" s="2867"/>
      <c r="BI730" s="2867"/>
      <c r="BJ730" s="2867"/>
      <c r="BK730" s="2867"/>
      <c r="BL730" s="2867"/>
      <c r="BM730" s="2867"/>
      <c r="BN730" s="2867"/>
      <c r="BO730" s="2867"/>
      <c r="BP730" s="2867"/>
      <c r="BQ730" s="2867"/>
      <c r="BR730" s="2867"/>
      <c r="BS730" s="2867"/>
      <c r="BT730" s="2867"/>
      <c r="BU730" s="2867"/>
      <c r="BV730" s="2867"/>
      <c r="BW730" s="2867"/>
      <c r="BX730" s="2867"/>
      <c r="BY730" s="2867"/>
      <c r="BZ730" s="2867"/>
      <c r="CA730" s="2867"/>
      <c r="CB730" s="2867"/>
      <c r="CC730" s="2867"/>
      <c r="CD730" s="2867"/>
      <c r="CE730" s="2867"/>
      <c r="CF730" s="2867"/>
      <c r="CG730" s="2867"/>
      <c r="CH730" s="2867"/>
      <c r="CI730" s="2867"/>
      <c r="CJ730" s="2867"/>
      <c r="CK730" s="2867"/>
      <c r="CL730" s="2867"/>
      <c r="CM730" s="2867"/>
      <c r="CN730" s="2867"/>
      <c r="CO730" s="2867"/>
      <c r="CP730" s="2867"/>
      <c r="CQ730" s="2867"/>
      <c r="CR730" s="2867"/>
      <c r="CS730" s="2867"/>
      <c r="CT730" s="2867"/>
      <c r="CU730" s="2867"/>
      <c r="CV730" s="2867"/>
      <c r="CW730" s="2867"/>
    </row>
    <row r="731" spans="1:101">
      <c r="A731" s="2867"/>
      <c r="B731" s="2867"/>
      <c r="C731" s="2867"/>
      <c r="D731" s="2867"/>
      <c r="E731" s="2867"/>
      <c r="F731" s="2867"/>
      <c r="G731" s="2867"/>
      <c r="H731" s="2867"/>
      <c r="I731" s="2867"/>
      <c r="J731" s="2867"/>
      <c r="K731" s="2867"/>
      <c r="L731" s="2867"/>
      <c r="M731" s="2867"/>
      <c r="O731" s="2867"/>
      <c r="P731" s="2867"/>
      <c r="Q731" s="2867"/>
      <c r="R731" s="2867"/>
      <c r="S731" s="2867"/>
      <c r="T731" s="2867"/>
      <c r="U731" s="2867"/>
      <c r="V731" s="2867"/>
      <c r="W731" s="2867"/>
      <c r="X731" s="2867"/>
      <c r="Y731" s="2867"/>
      <c r="Z731" s="2867"/>
      <c r="AA731" s="2867"/>
      <c r="AB731" s="2867"/>
      <c r="AC731" s="2867"/>
      <c r="AD731" s="2867"/>
      <c r="AE731" s="2867"/>
      <c r="AF731" s="2867"/>
      <c r="AG731" s="2867"/>
      <c r="AH731" s="2867"/>
      <c r="AI731" s="2867"/>
      <c r="AJ731" s="2867"/>
      <c r="AK731" s="2867"/>
      <c r="AL731" s="2867"/>
      <c r="AM731" s="2867"/>
      <c r="AN731" s="2867"/>
      <c r="AO731" s="2867"/>
      <c r="AP731" s="2867"/>
      <c r="AQ731" s="2867"/>
      <c r="AR731" s="2867"/>
      <c r="AS731" s="2867"/>
      <c r="AT731" s="2867"/>
      <c r="AU731" s="2867"/>
      <c r="AV731" s="2867"/>
      <c r="AW731" s="2867"/>
      <c r="AX731" s="2867"/>
      <c r="AY731" s="2867"/>
      <c r="AZ731" s="2867"/>
      <c r="BA731" s="2867"/>
      <c r="BB731" s="2867"/>
      <c r="BC731" s="2867"/>
      <c r="BD731" s="2867"/>
      <c r="BE731" s="2867"/>
      <c r="BF731" s="2867"/>
      <c r="BG731" s="2867"/>
      <c r="BH731" s="2867"/>
      <c r="BI731" s="2867"/>
      <c r="BJ731" s="2867"/>
      <c r="BK731" s="2867"/>
      <c r="BL731" s="2867"/>
      <c r="BM731" s="2867"/>
      <c r="BN731" s="2867"/>
      <c r="BO731" s="2867"/>
      <c r="BP731" s="2867"/>
      <c r="BQ731" s="2867"/>
      <c r="BR731" s="2867"/>
      <c r="BS731" s="2867"/>
      <c r="BT731" s="2867"/>
      <c r="BU731" s="2867"/>
      <c r="BV731" s="2867"/>
      <c r="BW731" s="2867"/>
      <c r="BX731" s="2867"/>
      <c r="BY731" s="2867"/>
      <c r="BZ731" s="2867"/>
      <c r="CA731" s="2867"/>
      <c r="CB731" s="2867"/>
      <c r="CC731" s="2867"/>
      <c r="CD731" s="2867"/>
      <c r="CE731" s="2867"/>
      <c r="CF731" s="2867"/>
      <c r="CG731" s="2867"/>
      <c r="CH731" s="2867"/>
      <c r="CI731" s="2867"/>
      <c r="CJ731" s="2867"/>
      <c r="CK731" s="2867"/>
      <c r="CL731" s="2867"/>
      <c r="CM731" s="2867"/>
      <c r="CN731" s="2867"/>
      <c r="CO731" s="2867"/>
      <c r="CP731" s="2867"/>
      <c r="CQ731" s="2867"/>
      <c r="CR731" s="2867"/>
      <c r="CS731" s="2867"/>
      <c r="CT731" s="2867"/>
      <c r="CU731" s="2867"/>
      <c r="CV731" s="2867"/>
      <c r="CW731" s="2867"/>
    </row>
    <row r="732" spans="1:101">
      <c r="A732" s="2867"/>
      <c r="B732" s="2867"/>
      <c r="C732" s="2867"/>
      <c r="D732" s="2867"/>
      <c r="E732" s="2867"/>
      <c r="F732" s="2867"/>
      <c r="G732" s="2867"/>
      <c r="H732" s="2867"/>
      <c r="I732" s="2867"/>
      <c r="J732" s="2867"/>
      <c r="K732" s="2867"/>
      <c r="L732" s="2867"/>
      <c r="M732" s="2867"/>
      <c r="O732" s="2867"/>
      <c r="P732" s="2867"/>
      <c r="Q732" s="2867"/>
      <c r="R732" s="2867"/>
      <c r="S732" s="2867"/>
      <c r="T732" s="2867"/>
      <c r="U732" s="2867"/>
      <c r="V732" s="2867"/>
      <c r="W732" s="2867"/>
      <c r="X732" s="2867"/>
      <c r="Y732" s="2867"/>
      <c r="Z732" s="2867"/>
      <c r="AA732" s="2867"/>
      <c r="AB732" s="2867"/>
      <c r="AC732" s="2867"/>
      <c r="AD732" s="2867"/>
      <c r="AE732" s="2867"/>
      <c r="AF732" s="2867"/>
      <c r="AG732" s="2867"/>
      <c r="AH732" s="2867"/>
      <c r="AI732" s="2867"/>
      <c r="AJ732" s="2867"/>
      <c r="AK732" s="2867"/>
      <c r="AL732" s="2867"/>
      <c r="AM732" s="2867"/>
      <c r="AN732" s="2867"/>
      <c r="AO732" s="2867"/>
      <c r="AP732" s="2867"/>
      <c r="AQ732" s="2867"/>
      <c r="AR732" s="2867"/>
      <c r="AS732" s="2867"/>
      <c r="AT732" s="2867"/>
      <c r="AU732" s="2867"/>
      <c r="AV732" s="2867"/>
      <c r="AW732" s="2867"/>
      <c r="AX732" s="2867"/>
      <c r="AY732" s="2867"/>
      <c r="AZ732" s="2867"/>
      <c r="BA732" s="2867"/>
      <c r="BB732" s="2867"/>
      <c r="BC732" s="2867"/>
      <c r="BD732" s="2867"/>
      <c r="BE732" s="2867"/>
      <c r="BF732" s="2867"/>
      <c r="BG732" s="2867"/>
      <c r="BH732" s="2867"/>
      <c r="BI732" s="2867"/>
      <c r="BJ732" s="2867"/>
      <c r="BK732" s="2867"/>
      <c r="BL732" s="2867"/>
      <c r="BM732" s="2867"/>
      <c r="BN732" s="2867"/>
      <c r="BO732" s="2867"/>
      <c r="BP732" s="2867"/>
      <c r="BQ732" s="2867"/>
      <c r="BR732" s="2867"/>
      <c r="BS732" s="2867"/>
      <c r="BT732" s="2867"/>
      <c r="BU732" s="2867"/>
      <c r="BV732" s="2867"/>
      <c r="BW732" s="2867"/>
      <c r="BX732" s="2867"/>
      <c r="BY732" s="2867"/>
      <c r="BZ732" s="2867"/>
      <c r="CA732" s="2867"/>
      <c r="CB732" s="2867"/>
      <c r="CC732" s="2867"/>
      <c r="CD732" s="2867"/>
      <c r="CE732" s="2867"/>
      <c r="CF732" s="2867"/>
      <c r="CG732" s="2867"/>
      <c r="CH732" s="2867"/>
      <c r="CI732" s="2867"/>
      <c r="CJ732" s="2867"/>
      <c r="CK732" s="2867"/>
      <c r="CL732" s="2867"/>
      <c r="CM732" s="2867"/>
      <c r="CN732" s="2867"/>
      <c r="CO732" s="2867"/>
      <c r="CP732" s="2867"/>
      <c r="CQ732" s="2867"/>
      <c r="CR732" s="2867"/>
      <c r="CS732" s="2867"/>
      <c r="CT732" s="2867"/>
      <c r="CU732" s="2867"/>
      <c r="CV732" s="2867"/>
      <c r="CW732" s="2867"/>
    </row>
    <row r="733" spans="1:101">
      <c r="A733" s="2867"/>
      <c r="B733" s="2867"/>
      <c r="C733" s="2867"/>
      <c r="D733" s="2867"/>
      <c r="E733" s="2867"/>
      <c r="F733" s="2867"/>
      <c r="G733" s="2867"/>
      <c r="H733" s="2867"/>
      <c r="I733" s="2867"/>
      <c r="J733" s="2867"/>
      <c r="K733" s="2867"/>
      <c r="L733" s="2867"/>
      <c r="M733" s="2867"/>
      <c r="O733" s="2867"/>
      <c r="P733" s="2867"/>
      <c r="Q733" s="2867"/>
      <c r="R733" s="2867"/>
      <c r="S733" s="2867"/>
      <c r="T733" s="2867"/>
      <c r="U733" s="2867"/>
      <c r="V733" s="2867"/>
      <c r="W733" s="2867"/>
      <c r="X733" s="2867"/>
      <c r="Y733" s="2867"/>
      <c r="Z733" s="2867"/>
      <c r="AA733" s="2867"/>
      <c r="AB733" s="2867"/>
      <c r="AC733" s="2867"/>
      <c r="AD733" s="2867"/>
      <c r="AE733" s="2867"/>
      <c r="AF733" s="2867"/>
      <c r="AG733" s="2867"/>
      <c r="AH733" s="2867"/>
      <c r="AI733" s="2867"/>
      <c r="AJ733" s="2867"/>
      <c r="AK733" s="2867"/>
      <c r="AL733" s="2867"/>
      <c r="AM733" s="2867"/>
      <c r="AN733" s="2867"/>
      <c r="AO733" s="2867"/>
      <c r="AP733" s="2867"/>
      <c r="AQ733" s="2867"/>
      <c r="AR733" s="2867"/>
      <c r="AS733" s="2867"/>
      <c r="AT733" s="2867"/>
      <c r="AU733" s="2867"/>
      <c r="AV733" s="2867"/>
      <c r="AW733" s="2867"/>
      <c r="AX733" s="2867"/>
      <c r="AY733" s="2867"/>
      <c r="AZ733" s="2867"/>
      <c r="BA733" s="2867"/>
      <c r="BB733" s="2867"/>
      <c r="BC733" s="2867"/>
      <c r="BD733" s="2867"/>
      <c r="BE733" s="2867"/>
      <c r="BF733" s="2867"/>
      <c r="BG733" s="2867"/>
      <c r="BH733" s="2867"/>
      <c r="BI733" s="2867"/>
      <c r="BJ733" s="2867"/>
      <c r="BK733" s="2867"/>
      <c r="BL733" s="2867"/>
      <c r="BM733" s="2867"/>
      <c r="BN733" s="2867"/>
      <c r="BO733" s="2867"/>
      <c r="BP733" s="2867"/>
      <c r="BQ733" s="2867"/>
      <c r="BR733" s="2867"/>
      <c r="BS733" s="2867"/>
      <c r="BT733" s="2867"/>
      <c r="BU733" s="2867"/>
      <c r="BV733" s="2867"/>
      <c r="BW733" s="2867"/>
      <c r="BX733" s="2867"/>
      <c r="BY733" s="2867"/>
      <c r="BZ733" s="2867"/>
      <c r="CA733" s="2867"/>
      <c r="CB733" s="2867"/>
      <c r="CC733" s="2867"/>
      <c r="CD733" s="2867"/>
      <c r="CE733" s="2867"/>
      <c r="CF733" s="2867"/>
      <c r="CG733" s="2867"/>
      <c r="CH733" s="2867"/>
      <c r="CI733" s="2867"/>
      <c r="CJ733" s="2867"/>
      <c r="CK733" s="2867"/>
      <c r="CL733" s="2867"/>
      <c r="CM733" s="2867"/>
      <c r="CN733" s="2867"/>
      <c r="CO733" s="2867"/>
      <c r="CP733" s="2867"/>
      <c r="CQ733" s="2867"/>
      <c r="CR733" s="2867"/>
      <c r="CS733" s="2867"/>
      <c r="CT733" s="2867"/>
      <c r="CU733" s="2867"/>
      <c r="CV733" s="2867"/>
      <c r="CW733" s="2867"/>
    </row>
    <row r="734" spans="1:101">
      <c r="A734" s="2867"/>
      <c r="B734" s="2867"/>
      <c r="C734" s="2867"/>
      <c r="D734" s="2867"/>
      <c r="E734" s="2867"/>
      <c r="F734" s="2867"/>
      <c r="G734" s="2867"/>
      <c r="H734" s="2867"/>
      <c r="I734" s="2867"/>
      <c r="J734" s="2867"/>
      <c r="K734" s="2867"/>
      <c r="L734" s="2867"/>
      <c r="M734" s="2867"/>
      <c r="O734" s="2867"/>
      <c r="P734" s="2867"/>
      <c r="Q734" s="2867"/>
      <c r="R734" s="2867"/>
      <c r="S734" s="2867"/>
      <c r="T734" s="2867"/>
      <c r="U734" s="2867"/>
      <c r="V734" s="2867"/>
      <c r="W734" s="2867"/>
      <c r="X734" s="2867"/>
      <c r="Y734" s="2867"/>
      <c r="Z734" s="2867"/>
      <c r="AA734" s="2867"/>
      <c r="AB734" s="2867"/>
      <c r="AC734" s="2867"/>
      <c r="AD734" s="2867"/>
      <c r="AE734" s="2867"/>
      <c r="AF734" s="2867"/>
      <c r="AG734" s="2867"/>
      <c r="AH734" s="2867"/>
      <c r="AI734" s="2867"/>
      <c r="AJ734" s="2867"/>
      <c r="AK734" s="2867"/>
      <c r="AL734" s="2867"/>
      <c r="AM734" s="2867"/>
      <c r="AN734" s="2867"/>
      <c r="AO734" s="2867"/>
      <c r="AP734" s="2867"/>
      <c r="AQ734" s="2867"/>
      <c r="AR734" s="2867"/>
      <c r="AS734" s="2867"/>
      <c r="AT734" s="2867"/>
      <c r="AU734" s="2867"/>
      <c r="AV734" s="2867"/>
      <c r="AW734" s="2867"/>
      <c r="AX734" s="2867"/>
      <c r="AY734" s="2867"/>
      <c r="AZ734" s="2867"/>
      <c r="BA734" s="2867"/>
      <c r="BB734" s="2867"/>
      <c r="BC734" s="2867"/>
      <c r="BD734" s="2867"/>
      <c r="BE734" s="2867"/>
      <c r="BF734" s="2867"/>
      <c r="BG734" s="2867"/>
      <c r="BH734" s="2867"/>
      <c r="BI734" s="2867"/>
      <c r="BJ734" s="2867"/>
      <c r="BK734" s="2867"/>
      <c r="BL734" s="2867"/>
      <c r="BM734" s="2867"/>
      <c r="BN734" s="2867"/>
      <c r="BO734" s="2867"/>
      <c r="BP734" s="2867"/>
      <c r="BQ734" s="2867"/>
      <c r="BR734" s="2867"/>
      <c r="BS734" s="2867"/>
      <c r="BT734" s="2867"/>
      <c r="BU734" s="2867"/>
      <c r="BV734" s="2867"/>
      <c r="BW734" s="2867"/>
      <c r="BX734" s="2867"/>
      <c r="BY734" s="2867"/>
      <c r="BZ734" s="2867"/>
      <c r="CA734" s="2867"/>
      <c r="CB734" s="2867"/>
      <c r="CC734" s="2867"/>
      <c r="CD734" s="2867"/>
      <c r="CE734" s="2867"/>
      <c r="CF734" s="2867"/>
      <c r="CG734" s="2867"/>
      <c r="CH734" s="2867"/>
      <c r="CI734" s="2867"/>
      <c r="CJ734" s="2867"/>
      <c r="CK734" s="2867"/>
      <c r="CL734" s="2867"/>
      <c r="CM734" s="2867"/>
      <c r="CN734" s="2867"/>
      <c r="CO734" s="2867"/>
      <c r="CP734" s="2867"/>
      <c r="CQ734" s="2867"/>
      <c r="CR734" s="2867"/>
      <c r="CS734" s="2867"/>
      <c r="CT734" s="2867"/>
      <c r="CU734" s="2867"/>
      <c r="CV734" s="2867"/>
      <c r="CW734" s="2867"/>
    </row>
    <row r="735" spans="1:101">
      <c r="A735" s="2867"/>
      <c r="B735" s="2867"/>
      <c r="C735" s="2867"/>
      <c r="D735" s="2867"/>
      <c r="E735" s="2867"/>
      <c r="F735" s="2867"/>
      <c r="G735" s="2867"/>
      <c r="H735" s="2867"/>
      <c r="I735" s="2867"/>
      <c r="J735" s="2867"/>
      <c r="K735" s="2867"/>
      <c r="L735" s="2867"/>
      <c r="M735" s="2867"/>
      <c r="O735" s="2867"/>
      <c r="P735" s="2867"/>
      <c r="Q735" s="2867"/>
      <c r="R735" s="2867"/>
      <c r="S735" s="2867"/>
      <c r="T735" s="2867"/>
      <c r="U735" s="2867"/>
      <c r="V735" s="2867"/>
      <c r="W735" s="2867"/>
      <c r="X735" s="2867"/>
      <c r="Y735" s="2867"/>
      <c r="Z735" s="2867"/>
      <c r="AA735" s="2867"/>
      <c r="AB735" s="2867"/>
      <c r="AC735" s="2867"/>
      <c r="AD735" s="2867"/>
      <c r="AE735" s="2867"/>
      <c r="AF735" s="2867"/>
      <c r="AG735" s="2867"/>
      <c r="AH735" s="2867"/>
      <c r="AI735" s="2867"/>
      <c r="AJ735" s="2867"/>
      <c r="AK735" s="2867"/>
      <c r="AL735" s="2867"/>
      <c r="AM735" s="2867"/>
      <c r="AN735" s="2867"/>
      <c r="AO735" s="2867"/>
      <c r="AP735" s="2867"/>
      <c r="AQ735" s="2867"/>
      <c r="AR735" s="2867"/>
      <c r="AS735" s="2867"/>
      <c r="AT735" s="2867"/>
      <c r="AU735" s="2867"/>
      <c r="AV735" s="2867"/>
      <c r="AW735" s="2867"/>
      <c r="AX735" s="2867"/>
      <c r="AY735" s="2867"/>
      <c r="AZ735" s="2867"/>
      <c r="BA735" s="2867"/>
      <c r="BB735" s="2867"/>
      <c r="BC735" s="2867"/>
      <c r="BD735" s="2867"/>
      <c r="BE735" s="2867"/>
      <c r="BF735" s="2867"/>
      <c r="BG735" s="2867"/>
      <c r="BH735" s="2867"/>
      <c r="BI735" s="2867"/>
      <c r="BJ735" s="2867"/>
      <c r="BK735" s="2867"/>
      <c r="BL735" s="2867"/>
      <c r="BM735" s="2867"/>
      <c r="BN735" s="2867"/>
      <c r="BO735" s="2867"/>
      <c r="BP735" s="2867"/>
      <c r="BQ735" s="2867"/>
      <c r="BR735" s="2867"/>
      <c r="BS735" s="2867"/>
      <c r="BT735" s="2867"/>
      <c r="BU735" s="2867"/>
      <c r="BV735" s="2867"/>
      <c r="BW735" s="2867"/>
      <c r="BX735" s="2867"/>
      <c r="BY735" s="2867"/>
      <c r="BZ735" s="2867"/>
      <c r="CA735" s="2867"/>
      <c r="CB735" s="2867"/>
      <c r="CC735" s="2867"/>
      <c r="CD735" s="2867"/>
      <c r="CE735" s="2867"/>
      <c r="CF735" s="2867"/>
      <c r="CG735" s="2867"/>
      <c r="CH735" s="2867"/>
      <c r="CI735" s="2867"/>
      <c r="CJ735" s="2867"/>
      <c r="CK735" s="2867"/>
      <c r="CL735" s="2867"/>
      <c r="CM735" s="2867"/>
      <c r="CN735" s="2867"/>
      <c r="CO735" s="2867"/>
      <c r="CP735" s="2867"/>
      <c r="CQ735" s="2867"/>
      <c r="CR735" s="2867"/>
      <c r="CS735" s="2867"/>
      <c r="CT735" s="2867"/>
      <c r="CU735" s="2867"/>
      <c r="CV735" s="2867"/>
      <c r="CW735" s="2867"/>
    </row>
    <row r="736" spans="1:101">
      <c r="A736" s="2867"/>
      <c r="B736" s="2867"/>
      <c r="C736" s="2867"/>
      <c r="D736" s="2867"/>
      <c r="E736" s="2867"/>
      <c r="F736" s="2867"/>
      <c r="G736" s="2867"/>
      <c r="H736" s="2867"/>
      <c r="I736" s="2867"/>
      <c r="J736" s="2867"/>
      <c r="K736" s="2867"/>
      <c r="L736" s="2867"/>
      <c r="M736" s="2867"/>
      <c r="O736" s="2867"/>
      <c r="P736" s="2867"/>
      <c r="Q736" s="2867"/>
      <c r="R736" s="2867"/>
      <c r="S736" s="2867"/>
      <c r="T736" s="2867"/>
      <c r="U736" s="2867"/>
      <c r="V736" s="2867"/>
      <c r="W736" s="2867"/>
      <c r="X736" s="2867"/>
      <c r="Y736" s="2867"/>
      <c r="Z736" s="2867"/>
      <c r="AA736" s="2867"/>
      <c r="AB736" s="2867"/>
      <c r="AC736" s="2867"/>
      <c r="AD736" s="2867"/>
      <c r="AE736" s="2867"/>
      <c r="AF736" s="2867"/>
      <c r="AG736" s="2867"/>
      <c r="AH736" s="2867"/>
      <c r="AI736" s="2867"/>
      <c r="AJ736" s="2867"/>
      <c r="AK736" s="2867"/>
      <c r="AL736" s="2867"/>
      <c r="AM736" s="2867"/>
      <c r="AN736" s="2867"/>
      <c r="AO736" s="2867"/>
      <c r="AP736" s="2867"/>
      <c r="AQ736" s="2867"/>
      <c r="AR736" s="2867"/>
      <c r="AS736" s="2867"/>
      <c r="AT736" s="2867"/>
      <c r="AU736" s="2867"/>
      <c r="AV736" s="2867"/>
      <c r="AW736" s="2867"/>
      <c r="AX736" s="2867"/>
      <c r="AY736" s="2867"/>
      <c r="AZ736" s="2867"/>
      <c r="BA736" s="2867"/>
      <c r="BB736" s="2867"/>
      <c r="BC736" s="2867"/>
      <c r="BD736" s="2867"/>
      <c r="BE736" s="2867"/>
      <c r="BF736" s="2867"/>
      <c r="BG736" s="2867"/>
      <c r="BH736" s="2867"/>
      <c r="BI736" s="2867"/>
      <c r="BJ736" s="2867"/>
      <c r="BK736" s="2867"/>
      <c r="BL736" s="2867"/>
      <c r="BM736" s="2867"/>
      <c r="BN736" s="2867"/>
      <c r="BO736" s="2867"/>
      <c r="BP736" s="2867"/>
      <c r="BQ736" s="2867"/>
      <c r="BR736" s="2867"/>
      <c r="BS736" s="2867"/>
      <c r="BT736" s="2867"/>
      <c r="BU736" s="2867"/>
      <c r="BV736" s="2867"/>
      <c r="BW736" s="2867"/>
      <c r="BX736" s="2867"/>
      <c r="BY736" s="2867"/>
      <c r="BZ736" s="2867"/>
      <c r="CA736" s="2867"/>
      <c r="CB736" s="2867"/>
      <c r="CC736" s="2867"/>
      <c r="CD736" s="2867"/>
      <c r="CE736" s="2867"/>
      <c r="CF736" s="2867"/>
      <c r="CG736" s="2867"/>
      <c r="CH736" s="2867"/>
      <c r="CI736" s="2867"/>
      <c r="CJ736" s="2867"/>
      <c r="CK736" s="2867"/>
      <c r="CL736" s="2867"/>
      <c r="CM736" s="2867"/>
      <c r="CN736" s="2867"/>
      <c r="CO736" s="2867"/>
      <c r="CP736" s="2867"/>
      <c r="CQ736" s="2867"/>
      <c r="CR736" s="2867"/>
      <c r="CS736" s="2867"/>
      <c r="CT736" s="2867"/>
      <c r="CU736" s="2867"/>
      <c r="CV736" s="2867"/>
      <c r="CW736" s="2867"/>
    </row>
    <row r="737" spans="1:101">
      <c r="A737" s="2867"/>
      <c r="B737" s="2867"/>
      <c r="C737" s="2867"/>
      <c r="D737" s="2867"/>
      <c r="E737" s="2867"/>
      <c r="F737" s="2867"/>
      <c r="G737" s="2867"/>
      <c r="H737" s="2867"/>
      <c r="I737" s="2867"/>
      <c r="J737" s="2867"/>
      <c r="K737" s="2867"/>
      <c r="L737" s="2867"/>
      <c r="M737" s="2867"/>
      <c r="O737" s="2867"/>
      <c r="P737" s="2867"/>
      <c r="Q737" s="2867"/>
      <c r="R737" s="2867"/>
      <c r="S737" s="2867"/>
      <c r="T737" s="2867"/>
      <c r="U737" s="2867"/>
      <c r="V737" s="2867"/>
      <c r="W737" s="2867"/>
      <c r="X737" s="2867"/>
      <c r="Y737" s="2867"/>
      <c r="Z737" s="2867"/>
      <c r="AA737" s="2867"/>
      <c r="AB737" s="2867"/>
      <c r="AC737" s="2867"/>
      <c r="AD737" s="2867"/>
      <c r="AE737" s="2867"/>
      <c r="AF737" s="2867"/>
      <c r="AG737" s="2867"/>
      <c r="AH737" s="2867"/>
      <c r="AI737" s="2867"/>
      <c r="AJ737" s="2867"/>
      <c r="AK737" s="2867"/>
      <c r="AL737" s="2867"/>
      <c r="AM737" s="2867"/>
      <c r="AN737" s="2867"/>
      <c r="AO737" s="2867"/>
      <c r="AP737" s="2867"/>
      <c r="AQ737" s="2867"/>
      <c r="AR737" s="2867"/>
      <c r="AS737" s="2867"/>
      <c r="AT737" s="2867"/>
      <c r="AU737" s="2867"/>
      <c r="AV737" s="2867"/>
      <c r="AW737" s="2867"/>
      <c r="AX737" s="2867"/>
      <c r="AY737" s="2867"/>
      <c r="AZ737" s="2867"/>
      <c r="BA737" s="2867"/>
      <c r="BB737" s="2867"/>
      <c r="BC737" s="2867"/>
      <c r="BD737" s="2867"/>
      <c r="BE737" s="2867"/>
      <c r="BF737" s="2867"/>
      <c r="BG737" s="2867"/>
      <c r="BH737" s="2867"/>
      <c r="BI737" s="2867"/>
      <c r="BJ737" s="2867"/>
      <c r="BK737" s="2867"/>
      <c r="BL737" s="2867"/>
      <c r="BM737" s="2867"/>
      <c r="BN737" s="2867"/>
      <c r="BO737" s="2867"/>
      <c r="BP737" s="2867"/>
      <c r="BQ737" s="2867"/>
      <c r="BR737" s="2867"/>
      <c r="BS737" s="2867"/>
      <c r="BT737" s="2867"/>
      <c r="BU737" s="2867"/>
      <c r="BV737" s="2867"/>
      <c r="BW737" s="2867"/>
      <c r="BX737" s="2867"/>
      <c r="BY737" s="2867"/>
      <c r="BZ737" s="2867"/>
      <c r="CA737" s="2867"/>
      <c r="CB737" s="2867"/>
      <c r="CC737" s="2867"/>
      <c r="CD737" s="2867"/>
      <c r="CE737" s="2867"/>
      <c r="CF737" s="2867"/>
      <c r="CG737" s="2867"/>
      <c r="CH737" s="2867"/>
      <c r="CI737" s="2867"/>
      <c r="CJ737" s="2867"/>
      <c r="CK737" s="2867"/>
      <c r="CL737" s="2867"/>
      <c r="CM737" s="2867"/>
      <c r="CN737" s="2867"/>
      <c r="CO737" s="2867"/>
      <c r="CP737" s="2867"/>
      <c r="CQ737" s="2867"/>
      <c r="CR737" s="2867"/>
      <c r="CS737" s="2867"/>
      <c r="CT737" s="2867"/>
      <c r="CU737" s="2867"/>
      <c r="CV737" s="2867"/>
      <c r="CW737" s="2867"/>
    </row>
    <row r="738" spans="1:101">
      <c r="A738" s="2867"/>
      <c r="B738" s="2867"/>
      <c r="C738" s="2867"/>
      <c r="D738" s="2867"/>
      <c r="E738" s="2867"/>
      <c r="F738" s="2867"/>
      <c r="G738" s="2867"/>
      <c r="H738" s="2867"/>
      <c r="I738" s="2867"/>
      <c r="J738" s="2867"/>
      <c r="K738" s="2867"/>
      <c r="L738" s="2867"/>
      <c r="M738" s="2867"/>
      <c r="O738" s="2867"/>
      <c r="P738" s="2867"/>
      <c r="Q738" s="2867"/>
      <c r="R738" s="2867"/>
      <c r="S738" s="2867"/>
      <c r="T738" s="2867"/>
      <c r="U738" s="2867"/>
      <c r="V738" s="2867"/>
      <c r="W738" s="2867"/>
      <c r="X738" s="2867"/>
      <c r="Y738" s="2867"/>
      <c r="Z738" s="2867"/>
      <c r="AA738" s="2867"/>
      <c r="AB738" s="2867"/>
      <c r="AC738" s="2867"/>
      <c r="AD738" s="2867"/>
      <c r="AE738" s="2867"/>
      <c r="AF738" s="2867"/>
      <c r="AG738" s="2867"/>
      <c r="AH738" s="2867"/>
      <c r="AI738" s="2867"/>
      <c r="AJ738" s="2867"/>
      <c r="AK738" s="2867"/>
      <c r="AL738" s="2867"/>
      <c r="AM738" s="2867"/>
      <c r="AN738" s="2867"/>
      <c r="AO738" s="2867"/>
      <c r="AP738" s="2867"/>
      <c r="AQ738" s="2867"/>
      <c r="AR738" s="2867"/>
      <c r="AS738" s="2867"/>
      <c r="AT738" s="2867"/>
      <c r="AU738" s="2867"/>
      <c r="AV738" s="2867"/>
      <c r="AW738" s="2867"/>
      <c r="AX738" s="2867"/>
      <c r="AY738" s="2867"/>
      <c r="AZ738" s="2867"/>
      <c r="BA738" s="2867"/>
      <c r="BB738" s="2867"/>
      <c r="BC738" s="2867"/>
      <c r="BD738" s="2867"/>
      <c r="BE738" s="2867"/>
      <c r="BF738" s="2867"/>
      <c r="BG738" s="2867"/>
      <c r="BH738" s="2867"/>
      <c r="BI738" s="2867"/>
      <c r="BJ738" s="2867"/>
      <c r="BK738" s="2867"/>
      <c r="BL738" s="2867"/>
      <c r="BM738" s="2867"/>
      <c r="BN738" s="2867"/>
      <c r="BO738" s="2867"/>
      <c r="BP738" s="2867"/>
      <c r="BQ738" s="2867"/>
      <c r="BR738" s="2867"/>
      <c r="BS738" s="2867"/>
      <c r="BT738" s="2867"/>
      <c r="BU738" s="2867"/>
      <c r="BV738" s="2867"/>
      <c r="BW738" s="2867"/>
      <c r="BX738" s="2867"/>
      <c r="BY738" s="2867"/>
      <c r="BZ738" s="2867"/>
      <c r="CA738" s="2867"/>
      <c r="CB738" s="2867"/>
      <c r="CC738" s="2867"/>
      <c r="CD738" s="2867"/>
      <c r="CE738" s="2867"/>
      <c r="CF738" s="2867"/>
      <c r="CG738" s="2867"/>
      <c r="CH738" s="2867"/>
      <c r="CI738" s="2867"/>
      <c r="CJ738" s="2867"/>
      <c r="CK738" s="2867"/>
      <c r="CL738" s="2867"/>
      <c r="CM738" s="2867"/>
      <c r="CN738" s="2867"/>
      <c r="CO738" s="2867"/>
      <c r="CP738" s="2867"/>
      <c r="CQ738" s="2867"/>
      <c r="CR738" s="2867"/>
      <c r="CS738" s="2867"/>
      <c r="CT738" s="2867"/>
      <c r="CU738" s="2867"/>
      <c r="CV738" s="2867"/>
      <c r="CW738" s="2867"/>
    </row>
    <row r="739" spans="1:101">
      <c r="A739" s="2867"/>
      <c r="B739" s="2867"/>
      <c r="C739" s="2867"/>
      <c r="D739" s="2867"/>
      <c r="E739" s="2867"/>
      <c r="F739" s="2867"/>
      <c r="G739" s="2867"/>
      <c r="H739" s="2867"/>
      <c r="I739" s="2867"/>
      <c r="J739" s="2867"/>
      <c r="K739" s="2867"/>
      <c r="L739" s="2867"/>
      <c r="M739" s="2867"/>
      <c r="O739" s="2867"/>
      <c r="P739" s="2867"/>
      <c r="Q739" s="2867"/>
      <c r="R739" s="2867"/>
      <c r="S739" s="2867"/>
      <c r="T739" s="2867"/>
      <c r="U739" s="2867"/>
      <c r="V739" s="2867"/>
      <c r="W739" s="2867"/>
      <c r="X739" s="2867"/>
      <c r="Y739" s="2867"/>
      <c r="Z739" s="2867"/>
      <c r="AA739" s="2867"/>
      <c r="AB739" s="2867"/>
      <c r="AC739" s="2867"/>
      <c r="AD739" s="2867"/>
      <c r="AE739" s="2867"/>
      <c r="AF739" s="2867"/>
      <c r="AG739" s="2867"/>
      <c r="AH739" s="2867"/>
      <c r="AI739" s="2867"/>
      <c r="AJ739" s="2867"/>
      <c r="AK739" s="2867"/>
      <c r="AL739" s="2867"/>
      <c r="AM739" s="2867"/>
      <c r="AN739" s="2867"/>
      <c r="AO739" s="2867"/>
      <c r="AP739" s="2867"/>
      <c r="AQ739" s="2867"/>
      <c r="AR739" s="2867"/>
      <c r="AS739" s="2867"/>
      <c r="AT739" s="2867"/>
      <c r="AU739" s="2867"/>
      <c r="AV739" s="2867"/>
      <c r="AW739" s="2867"/>
      <c r="AX739" s="2867"/>
      <c r="AY739" s="2867"/>
      <c r="AZ739" s="2867"/>
      <c r="BA739" s="2867"/>
      <c r="BB739" s="2867"/>
      <c r="BC739" s="2867"/>
      <c r="BD739" s="2867"/>
      <c r="BE739" s="2867"/>
      <c r="BF739" s="2867"/>
      <c r="BG739" s="2867"/>
      <c r="BH739" s="2867"/>
      <c r="BI739" s="2867"/>
      <c r="BJ739" s="2867"/>
      <c r="BK739" s="2867"/>
      <c r="BL739" s="2867"/>
      <c r="BM739" s="2867"/>
      <c r="BN739" s="2867"/>
      <c r="BO739" s="2867"/>
      <c r="BP739" s="2867"/>
      <c r="BQ739" s="2867"/>
      <c r="BR739" s="2867"/>
      <c r="BS739" s="2867"/>
      <c r="BT739" s="2867"/>
      <c r="BU739" s="2867"/>
      <c r="BV739" s="2867"/>
      <c r="BW739" s="2867"/>
      <c r="BX739" s="2867"/>
      <c r="BY739" s="2867"/>
      <c r="BZ739" s="2867"/>
      <c r="CA739" s="2867"/>
      <c r="CB739" s="2867"/>
      <c r="CC739" s="2867"/>
      <c r="CD739" s="2867"/>
      <c r="CE739" s="2867"/>
      <c r="CF739" s="2867"/>
      <c r="CG739" s="2867"/>
      <c r="CH739" s="2867"/>
      <c r="CI739" s="2867"/>
      <c r="CJ739" s="2867"/>
      <c r="CK739" s="2867"/>
      <c r="CL739" s="2867"/>
      <c r="CM739" s="2867"/>
      <c r="CN739" s="2867"/>
      <c r="CO739" s="2867"/>
      <c r="CP739" s="2867"/>
      <c r="CQ739" s="2867"/>
      <c r="CR739" s="2867"/>
      <c r="CS739" s="2867"/>
      <c r="CT739" s="2867"/>
      <c r="CU739" s="2867"/>
      <c r="CV739" s="2867"/>
      <c r="CW739" s="2867"/>
    </row>
    <row r="740" spans="1:101">
      <c r="A740" s="2867"/>
      <c r="B740" s="2867"/>
      <c r="C740" s="2867"/>
      <c r="D740" s="2867"/>
      <c r="E740" s="2867"/>
      <c r="F740" s="2867"/>
      <c r="G740" s="2867"/>
      <c r="H740" s="2867"/>
      <c r="I740" s="2867"/>
      <c r="J740" s="2867"/>
      <c r="K740" s="2867"/>
      <c r="L740" s="2867"/>
      <c r="M740" s="2867"/>
      <c r="O740" s="2867"/>
      <c r="P740" s="2867"/>
      <c r="Q740" s="2867"/>
      <c r="R740" s="2867"/>
      <c r="S740" s="2867"/>
      <c r="T740" s="2867"/>
      <c r="U740" s="2867"/>
      <c r="V740" s="2867"/>
      <c r="W740" s="2867"/>
      <c r="X740" s="2867"/>
      <c r="Y740" s="2867"/>
      <c r="Z740" s="2867"/>
      <c r="AA740" s="2867"/>
      <c r="AB740" s="2867"/>
      <c r="AC740" s="2867"/>
      <c r="AD740" s="2867"/>
      <c r="AE740" s="2867"/>
      <c r="AF740" s="2867"/>
      <c r="AG740" s="2867"/>
      <c r="AH740" s="2867"/>
      <c r="AI740" s="2867"/>
      <c r="AJ740" s="2867"/>
      <c r="AK740" s="2867"/>
      <c r="AL740" s="2867"/>
      <c r="AM740" s="2867"/>
      <c r="AN740" s="2867"/>
      <c r="AO740" s="2867"/>
      <c r="AP740" s="2867"/>
      <c r="AQ740" s="2867"/>
      <c r="AR740" s="2867"/>
      <c r="AS740" s="2867"/>
      <c r="AT740" s="2867"/>
      <c r="AU740" s="2867"/>
      <c r="AV740" s="2867"/>
      <c r="AW740" s="2867"/>
      <c r="AX740" s="2867"/>
      <c r="AY740" s="2867"/>
      <c r="AZ740" s="2867"/>
      <c r="BA740" s="2867"/>
      <c r="BB740" s="2867"/>
      <c r="BC740" s="2867"/>
      <c r="BD740" s="2867"/>
      <c r="BE740" s="2867"/>
      <c r="BF740" s="2867"/>
      <c r="BG740" s="2867"/>
      <c r="BH740" s="2867"/>
      <c r="BI740" s="2867"/>
      <c r="BJ740" s="2867"/>
      <c r="BK740" s="2867"/>
      <c r="BL740" s="2867"/>
      <c r="BM740" s="2867"/>
      <c r="BN740" s="2867"/>
      <c r="BO740" s="2867"/>
      <c r="BP740" s="2867"/>
      <c r="BQ740" s="2867"/>
      <c r="BR740" s="2867"/>
      <c r="BS740" s="2867"/>
      <c r="BT740" s="2867"/>
      <c r="BU740" s="2867"/>
      <c r="BV740" s="2867"/>
      <c r="BW740" s="2867"/>
      <c r="BX740" s="2867"/>
      <c r="BY740" s="2867"/>
      <c r="BZ740" s="2867"/>
      <c r="CA740" s="2867"/>
      <c r="CB740" s="2867"/>
      <c r="CC740" s="2867"/>
      <c r="CD740" s="2867"/>
      <c r="CE740" s="2867"/>
      <c r="CF740" s="2867"/>
      <c r="CG740" s="2867"/>
      <c r="CH740" s="2867"/>
      <c r="CI740" s="2867"/>
      <c r="CJ740" s="2867"/>
      <c r="CK740" s="2867"/>
      <c r="CL740" s="2867"/>
      <c r="CM740" s="2867"/>
      <c r="CN740" s="2867"/>
      <c r="CO740" s="2867"/>
      <c r="CP740" s="2867"/>
      <c r="CQ740" s="2867"/>
      <c r="CR740" s="2867"/>
      <c r="CS740" s="2867"/>
      <c r="CT740" s="2867"/>
      <c r="CU740" s="2867"/>
      <c r="CV740" s="2867"/>
      <c r="CW740" s="2867"/>
    </row>
    <row r="741" spans="1:101">
      <c r="A741" s="2867"/>
      <c r="B741" s="2867"/>
      <c r="C741" s="2867"/>
      <c r="D741" s="2867"/>
      <c r="E741" s="2867"/>
      <c r="F741" s="2867"/>
      <c r="G741" s="2867"/>
      <c r="H741" s="2867"/>
      <c r="I741" s="2867"/>
      <c r="J741" s="2867"/>
      <c r="K741" s="2867"/>
      <c r="L741" s="2867"/>
      <c r="M741" s="2867"/>
      <c r="O741" s="2867"/>
      <c r="P741" s="2867"/>
      <c r="Q741" s="2867"/>
      <c r="R741" s="2867"/>
      <c r="S741" s="2867"/>
      <c r="T741" s="2867"/>
      <c r="U741" s="2867"/>
      <c r="V741" s="2867"/>
      <c r="W741" s="2867"/>
      <c r="X741" s="2867"/>
      <c r="Y741" s="2867"/>
      <c r="Z741" s="2867"/>
      <c r="AA741" s="2867"/>
      <c r="AB741" s="2867"/>
      <c r="AC741" s="2867"/>
      <c r="AD741" s="2867"/>
      <c r="AE741" s="2867"/>
      <c r="AF741" s="2867"/>
      <c r="AG741" s="2867"/>
      <c r="AH741" s="2867"/>
      <c r="AI741" s="2867"/>
      <c r="AJ741" s="2867"/>
      <c r="AK741" s="2867"/>
      <c r="AL741" s="2867"/>
      <c r="AM741" s="2867"/>
      <c r="AN741" s="2867"/>
      <c r="AO741" s="2867"/>
      <c r="AP741" s="2867"/>
      <c r="AQ741" s="2867"/>
      <c r="AR741" s="2867"/>
      <c r="AS741" s="2867"/>
      <c r="AT741" s="2867"/>
      <c r="AU741" s="2867"/>
      <c r="AV741" s="2867"/>
      <c r="AW741" s="2867"/>
      <c r="AX741" s="2867"/>
      <c r="AY741" s="2867"/>
      <c r="AZ741" s="2867"/>
      <c r="BA741" s="2867"/>
      <c r="BB741" s="2867"/>
      <c r="BC741" s="2867"/>
      <c r="BD741" s="2867"/>
      <c r="BE741" s="2867"/>
      <c r="BF741" s="2867"/>
      <c r="BG741" s="2867"/>
      <c r="BH741" s="2867"/>
      <c r="BI741" s="2867"/>
      <c r="BJ741" s="2867"/>
      <c r="BK741" s="2867"/>
      <c r="BL741" s="2867"/>
      <c r="BM741" s="2867"/>
      <c r="BN741" s="2867"/>
      <c r="BO741" s="2867"/>
      <c r="BP741" s="2867"/>
      <c r="BQ741" s="2867"/>
      <c r="BR741" s="2867"/>
      <c r="BS741" s="2867"/>
      <c r="BT741" s="2867"/>
      <c r="BU741" s="2867"/>
      <c r="BV741" s="2867"/>
      <c r="BW741" s="2867"/>
      <c r="BX741" s="2867"/>
      <c r="BY741" s="2867"/>
      <c r="BZ741" s="2867"/>
      <c r="CA741" s="2867"/>
      <c r="CB741" s="2867"/>
      <c r="CC741" s="2867"/>
      <c r="CD741" s="2867"/>
      <c r="CE741" s="2867"/>
      <c r="CF741" s="2867"/>
      <c r="CG741" s="2867"/>
      <c r="CH741" s="2867"/>
      <c r="CI741" s="2867"/>
      <c r="CJ741" s="2867"/>
      <c r="CK741" s="2867"/>
      <c r="CL741" s="2867"/>
      <c r="CM741" s="2867"/>
      <c r="CN741" s="2867"/>
      <c r="CO741" s="2867"/>
      <c r="CP741" s="2867"/>
      <c r="CQ741" s="2867"/>
      <c r="CR741" s="2867"/>
      <c r="CS741" s="2867"/>
      <c r="CT741" s="2867"/>
      <c r="CU741" s="2867"/>
      <c r="CV741" s="2867"/>
      <c r="CW741" s="2867"/>
    </row>
    <row r="742" spans="1:101">
      <c r="A742" s="2867"/>
      <c r="B742" s="2867"/>
      <c r="C742" s="2867"/>
      <c r="D742" s="2867"/>
      <c r="E742" s="2867"/>
      <c r="F742" s="2867"/>
      <c r="G742" s="2867"/>
      <c r="H742" s="2867"/>
      <c r="I742" s="2867"/>
      <c r="J742" s="2867"/>
      <c r="K742" s="2867"/>
      <c r="L742" s="2867"/>
      <c r="M742" s="2867"/>
      <c r="O742" s="2867"/>
      <c r="P742" s="2867"/>
      <c r="Q742" s="2867"/>
      <c r="R742" s="2867"/>
      <c r="S742" s="2867"/>
      <c r="T742" s="2867"/>
      <c r="U742" s="2867"/>
      <c r="V742" s="2867"/>
      <c r="W742" s="2867"/>
      <c r="X742" s="2867"/>
      <c r="Y742" s="2867"/>
      <c r="Z742" s="2867"/>
      <c r="AA742" s="2867"/>
      <c r="AB742" s="2867"/>
      <c r="AC742" s="2867"/>
      <c r="AD742" s="2867"/>
      <c r="AE742" s="2867"/>
      <c r="AF742" s="2867"/>
      <c r="AG742" s="2867"/>
      <c r="AH742" s="2867"/>
      <c r="AI742" s="2867"/>
      <c r="AJ742" s="2867"/>
      <c r="AK742" s="2867"/>
      <c r="AL742" s="2867"/>
      <c r="AM742" s="2867"/>
      <c r="AN742" s="2867"/>
      <c r="AO742" s="2867"/>
      <c r="AP742" s="2867"/>
      <c r="AQ742" s="2867"/>
      <c r="AR742" s="2867"/>
      <c r="AS742" s="2867"/>
      <c r="AT742" s="2867"/>
      <c r="AU742" s="2867"/>
      <c r="AV742" s="2867"/>
      <c r="AW742" s="2867"/>
      <c r="AX742" s="2867"/>
      <c r="AY742" s="2867"/>
      <c r="AZ742" s="2867"/>
      <c r="BA742" s="2867"/>
      <c r="BB742" s="2867"/>
      <c r="BC742" s="2867"/>
      <c r="BD742" s="2867"/>
      <c r="BE742" s="2867"/>
      <c r="BF742" s="2867"/>
      <c r="BG742" s="2867"/>
      <c r="BH742" s="2867"/>
      <c r="BI742" s="2867"/>
      <c r="BJ742" s="2867"/>
      <c r="BK742" s="2867"/>
      <c r="BL742" s="2867"/>
      <c r="BM742" s="2867"/>
      <c r="BN742" s="2867"/>
      <c r="BO742" s="2867"/>
      <c r="BP742" s="2867"/>
      <c r="BQ742" s="2867"/>
      <c r="BR742" s="2867"/>
      <c r="BS742" s="2867"/>
      <c r="BT742" s="2867"/>
      <c r="BU742" s="2867"/>
      <c r="BV742" s="2867"/>
      <c r="BW742" s="2867"/>
      <c r="BX742" s="2867"/>
      <c r="BY742" s="2867"/>
      <c r="BZ742" s="2867"/>
      <c r="CA742" s="2867"/>
      <c r="CB742" s="2867"/>
      <c r="CC742" s="2867"/>
      <c r="CD742" s="2867"/>
      <c r="CE742" s="2867"/>
      <c r="CF742" s="2867"/>
      <c r="CG742" s="2867"/>
      <c r="CH742" s="2867"/>
      <c r="CI742" s="2867"/>
      <c r="CJ742" s="2867"/>
      <c r="CK742" s="2867"/>
      <c r="CL742" s="2867"/>
      <c r="CM742" s="2867"/>
      <c r="CN742" s="2867"/>
      <c r="CO742" s="2867"/>
      <c r="CP742" s="2867"/>
      <c r="CQ742" s="2867"/>
      <c r="CR742" s="2867"/>
      <c r="CS742" s="2867"/>
      <c r="CT742" s="2867"/>
      <c r="CU742" s="2867"/>
      <c r="CV742" s="2867"/>
      <c r="CW742" s="2867"/>
    </row>
    <row r="743" spans="1:101">
      <c r="A743" s="2867"/>
      <c r="B743" s="2867"/>
      <c r="C743" s="2867"/>
      <c r="D743" s="2867"/>
      <c r="E743" s="2867"/>
      <c r="F743" s="2867"/>
      <c r="G743" s="2867"/>
      <c r="H743" s="2867"/>
      <c r="I743" s="2867"/>
      <c r="J743" s="2867"/>
      <c r="K743" s="2867"/>
      <c r="L743" s="2867"/>
      <c r="M743" s="2867"/>
      <c r="O743" s="2867"/>
      <c r="P743" s="2867"/>
      <c r="Q743" s="2867"/>
      <c r="R743" s="2867"/>
      <c r="S743" s="2867"/>
      <c r="T743" s="2867"/>
      <c r="U743" s="2867"/>
      <c r="V743" s="2867"/>
      <c r="W743" s="2867"/>
      <c r="X743" s="2867"/>
      <c r="Y743" s="2867"/>
      <c r="Z743" s="2867"/>
      <c r="AA743" s="2867"/>
      <c r="AB743" s="2867"/>
      <c r="AC743" s="2867"/>
      <c r="AD743" s="2867"/>
      <c r="AE743" s="2867"/>
      <c r="AF743" s="2867"/>
      <c r="AG743" s="2867"/>
      <c r="AH743" s="2867"/>
      <c r="AI743" s="2867"/>
      <c r="AJ743" s="2867"/>
      <c r="AK743" s="2867"/>
      <c r="AL743" s="2867"/>
      <c r="AM743" s="2867"/>
      <c r="AN743" s="2867"/>
      <c r="AO743" s="2867"/>
      <c r="AP743" s="2867"/>
      <c r="AQ743" s="2867"/>
      <c r="AR743" s="2867"/>
      <c r="AS743" s="2867"/>
      <c r="AT743" s="2867"/>
      <c r="AU743" s="2867"/>
      <c r="AV743" s="2867"/>
      <c r="AW743" s="2867"/>
      <c r="AX743" s="2867"/>
      <c r="AY743" s="2867"/>
      <c r="AZ743" s="2867"/>
      <c r="BA743" s="2867"/>
      <c r="BB743" s="2867"/>
      <c r="BC743" s="2867"/>
      <c r="BD743" s="2867"/>
      <c r="BE743" s="2867"/>
      <c r="BF743" s="2867"/>
      <c r="BG743" s="2867"/>
      <c r="BH743" s="2867"/>
      <c r="BI743" s="2867"/>
      <c r="BJ743" s="2867"/>
      <c r="BK743" s="2867"/>
      <c r="BL743" s="2867"/>
      <c r="BM743" s="2867"/>
      <c r="BN743" s="2867"/>
      <c r="BO743" s="2867"/>
      <c r="BP743" s="2867"/>
      <c r="BQ743" s="2867"/>
      <c r="BR743" s="2867"/>
      <c r="BS743" s="2867"/>
      <c r="BT743" s="2867"/>
      <c r="BU743" s="2867"/>
      <c r="BV743" s="2867"/>
      <c r="BW743" s="2867"/>
      <c r="BX743" s="2867"/>
      <c r="BY743" s="2867"/>
      <c r="BZ743" s="2867"/>
      <c r="CA743" s="2867"/>
      <c r="CB743" s="2867"/>
      <c r="CC743" s="2867"/>
      <c r="CD743" s="2867"/>
      <c r="CE743" s="2867"/>
      <c r="CF743" s="2867"/>
      <c r="CG743" s="2867"/>
      <c r="CH743" s="2867"/>
      <c r="CI743" s="2867"/>
      <c r="CJ743" s="2867"/>
      <c r="CK743" s="2867"/>
      <c r="CL743" s="2867"/>
      <c r="CM743" s="2867"/>
      <c r="CN743" s="2867"/>
      <c r="CO743" s="2867"/>
      <c r="CP743" s="2867"/>
      <c r="CQ743" s="2867"/>
      <c r="CR743" s="2867"/>
      <c r="CS743" s="2867"/>
      <c r="CT743" s="2867"/>
      <c r="CU743" s="2867"/>
      <c r="CV743" s="2867"/>
      <c r="CW743" s="2867"/>
    </row>
    <row r="744" spans="1:101">
      <c r="A744" s="2867"/>
      <c r="B744" s="2867"/>
      <c r="C744" s="2867"/>
      <c r="D744" s="2867"/>
      <c r="E744" s="2867"/>
      <c r="F744" s="2867"/>
      <c r="G744" s="2867"/>
      <c r="H744" s="2867"/>
      <c r="I744" s="2867"/>
      <c r="J744" s="2867"/>
      <c r="K744" s="2867"/>
      <c r="L744" s="2867"/>
      <c r="M744" s="2867"/>
      <c r="O744" s="2867"/>
      <c r="P744" s="2867"/>
      <c r="Q744" s="2867"/>
      <c r="R744" s="2867"/>
      <c r="S744" s="2867"/>
      <c r="T744" s="2867"/>
      <c r="U744" s="2867"/>
      <c r="V744" s="2867"/>
      <c r="W744" s="2867"/>
      <c r="X744" s="2867"/>
      <c r="Y744" s="2867"/>
      <c r="Z744" s="2867"/>
      <c r="AA744" s="2867"/>
      <c r="AB744" s="2867"/>
      <c r="AC744" s="2867"/>
      <c r="AD744" s="2867"/>
      <c r="AE744" s="2867"/>
      <c r="AF744" s="2867"/>
      <c r="AG744" s="2867"/>
      <c r="AH744" s="2867"/>
      <c r="AI744" s="2867"/>
      <c r="AJ744" s="2867"/>
      <c r="AK744" s="2867"/>
      <c r="AL744" s="2867"/>
      <c r="AM744" s="2867"/>
      <c r="AN744" s="2867"/>
      <c r="AO744" s="2867"/>
      <c r="AP744" s="2867"/>
      <c r="AQ744" s="2867"/>
      <c r="AR744" s="2867"/>
      <c r="AS744" s="2867"/>
      <c r="AT744" s="2867"/>
      <c r="AU744" s="2867"/>
      <c r="AV744" s="2867"/>
      <c r="AW744" s="2867"/>
      <c r="AX744" s="2867"/>
      <c r="AY744" s="2867"/>
      <c r="AZ744" s="2867"/>
      <c r="BA744" s="2867"/>
      <c r="BB744" s="2867"/>
      <c r="BC744" s="2867"/>
      <c r="BD744" s="2867"/>
      <c r="BE744" s="2867"/>
      <c r="BF744" s="2867"/>
      <c r="BG744" s="2867"/>
      <c r="BH744" s="2867"/>
      <c r="BI744" s="2867"/>
      <c r="BJ744" s="2867"/>
      <c r="BK744" s="2867"/>
      <c r="BL744" s="2867"/>
      <c r="BM744" s="2867"/>
      <c r="BN744" s="2867"/>
      <c r="BO744" s="2867"/>
      <c r="BP744" s="2867"/>
      <c r="BQ744" s="2867"/>
      <c r="BR744" s="2867"/>
      <c r="BS744" s="2867"/>
      <c r="BT744" s="2867"/>
      <c r="BU744" s="2867"/>
      <c r="BV744" s="2867"/>
      <c r="BW744" s="2867"/>
      <c r="BX744" s="2867"/>
      <c r="BY744" s="2867"/>
      <c r="BZ744" s="2867"/>
      <c r="CA744" s="2867"/>
      <c r="CB744" s="2867"/>
      <c r="CC744" s="2867"/>
      <c r="CD744" s="2867"/>
      <c r="CE744" s="2867"/>
      <c r="CF744" s="2867"/>
      <c r="CG744" s="2867"/>
      <c r="CH744" s="2867"/>
      <c r="CI744" s="2867"/>
      <c r="CJ744" s="2867"/>
      <c r="CK744" s="2867"/>
      <c r="CL744" s="2867"/>
      <c r="CM744" s="2867"/>
      <c r="CN744" s="2867"/>
      <c r="CO744" s="2867"/>
      <c r="CP744" s="2867"/>
      <c r="CQ744" s="2867"/>
      <c r="CR744" s="2867"/>
      <c r="CS744" s="2867"/>
      <c r="CT744" s="2867"/>
      <c r="CU744" s="2867"/>
      <c r="CV744" s="2867"/>
      <c r="CW744" s="2867"/>
    </row>
    <row r="745" spans="1:101">
      <c r="A745" s="2867"/>
      <c r="B745" s="2867"/>
      <c r="C745" s="2867"/>
      <c r="D745" s="2867"/>
      <c r="E745" s="2867"/>
      <c r="F745" s="2867"/>
      <c r="G745" s="2867"/>
      <c r="H745" s="2867"/>
      <c r="I745" s="2867"/>
      <c r="J745" s="2867"/>
      <c r="K745" s="2867"/>
      <c r="L745" s="2867"/>
      <c r="M745" s="2867"/>
      <c r="O745" s="2867"/>
      <c r="P745" s="2867"/>
      <c r="Q745" s="2867"/>
      <c r="R745" s="2867"/>
      <c r="S745" s="2867"/>
      <c r="T745" s="2867"/>
      <c r="U745" s="2867"/>
      <c r="V745" s="2867"/>
      <c r="W745" s="2867"/>
      <c r="X745" s="2867"/>
      <c r="Y745" s="2867"/>
      <c r="Z745" s="2867"/>
      <c r="AA745" s="2867"/>
      <c r="AB745" s="2867"/>
      <c r="AC745" s="2867"/>
      <c r="AD745" s="2867"/>
      <c r="AE745" s="2867"/>
      <c r="AF745" s="2867"/>
      <c r="AG745" s="2867"/>
      <c r="AH745" s="2867"/>
      <c r="AI745" s="2867"/>
      <c r="AJ745" s="2867"/>
      <c r="AK745" s="2867"/>
      <c r="AL745" s="2867"/>
      <c r="AM745" s="2867"/>
      <c r="AN745" s="2867"/>
      <c r="AO745" s="2867"/>
      <c r="AP745" s="2867"/>
      <c r="AQ745" s="2867"/>
      <c r="AR745" s="2867"/>
      <c r="AS745" s="2867"/>
      <c r="AT745" s="2867"/>
      <c r="AU745" s="2867"/>
      <c r="AV745" s="2867"/>
      <c r="AW745" s="2867"/>
      <c r="AX745" s="2867"/>
      <c r="AY745" s="2867"/>
      <c r="AZ745" s="2867"/>
      <c r="BA745" s="2867"/>
      <c r="BB745" s="2867"/>
      <c r="BC745" s="2867"/>
      <c r="BD745" s="2867"/>
      <c r="BE745" s="2867"/>
      <c r="BF745" s="2867"/>
      <c r="BG745" s="2867"/>
      <c r="BH745" s="2867"/>
      <c r="BI745" s="2867"/>
      <c r="BJ745" s="2867"/>
      <c r="BK745" s="2867"/>
      <c r="BL745" s="2867"/>
      <c r="BM745" s="2867"/>
      <c r="BN745" s="2867"/>
      <c r="BO745" s="2867"/>
      <c r="BP745" s="2867"/>
      <c r="BQ745" s="2867"/>
      <c r="BR745" s="2867"/>
      <c r="BS745" s="2867"/>
      <c r="BT745" s="2867"/>
      <c r="BU745" s="2867"/>
      <c r="BV745" s="2867"/>
      <c r="BW745" s="2867"/>
      <c r="BX745" s="2867"/>
      <c r="BY745" s="2867"/>
      <c r="BZ745" s="2867"/>
      <c r="CA745" s="2867"/>
      <c r="CB745" s="2867"/>
      <c r="CC745" s="2867"/>
      <c r="CD745" s="2867"/>
      <c r="CE745" s="2867"/>
      <c r="CF745" s="2867"/>
      <c r="CG745" s="2867"/>
      <c r="CH745" s="2867"/>
      <c r="CI745" s="2867"/>
      <c r="CJ745" s="2867"/>
      <c r="CK745" s="2867"/>
      <c r="CL745" s="2867"/>
      <c r="CM745" s="2867"/>
      <c r="CN745" s="2867"/>
      <c r="CO745" s="2867"/>
      <c r="CP745" s="2867"/>
      <c r="CQ745" s="2867"/>
      <c r="CR745" s="2867"/>
      <c r="CS745" s="2867"/>
      <c r="CT745" s="2867"/>
      <c r="CU745" s="2867"/>
      <c r="CV745" s="2867"/>
      <c r="CW745" s="2867"/>
    </row>
    <row r="746" spans="1:101">
      <c r="A746" s="2867"/>
      <c r="B746" s="2867"/>
      <c r="C746" s="2867"/>
      <c r="D746" s="2867"/>
      <c r="E746" s="2867"/>
      <c r="F746" s="2867"/>
      <c r="G746" s="2867"/>
      <c r="H746" s="2867"/>
      <c r="I746" s="2867"/>
      <c r="J746" s="2867"/>
      <c r="K746" s="2867"/>
      <c r="L746" s="2867"/>
      <c r="M746" s="2867"/>
      <c r="O746" s="2867"/>
      <c r="P746" s="2867"/>
      <c r="Q746" s="2867"/>
      <c r="R746" s="2867"/>
      <c r="S746" s="2867"/>
      <c r="T746" s="2867"/>
      <c r="U746" s="2867"/>
      <c r="V746" s="2867"/>
      <c r="W746" s="2867"/>
      <c r="X746" s="2867"/>
      <c r="Y746" s="2867"/>
      <c r="Z746" s="2867"/>
      <c r="AA746" s="2867"/>
      <c r="AB746" s="2867"/>
      <c r="AC746" s="2867"/>
      <c r="AD746" s="2867"/>
      <c r="AE746" s="2867"/>
      <c r="AF746" s="2867"/>
      <c r="AG746" s="2867"/>
      <c r="AH746" s="2867"/>
      <c r="AI746" s="2867"/>
      <c r="AJ746" s="2867"/>
      <c r="AK746" s="2867"/>
      <c r="AL746" s="2867"/>
      <c r="AM746" s="2867"/>
      <c r="AN746" s="2867"/>
      <c r="AO746" s="2867"/>
      <c r="AP746" s="2867"/>
      <c r="AQ746" s="2867"/>
      <c r="AR746" s="2867"/>
      <c r="AS746" s="2867"/>
      <c r="AT746" s="2867"/>
      <c r="AU746" s="2867"/>
      <c r="AV746" s="2867"/>
      <c r="AW746" s="2867"/>
      <c r="AX746" s="2867"/>
      <c r="AY746" s="2867"/>
      <c r="AZ746" s="2867"/>
      <c r="BA746" s="2867"/>
      <c r="BB746" s="2867"/>
      <c r="BC746" s="2867"/>
      <c r="BD746" s="2867"/>
      <c r="BE746" s="2867"/>
      <c r="BF746" s="2867"/>
      <c r="BG746" s="2867"/>
      <c r="BH746" s="2867"/>
      <c r="BI746" s="2867"/>
      <c r="BJ746" s="2867"/>
      <c r="BK746" s="2867"/>
      <c r="BL746" s="2867"/>
      <c r="BM746" s="2867"/>
      <c r="BN746" s="2867"/>
      <c r="BO746" s="2867"/>
      <c r="BP746" s="2867"/>
      <c r="BQ746" s="2867"/>
      <c r="BR746" s="2867"/>
      <c r="BS746" s="2867"/>
      <c r="BT746" s="2867"/>
      <c r="BU746" s="2867"/>
      <c r="BV746" s="2867"/>
      <c r="BW746" s="2867"/>
      <c r="BX746" s="2867"/>
      <c r="BY746" s="2867"/>
      <c r="BZ746" s="2867"/>
      <c r="CA746" s="2867"/>
      <c r="CB746" s="2867"/>
      <c r="CC746" s="2867"/>
      <c r="CD746" s="2867"/>
      <c r="CE746" s="2867"/>
      <c r="CF746" s="2867"/>
      <c r="CG746" s="2867"/>
      <c r="CH746" s="2867"/>
      <c r="CI746" s="2867"/>
      <c r="CJ746" s="2867"/>
      <c r="CK746" s="2867"/>
      <c r="CL746" s="2867"/>
      <c r="CM746" s="2867"/>
      <c r="CN746" s="2867"/>
      <c r="CO746" s="2867"/>
      <c r="CP746" s="2867"/>
      <c r="CQ746" s="2867"/>
      <c r="CR746" s="2867"/>
      <c r="CS746" s="2867"/>
      <c r="CT746" s="2867"/>
      <c r="CU746" s="2867"/>
      <c r="CV746" s="2867"/>
      <c r="CW746" s="2867"/>
    </row>
    <row r="747" spans="1:101">
      <c r="A747" s="2867"/>
      <c r="B747" s="2867"/>
      <c r="C747" s="2867"/>
      <c r="D747" s="2867"/>
      <c r="E747" s="2867"/>
      <c r="F747" s="2867"/>
      <c r="G747" s="2867"/>
      <c r="H747" s="2867"/>
      <c r="I747" s="2867"/>
      <c r="J747" s="2867"/>
      <c r="K747" s="2867"/>
      <c r="L747" s="2867"/>
      <c r="M747" s="2867"/>
      <c r="O747" s="2867"/>
      <c r="P747" s="2867"/>
      <c r="Q747" s="2867"/>
      <c r="R747" s="2867"/>
      <c r="S747" s="2867"/>
      <c r="T747" s="2867"/>
      <c r="U747" s="2867"/>
      <c r="V747" s="2867"/>
      <c r="W747" s="2867"/>
      <c r="X747" s="2867"/>
      <c r="Y747" s="2867"/>
      <c r="Z747" s="2867"/>
      <c r="AA747" s="2867"/>
      <c r="AB747" s="2867"/>
      <c r="AC747" s="2867"/>
      <c r="AD747" s="2867"/>
      <c r="AE747" s="2867"/>
      <c r="AF747" s="2867"/>
      <c r="AG747" s="2867"/>
      <c r="AH747" s="2867"/>
      <c r="AI747" s="2867"/>
      <c r="AJ747" s="2867"/>
      <c r="AK747" s="2867"/>
      <c r="AL747" s="2867"/>
      <c r="AM747" s="2867"/>
      <c r="AN747" s="2867"/>
      <c r="AO747" s="2867"/>
      <c r="AP747" s="2867"/>
      <c r="AQ747" s="2867"/>
      <c r="AR747" s="2867"/>
      <c r="AS747" s="2867"/>
      <c r="AT747" s="2867"/>
      <c r="AU747" s="2867"/>
      <c r="AV747" s="2867"/>
      <c r="AW747" s="2867"/>
      <c r="AX747" s="2867"/>
      <c r="AY747" s="2867"/>
      <c r="AZ747" s="2867"/>
      <c r="BA747" s="2867"/>
      <c r="BB747" s="2867"/>
      <c r="BC747" s="2867"/>
      <c r="BD747" s="2867"/>
      <c r="BE747" s="2867"/>
      <c r="BF747" s="2867"/>
      <c r="BG747" s="2867"/>
      <c r="BH747" s="2867"/>
      <c r="BI747" s="2867"/>
      <c r="BJ747" s="2867"/>
      <c r="BK747" s="2867"/>
      <c r="BL747" s="2867"/>
      <c r="BM747" s="2867"/>
      <c r="BN747" s="2867"/>
      <c r="BO747" s="2867"/>
      <c r="BP747" s="2867"/>
      <c r="BQ747" s="2867"/>
      <c r="BR747" s="2867"/>
      <c r="BS747" s="2867"/>
      <c r="BT747" s="2867"/>
      <c r="BU747" s="2867"/>
      <c r="BV747" s="2867"/>
      <c r="BW747" s="2867"/>
      <c r="BX747" s="2867"/>
      <c r="BY747" s="2867"/>
      <c r="BZ747" s="2867"/>
      <c r="CA747" s="2867"/>
      <c r="CB747" s="2867"/>
      <c r="CC747" s="2867"/>
      <c r="CD747" s="2867"/>
      <c r="CE747" s="2867"/>
      <c r="CF747" s="2867"/>
      <c r="CG747" s="2867"/>
      <c r="CH747" s="2867"/>
      <c r="CI747" s="2867"/>
      <c r="CJ747" s="2867"/>
      <c r="CK747" s="2867"/>
      <c r="CL747" s="2867"/>
      <c r="CM747" s="2867"/>
      <c r="CN747" s="2867"/>
      <c r="CO747" s="2867"/>
      <c r="CP747" s="2867"/>
      <c r="CQ747" s="2867"/>
      <c r="CR747" s="2867"/>
      <c r="CS747" s="2867"/>
      <c r="CT747" s="2867"/>
      <c r="CU747" s="2867"/>
      <c r="CV747" s="2867"/>
      <c r="CW747" s="2867"/>
    </row>
    <row r="748" spans="1:101">
      <c r="A748" s="2867"/>
      <c r="B748" s="2867"/>
      <c r="C748" s="2867"/>
      <c r="D748" s="2867"/>
      <c r="E748" s="2867"/>
      <c r="F748" s="2867"/>
      <c r="G748" s="2867"/>
      <c r="H748" s="2867"/>
      <c r="I748" s="2867"/>
      <c r="J748" s="2867"/>
      <c r="K748" s="2867"/>
      <c r="L748" s="2867"/>
      <c r="M748" s="2867"/>
      <c r="O748" s="2867"/>
      <c r="P748" s="2867"/>
      <c r="Q748" s="2867"/>
      <c r="R748" s="2867"/>
      <c r="S748" s="2867"/>
      <c r="T748" s="2867"/>
      <c r="U748" s="2867"/>
      <c r="V748" s="2867"/>
      <c r="W748" s="2867"/>
      <c r="X748" s="2867"/>
      <c r="Y748" s="2867"/>
      <c r="Z748" s="2867"/>
      <c r="AA748" s="2867"/>
      <c r="AB748" s="2867"/>
      <c r="AC748" s="2867"/>
      <c r="AD748" s="2867"/>
      <c r="AE748" s="2867"/>
      <c r="AF748" s="2867"/>
      <c r="AG748" s="2867"/>
      <c r="AH748" s="2867"/>
      <c r="AI748" s="2867"/>
      <c r="AJ748" s="2867"/>
      <c r="AK748" s="2867"/>
      <c r="AL748" s="2867"/>
      <c r="AM748" s="2867"/>
      <c r="AN748" s="2867"/>
      <c r="AO748" s="2867"/>
      <c r="AP748" s="2867"/>
      <c r="AQ748" s="2867"/>
      <c r="AR748" s="2867"/>
      <c r="AS748" s="2867"/>
      <c r="AT748" s="2867"/>
      <c r="AU748" s="2867"/>
      <c r="AV748" s="2867"/>
      <c r="AW748" s="2867"/>
      <c r="AX748" s="2867"/>
      <c r="AY748" s="2867"/>
      <c r="AZ748" s="2867"/>
      <c r="BA748" s="2867"/>
      <c r="BB748" s="2867"/>
      <c r="BC748" s="2867"/>
      <c r="BD748" s="2867"/>
      <c r="BE748" s="2867"/>
      <c r="BF748" s="2867"/>
      <c r="BG748" s="2867"/>
      <c r="BH748" s="2867"/>
      <c r="BI748" s="2867"/>
      <c r="BJ748" s="2867"/>
      <c r="BK748" s="2867"/>
      <c r="BL748" s="2867"/>
      <c r="BM748" s="2867"/>
      <c r="BN748" s="2867"/>
      <c r="BO748" s="2867"/>
      <c r="BP748" s="2867"/>
      <c r="BQ748" s="2867"/>
      <c r="BR748" s="2867"/>
      <c r="BS748" s="2867"/>
      <c r="BT748" s="2867"/>
      <c r="BU748" s="2867"/>
      <c r="BV748" s="2867"/>
      <c r="BW748" s="2867"/>
      <c r="BX748" s="2867"/>
      <c r="BY748" s="2867"/>
      <c r="BZ748" s="2867"/>
      <c r="CA748" s="2867"/>
      <c r="CB748" s="2867"/>
      <c r="CC748" s="2867"/>
      <c r="CD748" s="2867"/>
      <c r="CE748" s="2867"/>
      <c r="CF748" s="2867"/>
      <c r="CG748" s="2867"/>
      <c r="CH748" s="2867"/>
      <c r="CI748" s="2867"/>
      <c r="CJ748" s="2867"/>
      <c r="CK748" s="2867"/>
      <c r="CL748" s="2867"/>
      <c r="CM748" s="2867"/>
      <c r="CN748" s="2867"/>
      <c r="CO748" s="2867"/>
      <c r="CP748" s="2867"/>
      <c r="CQ748" s="2867"/>
      <c r="CR748" s="2867"/>
      <c r="CS748" s="2867"/>
      <c r="CT748" s="2867"/>
      <c r="CU748" s="2867"/>
      <c r="CV748" s="2867"/>
      <c r="CW748" s="2867"/>
    </row>
    <row r="749" spans="1:101">
      <c r="A749" s="2867"/>
      <c r="B749" s="2867"/>
      <c r="C749" s="2867"/>
      <c r="D749" s="2867"/>
      <c r="E749" s="2867"/>
      <c r="F749" s="2867"/>
      <c r="G749" s="2867"/>
      <c r="H749" s="2867"/>
      <c r="I749" s="2867"/>
      <c r="J749" s="2867"/>
      <c r="K749" s="2867"/>
      <c r="L749" s="2867"/>
      <c r="M749" s="2867"/>
      <c r="O749" s="2867"/>
      <c r="P749" s="2867"/>
      <c r="Q749" s="2867"/>
      <c r="R749" s="2867"/>
      <c r="S749" s="2867"/>
      <c r="T749" s="2867"/>
      <c r="U749" s="2867"/>
      <c r="V749" s="2867"/>
      <c r="W749" s="2867"/>
      <c r="X749" s="2867"/>
      <c r="Y749" s="2867"/>
      <c r="Z749" s="2867"/>
      <c r="AA749" s="2867"/>
      <c r="AB749" s="2867"/>
      <c r="AC749" s="2867"/>
      <c r="AD749" s="2867"/>
      <c r="AE749" s="2867"/>
      <c r="AF749" s="2867"/>
      <c r="AG749" s="2867"/>
      <c r="AH749" s="2867"/>
      <c r="AI749" s="2867"/>
      <c r="AJ749" s="2867"/>
      <c r="AK749" s="2867"/>
      <c r="AL749" s="2867"/>
      <c r="AM749" s="2867"/>
      <c r="AN749" s="2867"/>
      <c r="AO749" s="2867"/>
      <c r="AP749" s="2867"/>
      <c r="AQ749" s="2867"/>
      <c r="AR749" s="2867"/>
      <c r="AS749" s="2867"/>
      <c r="AT749" s="2867"/>
      <c r="AU749" s="2867"/>
      <c r="AV749" s="2867"/>
      <c r="AW749" s="2867"/>
      <c r="AX749" s="2867"/>
      <c r="AY749" s="2867"/>
      <c r="AZ749" s="2867"/>
      <c r="BA749" s="2867"/>
      <c r="BB749" s="2867"/>
      <c r="BC749" s="2867"/>
      <c r="BD749" s="2867"/>
      <c r="BE749" s="2867"/>
      <c r="BF749" s="2867"/>
      <c r="BG749" s="2867"/>
      <c r="BH749" s="2867"/>
      <c r="BI749" s="2867"/>
      <c r="BJ749" s="2867"/>
      <c r="BK749" s="2867"/>
      <c r="BL749" s="2867"/>
      <c r="BM749" s="2867"/>
      <c r="BN749" s="2867"/>
      <c r="BO749" s="2867"/>
      <c r="BP749" s="2867"/>
      <c r="BQ749" s="2867"/>
      <c r="BR749" s="2867"/>
      <c r="BS749" s="2867"/>
      <c r="BT749" s="2867"/>
      <c r="BU749" s="2867"/>
      <c r="BV749" s="2867"/>
      <c r="BW749" s="2867"/>
      <c r="BX749" s="2867"/>
      <c r="BY749" s="2867"/>
      <c r="BZ749" s="2867"/>
      <c r="CA749" s="2867"/>
      <c r="CB749" s="2867"/>
      <c r="CC749" s="2867"/>
      <c r="CD749" s="2867"/>
      <c r="CE749" s="2867"/>
      <c r="CF749" s="2867"/>
      <c r="CG749" s="2867"/>
      <c r="CH749" s="2867"/>
      <c r="CI749" s="2867"/>
      <c r="CJ749" s="2867"/>
      <c r="CK749" s="2867"/>
      <c r="CL749" s="2867"/>
      <c r="CM749" s="2867"/>
      <c r="CN749" s="2867"/>
      <c r="CO749" s="2867"/>
      <c r="CP749" s="2867"/>
      <c r="CQ749" s="2867"/>
      <c r="CR749" s="2867"/>
      <c r="CS749" s="2867"/>
      <c r="CT749" s="2867"/>
      <c r="CU749" s="2867"/>
      <c r="CV749" s="2867"/>
      <c r="CW749" s="2867"/>
    </row>
    <row r="750" spans="1:101">
      <c r="A750" s="2867"/>
      <c r="B750" s="2867"/>
      <c r="C750" s="2867"/>
      <c r="D750" s="2867"/>
      <c r="E750" s="2867"/>
      <c r="F750" s="2867"/>
      <c r="G750" s="2867"/>
      <c r="H750" s="2867"/>
      <c r="I750" s="2867"/>
      <c r="J750" s="2867"/>
      <c r="K750" s="2867"/>
      <c r="L750" s="2867"/>
      <c r="M750" s="2867"/>
      <c r="O750" s="2867"/>
      <c r="P750" s="2867"/>
      <c r="Q750" s="2867"/>
      <c r="R750" s="2867"/>
      <c r="S750" s="2867"/>
      <c r="T750" s="2867"/>
      <c r="U750" s="2867"/>
      <c r="V750" s="2867"/>
      <c r="W750" s="2867"/>
      <c r="X750" s="2867"/>
      <c r="Y750" s="2867"/>
      <c r="Z750" s="2867"/>
      <c r="AA750" s="2867"/>
      <c r="AB750" s="2867"/>
      <c r="AC750" s="2867"/>
      <c r="AD750" s="2867"/>
      <c r="AE750" s="2867"/>
      <c r="AF750" s="2867"/>
      <c r="AG750" s="2867"/>
      <c r="AH750" s="2867"/>
      <c r="AI750" s="2867"/>
      <c r="AJ750" s="2867"/>
      <c r="AK750" s="2867"/>
      <c r="AL750" s="2867"/>
      <c r="AM750" s="2867"/>
      <c r="AN750" s="2867"/>
      <c r="AO750" s="2867"/>
      <c r="AP750" s="2867"/>
      <c r="AQ750" s="2867"/>
      <c r="AR750" s="2867"/>
      <c r="AS750" s="2867"/>
      <c r="AT750" s="2867"/>
      <c r="AU750" s="2867"/>
      <c r="AV750" s="2867"/>
      <c r="AW750" s="2867"/>
      <c r="AX750" s="2867"/>
      <c r="AY750" s="2867"/>
      <c r="AZ750" s="2867"/>
      <c r="BA750" s="2867"/>
      <c r="BB750" s="2867"/>
      <c r="BC750" s="2867"/>
      <c r="BD750" s="2867"/>
      <c r="BE750" s="2867"/>
      <c r="BF750" s="2867"/>
      <c r="BG750" s="2867"/>
      <c r="BH750" s="2867"/>
      <c r="BI750" s="2867"/>
      <c r="BJ750" s="2867"/>
      <c r="BK750" s="2867"/>
      <c r="BL750" s="2867"/>
      <c r="BM750" s="2867"/>
      <c r="BN750" s="2867"/>
      <c r="BO750" s="2867"/>
      <c r="BP750" s="2867"/>
      <c r="BQ750" s="2867"/>
      <c r="BR750" s="2867"/>
      <c r="BS750" s="2867"/>
      <c r="BT750" s="2867"/>
      <c r="BU750" s="2867"/>
      <c r="BV750" s="2867"/>
      <c r="BW750" s="2867"/>
      <c r="BX750" s="2867"/>
      <c r="BY750" s="2867"/>
      <c r="BZ750" s="2867"/>
      <c r="CA750" s="2867"/>
      <c r="CB750" s="2867"/>
      <c r="CC750" s="2867"/>
      <c r="CD750" s="2867"/>
      <c r="CE750" s="2867"/>
      <c r="CF750" s="2867"/>
      <c r="CG750" s="2867"/>
      <c r="CH750" s="2867"/>
      <c r="CI750" s="2867"/>
      <c r="CJ750" s="2867"/>
      <c r="CK750" s="2867"/>
      <c r="CL750" s="2867"/>
      <c r="CM750" s="2867"/>
      <c r="CN750" s="2867"/>
      <c r="CO750" s="2867"/>
      <c r="CP750" s="2867"/>
      <c r="CQ750" s="2867"/>
      <c r="CR750" s="2867"/>
      <c r="CS750" s="2867"/>
      <c r="CT750" s="2867"/>
      <c r="CU750" s="2867"/>
      <c r="CV750" s="2867"/>
      <c r="CW750" s="2867"/>
    </row>
    <row r="751" spans="1:101">
      <c r="A751" s="2867"/>
      <c r="B751" s="2867"/>
      <c r="C751" s="2867"/>
      <c r="D751" s="2867"/>
      <c r="E751" s="2867"/>
      <c r="F751" s="2867"/>
      <c r="G751" s="2867"/>
      <c r="H751" s="2867"/>
      <c r="I751" s="2867"/>
      <c r="J751" s="2867"/>
      <c r="K751" s="2867"/>
      <c r="L751" s="2867"/>
      <c r="M751" s="2867"/>
      <c r="O751" s="2867"/>
      <c r="P751" s="2867"/>
      <c r="Q751" s="2867"/>
      <c r="R751" s="2867"/>
      <c r="S751" s="2867"/>
      <c r="T751" s="2867"/>
      <c r="U751" s="2867"/>
      <c r="V751" s="2867"/>
      <c r="W751" s="2867"/>
      <c r="X751" s="2867"/>
      <c r="Y751" s="2867"/>
      <c r="Z751" s="2867"/>
      <c r="AA751" s="2867"/>
      <c r="AB751" s="2867"/>
      <c r="AC751" s="2867"/>
      <c r="AD751" s="2867"/>
      <c r="AE751" s="2867"/>
      <c r="AF751" s="2867"/>
      <c r="AG751" s="2867"/>
      <c r="AH751" s="2867"/>
      <c r="AI751" s="2867"/>
      <c r="AJ751" s="2867"/>
      <c r="AK751" s="2867"/>
      <c r="AL751" s="2867"/>
      <c r="AM751" s="2867"/>
      <c r="AN751" s="2867"/>
      <c r="AO751" s="2867"/>
      <c r="AP751" s="2867"/>
      <c r="AQ751" s="2867"/>
      <c r="AR751" s="2867"/>
      <c r="AS751" s="2867"/>
      <c r="AT751" s="2867"/>
      <c r="AU751" s="2867"/>
      <c r="AV751" s="2867"/>
      <c r="AW751" s="2867"/>
      <c r="AX751" s="2867"/>
      <c r="AY751" s="2867"/>
      <c r="AZ751" s="2867"/>
      <c r="BA751" s="2867"/>
      <c r="BB751" s="2867"/>
      <c r="BC751" s="2867"/>
      <c r="BD751" s="2867"/>
      <c r="BE751" s="2867"/>
      <c r="BF751" s="2867"/>
      <c r="BG751" s="2867"/>
      <c r="BH751" s="2867"/>
      <c r="BI751" s="2867"/>
      <c r="BJ751" s="2867"/>
      <c r="BK751" s="2867"/>
      <c r="BL751" s="2867"/>
      <c r="BM751" s="2867"/>
      <c r="BN751" s="2867"/>
      <c r="BO751" s="2867"/>
      <c r="BP751" s="2867"/>
      <c r="BQ751" s="2867"/>
      <c r="BR751" s="2867"/>
      <c r="BS751" s="2867"/>
      <c r="BT751" s="2867"/>
      <c r="BU751" s="2867"/>
      <c r="BV751" s="2867"/>
      <c r="BW751" s="2867"/>
      <c r="BX751" s="2867"/>
      <c r="BY751" s="2867"/>
      <c r="BZ751" s="2867"/>
      <c r="CA751" s="2867"/>
      <c r="CB751" s="2867"/>
      <c r="CC751" s="2867"/>
      <c r="CD751" s="2867"/>
      <c r="CE751" s="2867"/>
      <c r="CF751" s="2867"/>
      <c r="CG751" s="2867"/>
      <c r="CH751" s="2867"/>
      <c r="CI751" s="2867"/>
      <c r="CJ751" s="2867"/>
      <c r="CK751" s="2867"/>
      <c r="CL751" s="2867"/>
      <c r="CM751" s="2867"/>
      <c r="CN751" s="2867"/>
      <c r="CO751" s="2867"/>
      <c r="CP751" s="2867"/>
      <c r="CQ751" s="2867"/>
      <c r="CR751" s="2867"/>
      <c r="CS751" s="2867"/>
      <c r="CT751" s="2867"/>
      <c r="CU751" s="2867"/>
      <c r="CV751" s="2867"/>
      <c r="CW751" s="2867"/>
    </row>
    <row r="752" spans="1:101">
      <c r="A752" s="2867"/>
      <c r="B752" s="2867"/>
      <c r="C752" s="2867"/>
      <c r="D752" s="2867"/>
      <c r="E752" s="2867"/>
      <c r="F752" s="2867"/>
      <c r="G752" s="2867"/>
      <c r="H752" s="2867"/>
      <c r="I752" s="2867"/>
      <c r="J752" s="2867"/>
      <c r="K752" s="2867"/>
      <c r="L752" s="2867"/>
      <c r="M752" s="2867"/>
      <c r="O752" s="2867"/>
      <c r="P752" s="2867"/>
      <c r="Q752" s="2867"/>
      <c r="R752" s="2867"/>
      <c r="S752" s="2867"/>
      <c r="T752" s="2867"/>
      <c r="U752" s="2867"/>
      <c r="V752" s="2867"/>
      <c r="W752" s="2867"/>
      <c r="X752" s="2867"/>
      <c r="Y752" s="2867"/>
      <c r="Z752" s="2867"/>
      <c r="AA752" s="2867"/>
      <c r="AB752" s="2867"/>
      <c r="AC752" s="2867"/>
      <c r="AD752" s="2867"/>
      <c r="AE752" s="2867"/>
      <c r="AF752" s="2867"/>
      <c r="AG752" s="2867"/>
      <c r="AH752" s="2867"/>
      <c r="AI752" s="2867"/>
      <c r="AJ752" s="2867"/>
      <c r="AK752" s="2867"/>
      <c r="AL752" s="2867"/>
      <c r="AM752" s="2867"/>
      <c r="AN752" s="2867"/>
      <c r="AO752" s="2867"/>
      <c r="AP752" s="2867"/>
      <c r="AQ752" s="2867"/>
      <c r="AR752" s="2867"/>
      <c r="AS752" s="2867"/>
      <c r="AT752" s="2867"/>
      <c r="AU752" s="2867"/>
      <c r="AV752" s="2867"/>
      <c r="AW752" s="2867"/>
      <c r="AX752" s="2867"/>
      <c r="AY752" s="2867"/>
      <c r="AZ752" s="2867"/>
      <c r="BA752" s="2867"/>
      <c r="BB752" s="2867"/>
      <c r="BC752" s="2867"/>
      <c r="BD752" s="2867"/>
      <c r="BE752" s="2867"/>
      <c r="BF752" s="2867"/>
      <c r="BG752" s="2867"/>
      <c r="BH752" s="2867"/>
      <c r="BI752" s="2867"/>
      <c r="BJ752" s="2867"/>
      <c r="BK752" s="2867"/>
      <c r="BL752" s="2867"/>
      <c r="BM752" s="2867"/>
      <c r="BN752" s="2867"/>
      <c r="BO752" s="2867"/>
      <c r="BP752" s="2867"/>
      <c r="BQ752" s="2867"/>
      <c r="BR752" s="2867"/>
      <c r="BS752" s="2867"/>
      <c r="BT752" s="2867"/>
      <c r="BU752" s="2867"/>
      <c r="BV752" s="2867"/>
      <c r="BW752" s="2867"/>
      <c r="BX752" s="2867"/>
      <c r="BY752" s="2867"/>
      <c r="BZ752" s="2867"/>
      <c r="CA752" s="2867"/>
      <c r="CB752" s="2867"/>
      <c r="CC752" s="2867"/>
      <c r="CD752" s="2867"/>
      <c r="CE752" s="2867"/>
      <c r="CF752" s="2867"/>
      <c r="CG752" s="2867"/>
      <c r="CH752" s="2867"/>
      <c r="CI752" s="2867"/>
      <c r="CJ752" s="2867"/>
      <c r="CK752" s="2867"/>
      <c r="CL752" s="2867"/>
      <c r="CM752" s="2867"/>
      <c r="CN752" s="2867"/>
      <c r="CO752" s="2867"/>
      <c r="CP752" s="2867"/>
      <c r="CQ752" s="2867"/>
      <c r="CR752" s="2867"/>
      <c r="CS752" s="2867"/>
      <c r="CT752" s="2867"/>
      <c r="CU752" s="2867"/>
      <c r="CV752" s="2867"/>
      <c r="CW752" s="2867"/>
    </row>
    <row r="753" spans="1:101">
      <c r="A753" s="2867"/>
      <c r="B753" s="2867"/>
      <c r="C753" s="2867"/>
      <c r="D753" s="2867"/>
      <c r="E753" s="2867"/>
      <c r="F753" s="2867"/>
      <c r="G753" s="2867"/>
      <c r="H753" s="2867"/>
      <c r="I753" s="2867"/>
      <c r="J753" s="2867"/>
      <c r="K753" s="2867"/>
      <c r="L753" s="2867"/>
      <c r="M753" s="2867"/>
      <c r="O753" s="2867"/>
      <c r="P753" s="2867"/>
      <c r="Q753" s="2867"/>
      <c r="R753" s="2867"/>
      <c r="S753" s="2867"/>
      <c r="T753" s="2867"/>
      <c r="U753" s="2867"/>
      <c r="V753" s="2867"/>
      <c r="W753" s="2867"/>
      <c r="X753" s="2867"/>
      <c r="Y753" s="2867"/>
      <c r="Z753" s="2867"/>
      <c r="AA753" s="2867"/>
      <c r="AB753" s="2867"/>
      <c r="AC753" s="2867"/>
      <c r="AD753" s="2867"/>
      <c r="AE753" s="2867"/>
      <c r="AF753" s="2867"/>
      <c r="AG753" s="2867"/>
      <c r="AH753" s="2867"/>
      <c r="AI753" s="2867"/>
      <c r="AJ753" s="2867"/>
      <c r="AK753" s="2867"/>
      <c r="AL753" s="2867"/>
      <c r="AM753" s="2867"/>
      <c r="AN753" s="2867"/>
      <c r="AO753" s="2867"/>
      <c r="AP753" s="2867"/>
      <c r="AQ753" s="2867"/>
      <c r="AR753" s="2867"/>
      <c r="AS753" s="2867"/>
      <c r="AT753" s="2867"/>
      <c r="AU753" s="2867"/>
      <c r="AV753" s="2867"/>
      <c r="AW753" s="2867"/>
      <c r="AX753" s="2867"/>
      <c r="AY753" s="2867"/>
      <c r="AZ753" s="2867"/>
      <c r="BA753" s="2867"/>
      <c r="BB753" s="2867"/>
      <c r="BC753" s="2867"/>
      <c r="BD753" s="2867"/>
      <c r="BE753" s="2867"/>
      <c r="BF753" s="2867"/>
      <c r="BG753" s="2867"/>
      <c r="BH753" s="2867"/>
      <c r="BI753" s="2867"/>
      <c r="BJ753" s="2867"/>
      <c r="BK753" s="2867"/>
      <c r="BL753" s="2867"/>
      <c r="BM753" s="2867"/>
      <c r="BN753" s="2867"/>
      <c r="BO753" s="2867"/>
      <c r="BP753" s="2867"/>
      <c r="BQ753" s="2867"/>
      <c r="BR753" s="2867"/>
      <c r="BS753" s="2867"/>
      <c r="BT753" s="2867"/>
      <c r="BU753" s="2867"/>
      <c r="BV753" s="2867"/>
      <c r="BW753" s="2867"/>
      <c r="BX753" s="2867"/>
      <c r="BY753" s="2867"/>
      <c r="BZ753" s="2867"/>
      <c r="CA753" s="2867"/>
      <c r="CB753" s="2867"/>
      <c r="CC753" s="2867"/>
      <c r="CD753" s="2867"/>
      <c r="CE753" s="2867"/>
      <c r="CF753" s="2867"/>
      <c r="CG753" s="2867"/>
      <c r="CH753" s="2867"/>
      <c r="CI753" s="2867"/>
      <c r="CJ753" s="2867"/>
      <c r="CK753" s="2867"/>
      <c r="CL753" s="2867"/>
      <c r="CM753" s="2867"/>
      <c r="CN753" s="2867"/>
      <c r="CO753" s="2867"/>
      <c r="CP753" s="2867"/>
      <c r="CQ753" s="2867"/>
      <c r="CR753" s="2867"/>
      <c r="CS753" s="2867"/>
      <c r="CT753" s="2867"/>
      <c r="CU753" s="2867"/>
      <c r="CV753" s="2867"/>
      <c r="CW753" s="2867"/>
    </row>
    <row r="754" spans="1:101">
      <c r="A754" s="2867"/>
      <c r="B754" s="2867"/>
      <c r="C754" s="2867"/>
      <c r="D754" s="2867"/>
      <c r="E754" s="2867"/>
      <c r="F754" s="2867"/>
      <c r="G754" s="2867"/>
      <c r="H754" s="2867"/>
      <c r="I754" s="2867"/>
      <c r="J754" s="2867"/>
      <c r="K754" s="2867"/>
      <c r="L754" s="2867"/>
      <c r="M754" s="2867"/>
      <c r="O754" s="2867"/>
      <c r="P754" s="2867"/>
      <c r="Q754" s="2867"/>
      <c r="R754" s="2867"/>
      <c r="S754" s="2867"/>
      <c r="T754" s="2867"/>
      <c r="U754" s="2867"/>
      <c r="V754" s="2867"/>
      <c r="W754" s="2867"/>
      <c r="X754" s="2867"/>
      <c r="Y754" s="2867"/>
      <c r="Z754" s="2867"/>
      <c r="AA754" s="2867"/>
      <c r="AB754" s="2867"/>
      <c r="AC754" s="2867"/>
      <c r="AD754" s="2867"/>
      <c r="AE754" s="2867"/>
      <c r="AF754" s="2867"/>
      <c r="AG754" s="2867"/>
      <c r="AH754" s="2867"/>
      <c r="AI754" s="2867"/>
      <c r="AJ754" s="2867"/>
      <c r="AK754" s="2867"/>
      <c r="AL754" s="2867"/>
      <c r="AM754" s="2867"/>
      <c r="AN754" s="2867"/>
      <c r="AO754" s="2867"/>
      <c r="AP754" s="2867"/>
      <c r="AQ754" s="2867"/>
      <c r="AR754" s="2867"/>
      <c r="AS754" s="2867"/>
      <c r="AT754" s="2867"/>
      <c r="AU754" s="2867"/>
      <c r="AV754" s="2867"/>
      <c r="AW754" s="2867"/>
      <c r="AX754" s="2867"/>
      <c r="AY754" s="2867"/>
      <c r="AZ754" s="2867"/>
      <c r="BA754" s="2867"/>
      <c r="BB754" s="2867"/>
      <c r="BC754" s="2867"/>
      <c r="BD754" s="2867"/>
      <c r="BE754" s="2867"/>
      <c r="BF754" s="2867"/>
      <c r="BG754" s="2867"/>
      <c r="BH754" s="2867"/>
      <c r="BI754" s="2867"/>
      <c r="BJ754" s="2867"/>
      <c r="BK754" s="2867"/>
      <c r="BL754" s="2867"/>
      <c r="BM754" s="2867"/>
      <c r="BN754" s="2867"/>
      <c r="BO754" s="2867"/>
      <c r="BP754" s="2867"/>
      <c r="BQ754" s="2867"/>
      <c r="BR754" s="2867"/>
      <c r="BS754" s="2867"/>
      <c r="BT754" s="2867"/>
      <c r="BU754" s="2867"/>
      <c r="BV754" s="2867"/>
      <c r="BW754" s="2867"/>
      <c r="BX754" s="2867"/>
      <c r="BY754" s="2867"/>
      <c r="BZ754" s="2867"/>
      <c r="CA754" s="2867"/>
      <c r="CB754" s="2867"/>
      <c r="CC754" s="2867"/>
      <c r="CD754" s="2867"/>
      <c r="CE754" s="2867"/>
      <c r="CF754" s="2867"/>
      <c r="CG754" s="2867"/>
      <c r="CH754" s="2867"/>
      <c r="CI754" s="2867"/>
      <c r="CJ754" s="2867"/>
      <c r="CK754" s="2867"/>
      <c r="CL754" s="2867"/>
      <c r="CM754" s="2867"/>
      <c r="CN754" s="2867"/>
      <c r="CO754" s="2867"/>
      <c r="CP754" s="2867"/>
      <c r="CQ754" s="2867"/>
      <c r="CR754" s="2867"/>
      <c r="CS754" s="2867"/>
      <c r="CT754" s="2867"/>
      <c r="CU754" s="2867"/>
      <c r="CV754" s="2867"/>
      <c r="CW754" s="2867"/>
    </row>
    <row r="755" spans="1:101">
      <c r="A755" s="2867"/>
      <c r="B755" s="2867"/>
      <c r="C755" s="2867"/>
      <c r="D755" s="2867"/>
      <c r="E755" s="2867"/>
      <c r="F755" s="2867"/>
      <c r="G755" s="2867"/>
      <c r="H755" s="2867"/>
      <c r="I755" s="2867"/>
      <c r="J755" s="2867"/>
      <c r="K755" s="2867"/>
      <c r="L755" s="2867"/>
      <c r="M755" s="2867"/>
      <c r="O755" s="2867"/>
      <c r="P755" s="2867"/>
      <c r="Q755" s="2867"/>
      <c r="R755" s="2867"/>
      <c r="S755" s="2867"/>
      <c r="T755" s="2867"/>
      <c r="U755" s="2867"/>
      <c r="V755" s="2867"/>
      <c r="W755" s="2867"/>
      <c r="X755" s="2867"/>
      <c r="Y755" s="2867"/>
      <c r="Z755" s="2867"/>
      <c r="AA755" s="2867"/>
      <c r="AB755" s="2867"/>
      <c r="AC755" s="2867"/>
      <c r="AD755" s="2867"/>
      <c r="AE755" s="2867"/>
      <c r="AF755" s="2867"/>
      <c r="AG755" s="2867"/>
      <c r="AH755" s="2867"/>
      <c r="AI755" s="2867"/>
      <c r="AJ755" s="2867"/>
      <c r="AK755" s="2867"/>
      <c r="AL755" s="2867"/>
      <c r="AM755" s="2867"/>
      <c r="AN755" s="2867"/>
      <c r="AO755" s="2867"/>
      <c r="AP755" s="2867"/>
      <c r="AQ755" s="2867"/>
      <c r="AR755" s="2867"/>
      <c r="AS755" s="2867"/>
      <c r="AT755" s="2867"/>
      <c r="AU755" s="2867"/>
      <c r="AV755" s="2867"/>
      <c r="AW755" s="2867"/>
      <c r="AX755" s="2867"/>
      <c r="AY755" s="2867"/>
      <c r="AZ755" s="2867"/>
      <c r="BA755" s="2867"/>
      <c r="BB755" s="2867"/>
      <c r="BC755" s="2867"/>
      <c r="BD755" s="2867"/>
      <c r="BE755" s="2867"/>
      <c r="BF755" s="2867"/>
      <c r="BG755" s="2867"/>
      <c r="BH755" s="2867"/>
      <c r="BI755" s="2867"/>
      <c r="BJ755" s="2867"/>
      <c r="BK755" s="2867"/>
      <c r="BL755" s="2867"/>
      <c r="BM755" s="2867"/>
      <c r="BN755" s="2867"/>
      <c r="BO755" s="2867"/>
      <c r="BP755" s="2867"/>
      <c r="BQ755" s="2867"/>
      <c r="BR755" s="2867"/>
      <c r="BS755" s="2867"/>
      <c r="BT755" s="2867"/>
      <c r="BU755" s="2867"/>
      <c r="BV755" s="2867"/>
      <c r="BW755" s="2867"/>
      <c r="BX755" s="2867"/>
      <c r="BY755" s="2867"/>
      <c r="BZ755" s="2867"/>
      <c r="CA755" s="2867"/>
      <c r="CB755" s="2867"/>
      <c r="CC755" s="2867"/>
      <c r="CD755" s="2867"/>
      <c r="CE755" s="2867"/>
      <c r="CF755" s="2867"/>
      <c r="CG755" s="2867"/>
      <c r="CH755" s="2867"/>
      <c r="CI755" s="2867"/>
      <c r="CJ755" s="2867"/>
      <c r="CK755" s="2867"/>
      <c r="CL755" s="2867"/>
      <c r="CM755" s="2867"/>
      <c r="CN755" s="2867"/>
      <c r="CO755" s="2867"/>
      <c r="CP755" s="2867"/>
      <c r="CQ755" s="2867"/>
      <c r="CR755" s="2867"/>
      <c r="CS755" s="2867"/>
      <c r="CT755" s="2867"/>
      <c r="CU755" s="2867"/>
      <c r="CV755" s="2867"/>
      <c r="CW755" s="2867"/>
    </row>
    <row r="756" spans="1:101">
      <c r="A756" s="2867"/>
      <c r="B756" s="2867"/>
      <c r="C756" s="2867"/>
      <c r="D756" s="2867"/>
      <c r="E756" s="2867"/>
      <c r="F756" s="2867"/>
      <c r="G756" s="2867"/>
      <c r="H756" s="2867"/>
      <c r="I756" s="2867"/>
      <c r="J756" s="2867"/>
      <c r="K756" s="2867"/>
      <c r="L756" s="2867"/>
      <c r="M756" s="2867"/>
      <c r="O756" s="2867"/>
      <c r="P756" s="2867"/>
      <c r="Q756" s="2867"/>
      <c r="R756" s="2867"/>
      <c r="S756" s="2867"/>
      <c r="T756" s="2867"/>
      <c r="U756" s="2867"/>
      <c r="V756" s="2867"/>
      <c r="W756" s="2867"/>
      <c r="X756" s="2867"/>
      <c r="Y756" s="2867"/>
      <c r="Z756" s="2867"/>
      <c r="AA756" s="2867"/>
      <c r="AB756" s="2867"/>
      <c r="AC756" s="2867"/>
      <c r="AD756" s="2867"/>
      <c r="AE756" s="2867"/>
      <c r="AF756" s="2867"/>
      <c r="AG756" s="2867"/>
      <c r="AH756" s="2867"/>
      <c r="AI756" s="2867"/>
      <c r="AJ756" s="2867"/>
      <c r="AK756" s="2867"/>
      <c r="AL756" s="2867"/>
      <c r="AM756" s="2867"/>
      <c r="AN756" s="2867"/>
      <c r="AO756" s="2867"/>
      <c r="AP756" s="2867"/>
      <c r="AQ756" s="2867"/>
      <c r="AR756" s="2867"/>
      <c r="AS756" s="2867"/>
      <c r="AT756" s="2867"/>
      <c r="AU756" s="2867"/>
      <c r="AV756" s="2867"/>
      <c r="AW756" s="2867"/>
      <c r="AX756" s="2867"/>
      <c r="AY756" s="2867"/>
      <c r="AZ756" s="2867"/>
      <c r="BA756" s="2867"/>
      <c r="BB756" s="2867"/>
      <c r="BC756" s="2867"/>
      <c r="BD756" s="2867"/>
      <c r="BE756" s="2867"/>
      <c r="BF756" s="2867"/>
      <c r="BG756" s="2867"/>
      <c r="BH756" s="2867"/>
      <c r="BI756" s="2867"/>
      <c r="BJ756" s="2867"/>
      <c r="BK756" s="2867"/>
      <c r="BL756" s="2867"/>
      <c r="BM756" s="2867"/>
      <c r="BN756" s="2867"/>
      <c r="BO756" s="2867"/>
      <c r="BP756" s="2867"/>
      <c r="BQ756" s="2867"/>
      <c r="BR756" s="2867"/>
      <c r="BS756" s="2867"/>
      <c r="BT756" s="2867"/>
      <c r="BU756" s="2867"/>
      <c r="BV756" s="2867"/>
      <c r="BW756" s="2867"/>
      <c r="BX756" s="2867"/>
      <c r="BY756" s="2867"/>
      <c r="BZ756" s="2867"/>
      <c r="CA756" s="2867"/>
      <c r="CB756" s="2867"/>
      <c r="CC756" s="2867"/>
      <c r="CD756" s="2867"/>
      <c r="CE756" s="2867"/>
      <c r="CF756" s="2867"/>
      <c r="CG756" s="2867"/>
      <c r="CH756" s="2867"/>
      <c r="CI756" s="2867"/>
      <c r="CJ756" s="2867"/>
      <c r="CK756" s="2867"/>
      <c r="CL756" s="2867"/>
      <c r="CM756" s="2867"/>
      <c r="CN756" s="2867"/>
      <c r="CO756" s="2867"/>
      <c r="CP756" s="2867"/>
      <c r="CQ756" s="2867"/>
      <c r="CR756" s="2867"/>
      <c r="CS756" s="2867"/>
      <c r="CT756" s="2867"/>
      <c r="CU756" s="2867"/>
      <c r="CV756" s="2867"/>
      <c r="CW756" s="2867"/>
    </row>
    <row r="757" spans="1:101">
      <c r="A757" s="2867"/>
      <c r="B757" s="2867"/>
      <c r="C757" s="2867"/>
      <c r="D757" s="2867"/>
      <c r="E757" s="2867"/>
      <c r="F757" s="2867"/>
      <c r="G757" s="2867"/>
      <c r="H757" s="2867"/>
      <c r="I757" s="2867"/>
      <c r="J757" s="2867"/>
      <c r="K757" s="2867"/>
      <c r="L757" s="2867"/>
      <c r="M757" s="2867"/>
      <c r="O757" s="2867"/>
      <c r="P757" s="2867"/>
      <c r="Q757" s="2867"/>
      <c r="R757" s="2867"/>
      <c r="S757" s="2867"/>
      <c r="T757" s="2867"/>
      <c r="U757" s="2867"/>
      <c r="V757" s="2867"/>
      <c r="W757" s="2867"/>
      <c r="X757" s="2867"/>
      <c r="Y757" s="2867"/>
      <c r="Z757" s="2867"/>
      <c r="AA757" s="2867"/>
      <c r="AB757" s="2867"/>
      <c r="AC757" s="2867"/>
      <c r="AD757" s="2867"/>
      <c r="AE757" s="2867"/>
      <c r="AF757" s="2867"/>
      <c r="AG757" s="2867"/>
      <c r="AH757" s="2867"/>
      <c r="AI757" s="2867"/>
      <c r="AJ757" s="2867"/>
      <c r="AK757" s="2867"/>
      <c r="AL757" s="2867"/>
      <c r="AM757" s="2867"/>
      <c r="AN757" s="2867"/>
      <c r="AO757" s="2867"/>
      <c r="AP757" s="2867"/>
      <c r="AQ757" s="2867"/>
      <c r="AR757" s="2867"/>
      <c r="AS757" s="2867"/>
      <c r="AT757" s="2867"/>
      <c r="AU757" s="2867"/>
      <c r="AV757" s="2867"/>
      <c r="AW757" s="2867"/>
      <c r="AX757" s="2867"/>
      <c r="AY757" s="2867"/>
      <c r="AZ757" s="2867"/>
      <c r="BA757" s="2867"/>
      <c r="BB757" s="2867"/>
      <c r="BC757" s="2867"/>
      <c r="BD757" s="2867"/>
      <c r="BE757" s="2867"/>
      <c r="BF757" s="2867"/>
      <c r="BG757" s="2867"/>
      <c r="BH757" s="2867"/>
      <c r="BI757" s="2867"/>
      <c r="BJ757" s="2867"/>
      <c r="BK757" s="2867"/>
      <c r="BL757" s="2867"/>
      <c r="BM757" s="2867"/>
      <c r="BN757" s="2867"/>
      <c r="BO757" s="2867"/>
      <c r="BP757" s="2867"/>
      <c r="BQ757" s="2867"/>
      <c r="BR757" s="2867"/>
      <c r="BS757" s="2867"/>
      <c r="BT757" s="2867"/>
      <c r="BU757" s="2867"/>
      <c r="BV757" s="2867"/>
      <c r="BW757" s="2867"/>
      <c r="BX757" s="2867"/>
      <c r="BY757" s="2867"/>
      <c r="BZ757" s="2867"/>
      <c r="CA757" s="2867"/>
      <c r="CB757" s="2867"/>
      <c r="CC757" s="2867"/>
      <c r="CD757" s="2867"/>
      <c r="CE757" s="2867"/>
      <c r="CF757" s="2867"/>
      <c r="CG757" s="2867"/>
      <c r="CH757" s="2867"/>
      <c r="CI757" s="2867"/>
      <c r="CJ757" s="2867"/>
      <c r="CK757" s="2867"/>
      <c r="CL757" s="2867"/>
      <c r="CM757" s="2867"/>
      <c r="CN757" s="2867"/>
      <c r="CO757" s="2867"/>
      <c r="CP757" s="2867"/>
      <c r="CQ757" s="2867"/>
      <c r="CR757" s="2867"/>
      <c r="CS757" s="2867"/>
      <c r="CT757" s="2867"/>
      <c r="CU757" s="2867"/>
      <c r="CV757" s="2867"/>
      <c r="CW757" s="2867"/>
    </row>
    <row r="758" spans="1:101">
      <c r="A758" s="2867"/>
      <c r="B758" s="2867"/>
      <c r="C758" s="2867"/>
      <c r="D758" s="2867"/>
      <c r="E758" s="2867"/>
      <c r="F758" s="2867"/>
      <c r="G758" s="2867"/>
      <c r="H758" s="2867"/>
      <c r="I758" s="2867"/>
      <c r="J758" s="2867"/>
      <c r="K758" s="2867"/>
      <c r="L758" s="2867"/>
      <c r="M758" s="2867"/>
      <c r="O758" s="2867"/>
      <c r="P758" s="2867"/>
      <c r="Q758" s="2867"/>
      <c r="R758" s="2867"/>
      <c r="S758" s="2867"/>
      <c r="T758" s="2867"/>
      <c r="U758" s="2867"/>
      <c r="V758" s="2867"/>
      <c r="W758" s="2867"/>
      <c r="X758" s="2867"/>
      <c r="Y758" s="2867"/>
      <c r="Z758" s="2867"/>
      <c r="AA758" s="2867"/>
      <c r="AB758" s="2867"/>
      <c r="AC758" s="2867"/>
      <c r="AD758" s="2867"/>
      <c r="AE758" s="2867"/>
      <c r="AF758" s="2867"/>
      <c r="AG758" s="2867"/>
      <c r="AH758" s="2867"/>
      <c r="AI758" s="2867"/>
      <c r="AJ758" s="2867"/>
      <c r="AK758" s="2867"/>
      <c r="AL758" s="2867"/>
      <c r="AM758" s="2867"/>
      <c r="AN758" s="2867"/>
      <c r="AO758" s="2867"/>
      <c r="AP758" s="2867"/>
      <c r="AQ758" s="2867"/>
      <c r="AR758" s="2867"/>
      <c r="AS758" s="2867"/>
      <c r="AT758" s="2867"/>
      <c r="AU758" s="2867"/>
      <c r="AV758" s="2867"/>
      <c r="AW758" s="2867"/>
      <c r="AX758" s="2867"/>
      <c r="AY758" s="2867"/>
      <c r="AZ758" s="2867"/>
      <c r="BA758" s="2867"/>
      <c r="BB758" s="2867"/>
      <c r="BC758" s="2867"/>
      <c r="BD758" s="2867"/>
      <c r="BE758" s="2867"/>
      <c r="BF758" s="2867"/>
      <c r="BG758" s="2867"/>
      <c r="BH758" s="2867"/>
      <c r="BI758" s="2867"/>
      <c r="BJ758" s="2867"/>
      <c r="BK758" s="2867"/>
      <c r="BL758" s="2867"/>
      <c r="BM758" s="2867"/>
      <c r="BN758" s="2867"/>
      <c r="BO758" s="2867"/>
      <c r="BP758" s="2867"/>
      <c r="BQ758" s="2867"/>
      <c r="BR758" s="2867"/>
      <c r="BS758" s="2867"/>
      <c r="BT758" s="2867"/>
      <c r="BU758" s="2867"/>
      <c r="BV758" s="2867"/>
      <c r="BW758" s="2867"/>
      <c r="BX758" s="2867"/>
      <c r="BY758" s="2867"/>
      <c r="BZ758" s="2867"/>
      <c r="CA758" s="2867"/>
      <c r="CB758" s="2867"/>
      <c r="CC758" s="2867"/>
      <c r="CD758" s="2867"/>
      <c r="CE758" s="2867"/>
      <c r="CF758" s="2867"/>
      <c r="CG758" s="2867"/>
      <c r="CH758" s="2867"/>
      <c r="CI758" s="2867"/>
      <c r="CJ758" s="2867"/>
      <c r="CK758" s="2867"/>
      <c r="CL758" s="2867"/>
      <c r="CM758" s="2867"/>
      <c r="CN758" s="2867"/>
      <c r="CO758" s="2867"/>
      <c r="CP758" s="2867"/>
      <c r="CQ758" s="2867"/>
      <c r="CR758" s="2867"/>
      <c r="CS758" s="2867"/>
      <c r="CT758" s="2867"/>
      <c r="CU758" s="2867"/>
      <c r="CV758" s="2867"/>
      <c r="CW758" s="2867"/>
    </row>
    <row r="759" spans="1:101">
      <c r="A759" s="2867"/>
      <c r="B759" s="2867"/>
      <c r="C759" s="2867"/>
      <c r="D759" s="2867"/>
      <c r="E759" s="2867"/>
      <c r="F759" s="2867"/>
      <c r="G759" s="2867"/>
      <c r="H759" s="2867"/>
      <c r="I759" s="2867"/>
      <c r="J759" s="2867"/>
      <c r="K759" s="2867"/>
      <c r="L759" s="2867"/>
      <c r="M759" s="2867"/>
      <c r="O759" s="2867"/>
      <c r="P759" s="2867"/>
      <c r="Q759" s="2867"/>
      <c r="R759" s="2867"/>
      <c r="S759" s="2867"/>
      <c r="T759" s="2867"/>
      <c r="U759" s="2867"/>
      <c r="V759" s="2867"/>
      <c r="W759" s="2867"/>
      <c r="X759" s="2867"/>
      <c r="Y759" s="2867"/>
      <c r="Z759" s="2867"/>
      <c r="AA759" s="2867"/>
      <c r="AB759" s="2867"/>
      <c r="AC759" s="2867"/>
      <c r="AD759" s="2867"/>
      <c r="AE759" s="2867"/>
      <c r="AF759" s="2867"/>
      <c r="AG759" s="2867"/>
      <c r="AH759" s="2867"/>
      <c r="AI759" s="2867"/>
      <c r="AJ759" s="2867"/>
      <c r="AK759" s="2867"/>
      <c r="AL759" s="2867"/>
      <c r="AM759" s="2867"/>
      <c r="AN759" s="2867"/>
      <c r="AO759" s="2867"/>
      <c r="AP759" s="2867"/>
      <c r="AQ759" s="2867"/>
      <c r="AR759" s="2867"/>
      <c r="AS759" s="2867"/>
      <c r="AT759" s="2867"/>
      <c r="AU759" s="2867"/>
      <c r="AV759" s="2867"/>
      <c r="AW759" s="2867"/>
      <c r="AX759" s="2867"/>
      <c r="AY759" s="2867"/>
      <c r="AZ759" s="2867"/>
      <c r="BA759" s="2867"/>
      <c r="BB759" s="2867"/>
      <c r="BC759" s="2867"/>
      <c r="BD759" s="2867"/>
      <c r="BE759" s="2867"/>
      <c r="BF759" s="2867"/>
      <c r="BG759" s="2867"/>
      <c r="BH759" s="2867"/>
      <c r="BI759" s="2867"/>
      <c r="BJ759" s="2867"/>
      <c r="BK759" s="2867"/>
      <c r="BL759" s="2867"/>
      <c r="BM759" s="2867"/>
      <c r="BN759" s="2867"/>
      <c r="BO759" s="2867"/>
      <c r="BP759" s="2867"/>
      <c r="BQ759" s="2867"/>
      <c r="BR759" s="2867"/>
      <c r="BS759" s="2867"/>
      <c r="BT759" s="2867"/>
      <c r="BU759" s="2867"/>
      <c r="BV759" s="2867"/>
      <c r="BW759" s="2867"/>
      <c r="BX759" s="2867"/>
      <c r="BY759" s="2867"/>
      <c r="BZ759" s="2867"/>
      <c r="CA759" s="2867"/>
      <c r="CB759" s="2867"/>
      <c r="CC759" s="2867"/>
      <c r="CD759" s="2867"/>
      <c r="CE759" s="2867"/>
      <c r="CF759" s="2867"/>
      <c r="CG759" s="2867"/>
      <c r="CH759" s="2867"/>
      <c r="CI759" s="2867"/>
      <c r="CJ759" s="2867"/>
      <c r="CK759" s="2867"/>
      <c r="CL759" s="2867"/>
      <c r="CM759" s="2867"/>
      <c r="CN759" s="2867"/>
      <c r="CO759" s="2867"/>
      <c r="CP759" s="2867"/>
      <c r="CQ759" s="2867"/>
      <c r="CR759" s="2867"/>
      <c r="CS759" s="2867"/>
      <c r="CT759" s="2867"/>
      <c r="CU759" s="2867"/>
      <c r="CV759" s="2867"/>
      <c r="CW759" s="2867"/>
    </row>
    <row r="760" spans="1:101">
      <c r="A760" s="2867"/>
      <c r="B760" s="2867"/>
      <c r="C760" s="2867"/>
      <c r="D760" s="2867"/>
      <c r="E760" s="2867"/>
      <c r="F760" s="2867"/>
      <c r="G760" s="2867"/>
      <c r="H760" s="2867"/>
      <c r="I760" s="2867"/>
      <c r="J760" s="2867"/>
      <c r="K760" s="2867"/>
      <c r="L760" s="2867"/>
      <c r="M760" s="2867"/>
      <c r="O760" s="2867"/>
      <c r="P760" s="2867"/>
      <c r="Q760" s="2867"/>
      <c r="R760" s="2867"/>
      <c r="S760" s="2867"/>
      <c r="T760" s="2867"/>
      <c r="U760" s="2867"/>
      <c r="V760" s="2867"/>
      <c r="W760" s="2867"/>
      <c r="X760" s="2867"/>
      <c r="Y760" s="2867"/>
      <c r="Z760" s="2867"/>
      <c r="AA760" s="2867"/>
      <c r="AB760" s="2867"/>
      <c r="AC760" s="2867"/>
      <c r="AD760" s="2867"/>
      <c r="AE760" s="2867"/>
      <c r="AF760" s="2867"/>
      <c r="AG760" s="2867"/>
      <c r="AH760" s="2867"/>
      <c r="AI760" s="2867"/>
      <c r="AJ760" s="2867"/>
      <c r="AK760" s="2867"/>
      <c r="AL760" s="2867"/>
      <c r="AM760" s="2867"/>
      <c r="AN760" s="2867"/>
      <c r="AO760" s="2867"/>
      <c r="AP760" s="2867"/>
      <c r="AQ760" s="2867"/>
      <c r="AR760" s="2867"/>
      <c r="AS760" s="2867"/>
      <c r="AT760" s="2867"/>
      <c r="AU760" s="2867"/>
      <c r="AV760" s="2867"/>
      <c r="AW760" s="2867"/>
      <c r="AX760" s="2867"/>
      <c r="AY760" s="2867"/>
      <c r="AZ760" s="2867"/>
      <c r="BA760" s="2867"/>
      <c r="BB760" s="2867"/>
      <c r="BC760" s="2867"/>
      <c r="BD760" s="2867"/>
      <c r="BE760" s="2867"/>
      <c r="BF760" s="2867"/>
      <c r="BG760" s="2867"/>
      <c r="BH760" s="2867"/>
      <c r="BI760" s="2867"/>
      <c r="BJ760" s="2867"/>
      <c r="BK760" s="2867"/>
      <c r="BL760" s="2867"/>
      <c r="BM760" s="2867"/>
      <c r="BN760" s="2867"/>
      <c r="BO760" s="2867"/>
      <c r="BP760" s="2867"/>
      <c r="BQ760" s="2867"/>
      <c r="BR760" s="2867"/>
      <c r="BS760" s="2867"/>
      <c r="BT760" s="2867"/>
      <c r="BU760" s="2867"/>
      <c r="BV760" s="2867"/>
      <c r="BW760" s="2867"/>
      <c r="BX760" s="2867"/>
      <c r="BY760" s="2867"/>
      <c r="BZ760" s="2867"/>
      <c r="CA760" s="2867"/>
      <c r="CB760" s="2867"/>
      <c r="CC760" s="2867"/>
      <c r="CD760" s="2867"/>
      <c r="CE760" s="2867"/>
      <c r="CF760" s="2867"/>
      <c r="CG760" s="2867"/>
      <c r="CH760" s="2867"/>
      <c r="CI760" s="2867"/>
      <c r="CJ760" s="2867"/>
      <c r="CK760" s="2867"/>
      <c r="CL760" s="2867"/>
      <c r="CM760" s="2867"/>
      <c r="CN760" s="2867"/>
      <c r="CO760" s="2867"/>
      <c r="CP760" s="2867"/>
      <c r="CQ760" s="2867"/>
      <c r="CR760" s="2867"/>
      <c r="CS760" s="2867"/>
      <c r="CT760" s="2867"/>
      <c r="CU760" s="2867"/>
      <c r="CV760" s="2867"/>
      <c r="CW760" s="2867"/>
    </row>
    <row r="761" spans="1:101">
      <c r="A761" s="2867"/>
      <c r="B761" s="2867"/>
      <c r="C761" s="2867"/>
      <c r="D761" s="2867"/>
      <c r="E761" s="2867"/>
      <c r="F761" s="2867"/>
      <c r="G761" s="2867"/>
      <c r="H761" s="2867"/>
      <c r="I761" s="2867"/>
      <c r="J761" s="2867"/>
      <c r="K761" s="2867"/>
      <c r="L761" s="2867"/>
      <c r="M761" s="2867"/>
      <c r="O761" s="2867"/>
      <c r="P761" s="2867"/>
      <c r="Q761" s="2867"/>
      <c r="R761" s="2867"/>
      <c r="S761" s="2867"/>
      <c r="T761" s="2867"/>
      <c r="U761" s="2867"/>
      <c r="V761" s="2867"/>
      <c r="W761" s="2867"/>
      <c r="X761" s="2867"/>
      <c r="Y761" s="2867"/>
      <c r="Z761" s="2867"/>
      <c r="AA761" s="2867"/>
      <c r="AB761" s="2867"/>
      <c r="AC761" s="2867"/>
      <c r="AD761" s="2867"/>
      <c r="AE761" s="2867"/>
      <c r="AF761" s="2867"/>
      <c r="AG761" s="2867"/>
      <c r="AH761" s="2867"/>
      <c r="AI761" s="2867"/>
      <c r="AJ761" s="2867"/>
      <c r="AK761" s="2867"/>
      <c r="AL761" s="2867"/>
      <c r="AM761" s="2867"/>
      <c r="AN761" s="2867"/>
      <c r="AO761" s="2867"/>
      <c r="AP761" s="2867"/>
      <c r="AQ761" s="2867"/>
      <c r="AR761" s="2867"/>
      <c r="AS761" s="2867"/>
      <c r="AT761" s="2867"/>
      <c r="AU761" s="2867"/>
      <c r="AV761" s="2867"/>
      <c r="AW761" s="2867"/>
      <c r="AX761" s="2867"/>
      <c r="AY761" s="2867"/>
      <c r="AZ761" s="2867"/>
      <c r="BA761" s="2867"/>
      <c r="BB761" s="2867"/>
      <c r="BC761" s="2867"/>
      <c r="BD761" s="2867"/>
      <c r="BE761" s="2867"/>
      <c r="BF761" s="2867"/>
      <c r="BG761" s="2867"/>
      <c r="BH761" s="2867"/>
      <c r="BI761" s="2867"/>
      <c r="BJ761" s="2867"/>
      <c r="BK761" s="2867"/>
      <c r="BL761" s="2867"/>
      <c r="BM761" s="2867"/>
      <c r="BN761" s="2867"/>
      <c r="BO761" s="2867"/>
      <c r="BP761" s="2867"/>
      <c r="BQ761" s="2867"/>
      <c r="BR761" s="2867"/>
      <c r="BS761" s="2867"/>
      <c r="BT761" s="2867"/>
      <c r="BU761" s="2867"/>
      <c r="BV761" s="2867"/>
      <c r="BW761" s="2867"/>
      <c r="BX761" s="2867"/>
      <c r="BY761" s="2867"/>
      <c r="BZ761" s="2867"/>
      <c r="CA761" s="2867"/>
      <c r="CB761" s="2867"/>
      <c r="CC761" s="2867"/>
      <c r="CD761" s="2867"/>
      <c r="CE761" s="2867"/>
      <c r="CF761" s="2867"/>
      <c r="CG761" s="2867"/>
      <c r="CH761" s="2867"/>
      <c r="CI761" s="2867"/>
      <c r="CJ761" s="2867"/>
      <c r="CK761" s="2867"/>
      <c r="CL761" s="2867"/>
      <c r="CM761" s="2867"/>
      <c r="CN761" s="2867"/>
      <c r="CO761" s="2867"/>
      <c r="CP761" s="2867"/>
      <c r="CQ761" s="2867"/>
      <c r="CR761" s="2867"/>
      <c r="CS761" s="2867"/>
      <c r="CT761" s="2867"/>
      <c r="CU761" s="2867"/>
      <c r="CV761" s="2867"/>
      <c r="CW761" s="2867"/>
    </row>
    <row r="762" spans="1:101">
      <c r="A762" s="2867"/>
      <c r="B762" s="2867"/>
      <c r="C762" s="2867"/>
      <c r="D762" s="2867"/>
      <c r="E762" s="2867"/>
      <c r="F762" s="2867"/>
      <c r="G762" s="2867"/>
      <c r="H762" s="2867"/>
      <c r="I762" s="2867"/>
      <c r="J762" s="2867"/>
      <c r="K762" s="2867"/>
      <c r="L762" s="2867"/>
      <c r="M762" s="2867"/>
      <c r="O762" s="2867"/>
      <c r="P762" s="2867"/>
      <c r="Q762" s="2867"/>
      <c r="R762" s="2867"/>
      <c r="S762" s="2867"/>
      <c r="T762" s="2867"/>
      <c r="U762" s="2867"/>
      <c r="V762" s="2867"/>
      <c r="W762" s="2867"/>
      <c r="X762" s="2867"/>
      <c r="Y762" s="2867"/>
      <c r="Z762" s="2867"/>
      <c r="AA762" s="2867"/>
      <c r="AB762" s="2867"/>
      <c r="AC762" s="2867"/>
      <c r="AD762" s="2867"/>
      <c r="AE762" s="2867"/>
      <c r="AF762" s="2867"/>
      <c r="AG762" s="2867"/>
      <c r="AH762" s="2867"/>
      <c r="AI762" s="2867"/>
      <c r="AJ762" s="2867"/>
      <c r="AK762" s="2867"/>
      <c r="AL762" s="2867"/>
      <c r="AM762" s="2867"/>
      <c r="AN762" s="2867"/>
      <c r="AO762" s="2867"/>
      <c r="AP762" s="2867"/>
      <c r="AQ762" s="2867"/>
      <c r="AR762" s="2867"/>
      <c r="AS762" s="2867"/>
      <c r="AT762" s="2867"/>
      <c r="AU762" s="2867"/>
      <c r="AV762" s="2867"/>
      <c r="AW762" s="2867"/>
      <c r="AX762" s="2867"/>
      <c r="AY762" s="2867"/>
      <c r="AZ762" s="2867"/>
      <c r="BA762" s="2867"/>
      <c r="BB762" s="2867"/>
      <c r="BC762" s="2867"/>
      <c r="BD762" s="2867"/>
      <c r="BE762" s="2867"/>
      <c r="BF762" s="2867"/>
      <c r="BG762" s="2867"/>
      <c r="BH762" s="2867"/>
      <c r="BI762" s="2867"/>
      <c r="BJ762" s="2867"/>
      <c r="BK762" s="2867"/>
      <c r="BL762" s="2867"/>
      <c r="BM762" s="2867"/>
      <c r="BN762" s="2867"/>
      <c r="BO762" s="2867"/>
      <c r="BP762" s="2867"/>
      <c r="BQ762" s="2867"/>
      <c r="BR762" s="2867"/>
      <c r="BS762" s="2867"/>
      <c r="BT762" s="2867"/>
      <c r="BU762" s="2867"/>
      <c r="BV762" s="2867"/>
      <c r="BW762" s="2867"/>
      <c r="BX762" s="2867"/>
      <c r="BY762" s="2867"/>
      <c r="BZ762" s="2867"/>
      <c r="CA762" s="2867"/>
      <c r="CB762" s="2867"/>
      <c r="CC762" s="2867"/>
      <c r="CD762" s="2867"/>
      <c r="CE762" s="2867"/>
      <c r="CF762" s="2867"/>
      <c r="CG762" s="2867"/>
      <c r="CH762" s="2867"/>
      <c r="CI762" s="2867"/>
      <c r="CJ762" s="2867"/>
      <c r="CK762" s="2867"/>
      <c r="CL762" s="2867"/>
      <c r="CM762" s="2867"/>
      <c r="CN762" s="2867"/>
      <c r="CO762" s="2867"/>
      <c r="CP762" s="2867"/>
      <c r="CQ762" s="2867"/>
      <c r="CR762" s="2867"/>
      <c r="CS762" s="2867"/>
      <c r="CT762" s="2867"/>
      <c r="CU762" s="2867"/>
      <c r="CV762" s="2867"/>
      <c r="CW762" s="2867"/>
    </row>
    <row r="763" spans="1:101">
      <c r="A763" s="2867"/>
      <c r="B763" s="2867"/>
      <c r="C763" s="2867"/>
      <c r="D763" s="2867"/>
      <c r="E763" s="2867"/>
      <c r="F763" s="2867"/>
      <c r="G763" s="2867"/>
      <c r="H763" s="2867"/>
      <c r="I763" s="2867"/>
      <c r="J763" s="2867"/>
      <c r="K763" s="2867"/>
      <c r="L763" s="2867"/>
      <c r="M763" s="2867"/>
      <c r="O763" s="2867"/>
      <c r="P763" s="2867"/>
      <c r="Q763" s="2867"/>
      <c r="R763" s="2867"/>
      <c r="S763" s="2867"/>
      <c r="T763" s="2867"/>
      <c r="U763" s="2867"/>
      <c r="V763" s="2867"/>
      <c r="W763" s="2867"/>
      <c r="X763" s="2867"/>
      <c r="Y763" s="2867"/>
      <c r="Z763" s="2867"/>
      <c r="AA763" s="2867"/>
      <c r="AB763" s="2867"/>
      <c r="AC763" s="2867"/>
      <c r="AD763" s="2867"/>
      <c r="AE763" s="2867"/>
      <c r="AF763" s="2867"/>
      <c r="AG763" s="2867"/>
      <c r="AH763" s="2867"/>
      <c r="AI763" s="2867"/>
      <c r="AJ763" s="2867"/>
      <c r="AK763" s="2867"/>
      <c r="AL763" s="2867"/>
      <c r="AM763" s="2867"/>
      <c r="AN763" s="2867"/>
      <c r="AO763" s="2867"/>
      <c r="AP763" s="2867"/>
      <c r="AQ763" s="2867"/>
      <c r="AR763" s="2867"/>
      <c r="AS763" s="2867"/>
      <c r="AT763" s="2867"/>
      <c r="AU763" s="2867"/>
      <c r="AV763" s="2867"/>
      <c r="AW763" s="2867"/>
      <c r="AX763" s="2867"/>
      <c r="AY763" s="2867"/>
      <c r="AZ763" s="2867"/>
      <c r="BA763" s="2867"/>
      <c r="BB763" s="2867"/>
      <c r="BC763" s="2867"/>
      <c r="BD763" s="2867"/>
      <c r="BE763" s="2867"/>
      <c r="BF763" s="2867"/>
      <c r="BG763" s="2867"/>
      <c r="BH763" s="2867"/>
      <c r="BI763" s="2867"/>
      <c r="BJ763" s="2867"/>
      <c r="BK763" s="2867"/>
      <c r="BL763" s="2867"/>
      <c r="BM763" s="2867"/>
      <c r="BN763" s="2867"/>
      <c r="BO763" s="2867"/>
      <c r="BP763" s="2867"/>
      <c r="BQ763" s="2867"/>
      <c r="BR763" s="2867"/>
      <c r="BS763" s="2867"/>
      <c r="BT763" s="2867"/>
      <c r="BU763" s="2867"/>
      <c r="BV763" s="2867"/>
      <c r="BW763" s="2867"/>
      <c r="BX763" s="2867"/>
      <c r="BY763" s="2867"/>
      <c r="BZ763" s="2867"/>
      <c r="CA763" s="2867"/>
      <c r="CB763" s="2867"/>
      <c r="CC763" s="2867"/>
      <c r="CD763" s="2867"/>
      <c r="CE763" s="2867"/>
      <c r="CF763" s="2867"/>
      <c r="CG763" s="2867"/>
      <c r="CH763" s="2867"/>
      <c r="CI763" s="2867"/>
      <c r="CJ763" s="2867"/>
      <c r="CK763" s="2867"/>
      <c r="CL763" s="2867"/>
      <c r="CM763" s="2867"/>
      <c r="CN763" s="2867"/>
      <c r="CO763" s="2867"/>
      <c r="CP763" s="2867"/>
      <c r="CQ763" s="2867"/>
      <c r="CR763" s="2867"/>
      <c r="CS763" s="2867"/>
      <c r="CT763" s="2867"/>
      <c r="CU763" s="2867"/>
      <c r="CV763" s="2867"/>
      <c r="CW763" s="2867"/>
    </row>
    <row r="764" spans="1:101">
      <c r="A764" s="2867"/>
      <c r="B764" s="2867"/>
      <c r="C764" s="2867"/>
      <c r="D764" s="2867"/>
      <c r="E764" s="2867"/>
      <c r="F764" s="2867"/>
      <c r="G764" s="2867"/>
      <c r="H764" s="2867"/>
      <c r="I764" s="2867"/>
      <c r="J764" s="2867"/>
      <c r="K764" s="2867"/>
      <c r="L764" s="2867"/>
      <c r="M764" s="2867"/>
      <c r="O764" s="2867"/>
      <c r="P764" s="2867"/>
      <c r="Q764" s="2867"/>
      <c r="R764" s="2867"/>
      <c r="S764" s="2867"/>
      <c r="T764" s="2867"/>
      <c r="U764" s="2867"/>
      <c r="V764" s="2867"/>
      <c r="W764" s="2867"/>
      <c r="X764" s="2867"/>
      <c r="Y764" s="2867"/>
      <c r="Z764" s="2867"/>
      <c r="AA764" s="2867"/>
      <c r="AB764" s="2867"/>
      <c r="AC764" s="2867"/>
      <c r="AD764" s="2867"/>
      <c r="AE764" s="2867"/>
      <c r="AF764" s="2867"/>
      <c r="AG764" s="2867"/>
      <c r="AH764" s="2867"/>
      <c r="AI764" s="2867"/>
      <c r="AJ764" s="2867"/>
      <c r="AK764" s="2867"/>
      <c r="AL764" s="2867"/>
      <c r="AM764" s="2867"/>
      <c r="AN764" s="2867"/>
      <c r="AO764" s="2867"/>
      <c r="AP764" s="2867"/>
      <c r="AQ764" s="2867"/>
      <c r="AR764" s="2867"/>
      <c r="AS764" s="2867"/>
      <c r="AT764" s="2867"/>
      <c r="AU764" s="2867"/>
      <c r="AV764" s="2867"/>
      <c r="AW764" s="2867"/>
      <c r="AX764" s="2867"/>
      <c r="AY764" s="2867"/>
      <c r="AZ764" s="2867"/>
      <c r="BA764" s="2867"/>
      <c r="BB764" s="2867"/>
      <c r="BC764" s="2867"/>
      <c r="BD764" s="2867"/>
      <c r="BE764" s="2867"/>
      <c r="BF764" s="2867"/>
      <c r="BG764" s="2867"/>
      <c r="BH764" s="2867"/>
      <c r="BI764" s="2867"/>
      <c r="BJ764" s="2867"/>
      <c r="BK764" s="2867"/>
      <c r="BL764" s="2867"/>
      <c r="BM764" s="2867"/>
      <c r="BN764" s="2867"/>
      <c r="BO764" s="2867"/>
      <c r="BP764" s="2867"/>
      <c r="BQ764" s="2867"/>
      <c r="BR764" s="2867"/>
      <c r="BS764" s="2867"/>
      <c r="BT764" s="2867"/>
      <c r="BU764" s="2867"/>
      <c r="BV764" s="2867"/>
      <c r="BW764" s="2867"/>
      <c r="BX764" s="2867"/>
      <c r="BY764" s="2867"/>
      <c r="BZ764" s="2867"/>
      <c r="CA764" s="2867"/>
      <c r="CB764" s="2867"/>
      <c r="CC764" s="2867"/>
      <c r="CD764" s="2867"/>
      <c r="CE764" s="2867"/>
      <c r="CF764" s="2867"/>
      <c r="CG764" s="2867"/>
      <c r="CH764" s="2867"/>
      <c r="CI764" s="2867"/>
      <c r="CJ764" s="2867"/>
      <c r="CK764" s="2867"/>
      <c r="CL764" s="2867"/>
      <c r="CM764" s="2867"/>
      <c r="CN764" s="2867"/>
      <c r="CO764" s="2867"/>
      <c r="CP764" s="2867"/>
      <c r="CQ764" s="2867"/>
      <c r="CR764" s="2867"/>
      <c r="CS764" s="2867"/>
      <c r="CT764" s="2867"/>
      <c r="CU764" s="2867"/>
      <c r="CV764" s="2867"/>
      <c r="CW764" s="2867"/>
    </row>
    <row r="765" spans="1:101">
      <c r="A765" s="2867"/>
      <c r="B765" s="2867"/>
      <c r="C765" s="2867"/>
      <c r="D765" s="2867"/>
      <c r="E765" s="2867"/>
      <c r="F765" s="2867"/>
      <c r="G765" s="2867"/>
      <c r="H765" s="2867"/>
      <c r="I765" s="2867"/>
      <c r="J765" s="2867"/>
      <c r="K765" s="2867"/>
      <c r="L765" s="2867"/>
      <c r="M765" s="2867"/>
      <c r="O765" s="2867"/>
      <c r="P765" s="2867"/>
      <c r="Q765" s="2867"/>
      <c r="R765" s="2867"/>
      <c r="S765" s="2867"/>
      <c r="T765" s="2867"/>
      <c r="U765" s="2867"/>
      <c r="V765" s="2867"/>
      <c r="W765" s="2867"/>
      <c r="X765" s="2867"/>
      <c r="Y765" s="2867"/>
      <c r="Z765" s="2867"/>
      <c r="AA765" s="2867"/>
      <c r="AB765" s="2867"/>
      <c r="AC765" s="2867"/>
      <c r="AD765" s="2867"/>
      <c r="AE765" s="2867"/>
      <c r="AF765" s="2867"/>
      <c r="AG765" s="2867"/>
      <c r="AH765" s="2867"/>
      <c r="AI765" s="2867"/>
      <c r="AJ765" s="2867"/>
      <c r="AK765" s="2867"/>
      <c r="AL765" s="2867"/>
      <c r="AM765" s="2867"/>
      <c r="AN765" s="2867"/>
      <c r="AO765" s="2867"/>
      <c r="AP765" s="2867"/>
      <c r="AQ765" s="2867"/>
      <c r="AR765" s="2867"/>
      <c r="AS765" s="2867"/>
      <c r="AT765" s="2867"/>
      <c r="AU765" s="2867"/>
      <c r="AV765" s="2867"/>
      <c r="AW765" s="2867"/>
      <c r="AX765" s="2867"/>
      <c r="AY765" s="2867"/>
      <c r="AZ765" s="2867"/>
      <c r="BA765" s="2867"/>
      <c r="BB765" s="2867"/>
      <c r="BC765" s="2867"/>
      <c r="BD765" s="2867"/>
      <c r="BE765" s="2867"/>
      <c r="BF765" s="2867"/>
      <c r="BG765" s="2867"/>
      <c r="BH765" s="2867"/>
      <c r="BI765" s="2867"/>
      <c r="BJ765" s="2867"/>
      <c r="BK765" s="2867"/>
      <c r="BL765" s="2867"/>
      <c r="BM765" s="2867"/>
      <c r="BN765" s="2867"/>
      <c r="BO765" s="2867"/>
      <c r="BP765" s="2867"/>
      <c r="BQ765" s="2867"/>
      <c r="BR765" s="2867"/>
      <c r="BS765" s="2867"/>
      <c r="BT765" s="2867"/>
      <c r="BU765" s="2867"/>
      <c r="BV765" s="2867"/>
      <c r="BW765" s="2867"/>
      <c r="BX765" s="2867"/>
      <c r="BY765" s="2867"/>
      <c r="BZ765" s="2867"/>
      <c r="CA765" s="2867"/>
      <c r="CB765" s="2867"/>
      <c r="CC765" s="2867"/>
      <c r="CD765" s="2867"/>
      <c r="CE765" s="2867"/>
      <c r="CF765" s="2867"/>
      <c r="CG765" s="2867"/>
      <c r="CH765" s="2867"/>
      <c r="CI765" s="2867"/>
      <c r="CJ765" s="2867"/>
      <c r="CK765" s="2867"/>
      <c r="CL765" s="2867"/>
      <c r="CM765" s="2867"/>
      <c r="CN765" s="2867"/>
      <c r="CO765" s="2867"/>
      <c r="CP765" s="2867"/>
      <c r="CQ765" s="2867"/>
      <c r="CR765" s="2867"/>
      <c r="CS765" s="2867"/>
      <c r="CT765" s="2867"/>
      <c r="CU765" s="2867"/>
      <c r="CV765" s="2867"/>
      <c r="CW765" s="2867"/>
    </row>
    <row r="766" spans="1:101">
      <c r="A766" s="2867"/>
      <c r="B766" s="2867"/>
      <c r="C766" s="2867"/>
      <c r="D766" s="2867"/>
      <c r="E766" s="2867"/>
      <c r="F766" s="2867"/>
      <c r="G766" s="2867"/>
      <c r="H766" s="2867"/>
      <c r="I766" s="2867"/>
      <c r="J766" s="2867"/>
      <c r="K766" s="2867"/>
      <c r="L766" s="2867"/>
      <c r="M766" s="2867"/>
      <c r="O766" s="2867"/>
      <c r="P766" s="2867"/>
      <c r="Q766" s="2867"/>
      <c r="R766" s="2867"/>
      <c r="S766" s="2867"/>
      <c r="T766" s="2867"/>
      <c r="U766" s="2867"/>
      <c r="V766" s="2867"/>
      <c r="W766" s="2867"/>
      <c r="X766" s="2867"/>
      <c r="Y766" s="2867"/>
      <c r="Z766" s="2867"/>
      <c r="AA766" s="2867"/>
      <c r="AB766" s="2867"/>
      <c r="AC766" s="2867"/>
      <c r="AD766" s="2867"/>
      <c r="AE766" s="2867"/>
      <c r="AF766" s="2867"/>
      <c r="AG766" s="2867"/>
      <c r="AH766" s="2867"/>
      <c r="AI766" s="2867"/>
      <c r="AJ766" s="2867"/>
      <c r="AK766" s="2867"/>
      <c r="AL766" s="2867"/>
      <c r="AM766" s="2867"/>
      <c r="AN766" s="2867"/>
      <c r="AO766" s="2867"/>
      <c r="AP766" s="2867"/>
      <c r="AQ766" s="2867"/>
      <c r="AR766" s="2867"/>
      <c r="AS766" s="2867"/>
      <c r="AT766" s="2867"/>
      <c r="AU766" s="2867"/>
      <c r="AV766" s="2867"/>
      <c r="AW766" s="2867"/>
      <c r="AX766" s="2867"/>
      <c r="AY766" s="2867"/>
      <c r="AZ766" s="2867"/>
      <c r="BA766" s="2867"/>
      <c r="BB766" s="2867"/>
      <c r="BC766" s="2867"/>
      <c r="BD766" s="2867"/>
      <c r="BE766" s="2867"/>
      <c r="BF766" s="2867"/>
      <c r="BG766" s="2867"/>
      <c r="BH766" s="2867"/>
      <c r="BI766" s="2867"/>
      <c r="BJ766" s="2867"/>
      <c r="BK766" s="2867"/>
      <c r="BL766" s="2867"/>
      <c r="BM766" s="2867"/>
      <c r="BN766" s="2867"/>
      <c r="BO766" s="2867"/>
      <c r="BP766" s="2867"/>
      <c r="BQ766" s="2867"/>
      <c r="BR766" s="2867"/>
      <c r="BS766" s="2867"/>
      <c r="BT766" s="2867"/>
      <c r="BU766" s="2867"/>
      <c r="BV766" s="2867"/>
      <c r="BW766" s="2867"/>
      <c r="BX766" s="2867"/>
      <c r="BY766" s="2867"/>
      <c r="BZ766" s="2867"/>
      <c r="CA766" s="2867"/>
      <c r="CB766" s="2867"/>
      <c r="CC766" s="2867"/>
      <c r="CD766" s="2867"/>
      <c r="CE766" s="2867"/>
      <c r="CF766" s="2867"/>
      <c r="CG766" s="2867"/>
      <c r="CH766" s="2867"/>
      <c r="CI766" s="2867"/>
      <c r="CJ766" s="2867"/>
      <c r="CK766" s="2867"/>
      <c r="CL766" s="2867"/>
      <c r="CM766" s="2867"/>
      <c r="CN766" s="2867"/>
      <c r="CO766" s="2867"/>
      <c r="CP766" s="2867"/>
      <c r="CQ766" s="2867"/>
      <c r="CR766" s="2867"/>
      <c r="CS766" s="2867"/>
      <c r="CT766" s="2867"/>
      <c r="CU766" s="2867"/>
      <c r="CV766" s="2867"/>
      <c r="CW766" s="2867"/>
    </row>
    <row r="767" spans="1:101">
      <c r="A767" s="2867"/>
      <c r="B767" s="2867"/>
      <c r="C767" s="2867"/>
      <c r="D767" s="2867"/>
      <c r="E767" s="2867"/>
      <c r="F767" s="2867"/>
      <c r="G767" s="2867"/>
      <c r="H767" s="2867"/>
      <c r="I767" s="2867"/>
      <c r="J767" s="2867"/>
      <c r="K767" s="2867"/>
      <c r="L767" s="2867"/>
      <c r="M767" s="2867"/>
      <c r="O767" s="2867"/>
      <c r="P767" s="2867"/>
      <c r="Q767" s="2867"/>
      <c r="R767" s="2867"/>
      <c r="S767" s="2867"/>
      <c r="T767" s="2867"/>
      <c r="U767" s="2867"/>
      <c r="V767" s="2867"/>
      <c r="W767" s="2867"/>
      <c r="X767" s="2867"/>
      <c r="Y767" s="2867"/>
      <c r="Z767" s="2867"/>
      <c r="AA767" s="2867"/>
      <c r="AB767" s="2867"/>
      <c r="AC767" s="2867"/>
      <c r="AD767" s="2867"/>
      <c r="AE767" s="2867"/>
      <c r="AF767" s="2867"/>
      <c r="AG767" s="2867"/>
      <c r="AH767" s="2867"/>
      <c r="AI767" s="2867"/>
      <c r="AJ767" s="2867"/>
      <c r="AK767" s="2867"/>
      <c r="AL767" s="2867"/>
      <c r="AM767" s="2867"/>
      <c r="AN767" s="2867"/>
      <c r="AO767" s="2867"/>
      <c r="AP767" s="2867"/>
      <c r="AQ767" s="2867"/>
      <c r="AR767" s="2867"/>
      <c r="AS767" s="2867"/>
      <c r="AT767" s="2867"/>
      <c r="AU767" s="2867"/>
      <c r="AV767" s="2867"/>
      <c r="AW767" s="2867"/>
      <c r="AX767" s="2867"/>
      <c r="AY767" s="2867"/>
      <c r="AZ767" s="2867"/>
      <c r="BA767" s="2867"/>
      <c r="BB767" s="2867"/>
      <c r="BC767" s="2867"/>
      <c r="BD767" s="2867"/>
      <c r="BE767" s="2867"/>
      <c r="BF767" s="2867"/>
      <c r="BG767" s="2867"/>
      <c r="BH767" s="2867"/>
      <c r="BI767" s="2867"/>
      <c r="BJ767" s="2867"/>
      <c r="BK767" s="2867"/>
      <c r="BL767" s="2867"/>
      <c r="BM767" s="2867"/>
      <c r="BN767" s="2867"/>
      <c r="BO767" s="2867"/>
      <c r="BP767" s="2867"/>
      <c r="BQ767" s="2867"/>
      <c r="BR767" s="2867"/>
      <c r="BS767" s="2867"/>
      <c r="BT767" s="2867"/>
      <c r="BU767" s="2867"/>
      <c r="BV767" s="2867"/>
      <c r="BW767" s="2867"/>
      <c r="BX767" s="2867"/>
      <c r="BY767" s="2867"/>
      <c r="BZ767" s="2867"/>
      <c r="CA767" s="2867"/>
      <c r="CB767" s="2867"/>
      <c r="CC767" s="2867"/>
      <c r="CD767" s="2867"/>
      <c r="CE767" s="2867"/>
      <c r="CF767" s="2867"/>
      <c r="CG767" s="2867"/>
      <c r="CH767" s="2867"/>
      <c r="CI767" s="2867"/>
      <c r="CJ767" s="2867"/>
      <c r="CK767" s="2867"/>
      <c r="CL767" s="2867"/>
      <c r="CM767" s="2867"/>
      <c r="CN767" s="2867"/>
      <c r="CO767" s="2867"/>
      <c r="CP767" s="2867"/>
      <c r="CQ767" s="2867"/>
      <c r="CR767" s="2867"/>
      <c r="CS767" s="2867"/>
      <c r="CT767" s="2867"/>
      <c r="CU767" s="2867"/>
      <c r="CV767" s="2867"/>
      <c r="CW767" s="2867"/>
    </row>
    <row r="768" spans="1:101">
      <c r="A768" s="2867"/>
      <c r="B768" s="2867"/>
      <c r="C768" s="2867"/>
      <c r="D768" s="2867"/>
      <c r="E768" s="2867"/>
      <c r="F768" s="2867"/>
      <c r="G768" s="2867"/>
      <c r="H768" s="2867"/>
      <c r="I768" s="2867"/>
      <c r="J768" s="2867"/>
      <c r="K768" s="2867"/>
      <c r="L768" s="2867"/>
      <c r="M768" s="2867"/>
      <c r="O768" s="2867"/>
      <c r="P768" s="2867"/>
      <c r="Q768" s="2867"/>
      <c r="R768" s="2867"/>
      <c r="S768" s="2867"/>
      <c r="T768" s="2867"/>
      <c r="U768" s="2867"/>
      <c r="V768" s="2867"/>
      <c r="W768" s="2867"/>
      <c r="X768" s="2867"/>
      <c r="Y768" s="2867"/>
      <c r="Z768" s="2867"/>
      <c r="AA768" s="2867"/>
      <c r="AB768" s="2867"/>
      <c r="AC768" s="2867"/>
      <c r="AD768" s="2867"/>
      <c r="AE768" s="2867"/>
      <c r="AF768" s="2867"/>
      <c r="AG768" s="2867"/>
      <c r="AH768" s="2867"/>
      <c r="AI768" s="2867"/>
      <c r="AJ768" s="2867"/>
      <c r="AK768" s="2867"/>
      <c r="AL768" s="2867"/>
      <c r="AM768" s="2867"/>
      <c r="AN768" s="2867"/>
      <c r="AO768" s="2867"/>
      <c r="AP768" s="2867"/>
      <c r="AQ768" s="2867"/>
      <c r="AR768" s="2867"/>
      <c r="AS768" s="2867"/>
      <c r="AT768" s="2867"/>
      <c r="AU768" s="2867"/>
      <c r="AV768" s="2867"/>
      <c r="AW768" s="2867"/>
      <c r="AX768" s="2867"/>
      <c r="AY768" s="2867"/>
      <c r="AZ768" s="2867"/>
      <c r="BA768" s="2867"/>
      <c r="BB768" s="2867"/>
      <c r="BC768" s="2867"/>
      <c r="BD768" s="2867"/>
      <c r="BE768" s="2867"/>
      <c r="BF768" s="2867"/>
      <c r="BG768" s="2867"/>
      <c r="BH768" s="2867"/>
      <c r="BI768" s="2867"/>
      <c r="BJ768" s="2867"/>
      <c r="BK768" s="2867"/>
      <c r="BL768" s="2867"/>
      <c r="BM768" s="2867"/>
      <c r="BN768" s="2867"/>
      <c r="BO768" s="2867"/>
      <c r="BP768" s="2867"/>
      <c r="BQ768" s="2867"/>
      <c r="BR768" s="2867"/>
      <c r="BS768" s="2867"/>
      <c r="BT768" s="2867"/>
      <c r="BU768" s="2867"/>
      <c r="BV768" s="2867"/>
      <c r="BW768" s="2867"/>
      <c r="BX768" s="2867"/>
      <c r="BY768" s="2867"/>
      <c r="BZ768" s="2867"/>
      <c r="CA768" s="2867"/>
      <c r="CB768" s="2867"/>
      <c r="CC768" s="2867"/>
      <c r="CD768" s="2867"/>
      <c r="CE768" s="2867"/>
      <c r="CF768" s="2867"/>
      <c r="CG768" s="2867"/>
      <c r="CH768" s="2867"/>
      <c r="CI768" s="2867"/>
      <c r="CJ768" s="2867"/>
      <c r="CK768" s="2867"/>
      <c r="CL768" s="2867"/>
      <c r="CM768" s="2867"/>
      <c r="CN768" s="2867"/>
      <c r="CO768" s="2867"/>
      <c r="CP768" s="2867"/>
      <c r="CQ768" s="2867"/>
      <c r="CR768" s="2867"/>
      <c r="CS768" s="2867"/>
      <c r="CT768" s="2867"/>
      <c r="CU768" s="2867"/>
      <c r="CV768" s="2867"/>
      <c r="CW768" s="2867"/>
    </row>
    <row r="769" spans="1:101">
      <c r="A769" s="2867"/>
      <c r="B769" s="2867"/>
      <c r="C769" s="2867"/>
      <c r="D769" s="2867"/>
      <c r="E769" s="2867"/>
      <c r="F769" s="2867"/>
      <c r="G769" s="2867"/>
      <c r="H769" s="2867"/>
      <c r="I769" s="2867"/>
      <c r="J769" s="2867"/>
      <c r="K769" s="2867"/>
      <c r="L769" s="2867"/>
      <c r="M769" s="2867"/>
      <c r="O769" s="2867"/>
      <c r="P769" s="2867"/>
      <c r="Q769" s="2867"/>
      <c r="R769" s="2867"/>
      <c r="S769" s="2867"/>
      <c r="T769" s="2867"/>
      <c r="U769" s="2867"/>
      <c r="V769" s="2867"/>
      <c r="W769" s="2867"/>
      <c r="X769" s="2867"/>
      <c r="Y769" s="2867"/>
      <c r="Z769" s="2867"/>
      <c r="AA769" s="2867"/>
      <c r="AB769" s="2867"/>
      <c r="AC769" s="2867"/>
      <c r="AD769" s="2867"/>
      <c r="AE769" s="2867"/>
      <c r="AF769" s="2867"/>
      <c r="AG769" s="2867"/>
      <c r="AH769" s="2867"/>
      <c r="AI769" s="2867"/>
      <c r="AJ769" s="2867"/>
      <c r="AK769" s="2867"/>
      <c r="AL769" s="2867"/>
      <c r="AM769" s="2867"/>
      <c r="AN769" s="2867"/>
      <c r="AO769" s="2867"/>
      <c r="AP769" s="2867"/>
      <c r="AQ769" s="2867"/>
      <c r="AR769" s="2867"/>
      <c r="AS769" s="2867"/>
      <c r="AT769" s="2867"/>
      <c r="AU769" s="2867"/>
      <c r="AV769" s="2867"/>
      <c r="AW769" s="2867"/>
      <c r="AX769" s="2867"/>
      <c r="AY769" s="2867"/>
      <c r="AZ769" s="2867"/>
      <c r="BA769" s="2867"/>
      <c r="BB769" s="2867"/>
      <c r="BC769" s="2867"/>
      <c r="BD769" s="2867"/>
      <c r="BE769" s="2867"/>
      <c r="BF769" s="2867"/>
      <c r="BG769" s="2867"/>
      <c r="BH769" s="2867"/>
      <c r="BI769" s="2867"/>
      <c r="BJ769" s="2867"/>
      <c r="BK769" s="2867"/>
      <c r="BL769" s="2867"/>
      <c r="BM769" s="2867"/>
      <c r="BN769" s="2867"/>
      <c r="BO769" s="2867"/>
      <c r="BP769" s="2867"/>
      <c r="BQ769" s="2867"/>
      <c r="BR769" s="2867"/>
      <c r="BS769" s="2867"/>
      <c r="BT769" s="2867"/>
      <c r="BU769" s="2867"/>
      <c r="BV769" s="2867"/>
      <c r="BW769" s="2867"/>
      <c r="BX769" s="2867"/>
      <c r="BY769" s="2867"/>
      <c r="BZ769" s="2867"/>
      <c r="CA769" s="2867"/>
      <c r="CB769" s="2867"/>
      <c r="CC769" s="2867"/>
      <c r="CD769" s="2867"/>
      <c r="CE769" s="2867"/>
      <c r="CF769" s="2867"/>
      <c r="CG769" s="2867"/>
      <c r="CH769" s="2867"/>
      <c r="CI769" s="2867"/>
      <c r="CJ769" s="2867"/>
      <c r="CK769" s="2867"/>
      <c r="CL769" s="2867"/>
      <c r="CM769" s="2867"/>
      <c r="CN769" s="2867"/>
      <c r="CO769" s="2867"/>
      <c r="CP769" s="2867"/>
      <c r="CQ769" s="2867"/>
      <c r="CR769" s="2867"/>
      <c r="CS769" s="2867"/>
      <c r="CT769" s="2867"/>
      <c r="CU769" s="2867"/>
      <c r="CV769" s="2867"/>
      <c r="CW769" s="2867"/>
    </row>
    <row r="770" spans="1:101">
      <c r="A770" s="2867"/>
      <c r="B770" s="2867"/>
      <c r="C770" s="2867"/>
      <c r="D770" s="2867"/>
      <c r="E770" s="2867"/>
      <c r="F770" s="2867"/>
      <c r="G770" s="2867"/>
      <c r="H770" s="2867"/>
      <c r="I770" s="2867"/>
      <c r="J770" s="2867"/>
      <c r="K770" s="2867"/>
      <c r="L770" s="2867"/>
      <c r="M770" s="2867"/>
      <c r="O770" s="2867"/>
      <c r="P770" s="2867"/>
      <c r="Q770" s="2867"/>
      <c r="R770" s="2867"/>
      <c r="S770" s="2867"/>
      <c r="T770" s="2867"/>
      <c r="U770" s="2867"/>
      <c r="V770" s="2867"/>
      <c r="W770" s="2867"/>
      <c r="X770" s="2867"/>
      <c r="Y770" s="2867"/>
      <c r="Z770" s="2867"/>
      <c r="AA770" s="2867"/>
      <c r="AB770" s="2867"/>
      <c r="AC770" s="2867"/>
      <c r="AD770" s="2867"/>
      <c r="AE770" s="2867"/>
      <c r="AF770" s="2867"/>
      <c r="AG770" s="2867"/>
      <c r="AH770" s="2867"/>
      <c r="AI770" s="2867"/>
      <c r="AJ770" s="2867"/>
      <c r="AK770" s="2867"/>
      <c r="AL770" s="2867"/>
      <c r="AM770" s="2867"/>
      <c r="AN770" s="2867"/>
      <c r="AO770" s="2867"/>
      <c r="AP770" s="2867"/>
      <c r="AQ770" s="2867"/>
      <c r="AR770" s="2867"/>
      <c r="AS770" s="2867"/>
      <c r="AT770" s="2867"/>
      <c r="AU770" s="2867"/>
      <c r="AV770" s="2867"/>
      <c r="AW770" s="2867"/>
      <c r="AX770" s="2867"/>
      <c r="AY770" s="2867"/>
      <c r="AZ770" s="2867"/>
      <c r="BA770" s="2867"/>
      <c r="BB770" s="2867"/>
      <c r="BC770" s="2867"/>
      <c r="BD770" s="2867"/>
      <c r="BE770" s="2867"/>
      <c r="BF770" s="2867"/>
      <c r="BG770" s="2867"/>
      <c r="BH770" s="2867"/>
      <c r="BI770" s="2867"/>
      <c r="BJ770" s="2867"/>
      <c r="BK770" s="2867"/>
      <c r="BL770" s="2867"/>
      <c r="BM770" s="2867"/>
      <c r="BN770" s="2867"/>
      <c r="BO770" s="2867"/>
      <c r="BP770" s="2867"/>
      <c r="BQ770" s="2867"/>
      <c r="BR770" s="2867"/>
      <c r="BS770" s="2867"/>
      <c r="BT770" s="2867"/>
      <c r="BU770" s="2867"/>
      <c r="BV770" s="2867"/>
      <c r="BW770" s="2867"/>
      <c r="BX770" s="2867"/>
      <c r="BY770" s="2867"/>
      <c r="BZ770" s="2867"/>
      <c r="CA770" s="2867"/>
      <c r="CB770" s="2867"/>
      <c r="CC770" s="2867"/>
      <c r="CD770" s="2867"/>
      <c r="CE770" s="2867"/>
      <c r="CF770" s="2867"/>
      <c r="CG770" s="2867"/>
      <c r="CH770" s="2867"/>
      <c r="CI770" s="2867"/>
      <c r="CJ770" s="2867"/>
      <c r="CK770" s="2867"/>
      <c r="CL770" s="2867"/>
      <c r="CM770" s="2867"/>
      <c r="CN770" s="2867"/>
      <c r="CO770" s="2867"/>
      <c r="CP770" s="2867"/>
      <c r="CQ770" s="2867"/>
      <c r="CR770" s="2867"/>
      <c r="CS770" s="2867"/>
      <c r="CT770" s="2867"/>
      <c r="CU770" s="2867"/>
      <c r="CV770" s="2867"/>
      <c r="CW770" s="2867"/>
    </row>
    <row r="771" spans="1:101">
      <c r="A771" s="2867"/>
      <c r="B771" s="2867"/>
      <c r="C771" s="2867"/>
      <c r="D771" s="2867"/>
      <c r="E771" s="2867"/>
      <c r="F771" s="2867"/>
      <c r="G771" s="2867"/>
      <c r="H771" s="2867"/>
      <c r="I771" s="2867"/>
      <c r="J771" s="2867"/>
      <c r="K771" s="2867"/>
      <c r="L771" s="2867"/>
      <c r="M771" s="2867"/>
      <c r="O771" s="2867"/>
      <c r="P771" s="2867"/>
      <c r="Q771" s="2867"/>
      <c r="R771" s="2867"/>
      <c r="S771" s="2867"/>
      <c r="T771" s="2867"/>
      <c r="U771" s="2867"/>
      <c r="V771" s="2867"/>
      <c r="W771" s="2867"/>
      <c r="X771" s="2867"/>
      <c r="Y771" s="2867"/>
      <c r="Z771" s="2867"/>
      <c r="AA771" s="2867"/>
      <c r="AB771" s="2867"/>
      <c r="AC771" s="2867"/>
      <c r="AD771" s="2867"/>
      <c r="AE771" s="2867"/>
      <c r="AF771" s="2867"/>
      <c r="AG771" s="2867"/>
      <c r="AH771" s="2867"/>
      <c r="AI771" s="2867"/>
      <c r="AJ771" s="2867"/>
      <c r="AK771" s="2867"/>
      <c r="AL771" s="2867"/>
      <c r="AM771" s="2867"/>
      <c r="AN771" s="2867"/>
      <c r="AO771" s="2867"/>
      <c r="AP771" s="2867"/>
      <c r="AQ771" s="2867"/>
      <c r="AR771" s="2867"/>
      <c r="AS771" s="2867"/>
      <c r="AT771" s="2867"/>
      <c r="AU771" s="2867"/>
      <c r="AV771" s="2867"/>
      <c r="AW771" s="2867"/>
      <c r="AX771" s="2867"/>
      <c r="AY771" s="2867"/>
      <c r="AZ771" s="2867"/>
      <c r="BA771" s="2867"/>
      <c r="BB771" s="2867"/>
      <c r="BC771" s="2867"/>
      <c r="BD771" s="2867"/>
      <c r="BE771" s="2867"/>
      <c r="BF771" s="2867"/>
      <c r="BG771" s="2867"/>
      <c r="BH771" s="2867"/>
      <c r="BI771" s="2867"/>
      <c r="BJ771" s="2867"/>
      <c r="BK771" s="2867"/>
      <c r="BL771" s="2867"/>
      <c r="BM771" s="2867"/>
      <c r="BN771" s="2867"/>
      <c r="BO771" s="2867"/>
      <c r="BP771" s="2867"/>
      <c r="BQ771" s="2867"/>
      <c r="BR771" s="2867"/>
      <c r="BS771" s="2867"/>
      <c r="BT771" s="2867"/>
      <c r="BU771" s="2867"/>
      <c r="BV771" s="2867"/>
      <c r="BW771" s="2867"/>
      <c r="BX771" s="2867"/>
      <c r="BY771" s="2867"/>
      <c r="BZ771" s="2867"/>
      <c r="CA771" s="2867"/>
      <c r="CB771" s="2867"/>
      <c r="CC771" s="2867"/>
      <c r="CD771" s="2867"/>
      <c r="CE771" s="2867"/>
      <c r="CF771" s="2867"/>
      <c r="CG771" s="2867"/>
      <c r="CH771" s="2867"/>
      <c r="CI771" s="2867"/>
      <c r="CJ771" s="2867"/>
      <c r="CK771" s="2867"/>
      <c r="CL771" s="2867"/>
      <c r="CM771" s="2867"/>
      <c r="CN771" s="2867"/>
      <c r="CO771" s="2867"/>
      <c r="CP771" s="2867"/>
      <c r="CQ771" s="2867"/>
      <c r="CR771" s="2867"/>
      <c r="CS771" s="2867"/>
      <c r="CT771" s="2867"/>
      <c r="CU771" s="2867"/>
      <c r="CV771" s="2867"/>
      <c r="CW771" s="2867"/>
    </row>
    <row r="772" spans="1:101">
      <c r="A772" s="2867"/>
      <c r="B772" s="2867"/>
      <c r="C772" s="2867"/>
      <c r="D772" s="2867"/>
      <c r="E772" s="2867"/>
      <c r="F772" s="2867"/>
      <c r="G772" s="2867"/>
      <c r="H772" s="2867"/>
      <c r="I772" s="2867"/>
      <c r="J772" s="2867"/>
      <c r="K772" s="2867"/>
      <c r="L772" s="2867"/>
      <c r="M772" s="2867"/>
      <c r="O772" s="2867"/>
      <c r="P772" s="2867"/>
      <c r="Q772" s="2867"/>
      <c r="R772" s="2867"/>
      <c r="S772" s="2867"/>
      <c r="T772" s="2867"/>
      <c r="U772" s="2867"/>
      <c r="V772" s="2867"/>
      <c r="W772" s="2867"/>
      <c r="X772" s="2867"/>
      <c r="Y772" s="2867"/>
      <c r="Z772" s="2867"/>
      <c r="AA772" s="2867"/>
      <c r="AB772" s="2867"/>
      <c r="AC772" s="2867"/>
      <c r="AD772" s="2867"/>
      <c r="AE772" s="2867"/>
      <c r="AF772" s="2867"/>
      <c r="AG772" s="2867"/>
      <c r="AH772" s="2867"/>
      <c r="AI772" s="2867"/>
      <c r="AJ772" s="2867"/>
      <c r="AK772" s="2867"/>
      <c r="AL772" s="2867"/>
      <c r="AM772" s="2867"/>
      <c r="AN772" s="2867"/>
      <c r="AO772" s="2867"/>
      <c r="AP772" s="2867"/>
      <c r="AQ772" s="2867"/>
      <c r="AR772" s="2867"/>
      <c r="AS772" s="2867"/>
      <c r="AT772" s="2867"/>
      <c r="AU772" s="2867"/>
      <c r="AV772" s="2867"/>
      <c r="AW772" s="2867"/>
      <c r="AX772" s="2867"/>
      <c r="AY772" s="2867"/>
      <c r="AZ772" s="2867"/>
      <c r="BA772" s="2867"/>
      <c r="BB772" s="2867"/>
      <c r="BC772" s="2867"/>
      <c r="BD772" s="2867"/>
      <c r="BE772" s="2867"/>
      <c r="BF772" s="2867"/>
      <c r="BG772" s="2867"/>
      <c r="BH772" s="2867"/>
      <c r="BI772" s="2867"/>
      <c r="BJ772" s="2867"/>
      <c r="BK772" s="2867"/>
      <c r="BL772" s="2867"/>
      <c r="BM772" s="2867"/>
      <c r="BN772" s="2867"/>
      <c r="BO772" s="2867"/>
      <c r="BP772" s="2867"/>
      <c r="BQ772" s="2867"/>
      <c r="BR772" s="2867"/>
      <c r="BS772" s="2867"/>
      <c r="BT772" s="2867"/>
      <c r="BU772" s="2867"/>
      <c r="BV772" s="2867"/>
      <c r="BW772" s="2867"/>
      <c r="BX772" s="2867"/>
      <c r="BY772" s="2867"/>
      <c r="BZ772" s="2867"/>
      <c r="CA772" s="2867"/>
      <c r="CB772" s="2867"/>
      <c r="CC772" s="2867"/>
      <c r="CD772" s="2867"/>
      <c r="CE772" s="2867"/>
      <c r="CF772" s="2867"/>
      <c r="CG772" s="2867"/>
      <c r="CH772" s="2867"/>
      <c r="CI772" s="2867"/>
      <c r="CJ772" s="2867"/>
      <c r="CK772" s="2867"/>
      <c r="CL772" s="2867"/>
      <c r="CM772" s="2867"/>
      <c r="CN772" s="2867"/>
      <c r="CO772" s="2867"/>
      <c r="CP772" s="2867"/>
      <c r="CQ772" s="2867"/>
      <c r="CR772" s="2867"/>
      <c r="CS772" s="2867"/>
      <c r="CT772" s="2867"/>
      <c r="CU772" s="2867"/>
      <c r="CV772" s="2867"/>
      <c r="CW772" s="2867"/>
    </row>
    <row r="773" spans="1:101">
      <c r="A773" s="2867"/>
      <c r="B773" s="2867"/>
      <c r="C773" s="2867"/>
      <c r="D773" s="2867"/>
      <c r="E773" s="2867"/>
      <c r="F773" s="2867"/>
      <c r="G773" s="2867"/>
      <c r="H773" s="2867"/>
      <c r="I773" s="2867"/>
      <c r="J773" s="2867"/>
      <c r="K773" s="2867"/>
      <c r="L773" s="2867"/>
      <c r="M773" s="2867"/>
      <c r="O773" s="2867"/>
      <c r="P773" s="2867"/>
      <c r="Q773" s="2867"/>
      <c r="R773" s="2867"/>
      <c r="S773" s="2867"/>
      <c r="T773" s="2867"/>
      <c r="U773" s="2867"/>
      <c r="V773" s="2867"/>
      <c r="W773" s="2867"/>
      <c r="X773" s="2867"/>
      <c r="Y773" s="2867"/>
      <c r="Z773" s="2867"/>
      <c r="AA773" s="2867"/>
      <c r="AB773" s="2867"/>
      <c r="AC773" s="2867"/>
      <c r="AD773" s="2867"/>
      <c r="AE773" s="2867"/>
      <c r="AF773" s="2867"/>
      <c r="AG773" s="2867"/>
      <c r="AH773" s="2867"/>
      <c r="AI773" s="2867"/>
      <c r="AJ773" s="2867"/>
      <c r="AK773" s="2867"/>
      <c r="AL773" s="2867"/>
      <c r="AM773" s="2867"/>
      <c r="AN773" s="2867"/>
      <c r="AO773" s="2867"/>
      <c r="AP773" s="2867"/>
      <c r="AQ773" s="2867"/>
      <c r="AR773" s="2867"/>
      <c r="AS773" s="2867"/>
      <c r="AT773" s="2867"/>
      <c r="AU773" s="2867"/>
      <c r="AV773" s="2867"/>
      <c r="AW773" s="2867"/>
      <c r="AX773" s="2867"/>
      <c r="AY773" s="2867"/>
      <c r="AZ773" s="2867"/>
      <c r="BA773" s="2867"/>
      <c r="BB773" s="2867"/>
      <c r="BC773" s="2867"/>
      <c r="BD773" s="2867"/>
      <c r="BE773" s="2867"/>
      <c r="BF773" s="2867"/>
      <c r="BG773" s="2867"/>
      <c r="BH773" s="2867"/>
      <c r="BI773" s="2867"/>
      <c r="BJ773" s="2867"/>
      <c r="BK773" s="2867"/>
      <c r="BL773" s="2867"/>
      <c r="BM773" s="2867"/>
      <c r="BN773" s="2867"/>
      <c r="BO773" s="2867"/>
      <c r="BP773" s="2867"/>
      <c r="BQ773" s="2867"/>
      <c r="BR773" s="2867"/>
      <c r="BS773" s="2867"/>
      <c r="BT773" s="2867"/>
      <c r="BU773" s="2867"/>
      <c r="BV773" s="2867"/>
      <c r="BW773" s="2867"/>
      <c r="BX773" s="2867"/>
      <c r="BY773" s="2867"/>
      <c r="BZ773" s="2867"/>
      <c r="CA773" s="2867"/>
      <c r="CB773" s="2867"/>
      <c r="CC773" s="2867"/>
      <c r="CD773" s="2867"/>
      <c r="CE773" s="2867"/>
      <c r="CF773" s="2867"/>
      <c r="CG773" s="2867"/>
      <c r="CH773" s="2867"/>
      <c r="CI773" s="2867"/>
      <c r="CJ773" s="2867"/>
      <c r="CK773" s="2867"/>
      <c r="CL773" s="2867"/>
      <c r="CM773" s="2867"/>
      <c r="CN773" s="2867"/>
      <c r="CO773" s="2867"/>
      <c r="CP773" s="2867"/>
      <c r="CQ773" s="2867"/>
      <c r="CR773" s="2867"/>
      <c r="CS773" s="2867"/>
      <c r="CT773" s="2867"/>
      <c r="CU773" s="2867"/>
      <c r="CV773" s="2867"/>
      <c r="CW773" s="2867"/>
    </row>
    <row r="774" spans="1:101">
      <c r="A774" s="2867"/>
      <c r="B774" s="2867"/>
      <c r="C774" s="2867"/>
      <c r="D774" s="2867"/>
      <c r="E774" s="2867"/>
      <c r="F774" s="2867"/>
      <c r="G774" s="2867"/>
      <c r="H774" s="2867"/>
      <c r="I774" s="2867"/>
      <c r="J774" s="2867"/>
      <c r="K774" s="2867"/>
      <c r="L774" s="2867"/>
      <c r="M774" s="2867"/>
      <c r="O774" s="2867"/>
      <c r="P774" s="2867"/>
      <c r="Q774" s="2867"/>
      <c r="R774" s="2867"/>
      <c r="S774" s="2867"/>
      <c r="T774" s="2867"/>
      <c r="U774" s="2867"/>
      <c r="V774" s="2867"/>
      <c r="W774" s="2867"/>
      <c r="X774" s="2867"/>
      <c r="Y774" s="2867"/>
      <c r="Z774" s="2867"/>
      <c r="AA774" s="2867"/>
      <c r="AB774" s="2867"/>
      <c r="AC774" s="2867"/>
      <c r="AD774" s="2867"/>
      <c r="AE774" s="2867"/>
      <c r="AF774" s="2867"/>
      <c r="AG774" s="2867"/>
      <c r="AH774" s="2867"/>
      <c r="AI774" s="2867"/>
      <c r="AJ774" s="2867"/>
      <c r="AK774" s="2867"/>
      <c r="AL774" s="2867"/>
      <c r="AM774" s="2867"/>
      <c r="AN774" s="2867"/>
      <c r="AO774" s="2867"/>
      <c r="AP774" s="2867"/>
      <c r="AQ774" s="2867"/>
      <c r="AR774" s="2867"/>
      <c r="AS774" s="2867"/>
      <c r="AT774" s="2867"/>
      <c r="AU774" s="2867"/>
      <c r="AV774" s="2867"/>
      <c r="AW774" s="2867"/>
      <c r="AX774" s="2867"/>
      <c r="AY774" s="2867"/>
      <c r="AZ774" s="2867"/>
      <c r="BA774" s="2867"/>
      <c r="BB774" s="2867"/>
      <c r="BC774" s="2867"/>
      <c r="BD774" s="2867"/>
      <c r="BE774" s="2867"/>
      <c r="BF774" s="2867"/>
      <c r="BG774" s="2867"/>
      <c r="BH774" s="2867"/>
      <c r="BI774" s="2867"/>
      <c r="BJ774" s="2867"/>
      <c r="BK774" s="2867"/>
      <c r="BL774" s="2867"/>
      <c r="BM774" s="2867"/>
      <c r="BN774" s="2867"/>
      <c r="BO774" s="2867"/>
      <c r="BP774" s="2867"/>
      <c r="BQ774" s="2867"/>
      <c r="BR774" s="2867"/>
      <c r="BS774" s="2867"/>
      <c r="BT774" s="2867"/>
      <c r="BU774" s="2867"/>
      <c r="BV774" s="2867"/>
      <c r="BW774" s="2867"/>
      <c r="BX774" s="2867"/>
      <c r="BY774" s="2867"/>
      <c r="BZ774" s="2867"/>
      <c r="CA774" s="2867"/>
      <c r="CB774" s="2867"/>
      <c r="CC774" s="2867"/>
      <c r="CD774" s="2867"/>
      <c r="CE774" s="2867"/>
      <c r="CF774" s="2867"/>
      <c r="CG774" s="2867"/>
      <c r="CH774" s="2867"/>
      <c r="CI774" s="2867"/>
      <c r="CJ774" s="2867"/>
      <c r="CK774" s="2867"/>
      <c r="CL774" s="2867"/>
      <c r="CM774" s="2867"/>
      <c r="CN774" s="2867"/>
      <c r="CO774" s="2867"/>
      <c r="CP774" s="2867"/>
      <c r="CQ774" s="2867"/>
      <c r="CR774" s="2867"/>
      <c r="CS774" s="2867"/>
      <c r="CT774" s="2867"/>
      <c r="CU774" s="2867"/>
      <c r="CV774" s="2867"/>
      <c r="CW774" s="2867"/>
    </row>
    <row r="775" spans="1:101">
      <c r="A775" s="2867"/>
      <c r="B775" s="2867"/>
      <c r="C775" s="2867"/>
      <c r="D775" s="2867"/>
      <c r="E775" s="2867"/>
      <c r="F775" s="2867"/>
      <c r="G775" s="2867"/>
      <c r="H775" s="2867"/>
      <c r="I775" s="2867"/>
      <c r="J775" s="2867"/>
      <c r="K775" s="2867"/>
      <c r="L775" s="2867"/>
      <c r="M775" s="2867"/>
      <c r="O775" s="2867"/>
      <c r="P775" s="2867"/>
      <c r="Q775" s="2867"/>
      <c r="R775" s="2867"/>
      <c r="S775" s="2867"/>
      <c r="T775" s="2867"/>
      <c r="U775" s="2867"/>
      <c r="V775" s="2867"/>
      <c r="W775" s="2867"/>
      <c r="X775" s="2867"/>
      <c r="Y775" s="2867"/>
      <c r="Z775" s="2867"/>
      <c r="AA775" s="2867"/>
      <c r="AB775" s="2867"/>
      <c r="AC775" s="2867"/>
      <c r="AD775" s="2867"/>
      <c r="AE775" s="2867"/>
      <c r="AF775" s="2867"/>
      <c r="AG775" s="2867"/>
      <c r="AH775" s="2867"/>
      <c r="AI775" s="2867"/>
      <c r="AJ775" s="2867"/>
      <c r="AK775" s="2867"/>
      <c r="AL775" s="2867"/>
      <c r="AM775" s="2867"/>
      <c r="AN775" s="2867"/>
      <c r="AO775" s="2867"/>
      <c r="AP775" s="2867"/>
      <c r="AQ775" s="2867"/>
      <c r="AR775" s="2867"/>
      <c r="AS775" s="2867"/>
      <c r="AT775" s="2867"/>
      <c r="AU775" s="2867"/>
      <c r="AV775" s="2867"/>
      <c r="AW775" s="2867"/>
      <c r="AX775" s="2867"/>
      <c r="AY775" s="2867"/>
      <c r="AZ775" s="2867"/>
      <c r="BA775" s="2867"/>
      <c r="BB775" s="2867"/>
      <c r="BC775" s="2867"/>
      <c r="BD775" s="2867"/>
      <c r="BE775" s="2867"/>
      <c r="BF775" s="2867"/>
      <c r="BG775" s="2867"/>
      <c r="BH775" s="2867"/>
      <c r="BI775" s="2867"/>
      <c r="BJ775" s="2867"/>
      <c r="BK775" s="2867"/>
      <c r="BL775" s="2867"/>
      <c r="BM775" s="2867"/>
      <c r="BN775" s="2867"/>
      <c r="BO775" s="2867"/>
      <c r="BP775" s="2867"/>
      <c r="BQ775" s="2867"/>
      <c r="BR775" s="2867"/>
      <c r="BS775" s="2867"/>
      <c r="BT775" s="2867"/>
      <c r="BU775" s="2867"/>
      <c r="BV775" s="2867"/>
      <c r="BW775" s="2867"/>
      <c r="BX775" s="2867"/>
      <c r="BY775" s="2867"/>
      <c r="BZ775" s="2867"/>
      <c r="CA775" s="2867"/>
      <c r="CB775" s="2867"/>
      <c r="CC775" s="2867"/>
      <c r="CD775" s="2867"/>
      <c r="CE775" s="2867"/>
      <c r="CF775" s="2867"/>
      <c r="CG775" s="2867"/>
      <c r="CH775" s="2867"/>
      <c r="CI775" s="2867"/>
      <c r="CJ775" s="2867"/>
      <c r="CK775" s="2867"/>
      <c r="CL775" s="2867"/>
      <c r="CM775" s="2867"/>
      <c r="CN775" s="2867"/>
      <c r="CO775" s="2867"/>
      <c r="CP775" s="2867"/>
      <c r="CQ775" s="2867"/>
      <c r="CR775" s="2867"/>
      <c r="CS775" s="2867"/>
      <c r="CT775" s="2867"/>
      <c r="CU775" s="2867"/>
      <c r="CV775" s="2867"/>
      <c r="CW775" s="2867"/>
    </row>
    <row r="776" spans="1:101">
      <c r="A776" s="2867"/>
      <c r="B776" s="2867"/>
      <c r="C776" s="2867"/>
      <c r="D776" s="2867"/>
      <c r="E776" s="2867"/>
      <c r="F776" s="2867"/>
      <c r="G776" s="2867"/>
      <c r="H776" s="2867"/>
      <c r="I776" s="2867"/>
      <c r="J776" s="2867"/>
      <c r="K776" s="2867"/>
      <c r="L776" s="2867"/>
      <c r="M776" s="2867"/>
      <c r="O776" s="2867"/>
      <c r="P776" s="2867"/>
      <c r="Q776" s="2867"/>
      <c r="R776" s="2867"/>
      <c r="S776" s="2867"/>
      <c r="T776" s="2867"/>
      <c r="U776" s="2867"/>
      <c r="V776" s="2867"/>
      <c r="W776" s="2867"/>
      <c r="X776" s="2867"/>
      <c r="Y776" s="2867"/>
      <c r="Z776" s="2867"/>
      <c r="AA776" s="2867"/>
      <c r="AB776" s="2867"/>
      <c r="AC776" s="2867"/>
      <c r="AD776" s="2867"/>
      <c r="AE776" s="2867"/>
      <c r="AF776" s="2867"/>
      <c r="AG776" s="2867"/>
      <c r="AH776" s="2867"/>
      <c r="AI776" s="2867"/>
      <c r="AJ776" s="2867"/>
      <c r="AK776" s="2867"/>
      <c r="AL776" s="2867"/>
      <c r="AM776" s="2867"/>
      <c r="AN776" s="2867"/>
      <c r="AO776" s="2867"/>
      <c r="AP776" s="2867"/>
      <c r="AQ776" s="2867"/>
      <c r="AR776" s="2867"/>
      <c r="AS776" s="2867"/>
      <c r="AT776" s="2867"/>
      <c r="AU776" s="2867"/>
      <c r="AV776" s="2867"/>
      <c r="AW776" s="2867"/>
      <c r="AX776" s="2867"/>
      <c r="AY776" s="2867"/>
      <c r="AZ776" s="2867"/>
      <c r="BA776" s="2867"/>
      <c r="BB776" s="2867"/>
      <c r="BC776" s="2867"/>
      <c r="BD776" s="2867"/>
      <c r="BE776" s="2867"/>
      <c r="BF776" s="2867"/>
      <c r="BG776" s="2867"/>
      <c r="BH776" s="2867"/>
      <c r="BI776" s="2867"/>
      <c r="BJ776" s="2867"/>
      <c r="BK776" s="2867"/>
      <c r="BL776" s="2867"/>
      <c r="BM776" s="2867"/>
      <c r="BN776" s="2867"/>
      <c r="BO776" s="2867"/>
      <c r="BP776" s="2867"/>
      <c r="BQ776" s="2867"/>
      <c r="BR776" s="2867"/>
      <c r="BS776" s="2867"/>
      <c r="BT776" s="2867"/>
      <c r="BU776" s="2867"/>
      <c r="BV776" s="2867"/>
      <c r="BW776" s="2867"/>
      <c r="BX776" s="2867"/>
      <c r="BY776" s="2867"/>
      <c r="BZ776" s="2867"/>
      <c r="CA776" s="2867"/>
      <c r="CB776" s="2867"/>
      <c r="CC776" s="2867"/>
      <c r="CD776" s="2867"/>
      <c r="CE776" s="2867"/>
      <c r="CF776" s="2867"/>
      <c r="CG776" s="2867"/>
      <c r="CH776" s="2867"/>
      <c r="CI776" s="2867"/>
      <c r="CJ776" s="2867"/>
      <c r="CK776" s="2867"/>
      <c r="CL776" s="2867"/>
      <c r="CM776" s="2867"/>
      <c r="CN776" s="2867"/>
      <c r="CO776" s="2867"/>
      <c r="CP776" s="2867"/>
      <c r="CQ776" s="2867"/>
      <c r="CR776" s="2867"/>
      <c r="CS776" s="2867"/>
      <c r="CT776" s="2867"/>
      <c r="CU776" s="2867"/>
      <c r="CV776" s="2867"/>
      <c r="CW776" s="2867"/>
    </row>
    <row r="777" spans="1:101">
      <c r="A777" s="2867"/>
      <c r="B777" s="2867"/>
      <c r="C777" s="2867"/>
      <c r="D777" s="2867"/>
      <c r="E777" s="2867"/>
      <c r="F777" s="2867"/>
      <c r="G777" s="2867"/>
      <c r="H777" s="2867"/>
      <c r="I777" s="2867"/>
      <c r="J777" s="2867"/>
      <c r="K777" s="2867"/>
      <c r="L777" s="2867"/>
      <c r="M777" s="2867"/>
      <c r="O777" s="2867"/>
      <c r="P777" s="2867"/>
      <c r="Q777" s="2867"/>
      <c r="R777" s="2867"/>
      <c r="S777" s="2867"/>
      <c r="T777" s="2867"/>
      <c r="U777" s="2867"/>
      <c r="V777" s="2867"/>
      <c r="W777" s="2867"/>
      <c r="X777" s="2867"/>
      <c r="Y777" s="2867"/>
      <c r="Z777" s="2867"/>
      <c r="AA777" s="2867"/>
      <c r="AB777" s="2867"/>
      <c r="AC777" s="2867"/>
      <c r="AD777" s="2867"/>
      <c r="AE777" s="2867"/>
      <c r="AF777" s="2867"/>
      <c r="AG777" s="2867"/>
      <c r="AH777" s="2867"/>
      <c r="AI777" s="2867"/>
      <c r="AJ777" s="2867"/>
      <c r="AK777" s="2867"/>
      <c r="AL777" s="2867"/>
      <c r="AM777" s="2867"/>
      <c r="AN777" s="2867"/>
      <c r="AO777" s="2867"/>
      <c r="AP777" s="2867"/>
      <c r="AQ777" s="2867"/>
      <c r="AR777" s="2867"/>
      <c r="AS777" s="2867"/>
      <c r="AT777" s="2867"/>
      <c r="AU777" s="2867"/>
      <c r="AV777" s="2867"/>
      <c r="AW777" s="2867"/>
      <c r="AX777" s="2867"/>
      <c r="AY777" s="2867"/>
      <c r="AZ777" s="2867"/>
      <c r="BA777" s="2867"/>
      <c r="BB777" s="2867"/>
      <c r="BC777" s="2867"/>
      <c r="BD777" s="2867"/>
      <c r="BE777" s="2867"/>
      <c r="BF777" s="2867"/>
      <c r="BG777" s="2867"/>
      <c r="BH777" s="2867"/>
      <c r="BI777" s="2867"/>
      <c r="BJ777" s="2867"/>
      <c r="BK777" s="2867"/>
      <c r="BL777" s="2867"/>
      <c r="BM777" s="2867"/>
      <c r="BN777" s="2867"/>
      <c r="BO777" s="2867"/>
      <c r="BP777" s="2867"/>
      <c r="BQ777" s="2867"/>
      <c r="BR777" s="2867"/>
      <c r="BS777" s="2867"/>
      <c r="BT777" s="2867"/>
      <c r="BU777" s="2867"/>
      <c r="BV777" s="2867"/>
      <c r="BW777" s="2867"/>
      <c r="BX777" s="2867"/>
      <c r="BY777" s="2867"/>
      <c r="BZ777" s="2867"/>
      <c r="CA777" s="2867"/>
      <c r="CB777" s="2867"/>
      <c r="CC777" s="2867"/>
      <c r="CD777" s="2867"/>
      <c r="CE777" s="2867"/>
      <c r="CF777" s="2867"/>
      <c r="CG777" s="2867"/>
      <c r="CH777" s="2867"/>
      <c r="CI777" s="2867"/>
      <c r="CJ777" s="2867"/>
      <c r="CK777" s="2867"/>
      <c r="CL777" s="2867"/>
      <c r="CM777" s="2867"/>
      <c r="CN777" s="2867"/>
      <c r="CO777" s="2867"/>
      <c r="CP777" s="2867"/>
      <c r="CQ777" s="2867"/>
      <c r="CR777" s="2867"/>
      <c r="CS777" s="2867"/>
      <c r="CT777" s="2867"/>
      <c r="CU777" s="2867"/>
      <c r="CV777" s="2867"/>
      <c r="CW777" s="2867"/>
    </row>
    <row r="778" spans="1:101">
      <c r="A778" s="2867"/>
      <c r="B778" s="2867"/>
      <c r="C778" s="2867"/>
      <c r="D778" s="2867"/>
      <c r="E778" s="2867"/>
      <c r="F778" s="2867"/>
      <c r="G778" s="2867"/>
      <c r="H778" s="2867"/>
      <c r="I778" s="2867"/>
      <c r="J778" s="2867"/>
      <c r="K778" s="2867"/>
      <c r="L778" s="2867"/>
      <c r="M778" s="2867"/>
      <c r="O778" s="2867"/>
      <c r="P778" s="2867"/>
      <c r="Q778" s="2867"/>
      <c r="R778" s="2867"/>
      <c r="S778" s="2867"/>
      <c r="T778" s="2867"/>
      <c r="U778" s="2867"/>
      <c r="V778" s="2867"/>
      <c r="W778" s="2867"/>
      <c r="X778" s="2867"/>
      <c r="Y778" s="2867"/>
      <c r="Z778" s="2867"/>
      <c r="AA778" s="2867"/>
      <c r="AB778" s="2867"/>
      <c r="AC778" s="2867"/>
      <c r="AD778" s="2867"/>
      <c r="AE778" s="2867"/>
      <c r="AF778" s="2867"/>
      <c r="AG778" s="2867"/>
      <c r="AH778" s="2867"/>
      <c r="AI778" s="2867"/>
      <c r="AJ778" s="2867"/>
      <c r="AK778" s="2867"/>
      <c r="AL778" s="2867"/>
      <c r="AM778" s="2867"/>
      <c r="AN778" s="2867"/>
      <c r="AO778" s="2867"/>
      <c r="AP778" s="2867"/>
      <c r="AQ778" s="2867"/>
      <c r="AR778" s="2867"/>
      <c r="AS778" s="2867"/>
      <c r="AT778" s="2867"/>
      <c r="AU778" s="2867"/>
      <c r="AV778" s="2867"/>
      <c r="AW778" s="2867"/>
      <c r="AX778" s="2867"/>
      <c r="AY778" s="2867"/>
      <c r="AZ778" s="2867"/>
      <c r="BA778" s="2867"/>
      <c r="BB778" s="2867"/>
      <c r="BC778" s="2867"/>
      <c r="BD778" s="2867"/>
      <c r="BE778" s="2867"/>
      <c r="BF778" s="2867"/>
      <c r="BG778" s="2867"/>
      <c r="BH778" s="2867"/>
      <c r="BI778" s="2867"/>
      <c r="BJ778" s="2867"/>
      <c r="BK778" s="2867"/>
      <c r="BL778" s="2867"/>
      <c r="BM778" s="2867"/>
      <c r="BN778" s="2867"/>
      <c r="BO778" s="2867"/>
      <c r="BP778" s="2867"/>
      <c r="BQ778" s="2867"/>
      <c r="BR778" s="2867"/>
      <c r="BS778" s="2867"/>
      <c r="BT778" s="2867"/>
      <c r="BU778" s="2867"/>
      <c r="BV778" s="2867"/>
      <c r="BW778" s="2867"/>
      <c r="BX778" s="2867"/>
      <c r="BY778" s="2867"/>
      <c r="BZ778" s="2867"/>
      <c r="CA778" s="2867"/>
      <c r="CB778" s="2867"/>
      <c r="CC778" s="2867"/>
      <c r="CD778" s="2867"/>
      <c r="CE778" s="2867"/>
      <c r="CF778" s="2867"/>
      <c r="CG778" s="2867"/>
      <c r="CH778" s="2867"/>
      <c r="CI778" s="2867"/>
      <c r="CJ778" s="2867"/>
      <c r="CK778" s="2867"/>
      <c r="CL778" s="2867"/>
      <c r="CM778" s="2867"/>
      <c r="CN778" s="2867"/>
      <c r="CO778" s="2867"/>
      <c r="CP778" s="2867"/>
      <c r="CQ778" s="2867"/>
      <c r="CR778" s="2867"/>
      <c r="CS778" s="2867"/>
      <c r="CT778" s="2867"/>
      <c r="CU778" s="2867"/>
      <c r="CV778" s="2867"/>
      <c r="CW778" s="2867"/>
    </row>
    <row r="779" spans="1:101">
      <c r="A779" s="2867"/>
      <c r="B779" s="2867"/>
      <c r="C779" s="2867"/>
      <c r="D779" s="2867"/>
      <c r="E779" s="2867"/>
      <c r="F779" s="2867"/>
      <c r="G779" s="2867"/>
      <c r="H779" s="2867"/>
      <c r="I779" s="2867"/>
      <c r="J779" s="2867"/>
      <c r="K779" s="2867"/>
      <c r="L779" s="2867"/>
      <c r="M779" s="2867"/>
      <c r="O779" s="2867"/>
      <c r="P779" s="2867"/>
      <c r="Q779" s="2867"/>
      <c r="R779" s="2867"/>
      <c r="S779" s="2867"/>
      <c r="T779" s="2867"/>
      <c r="U779" s="2867"/>
      <c r="V779" s="2867"/>
      <c r="W779" s="2867"/>
      <c r="X779" s="2867"/>
      <c r="Y779" s="2867"/>
      <c r="Z779" s="2867"/>
      <c r="AA779" s="2867"/>
      <c r="AB779" s="2867"/>
      <c r="AC779" s="2867"/>
      <c r="AD779" s="2867"/>
      <c r="AE779" s="2867"/>
      <c r="AF779" s="2867"/>
      <c r="AG779" s="2867"/>
      <c r="AH779" s="2867"/>
      <c r="AI779" s="2867"/>
      <c r="AJ779" s="2867"/>
      <c r="AK779" s="2867"/>
      <c r="AL779" s="2867"/>
      <c r="AM779" s="2867"/>
      <c r="AN779" s="2867"/>
      <c r="AO779" s="2867"/>
      <c r="AP779" s="2867"/>
      <c r="AQ779" s="2867"/>
      <c r="AR779" s="2867"/>
      <c r="AS779" s="2867"/>
      <c r="AT779" s="2867"/>
      <c r="AU779" s="2867"/>
      <c r="AV779" s="2867"/>
      <c r="AW779" s="2867"/>
      <c r="AX779" s="2867"/>
      <c r="AY779" s="2867"/>
      <c r="AZ779" s="2867"/>
      <c r="BA779" s="2867"/>
      <c r="BB779" s="2867"/>
      <c r="BC779" s="2867"/>
      <c r="BD779" s="2867"/>
      <c r="BE779" s="2867"/>
      <c r="BF779" s="2867"/>
      <c r="BG779" s="2867"/>
      <c r="BH779" s="2867"/>
      <c r="BI779" s="2867"/>
      <c r="BJ779" s="2867"/>
      <c r="BK779" s="2867"/>
      <c r="BL779" s="2867"/>
      <c r="BM779" s="2867"/>
      <c r="BN779" s="2867"/>
      <c r="BO779" s="2867"/>
      <c r="BP779" s="2867"/>
      <c r="BQ779" s="2867"/>
      <c r="BR779" s="2867"/>
      <c r="BS779" s="2867"/>
      <c r="BT779" s="2867"/>
      <c r="BU779" s="2867"/>
      <c r="BV779" s="2867"/>
      <c r="BW779" s="2867"/>
      <c r="BX779" s="2867"/>
      <c r="BY779" s="2867"/>
      <c r="BZ779" s="2867"/>
      <c r="CA779" s="2867"/>
      <c r="CB779" s="2867"/>
      <c r="CC779" s="2867"/>
      <c r="CD779" s="2867"/>
      <c r="CE779" s="2867"/>
      <c r="CF779" s="2867"/>
      <c r="CG779" s="2867"/>
      <c r="CH779" s="2867"/>
      <c r="CI779" s="2867"/>
      <c r="CJ779" s="2867"/>
      <c r="CK779" s="2867"/>
      <c r="CL779" s="2867"/>
      <c r="CM779" s="2867"/>
      <c r="CN779" s="2867"/>
      <c r="CO779" s="2867"/>
      <c r="CP779" s="2867"/>
      <c r="CQ779" s="2867"/>
      <c r="CR779" s="2867"/>
      <c r="CS779" s="2867"/>
      <c r="CT779" s="2867"/>
      <c r="CU779" s="2867"/>
      <c r="CV779" s="2867"/>
      <c r="CW779" s="2867"/>
    </row>
    <row r="780" spans="1:101">
      <c r="A780" s="2867"/>
      <c r="B780" s="2867"/>
      <c r="C780" s="2867"/>
      <c r="D780" s="2867"/>
      <c r="E780" s="2867"/>
      <c r="F780" s="2867"/>
      <c r="G780" s="2867"/>
      <c r="H780" s="2867"/>
      <c r="I780" s="2867"/>
      <c r="J780" s="2867"/>
      <c r="K780" s="2867"/>
      <c r="L780" s="2867"/>
      <c r="M780" s="2867"/>
      <c r="O780" s="2867"/>
      <c r="P780" s="2867"/>
      <c r="Q780" s="2867"/>
      <c r="R780" s="2867"/>
      <c r="S780" s="2867"/>
      <c r="T780" s="2867"/>
      <c r="U780" s="2867"/>
      <c r="V780" s="2867"/>
      <c r="W780" s="2867"/>
      <c r="X780" s="2867"/>
      <c r="Y780" s="2867"/>
      <c r="Z780" s="2867"/>
      <c r="AA780" s="2867"/>
      <c r="AB780" s="2867"/>
      <c r="AC780" s="2867"/>
      <c r="AD780" s="2867"/>
      <c r="AE780" s="2867"/>
      <c r="AF780" s="2867"/>
      <c r="AG780" s="2867"/>
      <c r="AH780" s="2867"/>
      <c r="AI780" s="2867"/>
      <c r="AJ780" s="2867"/>
      <c r="AK780" s="2867"/>
      <c r="AL780" s="2867"/>
      <c r="AM780" s="2867"/>
      <c r="AN780" s="2867"/>
      <c r="AO780" s="2867"/>
      <c r="AP780" s="2867"/>
      <c r="AQ780" s="2867"/>
      <c r="AR780" s="2867"/>
      <c r="AS780" s="2867"/>
      <c r="AT780" s="2867"/>
      <c r="AU780" s="2867"/>
      <c r="AV780" s="2867"/>
      <c r="AW780" s="2867"/>
      <c r="AX780" s="2867"/>
      <c r="AY780" s="2867"/>
      <c r="AZ780" s="2867"/>
      <c r="BA780" s="2867"/>
      <c r="BB780" s="2867"/>
      <c r="BC780" s="2867"/>
      <c r="BD780" s="2867"/>
      <c r="BE780" s="2867"/>
      <c r="BF780" s="2867"/>
      <c r="BG780" s="2867"/>
      <c r="BH780" s="2867"/>
      <c r="BI780" s="2867"/>
      <c r="BJ780" s="2867"/>
      <c r="BK780" s="2867"/>
      <c r="BL780" s="2867"/>
      <c r="BM780" s="2867"/>
      <c r="BN780" s="2867"/>
      <c r="BO780" s="2867"/>
      <c r="BP780" s="2867"/>
      <c r="BQ780" s="2867"/>
      <c r="BR780" s="2867"/>
      <c r="BS780" s="2867"/>
      <c r="BT780" s="2867"/>
      <c r="BU780" s="2867"/>
      <c r="BV780" s="2867"/>
      <c r="BW780" s="2867"/>
      <c r="BX780" s="2867"/>
      <c r="BY780" s="2867"/>
      <c r="BZ780" s="2867"/>
      <c r="CA780" s="2867"/>
      <c r="CB780" s="2867"/>
      <c r="CC780" s="2867"/>
      <c r="CD780" s="2867"/>
      <c r="CE780" s="2867"/>
      <c r="CF780" s="2867"/>
      <c r="CG780" s="2867"/>
      <c r="CH780" s="2867"/>
      <c r="CI780" s="2867"/>
      <c r="CJ780" s="2867"/>
      <c r="CK780" s="2867"/>
      <c r="CL780" s="2867"/>
      <c r="CM780" s="2867"/>
      <c r="CN780" s="2867"/>
      <c r="CO780" s="2867"/>
      <c r="CP780" s="2867"/>
      <c r="CQ780" s="2867"/>
      <c r="CR780" s="2867"/>
      <c r="CS780" s="2867"/>
      <c r="CT780" s="2867"/>
      <c r="CU780" s="2867"/>
      <c r="CV780" s="2867"/>
      <c r="CW780" s="2867"/>
    </row>
    <row r="781" spans="1:101">
      <c r="A781" s="2867"/>
      <c r="B781" s="2867"/>
      <c r="C781" s="2867"/>
      <c r="D781" s="2867"/>
      <c r="E781" s="2867"/>
      <c r="F781" s="2867"/>
      <c r="G781" s="2867"/>
      <c r="H781" s="2867"/>
      <c r="I781" s="2867"/>
      <c r="J781" s="2867"/>
      <c r="K781" s="2867"/>
      <c r="L781" s="2867"/>
      <c r="M781" s="2867"/>
      <c r="O781" s="2867"/>
      <c r="P781" s="2867"/>
      <c r="Q781" s="2867"/>
      <c r="R781" s="2867"/>
      <c r="S781" s="2867"/>
      <c r="T781" s="2867"/>
      <c r="U781" s="2867"/>
      <c r="V781" s="2867"/>
      <c r="W781" s="2867"/>
      <c r="X781" s="2867"/>
      <c r="Y781" s="2867"/>
      <c r="Z781" s="2867"/>
      <c r="AA781" s="2867"/>
      <c r="AB781" s="2867"/>
      <c r="AC781" s="2867"/>
      <c r="AD781" s="2867"/>
      <c r="AE781" s="2867"/>
      <c r="AF781" s="2867"/>
      <c r="AG781" s="2867"/>
      <c r="AH781" s="2867"/>
      <c r="AI781" s="2867"/>
      <c r="AJ781" s="2867"/>
      <c r="AK781" s="2867"/>
      <c r="AL781" s="2867"/>
      <c r="AM781" s="2867"/>
      <c r="AN781" s="2867"/>
      <c r="AO781" s="2867"/>
      <c r="AP781" s="2867"/>
      <c r="AQ781" s="2867"/>
      <c r="AR781" s="2867"/>
      <c r="AS781" s="2867"/>
      <c r="AT781" s="2867"/>
      <c r="AU781" s="2867"/>
      <c r="AV781" s="2867"/>
      <c r="AW781" s="2867"/>
      <c r="AX781" s="2867"/>
      <c r="AY781" s="2867"/>
      <c r="AZ781" s="2867"/>
      <c r="BA781" s="2867"/>
      <c r="BB781" s="2867"/>
      <c r="BC781" s="2867"/>
      <c r="BD781" s="2867"/>
      <c r="BE781" s="2867"/>
      <c r="BF781" s="2867"/>
      <c r="BG781" s="2867"/>
      <c r="BH781" s="2867"/>
      <c r="BI781" s="2867"/>
      <c r="BJ781" s="2867"/>
      <c r="BK781" s="2867"/>
      <c r="BL781" s="2867"/>
      <c r="BM781" s="2867"/>
      <c r="BN781" s="2867"/>
      <c r="BO781" s="2867"/>
      <c r="BP781" s="2867"/>
      <c r="BQ781" s="2867"/>
      <c r="BR781" s="2867"/>
      <c r="BS781" s="2867"/>
      <c r="BT781" s="2867"/>
      <c r="BU781" s="2867"/>
      <c r="BV781" s="2867"/>
      <c r="BW781" s="2867"/>
      <c r="BX781" s="2867"/>
      <c r="BY781" s="2867"/>
      <c r="BZ781" s="2867"/>
      <c r="CA781" s="2867"/>
      <c r="CB781" s="2867"/>
      <c r="CC781" s="2867"/>
      <c r="CD781" s="2867"/>
      <c r="CE781" s="2867"/>
      <c r="CF781" s="2867"/>
      <c r="CG781" s="2867"/>
      <c r="CH781" s="2867"/>
      <c r="CI781" s="2867"/>
      <c r="CJ781" s="2867"/>
      <c r="CK781" s="2867"/>
      <c r="CL781" s="2867"/>
      <c r="CM781" s="2867"/>
      <c r="CN781" s="2867"/>
      <c r="CO781" s="2867"/>
      <c r="CP781" s="2867"/>
      <c r="CQ781" s="2867"/>
      <c r="CR781" s="2867"/>
      <c r="CS781" s="2867"/>
      <c r="CT781" s="2867"/>
      <c r="CU781" s="2867"/>
      <c r="CV781" s="2867"/>
      <c r="CW781" s="2867"/>
    </row>
    <row r="782" spans="1:101">
      <c r="A782" s="2867"/>
      <c r="B782" s="2867"/>
      <c r="C782" s="2867"/>
      <c r="D782" s="2867"/>
      <c r="E782" s="2867"/>
      <c r="F782" s="2867"/>
      <c r="G782" s="2867"/>
      <c r="H782" s="2867"/>
      <c r="I782" s="2867"/>
      <c r="J782" s="2867"/>
      <c r="K782" s="2867"/>
      <c r="L782" s="2867"/>
      <c r="M782" s="2867"/>
      <c r="O782" s="2867"/>
      <c r="P782" s="2867"/>
      <c r="Q782" s="2867"/>
      <c r="R782" s="2867"/>
      <c r="S782" s="2867"/>
      <c r="T782" s="2867"/>
      <c r="U782" s="2867"/>
      <c r="V782" s="2867"/>
      <c r="W782" s="2867"/>
      <c r="X782" s="2867"/>
      <c r="Y782" s="2867"/>
      <c r="Z782" s="2867"/>
      <c r="AA782" s="2867"/>
      <c r="AB782" s="2867"/>
      <c r="AC782" s="2867"/>
      <c r="AD782" s="2867"/>
      <c r="AE782" s="2867"/>
      <c r="AF782" s="2867"/>
      <c r="AG782" s="2867"/>
      <c r="AH782" s="2867"/>
      <c r="AI782" s="2867"/>
      <c r="AJ782" s="2867"/>
      <c r="AK782" s="2867"/>
      <c r="AL782" s="2867"/>
      <c r="AM782" s="2867"/>
      <c r="AN782" s="2867"/>
      <c r="AO782" s="2867"/>
      <c r="AP782" s="2867"/>
      <c r="AQ782" s="2867"/>
      <c r="AR782" s="2867"/>
      <c r="AS782" s="2867"/>
      <c r="AT782" s="2867"/>
      <c r="AU782" s="2867"/>
      <c r="AV782" s="2867"/>
      <c r="AW782" s="2867"/>
      <c r="AX782" s="2867"/>
      <c r="AY782" s="2867"/>
      <c r="AZ782" s="2867"/>
      <c r="BA782" s="2867"/>
      <c r="BB782" s="2867"/>
      <c r="BC782" s="2867"/>
      <c r="BD782" s="2867"/>
      <c r="BE782" s="2867"/>
      <c r="BF782" s="2867"/>
      <c r="BG782" s="2867"/>
      <c r="BH782" s="2867"/>
      <c r="BI782" s="2867"/>
      <c r="BJ782" s="2867"/>
      <c r="BK782" s="2867"/>
      <c r="BL782" s="2867"/>
      <c r="BM782" s="2867"/>
      <c r="BN782" s="2867"/>
      <c r="BO782" s="2867"/>
      <c r="BP782" s="2867"/>
      <c r="BQ782" s="2867"/>
      <c r="BR782" s="2867"/>
      <c r="BS782" s="2867"/>
      <c r="BT782" s="2867"/>
      <c r="BU782" s="2867"/>
      <c r="BV782" s="2867"/>
      <c r="BW782" s="2867"/>
      <c r="BX782" s="2867"/>
      <c r="BY782" s="2867"/>
      <c r="BZ782" s="2867"/>
      <c r="CA782" s="2867"/>
      <c r="CB782" s="2867"/>
      <c r="CC782" s="2867"/>
      <c r="CD782" s="2867"/>
      <c r="CE782" s="2867"/>
      <c r="CF782" s="2867"/>
      <c r="CG782" s="2867"/>
      <c r="CH782" s="2867"/>
      <c r="CI782" s="2867"/>
      <c r="CJ782" s="2867"/>
      <c r="CK782" s="2867"/>
      <c r="CL782" s="2867"/>
      <c r="CM782" s="2867"/>
      <c r="CN782" s="2867"/>
      <c r="CO782" s="2867"/>
      <c r="CP782" s="2867"/>
      <c r="CQ782" s="2867"/>
      <c r="CR782" s="2867"/>
      <c r="CS782" s="2867"/>
      <c r="CT782" s="2867"/>
      <c r="CU782" s="2867"/>
      <c r="CV782" s="2867"/>
      <c r="CW782" s="2867"/>
    </row>
    <row r="783" spans="1:101">
      <c r="A783" s="2867"/>
      <c r="B783" s="2867"/>
      <c r="C783" s="2867"/>
      <c r="D783" s="2867"/>
      <c r="E783" s="2867"/>
      <c r="F783" s="2867"/>
      <c r="G783" s="2867"/>
      <c r="H783" s="2867"/>
      <c r="I783" s="2867"/>
      <c r="J783" s="2867"/>
      <c r="K783" s="2867"/>
      <c r="L783" s="2867"/>
      <c r="M783" s="2867"/>
      <c r="O783" s="2867"/>
      <c r="P783" s="2867"/>
      <c r="Q783" s="2867"/>
      <c r="R783" s="2867"/>
      <c r="S783" s="2867"/>
      <c r="T783" s="2867"/>
      <c r="U783" s="2867"/>
      <c r="V783" s="2867"/>
      <c r="W783" s="2867"/>
      <c r="X783" s="2867"/>
      <c r="Y783" s="2867"/>
      <c r="Z783" s="2867"/>
      <c r="AA783" s="2867"/>
      <c r="AB783" s="2867"/>
      <c r="AC783" s="2867"/>
      <c r="AD783" s="2867"/>
      <c r="AE783" s="2867"/>
      <c r="AF783" s="2867"/>
      <c r="AG783" s="2867"/>
      <c r="AH783" s="2867"/>
      <c r="AI783" s="2867"/>
      <c r="AJ783" s="2867"/>
      <c r="AK783" s="2867"/>
      <c r="AL783" s="2867"/>
      <c r="AM783" s="2867"/>
      <c r="AN783" s="2867"/>
      <c r="AO783" s="2867"/>
      <c r="AP783" s="2867"/>
      <c r="AQ783" s="2867"/>
      <c r="AR783" s="2867"/>
      <c r="AS783" s="2867"/>
      <c r="AT783" s="2867"/>
      <c r="AU783" s="2867"/>
      <c r="AV783" s="2867"/>
      <c r="AW783" s="2867"/>
      <c r="AX783" s="2867"/>
      <c r="AY783" s="2867"/>
      <c r="AZ783" s="2867"/>
      <c r="BA783" s="2867"/>
      <c r="BB783" s="2867"/>
      <c r="BC783" s="2867"/>
      <c r="BD783" s="2867"/>
      <c r="BE783" s="2867"/>
      <c r="BF783" s="2867"/>
      <c r="BG783" s="2867"/>
      <c r="BH783" s="2867"/>
      <c r="BI783" s="2867"/>
      <c r="BJ783" s="2867"/>
      <c r="BK783" s="2867"/>
      <c r="BL783" s="2867"/>
      <c r="BM783" s="2867"/>
      <c r="BN783" s="2867"/>
      <c r="BO783" s="2867"/>
      <c r="BP783" s="2867"/>
      <c r="BQ783" s="2867"/>
      <c r="BR783" s="2867"/>
      <c r="BS783" s="2867"/>
      <c r="BT783" s="2867"/>
      <c r="BU783" s="2867"/>
      <c r="BV783" s="2867"/>
      <c r="BW783" s="2867"/>
      <c r="BX783" s="2867"/>
      <c r="BY783" s="2867"/>
      <c r="BZ783" s="2867"/>
      <c r="CA783" s="2867"/>
      <c r="CB783" s="2867"/>
      <c r="CC783" s="2867"/>
      <c r="CD783" s="2867"/>
      <c r="CE783" s="2867"/>
      <c r="CF783" s="2867"/>
      <c r="CG783" s="2867"/>
      <c r="CH783" s="2867"/>
      <c r="CI783" s="2867"/>
      <c r="CJ783" s="2867"/>
      <c r="CK783" s="2867"/>
      <c r="CL783" s="2867"/>
      <c r="CM783" s="2867"/>
      <c r="CN783" s="2867"/>
      <c r="CO783" s="2867"/>
      <c r="CP783" s="2867"/>
      <c r="CQ783" s="2867"/>
      <c r="CR783" s="2867"/>
      <c r="CS783" s="2867"/>
      <c r="CT783" s="2867"/>
      <c r="CU783" s="2867"/>
      <c r="CV783" s="2867"/>
      <c r="CW783" s="2867"/>
    </row>
    <row r="784" spans="1:101">
      <c r="A784" s="2867"/>
      <c r="B784" s="2867"/>
      <c r="C784" s="2867"/>
      <c r="D784" s="2867"/>
      <c r="E784" s="2867"/>
      <c r="F784" s="2867"/>
      <c r="G784" s="2867"/>
      <c r="H784" s="2867"/>
      <c r="I784" s="2867"/>
      <c r="J784" s="2867"/>
      <c r="K784" s="2867"/>
      <c r="L784" s="2867"/>
      <c r="M784" s="2867"/>
      <c r="O784" s="2867"/>
      <c r="P784" s="2867"/>
      <c r="Q784" s="2867"/>
      <c r="R784" s="2867"/>
      <c r="S784" s="2867"/>
      <c r="T784" s="2867"/>
      <c r="U784" s="2867"/>
      <c r="V784" s="2867"/>
      <c r="W784" s="2867"/>
      <c r="X784" s="2867"/>
      <c r="Y784" s="2867"/>
      <c r="Z784" s="2867"/>
      <c r="AA784" s="2867"/>
      <c r="AB784" s="2867"/>
      <c r="AC784" s="2867"/>
      <c r="AD784" s="2867"/>
      <c r="AE784" s="2867"/>
      <c r="AF784" s="2867"/>
      <c r="AG784" s="2867"/>
      <c r="AH784" s="2867"/>
      <c r="AI784" s="2867"/>
      <c r="AJ784" s="2867"/>
      <c r="AK784" s="2867"/>
      <c r="AL784" s="2867"/>
      <c r="AM784" s="2867"/>
      <c r="AN784" s="2867"/>
      <c r="AO784" s="2867"/>
      <c r="AP784" s="2867"/>
      <c r="AQ784" s="2867"/>
      <c r="AR784" s="2867"/>
      <c r="AS784" s="2867"/>
      <c r="AT784" s="2867"/>
      <c r="AU784" s="2867"/>
      <c r="AV784" s="2867"/>
      <c r="AW784" s="2867"/>
      <c r="AX784" s="2867"/>
      <c r="AY784" s="2867"/>
      <c r="AZ784" s="2867"/>
      <c r="BA784" s="2867"/>
      <c r="BB784" s="2867"/>
      <c r="BC784" s="2867"/>
      <c r="BD784" s="2867"/>
      <c r="BE784" s="2867"/>
      <c r="BF784" s="2867"/>
      <c r="BG784" s="2867"/>
      <c r="BH784" s="2867"/>
      <c r="BI784" s="2867"/>
      <c r="BJ784" s="2867"/>
      <c r="BK784" s="2867"/>
      <c r="BL784" s="2867"/>
      <c r="BM784" s="2867"/>
      <c r="BN784" s="2867"/>
      <c r="BO784" s="2867"/>
      <c r="BP784" s="2867"/>
      <c r="BQ784" s="2867"/>
      <c r="BR784" s="2867"/>
      <c r="BS784" s="2867"/>
      <c r="BT784" s="2867"/>
      <c r="BU784" s="2867"/>
      <c r="BV784" s="2867"/>
      <c r="BW784" s="2867"/>
      <c r="BX784" s="2867"/>
      <c r="BY784" s="2867"/>
      <c r="BZ784" s="2867"/>
      <c r="CA784" s="2867"/>
      <c r="CB784" s="2867"/>
      <c r="CC784" s="2867"/>
      <c r="CD784" s="2867"/>
      <c r="CE784" s="2867"/>
      <c r="CF784" s="2867"/>
      <c r="CG784" s="2867"/>
      <c r="CH784" s="2867"/>
      <c r="CI784" s="2867"/>
      <c r="CJ784" s="2867"/>
      <c r="CK784" s="2867"/>
      <c r="CL784" s="2867"/>
      <c r="CM784" s="2867"/>
      <c r="CN784" s="2867"/>
      <c r="CO784" s="2867"/>
      <c r="CP784" s="2867"/>
      <c r="CQ784" s="2867"/>
      <c r="CR784" s="2867"/>
      <c r="CS784" s="2867"/>
      <c r="CT784" s="2867"/>
      <c r="CU784" s="2867"/>
      <c r="CV784" s="2867"/>
      <c r="CW784" s="2867"/>
    </row>
    <row r="785" spans="1:101">
      <c r="A785" s="2867"/>
      <c r="B785" s="2867"/>
      <c r="C785" s="2867"/>
      <c r="D785" s="2867"/>
      <c r="E785" s="2867"/>
      <c r="F785" s="2867"/>
      <c r="G785" s="2867"/>
      <c r="H785" s="2867"/>
      <c r="I785" s="2867"/>
      <c r="J785" s="2867"/>
      <c r="K785" s="2867"/>
      <c r="L785" s="2867"/>
      <c r="M785" s="2867"/>
      <c r="O785" s="2867"/>
      <c r="P785" s="2867"/>
      <c r="Q785" s="2867"/>
      <c r="R785" s="2867"/>
      <c r="S785" s="2867"/>
      <c r="T785" s="2867"/>
      <c r="U785" s="2867"/>
      <c r="V785" s="2867"/>
      <c r="W785" s="2867"/>
      <c r="X785" s="2867"/>
      <c r="Y785" s="2867"/>
      <c r="Z785" s="2867"/>
      <c r="AA785" s="2867"/>
      <c r="AB785" s="2867"/>
      <c r="AC785" s="2867"/>
      <c r="AD785" s="2867"/>
      <c r="AE785" s="2867"/>
      <c r="AF785" s="2867"/>
      <c r="AG785" s="2867"/>
      <c r="AH785" s="2867"/>
      <c r="AI785" s="2867"/>
      <c r="AJ785" s="2867"/>
      <c r="AK785" s="2867"/>
      <c r="AL785" s="2867"/>
      <c r="AM785" s="2867"/>
      <c r="AN785" s="2867"/>
      <c r="AO785" s="2867"/>
      <c r="AP785" s="2867"/>
      <c r="AQ785" s="2867"/>
      <c r="AR785" s="2867"/>
      <c r="AS785" s="2867"/>
      <c r="AT785" s="2867"/>
      <c r="AU785" s="2867"/>
      <c r="AV785" s="2867"/>
      <c r="AW785" s="2867"/>
      <c r="AX785" s="2867"/>
      <c r="AY785" s="2867"/>
      <c r="AZ785" s="2867"/>
      <c r="BA785" s="2867"/>
      <c r="BB785" s="2867"/>
      <c r="BC785" s="2867"/>
      <c r="BD785" s="2867"/>
      <c r="BE785" s="2867"/>
      <c r="BF785" s="2867"/>
      <c r="BG785" s="2867"/>
      <c r="BH785" s="2867"/>
      <c r="BI785" s="2867"/>
      <c r="BJ785" s="2867"/>
      <c r="BK785" s="2867"/>
      <c r="BL785" s="2867"/>
      <c r="BM785" s="2867"/>
      <c r="BN785" s="2867"/>
      <c r="BO785" s="2867"/>
      <c r="BP785" s="2867"/>
      <c r="BQ785" s="2867"/>
      <c r="BR785" s="2867"/>
      <c r="BS785" s="2867"/>
      <c r="BT785" s="2867"/>
      <c r="BU785" s="2867"/>
      <c r="BV785" s="2867"/>
      <c r="BW785" s="2867"/>
      <c r="BX785" s="2867"/>
      <c r="BY785" s="2867"/>
      <c r="BZ785" s="2867"/>
      <c r="CA785" s="2867"/>
      <c r="CB785" s="2867"/>
      <c r="CC785" s="2867"/>
      <c r="CD785" s="2867"/>
      <c r="CE785" s="2867"/>
      <c r="CF785" s="2867"/>
      <c r="CG785" s="2867"/>
      <c r="CH785" s="2867"/>
      <c r="CI785" s="2867"/>
      <c r="CJ785" s="2867"/>
      <c r="CK785" s="2867"/>
      <c r="CL785" s="2867"/>
      <c r="CM785" s="2867"/>
      <c r="CN785" s="2867"/>
      <c r="CO785" s="2867"/>
      <c r="CP785" s="2867"/>
      <c r="CQ785" s="2867"/>
      <c r="CR785" s="2867"/>
      <c r="CS785" s="2867"/>
      <c r="CT785" s="2867"/>
      <c r="CU785" s="2867"/>
      <c r="CV785" s="2867"/>
      <c r="CW785" s="2867"/>
    </row>
    <row r="786" spans="1:101">
      <c r="A786" s="2867"/>
      <c r="B786" s="2867"/>
      <c r="C786" s="2867"/>
      <c r="D786" s="2867"/>
      <c r="E786" s="2867"/>
      <c r="F786" s="2867"/>
      <c r="G786" s="2867"/>
      <c r="H786" s="2867"/>
      <c r="I786" s="2867"/>
      <c r="J786" s="2867"/>
      <c r="K786" s="2867"/>
      <c r="L786" s="2867"/>
      <c r="M786" s="2867"/>
      <c r="O786" s="2867"/>
      <c r="P786" s="2867"/>
      <c r="Q786" s="2867"/>
      <c r="R786" s="2867"/>
      <c r="S786" s="2867"/>
      <c r="T786" s="2867"/>
      <c r="U786" s="2867"/>
      <c r="V786" s="2867"/>
      <c r="W786" s="2867"/>
      <c r="X786" s="2867"/>
      <c r="Y786" s="2867"/>
      <c r="Z786" s="2867"/>
      <c r="AA786" s="2867"/>
      <c r="AB786" s="2867"/>
      <c r="AC786" s="2867"/>
      <c r="AD786" s="2867"/>
      <c r="AE786" s="2867"/>
      <c r="AF786" s="2867"/>
      <c r="AG786" s="2867"/>
      <c r="AH786" s="2867"/>
      <c r="AI786" s="2867"/>
      <c r="AJ786" s="2867"/>
      <c r="AK786" s="2867"/>
      <c r="AL786" s="2867"/>
      <c r="AM786" s="2867"/>
      <c r="AN786" s="2867"/>
      <c r="AO786" s="2867"/>
      <c r="AP786" s="2867"/>
      <c r="AQ786" s="2867"/>
      <c r="AR786" s="2867"/>
      <c r="AS786" s="2867"/>
      <c r="AT786" s="2867"/>
      <c r="AU786" s="2867"/>
      <c r="AV786" s="2867"/>
      <c r="AW786" s="2867"/>
      <c r="AX786" s="2867"/>
      <c r="AY786" s="2867"/>
      <c r="AZ786" s="2867"/>
      <c r="BA786" s="2867"/>
      <c r="BB786" s="2867"/>
      <c r="BC786" s="2867"/>
      <c r="BD786" s="2867"/>
      <c r="BE786" s="2867"/>
      <c r="BF786" s="2867"/>
      <c r="BG786" s="2867"/>
      <c r="BH786" s="2867"/>
      <c r="BI786" s="2867"/>
      <c r="BJ786" s="2867"/>
      <c r="BK786" s="2867"/>
      <c r="BL786" s="2867"/>
      <c r="BM786" s="2867"/>
      <c r="BN786" s="2867"/>
      <c r="BO786" s="2867"/>
      <c r="BP786" s="2867"/>
      <c r="BQ786" s="2867"/>
      <c r="BR786" s="2867"/>
      <c r="BS786" s="2867"/>
      <c r="BT786" s="2867"/>
      <c r="BU786" s="2867"/>
      <c r="BV786" s="2867"/>
      <c r="BW786" s="2867"/>
      <c r="BX786" s="2867"/>
      <c r="BY786" s="2867"/>
      <c r="BZ786" s="2867"/>
      <c r="CA786" s="2867"/>
      <c r="CB786" s="2867"/>
      <c r="CC786" s="2867"/>
      <c r="CD786" s="2867"/>
      <c r="CE786" s="2867"/>
      <c r="CF786" s="2867"/>
      <c r="CG786" s="2867"/>
      <c r="CH786" s="2867"/>
      <c r="CI786" s="2867"/>
      <c r="CJ786" s="2867"/>
      <c r="CK786" s="2867"/>
      <c r="CL786" s="2867"/>
      <c r="CM786" s="2867"/>
      <c r="CN786" s="2867"/>
      <c r="CO786" s="2867"/>
      <c r="CP786" s="2867"/>
      <c r="CQ786" s="2867"/>
      <c r="CR786" s="2867"/>
      <c r="CS786" s="2867"/>
      <c r="CT786" s="2867"/>
      <c r="CU786" s="2867"/>
      <c r="CV786" s="2867"/>
      <c r="CW786" s="2867"/>
    </row>
    <row r="787" spans="1:101">
      <c r="A787" s="2867"/>
      <c r="B787" s="2867"/>
      <c r="C787" s="2867"/>
      <c r="D787" s="2867"/>
      <c r="E787" s="2867"/>
      <c r="F787" s="2867"/>
      <c r="G787" s="2867"/>
      <c r="H787" s="2867"/>
      <c r="I787" s="2867"/>
      <c r="J787" s="2867"/>
      <c r="K787" s="2867"/>
      <c r="L787" s="2867"/>
      <c r="M787" s="2867"/>
      <c r="O787" s="2867"/>
      <c r="P787" s="2867"/>
      <c r="Q787" s="2867"/>
      <c r="R787" s="2867"/>
      <c r="S787" s="2867"/>
      <c r="T787" s="2867"/>
      <c r="U787" s="2867"/>
      <c r="V787" s="2867"/>
      <c r="W787" s="2867"/>
      <c r="X787" s="2867"/>
      <c r="Y787" s="2867"/>
      <c r="Z787" s="2867"/>
      <c r="AA787" s="2867"/>
      <c r="AB787" s="2867"/>
      <c r="AC787" s="2867"/>
      <c r="AD787" s="2867"/>
      <c r="AE787" s="2867"/>
      <c r="AF787" s="2867"/>
      <c r="AG787" s="2867"/>
      <c r="AH787" s="2867"/>
      <c r="AI787" s="2867"/>
      <c r="AJ787" s="2867"/>
      <c r="AK787" s="2867"/>
      <c r="AL787" s="2867"/>
      <c r="AM787" s="2867"/>
      <c r="AN787" s="2867"/>
      <c r="AO787" s="2867"/>
      <c r="AP787" s="2867"/>
      <c r="AQ787" s="2867"/>
      <c r="AR787" s="2867"/>
      <c r="AS787" s="2867"/>
      <c r="AT787" s="2867"/>
      <c r="AU787" s="2867"/>
      <c r="AV787" s="2867"/>
      <c r="AW787" s="2867"/>
      <c r="AX787" s="2867"/>
      <c r="AY787" s="2867"/>
      <c r="AZ787" s="2867"/>
      <c r="BA787" s="2867"/>
      <c r="BB787" s="2867"/>
      <c r="BC787" s="2867"/>
      <c r="BD787" s="2867"/>
      <c r="BE787" s="2867"/>
      <c r="BF787" s="2867"/>
      <c r="BG787" s="2867"/>
      <c r="BH787" s="2867"/>
      <c r="BI787" s="2867"/>
      <c r="BJ787" s="2867"/>
      <c r="BK787" s="2867"/>
      <c r="BL787" s="2867"/>
      <c r="BM787" s="2867"/>
      <c r="BN787" s="2867"/>
      <c r="BO787" s="2867"/>
      <c r="BP787" s="2867"/>
      <c r="BQ787" s="2867"/>
      <c r="BR787" s="2867"/>
      <c r="BS787" s="2867"/>
      <c r="BT787" s="2867"/>
      <c r="BU787" s="2867"/>
      <c r="BV787" s="2867"/>
      <c r="BW787" s="2867"/>
      <c r="BX787" s="2867"/>
      <c r="BY787" s="2867"/>
      <c r="BZ787" s="2867"/>
      <c r="CA787" s="2867"/>
      <c r="CB787" s="2867"/>
      <c r="CC787" s="2867"/>
      <c r="CD787" s="2867"/>
      <c r="CE787" s="2867"/>
      <c r="CF787" s="2867"/>
      <c r="CG787" s="2867"/>
      <c r="CH787" s="2867"/>
      <c r="CI787" s="2867"/>
      <c r="CJ787" s="2867"/>
      <c r="CK787" s="2867"/>
      <c r="CL787" s="2867"/>
      <c r="CM787" s="2867"/>
      <c r="CN787" s="2867"/>
      <c r="CO787" s="2867"/>
      <c r="CP787" s="2867"/>
      <c r="CQ787" s="2867"/>
      <c r="CR787" s="2867"/>
      <c r="CS787" s="2867"/>
      <c r="CT787" s="2867"/>
      <c r="CU787" s="2867"/>
      <c r="CV787" s="2867"/>
      <c r="CW787" s="2867"/>
    </row>
    <row r="788" spans="1:101">
      <c r="A788" s="2867"/>
      <c r="B788" s="2867"/>
      <c r="C788" s="2867"/>
      <c r="D788" s="2867"/>
      <c r="E788" s="2867"/>
      <c r="F788" s="2867"/>
      <c r="G788" s="2867"/>
      <c r="H788" s="2867"/>
      <c r="I788" s="2867"/>
      <c r="J788" s="2867"/>
      <c r="K788" s="2867"/>
      <c r="L788" s="2867"/>
      <c r="M788" s="2867"/>
      <c r="O788" s="2867"/>
      <c r="P788" s="2867"/>
      <c r="Q788" s="2867"/>
      <c r="R788" s="2867"/>
      <c r="S788" s="2867"/>
      <c r="T788" s="2867"/>
      <c r="U788" s="2867"/>
      <c r="V788" s="2867"/>
      <c r="W788" s="2867"/>
      <c r="X788" s="2867"/>
      <c r="Y788" s="2867"/>
      <c r="Z788" s="2867"/>
      <c r="AA788" s="2867"/>
      <c r="AB788" s="2867"/>
      <c r="AC788" s="2867"/>
      <c r="AD788" s="2867"/>
      <c r="AE788" s="2867"/>
      <c r="AF788" s="2867"/>
      <c r="AG788" s="2867"/>
      <c r="AH788" s="2867"/>
      <c r="AI788" s="2867"/>
      <c r="AJ788" s="2867"/>
      <c r="AK788" s="2867"/>
      <c r="AL788" s="2867"/>
      <c r="AM788" s="2867"/>
      <c r="AN788" s="2867"/>
      <c r="AO788" s="2867"/>
      <c r="AP788" s="2867"/>
      <c r="AQ788" s="2867"/>
      <c r="AR788" s="2867"/>
      <c r="AS788" s="2867"/>
      <c r="AT788" s="2867"/>
      <c r="AU788" s="2867"/>
      <c r="AV788" s="2867"/>
      <c r="AW788" s="2867"/>
      <c r="AX788" s="2867"/>
      <c r="AY788" s="2867"/>
      <c r="AZ788" s="2867"/>
      <c r="BA788" s="2867"/>
      <c r="BB788" s="2867"/>
      <c r="BC788" s="2867"/>
      <c r="BD788" s="2867"/>
      <c r="BE788" s="2867"/>
      <c r="BF788" s="2867"/>
      <c r="BG788" s="2867"/>
      <c r="BH788" s="2867"/>
      <c r="BI788" s="2867"/>
      <c r="BJ788" s="2867"/>
      <c r="BK788" s="2867"/>
      <c r="BL788" s="2867"/>
      <c r="BM788" s="2867"/>
      <c r="BN788" s="2867"/>
      <c r="BO788" s="2867"/>
      <c r="BP788" s="2867"/>
      <c r="BQ788" s="2867"/>
      <c r="BR788" s="2867"/>
      <c r="BS788" s="2867"/>
      <c r="BT788" s="2867"/>
      <c r="BU788" s="2867"/>
      <c r="BV788" s="2867"/>
      <c r="BW788" s="2867"/>
      <c r="BX788" s="2867"/>
      <c r="BY788" s="2867"/>
      <c r="BZ788" s="2867"/>
      <c r="CA788" s="2867"/>
      <c r="CB788" s="2867"/>
      <c r="CC788" s="2867"/>
      <c r="CD788" s="2867"/>
      <c r="CE788" s="2867"/>
      <c r="CF788" s="2867"/>
      <c r="CG788" s="2867"/>
      <c r="CH788" s="2867"/>
      <c r="CI788" s="2867"/>
      <c r="CJ788" s="2867"/>
      <c r="CK788" s="2867"/>
      <c r="CL788" s="2867"/>
      <c r="CM788" s="2867"/>
      <c r="CN788" s="2867"/>
      <c r="CO788" s="2867"/>
      <c r="CP788" s="2867"/>
      <c r="CQ788" s="2867"/>
      <c r="CR788" s="2867"/>
      <c r="CS788" s="2867"/>
      <c r="CT788" s="2867"/>
      <c r="CU788" s="2867"/>
      <c r="CV788" s="2867"/>
      <c r="CW788" s="2867"/>
    </row>
    <row r="789" spans="1:101">
      <c r="A789" s="2867"/>
      <c r="B789" s="2867"/>
      <c r="C789" s="2867"/>
      <c r="D789" s="2867"/>
      <c r="E789" s="2867"/>
      <c r="F789" s="2867"/>
      <c r="G789" s="2867"/>
      <c r="H789" s="2867"/>
      <c r="I789" s="2867"/>
      <c r="J789" s="2867"/>
      <c r="K789" s="2867"/>
      <c r="L789" s="2867"/>
      <c r="M789" s="2867"/>
      <c r="O789" s="2867"/>
      <c r="P789" s="2867"/>
      <c r="Q789" s="2867"/>
      <c r="R789" s="2867"/>
      <c r="S789" s="2867"/>
      <c r="T789" s="2867"/>
      <c r="U789" s="2867"/>
      <c r="V789" s="2867"/>
      <c r="W789" s="2867"/>
      <c r="X789" s="2867"/>
      <c r="Y789" s="2867"/>
      <c r="Z789" s="2867"/>
      <c r="AA789" s="2867"/>
      <c r="AB789" s="2867"/>
      <c r="AC789" s="2867"/>
      <c r="AD789" s="2867"/>
      <c r="AE789" s="2867"/>
      <c r="AF789" s="2867"/>
      <c r="AG789" s="2867"/>
      <c r="AH789" s="2867"/>
      <c r="AI789" s="2867"/>
      <c r="AJ789" s="2867"/>
      <c r="AK789" s="2867"/>
      <c r="AL789" s="2867"/>
      <c r="AM789" s="2867"/>
      <c r="AN789" s="2867"/>
      <c r="AO789" s="2867"/>
      <c r="AP789" s="2867"/>
      <c r="AQ789" s="2867"/>
      <c r="AR789" s="2867"/>
      <c r="AS789" s="2867"/>
      <c r="AT789" s="2867"/>
      <c r="AU789" s="2867"/>
      <c r="AV789" s="2867"/>
      <c r="AW789" s="2867"/>
      <c r="AX789" s="2867"/>
      <c r="AY789" s="2867"/>
      <c r="AZ789" s="2867"/>
      <c r="BA789" s="2867"/>
      <c r="BB789" s="2867"/>
      <c r="BC789" s="2867"/>
      <c r="BD789" s="2867"/>
      <c r="BE789" s="2867"/>
      <c r="BF789" s="2867"/>
      <c r="BG789" s="2867"/>
      <c r="BH789" s="2867"/>
      <c r="BI789" s="2867"/>
      <c r="BJ789" s="2867"/>
      <c r="BK789" s="2867"/>
      <c r="BL789" s="2867"/>
      <c r="BM789" s="2867"/>
      <c r="BN789" s="2867"/>
      <c r="BO789" s="2867"/>
      <c r="BP789" s="2867"/>
      <c r="BQ789" s="2867"/>
      <c r="BR789" s="2867"/>
      <c r="BS789" s="2867"/>
      <c r="BT789" s="2867"/>
      <c r="BU789" s="2867"/>
      <c r="BV789" s="2867"/>
      <c r="BW789" s="2867"/>
      <c r="BX789" s="2867"/>
      <c r="BY789" s="2867"/>
      <c r="BZ789" s="2867"/>
      <c r="CA789" s="2867"/>
      <c r="CB789" s="2867"/>
      <c r="CC789" s="2867"/>
      <c r="CD789" s="2867"/>
      <c r="CE789" s="2867"/>
      <c r="CF789" s="2867"/>
      <c r="CG789" s="2867"/>
      <c r="CH789" s="2867"/>
      <c r="CI789" s="2867"/>
      <c r="CJ789" s="2867"/>
      <c r="CK789" s="2867"/>
      <c r="CL789" s="2867"/>
      <c r="CM789" s="2867"/>
      <c r="CN789" s="2867"/>
      <c r="CO789" s="2867"/>
      <c r="CP789" s="2867"/>
      <c r="CQ789" s="2867"/>
      <c r="CR789" s="2867"/>
      <c r="CS789" s="2867"/>
      <c r="CT789" s="2867"/>
      <c r="CU789" s="2867"/>
      <c r="CV789" s="2867"/>
      <c r="CW789" s="2867"/>
    </row>
    <row r="790" spans="1:101">
      <c r="A790" s="2867"/>
      <c r="B790" s="2867"/>
      <c r="C790" s="2867"/>
      <c r="D790" s="2867"/>
      <c r="E790" s="2867"/>
      <c r="F790" s="2867"/>
      <c r="G790" s="2867"/>
      <c r="H790" s="2867"/>
      <c r="I790" s="2867"/>
      <c r="J790" s="2867"/>
      <c r="K790" s="2867"/>
      <c r="L790" s="2867"/>
      <c r="M790" s="2867"/>
      <c r="O790" s="2867"/>
      <c r="P790" s="2867"/>
      <c r="Q790" s="2867"/>
      <c r="R790" s="2867"/>
      <c r="S790" s="2867"/>
      <c r="T790" s="2867"/>
      <c r="U790" s="2867"/>
      <c r="V790" s="2867"/>
      <c r="W790" s="2867"/>
      <c r="X790" s="2867"/>
      <c r="Y790" s="2867"/>
      <c r="Z790" s="2867"/>
      <c r="AA790" s="2867"/>
      <c r="AB790" s="2867"/>
      <c r="AC790" s="2867"/>
      <c r="AD790" s="2867"/>
      <c r="AE790" s="2867"/>
      <c r="AF790" s="2867"/>
      <c r="AG790" s="2867"/>
      <c r="AH790" s="2867"/>
      <c r="AI790" s="2867"/>
      <c r="AJ790" s="2867"/>
      <c r="AK790" s="2867"/>
      <c r="AL790" s="2867"/>
      <c r="AM790" s="2867"/>
      <c r="AN790" s="2867"/>
      <c r="AO790" s="2867"/>
      <c r="AP790" s="2867"/>
      <c r="AQ790" s="2867"/>
      <c r="AR790" s="2867"/>
      <c r="AS790" s="2867"/>
      <c r="AT790" s="2867"/>
      <c r="AU790" s="2867"/>
      <c r="AV790" s="2867"/>
      <c r="AW790" s="2867"/>
      <c r="AX790" s="2867"/>
      <c r="AY790" s="2867"/>
      <c r="AZ790" s="2867"/>
      <c r="BA790" s="2867"/>
      <c r="BB790" s="2867"/>
      <c r="BC790" s="2867"/>
      <c r="BD790" s="2867"/>
      <c r="BE790" s="2867"/>
      <c r="BF790" s="2867"/>
      <c r="BG790" s="2867"/>
      <c r="BH790" s="2867"/>
      <c r="BI790" s="2867"/>
      <c r="BJ790" s="2867"/>
      <c r="BK790" s="2867"/>
      <c r="BL790" s="2867"/>
      <c r="BM790" s="2867"/>
      <c r="BN790" s="2867"/>
      <c r="BO790" s="2867"/>
      <c r="BP790" s="2867"/>
      <c r="BQ790" s="2867"/>
      <c r="BR790" s="2867"/>
      <c r="BS790" s="2867"/>
      <c r="BT790" s="2867"/>
      <c r="BU790" s="2867"/>
      <c r="BV790" s="2867"/>
      <c r="BW790" s="2867"/>
      <c r="BX790" s="2867"/>
      <c r="BY790" s="2867"/>
      <c r="BZ790" s="2867"/>
      <c r="CA790" s="2867"/>
      <c r="CB790" s="2867"/>
      <c r="CC790" s="2867"/>
      <c r="CD790" s="2867"/>
      <c r="CE790" s="2867"/>
      <c r="CF790" s="2867"/>
      <c r="CG790" s="2867"/>
      <c r="CH790" s="2867"/>
      <c r="CI790" s="2867"/>
      <c r="CJ790" s="2867"/>
      <c r="CK790" s="2867"/>
      <c r="CL790" s="2867"/>
      <c r="CM790" s="2867"/>
      <c r="CN790" s="2867"/>
      <c r="CO790" s="2867"/>
      <c r="CP790" s="2867"/>
      <c r="CQ790" s="2867"/>
      <c r="CR790" s="2867"/>
      <c r="CS790" s="2867"/>
      <c r="CT790" s="2867"/>
      <c r="CU790" s="2867"/>
      <c r="CV790" s="2867"/>
      <c r="CW790" s="2867"/>
    </row>
    <row r="791" spans="1:101">
      <c r="A791" s="2867"/>
      <c r="B791" s="2867"/>
      <c r="C791" s="2867"/>
      <c r="D791" s="2867"/>
      <c r="E791" s="2867"/>
      <c r="F791" s="2867"/>
      <c r="G791" s="2867"/>
      <c r="H791" s="2867"/>
      <c r="I791" s="2867"/>
      <c r="J791" s="2867"/>
      <c r="K791" s="2867"/>
      <c r="L791" s="2867"/>
      <c r="M791" s="2867"/>
      <c r="O791" s="2867"/>
      <c r="P791" s="2867"/>
      <c r="Q791" s="2867"/>
      <c r="R791" s="2867"/>
      <c r="S791" s="2867"/>
      <c r="T791" s="2867"/>
      <c r="U791" s="2867"/>
      <c r="V791" s="2867"/>
      <c r="W791" s="2867"/>
      <c r="X791" s="2867"/>
      <c r="Y791" s="2867"/>
      <c r="Z791" s="2867"/>
      <c r="AA791" s="2867"/>
      <c r="AB791" s="2867"/>
      <c r="AC791" s="2867"/>
      <c r="AD791" s="2867"/>
      <c r="AE791" s="2867"/>
      <c r="AF791" s="2867"/>
      <c r="AG791" s="2867"/>
      <c r="AH791" s="2867"/>
      <c r="AI791" s="2867"/>
      <c r="AJ791" s="2867"/>
      <c r="AK791" s="2867"/>
      <c r="AL791" s="2867"/>
      <c r="AM791" s="2867"/>
      <c r="AN791" s="2867"/>
      <c r="AO791" s="2867"/>
      <c r="AP791" s="2867"/>
      <c r="AQ791" s="2867"/>
      <c r="AR791" s="2867"/>
      <c r="AS791" s="2867"/>
      <c r="AT791" s="2867"/>
      <c r="AU791" s="2867"/>
      <c r="AV791" s="2867"/>
      <c r="AW791" s="2867"/>
      <c r="AX791" s="2867"/>
      <c r="AY791" s="2867"/>
      <c r="AZ791" s="2867"/>
      <c r="BA791" s="2867"/>
      <c r="BB791" s="2867"/>
      <c r="BC791" s="2867"/>
      <c r="BD791" s="2867"/>
      <c r="BE791" s="2867"/>
      <c r="BF791" s="2867"/>
      <c r="BG791" s="2867"/>
      <c r="BH791" s="2867"/>
      <c r="BI791" s="2867"/>
      <c r="BJ791" s="2867"/>
      <c r="BK791" s="2867"/>
      <c r="BL791" s="2867"/>
      <c r="BM791" s="2867"/>
      <c r="BN791" s="2867"/>
      <c r="BO791" s="2867"/>
      <c r="BP791" s="2867"/>
      <c r="BQ791" s="2867"/>
      <c r="BR791" s="2867"/>
      <c r="BS791" s="2867"/>
      <c r="BT791" s="2867"/>
      <c r="BU791" s="2867"/>
      <c r="BV791" s="2867"/>
      <c r="BW791" s="2867"/>
      <c r="BX791" s="2867"/>
      <c r="BY791" s="2867"/>
      <c r="BZ791" s="2867"/>
      <c r="CA791" s="2867"/>
      <c r="CB791" s="2867"/>
      <c r="CC791" s="2867"/>
      <c r="CD791" s="2867"/>
      <c r="CE791" s="2867"/>
      <c r="CF791" s="2867"/>
      <c r="CG791" s="2867"/>
      <c r="CH791" s="2867"/>
      <c r="CI791" s="2867"/>
      <c r="CJ791" s="2867"/>
      <c r="CK791" s="2867"/>
      <c r="CL791" s="2867"/>
      <c r="CM791" s="2867"/>
      <c r="CN791" s="2867"/>
      <c r="CO791" s="2867"/>
      <c r="CP791" s="2867"/>
      <c r="CQ791" s="2867"/>
      <c r="CR791" s="2867"/>
      <c r="CS791" s="2867"/>
      <c r="CT791" s="2867"/>
      <c r="CU791" s="2867"/>
      <c r="CV791" s="2867"/>
      <c r="CW791" s="2867"/>
    </row>
    <row r="792" spans="1:101">
      <c r="A792" s="2867"/>
      <c r="B792" s="2867"/>
      <c r="C792" s="2867"/>
      <c r="D792" s="2867"/>
      <c r="E792" s="2867"/>
      <c r="F792" s="2867"/>
      <c r="G792" s="2867"/>
      <c r="H792" s="2867"/>
      <c r="I792" s="2867"/>
      <c r="J792" s="2867"/>
      <c r="K792" s="2867"/>
      <c r="L792" s="2867"/>
      <c r="M792" s="2867"/>
      <c r="O792" s="2867"/>
      <c r="P792" s="2867"/>
      <c r="Q792" s="2867"/>
      <c r="R792" s="2867"/>
      <c r="S792" s="2867"/>
      <c r="T792" s="2867"/>
      <c r="U792" s="2867"/>
      <c r="V792" s="2867"/>
      <c r="W792" s="2867"/>
      <c r="X792" s="2867"/>
      <c r="Y792" s="2867"/>
      <c r="Z792" s="2867"/>
      <c r="AA792" s="2867"/>
      <c r="AB792" s="2867"/>
      <c r="AC792" s="2867"/>
      <c r="AD792" s="2867"/>
      <c r="AE792" s="2867"/>
      <c r="AF792" s="2867"/>
      <c r="AG792" s="2867"/>
      <c r="AH792" s="2867"/>
      <c r="AI792" s="2867"/>
      <c r="AJ792" s="2867"/>
      <c r="AK792" s="2867"/>
      <c r="AL792" s="2867"/>
      <c r="AM792" s="2867"/>
      <c r="AN792" s="2867"/>
      <c r="AO792" s="2867"/>
      <c r="AP792" s="2867"/>
      <c r="AQ792" s="2867"/>
      <c r="AR792" s="2867"/>
      <c r="AS792" s="2867"/>
      <c r="AT792" s="2867"/>
      <c r="AU792" s="2867"/>
      <c r="AV792" s="2867"/>
      <c r="AW792" s="2867"/>
      <c r="AX792" s="2867"/>
      <c r="AY792" s="2867"/>
      <c r="AZ792" s="2867"/>
      <c r="BA792" s="2867"/>
      <c r="BB792" s="2867"/>
      <c r="BC792" s="2867"/>
      <c r="BD792" s="2867"/>
      <c r="BE792" s="2867"/>
      <c r="BF792" s="2867"/>
      <c r="BG792" s="2867"/>
      <c r="BH792" s="2867"/>
      <c r="BI792" s="2867"/>
      <c r="BJ792" s="2867"/>
      <c r="BK792" s="2867"/>
      <c r="BL792" s="2867"/>
      <c r="BM792" s="2867"/>
      <c r="BN792" s="2867"/>
      <c r="BO792" s="2867"/>
      <c r="BP792" s="2867"/>
      <c r="BQ792" s="2867"/>
      <c r="BR792" s="2867"/>
      <c r="BS792" s="2867"/>
      <c r="BT792" s="2867"/>
      <c r="BU792" s="2867"/>
      <c r="BV792" s="2867"/>
      <c r="BW792" s="2867"/>
      <c r="BX792" s="2867"/>
      <c r="BY792" s="2867"/>
      <c r="BZ792" s="2867"/>
      <c r="CA792" s="2867"/>
      <c r="CB792" s="2867"/>
      <c r="CC792" s="2867"/>
      <c r="CD792" s="2867"/>
      <c r="CE792" s="2867"/>
      <c r="CF792" s="2867"/>
      <c r="CG792" s="2867"/>
      <c r="CH792" s="2867"/>
      <c r="CI792" s="2867"/>
      <c r="CJ792" s="2867"/>
      <c r="CK792" s="2867"/>
      <c r="CL792" s="2867"/>
      <c r="CM792" s="2867"/>
      <c r="CN792" s="2867"/>
      <c r="CO792" s="2867"/>
      <c r="CP792" s="2867"/>
      <c r="CQ792" s="2867"/>
      <c r="CR792" s="2867"/>
      <c r="CS792" s="2867"/>
      <c r="CT792" s="2867"/>
      <c r="CU792" s="2867"/>
      <c r="CV792" s="2867"/>
      <c r="CW792" s="2867"/>
    </row>
    <row r="793" spans="1:101">
      <c r="A793" s="2867"/>
      <c r="B793" s="2867"/>
      <c r="C793" s="2867"/>
      <c r="D793" s="2867"/>
      <c r="E793" s="2867"/>
      <c r="F793" s="2867"/>
      <c r="G793" s="2867"/>
      <c r="H793" s="2867"/>
      <c r="I793" s="2867"/>
      <c r="J793" s="2867"/>
      <c r="K793" s="2867"/>
      <c r="L793" s="2867"/>
      <c r="M793" s="2867"/>
      <c r="O793" s="2867"/>
      <c r="P793" s="2867"/>
      <c r="Q793" s="2867"/>
      <c r="R793" s="2867"/>
      <c r="S793" s="2867"/>
      <c r="T793" s="2867"/>
      <c r="U793" s="2867"/>
      <c r="V793" s="2867"/>
      <c r="W793" s="2867"/>
      <c r="X793" s="2867"/>
      <c r="Y793" s="2867"/>
      <c r="Z793" s="2867"/>
      <c r="AA793" s="2867"/>
      <c r="AB793" s="2867"/>
      <c r="AC793" s="2867"/>
      <c r="AD793" s="2867"/>
      <c r="AE793" s="2867"/>
      <c r="AF793" s="2867"/>
      <c r="AG793" s="2867"/>
      <c r="AH793" s="2867"/>
      <c r="AI793" s="2867"/>
      <c r="AJ793" s="2867"/>
      <c r="AK793" s="2867"/>
      <c r="AL793" s="2867"/>
      <c r="AM793" s="2867"/>
      <c r="AN793" s="2867"/>
      <c r="AO793" s="2867"/>
      <c r="AP793" s="2867"/>
      <c r="AQ793" s="2867"/>
      <c r="AR793" s="2867"/>
      <c r="AS793" s="2867"/>
      <c r="AT793" s="2867"/>
      <c r="AU793" s="2867"/>
      <c r="AV793" s="2867"/>
      <c r="AW793" s="2867"/>
      <c r="AX793" s="2867"/>
      <c r="AY793" s="2867"/>
      <c r="AZ793" s="2867"/>
      <c r="BA793" s="2867"/>
      <c r="BB793" s="2867"/>
      <c r="BC793" s="2867"/>
      <c r="BD793" s="2867"/>
      <c r="BE793" s="2867"/>
      <c r="BF793" s="2867"/>
      <c r="BG793" s="2867"/>
      <c r="BH793" s="2867"/>
      <c r="BI793" s="2867"/>
      <c r="BJ793" s="2867"/>
      <c r="BK793" s="2867"/>
      <c r="BL793" s="2867"/>
      <c r="BM793" s="2867"/>
      <c r="BN793" s="2867"/>
      <c r="BO793" s="2867"/>
      <c r="BP793" s="2867"/>
      <c r="BQ793" s="2867"/>
      <c r="BR793" s="2867"/>
      <c r="BS793" s="2867"/>
      <c r="BT793" s="2867"/>
      <c r="BU793" s="2867"/>
      <c r="BV793" s="2867"/>
      <c r="BW793" s="2867"/>
      <c r="BX793" s="2867"/>
      <c r="BY793" s="2867"/>
      <c r="BZ793" s="2867"/>
      <c r="CA793" s="2867"/>
      <c r="CB793" s="2867"/>
      <c r="CC793" s="2867"/>
      <c r="CD793" s="2867"/>
      <c r="CE793" s="2867"/>
      <c r="CF793" s="2867"/>
      <c r="CG793" s="2867"/>
      <c r="CH793" s="2867"/>
      <c r="CI793" s="2867"/>
      <c r="CJ793" s="2867"/>
      <c r="CK793" s="2867"/>
      <c r="CL793" s="2867"/>
      <c r="CM793" s="2867"/>
      <c r="CN793" s="2867"/>
      <c r="CO793" s="2867"/>
      <c r="CP793" s="2867"/>
      <c r="CQ793" s="2867"/>
      <c r="CR793" s="2867"/>
      <c r="CS793" s="2867"/>
      <c r="CT793" s="2867"/>
      <c r="CU793" s="2867"/>
      <c r="CV793" s="2867"/>
      <c r="CW793" s="2867"/>
    </row>
    <row r="794" spans="1:101">
      <c r="A794" s="2867"/>
      <c r="B794" s="2867"/>
      <c r="C794" s="2867"/>
      <c r="D794" s="2867"/>
      <c r="E794" s="2867"/>
      <c r="F794" s="2867"/>
      <c r="G794" s="2867"/>
      <c r="H794" s="2867"/>
      <c r="I794" s="2867"/>
      <c r="J794" s="2867"/>
      <c r="K794" s="2867"/>
      <c r="L794" s="2867"/>
      <c r="M794" s="2867"/>
      <c r="O794" s="2867"/>
      <c r="P794" s="2867"/>
      <c r="Q794" s="2867"/>
      <c r="R794" s="2867"/>
      <c r="S794" s="2867"/>
      <c r="T794" s="2867"/>
      <c r="U794" s="2867"/>
      <c r="V794" s="2867"/>
      <c r="W794" s="2867"/>
      <c r="X794" s="2867"/>
      <c r="Y794" s="2867"/>
      <c r="Z794" s="2867"/>
      <c r="AA794" s="2867"/>
      <c r="AB794" s="2867"/>
      <c r="AC794" s="2867"/>
      <c r="AD794" s="2867"/>
      <c r="AE794" s="2867"/>
      <c r="AF794" s="2867"/>
      <c r="AG794" s="2867"/>
      <c r="AH794" s="2867"/>
      <c r="AI794" s="2867"/>
      <c r="AJ794" s="2867"/>
      <c r="AK794" s="2867"/>
      <c r="AL794" s="2867"/>
      <c r="AM794" s="2867"/>
      <c r="AN794" s="2867"/>
      <c r="AO794" s="2867"/>
      <c r="AP794" s="2867"/>
      <c r="AQ794" s="2867"/>
      <c r="AR794" s="2867"/>
      <c r="AS794" s="2867"/>
      <c r="AT794" s="2867"/>
      <c r="AU794" s="2867"/>
      <c r="AV794" s="2867"/>
      <c r="AW794" s="2867"/>
      <c r="AX794" s="2867"/>
      <c r="AY794" s="2867"/>
      <c r="AZ794" s="2867"/>
      <c r="BA794" s="2867"/>
      <c r="BB794" s="2867"/>
      <c r="BC794" s="2867"/>
      <c r="BD794" s="2867"/>
      <c r="BE794" s="2867"/>
      <c r="BF794" s="2867"/>
      <c r="BG794" s="2867"/>
      <c r="BH794" s="2867"/>
      <c r="BI794" s="2867"/>
      <c r="BJ794" s="2867"/>
      <c r="BK794" s="2867"/>
      <c r="BL794" s="2867"/>
      <c r="BM794" s="2867"/>
      <c r="BN794" s="2867"/>
      <c r="BO794" s="2867"/>
      <c r="BP794" s="2867"/>
      <c r="BQ794" s="2867"/>
      <c r="BR794" s="2867"/>
      <c r="BS794" s="2867"/>
      <c r="BT794" s="2867"/>
      <c r="BU794" s="2867"/>
      <c r="BV794" s="2867"/>
      <c r="BW794" s="2867"/>
      <c r="BX794" s="2867"/>
      <c r="BY794" s="2867"/>
      <c r="BZ794" s="2867"/>
      <c r="CA794" s="2867"/>
      <c r="CB794" s="2867"/>
      <c r="CC794" s="2867"/>
      <c r="CD794" s="2867"/>
      <c r="CE794" s="2867"/>
      <c r="CF794" s="2867"/>
      <c r="CG794" s="2867"/>
      <c r="CH794" s="2867"/>
      <c r="CI794" s="2867"/>
      <c r="CJ794" s="2867"/>
      <c r="CK794" s="2867"/>
      <c r="CL794" s="2867"/>
      <c r="CM794" s="2867"/>
      <c r="CN794" s="2867"/>
      <c r="CO794" s="2867"/>
      <c r="CP794" s="2867"/>
      <c r="CQ794" s="2867"/>
      <c r="CR794" s="2867"/>
      <c r="CS794" s="2867"/>
      <c r="CT794" s="2867"/>
      <c r="CU794" s="2867"/>
      <c r="CV794" s="2867"/>
      <c r="CW794" s="2867"/>
    </row>
    <row r="795" spans="1:101">
      <c r="A795" s="2867"/>
      <c r="B795" s="2867"/>
      <c r="C795" s="2867"/>
      <c r="D795" s="2867"/>
      <c r="E795" s="2867"/>
      <c r="F795" s="2867"/>
      <c r="G795" s="2867"/>
      <c r="H795" s="2867"/>
      <c r="I795" s="2867"/>
      <c r="J795" s="2867"/>
      <c r="K795" s="2867"/>
      <c r="L795" s="2867"/>
      <c r="M795" s="2867"/>
      <c r="O795" s="2867"/>
      <c r="P795" s="2867"/>
      <c r="Q795" s="2867"/>
      <c r="R795" s="2867"/>
      <c r="S795" s="2867"/>
      <c r="T795" s="2867"/>
      <c r="U795" s="2867"/>
      <c r="V795" s="2867"/>
      <c r="W795" s="2867"/>
      <c r="X795" s="2867"/>
      <c r="Y795" s="2867"/>
      <c r="Z795" s="2867"/>
      <c r="AA795" s="2867"/>
      <c r="AB795" s="2867"/>
      <c r="AC795" s="2867"/>
      <c r="AD795" s="2867"/>
      <c r="AE795" s="2867"/>
      <c r="AF795" s="2867"/>
      <c r="AG795" s="2867"/>
      <c r="AH795" s="2867"/>
      <c r="AI795" s="2867"/>
      <c r="AJ795" s="2867"/>
      <c r="AK795" s="2867"/>
      <c r="AL795" s="2867"/>
      <c r="AM795" s="2867"/>
      <c r="AN795" s="2867"/>
      <c r="AO795" s="2867"/>
      <c r="AP795" s="2867"/>
      <c r="AQ795" s="2867"/>
      <c r="AR795" s="2867"/>
      <c r="AS795" s="2867"/>
      <c r="AT795" s="2867"/>
      <c r="AU795" s="2867"/>
      <c r="AV795" s="2867"/>
      <c r="AW795" s="2867"/>
      <c r="AX795" s="2867"/>
      <c r="AY795" s="2867"/>
      <c r="AZ795" s="2867"/>
      <c r="BA795" s="2867"/>
      <c r="BB795" s="2867"/>
      <c r="BC795" s="2867"/>
      <c r="BD795" s="2867"/>
      <c r="BE795" s="2867"/>
      <c r="BF795" s="2867"/>
      <c r="BG795" s="2867"/>
      <c r="BH795" s="2867"/>
      <c r="BI795" s="2867"/>
      <c r="BJ795" s="2867"/>
      <c r="BK795" s="2867"/>
      <c r="BL795" s="2867"/>
      <c r="BM795" s="2867"/>
      <c r="BN795" s="2867"/>
      <c r="BO795" s="2867"/>
      <c r="BP795" s="2867"/>
      <c r="BQ795" s="2867"/>
      <c r="BR795" s="2867"/>
      <c r="BS795" s="2867"/>
      <c r="BT795" s="2867"/>
      <c r="BU795" s="2867"/>
      <c r="BV795" s="2867"/>
      <c r="BW795" s="2867"/>
      <c r="BX795" s="2867"/>
      <c r="BY795" s="2867"/>
      <c r="BZ795" s="2867"/>
      <c r="CA795" s="2867"/>
      <c r="CB795" s="2867"/>
      <c r="CC795" s="2867"/>
      <c r="CD795" s="2867"/>
      <c r="CE795" s="2867"/>
      <c r="CF795" s="2867"/>
      <c r="CG795" s="2867"/>
      <c r="CH795" s="2867"/>
      <c r="CI795" s="2867"/>
      <c r="CJ795" s="2867"/>
      <c r="CK795" s="2867"/>
      <c r="CL795" s="2867"/>
      <c r="CM795" s="2867"/>
      <c r="CN795" s="2867"/>
      <c r="CO795" s="2867"/>
      <c r="CP795" s="2867"/>
      <c r="CQ795" s="2867"/>
      <c r="CR795" s="2867"/>
      <c r="CS795" s="2867"/>
      <c r="CT795" s="2867"/>
      <c r="CU795" s="2867"/>
      <c r="CV795" s="2867"/>
      <c r="CW795" s="2867"/>
    </row>
    <row r="796" spans="1:101">
      <c r="A796" s="2867"/>
      <c r="B796" s="2867"/>
      <c r="C796" s="2867"/>
      <c r="D796" s="2867"/>
      <c r="E796" s="2867"/>
      <c r="F796" s="2867"/>
      <c r="G796" s="2867"/>
      <c r="H796" s="2867"/>
      <c r="I796" s="2867"/>
      <c r="J796" s="2867"/>
      <c r="K796" s="2867"/>
      <c r="L796" s="2867"/>
      <c r="M796" s="2867"/>
      <c r="O796" s="2867"/>
      <c r="P796" s="2867"/>
      <c r="Q796" s="2867"/>
      <c r="R796" s="2867"/>
      <c r="S796" s="2867"/>
      <c r="T796" s="2867"/>
      <c r="U796" s="2867"/>
      <c r="V796" s="2867"/>
      <c r="W796" s="2867"/>
      <c r="X796" s="2867"/>
      <c r="Y796" s="2867"/>
      <c r="Z796" s="2867"/>
      <c r="AA796" s="2867"/>
      <c r="AB796" s="2867"/>
      <c r="AC796" s="2867"/>
      <c r="AD796" s="2867"/>
      <c r="AE796" s="2867"/>
      <c r="AF796" s="2867"/>
      <c r="AG796" s="2867"/>
      <c r="AH796" s="2867"/>
      <c r="AI796" s="2867"/>
      <c r="AJ796" s="2867"/>
      <c r="AK796" s="2867"/>
      <c r="AL796" s="2867"/>
      <c r="AM796" s="2867"/>
      <c r="AN796" s="2867"/>
      <c r="AO796" s="2867"/>
      <c r="AP796" s="2867"/>
      <c r="AQ796" s="2867"/>
      <c r="AR796" s="2867"/>
      <c r="AS796" s="2867"/>
      <c r="AT796" s="2867"/>
      <c r="AU796" s="2867"/>
      <c r="AV796" s="2867"/>
      <c r="AW796" s="2867"/>
      <c r="AX796" s="2867"/>
      <c r="AY796" s="2867"/>
      <c r="AZ796" s="2867"/>
      <c r="BA796" s="2867"/>
      <c r="BB796" s="2867"/>
      <c r="BC796" s="2867"/>
      <c r="BD796" s="2867"/>
      <c r="BE796" s="2867"/>
      <c r="BF796" s="2867"/>
      <c r="BG796" s="2867"/>
      <c r="BH796" s="2867"/>
      <c r="BI796" s="2867"/>
      <c r="BJ796" s="2867"/>
      <c r="BK796" s="2867"/>
      <c r="BL796" s="2867"/>
      <c r="BM796" s="2867"/>
      <c r="BN796" s="2867"/>
      <c r="BO796" s="2867"/>
      <c r="BP796" s="2867"/>
      <c r="BQ796" s="2867"/>
      <c r="BR796" s="2867"/>
      <c r="BS796" s="2867"/>
      <c r="BT796" s="2867"/>
      <c r="BU796" s="2867"/>
      <c r="BV796" s="2867"/>
      <c r="BW796" s="2867"/>
      <c r="BX796" s="2867"/>
      <c r="BY796" s="2867"/>
      <c r="BZ796" s="2867"/>
      <c r="CA796" s="2867"/>
      <c r="CB796" s="2867"/>
      <c r="CC796" s="2867"/>
      <c r="CD796" s="2867"/>
      <c r="CE796" s="2867"/>
      <c r="CF796" s="2867"/>
      <c r="CG796" s="2867"/>
      <c r="CH796" s="2867"/>
      <c r="CI796" s="2867"/>
      <c r="CJ796" s="2867"/>
      <c r="CK796" s="2867"/>
      <c r="CL796" s="2867"/>
      <c r="CM796" s="2867"/>
      <c r="CN796" s="2867"/>
      <c r="CO796" s="2867"/>
      <c r="CP796" s="2867"/>
      <c r="CQ796" s="2867"/>
      <c r="CR796" s="2867"/>
      <c r="CS796" s="2867"/>
      <c r="CT796" s="2867"/>
      <c r="CU796" s="2867"/>
      <c r="CV796" s="2867"/>
      <c r="CW796" s="2867"/>
    </row>
    <row r="797" spans="1:101">
      <c r="A797" s="2867"/>
      <c r="B797" s="2867"/>
      <c r="C797" s="2867"/>
      <c r="D797" s="2867"/>
      <c r="E797" s="2867"/>
      <c r="F797" s="2867"/>
      <c r="G797" s="2867"/>
      <c r="H797" s="2867"/>
      <c r="I797" s="2867"/>
      <c r="J797" s="2867"/>
      <c r="K797" s="2867"/>
      <c r="L797" s="2867"/>
      <c r="M797" s="2867"/>
      <c r="O797" s="2867"/>
      <c r="P797" s="2867"/>
      <c r="Q797" s="2867"/>
      <c r="R797" s="2867"/>
      <c r="S797" s="2867"/>
      <c r="T797" s="2867"/>
      <c r="U797" s="2867"/>
      <c r="V797" s="2867"/>
      <c r="W797" s="2867"/>
      <c r="X797" s="2867"/>
      <c r="Y797" s="2867"/>
      <c r="Z797" s="2867"/>
      <c r="AA797" s="2867"/>
      <c r="AB797" s="2867"/>
      <c r="AC797" s="2867"/>
      <c r="AD797" s="2867"/>
      <c r="AE797" s="2867"/>
      <c r="AF797" s="2867"/>
      <c r="AG797" s="2867"/>
      <c r="AH797" s="2867"/>
      <c r="AI797" s="2867"/>
      <c r="AJ797" s="2867"/>
      <c r="AK797" s="2867"/>
      <c r="AL797" s="2867"/>
      <c r="AM797" s="2867"/>
      <c r="AN797" s="2867"/>
      <c r="AO797" s="2867"/>
      <c r="AP797" s="2867"/>
      <c r="AQ797" s="2867"/>
      <c r="AR797" s="2867"/>
      <c r="AS797" s="2867"/>
      <c r="AT797" s="2867"/>
      <c r="AU797" s="2867"/>
      <c r="AV797" s="2867"/>
      <c r="AW797" s="2867"/>
      <c r="AX797" s="2867"/>
      <c r="AY797" s="2867"/>
      <c r="AZ797" s="2867"/>
      <c r="BA797" s="2867"/>
      <c r="BB797" s="2867"/>
      <c r="BC797" s="2867"/>
      <c r="BD797" s="2867"/>
      <c r="BE797" s="2867"/>
      <c r="BF797" s="2867"/>
      <c r="BG797" s="2867"/>
      <c r="BH797" s="2867"/>
      <c r="BI797" s="2867"/>
      <c r="BJ797" s="2867"/>
      <c r="BK797" s="2867"/>
      <c r="BL797" s="2867"/>
      <c r="BM797" s="2867"/>
      <c r="BN797" s="2867"/>
      <c r="BO797" s="2867"/>
      <c r="BP797" s="2867"/>
      <c r="BQ797" s="2867"/>
      <c r="BR797" s="2867"/>
      <c r="BS797" s="2867"/>
      <c r="BT797" s="2867"/>
      <c r="BU797" s="2867"/>
      <c r="BV797" s="2867"/>
      <c r="BW797" s="2867"/>
      <c r="BX797" s="2867"/>
      <c r="BY797" s="2867"/>
      <c r="BZ797" s="2867"/>
      <c r="CA797" s="2867"/>
      <c r="CB797" s="2867"/>
      <c r="CC797" s="2867"/>
      <c r="CD797" s="2867"/>
      <c r="CE797" s="2867"/>
      <c r="CF797" s="2867"/>
      <c r="CG797" s="2867"/>
      <c r="CH797" s="2867"/>
      <c r="CI797" s="2867"/>
      <c r="CJ797" s="2867"/>
      <c r="CK797" s="2867"/>
      <c r="CL797" s="2867"/>
      <c r="CM797" s="2867"/>
      <c r="CN797" s="2867"/>
      <c r="CO797" s="2867"/>
      <c r="CP797" s="2867"/>
      <c r="CQ797" s="2867"/>
      <c r="CR797" s="2867"/>
      <c r="CS797" s="2867"/>
      <c r="CT797" s="2867"/>
      <c r="CU797" s="2867"/>
      <c r="CV797" s="2867"/>
      <c r="CW797" s="2867"/>
    </row>
    <row r="798" spans="1:101">
      <c r="A798" s="2867"/>
      <c r="B798" s="2867"/>
      <c r="C798" s="2867"/>
      <c r="D798" s="2867"/>
      <c r="E798" s="2867"/>
      <c r="F798" s="2867"/>
      <c r="G798" s="2867"/>
      <c r="H798" s="2867"/>
      <c r="I798" s="2867"/>
      <c r="J798" s="2867"/>
      <c r="K798" s="2867"/>
      <c r="L798" s="2867"/>
      <c r="M798" s="2867"/>
      <c r="O798" s="2867"/>
      <c r="P798" s="2867"/>
      <c r="Q798" s="2867"/>
      <c r="R798" s="2867"/>
      <c r="S798" s="2867"/>
      <c r="T798" s="2867"/>
      <c r="U798" s="2867"/>
      <c r="V798" s="2867"/>
      <c r="W798" s="2867"/>
      <c r="X798" s="2867"/>
      <c r="Y798" s="2867"/>
      <c r="Z798" s="2867"/>
      <c r="AA798" s="2867"/>
      <c r="AB798" s="2867"/>
      <c r="AC798" s="2867"/>
      <c r="AD798" s="2867"/>
      <c r="AE798" s="2867"/>
      <c r="AF798" s="2867"/>
      <c r="AG798" s="2867"/>
      <c r="AH798" s="2867"/>
      <c r="AI798" s="2867"/>
      <c r="AJ798" s="2867"/>
      <c r="AK798" s="2867"/>
      <c r="AL798" s="2867"/>
      <c r="AM798" s="2867"/>
      <c r="AN798" s="2867"/>
      <c r="AO798" s="2867"/>
      <c r="AP798" s="2867"/>
      <c r="AQ798" s="2867"/>
      <c r="AR798" s="2867"/>
      <c r="AS798" s="2867"/>
      <c r="AT798" s="2867"/>
      <c r="AU798" s="2867"/>
      <c r="AV798" s="2867"/>
      <c r="AW798" s="2867"/>
      <c r="AX798" s="2867"/>
      <c r="AY798" s="2867"/>
      <c r="AZ798" s="2867"/>
      <c r="BA798" s="2867"/>
      <c r="BB798" s="2867"/>
      <c r="BC798" s="2867"/>
      <c r="BD798" s="2867"/>
      <c r="BE798" s="2867"/>
      <c r="BF798" s="2867"/>
      <c r="BG798" s="2867"/>
      <c r="BH798" s="2867"/>
      <c r="BI798" s="2867"/>
      <c r="BJ798" s="2867"/>
      <c r="BK798" s="2867"/>
      <c r="BL798" s="2867"/>
      <c r="BM798" s="2867"/>
      <c r="BN798" s="2867"/>
      <c r="BO798" s="2867"/>
      <c r="BP798" s="2867"/>
      <c r="BQ798" s="2867"/>
      <c r="BR798" s="2867"/>
      <c r="BS798" s="2867"/>
      <c r="BT798" s="2867"/>
      <c r="BU798" s="2867"/>
      <c r="BV798" s="2867"/>
      <c r="BW798" s="2867"/>
      <c r="BX798" s="2867"/>
      <c r="BY798" s="2867"/>
      <c r="BZ798" s="2867"/>
      <c r="CA798" s="2867"/>
      <c r="CB798" s="2867"/>
      <c r="CC798" s="2867"/>
      <c r="CD798" s="2867"/>
      <c r="CE798" s="2867"/>
      <c r="CF798" s="2867"/>
      <c r="CG798" s="2867"/>
      <c r="CH798" s="2867"/>
      <c r="CI798" s="2867"/>
      <c r="CJ798" s="2867"/>
      <c r="CK798" s="2867"/>
      <c r="CL798" s="2867"/>
      <c r="CM798" s="2867"/>
      <c r="CN798" s="2867"/>
      <c r="CO798" s="2867"/>
      <c r="CP798" s="2867"/>
      <c r="CQ798" s="2867"/>
      <c r="CR798" s="2867"/>
      <c r="CS798" s="2867"/>
      <c r="CT798" s="2867"/>
      <c r="CU798" s="2867"/>
      <c r="CV798" s="2867"/>
      <c r="CW798" s="2867"/>
    </row>
    <row r="799" spans="1:101">
      <c r="A799" s="2867"/>
      <c r="B799" s="2867"/>
      <c r="C799" s="2867"/>
      <c r="D799" s="2867"/>
      <c r="E799" s="2867"/>
      <c r="F799" s="2867"/>
      <c r="G799" s="2867"/>
      <c r="H799" s="2867"/>
      <c r="I799" s="2867"/>
      <c r="J799" s="2867"/>
      <c r="K799" s="2867"/>
      <c r="L799" s="2867"/>
      <c r="M799" s="2867"/>
      <c r="O799" s="2867"/>
      <c r="P799" s="2867"/>
      <c r="Q799" s="2867"/>
      <c r="R799" s="2867"/>
      <c r="S799" s="2867"/>
      <c r="T799" s="2867"/>
      <c r="U799" s="2867"/>
      <c r="V799" s="2867"/>
      <c r="W799" s="2867"/>
      <c r="X799" s="2867"/>
      <c r="Y799" s="2867"/>
      <c r="Z799" s="2867"/>
      <c r="AA799" s="2867"/>
      <c r="AB799" s="2867"/>
      <c r="AC799" s="2867"/>
      <c r="AD799" s="2867"/>
      <c r="AE799" s="2867"/>
      <c r="AF799" s="2867"/>
      <c r="AG799" s="2867"/>
      <c r="AH799" s="2867"/>
      <c r="AI799" s="2867"/>
      <c r="AJ799" s="2867"/>
      <c r="AK799" s="2867"/>
      <c r="AL799" s="2867"/>
      <c r="AM799" s="2867"/>
      <c r="AN799" s="2867"/>
      <c r="AO799" s="2867"/>
      <c r="AP799" s="2867"/>
      <c r="AQ799" s="2867"/>
      <c r="AR799" s="2867"/>
      <c r="AS799" s="2867"/>
      <c r="AT799" s="2867"/>
      <c r="AU799" s="2867"/>
      <c r="AV799" s="2867"/>
      <c r="AW799" s="2867"/>
      <c r="AX799" s="2867"/>
      <c r="AY799" s="2867"/>
      <c r="AZ799" s="2867"/>
      <c r="BA799" s="2867"/>
      <c r="BB799" s="2867"/>
      <c r="BC799" s="2867"/>
      <c r="BD799" s="2867"/>
      <c r="BE799" s="2867"/>
      <c r="BF799" s="2867"/>
      <c r="BG799" s="2867"/>
      <c r="BH799" s="2867"/>
      <c r="BI799" s="2867"/>
      <c r="BJ799" s="2867"/>
      <c r="BK799" s="2867"/>
      <c r="BL799" s="2867"/>
      <c r="BM799" s="2867"/>
      <c r="BN799" s="2867"/>
      <c r="BO799" s="2867"/>
      <c r="BP799" s="2867"/>
      <c r="BQ799" s="2867"/>
      <c r="BR799" s="2867"/>
      <c r="BS799" s="2867"/>
      <c r="BT799" s="2867"/>
      <c r="BU799" s="2867"/>
      <c r="BV799" s="2867"/>
      <c r="BW799" s="2867"/>
      <c r="BX799" s="2867"/>
      <c r="BY799" s="2867"/>
      <c r="BZ799" s="2867"/>
      <c r="CA799" s="2867"/>
      <c r="CB799" s="2867"/>
      <c r="CC799" s="2867"/>
      <c r="CD799" s="2867"/>
      <c r="CE799" s="2867"/>
      <c r="CF799" s="2867"/>
      <c r="CG799" s="2867"/>
      <c r="CH799" s="2867"/>
      <c r="CI799" s="2867"/>
      <c r="CJ799" s="2867"/>
      <c r="CK799" s="2867"/>
      <c r="CL799" s="2867"/>
      <c r="CM799" s="2867"/>
      <c r="CN799" s="2867"/>
      <c r="CO799" s="2867"/>
      <c r="CP799" s="2867"/>
      <c r="CQ799" s="2867"/>
      <c r="CR799" s="2867"/>
      <c r="CS799" s="2867"/>
      <c r="CT799" s="2867"/>
      <c r="CU799" s="2867"/>
      <c r="CV799" s="2867"/>
      <c r="CW799" s="2867"/>
    </row>
    <row r="800" spans="1:101">
      <c r="A800" s="2867"/>
      <c r="B800" s="2867"/>
      <c r="C800" s="2867"/>
      <c r="D800" s="2867"/>
      <c r="E800" s="2867"/>
      <c r="F800" s="2867"/>
      <c r="G800" s="2867"/>
      <c r="H800" s="2867"/>
      <c r="I800" s="2867"/>
      <c r="J800" s="2867"/>
      <c r="K800" s="2867"/>
      <c r="L800" s="2867"/>
      <c r="M800" s="2867"/>
      <c r="O800" s="2867"/>
      <c r="P800" s="2867"/>
      <c r="Q800" s="2867"/>
      <c r="R800" s="2867"/>
      <c r="S800" s="2867"/>
      <c r="T800" s="2867"/>
      <c r="U800" s="2867"/>
      <c r="V800" s="2867"/>
      <c r="W800" s="2867"/>
      <c r="X800" s="2867"/>
      <c r="Y800" s="2867"/>
      <c r="Z800" s="2867"/>
      <c r="AA800" s="2867"/>
      <c r="AB800" s="2867"/>
      <c r="AC800" s="2867"/>
      <c r="AD800" s="2867"/>
      <c r="AE800" s="2867"/>
      <c r="AF800" s="2867"/>
      <c r="AG800" s="2867"/>
      <c r="AH800" s="2867"/>
      <c r="AI800" s="2867"/>
      <c r="AJ800" s="2867"/>
      <c r="AK800" s="2867"/>
      <c r="AL800" s="2867"/>
      <c r="AM800" s="2867"/>
      <c r="AN800" s="2867"/>
      <c r="AO800" s="2867"/>
      <c r="AP800" s="2867"/>
      <c r="AQ800" s="2867"/>
      <c r="AR800" s="2867"/>
      <c r="AS800" s="2867"/>
      <c r="AT800" s="2867"/>
      <c r="AU800" s="2867"/>
      <c r="AV800" s="2867"/>
      <c r="AW800" s="2867"/>
      <c r="AX800" s="2867"/>
      <c r="AY800" s="2867"/>
      <c r="AZ800" s="2867"/>
      <c r="BA800" s="2867"/>
      <c r="BB800" s="2867"/>
      <c r="BC800" s="2867"/>
      <c r="BD800" s="2867"/>
      <c r="BE800" s="2867"/>
      <c r="BF800" s="2867"/>
      <c r="BG800" s="2867"/>
      <c r="BH800" s="2867"/>
      <c r="BI800" s="2867"/>
      <c r="BJ800" s="2867"/>
      <c r="BK800" s="2867"/>
      <c r="BL800" s="2867"/>
      <c r="BM800" s="2867"/>
      <c r="BN800" s="2867"/>
      <c r="BO800" s="2867"/>
      <c r="BP800" s="2867"/>
      <c r="BQ800" s="2867"/>
      <c r="BR800" s="2867"/>
      <c r="BS800" s="2867"/>
      <c r="BT800" s="2867"/>
      <c r="BU800" s="2867"/>
      <c r="BV800" s="2867"/>
      <c r="BW800" s="2867"/>
      <c r="BX800" s="2867"/>
      <c r="BY800" s="2867"/>
      <c r="BZ800" s="2867"/>
      <c r="CA800" s="2867"/>
      <c r="CB800" s="2867"/>
      <c r="CC800" s="2867"/>
      <c r="CD800" s="2867"/>
      <c r="CE800" s="2867"/>
      <c r="CF800" s="2867"/>
      <c r="CG800" s="2867"/>
      <c r="CH800" s="2867"/>
      <c r="CI800" s="2867"/>
      <c r="CJ800" s="2867"/>
      <c r="CK800" s="2867"/>
      <c r="CL800" s="2867"/>
      <c r="CM800" s="2867"/>
      <c r="CN800" s="2867"/>
      <c r="CO800" s="2867"/>
      <c r="CP800" s="2867"/>
      <c r="CQ800" s="2867"/>
      <c r="CR800" s="2867"/>
      <c r="CS800" s="2867"/>
      <c r="CT800" s="2867"/>
      <c r="CU800" s="2867"/>
      <c r="CV800" s="2867"/>
      <c r="CW800" s="2867"/>
    </row>
    <row r="801" spans="1:101">
      <c r="A801" s="2867"/>
      <c r="B801" s="2867"/>
      <c r="C801" s="2867"/>
      <c r="D801" s="2867"/>
      <c r="E801" s="2867"/>
      <c r="F801" s="2867"/>
      <c r="G801" s="2867"/>
      <c r="H801" s="2867"/>
      <c r="I801" s="2867"/>
      <c r="J801" s="2867"/>
      <c r="K801" s="2867"/>
      <c r="L801" s="2867"/>
      <c r="M801" s="2867"/>
      <c r="O801" s="2867"/>
      <c r="P801" s="2867"/>
      <c r="Q801" s="2867"/>
      <c r="R801" s="2867"/>
      <c r="S801" s="2867"/>
      <c r="T801" s="2867"/>
      <c r="U801" s="2867"/>
      <c r="V801" s="2867"/>
      <c r="W801" s="2867"/>
      <c r="X801" s="2867"/>
      <c r="Y801" s="2867"/>
      <c r="Z801" s="2867"/>
      <c r="AA801" s="2867"/>
      <c r="AB801" s="2867"/>
      <c r="AC801" s="2867"/>
      <c r="AD801" s="2867"/>
      <c r="AE801" s="2867"/>
      <c r="AF801" s="2867"/>
      <c r="AG801" s="2867"/>
      <c r="AH801" s="2867"/>
      <c r="AI801" s="2867"/>
      <c r="AJ801" s="2867"/>
      <c r="AK801" s="2867"/>
      <c r="AL801" s="2867"/>
      <c r="AM801" s="2867"/>
      <c r="AN801" s="2867"/>
      <c r="AO801" s="2867"/>
      <c r="AP801" s="2867"/>
      <c r="AQ801" s="2867"/>
      <c r="AR801" s="2867"/>
      <c r="AS801" s="2867"/>
      <c r="AT801" s="2867"/>
      <c r="AU801" s="2867"/>
      <c r="AV801" s="2867"/>
      <c r="AW801" s="2867"/>
      <c r="AX801" s="2867"/>
      <c r="AY801" s="2867"/>
      <c r="AZ801" s="2867"/>
      <c r="BA801" s="2867"/>
      <c r="BB801" s="2867"/>
      <c r="BC801" s="2867"/>
      <c r="BD801" s="2867"/>
      <c r="BE801" s="2867"/>
      <c r="BF801" s="2867"/>
      <c r="BG801" s="2867"/>
      <c r="BH801" s="2867"/>
      <c r="BI801" s="2867"/>
      <c r="BJ801" s="2867"/>
      <c r="BK801" s="2867"/>
      <c r="BL801" s="2867"/>
      <c r="BM801" s="2867"/>
      <c r="BN801" s="2867"/>
      <c r="BO801" s="2867"/>
      <c r="BP801" s="2867"/>
      <c r="BQ801" s="2867"/>
      <c r="BR801" s="2867"/>
      <c r="BS801" s="2867"/>
      <c r="BT801" s="2867"/>
      <c r="BU801" s="2867"/>
      <c r="BV801" s="2867"/>
      <c r="BW801" s="2867"/>
      <c r="BX801" s="2867"/>
      <c r="BY801" s="2867"/>
      <c r="BZ801" s="2867"/>
      <c r="CA801" s="2867"/>
      <c r="CB801" s="2867"/>
      <c r="CC801" s="2867"/>
      <c r="CD801" s="2867"/>
      <c r="CE801" s="2867"/>
      <c r="CF801" s="2867"/>
      <c r="CG801" s="2867"/>
      <c r="CH801" s="2867"/>
      <c r="CI801" s="2867"/>
      <c r="CJ801" s="2867"/>
      <c r="CK801" s="2867"/>
      <c r="CL801" s="2867"/>
      <c r="CM801" s="2867"/>
      <c r="CN801" s="2867"/>
      <c r="CO801" s="2867"/>
      <c r="CP801" s="2867"/>
      <c r="CQ801" s="2867"/>
      <c r="CR801" s="2867"/>
      <c r="CS801" s="2867"/>
      <c r="CT801" s="2867"/>
      <c r="CU801" s="2867"/>
      <c r="CV801" s="2867"/>
      <c r="CW801" s="2867"/>
    </row>
    <row r="802" spans="1:101">
      <c r="A802" s="2867"/>
      <c r="B802" s="2867"/>
      <c r="C802" s="2867"/>
      <c r="D802" s="2867"/>
      <c r="E802" s="2867"/>
      <c r="F802" s="2867"/>
      <c r="G802" s="2867"/>
      <c r="H802" s="2867"/>
      <c r="I802" s="2867"/>
      <c r="J802" s="2867"/>
      <c r="K802" s="2867"/>
      <c r="L802" s="2867"/>
      <c r="M802" s="2867"/>
      <c r="O802" s="2867"/>
      <c r="P802" s="2867"/>
      <c r="Q802" s="2867"/>
      <c r="R802" s="2867"/>
      <c r="S802" s="2867"/>
      <c r="T802" s="2867"/>
      <c r="U802" s="2867"/>
      <c r="V802" s="2867"/>
      <c r="W802" s="2867"/>
      <c r="X802" s="2867"/>
      <c r="Y802" s="2867"/>
      <c r="Z802" s="2867"/>
      <c r="AA802" s="2867"/>
      <c r="AB802" s="2867"/>
      <c r="AC802" s="2867"/>
      <c r="AD802" s="2867"/>
      <c r="AE802" s="2867"/>
      <c r="AF802" s="2867"/>
      <c r="AG802" s="2867"/>
      <c r="AH802" s="2867"/>
      <c r="AI802" s="2867"/>
      <c r="AJ802" s="2867"/>
      <c r="AK802" s="2867"/>
      <c r="AL802" s="2867"/>
      <c r="AM802" s="2867"/>
      <c r="AN802" s="2867"/>
      <c r="AO802" s="2867"/>
      <c r="AP802" s="2867"/>
      <c r="AQ802" s="2867"/>
      <c r="AR802" s="2867"/>
      <c r="AS802" s="2867"/>
      <c r="AT802" s="2867"/>
      <c r="AU802" s="2867"/>
      <c r="AV802" s="2867"/>
      <c r="AW802" s="2867"/>
      <c r="AX802" s="2867"/>
      <c r="AY802" s="2867"/>
      <c r="AZ802" s="2867"/>
      <c r="BA802" s="2867"/>
      <c r="BB802" s="2867"/>
      <c r="BC802" s="2867"/>
      <c r="BD802" s="2867"/>
      <c r="BE802" s="2867"/>
      <c r="BF802" s="2867"/>
      <c r="BG802" s="2867"/>
      <c r="BH802" s="2867"/>
      <c r="BI802" s="2867"/>
      <c r="BJ802" s="2867"/>
      <c r="BK802" s="2867"/>
      <c r="BL802" s="2867"/>
      <c r="BM802" s="2867"/>
      <c r="BN802" s="2867"/>
      <c r="BO802" s="2867"/>
      <c r="BP802" s="2867"/>
      <c r="BQ802" s="2867"/>
      <c r="BR802" s="2867"/>
      <c r="BS802" s="2867"/>
      <c r="BT802" s="2867"/>
      <c r="BU802" s="2867"/>
      <c r="BV802" s="2867"/>
      <c r="BW802" s="2867"/>
      <c r="BX802" s="2867"/>
      <c r="BY802" s="2867"/>
      <c r="BZ802" s="2867"/>
      <c r="CA802" s="2867"/>
      <c r="CB802" s="2867"/>
      <c r="CC802" s="2867"/>
      <c r="CD802" s="2867"/>
      <c r="CE802" s="2867"/>
      <c r="CF802" s="2867"/>
      <c r="CG802" s="2867"/>
      <c r="CH802" s="2867"/>
      <c r="CI802" s="2867"/>
      <c r="CJ802" s="2867"/>
      <c r="CK802" s="2867"/>
      <c r="CL802" s="2867"/>
      <c r="CM802" s="2867"/>
      <c r="CN802" s="2867"/>
      <c r="CO802" s="2867"/>
      <c r="CP802" s="2867"/>
      <c r="CQ802" s="2867"/>
      <c r="CR802" s="2867"/>
      <c r="CS802" s="2867"/>
      <c r="CT802" s="2867"/>
      <c r="CU802" s="2867"/>
      <c r="CV802" s="2867"/>
      <c r="CW802" s="2867"/>
    </row>
    <row r="803" spans="1:101">
      <c r="A803" s="2867"/>
      <c r="B803" s="2867"/>
      <c r="C803" s="2867"/>
      <c r="D803" s="2867"/>
      <c r="E803" s="2867"/>
      <c r="F803" s="2867"/>
      <c r="G803" s="2867"/>
      <c r="H803" s="2867"/>
      <c r="I803" s="2867"/>
      <c r="J803" s="2867"/>
      <c r="K803" s="2867"/>
      <c r="L803" s="2867"/>
      <c r="M803" s="2867"/>
      <c r="O803" s="2867"/>
      <c r="P803" s="2867"/>
      <c r="Q803" s="2867"/>
      <c r="R803" s="2867"/>
      <c r="S803" s="2867"/>
      <c r="T803" s="2867"/>
      <c r="U803" s="2867"/>
      <c r="V803" s="2867"/>
      <c r="W803" s="2867"/>
      <c r="X803" s="2867"/>
      <c r="Y803" s="2867"/>
      <c r="Z803" s="2867"/>
      <c r="AA803" s="2867"/>
      <c r="AB803" s="2867"/>
      <c r="AC803" s="2867"/>
      <c r="AD803" s="2867"/>
      <c r="AE803" s="2867"/>
      <c r="AF803" s="2867"/>
      <c r="AG803" s="2867"/>
      <c r="AH803" s="2867"/>
      <c r="AI803" s="2867"/>
      <c r="AJ803" s="2867"/>
      <c r="AK803" s="2867"/>
      <c r="AL803" s="2867"/>
      <c r="AM803" s="2867"/>
      <c r="AN803" s="2867"/>
      <c r="AO803" s="2867"/>
      <c r="AP803" s="2867"/>
      <c r="AQ803" s="2867"/>
      <c r="AR803" s="2867"/>
      <c r="AS803" s="2867"/>
      <c r="AT803" s="2867"/>
      <c r="AU803" s="2867"/>
      <c r="AV803" s="2867"/>
      <c r="AW803" s="2867"/>
      <c r="AX803" s="2867"/>
      <c r="AY803" s="2867"/>
      <c r="AZ803" s="2867"/>
      <c r="BA803" s="2867"/>
      <c r="BB803" s="2867"/>
      <c r="BC803" s="2867"/>
      <c r="BD803" s="2867"/>
      <c r="BE803" s="2867"/>
      <c r="BF803" s="2867"/>
      <c r="BG803" s="2867"/>
      <c r="BH803" s="2867"/>
      <c r="BI803" s="2867"/>
      <c r="BJ803" s="2867"/>
      <c r="BK803" s="2867"/>
      <c r="BL803" s="2867"/>
      <c r="BM803" s="2867"/>
      <c r="BN803" s="2867"/>
      <c r="BO803" s="2867"/>
      <c r="BP803" s="2867"/>
      <c r="BQ803" s="2867"/>
      <c r="BR803" s="2867"/>
      <c r="BS803" s="2867"/>
      <c r="BT803" s="2867"/>
      <c r="BU803" s="2867"/>
      <c r="BV803" s="2867"/>
      <c r="BW803" s="2867"/>
      <c r="BX803" s="2867"/>
      <c r="BY803" s="2867"/>
      <c r="BZ803" s="2867"/>
      <c r="CA803" s="2867"/>
      <c r="CB803" s="2867"/>
      <c r="CC803" s="2867"/>
      <c r="CD803" s="2867"/>
      <c r="CE803" s="2867"/>
      <c r="CF803" s="2867"/>
      <c r="CG803" s="2867"/>
      <c r="CH803" s="2867"/>
      <c r="CI803" s="2867"/>
      <c r="CJ803" s="2867"/>
      <c r="CK803" s="2867"/>
      <c r="CL803" s="2867"/>
      <c r="CM803" s="2867"/>
      <c r="CN803" s="2867"/>
      <c r="CO803" s="2867"/>
      <c r="CP803" s="2867"/>
      <c r="CQ803" s="2867"/>
      <c r="CR803" s="2867"/>
      <c r="CS803" s="2867"/>
      <c r="CT803" s="2867"/>
      <c r="CU803" s="2867"/>
      <c r="CV803" s="2867"/>
      <c r="CW803" s="2867"/>
    </row>
    <row r="804" spans="1:101">
      <c r="A804" s="2867"/>
      <c r="B804" s="2867"/>
      <c r="C804" s="2867"/>
      <c r="D804" s="2867"/>
      <c r="E804" s="2867"/>
      <c r="F804" s="2867"/>
      <c r="G804" s="2867"/>
      <c r="H804" s="2867"/>
      <c r="I804" s="2867"/>
      <c r="J804" s="2867"/>
      <c r="K804" s="2867"/>
      <c r="L804" s="2867"/>
      <c r="M804" s="2867"/>
      <c r="O804" s="2867"/>
      <c r="P804" s="2867"/>
      <c r="Q804" s="2867"/>
      <c r="R804" s="2867"/>
      <c r="S804" s="2867"/>
      <c r="T804" s="2867"/>
      <c r="U804" s="2867"/>
      <c r="V804" s="2867"/>
      <c r="W804" s="2867"/>
      <c r="X804" s="2867"/>
      <c r="Y804" s="2867"/>
      <c r="Z804" s="2867"/>
      <c r="AA804" s="2867"/>
      <c r="AB804" s="2867"/>
      <c r="AC804" s="2867"/>
      <c r="AD804" s="2867"/>
      <c r="AE804" s="2867"/>
      <c r="AF804" s="2867"/>
      <c r="AG804" s="2867"/>
      <c r="AH804" s="2867"/>
      <c r="AI804" s="2867"/>
      <c r="AJ804" s="2867"/>
      <c r="AK804" s="2867"/>
      <c r="AL804" s="2867"/>
      <c r="AM804" s="2867"/>
      <c r="AN804" s="2867"/>
      <c r="AO804" s="2867"/>
      <c r="AP804" s="2867"/>
      <c r="AQ804" s="2867"/>
      <c r="AR804" s="2867"/>
      <c r="AS804" s="2867"/>
      <c r="AT804" s="2867"/>
      <c r="AU804" s="2867"/>
      <c r="AV804" s="2867"/>
      <c r="AW804" s="2867"/>
      <c r="AX804" s="2867"/>
      <c r="AY804" s="2867"/>
      <c r="AZ804" s="2867"/>
      <c r="BA804" s="2867"/>
      <c r="BB804" s="2867"/>
      <c r="BC804" s="2867"/>
      <c r="BD804" s="2867"/>
      <c r="BE804" s="2867"/>
      <c r="BF804" s="2867"/>
      <c r="BG804" s="2867"/>
      <c r="BH804" s="2867"/>
      <c r="BI804" s="2867"/>
      <c r="BJ804" s="2867"/>
      <c r="BK804" s="2867"/>
      <c r="BL804" s="2867"/>
      <c r="BM804" s="2867"/>
      <c r="BN804" s="2867"/>
      <c r="BO804" s="2867"/>
      <c r="BP804" s="2867"/>
      <c r="BQ804" s="2867"/>
      <c r="BR804" s="2867"/>
      <c r="BS804" s="2867"/>
      <c r="BT804" s="2867"/>
      <c r="BU804" s="2867"/>
      <c r="BV804" s="2867"/>
      <c r="BW804" s="2867"/>
      <c r="BX804" s="2867"/>
      <c r="BY804" s="2867"/>
      <c r="BZ804" s="2867"/>
      <c r="CA804" s="2867"/>
      <c r="CB804" s="2867"/>
      <c r="CC804" s="2867"/>
      <c r="CD804" s="2867"/>
      <c r="CE804" s="2867"/>
      <c r="CF804" s="2867"/>
      <c r="CG804" s="2867"/>
      <c r="CH804" s="2867"/>
      <c r="CI804" s="2867"/>
      <c r="CJ804" s="2867"/>
      <c r="CK804" s="2867"/>
      <c r="CL804" s="2867"/>
      <c r="CM804" s="2867"/>
      <c r="CN804" s="2867"/>
      <c r="CO804" s="2867"/>
      <c r="CP804" s="2867"/>
      <c r="CQ804" s="2867"/>
      <c r="CR804" s="2867"/>
      <c r="CS804" s="2867"/>
      <c r="CT804" s="2867"/>
      <c r="CU804" s="2867"/>
      <c r="CV804" s="2867"/>
      <c r="CW804" s="2867"/>
    </row>
    <row r="805" spans="1:101">
      <c r="A805" s="2867"/>
      <c r="B805" s="2867"/>
      <c r="C805" s="2867"/>
      <c r="D805" s="2867"/>
      <c r="E805" s="2867"/>
      <c r="F805" s="2867"/>
      <c r="G805" s="2867"/>
      <c r="H805" s="2867"/>
      <c r="I805" s="2867"/>
      <c r="J805" s="2867"/>
      <c r="K805" s="2867"/>
      <c r="L805" s="2867"/>
      <c r="M805" s="2867"/>
      <c r="O805" s="2867"/>
      <c r="P805" s="2867"/>
      <c r="Q805" s="2867"/>
      <c r="R805" s="2867"/>
      <c r="S805" s="2867"/>
      <c r="T805" s="2867"/>
      <c r="U805" s="2867"/>
      <c r="V805" s="2867"/>
      <c r="W805" s="2867"/>
      <c r="X805" s="2867"/>
      <c r="Y805" s="2867"/>
      <c r="Z805" s="2867"/>
      <c r="AA805" s="2867"/>
      <c r="AB805" s="2867"/>
      <c r="AC805" s="2867"/>
      <c r="AD805" s="2867"/>
      <c r="AE805" s="2867"/>
      <c r="AF805" s="2867"/>
      <c r="AG805" s="2867"/>
      <c r="AH805" s="2867"/>
      <c r="AI805" s="2867"/>
      <c r="AJ805" s="2867"/>
      <c r="AK805" s="2867"/>
      <c r="AL805" s="2867"/>
      <c r="AM805" s="2867"/>
      <c r="AN805" s="2867"/>
      <c r="AO805" s="2867"/>
      <c r="AP805" s="2867"/>
      <c r="AQ805" s="2867"/>
      <c r="AR805" s="2867"/>
      <c r="AS805" s="2867"/>
      <c r="AT805" s="2867"/>
      <c r="AU805" s="2867"/>
      <c r="AV805" s="2867"/>
      <c r="AW805" s="2867"/>
      <c r="AX805" s="2867"/>
      <c r="AY805" s="2867"/>
      <c r="AZ805" s="2867"/>
      <c r="BA805" s="2867"/>
      <c r="BB805" s="2867"/>
      <c r="BC805" s="2867"/>
      <c r="BD805" s="2867"/>
      <c r="BE805" s="2867"/>
      <c r="BF805" s="2867"/>
      <c r="BG805" s="2867"/>
      <c r="BH805" s="2867"/>
      <c r="BI805" s="2867"/>
      <c r="BJ805" s="2867"/>
      <c r="BK805" s="2867"/>
      <c r="BL805" s="2867"/>
      <c r="BM805" s="2867"/>
      <c r="BN805" s="2867"/>
      <c r="BO805" s="2867"/>
      <c r="BP805" s="2867"/>
      <c r="BQ805" s="2867"/>
      <c r="BR805" s="2867"/>
      <c r="BS805" s="2867"/>
      <c r="BT805" s="2867"/>
      <c r="BU805" s="2867"/>
      <c r="BV805" s="2867"/>
      <c r="BW805" s="2867"/>
      <c r="BX805" s="2867"/>
      <c r="BY805" s="2867"/>
      <c r="BZ805" s="2867"/>
      <c r="CA805" s="2867"/>
      <c r="CB805" s="2867"/>
      <c r="CC805" s="2867"/>
      <c r="CD805" s="2867"/>
      <c r="CE805" s="2867"/>
      <c r="CF805" s="2867"/>
      <c r="CG805" s="2867"/>
      <c r="CH805" s="2867"/>
      <c r="CI805" s="2867"/>
      <c r="CJ805" s="2867"/>
      <c r="CK805" s="2867"/>
      <c r="CL805" s="2867"/>
      <c r="CM805" s="2867"/>
      <c r="CN805" s="2867"/>
      <c r="CO805" s="2867"/>
      <c r="CP805" s="2867"/>
      <c r="CQ805" s="2867"/>
      <c r="CR805" s="2867"/>
      <c r="CS805" s="2867"/>
      <c r="CT805" s="2867"/>
      <c r="CU805" s="2867"/>
      <c r="CV805" s="2867"/>
      <c r="CW805" s="2867"/>
    </row>
    <row r="806" spans="1:101">
      <c r="A806" s="2867"/>
      <c r="B806" s="2867"/>
      <c r="C806" s="2867"/>
      <c r="D806" s="2867"/>
      <c r="E806" s="2867"/>
      <c r="F806" s="2867"/>
      <c r="G806" s="2867"/>
      <c r="H806" s="2867"/>
      <c r="I806" s="2867"/>
      <c r="J806" s="2867"/>
      <c r="K806" s="2867"/>
      <c r="L806" s="2867"/>
      <c r="M806" s="2867"/>
      <c r="O806" s="2867"/>
      <c r="P806" s="2867"/>
      <c r="Q806" s="2867"/>
      <c r="R806" s="2867"/>
      <c r="S806" s="2867"/>
      <c r="T806" s="2867"/>
      <c r="U806" s="2867"/>
      <c r="V806" s="2867"/>
      <c r="W806" s="2867"/>
      <c r="X806" s="2867"/>
      <c r="Y806" s="2867"/>
      <c r="Z806" s="2867"/>
      <c r="AA806" s="2867"/>
      <c r="AB806" s="2867"/>
      <c r="AC806" s="2867"/>
      <c r="AD806" s="2867"/>
      <c r="AE806" s="2867"/>
      <c r="AF806" s="2867"/>
      <c r="AG806" s="2867"/>
      <c r="AH806" s="2867"/>
      <c r="AI806" s="2867"/>
      <c r="AJ806" s="2867"/>
      <c r="AK806" s="2867"/>
      <c r="AL806" s="2867"/>
      <c r="AM806" s="2867"/>
      <c r="AN806" s="2867"/>
      <c r="AO806" s="2867"/>
      <c r="AP806" s="2867"/>
      <c r="AQ806" s="2867"/>
      <c r="AR806" s="2867"/>
      <c r="AS806" s="2867"/>
      <c r="AT806" s="2867"/>
      <c r="AU806" s="2867"/>
      <c r="AV806" s="2867"/>
      <c r="AW806" s="2867"/>
      <c r="AX806" s="2867"/>
      <c r="AY806" s="2867"/>
      <c r="AZ806" s="2867"/>
      <c r="BA806" s="2867"/>
      <c r="BB806" s="2867"/>
      <c r="BC806" s="2867"/>
      <c r="BD806" s="2867"/>
      <c r="BE806" s="2867"/>
      <c r="BF806" s="2867"/>
      <c r="BG806" s="2867"/>
      <c r="BH806" s="2867"/>
      <c r="BI806" s="2867"/>
      <c r="BJ806" s="2867"/>
      <c r="BK806" s="2867"/>
      <c r="BL806" s="2867"/>
      <c r="BM806" s="2867"/>
      <c r="BN806" s="2867"/>
      <c r="BO806" s="2867"/>
      <c r="BP806" s="2867"/>
      <c r="BQ806" s="2867"/>
      <c r="BR806" s="2867"/>
      <c r="BS806" s="2867"/>
      <c r="BT806" s="2867"/>
      <c r="BU806" s="2867"/>
      <c r="BV806" s="2867"/>
      <c r="BW806" s="2867"/>
      <c r="BX806" s="2867"/>
      <c r="BY806" s="2867"/>
      <c r="BZ806" s="2867"/>
      <c r="CA806" s="2867"/>
      <c r="CB806" s="2867"/>
      <c r="CC806" s="2867"/>
      <c r="CD806" s="2867"/>
      <c r="CE806" s="2867"/>
      <c r="CF806" s="2867"/>
      <c r="CG806" s="2867"/>
      <c r="CH806" s="2867"/>
      <c r="CI806" s="2867"/>
      <c r="CJ806" s="2867"/>
      <c r="CK806" s="2867"/>
      <c r="CL806" s="2867"/>
      <c r="CM806" s="2867"/>
      <c r="CN806" s="2867"/>
      <c r="CO806" s="2867"/>
      <c r="CP806" s="2867"/>
      <c r="CQ806" s="2867"/>
      <c r="CR806" s="2867"/>
      <c r="CS806" s="2867"/>
      <c r="CT806" s="2867"/>
      <c r="CU806" s="2867"/>
      <c r="CV806" s="2867"/>
      <c r="CW806" s="2867"/>
    </row>
    <row r="807" spans="1:101">
      <c r="A807" s="2867"/>
      <c r="B807" s="2867"/>
      <c r="C807" s="2867"/>
      <c r="D807" s="2867"/>
      <c r="E807" s="2867"/>
      <c r="F807" s="2867"/>
      <c r="G807" s="2867"/>
      <c r="H807" s="2867"/>
      <c r="I807" s="2867"/>
      <c r="J807" s="2867"/>
      <c r="K807" s="2867"/>
      <c r="L807" s="2867"/>
      <c r="M807" s="2867"/>
      <c r="O807" s="2867"/>
      <c r="P807" s="2867"/>
      <c r="Q807" s="2867"/>
      <c r="R807" s="2867"/>
      <c r="S807" s="2867"/>
      <c r="T807" s="2867"/>
      <c r="U807" s="2867"/>
      <c r="V807" s="2867"/>
      <c r="W807" s="2867"/>
      <c r="X807" s="2867"/>
      <c r="Y807" s="2867"/>
      <c r="Z807" s="2867"/>
      <c r="AA807" s="2867"/>
      <c r="AB807" s="2867"/>
      <c r="AC807" s="2867"/>
      <c r="AD807" s="2867"/>
      <c r="AE807" s="2867"/>
      <c r="AF807" s="2867"/>
      <c r="AG807" s="2867"/>
      <c r="AH807" s="2867"/>
      <c r="AI807" s="2867"/>
      <c r="AJ807" s="2867"/>
      <c r="AK807" s="2867"/>
      <c r="AL807" s="2867"/>
      <c r="AM807" s="2867"/>
      <c r="AN807" s="2867"/>
      <c r="AO807" s="2867"/>
      <c r="AP807" s="2867"/>
      <c r="AQ807" s="2867"/>
      <c r="AR807" s="2867"/>
      <c r="AS807" s="2867"/>
      <c r="AT807" s="2867"/>
      <c r="AU807" s="2867"/>
      <c r="AV807" s="2867"/>
      <c r="AW807" s="2867"/>
      <c r="AX807" s="2867"/>
      <c r="AY807" s="2867"/>
      <c r="AZ807" s="2867"/>
      <c r="BA807" s="2867"/>
      <c r="BB807" s="2867"/>
      <c r="BC807" s="2867"/>
      <c r="BD807" s="2867"/>
      <c r="BE807" s="2867"/>
      <c r="BF807" s="2867"/>
      <c r="BG807" s="2867"/>
      <c r="BH807" s="2867"/>
      <c r="BI807" s="2867"/>
      <c r="BJ807" s="2867"/>
      <c r="BK807" s="2867"/>
      <c r="BL807" s="2867"/>
      <c r="BM807" s="2867"/>
      <c r="BN807" s="2867"/>
      <c r="BO807" s="2867"/>
      <c r="BP807" s="2867"/>
      <c r="BQ807" s="2867"/>
      <c r="BR807" s="2867"/>
      <c r="BS807" s="2867"/>
      <c r="BT807" s="2867"/>
      <c r="BU807" s="2867"/>
      <c r="BV807" s="2867"/>
      <c r="BW807" s="2867"/>
      <c r="BX807" s="2867"/>
      <c r="BY807" s="2867"/>
      <c r="BZ807" s="2867"/>
      <c r="CA807" s="2867"/>
      <c r="CB807" s="2867"/>
      <c r="CC807" s="2867"/>
      <c r="CD807" s="2867"/>
      <c r="CE807" s="2867"/>
      <c r="CF807" s="2867"/>
      <c r="CG807" s="2867"/>
      <c r="CH807" s="2867"/>
      <c r="CI807" s="2867"/>
      <c r="CJ807" s="2867"/>
      <c r="CK807" s="2867"/>
      <c r="CL807" s="2867"/>
      <c r="CM807" s="2867"/>
      <c r="CN807" s="2867"/>
      <c r="CO807" s="2867"/>
      <c r="CP807" s="2867"/>
      <c r="CQ807" s="2867"/>
      <c r="CR807" s="2867"/>
      <c r="CS807" s="2867"/>
      <c r="CT807" s="2867"/>
      <c r="CU807" s="2867"/>
      <c r="CV807" s="2867"/>
      <c r="CW807" s="2867"/>
    </row>
    <row r="808" spans="1:101">
      <c r="A808" s="2867"/>
      <c r="B808" s="2867"/>
      <c r="C808" s="2867"/>
      <c r="D808" s="2867"/>
      <c r="E808" s="2867"/>
      <c r="F808" s="2867"/>
      <c r="G808" s="2867"/>
      <c r="H808" s="2867"/>
      <c r="I808" s="2867"/>
      <c r="J808" s="2867"/>
      <c r="K808" s="2867"/>
      <c r="L808" s="2867"/>
      <c r="M808" s="2867"/>
      <c r="O808" s="2867"/>
      <c r="P808" s="2867"/>
      <c r="Q808" s="2867"/>
      <c r="R808" s="2867"/>
      <c r="S808" s="2867"/>
      <c r="T808" s="2867"/>
      <c r="U808" s="2867"/>
      <c r="V808" s="2867"/>
      <c r="W808" s="2867"/>
      <c r="X808" s="2867"/>
      <c r="Y808" s="2867"/>
      <c r="Z808" s="2867"/>
      <c r="AA808" s="2867"/>
      <c r="AB808" s="2867"/>
      <c r="AC808" s="2867"/>
      <c r="AD808" s="2867"/>
      <c r="AE808" s="2867"/>
      <c r="AF808" s="2867"/>
      <c r="AG808" s="2867"/>
      <c r="AH808" s="2867"/>
      <c r="AI808" s="2867"/>
      <c r="AJ808" s="2867"/>
      <c r="AK808" s="2867"/>
      <c r="AL808" s="2867"/>
      <c r="AM808" s="2867"/>
      <c r="AN808" s="2867"/>
      <c r="AO808" s="2867"/>
      <c r="AP808" s="2867"/>
      <c r="AQ808" s="2867"/>
      <c r="AR808" s="2867"/>
      <c r="AS808" s="2867"/>
      <c r="AT808" s="2867"/>
      <c r="AU808" s="2867"/>
      <c r="AV808" s="2867"/>
      <c r="AW808" s="2867"/>
      <c r="AX808" s="2867"/>
      <c r="AY808" s="2867"/>
      <c r="AZ808" s="2867"/>
      <c r="BA808" s="2867"/>
      <c r="BB808" s="2867"/>
      <c r="BC808" s="2867"/>
      <c r="BD808" s="2867"/>
      <c r="BE808" s="2867"/>
      <c r="BF808" s="2867"/>
      <c r="BG808" s="2867"/>
      <c r="BH808" s="2867"/>
      <c r="BI808" s="2867"/>
      <c r="BJ808" s="2867"/>
      <c r="BK808" s="2867"/>
      <c r="BL808" s="2867"/>
      <c r="BM808" s="2867"/>
      <c r="BN808" s="2867"/>
      <c r="BO808" s="2867"/>
      <c r="BP808" s="2867"/>
      <c r="BQ808" s="2867"/>
      <c r="BR808" s="2867"/>
      <c r="BS808" s="2867"/>
      <c r="BT808" s="2867"/>
      <c r="BU808" s="2867"/>
      <c r="BV808" s="2867"/>
      <c r="BW808" s="2867"/>
      <c r="BX808" s="2867"/>
      <c r="BY808" s="2867"/>
      <c r="BZ808" s="2867"/>
      <c r="CA808" s="2867"/>
      <c r="CB808" s="2867"/>
      <c r="CC808" s="2867"/>
      <c r="CD808" s="2867"/>
      <c r="CE808" s="2867"/>
      <c r="CF808" s="2867"/>
      <c r="CG808" s="2867"/>
      <c r="CH808" s="2867"/>
      <c r="CI808" s="2867"/>
      <c r="CJ808" s="2867"/>
      <c r="CK808" s="2867"/>
      <c r="CL808" s="2867"/>
      <c r="CM808" s="2867"/>
      <c r="CN808" s="2867"/>
      <c r="CO808" s="2867"/>
      <c r="CP808" s="2867"/>
      <c r="CQ808" s="2867"/>
      <c r="CR808" s="2867"/>
      <c r="CS808" s="2867"/>
      <c r="CT808" s="2867"/>
      <c r="CU808" s="2867"/>
      <c r="CV808" s="2867"/>
      <c r="CW808" s="2867"/>
    </row>
    <row r="809" spans="1:101">
      <c r="A809" s="2867"/>
      <c r="B809" s="2867"/>
      <c r="C809" s="2867"/>
      <c r="D809" s="2867"/>
      <c r="E809" s="2867"/>
      <c r="F809" s="2867"/>
      <c r="G809" s="2867"/>
      <c r="H809" s="2867"/>
      <c r="I809" s="2867"/>
      <c r="J809" s="2867"/>
      <c r="K809" s="2867"/>
      <c r="L809" s="2867"/>
      <c r="M809" s="2867"/>
      <c r="O809" s="2867"/>
      <c r="P809" s="2867"/>
      <c r="Q809" s="2867"/>
      <c r="R809" s="2867"/>
      <c r="S809" s="2867"/>
      <c r="T809" s="2867"/>
      <c r="U809" s="2867"/>
      <c r="V809" s="2867"/>
      <c r="W809" s="2867"/>
      <c r="X809" s="2867"/>
      <c r="Y809" s="2867"/>
      <c r="Z809" s="2867"/>
      <c r="AA809" s="2867"/>
      <c r="AB809" s="2867"/>
      <c r="AC809" s="2867"/>
      <c r="AD809" s="2867"/>
      <c r="AE809" s="2867"/>
      <c r="AF809" s="2867"/>
      <c r="AG809" s="2867"/>
      <c r="AH809" s="2867"/>
      <c r="AI809" s="2867"/>
      <c r="AJ809" s="2867"/>
      <c r="AK809" s="2867"/>
      <c r="AL809" s="2867"/>
      <c r="AM809" s="2867"/>
      <c r="AN809" s="2867"/>
      <c r="AO809" s="2867"/>
      <c r="AP809" s="2867"/>
      <c r="AQ809" s="2867"/>
      <c r="AR809" s="2867"/>
      <c r="AS809" s="2867"/>
      <c r="AT809" s="2867"/>
      <c r="AU809" s="2867"/>
      <c r="AV809" s="2867"/>
      <c r="AW809" s="2867"/>
      <c r="AX809" s="2867"/>
      <c r="AY809" s="2867"/>
      <c r="AZ809" s="2867"/>
      <c r="BA809" s="2867"/>
      <c r="BB809" s="2867"/>
      <c r="BC809" s="2867"/>
      <c r="BD809" s="2867"/>
      <c r="BE809" s="2867"/>
      <c r="BF809" s="2867"/>
      <c r="BG809" s="2867"/>
      <c r="BH809" s="2867"/>
      <c r="BI809" s="2867"/>
      <c r="BJ809" s="2867"/>
      <c r="BK809" s="2867"/>
      <c r="BL809" s="2867"/>
      <c r="BM809" s="2867"/>
      <c r="BN809" s="2867"/>
      <c r="BO809" s="2867"/>
      <c r="BP809" s="2867"/>
      <c r="BQ809" s="2867"/>
      <c r="BR809" s="2867"/>
      <c r="BS809" s="2867"/>
      <c r="BT809" s="2867"/>
      <c r="BU809" s="2867"/>
      <c r="BV809" s="2867"/>
      <c r="BW809" s="2867"/>
      <c r="BX809" s="2867"/>
      <c r="BY809" s="2867"/>
      <c r="BZ809" s="2867"/>
      <c r="CA809" s="2867"/>
      <c r="CB809" s="2867"/>
      <c r="CC809" s="2867"/>
      <c r="CD809" s="2867"/>
      <c r="CE809" s="2867"/>
      <c r="CF809" s="2867"/>
      <c r="CG809" s="2867"/>
      <c r="CH809" s="2867"/>
      <c r="CI809" s="2867"/>
      <c r="CJ809" s="2867"/>
      <c r="CK809" s="2867"/>
      <c r="CL809" s="2867"/>
      <c r="CM809" s="2867"/>
      <c r="CN809" s="2867"/>
      <c r="CO809" s="2867"/>
      <c r="CP809" s="2867"/>
      <c r="CQ809" s="2867"/>
      <c r="CR809" s="2867"/>
      <c r="CS809" s="2867"/>
      <c r="CT809" s="2867"/>
      <c r="CU809" s="2867"/>
      <c r="CV809" s="2867"/>
      <c r="CW809" s="2867"/>
    </row>
    <row r="810" spans="1:101">
      <c r="A810" s="2867"/>
      <c r="B810" s="2867"/>
      <c r="C810" s="2867"/>
      <c r="D810" s="2867"/>
      <c r="E810" s="2867"/>
      <c r="F810" s="2867"/>
      <c r="G810" s="2867"/>
      <c r="H810" s="2867"/>
      <c r="I810" s="2867"/>
      <c r="J810" s="2867"/>
      <c r="K810" s="2867"/>
      <c r="L810" s="2867"/>
      <c r="M810" s="2867"/>
      <c r="O810" s="2867"/>
      <c r="P810" s="2867"/>
      <c r="Q810" s="2867"/>
      <c r="R810" s="2867"/>
      <c r="S810" s="2867"/>
      <c r="T810" s="2867"/>
      <c r="U810" s="2867"/>
      <c r="V810" s="2867"/>
      <c r="W810" s="2867"/>
      <c r="X810" s="2867"/>
      <c r="Y810" s="2867"/>
      <c r="Z810" s="2867"/>
      <c r="AA810" s="2867"/>
      <c r="AB810" s="2867"/>
      <c r="AC810" s="2867"/>
      <c r="AD810" s="2867"/>
      <c r="AE810" s="2867"/>
      <c r="AF810" s="2867"/>
      <c r="AG810" s="2867"/>
      <c r="AH810" s="2867"/>
      <c r="AI810" s="2867"/>
      <c r="AJ810" s="2867"/>
      <c r="AK810" s="2867"/>
      <c r="AL810" s="2867"/>
      <c r="AM810" s="2867"/>
      <c r="AN810" s="2867"/>
      <c r="AO810" s="2867"/>
      <c r="AP810" s="2867"/>
      <c r="AQ810" s="2867"/>
      <c r="AR810" s="2867"/>
      <c r="AS810" s="2867"/>
      <c r="AT810" s="2867"/>
      <c r="AU810" s="2867"/>
      <c r="AV810" s="2867"/>
      <c r="AW810" s="2867"/>
      <c r="AX810" s="2867"/>
      <c r="AY810" s="2867"/>
      <c r="AZ810" s="2867"/>
      <c r="BA810" s="2867"/>
      <c r="BB810" s="2867"/>
      <c r="BC810" s="2867"/>
      <c r="BD810" s="2867"/>
      <c r="BE810" s="2867"/>
      <c r="BF810" s="2867"/>
      <c r="BG810" s="2867"/>
      <c r="BH810" s="2867"/>
      <c r="BI810" s="2867"/>
      <c r="BJ810" s="2867"/>
      <c r="BK810" s="2867"/>
      <c r="BL810" s="2867"/>
      <c r="BM810" s="2867"/>
      <c r="BN810" s="2867"/>
      <c r="BO810" s="2867"/>
      <c r="BP810" s="2867"/>
      <c r="BQ810" s="2867"/>
      <c r="BR810" s="2867"/>
      <c r="BS810" s="2867"/>
      <c r="BT810" s="2867"/>
      <c r="BU810" s="2867"/>
      <c r="BV810" s="2867"/>
      <c r="BW810" s="2867"/>
      <c r="BX810" s="2867"/>
      <c r="BY810" s="2867"/>
      <c r="BZ810" s="2867"/>
      <c r="CA810" s="2867"/>
      <c r="CB810" s="2867"/>
      <c r="CC810" s="2867"/>
      <c r="CD810" s="2867"/>
      <c r="CE810" s="2867"/>
      <c r="CF810" s="2867"/>
      <c r="CG810" s="2867"/>
      <c r="CH810" s="2867"/>
      <c r="CI810" s="2867"/>
      <c r="CJ810" s="2867"/>
      <c r="CK810" s="2867"/>
      <c r="CL810" s="2867"/>
      <c r="CM810" s="2867"/>
      <c r="CN810" s="2867"/>
      <c r="CO810" s="2867"/>
      <c r="CP810" s="2867"/>
      <c r="CQ810" s="2867"/>
      <c r="CR810" s="2867"/>
      <c r="CS810" s="2867"/>
      <c r="CT810" s="2867"/>
      <c r="CU810" s="2867"/>
      <c r="CV810" s="2867"/>
      <c r="CW810" s="2867"/>
    </row>
    <row r="811" spans="1:101">
      <c r="A811" s="2867"/>
      <c r="B811" s="2867"/>
      <c r="C811" s="2867"/>
      <c r="D811" s="2867"/>
      <c r="E811" s="2867"/>
      <c r="F811" s="2867"/>
      <c r="G811" s="2867"/>
      <c r="H811" s="2867"/>
      <c r="I811" s="2867"/>
      <c r="J811" s="2867"/>
      <c r="K811" s="2867"/>
      <c r="L811" s="2867"/>
      <c r="M811" s="2867"/>
      <c r="O811" s="2867"/>
      <c r="P811" s="2867"/>
      <c r="Q811" s="2867"/>
      <c r="R811" s="2867"/>
      <c r="S811" s="2867"/>
      <c r="T811" s="2867"/>
      <c r="U811" s="2867"/>
      <c r="V811" s="2867"/>
      <c r="W811" s="2867"/>
      <c r="X811" s="2867"/>
      <c r="Y811" s="2867"/>
      <c r="Z811" s="2867"/>
      <c r="AA811" s="2867"/>
      <c r="AB811" s="2867"/>
      <c r="AC811" s="2867"/>
      <c r="AD811" s="2867"/>
      <c r="AE811" s="2867"/>
      <c r="AF811" s="2867"/>
      <c r="AG811" s="2867"/>
      <c r="AH811" s="2867"/>
      <c r="AI811" s="2867"/>
      <c r="AJ811" s="2867"/>
      <c r="AK811" s="2867"/>
      <c r="AL811" s="2867"/>
      <c r="AM811" s="2867"/>
      <c r="AN811" s="2867"/>
      <c r="AO811" s="2867"/>
      <c r="AP811" s="2867"/>
      <c r="AQ811" s="2867"/>
      <c r="AR811" s="2867"/>
      <c r="AS811" s="2867"/>
      <c r="AT811" s="2867"/>
      <c r="AU811" s="2867"/>
      <c r="AV811" s="2867"/>
      <c r="AW811" s="2867"/>
      <c r="AX811" s="2867"/>
      <c r="AY811" s="2867"/>
      <c r="AZ811" s="2867"/>
      <c r="BA811" s="2867"/>
      <c r="BB811" s="2867"/>
      <c r="BC811" s="2867"/>
      <c r="BD811" s="2867"/>
      <c r="BE811" s="2867"/>
      <c r="BF811" s="2867"/>
      <c r="BG811" s="2867"/>
      <c r="BH811" s="2867"/>
      <c r="BI811" s="2867"/>
      <c r="BJ811" s="2867"/>
      <c r="BK811" s="2867"/>
      <c r="BL811" s="2867"/>
      <c r="BM811" s="2867"/>
      <c r="BN811" s="2867"/>
      <c r="BO811" s="2867"/>
      <c r="BP811" s="2867"/>
      <c r="BQ811" s="2867"/>
      <c r="BR811" s="2867"/>
      <c r="BS811" s="2867"/>
      <c r="BT811" s="2867"/>
      <c r="BU811" s="2867"/>
      <c r="BV811" s="2867"/>
      <c r="BW811" s="2867"/>
      <c r="BX811" s="2867"/>
      <c r="BY811" s="2867"/>
      <c r="BZ811" s="2867"/>
      <c r="CA811" s="2867"/>
      <c r="CB811" s="2867"/>
      <c r="CC811" s="2867"/>
      <c r="CD811" s="2867"/>
      <c r="CE811" s="2867"/>
      <c r="CF811" s="2867"/>
      <c r="CG811" s="2867"/>
      <c r="CH811" s="2867"/>
      <c r="CI811" s="2867"/>
      <c r="CJ811" s="2867"/>
      <c r="CK811" s="2867"/>
      <c r="CL811" s="2867"/>
      <c r="CM811" s="2867"/>
      <c r="CN811" s="2867"/>
      <c r="CO811" s="2867"/>
      <c r="CP811" s="2867"/>
      <c r="CQ811" s="2867"/>
      <c r="CR811" s="2867"/>
      <c r="CS811" s="2867"/>
      <c r="CT811" s="2867"/>
      <c r="CU811" s="2867"/>
      <c r="CV811" s="2867"/>
      <c r="CW811" s="2867"/>
    </row>
    <row r="812" spans="1:101">
      <c r="A812" s="2867"/>
      <c r="B812" s="2867"/>
      <c r="C812" s="2867"/>
      <c r="D812" s="2867"/>
      <c r="E812" s="2867"/>
      <c r="F812" s="2867"/>
      <c r="G812" s="2867"/>
      <c r="H812" s="2867"/>
      <c r="I812" s="2867"/>
      <c r="J812" s="2867"/>
      <c r="K812" s="2867"/>
      <c r="L812" s="2867"/>
      <c r="M812" s="2867"/>
      <c r="O812" s="2867"/>
      <c r="P812" s="2867"/>
      <c r="Q812" s="2867"/>
      <c r="R812" s="2867"/>
      <c r="S812" s="2867"/>
      <c r="T812" s="2867"/>
      <c r="U812" s="2867"/>
      <c r="V812" s="2867"/>
      <c r="W812" s="2867"/>
      <c r="X812" s="2867"/>
      <c r="Y812" s="2867"/>
      <c r="Z812" s="2867"/>
      <c r="AA812" s="2867"/>
      <c r="AB812" s="2867"/>
      <c r="AC812" s="2867"/>
      <c r="AD812" s="2867"/>
      <c r="AE812" s="2867"/>
      <c r="AF812" s="2867"/>
      <c r="AG812" s="2867"/>
      <c r="AH812" s="2867"/>
      <c r="AI812" s="2867"/>
      <c r="AJ812" s="2867"/>
      <c r="AK812" s="2867"/>
      <c r="AL812" s="2867"/>
      <c r="AM812" s="2867"/>
      <c r="AN812" s="2867"/>
      <c r="AO812" s="2867"/>
      <c r="AP812" s="2867"/>
      <c r="AQ812" s="2867"/>
      <c r="AR812" s="2867"/>
      <c r="AS812" s="2867"/>
      <c r="AT812" s="2867"/>
      <c r="AU812" s="2867"/>
      <c r="AV812" s="2867"/>
      <c r="AW812" s="2867"/>
      <c r="AX812" s="2867"/>
      <c r="AY812" s="2867"/>
      <c r="AZ812" s="2867"/>
      <c r="BA812" s="2867"/>
      <c r="BB812" s="2867"/>
      <c r="BC812" s="2867"/>
      <c r="BD812" s="2867"/>
      <c r="BE812" s="2867"/>
      <c r="BF812" s="2867"/>
      <c r="BG812" s="2867"/>
      <c r="BH812" s="2867"/>
      <c r="BI812" s="2867"/>
      <c r="BJ812" s="2867"/>
      <c r="BK812" s="2867"/>
      <c r="BL812" s="2867"/>
      <c r="BM812" s="2867"/>
      <c r="BN812" s="2867"/>
      <c r="BO812" s="2867"/>
      <c r="BP812" s="2867"/>
      <c r="BQ812" s="2867"/>
      <c r="BR812" s="2867"/>
      <c r="BS812" s="2867"/>
      <c r="BT812" s="2867"/>
      <c r="BU812" s="2867"/>
      <c r="BV812" s="2867"/>
      <c r="BW812" s="2867"/>
      <c r="BX812" s="2867"/>
      <c r="BY812" s="2867"/>
      <c r="BZ812" s="2867"/>
      <c r="CA812" s="2867"/>
      <c r="CB812" s="2867"/>
      <c r="CC812" s="2867"/>
      <c r="CD812" s="2867"/>
      <c r="CE812" s="2867"/>
      <c r="CF812" s="2867"/>
      <c r="CG812" s="2867"/>
      <c r="CH812" s="2867"/>
      <c r="CI812" s="2867"/>
      <c r="CJ812" s="2867"/>
      <c r="CK812" s="2867"/>
      <c r="CL812" s="2867"/>
      <c r="CM812" s="2867"/>
      <c r="CN812" s="2867"/>
      <c r="CO812" s="2867"/>
      <c r="CP812" s="2867"/>
      <c r="CQ812" s="2867"/>
      <c r="CR812" s="2867"/>
      <c r="CS812" s="2867"/>
      <c r="CT812" s="2867"/>
      <c r="CU812" s="2867"/>
      <c r="CV812" s="2867"/>
      <c r="CW812" s="2867"/>
    </row>
    <row r="813" spans="1:101">
      <c r="A813" s="2867"/>
      <c r="B813" s="2867"/>
      <c r="C813" s="2867"/>
      <c r="D813" s="2867"/>
      <c r="E813" s="2867"/>
      <c r="F813" s="2867"/>
      <c r="G813" s="2867"/>
      <c r="H813" s="2867"/>
      <c r="I813" s="2867"/>
      <c r="J813" s="2867"/>
      <c r="K813" s="2867"/>
      <c r="L813" s="2867"/>
      <c r="M813" s="2867"/>
      <c r="O813" s="2867"/>
      <c r="P813" s="2867"/>
      <c r="Q813" s="2867"/>
      <c r="R813" s="2867"/>
      <c r="S813" s="2867"/>
      <c r="T813" s="2867"/>
      <c r="U813" s="2867"/>
      <c r="V813" s="2867"/>
      <c r="W813" s="2867"/>
      <c r="X813" s="2867"/>
      <c r="Y813" s="2867"/>
      <c r="Z813" s="2867"/>
      <c r="AA813" s="2867"/>
      <c r="AB813" s="2867"/>
      <c r="AC813" s="2867"/>
      <c r="AD813" s="2867"/>
      <c r="AE813" s="2867"/>
      <c r="AF813" s="2867"/>
      <c r="AG813" s="2867"/>
      <c r="AH813" s="2867"/>
      <c r="AI813" s="2867"/>
      <c r="AJ813" s="2867"/>
      <c r="AK813" s="2867"/>
      <c r="AL813" s="2867"/>
      <c r="AM813" s="2867"/>
      <c r="AN813" s="2867"/>
      <c r="AO813" s="2867"/>
      <c r="AP813" s="2867"/>
      <c r="AQ813" s="2867"/>
      <c r="AR813" s="2867"/>
      <c r="AS813" s="2867"/>
      <c r="AT813" s="2867"/>
      <c r="AU813" s="2867"/>
      <c r="AV813" s="2867"/>
      <c r="AW813" s="2867"/>
      <c r="AX813" s="2867"/>
      <c r="AY813" s="2867"/>
      <c r="AZ813" s="2867"/>
      <c r="BA813" s="2867"/>
      <c r="BB813" s="2867"/>
      <c r="BC813" s="2867"/>
      <c r="BD813" s="2867"/>
      <c r="BE813" s="2867"/>
      <c r="BF813" s="2867"/>
      <c r="BG813" s="2867"/>
      <c r="BH813" s="2867"/>
      <c r="BI813" s="2867"/>
      <c r="BJ813" s="2867"/>
      <c r="BK813" s="2867"/>
      <c r="BL813" s="2867"/>
      <c r="BM813" s="2867"/>
      <c r="BN813" s="2867"/>
      <c r="BO813" s="2867"/>
      <c r="BP813" s="2867"/>
      <c r="BQ813" s="2867"/>
      <c r="BR813" s="2867"/>
      <c r="BS813" s="2867"/>
      <c r="BT813" s="2867"/>
      <c r="BU813" s="2867"/>
      <c r="BV813" s="2867"/>
      <c r="BW813" s="2867"/>
      <c r="BX813" s="2867"/>
      <c r="BY813" s="2867"/>
      <c r="BZ813" s="2867"/>
      <c r="CA813" s="2867"/>
      <c r="CB813" s="2867"/>
      <c r="CC813" s="2867"/>
      <c r="CD813" s="2867"/>
      <c r="CE813" s="2867"/>
      <c r="CF813" s="2867"/>
      <c r="CG813" s="2867"/>
      <c r="CH813" s="2867"/>
      <c r="CI813" s="2867"/>
      <c r="CJ813" s="2867"/>
      <c r="CK813" s="2867"/>
      <c r="CL813" s="2867"/>
      <c r="CM813" s="2867"/>
      <c r="CN813" s="2867"/>
      <c r="CO813" s="2867"/>
      <c r="CP813" s="2867"/>
      <c r="CQ813" s="2867"/>
      <c r="CR813" s="2867"/>
      <c r="CS813" s="2867"/>
      <c r="CT813" s="2867"/>
      <c r="CU813" s="2867"/>
      <c r="CV813" s="2867"/>
      <c r="CW813" s="2867"/>
    </row>
    <row r="814" spans="1:101">
      <c r="A814" s="2867"/>
      <c r="B814" s="2867"/>
      <c r="C814" s="2867"/>
      <c r="D814" s="2867"/>
      <c r="E814" s="2867"/>
      <c r="F814" s="2867"/>
      <c r="G814" s="2867"/>
      <c r="H814" s="2867"/>
      <c r="I814" s="2867"/>
      <c r="J814" s="2867"/>
      <c r="K814" s="2867"/>
      <c r="L814" s="2867"/>
      <c r="M814" s="2867"/>
      <c r="O814" s="2867"/>
      <c r="P814" s="2867"/>
      <c r="Q814" s="2867"/>
      <c r="R814" s="2867"/>
      <c r="S814" s="2867"/>
      <c r="T814" s="2867"/>
      <c r="U814" s="2867"/>
      <c r="V814" s="2867"/>
      <c r="W814" s="2867"/>
      <c r="X814" s="2867"/>
      <c r="Y814" s="2867"/>
      <c r="Z814" s="2867"/>
      <c r="AA814" s="2867"/>
      <c r="AB814" s="2867"/>
      <c r="AC814" s="2867"/>
      <c r="AD814" s="2867"/>
      <c r="AE814" s="2867"/>
      <c r="AF814" s="2867"/>
      <c r="AG814" s="2867"/>
      <c r="AH814" s="2867"/>
      <c r="AI814" s="2867"/>
      <c r="AJ814" s="2867"/>
      <c r="AK814" s="2867"/>
      <c r="AL814" s="2867"/>
      <c r="AM814" s="2867"/>
      <c r="AN814" s="2867"/>
      <c r="AO814" s="2867"/>
      <c r="AP814" s="2867"/>
      <c r="AQ814" s="2867"/>
      <c r="AR814" s="2867"/>
      <c r="AS814" s="2867"/>
      <c r="AT814" s="2867"/>
      <c r="AU814" s="2867"/>
      <c r="AV814" s="2867"/>
      <c r="AW814" s="2867"/>
      <c r="AX814" s="2867"/>
      <c r="AY814" s="2867"/>
      <c r="AZ814" s="2867"/>
      <c r="BA814" s="2867"/>
      <c r="BB814" s="2867"/>
      <c r="BC814" s="2867"/>
      <c r="BD814" s="2867"/>
      <c r="BE814" s="2867"/>
      <c r="BF814" s="2867"/>
      <c r="BG814" s="2867"/>
      <c r="BH814" s="2867"/>
      <c r="BI814" s="2867"/>
      <c r="BJ814" s="2867"/>
      <c r="BK814" s="2867"/>
      <c r="BL814" s="2867"/>
      <c r="BM814" s="2867"/>
      <c r="BN814" s="2867"/>
      <c r="BO814" s="2867"/>
      <c r="BP814" s="2867"/>
      <c r="BQ814" s="2867"/>
      <c r="BR814" s="2867"/>
      <c r="BS814" s="2867"/>
      <c r="BT814" s="2867"/>
      <c r="BU814" s="2867"/>
      <c r="BV814" s="2867"/>
      <c r="BW814" s="2867"/>
      <c r="BX814" s="2867"/>
      <c r="BY814" s="2867"/>
      <c r="BZ814" s="2867"/>
      <c r="CA814" s="2867"/>
      <c r="CB814" s="2867"/>
      <c r="CC814" s="2867"/>
      <c r="CD814" s="2867"/>
      <c r="CE814" s="2867"/>
      <c r="CF814" s="2867"/>
      <c r="CG814" s="2867"/>
      <c r="CH814" s="2867"/>
      <c r="CI814" s="2867"/>
      <c r="CJ814" s="2867"/>
      <c r="CK814" s="2867"/>
      <c r="CL814" s="2867"/>
      <c r="CM814" s="2867"/>
      <c r="CN814" s="2867"/>
      <c r="CO814" s="2867"/>
      <c r="CP814" s="2867"/>
      <c r="CQ814" s="2867"/>
      <c r="CR814" s="2867"/>
      <c r="CS814" s="2867"/>
      <c r="CT814" s="2867"/>
      <c r="CU814" s="2867"/>
      <c r="CV814" s="2867"/>
      <c r="CW814" s="2867"/>
    </row>
    <row r="815" spans="1:101">
      <c r="A815" s="2867"/>
      <c r="B815" s="2867"/>
      <c r="C815" s="2867"/>
      <c r="D815" s="2867"/>
      <c r="E815" s="2867"/>
      <c r="F815" s="2867"/>
      <c r="G815" s="2867"/>
      <c r="H815" s="2867"/>
      <c r="I815" s="2867"/>
      <c r="J815" s="2867"/>
      <c r="K815" s="2867"/>
      <c r="L815" s="2867"/>
      <c r="M815" s="2867"/>
      <c r="O815" s="2867"/>
      <c r="P815" s="2867"/>
      <c r="Q815" s="2867"/>
      <c r="R815" s="2867"/>
      <c r="S815" s="2867"/>
      <c r="T815" s="2867"/>
      <c r="U815" s="2867"/>
      <c r="V815" s="2867"/>
      <c r="W815" s="2867"/>
      <c r="X815" s="2867"/>
      <c r="Y815" s="2867"/>
      <c r="Z815" s="2867"/>
      <c r="AA815" s="2867"/>
      <c r="AB815" s="2867"/>
      <c r="AC815" s="2867"/>
      <c r="AD815" s="2867"/>
      <c r="AE815" s="2867"/>
      <c r="AF815" s="2867"/>
      <c r="AG815" s="2867"/>
      <c r="AH815" s="2867"/>
      <c r="AI815" s="2867"/>
      <c r="AJ815" s="2867"/>
      <c r="AK815" s="2867"/>
      <c r="AL815" s="2867"/>
      <c r="AM815" s="2867"/>
      <c r="AN815" s="2867"/>
      <c r="AO815" s="2867"/>
      <c r="AP815" s="2867"/>
      <c r="AQ815" s="2867"/>
      <c r="AR815" s="2867"/>
      <c r="AS815" s="2867"/>
      <c r="AT815" s="2867"/>
      <c r="AU815" s="2867"/>
      <c r="AV815" s="2867"/>
      <c r="AW815" s="2867"/>
      <c r="AX815" s="2867"/>
      <c r="AY815" s="2867"/>
      <c r="AZ815" s="2867"/>
      <c r="BA815" s="2867"/>
      <c r="BB815" s="2867"/>
      <c r="BC815" s="2867"/>
      <c r="BD815" s="2867"/>
      <c r="BE815" s="2867"/>
      <c r="BF815" s="2867"/>
      <c r="BG815" s="2867"/>
      <c r="BH815" s="2867"/>
      <c r="BI815" s="2867"/>
      <c r="BJ815" s="2867"/>
      <c r="BK815" s="2867"/>
      <c r="BL815" s="2867"/>
      <c r="BM815" s="2867"/>
      <c r="BN815" s="2867"/>
      <c r="BO815" s="2867"/>
      <c r="BP815" s="2867"/>
      <c r="BQ815" s="2867"/>
      <c r="BR815" s="2867"/>
      <c r="BS815" s="2867"/>
      <c r="BT815" s="2867"/>
      <c r="BU815" s="2867"/>
      <c r="BV815" s="2867"/>
      <c r="BW815" s="2867"/>
      <c r="BX815" s="2867"/>
      <c r="BY815" s="2867"/>
      <c r="BZ815" s="2867"/>
      <c r="CA815" s="2867"/>
      <c r="CB815" s="2867"/>
      <c r="CC815" s="2867"/>
      <c r="CD815" s="2867"/>
      <c r="CE815" s="2867"/>
      <c r="CF815" s="2867"/>
      <c r="CG815" s="2867"/>
      <c r="CH815" s="2867"/>
      <c r="CI815" s="2867"/>
      <c r="CJ815" s="2867"/>
      <c r="CK815" s="2867"/>
      <c r="CL815" s="2867"/>
      <c r="CM815" s="2867"/>
      <c r="CN815" s="2867"/>
      <c r="CO815" s="2867"/>
      <c r="CP815" s="2867"/>
      <c r="CQ815" s="2867"/>
      <c r="CR815" s="2867"/>
      <c r="CS815" s="2867"/>
      <c r="CT815" s="2867"/>
      <c r="CU815" s="2867"/>
      <c r="CV815" s="2867"/>
      <c r="CW815" s="2867"/>
    </row>
    <row r="816" spans="1:101">
      <c r="A816" s="2867"/>
      <c r="B816" s="2867"/>
      <c r="C816" s="2867"/>
      <c r="D816" s="2867"/>
      <c r="E816" s="2867"/>
      <c r="F816" s="2867"/>
      <c r="G816" s="2867"/>
      <c r="H816" s="2867"/>
      <c r="I816" s="2867"/>
      <c r="J816" s="2867"/>
      <c r="K816" s="2867"/>
      <c r="L816" s="2867"/>
      <c r="M816" s="2867"/>
      <c r="O816" s="2867"/>
      <c r="P816" s="2867"/>
      <c r="Q816" s="2867"/>
      <c r="R816" s="2867"/>
      <c r="S816" s="2867"/>
      <c r="T816" s="2867"/>
      <c r="U816" s="2867"/>
      <c r="V816" s="2867"/>
      <c r="W816" s="2867"/>
      <c r="X816" s="2867"/>
      <c r="Y816" s="2867"/>
      <c r="Z816" s="2867"/>
      <c r="AA816" s="2867"/>
      <c r="AB816" s="2867"/>
      <c r="AC816" s="2867"/>
      <c r="AD816" s="2867"/>
      <c r="AE816" s="2867"/>
      <c r="AF816" s="2867"/>
      <c r="AG816" s="2867"/>
      <c r="AH816" s="2867"/>
      <c r="AI816" s="2867"/>
      <c r="AJ816" s="2867"/>
      <c r="AK816" s="2867"/>
      <c r="AL816" s="2867"/>
      <c r="AM816" s="2867"/>
      <c r="AN816" s="2867"/>
      <c r="AO816" s="2867"/>
      <c r="AP816" s="2867"/>
      <c r="AQ816" s="2867"/>
      <c r="AR816" s="2867"/>
      <c r="AS816" s="2867"/>
      <c r="AT816" s="2867"/>
      <c r="AU816" s="2867"/>
      <c r="AV816" s="2867"/>
      <c r="AW816" s="2867"/>
      <c r="AX816" s="2867"/>
      <c r="AY816" s="2867"/>
      <c r="AZ816" s="2867"/>
      <c r="BA816" s="2867"/>
      <c r="BB816" s="2867"/>
      <c r="BC816" s="2867"/>
      <c r="BD816" s="2867"/>
      <c r="BE816" s="2867"/>
      <c r="BF816" s="2867"/>
      <c r="BG816" s="2867"/>
      <c r="BH816" s="2867"/>
      <c r="BI816" s="2867"/>
      <c r="BJ816" s="2867"/>
      <c r="BK816" s="2867"/>
      <c r="BL816" s="2867"/>
      <c r="BM816" s="2867"/>
      <c r="BN816" s="2867"/>
      <c r="BO816" s="2867"/>
      <c r="BP816" s="2867"/>
      <c r="BQ816" s="2867"/>
      <c r="BR816" s="2867"/>
      <c r="BS816" s="2867"/>
      <c r="BT816" s="2867"/>
      <c r="BU816" s="2867"/>
      <c r="BV816" s="2867"/>
      <c r="BW816" s="2867"/>
      <c r="BX816" s="2867"/>
      <c r="BY816" s="2867"/>
      <c r="BZ816" s="2867"/>
      <c r="CA816" s="2867"/>
      <c r="CB816" s="2867"/>
      <c r="CC816" s="2867"/>
      <c r="CD816" s="2867"/>
      <c r="CE816" s="2867"/>
      <c r="CF816" s="2867"/>
      <c r="CG816" s="2867"/>
      <c r="CH816" s="2867"/>
      <c r="CI816" s="2867"/>
      <c r="CJ816" s="2867"/>
      <c r="CK816" s="2867"/>
      <c r="CL816" s="2867"/>
      <c r="CM816" s="2867"/>
      <c r="CN816" s="2867"/>
      <c r="CO816" s="2867"/>
      <c r="CP816" s="2867"/>
      <c r="CQ816" s="2867"/>
      <c r="CR816" s="2867"/>
      <c r="CS816" s="2867"/>
      <c r="CT816" s="2867"/>
      <c r="CU816" s="2867"/>
      <c r="CV816" s="2867"/>
      <c r="CW816" s="2867"/>
    </row>
    <row r="817" spans="1:101">
      <c r="A817" s="2867"/>
      <c r="B817" s="2867"/>
      <c r="C817" s="2867"/>
      <c r="D817" s="2867"/>
      <c r="E817" s="2867"/>
      <c r="F817" s="2867"/>
      <c r="G817" s="2867"/>
      <c r="H817" s="2867"/>
      <c r="I817" s="2867"/>
      <c r="J817" s="2867"/>
      <c r="K817" s="2867"/>
      <c r="L817" s="2867"/>
      <c r="M817" s="2867"/>
      <c r="O817" s="2867"/>
      <c r="P817" s="2867"/>
      <c r="Q817" s="2867"/>
      <c r="R817" s="2867"/>
      <c r="S817" s="2867"/>
      <c r="T817" s="2867"/>
      <c r="U817" s="2867"/>
      <c r="V817" s="2867"/>
      <c r="W817" s="2867"/>
      <c r="X817" s="2867"/>
      <c r="Y817" s="2867"/>
      <c r="Z817" s="2867"/>
      <c r="AA817" s="2867"/>
      <c r="AB817" s="2867"/>
      <c r="AC817" s="2867"/>
      <c r="AD817" s="2867"/>
      <c r="AE817" s="2867"/>
      <c r="AF817" s="2867"/>
      <c r="AG817" s="2867"/>
      <c r="AH817" s="2867"/>
      <c r="AI817" s="2867"/>
      <c r="AJ817" s="2867"/>
      <c r="AK817" s="2867"/>
      <c r="AL817" s="2867"/>
      <c r="AM817" s="2867"/>
      <c r="AN817" s="2867"/>
      <c r="AO817" s="2867"/>
      <c r="AP817" s="2867"/>
      <c r="AQ817" s="2867"/>
      <c r="AR817" s="2867"/>
      <c r="AS817" s="2867"/>
      <c r="AT817" s="2867"/>
      <c r="AU817" s="2867"/>
      <c r="AV817" s="2867"/>
      <c r="AW817" s="2867"/>
      <c r="AX817" s="2867"/>
      <c r="AY817" s="2867"/>
      <c r="AZ817" s="2867"/>
      <c r="BA817" s="2867"/>
      <c r="BB817" s="2867"/>
      <c r="BC817" s="2867"/>
      <c r="BD817" s="2867"/>
      <c r="BE817" s="2867"/>
      <c r="BF817" s="2867"/>
      <c r="BG817" s="2867"/>
      <c r="BH817" s="2867"/>
      <c r="BI817" s="2867"/>
      <c r="BJ817" s="2867"/>
      <c r="BK817" s="2867"/>
      <c r="BL817" s="2867"/>
      <c r="BM817" s="2867"/>
      <c r="BN817" s="2867"/>
      <c r="BO817" s="2867"/>
      <c r="BP817" s="2867"/>
      <c r="BQ817" s="2867"/>
      <c r="BR817" s="2867"/>
      <c r="BS817" s="2867"/>
      <c r="BT817" s="2867"/>
      <c r="BU817" s="2867"/>
      <c r="BV817" s="2867"/>
      <c r="BW817" s="2867"/>
      <c r="BX817" s="2867"/>
      <c r="BY817" s="2867"/>
      <c r="BZ817" s="2867"/>
      <c r="CA817" s="2867"/>
      <c r="CB817" s="2867"/>
      <c r="CC817" s="2867"/>
      <c r="CD817" s="2867"/>
      <c r="CE817" s="2867"/>
      <c r="CF817" s="2867"/>
      <c r="CG817" s="2867"/>
      <c r="CH817" s="2867"/>
      <c r="CI817" s="2867"/>
      <c r="CJ817" s="2867"/>
      <c r="CK817" s="2867"/>
      <c r="CL817" s="2867"/>
      <c r="CM817" s="2867"/>
      <c r="CN817" s="2867"/>
      <c r="CO817" s="2867"/>
      <c r="CP817" s="2867"/>
      <c r="CQ817" s="2867"/>
      <c r="CR817" s="2867"/>
      <c r="CS817" s="2867"/>
      <c r="CT817" s="2867"/>
      <c r="CU817" s="2867"/>
      <c r="CV817" s="2867"/>
      <c r="CW817" s="2867"/>
    </row>
    <row r="818" spans="1:101">
      <c r="A818" s="2867"/>
      <c r="B818" s="2867"/>
      <c r="C818" s="2867"/>
      <c r="D818" s="2867"/>
      <c r="E818" s="2867"/>
      <c r="F818" s="2867"/>
      <c r="G818" s="2867"/>
      <c r="H818" s="2867"/>
      <c r="I818" s="2867"/>
      <c r="J818" s="2867"/>
      <c r="K818" s="2867"/>
      <c r="L818" s="2867"/>
      <c r="M818" s="2867"/>
      <c r="O818" s="2867"/>
      <c r="P818" s="2867"/>
      <c r="Q818" s="2867"/>
      <c r="R818" s="2867"/>
      <c r="S818" s="2867"/>
      <c r="T818" s="2867"/>
      <c r="U818" s="2867"/>
      <c r="V818" s="2867"/>
      <c r="W818" s="2867"/>
      <c r="X818" s="2867"/>
      <c r="Y818" s="2867"/>
      <c r="Z818" s="2867"/>
      <c r="AA818" s="2867"/>
      <c r="AB818" s="2867"/>
      <c r="AC818" s="2867"/>
      <c r="AD818" s="2867"/>
      <c r="AE818" s="2867"/>
      <c r="AF818" s="2867"/>
      <c r="AG818" s="2867"/>
      <c r="AH818" s="2867"/>
      <c r="AI818" s="2867"/>
      <c r="AJ818" s="2867"/>
      <c r="AK818" s="2867"/>
      <c r="AL818" s="2867"/>
      <c r="AM818" s="2867"/>
      <c r="AN818" s="2867"/>
      <c r="AO818" s="2867"/>
      <c r="AP818" s="2867"/>
      <c r="AQ818" s="2867"/>
      <c r="AR818" s="2867"/>
      <c r="AS818" s="2867"/>
      <c r="AT818" s="2867"/>
      <c r="AU818" s="2867"/>
      <c r="AV818" s="2867"/>
      <c r="AW818" s="2867"/>
      <c r="AX818" s="2867"/>
      <c r="AY818" s="2867"/>
      <c r="AZ818" s="2867"/>
      <c r="BA818" s="2867"/>
      <c r="BB818" s="2867"/>
      <c r="BC818" s="2867"/>
      <c r="BD818" s="2867"/>
      <c r="BE818" s="2867"/>
      <c r="BF818" s="2867"/>
      <c r="BG818" s="2867"/>
      <c r="BH818" s="2867"/>
      <c r="BI818" s="2867"/>
      <c r="BJ818" s="2867"/>
      <c r="BK818" s="2867"/>
      <c r="BL818" s="2867"/>
      <c r="BM818" s="2867"/>
      <c r="BN818" s="2867"/>
      <c r="BO818" s="2867"/>
      <c r="BP818" s="2867"/>
      <c r="BQ818" s="2867"/>
      <c r="BR818" s="2867"/>
      <c r="BS818" s="2867"/>
      <c r="BT818" s="2867"/>
      <c r="BU818" s="2867"/>
      <c r="BV818" s="2867"/>
      <c r="BW818" s="2867"/>
      <c r="BX818" s="2867"/>
      <c r="BY818" s="2867"/>
      <c r="BZ818" s="2867"/>
      <c r="CA818" s="2867"/>
      <c r="CB818" s="2867"/>
      <c r="CC818" s="2867"/>
      <c r="CD818" s="2867"/>
      <c r="CE818" s="2867"/>
      <c r="CF818" s="2867"/>
      <c r="CG818" s="2867"/>
      <c r="CH818" s="2867"/>
      <c r="CI818" s="2867"/>
      <c r="CJ818" s="2867"/>
      <c r="CK818" s="2867"/>
      <c r="CL818" s="2867"/>
      <c r="CM818" s="2867"/>
      <c r="CN818" s="2867"/>
      <c r="CO818" s="2867"/>
      <c r="CP818" s="2867"/>
      <c r="CQ818" s="2867"/>
      <c r="CR818" s="2867"/>
      <c r="CS818" s="2867"/>
      <c r="CT818" s="2867"/>
      <c r="CU818" s="2867"/>
      <c r="CV818" s="2867"/>
      <c r="CW818" s="2867"/>
    </row>
    <row r="819" spans="1:101">
      <c r="A819" s="2867"/>
      <c r="B819" s="2867"/>
      <c r="C819" s="2867"/>
      <c r="D819" s="2867"/>
      <c r="E819" s="2867"/>
      <c r="F819" s="2867"/>
      <c r="G819" s="2867"/>
      <c r="H819" s="2867"/>
      <c r="I819" s="2867"/>
      <c r="J819" s="2867"/>
      <c r="K819" s="2867"/>
      <c r="L819" s="2867"/>
      <c r="M819" s="2867"/>
      <c r="O819" s="2867"/>
      <c r="P819" s="2867"/>
      <c r="Q819" s="2867"/>
      <c r="R819" s="2867"/>
      <c r="S819" s="2867"/>
      <c r="T819" s="2867"/>
      <c r="U819" s="2867"/>
      <c r="V819" s="2867"/>
      <c r="W819" s="2867"/>
      <c r="X819" s="2867"/>
      <c r="Y819" s="2867"/>
      <c r="Z819" s="2867"/>
      <c r="AA819" s="2867"/>
      <c r="AB819" s="2867"/>
      <c r="AC819" s="2867"/>
      <c r="AD819" s="2867"/>
      <c r="AE819" s="2867"/>
      <c r="AF819" s="2867"/>
      <c r="AG819" s="2867"/>
      <c r="AH819" s="2867"/>
      <c r="AI819" s="2867"/>
      <c r="AJ819" s="2867"/>
      <c r="AK819" s="2867"/>
      <c r="AL819" s="2867"/>
      <c r="AM819" s="2867"/>
      <c r="AN819" s="2867"/>
      <c r="AO819" s="2867"/>
      <c r="AP819" s="2867"/>
      <c r="AQ819" s="2867"/>
      <c r="AR819" s="2867"/>
      <c r="AS819" s="2867"/>
      <c r="AT819" s="2867"/>
      <c r="AU819" s="2867"/>
      <c r="AV819" s="2867"/>
      <c r="AW819" s="2867"/>
      <c r="AX819" s="2867"/>
      <c r="AY819" s="2867"/>
      <c r="AZ819" s="2867"/>
      <c r="BA819" s="2867"/>
      <c r="BB819" s="2867"/>
      <c r="BC819" s="2867"/>
      <c r="BD819" s="2867"/>
      <c r="BE819" s="2867"/>
      <c r="BF819" s="2867"/>
      <c r="BG819" s="2867"/>
      <c r="BH819" s="2867"/>
      <c r="BI819" s="2867"/>
      <c r="BJ819" s="2867"/>
      <c r="BK819" s="2867"/>
      <c r="BL819" s="2867"/>
      <c r="BM819" s="2867"/>
      <c r="BN819" s="2867"/>
      <c r="BO819" s="2867"/>
      <c r="BP819" s="2867"/>
      <c r="BQ819" s="2867"/>
      <c r="BR819" s="2867"/>
      <c r="BS819" s="2867"/>
      <c r="BT819" s="2867"/>
      <c r="BU819" s="2867"/>
      <c r="BV819" s="2867"/>
      <c r="BW819" s="2867"/>
      <c r="BX819" s="2867"/>
      <c r="BY819" s="2867"/>
      <c r="BZ819" s="2867"/>
      <c r="CA819" s="2867"/>
      <c r="CB819" s="2867"/>
      <c r="CC819" s="2867"/>
      <c r="CD819" s="2867"/>
      <c r="CE819" s="2867"/>
      <c r="CF819" s="2867"/>
      <c r="CG819" s="2867"/>
      <c r="CH819" s="2867"/>
      <c r="CI819" s="2867"/>
      <c r="CJ819" s="2867"/>
      <c r="CK819" s="2867"/>
      <c r="CL819" s="2867"/>
      <c r="CM819" s="2867"/>
      <c r="CN819" s="2867"/>
      <c r="CO819" s="2867"/>
      <c r="CP819" s="2867"/>
      <c r="CQ819" s="2867"/>
      <c r="CR819" s="2867"/>
      <c r="CS819" s="2867"/>
      <c r="CT819" s="2867"/>
      <c r="CU819" s="2867"/>
      <c r="CV819" s="2867"/>
      <c r="CW819" s="2867"/>
    </row>
    <row r="820" spans="1:101">
      <c r="A820" s="2867"/>
      <c r="B820" s="2867"/>
      <c r="C820" s="2867"/>
      <c r="D820" s="2867"/>
      <c r="E820" s="2867"/>
      <c r="F820" s="2867"/>
      <c r="G820" s="2867"/>
      <c r="H820" s="2867"/>
      <c r="I820" s="2867"/>
      <c r="J820" s="2867"/>
      <c r="K820" s="2867"/>
      <c r="L820" s="2867"/>
      <c r="M820" s="2867"/>
      <c r="O820" s="2867"/>
      <c r="P820" s="2867"/>
      <c r="Q820" s="2867"/>
      <c r="R820" s="2867"/>
      <c r="S820" s="2867"/>
      <c r="T820" s="2867"/>
      <c r="U820" s="2867"/>
      <c r="V820" s="2867"/>
      <c r="W820" s="2867"/>
      <c r="X820" s="2867"/>
      <c r="Y820" s="2867"/>
      <c r="Z820" s="2867"/>
      <c r="AA820" s="2867"/>
      <c r="AB820" s="2867"/>
      <c r="AC820" s="2867"/>
      <c r="AD820" s="2867"/>
      <c r="AE820" s="2867"/>
      <c r="AF820" s="2867"/>
      <c r="AG820" s="2867"/>
      <c r="AH820" s="2867"/>
      <c r="AI820" s="2867"/>
      <c r="AJ820" s="2867"/>
      <c r="AK820" s="2867"/>
      <c r="AL820" s="2867"/>
      <c r="AM820" s="2867"/>
      <c r="AN820" s="2867"/>
      <c r="AO820" s="2867"/>
      <c r="AP820" s="2867"/>
      <c r="AQ820" s="2867"/>
      <c r="AR820" s="2867"/>
      <c r="AS820" s="2867"/>
      <c r="AT820" s="2867"/>
      <c r="AU820" s="2867"/>
      <c r="AV820" s="2867"/>
      <c r="AW820" s="2867"/>
      <c r="AX820" s="2867"/>
      <c r="AY820" s="2867"/>
      <c r="AZ820" s="2867"/>
      <c r="BA820" s="2867"/>
      <c r="BB820" s="2867"/>
      <c r="BC820" s="2867"/>
      <c r="BD820" s="2867"/>
      <c r="BE820" s="2867"/>
      <c r="BF820" s="2867"/>
      <c r="BG820" s="2867"/>
      <c r="BH820" s="2867"/>
      <c r="BI820" s="2867"/>
      <c r="BJ820" s="2867"/>
      <c r="BK820" s="2867"/>
      <c r="BL820" s="2867"/>
      <c r="BM820" s="2867"/>
      <c r="BN820" s="2867"/>
      <c r="BO820" s="2867"/>
      <c r="BP820" s="2867"/>
      <c r="BQ820" s="2867"/>
      <c r="BR820" s="2867"/>
      <c r="BS820" s="2867"/>
      <c r="BT820" s="2867"/>
      <c r="BU820" s="2867"/>
      <c r="BV820" s="2867"/>
      <c r="BW820" s="2867"/>
      <c r="BX820" s="2867"/>
      <c r="BY820" s="2867"/>
      <c r="BZ820" s="2867"/>
      <c r="CA820" s="2867"/>
      <c r="CB820" s="2867"/>
      <c r="CC820" s="2867"/>
      <c r="CD820" s="2867"/>
      <c r="CE820" s="2867"/>
      <c r="CF820" s="2867"/>
      <c r="CG820" s="2867"/>
      <c r="CH820" s="2867"/>
      <c r="CI820" s="2867"/>
      <c r="CJ820" s="2867"/>
      <c r="CK820" s="2867"/>
      <c r="CL820" s="2867"/>
      <c r="CM820" s="2867"/>
      <c r="CN820" s="2867"/>
      <c r="CO820" s="2867"/>
      <c r="CP820" s="2867"/>
      <c r="CQ820" s="2867"/>
      <c r="CR820" s="2867"/>
      <c r="CS820" s="2867"/>
      <c r="CT820" s="2867"/>
      <c r="CU820" s="2867"/>
      <c r="CV820" s="2867"/>
      <c r="CW820" s="2867"/>
    </row>
    <row r="821" spans="1:101">
      <c r="A821" s="2867"/>
      <c r="B821" s="2867"/>
      <c r="C821" s="2867"/>
      <c r="D821" s="2867"/>
      <c r="E821" s="2867"/>
      <c r="F821" s="2867"/>
      <c r="G821" s="2867"/>
      <c r="H821" s="2867"/>
      <c r="I821" s="2867"/>
      <c r="J821" s="2867"/>
      <c r="K821" s="2867"/>
      <c r="L821" s="2867"/>
      <c r="M821" s="2867"/>
      <c r="O821" s="2867"/>
      <c r="P821" s="2867"/>
      <c r="Q821" s="2867"/>
      <c r="R821" s="2867"/>
      <c r="S821" s="2867"/>
      <c r="T821" s="2867"/>
      <c r="U821" s="2867"/>
      <c r="V821" s="2867"/>
      <c r="W821" s="2867"/>
      <c r="X821" s="2867"/>
      <c r="Y821" s="2867"/>
      <c r="Z821" s="2867"/>
      <c r="AA821" s="2867"/>
      <c r="AB821" s="2867"/>
      <c r="AC821" s="2867"/>
      <c r="AD821" s="2867"/>
      <c r="AE821" s="2867"/>
      <c r="AF821" s="2867"/>
      <c r="AG821" s="2867"/>
      <c r="AH821" s="2867"/>
      <c r="AI821" s="2867"/>
      <c r="AJ821" s="2867"/>
      <c r="AK821" s="2867"/>
      <c r="AL821" s="2867"/>
      <c r="AM821" s="2867"/>
      <c r="AN821" s="2867"/>
      <c r="AO821" s="2867"/>
      <c r="AP821" s="2867"/>
      <c r="AQ821" s="2867"/>
      <c r="AR821" s="2867"/>
      <c r="AS821" s="2867"/>
      <c r="AT821" s="2867"/>
      <c r="AU821" s="2867"/>
      <c r="AV821" s="2867"/>
      <c r="AW821" s="2867"/>
      <c r="AX821" s="2867"/>
      <c r="AY821" s="2867"/>
      <c r="AZ821" s="2867"/>
      <c r="BA821" s="2867"/>
      <c r="BB821" s="2867"/>
      <c r="BC821" s="2867"/>
      <c r="BD821" s="2867"/>
      <c r="BE821" s="2867"/>
      <c r="BF821" s="2867"/>
      <c r="BG821" s="2867"/>
      <c r="BH821" s="2867"/>
      <c r="BI821" s="2867"/>
      <c r="BJ821" s="2867"/>
      <c r="BK821" s="2867"/>
      <c r="BL821" s="2867"/>
      <c r="BM821" s="2867"/>
      <c r="BN821" s="2867"/>
      <c r="BO821" s="2867"/>
      <c r="BP821" s="2867"/>
      <c r="BQ821" s="2867"/>
      <c r="BR821" s="2867"/>
      <c r="BS821" s="2867"/>
      <c r="BT821" s="2867"/>
      <c r="BU821" s="2867"/>
      <c r="BV821" s="2867"/>
      <c r="BW821" s="2867"/>
      <c r="BX821" s="2867"/>
      <c r="BY821" s="2867"/>
      <c r="BZ821" s="2867"/>
      <c r="CA821" s="2867"/>
      <c r="CB821" s="2867"/>
      <c r="CC821" s="2867"/>
      <c r="CD821" s="2867"/>
      <c r="CE821" s="2867"/>
      <c r="CF821" s="2867"/>
      <c r="CG821" s="2867"/>
      <c r="CH821" s="2867"/>
      <c r="CI821" s="2867"/>
      <c r="CJ821" s="2867"/>
      <c r="CK821" s="2867"/>
      <c r="CL821" s="2867"/>
      <c r="CM821" s="2867"/>
      <c r="CN821" s="2867"/>
      <c r="CO821" s="2867"/>
      <c r="CP821" s="2867"/>
      <c r="CQ821" s="2867"/>
      <c r="CR821" s="2867"/>
      <c r="CS821" s="2867"/>
      <c r="CT821" s="2867"/>
      <c r="CU821" s="2867"/>
      <c r="CV821" s="2867"/>
      <c r="CW821" s="2867"/>
    </row>
    <row r="822" spans="1:101">
      <c r="A822" s="2867"/>
      <c r="B822" s="2867"/>
      <c r="C822" s="2867"/>
      <c r="D822" s="2867"/>
      <c r="E822" s="2867"/>
      <c r="F822" s="2867"/>
      <c r="G822" s="2867"/>
      <c r="H822" s="2867"/>
      <c r="I822" s="2867"/>
      <c r="J822" s="2867"/>
      <c r="K822" s="2867"/>
      <c r="L822" s="2867"/>
      <c r="M822" s="2867"/>
      <c r="O822" s="2867"/>
      <c r="P822" s="2867"/>
      <c r="Q822" s="2867"/>
      <c r="R822" s="2867"/>
      <c r="S822" s="2867"/>
      <c r="T822" s="2867"/>
      <c r="U822" s="2867"/>
      <c r="V822" s="2867"/>
      <c r="W822" s="2867"/>
      <c r="X822" s="2867"/>
      <c r="Y822" s="2867"/>
      <c r="Z822" s="2867"/>
      <c r="AA822" s="2867"/>
      <c r="AB822" s="2867"/>
      <c r="AC822" s="2867"/>
      <c r="AD822" s="2867"/>
      <c r="AE822" s="2867"/>
      <c r="AF822" s="2867"/>
      <c r="AG822" s="2867"/>
      <c r="AH822" s="2867"/>
      <c r="AI822" s="2867"/>
      <c r="AJ822" s="2867"/>
      <c r="AK822" s="2867"/>
      <c r="AL822" s="2867"/>
      <c r="AM822" s="2867"/>
      <c r="AN822" s="2867"/>
      <c r="AO822" s="2867"/>
      <c r="AP822" s="2867"/>
      <c r="AQ822" s="2867"/>
      <c r="AR822" s="2867"/>
      <c r="AS822" s="2867"/>
      <c r="AT822" s="2867"/>
      <c r="AU822" s="2867"/>
      <c r="AV822" s="2867"/>
      <c r="AW822" s="2867"/>
      <c r="AX822" s="2867"/>
      <c r="AY822" s="2867"/>
      <c r="AZ822" s="2867"/>
      <c r="BA822" s="2867"/>
      <c r="BB822" s="2867"/>
      <c r="BC822" s="2867"/>
      <c r="BD822" s="2867"/>
      <c r="BE822" s="2867"/>
      <c r="BF822" s="2867"/>
      <c r="BG822" s="2867"/>
      <c r="BH822" s="2867"/>
      <c r="BI822" s="2867"/>
      <c r="BJ822" s="2867"/>
      <c r="BK822" s="2867"/>
      <c r="BL822" s="2867"/>
      <c r="BM822" s="2867"/>
      <c r="BN822" s="2867"/>
      <c r="BO822" s="2867"/>
      <c r="BP822" s="2867"/>
      <c r="BQ822" s="2867"/>
      <c r="BR822" s="2867"/>
      <c r="BS822" s="2867"/>
      <c r="BT822" s="2867"/>
      <c r="BU822" s="2867"/>
      <c r="BV822" s="2867"/>
      <c r="BW822" s="2867"/>
      <c r="BX822" s="2867"/>
      <c r="BY822" s="2867"/>
      <c r="BZ822" s="2867"/>
      <c r="CA822" s="2867"/>
      <c r="CB822" s="2867"/>
      <c r="CC822" s="2867"/>
      <c r="CD822" s="2867"/>
      <c r="CE822" s="2867"/>
      <c r="CF822" s="2867"/>
      <c r="CG822" s="2867"/>
      <c r="CH822" s="2867"/>
      <c r="CI822" s="2867"/>
      <c r="CJ822" s="2867"/>
      <c r="CK822" s="2867"/>
      <c r="CL822" s="2867"/>
      <c r="CM822" s="2867"/>
      <c r="CN822" s="2867"/>
      <c r="CO822" s="2867"/>
      <c r="CP822" s="2867"/>
      <c r="CQ822" s="2867"/>
      <c r="CR822" s="2867"/>
      <c r="CS822" s="2867"/>
      <c r="CT822" s="2867"/>
      <c r="CU822" s="2867"/>
      <c r="CV822" s="2867"/>
      <c r="CW822" s="2867"/>
    </row>
    <row r="823" spans="1:101">
      <c r="A823" s="2867"/>
      <c r="B823" s="2867"/>
      <c r="C823" s="2867"/>
      <c r="D823" s="2867"/>
      <c r="E823" s="2867"/>
      <c r="F823" s="2867"/>
      <c r="G823" s="2867"/>
      <c r="H823" s="2867"/>
      <c r="I823" s="2867"/>
      <c r="J823" s="2867"/>
      <c r="K823" s="2867"/>
      <c r="L823" s="2867"/>
      <c r="M823" s="2867"/>
      <c r="O823" s="2867"/>
      <c r="P823" s="2867"/>
      <c r="Q823" s="2867"/>
      <c r="R823" s="2867"/>
      <c r="S823" s="2867"/>
      <c r="T823" s="2867"/>
      <c r="U823" s="2867"/>
      <c r="V823" s="2867"/>
      <c r="W823" s="2867"/>
      <c r="X823" s="2867"/>
      <c r="Y823" s="2867"/>
      <c r="Z823" s="2867"/>
      <c r="AA823" s="2867"/>
      <c r="AB823" s="2867"/>
      <c r="AC823" s="2867"/>
      <c r="AD823" s="2867"/>
      <c r="AE823" s="2867"/>
      <c r="AF823" s="2867"/>
      <c r="AG823" s="2867"/>
      <c r="AH823" s="2867"/>
      <c r="AI823" s="2867"/>
      <c r="AJ823" s="2867"/>
      <c r="AK823" s="2867"/>
      <c r="AL823" s="2867"/>
      <c r="AM823" s="2867"/>
      <c r="AN823" s="2867"/>
      <c r="AO823" s="2867"/>
      <c r="AP823" s="2867"/>
      <c r="AQ823" s="2867"/>
      <c r="AR823" s="2867"/>
      <c r="AS823" s="2867"/>
      <c r="AT823" s="2867"/>
      <c r="AU823" s="2867"/>
      <c r="AV823" s="2867"/>
      <c r="AW823" s="2867"/>
      <c r="AX823" s="2867"/>
      <c r="AY823" s="2867"/>
      <c r="AZ823" s="2867"/>
      <c r="BA823" s="2867"/>
      <c r="BB823" s="2867"/>
      <c r="BC823" s="2867"/>
      <c r="BD823" s="2867"/>
      <c r="BE823" s="2867"/>
      <c r="BF823" s="2867"/>
      <c r="BG823" s="2867"/>
      <c r="BH823" s="2867"/>
      <c r="BI823" s="2867"/>
      <c r="BJ823" s="2867"/>
      <c r="BK823" s="2867"/>
      <c r="BL823" s="2867"/>
      <c r="BM823" s="2867"/>
      <c r="BN823" s="2867"/>
      <c r="BO823" s="2867"/>
      <c r="BP823" s="2867"/>
      <c r="BQ823" s="2867"/>
      <c r="BR823" s="2867"/>
      <c r="BS823" s="2867"/>
      <c r="BT823" s="2867"/>
      <c r="BU823" s="2867"/>
      <c r="BV823" s="2867"/>
      <c r="BW823" s="2867"/>
      <c r="BX823" s="2867"/>
      <c r="BY823" s="2867"/>
      <c r="BZ823" s="2867"/>
      <c r="CA823" s="2867"/>
      <c r="CB823" s="2867"/>
      <c r="CC823" s="2867"/>
      <c r="CD823" s="2867"/>
      <c r="CE823" s="2867"/>
      <c r="CF823" s="2867"/>
      <c r="CG823" s="2867"/>
      <c r="CH823" s="2867"/>
      <c r="CI823" s="2867"/>
      <c r="CJ823" s="2867"/>
      <c r="CK823" s="2867"/>
      <c r="CL823" s="2867"/>
      <c r="CM823" s="2867"/>
      <c r="CN823" s="2867"/>
      <c r="CO823" s="2867"/>
      <c r="CP823" s="2867"/>
      <c r="CQ823" s="2867"/>
      <c r="CR823" s="2867"/>
      <c r="CS823" s="2867"/>
      <c r="CT823" s="2867"/>
      <c r="CU823" s="2867"/>
      <c r="CV823" s="2867"/>
      <c r="CW823" s="2867"/>
    </row>
    <row r="824" spans="1:101">
      <c r="A824" s="2867"/>
      <c r="B824" s="2867"/>
      <c r="C824" s="2867"/>
      <c r="D824" s="2867"/>
      <c r="E824" s="2867"/>
      <c r="F824" s="2867"/>
      <c r="G824" s="2867"/>
      <c r="H824" s="2867"/>
      <c r="I824" s="2867"/>
      <c r="J824" s="2867"/>
      <c r="K824" s="2867"/>
      <c r="L824" s="2867"/>
      <c r="M824" s="2867"/>
      <c r="O824" s="2867"/>
      <c r="P824" s="2867"/>
      <c r="Q824" s="2867"/>
      <c r="R824" s="2867"/>
      <c r="S824" s="2867"/>
      <c r="T824" s="2867"/>
      <c r="U824" s="2867"/>
      <c r="V824" s="2867"/>
      <c r="W824" s="2867"/>
      <c r="X824" s="2867"/>
      <c r="Y824" s="2867"/>
      <c r="Z824" s="2867"/>
      <c r="AA824" s="2867"/>
      <c r="AB824" s="2867"/>
      <c r="AC824" s="2867"/>
      <c r="AD824" s="2867"/>
      <c r="AE824" s="2867"/>
      <c r="AF824" s="2867"/>
      <c r="AG824" s="2867"/>
      <c r="AH824" s="2867"/>
      <c r="AI824" s="2867"/>
      <c r="AJ824" s="2867"/>
      <c r="AK824" s="2867"/>
      <c r="AL824" s="2867"/>
      <c r="AM824" s="2867"/>
      <c r="AN824" s="2867"/>
      <c r="AO824" s="2867"/>
      <c r="AP824" s="2867"/>
      <c r="AQ824" s="2867"/>
      <c r="AR824" s="2867"/>
      <c r="AS824" s="2867"/>
      <c r="AT824" s="2867"/>
      <c r="AU824" s="2867"/>
      <c r="AV824" s="2867"/>
      <c r="AW824" s="2867"/>
      <c r="AX824" s="2867"/>
      <c r="AY824" s="2867"/>
      <c r="AZ824" s="2867"/>
      <c r="BA824" s="2867"/>
      <c r="BB824" s="2867"/>
      <c r="BC824" s="2867"/>
      <c r="BD824" s="2867"/>
      <c r="BE824" s="2867"/>
      <c r="BF824" s="2867"/>
      <c r="BG824" s="2867"/>
      <c r="BH824" s="2867"/>
      <c r="BI824" s="2867"/>
      <c r="BJ824" s="2867"/>
      <c r="BK824" s="2867"/>
      <c r="BL824" s="2867"/>
      <c r="BM824" s="2867"/>
      <c r="BN824" s="2867"/>
      <c r="BO824" s="2867"/>
      <c r="BP824" s="2867"/>
      <c r="BQ824" s="2867"/>
      <c r="BR824" s="2867"/>
      <c r="BS824" s="2867"/>
      <c r="BT824" s="2867"/>
      <c r="BU824" s="2867"/>
      <c r="BV824" s="2867"/>
      <c r="BW824" s="2867"/>
      <c r="BX824" s="2867"/>
      <c r="BY824" s="2867"/>
      <c r="BZ824" s="2867"/>
      <c r="CA824" s="2867"/>
      <c r="CB824" s="2867"/>
      <c r="CC824" s="2867"/>
      <c r="CD824" s="2867"/>
      <c r="CE824" s="2867"/>
      <c r="CF824" s="2867"/>
      <c r="CG824" s="2867"/>
      <c r="CH824" s="2867"/>
      <c r="CI824" s="2867"/>
      <c r="CJ824" s="2867"/>
      <c r="CK824" s="2867"/>
      <c r="CL824" s="2867"/>
      <c r="CM824" s="2867"/>
      <c r="CN824" s="2867"/>
      <c r="CO824" s="2867"/>
      <c r="CP824" s="2867"/>
      <c r="CQ824" s="2867"/>
      <c r="CR824" s="2867"/>
      <c r="CS824" s="2867"/>
      <c r="CT824" s="2867"/>
      <c r="CU824" s="2867"/>
      <c r="CV824" s="2867"/>
      <c r="CW824" s="2867"/>
    </row>
    <row r="825" spans="1:101">
      <c r="A825" s="2867"/>
      <c r="B825" s="2867"/>
      <c r="C825" s="2867"/>
      <c r="D825" s="2867"/>
      <c r="E825" s="2867"/>
      <c r="F825" s="2867"/>
      <c r="G825" s="2867"/>
      <c r="H825" s="2867"/>
      <c r="I825" s="2867"/>
      <c r="J825" s="2867"/>
      <c r="K825" s="2867"/>
      <c r="L825" s="2867"/>
      <c r="M825" s="2867"/>
      <c r="O825" s="2867"/>
      <c r="P825" s="2867"/>
      <c r="Q825" s="2867"/>
      <c r="R825" s="2867"/>
      <c r="S825" s="2867"/>
      <c r="T825" s="2867"/>
      <c r="U825" s="2867"/>
      <c r="V825" s="2867"/>
      <c r="W825" s="2867"/>
      <c r="X825" s="2867"/>
      <c r="Y825" s="2867"/>
      <c r="Z825" s="2867"/>
      <c r="AA825" s="2867"/>
      <c r="AB825" s="2867"/>
      <c r="AC825" s="2867"/>
      <c r="AD825" s="2867"/>
      <c r="AE825" s="2867"/>
      <c r="AF825" s="2867"/>
      <c r="AG825" s="2867"/>
      <c r="AH825" s="2867"/>
      <c r="AI825" s="2867"/>
      <c r="AJ825" s="2867"/>
      <c r="AK825" s="2867"/>
      <c r="AL825" s="2867"/>
      <c r="AM825" s="2867"/>
      <c r="AN825" s="2867"/>
      <c r="AO825" s="2867"/>
      <c r="AP825" s="2867"/>
      <c r="AQ825" s="2867"/>
      <c r="AR825" s="2867"/>
      <c r="AS825" s="2867"/>
      <c r="AT825" s="2867"/>
      <c r="AU825" s="2867"/>
      <c r="AV825" s="2867"/>
      <c r="AW825" s="2867"/>
      <c r="AX825" s="2867"/>
      <c r="AY825" s="2867"/>
      <c r="AZ825" s="2867"/>
      <c r="BA825" s="2867"/>
      <c r="BB825" s="2867"/>
      <c r="BC825" s="2867"/>
      <c r="BD825" s="2867"/>
      <c r="BE825" s="2867"/>
      <c r="BF825" s="2867"/>
      <c r="BG825" s="2867"/>
      <c r="BH825" s="2867"/>
      <c r="BI825" s="2867"/>
      <c r="BJ825" s="2867"/>
      <c r="BK825" s="2867"/>
      <c r="BL825" s="2867"/>
      <c r="BM825" s="2867"/>
      <c r="BN825" s="2867"/>
      <c r="BO825" s="2867"/>
      <c r="BP825" s="2867"/>
      <c r="BQ825" s="2867"/>
      <c r="BR825" s="2867"/>
      <c r="BS825" s="2867"/>
      <c r="BT825" s="2867"/>
      <c r="BU825" s="2867"/>
      <c r="BV825" s="2867"/>
      <c r="BW825" s="2867"/>
      <c r="BX825" s="2867"/>
      <c r="BY825" s="2867"/>
      <c r="BZ825" s="2867"/>
      <c r="CA825" s="2867"/>
      <c r="CB825" s="2867"/>
      <c r="CC825" s="2867"/>
      <c r="CD825" s="2867"/>
      <c r="CE825" s="2867"/>
      <c r="CF825" s="2867"/>
      <c r="CG825" s="2867"/>
      <c r="CH825" s="2867"/>
      <c r="CI825" s="2867"/>
      <c r="CJ825" s="2867"/>
      <c r="CK825" s="2867"/>
      <c r="CL825" s="2867"/>
      <c r="CM825" s="2867"/>
      <c r="CN825" s="2867"/>
      <c r="CO825" s="2867"/>
      <c r="CP825" s="2867"/>
      <c r="CQ825" s="2867"/>
      <c r="CR825" s="2867"/>
      <c r="CS825" s="2867"/>
      <c r="CT825" s="2867"/>
      <c r="CU825" s="2867"/>
      <c r="CV825" s="2867"/>
      <c r="CW825" s="2867"/>
    </row>
    <row r="826" spans="1:101">
      <c r="A826" s="2867"/>
      <c r="B826" s="2867"/>
      <c r="C826" s="2867"/>
      <c r="D826" s="2867"/>
      <c r="E826" s="2867"/>
      <c r="F826" s="2867"/>
      <c r="G826" s="2867"/>
      <c r="H826" s="2867"/>
      <c r="I826" s="2867"/>
      <c r="J826" s="2867"/>
      <c r="K826" s="2867"/>
      <c r="L826" s="2867"/>
      <c r="M826" s="2867"/>
      <c r="O826" s="2867"/>
      <c r="P826" s="2867"/>
      <c r="Q826" s="2867"/>
      <c r="R826" s="2867"/>
      <c r="S826" s="2867"/>
      <c r="T826" s="2867"/>
      <c r="U826" s="2867"/>
      <c r="V826" s="2867"/>
      <c r="W826" s="2867"/>
      <c r="X826" s="2867"/>
      <c r="Y826" s="2867"/>
      <c r="Z826" s="2867"/>
      <c r="AA826" s="2867"/>
      <c r="AB826" s="2867"/>
      <c r="AC826" s="2867"/>
      <c r="AD826" s="2867"/>
      <c r="AE826" s="2867"/>
      <c r="AF826" s="2867"/>
      <c r="AG826" s="2867"/>
      <c r="AH826" s="2867"/>
      <c r="AI826" s="2867"/>
      <c r="AJ826" s="2867"/>
      <c r="AK826" s="2867"/>
      <c r="AL826" s="2867"/>
      <c r="AM826" s="2867"/>
      <c r="AN826" s="2867"/>
      <c r="AO826" s="2867"/>
      <c r="AP826" s="2867"/>
      <c r="AQ826" s="2867"/>
      <c r="AR826" s="2867"/>
      <c r="AS826" s="2867"/>
      <c r="AT826" s="2867"/>
      <c r="AU826" s="2867"/>
      <c r="AV826" s="2867"/>
      <c r="AW826" s="2867"/>
      <c r="AX826" s="2867"/>
      <c r="AY826" s="2867"/>
      <c r="AZ826" s="2867"/>
      <c r="BA826" s="2867"/>
      <c r="BB826" s="2867"/>
      <c r="BC826" s="2867"/>
      <c r="BD826" s="2867"/>
      <c r="BE826" s="2867"/>
      <c r="BF826" s="2867"/>
      <c r="BG826" s="2867"/>
      <c r="BH826" s="2867"/>
      <c r="BI826" s="2867"/>
      <c r="BJ826" s="2867"/>
      <c r="BK826" s="2867"/>
      <c r="BL826" s="2867"/>
      <c r="BM826" s="2867"/>
      <c r="BN826" s="2867"/>
      <c r="BO826" s="2867"/>
      <c r="BP826" s="2867"/>
      <c r="BQ826" s="2867"/>
      <c r="BR826" s="2867"/>
      <c r="BS826" s="2867"/>
      <c r="BT826" s="2867"/>
      <c r="BU826" s="2867"/>
      <c r="BV826" s="2867"/>
      <c r="BW826" s="2867"/>
      <c r="BX826" s="2867"/>
      <c r="BY826" s="2867"/>
      <c r="BZ826" s="2867"/>
      <c r="CA826" s="2867"/>
      <c r="CB826" s="2867"/>
      <c r="CC826" s="2867"/>
      <c r="CD826" s="2867"/>
      <c r="CE826" s="2867"/>
      <c r="CF826" s="2867"/>
      <c r="CG826" s="2867"/>
      <c r="CH826" s="2867"/>
      <c r="CI826" s="2867"/>
      <c r="CJ826" s="2867"/>
      <c r="CK826" s="2867"/>
      <c r="CL826" s="2867"/>
      <c r="CM826" s="2867"/>
      <c r="CN826" s="2867"/>
      <c r="CO826" s="2867"/>
      <c r="CP826" s="2867"/>
      <c r="CQ826" s="2867"/>
      <c r="CR826" s="2867"/>
      <c r="CS826" s="2867"/>
      <c r="CT826" s="2867"/>
      <c r="CU826" s="2867"/>
      <c r="CV826" s="2867"/>
      <c r="CW826" s="2867"/>
    </row>
    <row r="827" spans="1:101">
      <c r="A827" s="2867"/>
      <c r="B827" s="2867"/>
      <c r="C827" s="2867"/>
      <c r="D827" s="2867"/>
      <c r="E827" s="2867"/>
      <c r="F827" s="2867"/>
      <c r="G827" s="2867"/>
      <c r="H827" s="2867"/>
      <c r="I827" s="2867"/>
      <c r="J827" s="2867"/>
      <c r="K827" s="2867"/>
      <c r="L827" s="2867"/>
      <c r="M827" s="2867"/>
      <c r="O827" s="2867"/>
      <c r="P827" s="2867"/>
      <c r="Q827" s="2867"/>
      <c r="R827" s="2867"/>
      <c r="S827" s="2867"/>
      <c r="T827" s="2867"/>
      <c r="U827" s="2867"/>
      <c r="V827" s="2867"/>
      <c r="W827" s="2867"/>
      <c r="X827" s="2867"/>
      <c r="Y827" s="2867"/>
      <c r="Z827" s="2867"/>
      <c r="AA827" s="2867"/>
      <c r="AB827" s="2867"/>
      <c r="AC827" s="2867"/>
      <c r="AD827" s="2867"/>
      <c r="AE827" s="2867"/>
      <c r="AF827" s="2867"/>
      <c r="AG827" s="2867"/>
      <c r="AH827" s="2867"/>
      <c r="AI827" s="2867"/>
      <c r="AJ827" s="2867"/>
      <c r="AK827" s="2867"/>
      <c r="AL827" s="2867"/>
      <c r="AM827" s="2867"/>
      <c r="AN827" s="2867"/>
      <c r="AO827" s="2867"/>
      <c r="AP827" s="2867"/>
      <c r="AQ827" s="2867"/>
      <c r="AR827" s="2867"/>
      <c r="AS827" s="2867"/>
      <c r="AT827" s="2867"/>
      <c r="AU827" s="2867"/>
      <c r="AV827" s="2867"/>
      <c r="AW827" s="2867"/>
      <c r="AX827" s="2867"/>
      <c r="AY827" s="2867"/>
      <c r="AZ827" s="2867"/>
      <c r="BA827" s="2867"/>
      <c r="BB827" s="2867"/>
      <c r="BC827" s="2867"/>
      <c r="BD827" s="2867"/>
      <c r="BE827" s="2867"/>
      <c r="BF827" s="2867"/>
      <c r="BG827" s="2867"/>
      <c r="BH827" s="2867"/>
      <c r="BI827" s="2867"/>
      <c r="BJ827" s="2867"/>
      <c r="BK827" s="2867"/>
      <c r="BL827" s="2867"/>
      <c r="BM827" s="2867"/>
      <c r="BN827" s="2867"/>
      <c r="BO827" s="2867"/>
      <c r="BP827" s="2867"/>
      <c r="BQ827" s="2867"/>
      <c r="BR827" s="2867"/>
      <c r="BS827" s="2867"/>
      <c r="BT827" s="2867"/>
      <c r="BU827" s="2867"/>
      <c r="BV827" s="2867"/>
      <c r="BW827" s="2867"/>
      <c r="BX827" s="2867"/>
      <c r="BY827" s="2867"/>
      <c r="BZ827" s="2867"/>
      <c r="CA827" s="2867"/>
      <c r="CB827" s="2867"/>
      <c r="CC827" s="2867"/>
      <c r="CD827" s="2867"/>
      <c r="CE827" s="2867"/>
      <c r="CF827" s="2867"/>
      <c r="CG827" s="2867"/>
      <c r="CH827" s="2867"/>
      <c r="CI827" s="2867"/>
      <c r="CJ827" s="2867"/>
      <c r="CK827" s="2867"/>
      <c r="CL827" s="2867"/>
      <c r="CM827" s="2867"/>
      <c r="CN827" s="2867"/>
      <c r="CO827" s="2867"/>
      <c r="CP827" s="2867"/>
      <c r="CQ827" s="2867"/>
      <c r="CR827" s="2867"/>
      <c r="CS827" s="2867"/>
      <c r="CT827" s="2867"/>
      <c r="CU827" s="2867"/>
      <c r="CV827" s="2867"/>
      <c r="CW827" s="2867"/>
    </row>
    <row r="828" spans="1:101">
      <c r="A828" s="2867"/>
      <c r="B828" s="2867"/>
      <c r="C828" s="2867"/>
      <c r="D828" s="2867"/>
      <c r="E828" s="2867"/>
      <c r="F828" s="2867"/>
      <c r="G828" s="2867"/>
      <c r="H828" s="2867"/>
      <c r="I828" s="2867"/>
      <c r="J828" s="2867"/>
      <c r="K828" s="2867"/>
      <c r="L828" s="2867"/>
      <c r="M828" s="2867"/>
      <c r="O828" s="2867"/>
      <c r="P828" s="2867"/>
      <c r="Q828" s="2867"/>
      <c r="R828" s="2867"/>
      <c r="S828" s="2867"/>
      <c r="T828" s="2867"/>
      <c r="U828" s="2867"/>
      <c r="V828" s="2867"/>
      <c r="W828" s="2867"/>
      <c r="X828" s="2867"/>
      <c r="Y828" s="2867"/>
      <c r="Z828" s="2867"/>
      <c r="AA828" s="2867"/>
      <c r="AB828" s="2867"/>
      <c r="AC828" s="2867"/>
      <c r="AD828" s="2867"/>
      <c r="AE828" s="2867"/>
      <c r="AF828" s="2867"/>
      <c r="AG828" s="2867"/>
      <c r="AH828" s="2867"/>
      <c r="AI828" s="2867"/>
      <c r="AJ828" s="2867"/>
      <c r="AK828" s="2867"/>
      <c r="AL828" s="2867"/>
      <c r="AM828" s="2867"/>
      <c r="AN828" s="2867"/>
      <c r="AO828" s="2867"/>
      <c r="AP828" s="2867"/>
      <c r="AQ828" s="2867"/>
      <c r="AR828" s="2867"/>
      <c r="AS828" s="2867"/>
      <c r="AT828" s="2867"/>
      <c r="AU828" s="2867"/>
      <c r="AV828" s="2867"/>
      <c r="AW828" s="2867"/>
      <c r="AX828" s="2867"/>
      <c r="AY828" s="2867"/>
      <c r="AZ828" s="2867"/>
      <c r="BA828" s="2867"/>
      <c r="BB828" s="2867"/>
      <c r="BC828" s="2867"/>
      <c r="BD828" s="2867"/>
      <c r="BE828" s="2867"/>
      <c r="BF828" s="2867"/>
      <c r="BG828" s="2867"/>
      <c r="BH828" s="2867"/>
      <c r="BI828" s="2867"/>
      <c r="BJ828" s="2867"/>
      <c r="BK828" s="2867"/>
      <c r="BL828" s="2867"/>
      <c r="BM828" s="2867"/>
      <c r="BN828" s="2867"/>
      <c r="BO828" s="2867"/>
      <c r="BP828" s="2867"/>
      <c r="BQ828" s="2867"/>
      <c r="BR828" s="2867"/>
      <c r="BS828" s="2867"/>
      <c r="BT828" s="2867"/>
      <c r="BU828" s="2867"/>
      <c r="BV828" s="2867"/>
      <c r="BW828" s="2867"/>
      <c r="BX828" s="2867"/>
      <c r="BY828" s="2867"/>
      <c r="BZ828" s="2867"/>
      <c r="CA828" s="2867"/>
      <c r="CB828" s="2867"/>
      <c r="CC828" s="2867"/>
      <c r="CD828" s="2867"/>
      <c r="CE828" s="2867"/>
      <c r="CF828" s="2867"/>
      <c r="CG828" s="2867"/>
      <c r="CH828" s="2867"/>
      <c r="CI828" s="2867"/>
      <c r="CJ828" s="2867"/>
      <c r="CK828" s="2867"/>
      <c r="CL828" s="2867"/>
      <c r="CM828" s="2867"/>
      <c r="CN828" s="2867"/>
      <c r="CO828" s="2867"/>
      <c r="CP828" s="2867"/>
      <c r="CQ828" s="2867"/>
      <c r="CR828" s="2867"/>
      <c r="CS828" s="2867"/>
      <c r="CT828" s="2867"/>
      <c r="CU828" s="2867"/>
      <c r="CV828" s="2867"/>
      <c r="CW828" s="2867"/>
    </row>
    <row r="829" spans="1:101">
      <c r="A829" s="2867"/>
      <c r="B829" s="2867"/>
      <c r="C829" s="2867"/>
      <c r="D829" s="2867"/>
      <c r="E829" s="2867"/>
      <c r="F829" s="2867"/>
      <c r="G829" s="2867"/>
      <c r="H829" s="2867"/>
      <c r="I829" s="2867"/>
      <c r="J829" s="2867"/>
      <c r="K829" s="2867"/>
      <c r="L829" s="2867"/>
      <c r="M829" s="2867"/>
      <c r="O829" s="2867"/>
      <c r="P829" s="2867"/>
      <c r="Q829" s="2867"/>
      <c r="R829" s="2867"/>
      <c r="S829" s="2867"/>
      <c r="T829" s="2867"/>
      <c r="U829" s="2867"/>
      <c r="V829" s="2867"/>
      <c r="W829" s="2867"/>
      <c r="X829" s="2867"/>
      <c r="Y829" s="2867"/>
      <c r="Z829" s="2867"/>
      <c r="AA829" s="2867"/>
      <c r="AB829" s="2867"/>
      <c r="AC829" s="2867"/>
      <c r="AD829" s="2867"/>
      <c r="AE829" s="2867"/>
      <c r="AF829" s="2867"/>
      <c r="AG829" s="2867"/>
      <c r="AH829" s="2867"/>
      <c r="AI829" s="2867"/>
      <c r="AJ829" s="2867"/>
      <c r="AK829" s="2867"/>
      <c r="AL829" s="2867"/>
      <c r="AM829" s="2867"/>
      <c r="AN829" s="2867"/>
      <c r="AO829" s="2867"/>
      <c r="AP829" s="2867"/>
      <c r="AQ829" s="2867"/>
      <c r="AR829" s="2867"/>
      <c r="AS829" s="2867"/>
      <c r="AT829" s="2867"/>
      <c r="AU829" s="2867"/>
      <c r="AV829" s="2867"/>
      <c r="AW829" s="2867"/>
      <c r="AX829" s="2867"/>
      <c r="AY829" s="2867"/>
      <c r="AZ829" s="2867"/>
      <c r="BA829" s="2867"/>
      <c r="BB829" s="2867"/>
      <c r="BC829" s="2867"/>
      <c r="BD829" s="2867"/>
      <c r="BE829" s="2867"/>
      <c r="BF829" s="2867"/>
      <c r="BG829" s="2867"/>
      <c r="BH829" s="2867"/>
      <c r="BI829" s="2867"/>
      <c r="BJ829" s="2867"/>
      <c r="BK829" s="2867"/>
      <c r="BL829" s="2867"/>
      <c r="BM829" s="2867"/>
      <c r="BN829" s="2867"/>
      <c r="BO829" s="2867"/>
      <c r="BP829" s="2867"/>
      <c r="BQ829" s="2867"/>
      <c r="BR829" s="2867"/>
      <c r="BS829" s="2867"/>
      <c r="BT829" s="2867"/>
      <c r="BU829" s="2867"/>
      <c r="BV829" s="2867"/>
      <c r="BW829" s="2867"/>
      <c r="BX829" s="2867"/>
      <c r="BY829" s="2867"/>
      <c r="BZ829" s="2867"/>
      <c r="CA829" s="2867"/>
      <c r="CB829" s="2867"/>
      <c r="CC829" s="2867"/>
      <c r="CD829" s="2867"/>
      <c r="CE829" s="2867"/>
      <c r="CF829" s="2867"/>
      <c r="CG829" s="2867"/>
      <c r="CH829" s="2867"/>
      <c r="CI829" s="2867"/>
      <c r="CJ829" s="2867"/>
      <c r="CK829" s="2867"/>
      <c r="CL829" s="2867"/>
      <c r="CM829" s="2867"/>
      <c r="CN829" s="2867"/>
      <c r="CO829" s="2867"/>
      <c r="CP829" s="2867"/>
      <c r="CQ829" s="2867"/>
      <c r="CR829" s="2867"/>
      <c r="CS829" s="2867"/>
      <c r="CT829" s="2867"/>
      <c r="CU829" s="2867"/>
      <c r="CV829" s="2867"/>
      <c r="CW829" s="2867"/>
    </row>
    <row r="830" spans="1:101">
      <c r="A830" s="2867"/>
      <c r="B830" s="2867"/>
      <c r="C830" s="2867"/>
      <c r="D830" s="2867"/>
      <c r="E830" s="2867"/>
      <c r="F830" s="2867"/>
      <c r="G830" s="2867"/>
      <c r="H830" s="2867"/>
      <c r="I830" s="2867"/>
      <c r="J830" s="2867"/>
      <c r="K830" s="2867"/>
      <c r="L830" s="2867"/>
      <c r="M830" s="2867"/>
      <c r="O830" s="2867"/>
      <c r="P830" s="2867"/>
      <c r="Q830" s="2867"/>
      <c r="R830" s="2867"/>
      <c r="S830" s="2867"/>
      <c r="T830" s="2867"/>
      <c r="U830" s="2867"/>
      <c r="V830" s="2867"/>
      <c r="W830" s="2867"/>
      <c r="X830" s="2867"/>
      <c r="Y830" s="2867"/>
      <c r="Z830" s="2867"/>
      <c r="AA830" s="2867"/>
      <c r="AB830" s="2867"/>
      <c r="AC830" s="2867"/>
      <c r="AD830" s="2867"/>
      <c r="AE830" s="2867"/>
      <c r="AF830" s="2867"/>
      <c r="AG830" s="2867"/>
      <c r="AH830" s="2867"/>
      <c r="AI830" s="2867"/>
      <c r="AJ830" s="2867"/>
      <c r="AK830" s="2867"/>
      <c r="AL830" s="2867"/>
      <c r="AM830" s="2867"/>
      <c r="AN830" s="2867"/>
      <c r="AO830" s="2867"/>
      <c r="AP830" s="2867"/>
      <c r="AQ830" s="2867"/>
      <c r="AR830" s="2867"/>
      <c r="AS830" s="2867"/>
      <c r="AT830" s="2867"/>
      <c r="AU830" s="2867"/>
      <c r="AV830" s="2867"/>
      <c r="AW830" s="2867"/>
      <c r="AX830" s="2867"/>
      <c r="AY830" s="2867"/>
      <c r="AZ830" s="2867"/>
      <c r="BA830" s="2867"/>
      <c r="BB830" s="2867"/>
      <c r="BC830" s="2867"/>
      <c r="BD830" s="2867"/>
      <c r="BE830" s="2867"/>
      <c r="BF830" s="2867"/>
      <c r="BG830" s="2867"/>
      <c r="BH830" s="2867"/>
      <c r="BI830" s="2867"/>
      <c r="BJ830" s="2867"/>
      <c r="BK830" s="2867"/>
      <c r="BL830" s="2867"/>
      <c r="BM830" s="2867"/>
      <c r="BN830" s="2867"/>
      <c r="BO830" s="2867"/>
      <c r="BP830" s="2867"/>
      <c r="BQ830" s="2867"/>
      <c r="BR830" s="2867"/>
      <c r="BS830" s="2867"/>
      <c r="BT830" s="2867"/>
      <c r="BU830" s="2867"/>
      <c r="BV830" s="2867"/>
      <c r="BW830" s="2867"/>
      <c r="BX830" s="2867"/>
      <c r="BY830" s="2867"/>
      <c r="BZ830" s="2867"/>
      <c r="CA830" s="2867"/>
      <c r="CB830" s="2867"/>
      <c r="CC830" s="2867"/>
      <c r="CD830" s="2867"/>
      <c r="CE830" s="2867"/>
      <c r="CF830" s="2867"/>
      <c r="CG830" s="2867"/>
      <c r="CH830" s="2867"/>
      <c r="CI830" s="2867"/>
      <c r="CJ830" s="2867"/>
      <c r="CK830" s="2867"/>
      <c r="CL830" s="2867"/>
      <c r="CM830" s="2867"/>
      <c r="CN830" s="2867"/>
      <c r="CO830" s="2867"/>
      <c r="CP830" s="2867"/>
      <c r="CQ830" s="2867"/>
      <c r="CR830" s="2867"/>
      <c r="CS830" s="2867"/>
      <c r="CT830" s="2867"/>
      <c r="CU830" s="2867"/>
      <c r="CV830" s="2867"/>
      <c r="CW830" s="2867"/>
    </row>
    <row r="831" spans="1:101">
      <c r="A831" s="2867"/>
      <c r="B831" s="2867"/>
      <c r="C831" s="2867"/>
      <c r="D831" s="2867"/>
      <c r="E831" s="2867"/>
      <c r="F831" s="2867"/>
      <c r="G831" s="2867"/>
      <c r="H831" s="2867"/>
      <c r="I831" s="2867"/>
      <c r="J831" s="2867"/>
      <c r="K831" s="2867"/>
      <c r="L831" s="2867"/>
      <c r="M831" s="2867"/>
      <c r="O831" s="2867"/>
      <c r="P831" s="2867"/>
      <c r="Q831" s="2867"/>
      <c r="R831" s="2867"/>
      <c r="S831" s="2867"/>
      <c r="T831" s="2867"/>
      <c r="U831" s="2867"/>
      <c r="V831" s="2867"/>
      <c r="W831" s="2867"/>
      <c r="X831" s="2867"/>
      <c r="Y831" s="2867"/>
      <c r="Z831" s="2867"/>
      <c r="AA831" s="2867"/>
      <c r="AB831" s="2867"/>
      <c r="AC831" s="2867"/>
      <c r="AD831" s="2867"/>
      <c r="AE831" s="2867"/>
      <c r="AF831" s="2867"/>
      <c r="AG831" s="2867"/>
      <c r="AH831" s="2867"/>
      <c r="AI831" s="2867"/>
      <c r="AJ831" s="2867"/>
      <c r="AK831" s="2867"/>
      <c r="AL831" s="2867"/>
      <c r="AM831" s="2867"/>
      <c r="AN831" s="2867"/>
      <c r="AO831" s="2867"/>
      <c r="AP831" s="2867"/>
      <c r="AQ831" s="2867"/>
      <c r="AR831" s="2867"/>
      <c r="AS831" s="2867"/>
      <c r="AT831" s="2867"/>
      <c r="AU831" s="2867"/>
      <c r="AV831" s="2867"/>
      <c r="AW831" s="2867"/>
      <c r="AX831" s="2867"/>
      <c r="AY831" s="2867"/>
      <c r="AZ831" s="2867"/>
      <c r="BA831" s="2867"/>
      <c r="BB831" s="2867"/>
      <c r="BC831" s="2867"/>
      <c r="BD831" s="2867"/>
      <c r="BE831" s="2867"/>
      <c r="BF831" s="2867"/>
      <c r="BG831" s="2867"/>
      <c r="BH831" s="2867"/>
      <c r="BI831" s="2867"/>
      <c r="BJ831" s="2867"/>
      <c r="BK831" s="2867"/>
      <c r="BL831" s="2867"/>
      <c r="BM831" s="2867"/>
      <c r="BN831" s="2867"/>
      <c r="BO831" s="2867"/>
      <c r="BP831" s="2867"/>
      <c r="BQ831" s="2867"/>
      <c r="BR831" s="2867"/>
      <c r="BS831" s="2867"/>
      <c r="BT831" s="2867"/>
      <c r="BU831" s="2867"/>
      <c r="BV831" s="2867"/>
      <c r="BW831" s="2867"/>
      <c r="BX831" s="2867"/>
      <c r="BY831" s="2867"/>
      <c r="BZ831" s="2867"/>
      <c r="CA831" s="2867"/>
      <c r="CB831" s="2867"/>
      <c r="CC831" s="2867"/>
      <c r="CD831" s="2867"/>
      <c r="CE831" s="2867"/>
      <c r="CF831" s="2867"/>
      <c r="CG831" s="2867"/>
      <c r="CH831" s="2867"/>
      <c r="CI831" s="2867"/>
      <c r="CJ831" s="2867"/>
      <c r="CK831" s="2867"/>
      <c r="CL831" s="2867"/>
      <c r="CM831" s="2867"/>
      <c r="CN831" s="2867"/>
      <c r="CO831" s="2867"/>
      <c r="CP831" s="2867"/>
      <c r="CQ831" s="2867"/>
      <c r="CR831" s="2867"/>
      <c r="CS831" s="2867"/>
      <c r="CT831" s="2867"/>
      <c r="CU831" s="2867"/>
      <c r="CV831" s="2867"/>
      <c r="CW831" s="2867"/>
    </row>
    <row r="832" spans="1:101">
      <c r="A832" s="2867"/>
      <c r="B832" s="2867"/>
      <c r="C832" s="2867"/>
      <c r="D832" s="2867"/>
      <c r="E832" s="2867"/>
      <c r="F832" s="2867"/>
      <c r="G832" s="2867"/>
      <c r="H832" s="2867"/>
      <c r="I832" s="2867"/>
      <c r="J832" s="2867"/>
      <c r="K832" s="2867"/>
      <c r="L832" s="2867"/>
      <c r="M832" s="2867"/>
      <c r="O832" s="2867"/>
      <c r="P832" s="2867"/>
      <c r="Q832" s="2867"/>
      <c r="R832" s="2867"/>
      <c r="S832" s="2867"/>
      <c r="T832" s="2867"/>
      <c r="U832" s="2867"/>
      <c r="V832" s="2867"/>
      <c r="W832" s="2867"/>
      <c r="X832" s="2867"/>
      <c r="Y832" s="2867"/>
      <c r="Z832" s="2867"/>
      <c r="AA832" s="2867"/>
      <c r="AB832" s="2867"/>
      <c r="AC832" s="2867"/>
      <c r="AD832" s="2867"/>
      <c r="AE832" s="2867"/>
      <c r="AF832" s="2867"/>
      <c r="AG832" s="2867"/>
      <c r="AH832" s="2867"/>
      <c r="AI832" s="2867"/>
      <c r="AJ832" s="2867"/>
      <c r="AK832" s="2867"/>
      <c r="AL832" s="2867"/>
      <c r="AM832" s="2867"/>
      <c r="AN832" s="2867"/>
      <c r="AO832" s="2867"/>
      <c r="AP832" s="2867"/>
      <c r="AQ832" s="2867"/>
      <c r="AR832" s="2867"/>
      <c r="AS832" s="2867"/>
      <c r="AT832" s="2867"/>
      <c r="AU832" s="2867"/>
      <c r="AV832" s="2867"/>
      <c r="AW832" s="2867"/>
      <c r="AX832" s="2867"/>
      <c r="AY832" s="2867"/>
      <c r="AZ832" s="2867"/>
      <c r="BA832" s="2867"/>
      <c r="BB832" s="2867"/>
      <c r="BC832" s="2867"/>
      <c r="BD832" s="2867"/>
      <c r="BE832" s="2867"/>
      <c r="BF832" s="2867"/>
      <c r="BG832" s="2867"/>
      <c r="BH832" s="2867"/>
      <c r="BI832" s="2867"/>
      <c r="BJ832" s="2867"/>
      <c r="BK832" s="2867"/>
      <c r="BL832" s="2867"/>
      <c r="BM832" s="2867"/>
      <c r="BN832" s="2867"/>
      <c r="BO832" s="2867"/>
      <c r="BP832" s="2867"/>
      <c r="BQ832" s="2867"/>
      <c r="BR832" s="2867"/>
      <c r="BS832" s="2867"/>
      <c r="BT832" s="2867"/>
      <c r="BU832" s="2867"/>
      <c r="BV832" s="2867"/>
      <c r="BW832" s="2867"/>
      <c r="BX832" s="2867"/>
      <c r="BY832" s="2867"/>
      <c r="BZ832" s="2867"/>
      <c r="CA832" s="2867"/>
      <c r="CB832" s="2867"/>
      <c r="CC832" s="2867"/>
      <c r="CD832" s="2867"/>
      <c r="CE832" s="2867"/>
      <c r="CF832" s="2867"/>
      <c r="CG832" s="2867"/>
      <c r="CH832" s="2867"/>
      <c r="CI832" s="2867"/>
      <c r="CJ832" s="2867"/>
      <c r="CK832" s="2867"/>
      <c r="CL832" s="2867"/>
      <c r="CM832" s="2867"/>
      <c r="CN832" s="2867"/>
      <c r="CO832" s="2867"/>
      <c r="CP832" s="2867"/>
      <c r="CQ832" s="2867"/>
      <c r="CR832" s="2867"/>
      <c r="CS832" s="2867"/>
      <c r="CT832" s="2867"/>
      <c r="CU832" s="2867"/>
      <c r="CV832" s="2867"/>
      <c r="CW832" s="2867"/>
    </row>
    <row r="833" spans="1:101">
      <c r="A833" s="2867"/>
      <c r="B833" s="2867"/>
      <c r="C833" s="2867"/>
      <c r="D833" s="2867"/>
      <c r="E833" s="2867"/>
      <c r="F833" s="2867"/>
      <c r="G833" s="2867"/>
      <c r="H833" s="2867"/>
      <c r="I833" s="2867"/>
      <c r="J833" s="2867"/>
      <c r="K833" s="2867"/>
      <c r="L833" s="2867"/>
      <c r="M833" s="2867"/>
      <c r="O833" s="2867"/>
      <c r="P833" s="2867"/>
      <c r="Q833" s="2867"/>
      <c r="R833" s="2867"/>
      <c r="S833" s="2867"/>
      <c r="T833" s="2867"/>
      <c r="U833" s="2867"/>
      <c r="V833" s="2867"/>
      <c r="W833" s="2867"/>
      <c r="X833" s="2867"/>
      <c r="Y833" s="2867"/>
      <c r="Z833" s="2867"/>
      <c r="AA833" s="2867"/>
      <c r="AB833" s="2867"/>
      <c r="AC833" s="2867"/>
      <c r="AD833" s="2867"/>
      <c r="AE833" s="2867"/>
      <c r="AF833" s="2867"/>
      <c r="AG833" s="2867"/>
      <c r="AH833" s="2867"/>
      <c r="AI833" s="2867"/>
      <c r="AJ833" s="2867"/>
      <c r="AK833" s="2867"/>
      <c r="AL833" s="2867"/>
      <c r="AM833" s="2867"/>
      <c r="AN833" s="2867"/>
      <c r="AO833" s="2867"/>
      <c r="AP833" s="2867"/>
      <c r="AQ833" s="2867"/>
      <c r="AR833" s="2867"/>
      <c r="AS833" s="2867"/>
      <c r="AT833" s="2867"/>
      <c r="AU833" s="2867"/>
      <c r="AV833" s="2867"/>
      <c r="AW833" s="2867"/>
      <c r="AX833" s="2867"/>
      <c r="AY833" s="2867"/>
      <c r="AZ833" s="2867"/>
      <c r="BA833" s="2867"/>
      <c r="BB833" s="2867"/>
      <c r="BC833" s="2867"/>
      <c r="BD833" s="2867"/>
      <c r="BE833" s="2867"/>
      <c r="BF833" s="2867"/>
      <c r="BG833" s="2867"/>
      <c r="BH833" s="2867"/>
      <c r="BI833" s="2867"/>
      <c r="BJ833" s="2867"/>
      <c r="BK833" s="2867"/>
      <c r="BL833" s="2867"/>
      <c r="BM833" s="2867"/>
      <c r="BN833" s="2867"/>
      <c r="BO833" s="2867"/>
      <c r="BP833" s="2867"/>
      <c r="BQ833" s="2867"/>
      <c r="BR833" s="2867"/>
      <c r="BS833" s="2867"/>
      <c r="BT833" s="2867"/>
      <c r="BU833" s="2867"/>
      <c r="BV833" s="2867"/>
      <c r="BW833" s="2867"/>
      <c r="BX833" s="2867"/>
      <c r="BY833" s="2867"/>
      <c r="BZ833" s="2867"/>
      <c r="CA833" s="2867"/>
      <c r="CB833" s="2867"/>
      <c r="CC833" s="2867"/>
      <c r="CD833" s="2867"/>
      <c r="CE833" s="2867"/>
      <c r="CF833" s="2867"/>
      <c r="CG833" s="2867"/>
      <c r="CH833" s="2867"/>
      <c r="CI833" s="2867"/>
      <c r="CJ833" s="2867"/>
      <c r="CK833" s="2867"/>
      <c r="CL833" s="2867"/>
      <c r="CM833" s="2867"/>
      <c r="CN833" s="2867"/>
      <c r="CO833" s="2867"/>
      <c r="CP833" s="2867"/>
      <c r="CQ833" s="2867"/>
      <c r="CR833" s="2867"/>
      <c r="CS833" s="2867"/>
      <c r="CT833" s="2867"/>
      <c r="CU833" s="2867"/>
      <c r="CV833" s="2867"/>
      <c r="CW833" s="2867"/>
    </row>
    <row r="834" spans="1:101">
      <c r="A834" s="2867"/>
      <c r="B834" s="2867"/>
      <c r="C834" s="2867"/>
      <c r="D834" s="2867"/>
      <c r="E834" s="2867"/>
      <c r="F834" s="2867"/>
      <c r="G834" s="2867"/>
      <c r="H834" s="2867"/>
      <c r="I834" s="2867"/>
      <c r="J834" s="2867"/>
      <c r="K834" s="2867"/>
      <c r="L834" s="2867"/>
      <c r="M834" s="2867"/>
      <c r="O834" s="2867"/>
      <c r="P834" s="2867"/>
      <c r="Q834" s="2867"/>
      <c r="R834" s="2867"/>
      <c r="S834" s="2867"/>
      <c r="T834" s="2867"/>
      <c r="U834" s="2867"/>
      <c r="V834" s="2867"/>
      <c r="W834" s="2867"/>
      <c r="X834" s="2867"/>
      <c r="Y834" s="2867"/>
      <c r="Z834" s="2867"/>
      <c r="AA834" s="2867"/>
      <c r="AB834" s="2867"/>
      <c r="AC834" s="2867"/>
      <c r="AD834" s="2867"/>
      <c r="AE834" s="2867"/>
      <c r="AF834" s="2867"/>
      <c r="AG834" s="2867"/>
      <c r="AH834" s="2867"/>
      <c r="AI834" s="2867"/>
      <c r="AJ834" s="2867"/>
      <c r="AK834" s="2867"/>
      <c r="AL834" s="2867"/>
      <c r="AM834" s="2867"/>
      <c r="AN834" s="2867"/>
      <c r="AO834" s="2867"/>
      <c r="AP834" s="2867"/>
      <c r="AQ834" s="2867"/>
      <c r="AR834" s="2867"/>
      <c r="AS834" s="2867"/>
      <c r="AT834" s="2867"/>
      <c r="AU834" s="2867"/>
      <c r="AV834" s="2867"/>
      <c r="AW834" s="2867"/>
      <c r="AX834" s="2867"/>
      <c r="AY834" s="2867"/>
      <c r="AZ834" s="2867"/>
      <c r="BA834" s="2867"/>
      <c r="BB834" s="2867"/>
      <c r="BC834" s="2867"/>
      <c r="BD834" s="2867"/>
      <c r="BE834" s="2867"/>
      <c r="BF834" s="2867"/>
      <c r="BG834" s="2867"/>
      <c r="BH834" s="2867"/>
      <c r="BI834" s="2867"/>
      <c r="BJ834" s="2867"/>
      <c r="BK834" s="2867"/>
      <c r="BL834" s="2867"/>
      <c r="BM834" s="2867"/>
      <c r="BN834" s="2867"/>
      <c r="BO834" s="2867"/>
      <c r="BP834" s="2867"/>
      <c r="BQ834" s="2867"/>
      <c r="BR834" s="2867"/>
      <c r="BS834" s="2867"/>
      <c r="BT834" s="2867"/>
      <c r="BU834" s="2867"/>
      <c r="BV834" s="2867"/>
      <c r="BW834" s="2867"/>
      <c r="BX834" s="2867"/>
      <c r="BY834" s="2867"/>
      <c r="BZ834" s="2867"/>
      <c r="CA834" s="2867"/>
      <c r="CB834" s="2867"/>
      <c r="CC834" s="2867"/>
      <c r="CD834" s="2867"/>
      <c r="CE834" s="2867"/>
      <c r="CF834" s="2867"/>
      <c r="CG834" s="2867"/>
      <c r="CH834" s="2867"/>
      <c r="CI834" s="2867"/>
      <c r="CJ834" s="2867"/>
      <c r="CK834" s="2867"/>
      <c r="CL834" s="2867"/>
      <c r="CM834" s="2867"/>
      <c r="CN834" s="2867"/>
      <c r="CO834" s="2867"/>
      <c r="CP834" s="2867"/>
      <c r="CQ834" s="2867"/>
      <c r="CR834" s="2867"/>
      <c r="CS834" s="2867"/>
      <c r="CT834" s="2867"/>
      <c r="CU834" s="2867"/>
      <c r="CV834" s="2867"/>
      <c r="CW834" s="2867"/>
    </row>
    <row r="835" spans="1:101">
      <c r="A835" s="2867"/>
      <c r="B835" s="2867"/>
      <c r="C835" s="2867"/>
      <c r="D835" s="2867"/>
      <c r="E835" s="2867"/>
      <c r="F835" s="2867"/>
      <c r="G835" s="2867"/>
      <c r="H835" s="2867"/>
      <c r="I835" s="2867"/>
      <c r="J835" s="2867"/>
      <c r="K835" s="2867"/>
      <c r="L835" s="2867"/>
      <c r="M835" s="2867"/>
      <c r="O835" s="2867"/>
      <c r="P835" s="2867"/>
      <c r="Q835" s="2867"/>
      <c r="R835" s="2867"/>
      <c r="S835" s="2867"/>
      <c r="T835" s="2867"/>
      <c r="U835" s="2867"/>
      <c r="V835" s="2867"/>
      <c r="W835" s="2867"/>
      <c r="X835" s="2867"/>
      <c r="Y835" s="2867"/>
      <c r="Z835" s="2867"/>
      <c r="AA835" s="2867"/>
      <c r="AB835" s="2867"/>
      <c r="AC835" s="2867"/>
      <c r="AD835" s="2867"/>
      <c r="AE835" s="2867"/>
      <c r="AF835" s="2867"/>
      <c r="AG835" s="2867"/>
      <c r="AH835" s="2867"/>
      <c r="AI835" s="2867"/>
      <c r="AJ835" s="2867"/>
      <c r="AK835" s="2867"/>
      <c r="AL835" s="2867"/>
      <c r="AM835" s="2867"/>
      <c r="AN835" s="2867"/>
      <c r="AO835" s="2867"/>
      <c r="AP835" s="2867"/>
      <c r="AQ835" s="2867"/>
      <c r="AR835" s="2867"/>
      <c r="AS835" s="2867"/>
      <c r="AT835" s="2867"/>
      <c r="AU835" s="2867"/>
      <c r="AV835" s="2867"/>
      <c r="AW835" s="2867"/>
      <c r="AX835" s="2867"/>
      <c r="AY835" s="2867"/>
      <c r="AZ835" s="2867"/>
      <c r="BA835" s="2867"/>
      <c r="BB835" s="2867"/>
      <c r="BC835" s="2867"/>
      <c r="BD835" s="2867"/>
      <c r="BE835" s="2867"/>
      <c r="BF835" s="2867"/>
      <c r="BG835" s="2867"/>
      <c r="BH835" s="2867"/>
      <c r="BI835" s="2867"/>
      <c r="BJ835" s="2867"/>
      <c r="BK835" s="2867"/>
      <c r="BL835" s="2867"/>
      <c r="BM835" s="2867"/>
      <c r="BN835" s="2867"/>
      <c r="BO835" s="2867"/>
      <c r="BP835" s="2867"/>
      <c r="BQ835" s="2867"/>
      <c r="BR835" s="2867"/>
      <c r="BS835" s="2867"/>
      <c r="BT835" s="2867"/>
      <c r="BU835" s="2867"/>
      <c r="BV835" s="2867"/>
      <c r="BW835" s="2867"/>
      <c r="BX835" s="2867"/>
      <c r="BY835" s="2867"/>
      <c r="BZ835" s="2867"/>
      <c r="CA835" s="2867"/>
      <c r="CB835" s="2867"/>
      <c r="CC835" s="2867"/>
      <c r="CD835" s="2867"/>
      <c r="CE835" s="2867"/>
      <c r="CF835" s="2867"/>
      <c r="CG835" s="2867"/>
      <c r="CH835" s="2867"/>
      <c r="CI835" s="2867"/>
      <c r="CJ835" s="2867"/>
      <c r="CK835" s="2867"/>
      <c r="CL835" s="2867"/>
      <c r="CM835" s="2867"/>
      <c r="CN835" s="2867"/>
      <c r="CO835" s="2867"/>
      <c r="CP835" s="2867"/>
      <c r="CQ835" s="2867"/>
      <c r="CR835" s="2867"/>
      <c r="CS835" s="2867"/>
      <c r="CT835" s="2867"/>
      <c r="CU835" s="2867"/>
      <c r="CV835" s="2867"/>
      <c r="CW835" s="2867"/>
    </row>
    <row r="836" spans="1:101">
      <c r="A836" s="2867"/>
      <c r="B836" s="2867"/>
      <c r="C836" s="2867"/>
      <c r="D836" s="2867"/>
      <c r="E836" s="2867"/>
      <c r="F836" s="2867"/>
      <c r="G836" s="2867"/>
      <c r="H836" s="2867"/>
      <c r="I836" s="2867"/>
      <c r="J836" s="2867"/>
      <c r="K836" s="2867"/>
      <c r="L836" s="2867"/>
      <c r="M836" s="2867"/>
      <c r="O836" s="2867"/>
      <c r="P836" s="2867"/>
      <c r="Q836" s="2867"/>
      <c r="R836" s="2867"/>
      <c r="S836" s="2867"/>
      <c r="T836" s="2867"/>
      <c r="U836" s="2867"/>
      <c r="V836" s="2867"/>
      <c r="W836" s="2867"/>
      <c r="X836" s="2867"/>
      <c r="Y836" s="2867"/>
      <c r="Z836" s="2867"/>
      <c r="AA836" s="2867"/>
      <c r="AB836" s="2867"/>
      <c r="AC836" s="2867"/>
      <c r="AD836" s="2867"/>
      <c r="AE836" s="2867"/>
      <c r="AF836" s="2867"/>
      <c r="AG836" s="2867"/>
      <c r="AH836" s="2867"/>
      <c r="AI836" s="2867"/>
      <c r="AJ836" s="2867"/>
      <c r="AK836" s="2867"/>
      <c r="AL836" s="2867"/>
      <c r="AM836" s="2867"/>
      <c r="AN836" s="2867"/>
      <c r="AO836" s="2867"/>
      <c r="AP836" s="2867"/>
      <c r="AQ836" s="2867"/>
      <c r="AR836" s="2867"/>
      <c r="AS836" s="2867"/>
      <c r="AT836" s="2867"/>
      <c r="AU836" s="2867"/>
      <c r="AV836" s="2867"/>
      <c r="AW836" s="2867"/>
      <c r="AX836" s="2867"/>
      <c r="AY836" s="2867"/>
      <c r="AZ836" s="2867"/>
      <c r="BA836" s="2867"/>
      <c r="BB836" s="2867"/>
      <c r="BC836" s="2867"/>
      <c r="BD836" s="2867"/>
      <c r="BE836" s="2867"/>
      <c r="BF836" s="2867"/>
      <c r="BG836" s="2867"/>
      <c r="BH836" s="2867"/>
      <c r="BI836" s="2867"/>
      <c r="BJ836" s="2867"/>
      <c r="BK836" s="2867"/>
      <c r="BL836" s="2867"/>
      <c r="BM836" s="2867"/>
      <c r="BN836" s="2867"/>
      <c r="BO836" s="2867"/>
      <c r="BP836" s="2867"/>
      <c r="BQ836" s="2867"/>
      <c r="BR836" s="2867"/>
      <c r="BS836" s="2867"/>
      <c r="BT836" s="2867"/>
      <c r="BU836" s="2867"/>
      <c r="BV836" s="2867"/>
      <c r="BW836" s="2867"/>
      <c r="BX836" s="2867"/>
      <c r="BY836" s="2867"/>
      <c r="BZ836" s="2867"/>
      <c r="CA836" s="2867"/>
      <c r="CB836" s="2867"/>
      <c r="CC836" s="2867"/>
      <c r="CD836" s="2867"/>
      <c r="CE836" s="2867"/>
      <c r="CF836" s="2867"/>
      <c r="CG836" s="2867"/>
      <c r="CH836" s="2867"/>
      <c r="CI836" s="2867"/>
      <c r="CJ836" s="2867"/>
      <c r="CK836" s="2867"/>
      <c r="CL836" s="2867"/>
      <c r="CM836" s="2867"/>
      <c r="CN836" s="2867"/>
      <c r="CO836" s="2867"/>
      <c r="CP836" s="2867"/>
      <c r="CQ836" s="2867"/>
      <c r="CR836" s="2867"/>
      <c r="CS836" s="2867"/>
      <c r="CT836" s="2867"/>
      <c r="CU836" s="2867"/>
      <c r="CV836" s="2867"/>
      <c r="CW836" s="2867"/>
    </row>
    <row r="837" spans="1:101">
      <c r="A837" s="2867"/>
      <c r="B837" s="2867"/>
      <c r="C837" s="2867"/>
      <c r="D837" s="2867"/>
      <c r="E837" s="2867"/>
      <c r="F837" s="2867"/>
      <c r="G837" s="2867"/>
      <c r="H837" s="2867"/>
      <c r="I837" s="2867"/>
      <c r="J837" s="2867"/>
      <c r="K837" s="2867"/>
      <c r="L837" s="2867"/>
      <c r="M837" s="2867"/>
      <c r="O837" s="2867"/>
      <c r="P837" s="2867"/>
      <c r="Q837" s="2867"/>
      <c r="R837" s="2867"/>
      <c r="S837" s="2867"/>
      <c r="T837" s="2867"/>
      <c r="U837" s="2867"/>
      <c r="V837" s="2867"/>
      <c r="W837" s="2867"/>
      <c r="X837" s="2867"/>
      <c r="Y837" s="2867"/>
      <c r="Z837" s="2867"/>
      <c r="AA837" s="2867"/>
      <c r="AB837" s="2867"/>
      <c r="AC837" s="2867"/>
      <c r="AD837" s="2867"/>
      <c r="AE837" s="2867"/>
      <c r="AF837" s="2867"/>
      <c r="AG837" s="2867"/>
      <c r="AH837" s="2867"/>
      <c r="AI837" s="2867"/>
      <c r="AJ837" s="2867"/>
      <c r="AK837" s="2867"/>
      <c r="AL837" s="2867"/>
      <c r="AM837" s="2867"/>
      <c r="AN837" s="2867"/>
      <c r="AO837" s="2867"/>
      <c r="AP837" s="2867"/>
      <c r="AQ837" s="2867"/>
      <c r="AR837" s="2867"/>
      <c r="AS837" s="2867"/>
      <c r="AT837" s="2867"/>
      <c r="AU837" s="2867"/>
      <c r="AV837" s="2867"/>
      <c r="AW837" s="2867"/>
      <c r="AX837" s="2867"/>
      <c r="AY837" s="2867"/>
      <c r="AZ837" s="2867"/>
      <c r="BA837" s="2867"/>
      <c r="BB837" s="2867"/>
      <c r="BC837" s="2867"/>
      <c r="BD837" s="2867"/>
      <c r="BE837" s="2867"/>
      <c r="BF837" s="2867"/>
      <c r="BG837" s="2867"/>
      <c r="BH837" s="2867"/>
      <c r="BI837" s="2867"/>
      <c r="BJ837" s="2867"/>
      <c r="BK837" s="2867"/>
      <c r="BL837" s="2867"/>
      <c r="BM837" s="2867"/>
      <c r="BN837" s="2867"/>
      <c r="BO837" s="2867"/>
      <c r="BP837" s="2867"/>
      <c r="BQ837" s="2867"/>
      <c r="BR837" s="2867"/>
      <c r="BS837" s="2867"/>
      <c r="BT837" s="2867"/>
      <c r="BU837" s="2867"/>
      <c r="BV837" s="2867"/>
      <c r="BW837" s="2867"/>
      <c r="BX837" s="2867"/>
      <c r="BY837" s="2867"/>
      <c r="BZ837" s="2867"/>
      <c r="CA837" s="2867"/>
      <c r="CB837" s="2867"/>
      <c r="CC837" s="2867"/>
      <c r="CD837" s="2867"/>
      <c r="CE837" s="2867"/>
      <c r="CF837" s="2867"/>
      <c r="CG837" s="2867"/>
      <c r="CH837" s="2867"/>
      <c r="CI837" s="2867"/>
      <c r="CJ837" s="2867"/>
      <c r="CK837" s="2867"/>
      <c r="CL837" s="2867"/>
      <c r="CM837" s="2867"/>
      <c r="CN837" s="2867"/>
      <c r="CO837" s="2867"/>
      <c r="CP837" s="2867"/>
      <c r="CQ837" s="2867"/>
      <c r="CR837" s="2867"/>
      <c r="CS837" s="2867"/>
      <c r="CT837" s="2867"/>
      <c r="CU837" s="2867"/>
      <c r="CV837" s="2867"/>
      <c r="CW837" s="2867"/>
    </row>
    <row r="838" spans="1:101">
      <c r="A838" s="2867"/>
      <c r="B838" s="2867"/>
      <c r="C838" s="2867"/>
      <c r="D838" s="2867"/>
      <c r="E838" s="2867"/>
      <c r="F838" s="2867"/>
      <c r="G838" s="2867"/>
      <c r="H838" s="2867"/>
      <c r="I838" s="2867"/>
      <c r="J838" s="2867"/>
      <c r="K838" s="2867"/>
      <c r="L838" s="2867"/>
      <c r="M838" s="2867"/>
      <c r="O838" s="2867"/>
      <c r="P838" s="2867"/>
      <c r="Q838" s="2867"/>
      <c r="R838" s="2867"/>
      <c r="S838" s="2867"/>
      <c r="T838" s="2867"/>
      <c r="U838" s="2867"/>
      <c r="V838" s="2867"/>
      <c r="W838" s="2867"/>
      <c r="X838" s="2867"/>
      <c r="Y838" s="2867"/>
      <c r="Z838" s="2867"/>
      <c r="AA838" s="2867"/>
      <c r="AB838" s="2867"/>
      <c r="AC838" s="2867"/>
      <c r="AD838" s="2867"/>
      <c r="AE838" s="2867"/>
      <c r="AF838" s="2867"/>
      <c r="AG838" s="2867"/>
      <c r="AH838" s="2867"/>
      <c r="AI838" s="2867"/>
      <c r="AJ838" s="2867"/>
      <c r="AK838" s="2867"/>
      <c r="AL838" s="2867"/>
      <c r="AM838" s="2867"/>
      <c r="AN838" s="2867"/>
      <c r="AO838" s="2867"/>
      <c r="AP838" s="2867"/>
      <c r="AQ838" s="2867"/>
      <c r="AR838" s="2867"/>
      <c r="AS838" s="2867"/>
      <c r="AT838" s="2867"/>
      <c r="AU838" s="2867"/>
      <c r="AV838" s="2867"/>
      <c r="AW838" s="2867"/>
      <c r="AX838" s="2867"/>
      <c r="AY838" s="2867"/>
      <c r="AZ838" s="2867"/>
      <c r="BA838" s="2867"/>
      <c r="BB838" s="2867"/>
      <c r="BC838" s="2867"/>
      <c r="BD838" s="2867"/>
      <c r="BE838" s="2867"/>
      <c r="BF838" s="2867"/>
      <c r="BG838" s="2867"/>
      <c r="BH838" s="2867"/>
      <c r="BI838" s="2867"/>
      <c r="BJ838" s="2867"/>
      <c r="BK838" s="2867"/>
      <c r="BL838" s="2867"/>
      <c r="BM838" s="2867"/>
      <c r="BN838" s="2867"/>
      <c r="BO838" s="2867"/>
      <c r="BP838" s="2867"/>
      <c r="BQ838" s="2867"/>
      <c r="BR838" s="2867"/>
      <c r="BS838" s="2867"/>
      <c r="BT838" s="2867"/>
      <c r="BU838" s="2867"/>
      <c r="BV838" s="2867"/>
      <c r="BW838" s="2867"/>
      <c r="BX838" s="2867"/>
      <c r="BY838" s="2867"/>
      <c r="BZ838" s="2867"/>
      <c r="CA838" s="2867"/>
      <c r="CB838" s="2867"/>
      <c r="CC838" s="2867"/>
      <c r="CD838" s="2867"/>
      <c r="CE838" s="2867"/>
      <c r="CF838" s="2867"/>
      <c r="CG838" s="2867"/>
      <c r="CH838" s="2867"/>
      <c r="CI838" s="2867"/>
      <c r="CJ838" s="2867"/>
      <c r="CK838" s="2867"/>
      <c r="CL838" s="2867"/>
      <c r="CM838" s="2867"/>
      <c r="CN838" s="2867"/>
      <c r="CO838" s="2867"/>
      <c r="CP838" s="2867"/>
      <c r="CQ838" s="2867"/>
      <c r="CR838" s="2867"/>
      <c r="CS838" s="2867"/>
      <c r="CT838" s="2867"/>
      <c r="CU838" s="2867"/>
      <c r="CV838" s="2867"/>
      <c r="CW838" s="2867"/>
    </row>
    <row r="839" spans="1:101">
      <c r="A839" s="2867"/>
      <c r="B839" s="2867"/>
      <c r="C839" s="2867"/>
      <c r="D839" s="2867"/>
      <c r="E839" s="2867"/>
      <c r="F839" s="2867"/>
      <c r="G839" s="2867"/>
      <c r="H839" s="2867"/>
      <c r="I839" s="2867"/>
      <c r="J839" s="2867"/>
      <c r="K839" s="2867"/>
      <c r="L839" s="2867"/>
      <c r="M839" s="2867"/>
      <c r="O839" s="2867"/>
      <c r="P839" s="2867"/>
      <c r="Q839" s="2867"/>
      <c r="R839" s="2867"/>
      <c r="S839" s="2867"/>
      <c r="T839" s="2867"/>
      <c r="U839" s="2867"/>
      <c r="V839" s="2867"/>
      <c r="W839" s="2867"/>
      <c r="X839" s="2867"/>
      <c r="Y839" s="2867"/>
      <c r="Z839" s="2867"/>
      <c r="AA839" s="2867"/>
      <c r="AB839" s="2867"/>
      <c r="AC839" s="2867"/>
      <c r="AD839" s="2867"/>
      <c r="AE839" s="2867"/>
      <c r="AF839" s="2867"/>
      <c r="AG839" s="2867"/>
      <c r="AH839" s="2867"/>
      <c r="AI839" s="2867"/>
      <c r="AJ839" s="2867"/>
      <c r="AK839" s="2867"/>
      <c r="AL839" s="2867"/>
      <c r="AM839" s="2867"/>
      <c r="AN839" s="2867"/>
      <c r="AO839" s="2867"/>
      <c r="AP839" s="2867"/>
      <c r="AQ839" s="2867"/>
      <c r="AR839" s="2867"/>
      <c r="AS839" s="2867"/>
      <c r="AT839" s="2867"/>
      <c r="AU839" s="2867"/>
      <c r="AV839" s="2867"/>
      <c r="AW839" s="2867"/>
      <c r="AX839" s="2867"/>
      <c r="AY839" s="2867"/>
      <c r="AZ839" s="2867"/>
      <c r="BA839" s="2867"/>
      <c r="BB839" s="2867"/>
      <c r="BC839" s="2867"/>
      <c r="BD839" s="2867"/>
      <c r="BE839" s="2867"/>
      <c r="BF839" s="2867"/>
      <c r="BG839" s="2867"/>
      <c r="BH839" s="2867"/>
      <c r="BI839" s="2867"/>
      <c r="BJ839" s="2867"/>
      <c r="BK839" s="2867"/>
      <c r="BL839" s="2867"/>
      <c r="BM839" s="2867"/>
      <c r="BN839" s="2867"/>
      <c r="BO839" s="2867"/>
      <c r="BP839" s="2867"/>
      <c r="BQ839" s="2867"/>
      <c r="BR839" s="2867"/>
      <c r="BS839" s="2867"/>
      <c r="BT839" s="2867"/>
      <c r="BU839" s="2867"/>
      <c r="BV839" s="2867"/>
      <c r="BW839" s="2867"/>
      <c r="BX839" s="2867"/>
      <c r="BY839" s="2867"/>
      <c r="BZ839" s="2867"/>
      <c r="CA839" s="2867"/>
      <c r="CB839" s="2867"/>
      <c r="CC839" s="2867"/>
      <c r="CD839" s="2867"/>
      <c r="CE839" s="2867"/>
      <c r="CF839" s="2867"/>
      <c r="CG839" s="2867"/>
      <c r="CH839" s="2867"/>
      <c r="CI839" s="2867"/>
      <c r="CJ839" s="2867"/>
      <c r="CK839" s="2867"/>
      <c r="CL839" s="2867"/>
      <c r="CM839" s="2867"/>
      <c r="CN839" s="2867"/>
      <c r="CO839" s="2867"/>
      <c r="CP839" s="2867"/>
      <c r="CQ839" s="2867"/>
      <c r="CR839" s="2867"/>
      <c r="CS839" s="2867"/>
      <c r="CT839" s="2867"/>
      <c r="CU839" s="2867"/>
      <c r="CV839" s="2867"/>
      <c r="CW839" s="2867"/>
    </row>
    <row r="840" spans="1:101">
      <c r="A840" s="2867"/>
      <c r="B840" s="2867"/>
      <c r="C840" s="2867"/>
      <c r="D840" s="2867"/>
      <c r="E840" s="2867"/>
      <c r="F840" s="2867"/>
      <c r="G840" s="2867"/>
      <c r="H840" s="2867"/>
      <c r="I840" s="2867"/>
      <c r="J840" s="2867"/>
      <c r="K840" s="2867"/>
      <c r="L840" s="2867"/>
      <c r="M840" s="2867"/>
      <c r="O840" s="2867"/>
      <c r="P840" s="2867"/>
      <c r="Q840" s="2867"/>
      <c r="R840" s="2867"/>
      <c r="S840" s="2867"/>
      <c r="T840" s="2867"/>
      <c r="U840" s="2867"/>
      <c r="V840" s="2867"/>
      <c r="W840" s="2867"/>
      <c r="X840" s="2867"/>
      <c r="Y840" s="2867"/>
      <c r="Z840" s="2867"/>
      <c r="AA840" s="2867"/>
      <c r="AB840" s="2867"/>
      <c r="AC840" s="2867"/>
      <c r="AD840" s="2867"/>
      <c r="AE840" s="2867"/>
      <c r="AF840" s="2867"/>
      <c r="AG840" s="2867"/>
      <c r="AH840" s="2867"/>
      <c r="AI840" s="2867"/>
      <c r="AJ840" s="2867"/>
      <c r="AK840" s="2867"/>
      <c r="AL840" s="2867"/>
      <c r="AM840" s="2867"/>
      <c r="AN840" s="2867"/>
      <c r="AO840" s="2867"/>
      <c r="AP840" s="2867"/>
      <c r="AQ840" s="2867"/>
      <c r="AR840" s="2867"/>
      <c r="AS840" s="2867"/>
      <c r="AT840" s="2867"/>
      <c r="AU840" s="2867"/>
      <c r="AV840" s="2867"/>
      <c r="AW840" s="2867"/>
      <c r="AX840" s="2867"/>
      <c r="AY840" s="2867"/>
      <c r="AZ840" s="2867"/>
      <c r="BA840" s="2867"/>
      <c r="BB840" s="2867"/>
      <c r="BC840" s="2867"/>
      <c r="BD840" s="2867"/>
      <c r="BE840" s="2867"/>
      <c r="BF840" s="2867"/>
      <c r="BG840" s="2867"/>
      <c r="BH840" s="2867"/>
      <c r="BI840" s="2867"/>
      <c r="BJ840" s="2867"/>
      <c r="BK840" s="2867"/>
      <c r="BL840" s="2867"/>
      <c r="BM840" s="2867"/>
      <c r="BN840" s="2867"/>
      <c r="BO840" s="2867"/>
      <c r="BP840" s="2867"/>
      <c r="BQ840" s="2867"/>
      <c r="BR840" s="2867"/>
      <c r="BS840" s="2867"/>
      <c r="BT840" s="2867"/>
      <c r="BU840" s="2867"/>
      <c r="BV840" s="2867"/>
      <c r="BW840" s="2867"/>
      <c r="BX840" s="2867"/>
      <c r="BY840" s="2867"/>
      <c r="BZ840" s="2867"/>
      <c r="CA840" s="2867"/>
      <c r="CB840" s="2867"/>
      <c r="CC840" s="2867"/>
      <c r="CD840" s="2867"/>
      <c r="CE840" s="2867"/>
      <c r="CF840" s="2867"/>
      <c r="CG840" s="2867"/>
      <c r="CH840" s="2867"/>
      <c r="CI840" s="2867"/>
      <c r="CJ840" s="2867"/>
      <c r="CK840" s="2867"/>
      <c r="CL840" s="2867"/>
      <c r="CM840" s="2867"/>
      <c r="CN840" s="2867"/>
      <c r="CO840" s="2867"/>
      <c r="CP840" s="2867"/>
      <c r="CQ840" s="2867"/>
      <c r="CR840" s="2867"/>
      <c r="CS840" s="2867"/>
      <c r="CT840" s="2867"/>
      <c r="CU840" s="2867"/>
      <c r="CV840" s="2867"/>
      <c r="CW840" s="2867"/>
    </row>
    <row r="841" spans="1:101">
      <c r="A841" s="2867"/>
      <c r="B841" s="2867"/>
      <c r="C841" s="2867"/>
      <c r="D841" s="2867"/>
      <c r="E841" s="2867"/>
      <c r="F841" s="2867"/>
      <c r="G841" s="2867"/>
      <c r="H841" s="2867"/>
      <c r="I841" s="2867"/>
      <c r="J841" s="2867"/>
      <c r="K841" s="2867"/>
      <c r="L841" s="2867"/>
      <c r="M841" s="2867"/>
      <c r="O841" s="2867"/>
      <c r="P841" s="2867"/>
      <c r="Q841" s="2867"/>
      <c r="R841" s="2867"/>
      <c r="S841" s="2867"/>
      <c r="T841" s="2867"/>
      <c r="U841" s="2867"/>
      <c r="V841" s="2867"/>
      <c r="W841" s="2867"/>
      <c r="X841" s="2867"/>
      <c r="Y841" s="2867"/>
      <c r="Z841" s="2867"/>
      <c r="AA841" s="2867"/>
      <c r="AB841" s="2867"/>
      <c r="AC841" s="2867"/>
      <c r="AD841" s="2867"/>
      <c r="AE841" s="2867"/>
      <c r="AF841" s="2867"/>
      <c r="AG841" s="2867"/>
      <c r="AH841" s="2867"/>
      <c r="AI841" s="2867"/>
      <c r="AJ841" s="2867"/>
      <c r="AK841" s="2867"/>
      <c r="AL841" s="2867"/>
      <c r="AM841" s="2867"/>
      <c r="AN841" s="2867"/>
      <c r="AO841" s="2867"/>
      <c r="AP841" s="2867"/>
      <c r="AQ841" s="2867"/>
      <c r="AR841" s="2867"/>
      <c r="AS841" s="2867"/>
      <c r="AT841" s="2867"/>
      <c r="AU841" s="2867"/>
      <c r="AV841" s="2867"/>
      <c r="AW841" s="2867"/>
      <c r="AX841" s="2867"/>
      <c r="AY841" s="2867"/>
      <c r="AZ841" s="2867"/>
      <c r="BA841" s="2867"/>
      <c r="BB841" s="2867"/>
      <c r="BC841" s="2867"/>
      <c r="BD841" s="2867"/>
      <c r="BE841" s="2867"/>
      <c r="BF841" s="2867"/>
      <c r="BG841" s="2867"/>
      <c r="BH841" s="2867"/>
      <c r="BI841" s="2867"/>
      <c r="BJ841" s="2867"/>
      <c r="BK841" s="2867"/>
      <c r="BL841" s="2867"/>
      <c r="BM841" s="2867"/>
      <c r="BN841" s="2867"/>
      <c r="BO841" s="2867"/>
      <c r="BP841" s="2867"/>
      <c r="BQ841" s="2867"/>
      <c r="BR841" s="2867"/>
      <c r="BS841" s="2867"/>
      <c r="BT841" s="2867"/>
      <c r="BU841" s="2867"/>
      <c r="BV841" s="2867"/>
      <c r="BW841" s="2867"/>
      <c r="BX841" s="2867"/>
      <c r="BY841" s="2867"/>
      <c r="BZ841" s="2867"/>
      <c r="CA841" s="2867"/>
      <c r="CB841" s="2867"/>
      <c r="CC841" s="2867"/>
      <c r="CD841" s="2867"/>
      <c r="CE841" s="2867"/>
      <c r="CF841" s="2867"/>
      <c r="CG841" s="2867"/>
      <c r="CH841" s="2867"/>
      <c r="CI841" s="2867"/>
      <c r="CJ841" s="2867"/>
      <c r="CK841" s="2867"/>
      <c r="CL841" s="2867"/>
      <c r="CM841" s="2867"/>
      <c r="CN841" s="2867"/>
      <c r="CO841" s="2867"/>
      <c r="CP841" s="2867"/>
      <c r="CQ841" s="2867"/>
      <c r="CR841" s="2867"/>
      <c r="CS841" s="2867"/>
      <c r="CT841" s="2867"/>
      <c r="CU841" s="2867"/>
      <c r="CV841" s="2867"/>
      <c r="CW841" s="2867"/>
    </row>
    <row r="842" spans="1:101">
      <c r="A842" s="2867"/>
      <c r="B842" s="2867"/>
      <c r="C842" s="2867"/>
      <c r="D842" s="2867"/>
      <c r="E842" s="2867"/>
      <c r="F842" s="2867"/>
      <c r="G842" s="2867"/>
      <c r="H842" s="2867"/>
      <c r="I842" s="2867"/>
      <c r="J842" s="2867"/>
      <c r="K842" s="2867"/>
      <c r="L842" s="2867"/>
      <c r="M842" s="2867"/>
      <c r="O842" s="2867"/>
      <c r="P842" s="2867"/>
      <c r="Q842" s="2867"/>
      <c r="R842" s="2867"/>
      <c r="S842" s="2867"/>
      <c r="T842" s="2867"/>
      <c r="U842" s="2867"/>
      <c r="V842" s="2867"/>
      <c r="W842" s="2867"/>
      <c r="X842" s="2867"/>
      <c r="Y842" s="2867"/>
      <c r="Z842" s="2867"/>
      <c r="AA842" s="2867"/>
      <c r="AB842" s="2867"/>
      <c r="AC842" s="2867"/>
      <c r="AD842" s="2867"/>
      <c r="AE842" s="2867"/>
      <c r="AF842" s="2867"/>
      <c r="AG842" s="2867"/>
      <c r="AH842" s="2867"/>
      <c r="AI842" s="2867"/>
      <c r="AJ842" s="2867"/>
      <c r="AK842" s="2867"/>
      <c r="AL842" s="2867"/>
      <c r="AM842" s="2867"/>
      <c r="AN842" s="2867"/>
      <c r="AO842" s="2867"/>
      <c r="AP842" s="2867"/>
      <c r="AQ842" s="2867"/>
      <c r="AR842" s="2867"/>
      <c r="AS842" s="2867"/>
      <c r="AT842" s="2867"/>
      <c r="AU842" s="2867"/>
      <c r="AV842" s="2867"/>
      <c r="AW842" s="2867"/>
      <c r="AX842" s="2867"/>
      <c r="AY842" s="2867"/>
      <c r="AZ842" s="2867"/>
      <c r="BA842" s="2867"/>
      <c r="BB842" s="2867"/>
      <c r="BC842" s="2867"/>
      <c r="BD842" s="2867"/>
      <c r="BE842" s="2867"/>
      <c r="BF842" s="2867"/>
      <c r="BG842" s="2867"/>
      <c r="BH842" s="2867"/>
      <c r="BI842" s="2867"/>
      <c r="BJ842" s="2867"/>
      <c r="BK842" s="2867"/>
      <c r="BL842" s="2867"/>
      <c r="BM842" s="2867"/>
      <c r="BN842" s="2867"/>
      <c r="BO842" s="2867"/>
      <c r="BP842" s="2867"/>
      <c r="BQ842" s="2867"/>
      <c r="BR842" s="2867"/>
      <c r="BS842" s="2867"/>
      <c r="BT842" s="2867"/>
      <c r="BU842" s="2867"/>
      <c r="BV842" s="2867"/>
      <c r="BW842" s="2867"/>
      <c r="BX842" s="2867"/>
      <c r="BY842" s="2867"/>
      <c r="BZ842" s="2867"/>
      <c r="CA842" s="2867"/>
      <c r="CB842" s="2867"/>
      <c r="CC842" s="2867"/>
      <c r="CD842" s="2867"/>
      <c r="CE842" s="2867"/>
      <c r="CF842" s="2867"/>
      <c r="CG842" s="2867"/>
      <c r="CH842" s="2867"/>
      <c r="CI842" s="2867"/>
      <c r="CJ842" s="2867"/>
      <c r="CK842" s="2867"/>
      <c r="CL842" s="2867"/>
      <c r="CM842" s="2867"/>
      <c r="CN842" s="2867"/>
      <c r="CO842" s="2867"/>
      <c r="CP842" s="2867"/>
      <c r="CQ842" s="2867"/>
      <c r="CR842" s="2867"/>
      <c r="CS842" s="2867"/>
      <c r="CT842" s="2867"/>
      <c r="CU842" s="2867"/>
      <c r="CV842" s="2867"/>
      <c r="CW842" s="2867"/>
    </row>
    <row r="843" spans="1:101">
      <c r="A843" s="2867"/>
      <c r="B843" s="2867"/>
      <c r="C843" s="2867"/>
      <c r="D843" s="2867"/>
      <c r="E843" s="2867"/>
      <c r="F843" s="2867"/>
      <c r="G843" s="2867"/>
      <c r="H843" s="2867"/>
      <c r="I843" s="2867"/>
      <c r="J843" s="2867"/>
      <c r="K843" s="2867"/>
      <c r="L843" s="2867"/>
      <c r="M843" s="2867"/>
      <c r="O843" s="2867"/>
      <c r="P843" s="2867"/>
      <c r="Q843" s="2867"/>
      <c r="R843" s="2867"/>
      <c r="S843" s="2867"/>
      <c r="T843" s="2867"/>
      <c r="U843" s="2867"/>
      <c r="V843" s="2867"/>
      <c r="W843" s="2867"/>
      <c r="X843" s="2867"/>
      <c r="Y843" s="2867"/>
      <c r="Z843" s="2867"/>
      <c r="AA843" s="2867"/>
      <c r="AB843" s="2867"/>
      <c r="AC843" s="2867"/>
      <c r="AD843" s="2867"/>
      <c r="AE843" s="2867"/>
      <c r="AF843" s="2867"/>
      <c r="AG843" s="2867"/>
      <c r="AH843" s="2867"/>
      <c r="AI843" s="2867"/>
      <c r="AJ843" s="2867"/>
      <c r="AK843" s="2867"/>
      <c r="AL843" s="2867"/>
      <c r="AM843" s="2867"/>
      <c r="AN843" s="2867"/>
      <c r="AO843" s="2867"/>
      <c r="AP843" s="2867"/>
      <c r="AQ843" s="2867"/>
      <c r="AR843" s="2867"/>
      <c r="AS843" s="2867"/>
      <c r="AT843" s="2867"/>
      <c r="AU843" s="2867"/>
      <c r="AV843" s="2867"/>
      <c r="AW843" s="2867"/>
      <c r="AX843" s="2867"/>
      <c r="AY843" s="2867"/>
      <c r="AZ843" s="2867"/>
      <c r="BA843" s="2867"/>
      <c r="BB843" s="2867"/>
      <c r="BC843" s="2867"/>
      <c r="BD843" s="2867"/>
      <c r="BE843" s="2867"/>
      <c r="BF843" s="2867"/>
      <c r="BG843" s="2867"/>
      <c r="BH843" s="2867"/>
      <c r="BI843" s="2867"/>
      <c r="BJ843" s="2867"/>
      <c r="BK843" s="2867"/>
      <c r="BL843" s="2867"/>
      <c r="BM843" s="2867"/>
      <c r="BN843" s="2867"/>
      <c r="BO843" s="2867"/>
      <c r="BP843" s="2867"/>
      <c r="BQ843" s="2867"/>
      <c r="BR843" s="2867"/>
      <c r="BS843" s="2867"/>
      <c r="BT843" s="2867"/>
      <c r="BU843" s="2867"/>
      <c r="BV843" s="2867"/>
      <c r="BW843" s="2867"/>
      <c r="BX843" s="2867"/>
      <c r="BY843" s="2867"/>
      <c r="BZ843" s="2867"/>
      <c r="CA843" s="2867"/>
      <c r="CB843" s="2867"/>
      <c r="CC843" s="2867"/>
      <c r="CD843" s="2867"/>
      <c r="CE843" s="2867"/>
      <c r="CF843" s="2867"/>
      <c r="CG843" s="2867"/>
      <c r="CH843" s="2867"/>
      <c r="CI843" s="2867"/>
      <c r="CJ843" s="2867"/>
      <c r="CK843" s="2867"/>
      <c r="CL843" s="2867"/>
      <c r="CM843" s="2867"/>
      <c r="CN843" s="2867"/>
      <c r="CO843" s="2867"/>
      <c r="CP843" s="2867"/>
      <c r="CQ843" s="2867"/>
      <c r="CR843" s="2867"/>
      <c r="CS843" s="2867"/>
      <c r="CT843" s="2867"/>
      <c r="CU843" s="2867"/>
      <c r="CV843" s="2867"/>
      <c r="CW843" s="2867"/>
    </row>
    <row r="844" spans="1:101">
      <c r="A844" s="2867"/>
      <c r="B844" s="2867"/>
      <c r="C844" s="2867"/>
      <c r="D844" s="2867"/>
      <c r="E844" s="2867"/>
      <c r="F844" s="2867"/>
      <c r="G844" s="2867"/>
      <c r="H844" s="2867"/>
      <c r="I844" s="2867"/>
      <c r="J844" s="2867"/>
      <c r="K844" s="2867"/>
      <c r="L844" s="2867"/>
      <c r="M844" s="2867"/>
      <c r="O844" s="2867"/>
      <c r="P844" s="2867"/>
      <c r="Q844" s="2867"/>
      <c r="R844" s="2867"/>
      <c r="S844" s="2867"/>
      <c r="T844" s="2867"/>
      <c r="U844" s="2867"/>
      <c r="V844" s="2867"/>
      <c r="W844" s="2867"/>
      <c r="X844" s="2867"/>
      <c r="Y844" s="2867"/>
      <c r="Z844" s="2867"/>
      <c r="AA844" s="2867"/>
      <c r="AB844" s="2867"/>
      <c r="AC844" s="2867"/>
      <c r="AD844" s="2867"/>
      <c r="AE844" s="2867"/>
      <c r="AF844" s="2867"/>
      <c r="AG844" s="2867"/>
      <c r="AH844" s="2867"/>
      <c r="AI844" s="2867"/>
      <c r="AJ844" s="2867"/>
      <c r="AK844" s="2867"/>
      <c r="AL844" s="2867"/>
      <c r="AM844" s="2867"/>
      <c r="AN844" s="2867"/>
      <c r="AO844" s="2867"/>
      <c r="AP844" s="2867"/>
      <c r="AQ844" s="2867"/>
      <c r="AR844" s="2867"/>
      <c r="AS844" s="2867"/>
      <c r="AT844" s="2867"/>
      <c r="AU844" s="2867"/>
      <c r="AV844" s="2867"/>
      <c r="AW844" s="2867"/>
      <c r="AX844" s="2867"/>
      <c r="AY844" s="2867"/>
      <c r="AZ844" s="2867"/>
      <c r="BA844" s="2867"/>
      <c r="BB844" s="2867"/>
      <c r="BC844" s="2867"/>
      <c r="BD844" s="2867"/>
      <c r="BE844" s="2867"/>
      <c r="BF844" s="2867"/>
      <c r="BG844" s="2867"/>
      <c r="BH844" s="2867"/>
      <c r="BI844" s="2867"/>
      <c r="BJ844" s="2867"/>
      <c r="BK844" s="2867"/>
      <c r="BL844" s="2867"/>
      <c r="BM844" s="2867"/>
      <c r="BN844" s="2867"/>
      <c r="BO844" s="2867"/>
      <c r="BP844" s="2867"/>
      <c r="BQ844" s="2867"/>
      <c r="BR844" s="2867"/>
      <c r="BS844" s="2867"/>
      <c r="BT844" s="2867"/>
      <c r="BU844" s="2867"/>
      <c r="BV844" s="2867"/>
      <c r="BW844" s="2867"/>
      <c r="BX844" s="2867"/>
      <c r="BY844" s="2867"/>
      <c r="BZ844" s="2867"/>
      <c r="CA844" s="2867"/>
      <c r="CB844" s="2867"/>
      <c r="CC844" s="2867"/>
      <c r="CD844" s="2867"/>
      <c r="CE844" s="2867"/>
      <c r="CF844" s="2867"/>
      <c r="CG844" s="2867"/>
      <c r="CH844" s="2867"/>
      <c r="CI844" s="2867"/>
      <c r="CJ844" s="2867"/>
      <c r="CK844" s="2867"/>
      <c r="CL844" s="2867"/>
      <c r="CM844" s="2867"/>
      <c r="CN844" s="2867"/>
      <c r="CO844" s="2867"/>
      <c r="CP844" s="2867"/>
      <c r="CQ844" s="2867"/>
      <c r="CR844" s="2867"/>
      <c r="CS844" s="2867"/>
      <c r="CT844" s="2867"/>
      <c r="CU844" s="2867"/>
      <c r="CV844" s="2867"/>
      <c r="CW844" s="2867"/>
    </row>
    <row r="845" spans="1:101">
      <c r="A845" s="2867"/>
      <c r="B845" s="2867"/>
      <c r="C845" s="2867"/>
      <c r="D845" s="2867"/>
      <c r="E845" s="2867"/>
      <c r="F845" s="2867"/>
      <c r="G845" s="2867"/>
      <c r="H845" s="2867"/>
      <c r="I845" s="2867"/>
      <c r="J845" s="2867"/>
      <c r="K845" s="2867"/>
      <c r="L845" s="2867"/>
      <c r="M845" s="2867"/>
      <c r="O845" s="2867"/>
      <c r="P845" s="2867"/>
      <c r="Q845" s="2867"/>
      <c r="R845" s="2867"/>
      <c r="S845" s="2867"/>
      <c r="T845" s="2867"/>
      <c r="U845" s="2867"/>
      <c r="V845" s="2867"/>
      <c r="W845" s="2867"/>
      <c r="X845" s="2867"/>
      <c r="Y845" s="2867"/>
      <c r="Z845" s="2867"/>
      <c r="AA845" s="2867"/>
      <c r="AB845" s="2867"/>
      <c r="AC845" s="2867"/>
      <c r="AD845" s="2867"/>
      <c r="AE845" s="2867"/>
      <c r="AF845" s="2867"/>
      <c r="AG845" s="2867"/>
      <c r="AH845" s="2867"/>
      <c r="AI845" s="2867"/>
      <c r="AJ845" s="2867"/>
      <c r="AK845" s="2867"/>
      <c r="AL845" s="2867"/>
      <c r="AM845" s="2867"/>
      <c r="AN845" s="2867"/>
      <c r="AO845" s="2867"/>
      <c r="AP845" s="2867"/>
      <c r="AQ845" s="2867"/>
      <c r="AR845" s="2867"/>
      <c r="AS845" s="2867"/>
      <c r="AT845" s="2867"/>
      <c r="AU845" s="2867"/>
      <c r="AV845" s="2867"/>
      <c r="AW845" s="2867"/>
      <c r="AX845" s="2867"/>
      <c r="AY845" s="2867"/>
      <c r="AZ845" s="2867"/>
      <c r="BA845" s="2867"/>
      <c r="BB845" s="2867"/>
      <c r="BC845" s="2867"/>
      <c r="BD845" s="2867"/>
      <c r="BE845" s="2867"/>
      <c r="BF845" s="2867"/>
      <c r="BG845" s="2867"/>
      <c r="BH845" s="2867"/>
      <c r="BI845" s="2867"/>
      <c r="BJ845" s="2867"/>
      <c r="BK845" s="2867"/>
      <c r="BL845" s="2867"/>
      <c r="BM845" s="2867"/>
      <c r="BN845" s="2867"/>
      <c r="BO845" s="2867"/>
      <c r="BP845" s="2867"/>
      <c r="BQ845" s="2867"/>
      <c r="BR845" s="2867"/>
      <c r="BS845" s="2867"/>
      <c r="BT845" s="2867"/>
      <c r="BU845" s="2867"/>
      <c r="BV845" s="2867"/>
      <c r="BW845" s="2867"/>
      <c r="BX845" s="2867"/>
      <c r="BY845" s="2867"/>
      <c r="BZ845" s="2867"/>
      <c r="CA845" s="2867"/>
      <c r="CB845" s="2867"/>
      <c r="CC845" s="2867"/>
      <c r="CD845" s="2867"/>
      <c r="CE845" s="2867"/>
      <c r="CF845" s="2867"/>
      <c r="CG845" s="2867"/>
      <c r="CH845" s="2867"/>
      <c r="CI845" s="2867"/>
      <c r="CJ845" s="2867"/>
      <c r="CK845" s="2867"/>
      <c r="CL845" s="2867"/>
      <c r="CM845" s="2867"/>
      <c r="CN845" s="2867"/>
      <c r="CO845" s="2867"/>
      <c r="CP845" s="2867"/>
      <c r="CQ845" s="2867"/>
      <c r="CR845" s="2867"/>
      <c r="CS845" s="2867"/>
      <c r="CT845" s="2867"/>
      <c r="CU845" s="2867"/>
      <c r="CV845" s="2867"/>
      <c r="CW845" s="2867"/>
    </row>
    <row r="846" spans="1:101">
      <c r="A846" s="2867"/>
      <c r="B846" s="2867"/>
      <c r="C846" s="2867"/>
      <c r="D846" s="2867"/>
      <c r="E846" s="2867"/>
      <c r="F846" s="2867"/>
      <c r="G846" s="2867"/>
      <c r="H846" s="2867"/>
      <c r="I846" s="2867"/>
      <c r="J846" s="2867"/>
      <c r="K846" s="2867"/>
      <c r="L846" s="2867"/>
      <c r="M846" s="2867"/>
      <c r="O846" s="2867"/>
      <c r="P846" s="2867"/>
      <c r="Q846" s="2867"/>
      <c r="R846" s="2867"/>
      <c r="S846" s="2867"/>
      <c r="T846" s="2867"/>
      <c r="U846" s="2867"/>
      <c r="V846" s="2867"/>
      <c r="W846" s="2867"/>
      <c r="X846" s="2867"/>
      <c r="Y846" s="2867"/>
      <c r="Z846" s="2867"/>
      <c r="AA846" s="2867"/>
      <c r="AB846" s="2867"/>
      <c r="AC846" s="2867"/>
      <c r="AD846" s="2867"/>
      <c r="AE846" s="2867"/>
      <c r="AF846" s="2867"/>
      <c r="AG846" s="2867"/>
      <c r="AH846" s="2867"/>
      <c r="AI846" s="2867"/>
      <c r="AJ846" s="2867"/>
      <c r="AK846" s="2867"/>
      <c r="AL846" s="2867"/>
      <c r="AM846" s="2867"/>
      <c r="AN846" s="2867"/>
      <c r="AO846" s="2867"/>
      <c r="AP846" s="2867"/>
      <c r="AQ846" s="2867"/>
      <c r="AR846" s="2867"/>
      <c r="AS846" s="2867"/>
      <c r="AT846" s="2867"/>
      <c r="AU846" s="2867"/>
      <c r="AV846" s="2867"/>
      <c r="AW846" s="2867"/>
      <c r="AX846" s="2867"/>
      <c r="AY846" s="2867"/>
      <c r="AZ846" s="2867"/>
      <c r="BA846" s="2867"/>
      <c r="BB846" s="2867"/>
      <c r="BC846" s="2867"/>
      <c r="BD846" s="2867"/>
      <c r="BE846" s="2867"/>
      <c r="BF846" s="2867"/>
      <c r="BG846" s="2867"/>
      <c r="BH846" s="2867"/>
      <c r="BI846" s="2867"/>
      <c r="BJ846" s="2867"/>
      <c r="BK846" s="2867"/>
      <c r="BL846" s="2867"/>
      <c r="BM846" s="2867"/>
      <c r="BN846" s="2867"/>
      <c r="BO846" s="2867"/>
      <c r="BP846" s="2867"/>
      <c r="BQ846" s="2867"/>
      <c r="BR846" s="2867"/>
      <c r="BS846" s="2867"/>
      <c r="BT846" s="2867"/>
      <c r="BU846" s="2867"/>
      <c r="BV846" s="2867"/>
      <c r="BW846" s="2867"/>
      <c r="BX846" s="2867"/>
      <c r="BY846" s="2867"/>
      <c r="BZ846" s="2867"/>
      <c r="CA846" s="2867"/>
      <c r="CB846" s="2867"/>
      <c r="CC846" s="2867"/>
      <c r="CD846" s="2867"/>
      <c r="CE846" s="2867"/>
      <c r="CF846" s="2867"/>
      <c r="CG846" s="2867"/>
      <c r="CH846" s="2867"/>
      <c r="CI846" s="2867"/>
      <c r="CJ846" s="2867"/>
      <c r="CK846" s="2867"/>
      <c r="CL846" s="2867"/>
      <c r="CM846" s="2867"/>
      <c r="CN846" s="2867"/>
      <c r="CO846" s="2867"/>
      <c r="CP846" s="2867"/>
      <c r="CQ846" s="2867"/>
      <c r="CR846" s="2867"/>
      <c r="CS846" s="2867"/>
      <c r="CT846" s="2867"/>
      <c r="CU846" s="2867"/>
      <c r="CV846" s="2867"/>
      <c r="CW846" s="2867"/>
    </row>
    <row r="847" spans="1:101">
      <c r="A847" s="2867"/>
      <c r="B847" s="2867"/>
      <c r="C847" s="2867"/>
      <c r="D847" s="2867"/>
      <c r="E847" s="2867"/>
      <c r="F847" s="2867"/>
      <c r="G847" s="2867"/>
      <c r="H847" s="2867"/>
      <c r="I847" s="2867"/>
      <c r="J847" s="2867"/>
      <c r="K847" s="2867"/>
      <c r="L847" s="2867"/>
      <c r="M847" s="2867"/>
      <c r="O847" s="2867"/>
      <c r="P847" s="2867"/>
      <c r="Q847" s="2867"/>
      <c r="R847" s="2867"/>
      <c r="S847" s="2867"/>
      <c r="T847" s="2867"/>
      <c r="U847" s="2867"/>
      <c r="V847" s="2867"/>
      <c r="W847" s="2867"/>
      <c r="X847" s="2867"/>
      <c r="Y847" s="2867"/>
      <c r="Z847" s="2867"/>
      <c r="AA847" s="2867"/>
      <c r="AB847" s="2867"/>
      <c r="AC847" s="2867"/>
      <c r="AD847" s="2867"/>
      <c r="AE847" s="2867"/>
      <c r="AF847" s="2867"/>
      <c r="AG847" s="2867"/>
      <c r="AH847" s="2867"/>
      <c r="AI847" s="2867"/>
      <c r="AJ847" s="2867"/>
      <c r="AK847" s="2867"/>
      <c r="AL847" s="2867"/>
      <c r="AM847" s="2867"/>
      <c r="AN847" s="2867"/>
      <c r="AO847" s="2867"/>
      <c r="AP847" s="2867"/>
      <c r="AQ847" s="2867"/>
      <c r="AR847" s="2867"/>
      <c r="AS847" s="2867"/>
      <c r="AT847" s="2867"/>
      <c r="AU847" s="2867"/>
      <c r="AV847" s="2867"/>
      <c r="AW847" s="2867"/>
      <c r="AX847" s="2867"/>
      <c r="AY847" s="2867"/>
      <c r="AZ847" s="2867"/>
      <c r="BA847" s="2867"/>
      <c r="BB847" s="2867"/>
      <c r="BC847" s="2867"/>
      <c r="BD847" s="2867"/>
      <c r="BE847" s="2867"/>
      <c r="BF847" s="2867"/>
      <c r="BG847" s="2867"/>
      <c r="BH847" s="2867"/>
      <c r="BI847" s="2867"/>
      <c r="BJ847" s="2867"/>
      <c r="BK847" s="2867"/>
      <c r="BL847" s="2867"/>
      <c r="BM847" s="2867"/>
      <c r="BN847" s="2867"/>
      <c r="BO847" s="2867"/>
      <c r="BP847" s="2867"/>
      <c r="BQ847" s="2867"/>
      <c r="BR847" s="2867"/>
      <c r="BS847" s="2867"/>
      <c r="BT847" s="2867"/>
      <c r="BU847" s="2867"/>
      <c r="BV847" s="2867"/>
      <c r="BW847" s="2867"/>
      <c r="BX847" s="2867"/>
      <c r="BY847" s="2867"/>
      <c r="BZ847" s="2867"/>
      <c r="CA847" s="2867"/>
      <c r="CB847" s="2867"/>
      <c r="CC847" s="2867"/>
      <c r="CD847" s="2867"/>
      <c r="CE847" s="2867"/>
      <c r="CF847" s="2867"/>
      <c r="CG847" s="2867"/>
      <c r="CH847" s="2867"/>
      <c r="CI847" s="2867"/>
      <c r="CJ847" s="2867"/>
      <c r="CK847" s="2867"/>
      <c r="CL847" s="2867"/>
      <c r="CM847" s="2867"/>
      <c r="CN847" s="2867"/>
      <c r="CO847" s="2867"/>
      <c r="CP847" s="2867"/>
      <c r="CQ847" s="2867"/>
      <c r="CR847" s="2867"/>
      <c r="CS847" s="2867"/>
      <c r="CT847" s="2867"/>
      <c r="CU847" s="2867"/>
      <c r="CV847" s="2867"/>
      <c r="CW847" s="2867"/>
    </row>
    <row r="848" spans="1:101">
      <c r="A848" s="2867"/>
      <c r="B848" s="2867"/>
      <c r="C848" s="2867"/>
      <c r="D848" s="2867"/>
      <c r="E848" s="2867"/>
      <c r="F848" s="2867"/>
      <c r="G848" s="2867"/>
      <c r="H848" s="2867"/>
      <c r="I848" s="2867"/>
      <c r="J848" s="2867"/>
      <c r="K848" s="2867"/>
      <c r="L848" s="2867"/>
      <c r="M848" s="2867"/>
      <c r="O848" s="2867"/>
      <c r="P848" s="2867"/>
      <c r="Q848" s="2867"/>
      <c r="R848" s="2867"/>
      <c r="S848" s="2867"/>
      <c r="T848" s="2867"/>
      <c r="U848" s="2867"/>
      <c r="V848" s="2867"/>
      <c r="W848" s="2867"/>
      <c r="X848" s="2867"/>
      <c r="Y848" s="2867"/>
      <c r="Z848" s="2867"/>
      <c r="AA848" s="2867"/>
      <c r="AB848" s="2867"/>
      <c r="AC848" s="2867"/>
      <c r="AD848" s="2867"/>
      <c r="AE848" s="2867"/>
      <c r="AF848" s="2867"/>
      <c r="AG848" s="2867"/>
      <c r="AH848" s="2867"/>
      <c r="AI848" s="2867"/>
      <c r="AJ848" s="2867"/>
      <c r="AK848" s="2867"/>
      <c r="AL848" s="2867"/>
      <c r="AM848" s="2867"/>
      <c r="AN848" s="2867"/>
      <c r="AO848" s="2867"/>
      <c r="AP848" s="2867"/>
      <c r="AQ848" s="2867"/>
      <c r="AR848" s="2867"/>
      <c r="AS848" s="2867"/>
      <c r="AT848" s="2867"/>
      <c r="AU848" s="2867"/>
      <c r="AV848" s="2867"/>
      <c r="AW848" s="2867"/>
      <c r="AX848" s="2867"/>
      <c r="AY848" s="2867"/>
      <c r="AZ848" s="2867"/>
      <c r="BA848" s="2867"/>
      <c r="BB848" s="2867"/>
      <c r="BC848" s="2867"/>
      <c r="BD848" s="2867"/>
      <c r="BE848" s="2867"/>
      <c r="BF848" s="2867"/>
      <c r="BG848" s="2867"/>
      <c r="BH848" s="2867"/>
      <c r="BI848" s="2867"/>
      <c r="BJ848" s="2867"/>
      <c r="BK848" s="2867"/>
      <c r="BL848" s="2867"/>
      <c r="BM848" s="2867"/>
      <c r="BN848" s="2867"/>
      <c r="BO848" s="2867"/>
      <c r="BP848" s="2867"/>
      <c r="BQ848" s="2867"/>
      <c r="BR848" s="2867"/>
      <c r="BS848" s="2867"/>
      <c r="BT848" s="2867"/>
      <c r="BU848" s="2867"/>
      <c r="BV848" s="2867"/>
      <c r="BW848" s="2867"/>
      <c r="BX848" s="2867"/>
      <c r="BY848" s="2867"/>
      <c r="BZ848" s="2867"/>
      <c r="CA848" s="2867"/>
      <c r="CB848" s="2867"/>
      <c r="CC848" s="2867"/>
      <c r="CD848" s="2867"/>
      <c r="CE848" s="2867"/>
      <c r="CF848" s="2867"/>
      <c r="CG848" s="2867"/>
      <c r="CH848" s="2867"/>
      <c r="CI848" s="2867"/>
      <c r="CJ848" s="2867"/>
      <c r="CK848" s="2867"/>
      <c r="CL848" s="2867"/>
      <c r="CM848" s="2867"/>
      <c r="CN848" s="2867"/>
      <c r="CO848" s="2867"/>
      <c r="CP848" s="2867"/>
      <c r="CQ848" s="2867"/>
      <c r="CR848" s="2867"/>
      <c r="CS848" s="2867"/>
      <c r="CT848" s="2867"/>
      <c r="CU848" s="2867"/>
      <c r="CV848" s="2867"/>
      <c r="CW848" s="2867"/>
    </row>
    <row r="849" spans="1:101">
      <c r="A849" s="2867"/>
      <c r="B849" s="2867"/>
      <c r="C849" s="2867"/>
      <c r="D849" s="2867"/>
      <c r="E849" s="2867"/>
      <c r="F849" s="2867"/>
      <c r="G849" s="2867"/>
      <c r="H849" s="2867"/>
      <c r="I849" s="2867"/>
      <c r="J849" s="2867"/>
      <c r="K849" s="2867"/>
      <c r="L849" s="2867"/>
      <c r="M849" s="2867"/>
      <c r="O849" s="2867"/>
      <c r="P849" s="2867"/>
      <c r="Q849" s="2867"/>
      <c r="R849" s="2867"/>
      <c r="S849" s="2867"/>
      <c r="T849" s="2867"/>
      <c r="U849" s="2867"/>
      <c r="V849" s="2867"/>
      <c r="W849" s="2867"/>
      <c r="X849" s="2867"/>
      <c r="Y849" s="2867"/>
      <c r="Z849" s="2867"/>
      <c r="AA849" s="2867"/>
      <c r="AB849" s="2867"/>
      <c r="AC849" s="2867"/>
      <c r="AD849" s="2867"/>
      <c r="AE849" s="2867"/>
      <c r="AF849" s="2867"/>
      <c r="AG849" s="2867"/>
      <c r="AH849" s="2867"/>
      <c r="AI849" s="2867"/>
      <c r="AJ849" s="2867"/>
      <c r="AK849" s="2867"/>
      <c r="AL849" s="2867"/>
      <c r="AM849" s="2867"/>
      <c r="AN849" s="2867"/>
      <c r="AO849" s="2867"/>
      <c r="AP849" s="2867"/>
      <c r="AQ849" s="2867"/>
      <c r="AR849" s="2867"/>
      <c r="AS849" s="2867"/>
      <c r="AT849" s="2867"/>
      <c r="AU849" s="2867"/>
      <c r="AV849" s="2867"/>
      <c r="AW849" s="2867"/>
      <c r="AX849" s="2867"/>
      <c r="AY849" s="2867"/>
      <c r="AZ849" s="2867"/>
      <c r="BA849" s="2867"/>
      <c r="BB849" s="2867"/>
      <c r="BC849" s="2867"/>
      <c r="BD849" s="2867"/>
      <c r="BE849" s="2867"/>
      <c r="BF849" s="2867"/>
      <c r="BG849" s="2867"/>
      <c r="BH849" s="2867"/>
      <c r="BI849" s="2867"/>
      <c r="BJ849" s="2867"/>
      <c r="BK849" s="2867"/>
      <c r="BL849" s="2867"/>
      <c r="BM849" s="2867"/>
      <c r="BN849" s="2867"/>
      <c r="BO849" s="2867"/>
      <c r="BP849" s="2867"/>
      <c r="BQ849" s="2867"/>
      <c r="BR849" s="2867"/>
      <c r="BS849" s="2867"/>
      <c r="BT849" s="2867"/>
      <c r="BU849" s="2867"/>
      <c r="BV849" s="2867"/>
      <c r="BW849" s="2867"/>
      <c r="BX849" s="2867"/>
      <c r="BY849" s="2867"/>
      <c r="BZ849" s="2867"/>
      <c r="CA849" s="2867"/>
      <c r="CB849" s="2867"/>
      <c r="CC849" s="2867"/>
      <c r="CD849" s="2867"/>
      <c r="CE849" s="2867"/>
      <c r="CF849" s="2867"/>
      <c r="CG849" s="2867"/>
      <c r="CH849" s="2867"/>
      <c r="CI849" s="2867"/>
      <c r="CJ849" s="2867"/>
      <c r="CK849" s="2867"/>
      <c r="CL849" s="2867"/>
      <c r="CM849" s="2867"/>
      <c r="CN849" s="2867"/>
      <c r="CO849" s="2867"/>
      <c r="CP849" s="2867"/>
      <c r="CQ849" s="2867"/>
      <c r="CR849" s="2867"/>
      <c r="CS849" s="2867"/>
      <c r="CT849" s="2867"/>
      <c r="CU849" s="2867"/>
      <c r="CV849" s="2867"/>
      <c r="CW849" s="2867"/>
    </row>
    <row r="850" spans="1:101">
      <c r="A850" s="2867"/>
      <c r="B850" s="2867"/>
      <c r="C850" s="2867"/>
      <c r="D850" s="2867"/>
      <c r="E850" s="2867"/>
      <c r="F850" s="2867"/>
      <c r="G850" s="2867"/>
      <c r="H850" s="2867"/>
      <c r="I850" s="2867"/>
      <c r="J850" s="2867"/>
      <c r="K850" s="2867"/>
      <c r="L850" s="2867"/>
      <c r="M850" s="2867"/>
      <c r="O850" s="2867"/>
      <c r="P850" s="2867"/>
      <c r="Q850" s="2867"/>
      <c r="R850" s="2867"/>
      <c r="S850" s="2867"/>
      <c r="T850" s="2867"/>
      <c r="U850" s="2867"/>
      <c r="V850" s="2867"/>
      <c r="W850" s="2867"/>
      <c r="X850" s="2867"/>
      <c r="Y850" s="2867"/>
      <c r="Z850" s="2867"/>
      <c r="AA850" s="2867"/>
      <c r="AB850" s="2867"/>
      <c r="AC850" s="2867"/>
      <c r="AD850" s="2867"/>
      <c r="AE850" s="2867"/>
      <c r="AF850" s="2867"/>
      <c r="AG850" s="2867"/>
      <c r="AH850" s="2867"/>
      <c r="AI850" s="2867"/>
      <c r="AJ850" s="2867"/>
      <c r="AK850" s="2867"/>
      <c r="AL850" s="2867"/>
      <c r="AM850" s="2867"/>
      <c r="AN850" s="2867"/>
      <c r="AO850" s="2867"/>
      <c r="AP850" s="2867"/>
      <c r="AQ850" s="2867"/>
      <c r="AR850" s="2867"/>
      <c r="AS850" s="2867"/>
      <c r="AT850" s="2867"/>
      <c r="AU850" s="2867"/>
      <c r="AV850" s="2867"/>
      <c r="AW850" s="2867"/>
      <c r="AX850" s="2867"/>
      <c r="AY850" s="2867"/>
      <c r="AZ850" s="2867"/>
      <c r="BA850" s="2867"/>
      <c r="BB850" s="2867"/>
      <c r="BC850" s="2867"/>
      <c r="BD850" s="2867"/>
      <c r="BE850" s="2867"/>
      <c r="BF850" s="2867"/>
      <c r="BG850" s="2867"/>
      <c r="BH850" s="2867"/>
      <c r="BI850" s="2867"/>
      <c r="BJ850" s="2867"/>
      <c r="BK850" s="2867"/>
      <c r="BL850" s="2867"/>
      <c r="BM850" s="2867"/>
      <c r="BN850" s="2867"/>
      <c r="BO850" s="2867"/>
      <c r="BP850" s="2867"/>
      <c r="BQ850" s="2867"/>
      <c r="BR850" s="2867"/>
      <c r="BS850" s="2867"/>
      <c r="BT850" s="2867"/>
      <c r="BU850" s="2867"/>
      <c r="BV850" s="2867"/>
      <c r="BW850" s="2867"/>
      <c r="BX850" s="2867"/>
      <c r="BY850" s="2867"/>
      <c r="BZ850" s="2867"/>
      <c r="CA850" s="2867"/>
      <c r="CB850" s="2867"/>
      <c r="CC850" s="2867"/>
      <c r="CD850" s="2867"/>
      <c r="CE850" s="2867"/>
      <c r="CF850" s="2867"/>
      <c r="CG850" s="2867"/>
      <c r="CH850" s="2867"/>
      <c r="CI850" s="2867"/>
      <c r="CJ850" s="2867"/>
      <c r="CK850" s="2867"/>
      <c r="CL850" s="2867"/>
      <c r="CM850" s="2867"/>
      <c r="CN850" s="2867"/>
      <c r="CO850" s="2867"/>
      <c r="CP850" s="2867"/>
      <c r="CQ850" s="2867"/>
      <c r="CR850" s="2867"/>
      <c r="CS850" s="2867"/>
      <c r="CT850" s="2867"/>
      <c r="CU850" s="2867"/>
      <c r="CV850" s="2867"/>
      <c r="CW850" s="2867"/>
    </row>
    <row r="851" spans="1:101">
      <c r="A851" s="2867"/>
      <c r="B851" s="2867"/>
      <c r="C851" s="2867"/>
      <c r="D851" s="2867"/>
      <c r="E851" s="2867"/>
      <c r="F851" s="2867"/>
      <c r="G851" s="2867"/>
      <c r="H851" s="2867"/>
      <c r="I851" s="2867"/>
      <c r="J851" s="2867"/>
      <c r="K851" s="2867"/>
      <c r="L851" s="2867"/>
      <c r="M851" s="2867"/>
      <c r="O851" s="2867"/>
      <c r="P851" s="2867"/>
      <c r="Q851" s="2867"/>
      <c r="R851" s="2867"/>
      <c r="S851" s="2867"/>
      <c r="T851" s="2867"/>
      <c r="U851" s="2867"/>
      <c r="V851" s="2867"/>
      <c r="W851" s="2867"/>
      <c r="X851" s="2867"/>
      <c r="Y851" s="2867"/>
      <c r="Z851" s="2867"/>
      <c r="AA851" s="2867"/>
      <c r="AB851" s="2867"/>
      <c r="AC851" s="2867"/>
      <c r="AD851" s="2867"/>
      <c r="AE851" s="2867"/>
      <c r="AF851" s="2867"/>
      <c r="AG851" s="2867"/>
      <c r="AH851" s="2867"/>
      <c r="AI851" s="2867"/>
      <c r="AJ851" s="2867"/>
      <c r="AK851" s="2867"/>
      <c r="AL851" s="2867"/>
      <c r="AM851" s="2867"/>
      <c r="AN851" s="2867"/>
      <c r="AO851" s="2867"/>
      <c r="AP851" s="2867"/>
      <c r="AQ851" s="2867"/>
      <c r="AR851" s="2867"/>
      <c r="AS851" s="2867"/>
      <c r="AT851" s="2867"/>
      <c r="AU851" s="2867"/>
      <c r="AV851" s="2867"/>
      <c r="AW851" s="2867"/>
      <c r="AX851" s="2867"/>
      <c r="AY851" s="2867"/>
      <c r="AZ851" s="2867"/>
      <c r="BA851" s="2867"/>
      <c r="BB851" s="2867"/>
      <c r="BC851" s="2867"/>
      <c r="BD851" s="2867"/>
      <c r="BE851" s="2867"/>
      <c r="BF851" s="2867"/>
      <c r="BG851" s="2867"/>
      <c r="BH851" s="2867"/>
      <c r="BI851" s="2867"/>
      <c r="BJ851" s="2867"/>
      <c r="BK851" s="2867"/>
      <c r="BL851" s="2867"/>
      <c r="BM851" s="2867"/>
      <c r="BN851" s="2867"/>
      <c r="BO851" s="2867"/>
      <c r="BP851" s="2867"/>
      <c r="BQ851" s="2867"/>
      <c r="BR851" s="2867"/>
      <c r="BS851" s="2867"/>
      <c r="BT851" s="2867"/>
      <c r="BU851" s="2867"/>
      <c r="BV851" s="2867"/>
      <c r="BW851" s="2867"/>
      <c r="BX851" s="2867"/>
      <c r="BY851" s="2867"/>
      <c r="BZ851" s="2867"/>
      <c r="CA851" s="2867"/>
      <c r="CB851" s="2867"/>
      <c r="CC851" s="2867"/>
      <c r="CD851" s="2867"/>
      <c r="CE851" s="2867"/>
      <c r="CF851" s="2867"/>
      <c r="CG851" s="2867"/>
      <c r="CH851" s="2867"/>
      <c r="CI851" s="2867"/>
      <c r="CJ851" s="2867"/>
      <c r="CK851" s="2867"/>
      <c r="CL851" s="2867"/>
      <c r="CM851" s="2867"/>
      <c r="CN851" s="2867"/>
      <c r="CO851" s="2867"/>
      <c r="CP851" s="2867"/>
      <c r="CQ851" s="2867"/>
      <c r="CR851" s="2867"/>
      <c r="CS851" s="2867"/>
      <c r="CT851" s="2867"/>
      <c r="CU851" s="2867"/>
      <c r="CV851" s="2867"/>
      <c r="CW851" s="2867"/>
    </row>
    <row r="852" spans="1:101">
      <c r="A852" s="2867"/>
      <c r="B852" s="2867"/>
      <c r="C852" s="2867"/>
      <c r="D852" s="2867"/>
      <c r="E852" s="2867"/>
      <c r="F852" s="2867"/>
      <c r="G852" s="2867"/>
      <c r="H852" s="2867"/>
      <c r="I852" s="2867"/>
      <c r="J852" s="2867"/>
      <c r="K852" s="2867"/>
      <c r="L852" s="2867"/>
      <c r="M852" s="2867"/>
      <c r="O852" s="2867"/>
      <c r="P852" s="2867"/>
      <c r="Q852" s="2867"/>
      <c r="R852" s="2867"/>
      <c r="S852" s="2867"/>
      <c r="T852" s="2867"/>
      <c r="U852" s="2867"/>
      <c r="V852" s="2867"/>
      <c r="W852" s="2867"/>
      <c r="X852" s="2867"/>
      <c r="Y852" s="2867"/>
      <c r="Z852" s="2867"/>
      <c r="AA852" s="2867"/>
      <c r="AB852" s="2867"/>
      <c r="AC852" s="2867"/>
      <c r="AD852" s="2867"/>
      <c r="AE852" s="2867"/>
      <c r="AF852" s="2867"/>
      <c r="AG852" s="2867"/>
      <c r="AH852" s="2867"/>
      <c r="AI852" s="2867"/>
      <c r="AJ852" s="2867"/>
      <c r="AK852" s="2867"/>
      <c r="AL852" s="2867"/>
      <c r="AM852" s="2867"/>
      <c r="AN852" s="2867"/>
      <c r="AO852" s="2867"/>
      <c r="AP852" s="2867"/>
      <c r="AQ852" s="2867"/>
      <c r="AR852" s="2867"/>
      <c r="AS852" s="2867"/>
      <c r="AT852" s="2867"/>
      <c r="AU852" s="2867"/>
      <c r="AV852" s="2867"/>
      <c r="AW852" s="2867"/>
      <c r="AX852" s="2867"/>
      <c r="AY852" s="2867"/>
      <c r="AZ852" s="2867"/>
      <c r="BA852" s="2867"/>
      <c r="BB852" s="2867"/>
      <c r="BC852" s="2867"/>
      <c r="BD852" s="2867"/>
      <c r="BE852" s="2867"/>
      <c r="BF852" s="2867"/>
      <c r="BG852" s="2867"/>
      <c r="BH852" s="2867"/>
      <c r="BI852" s="2867"/>
      <c r="BJ852" s="2867"/>
      <c r="BK852" s="2867"/>
      <c r="BL852" s="2867"/>
      <c r="BM852" s="2867"/>
      <c r="BN852" s="2867"/>
      <c r="BO852" s="2867"/>
      <c r="BP852" s="2867"/>
      <c r="BQ852" s="2867"/>
      <c r="BR852" s="2867"/>
      <c r="BS852" s="2867"/>
      <c r="BT852" s="2867"/>
      <c r="BU852" s="2867"/>
      <c r="BV852" s="2867"/>
      <c r="BW852" s="2867"/>
      <c r="BX852" s="2867"/>
      <c r="BY852" s="2867"/>
      <c r="BZ852" s="2867"/>
      <c r="CA852" s="2867"/>
      <c r="CB852" s="2867"/>
      <c r="CC852" s="2867"/>
      <c r="CD852" s="2867"/>
      <c r="CE852" s="2867"/>
      <c r="CF852" s="2867"/>
      <c r="CG852" s="2867"/>
      <c r="CH852" s="2867"/>
      <c r="CI852" s="2867"/>
      <c r="CJ852" s="2867"/>
      <c r="CK852" s="2867"/>
      <c r="CL852" s="2867"/>
      <c r="CM852" s="2867"/>
      <c r="CN852" s="2867"/>
      <c r="CO852" s="2867"/>
      <c r="CP852" s="2867"/>
      <c r="CQ852" s="2867"/>
      <c r="CR852" s="2867"/>
      <c r="CS852" s="2867"/>
      <c r="CT852" s="2867"/>
      <c r="CU852" s="2867"/>
      <c r="CV852" s="2867"/>
      <c r="CW852" s="2867"/>
    </row>
    <row r="853" spans="1:101">
      <c r="A853" s="2867"/>
      <c r="B853" s="2867"/>
      <c r="C853" s="2867"/>
      <c r="D853" s="2867"/>
      <c r="E853" s="2867"/>
      <c r="F853" s="2867"/>
      <c r="G853" s="2867"/>
      <c r="H853" s="2867"/>
      <c r="I853" s="2867"/>
      <c r="J853" s="2867"/>
      <c r="K853" s="2867"/>
      <c r="L853" s="2867"/>
      <c r="M853" s="2867"/>
      <c r="O853" s="2867"/>
      <c r="P853" s="2867"/>
      <c r="Q853" s="2867"/>
      <c r="R853" s="2867"/>
      <c r="S853" s="2867"/>
      <c r="T853" s="2867"/>
      <c r="U853" s="2867"/>
      <c r="V853" s="2867"/>
      <c r="W853" s="2867"/>
      <c r="X853" s="2867"/>
      <c r="Y853" s="2867"/>
      <c r="Z853" s="2867"/>
      <c r="AA853" s="2867"/>
      <c r="AB853" s="2867"/>
      <c r="AC853" s="2867"/>
      <c r="AD853" s="2867"/>
      <c r="AE853" s="2867"/>
      <c r="AF853" s="2867"/>
      <c r="AG853" s="2867"/>
      <c r="AH853" s="2867"/>
      <c r="AI853" s="2867"/>
      <c r="AJ853" s="2867"/>
      <c r="AK853" s="2867"/>
      <c r="AL853" s="2867"/>
      <c r="AM853" s="2867"/>
      <c r="AN853" s="2867"/>
      <c r="AO853" s="2867"/>
      <c r="AP853" s="2867"/>
      <c r="AQ853" s="2867"/>
      <c r="AR853" s="2867"/>
      <c r="AS853" s="2867"/>
      <c r="AT853" s="2867"/>
      <c r="AU853" s="2867"/>
      <c r="AV853" s="2867"/>
      <c r="AW853" s="2867"/>
      <c r="AX853" s="2867"/>
      <c r="AY853" s="2867"/>
      <c r="AZ853" s="2867"/>
      <c r="BA853" s="2867"/>
      <c r="BB853" s="2867"/>
      <c r="BC853" s="2867"/>
      <c r="BD853" s="2867"/>
      <c r="BE853" s="2867"/>
      <c r="BF853" s="2867"/>
      <c r="BG853" s="2867"/>
      <c r="BH853" s="2867"/>
      <c r="BI853" s="2867"/>
      <c r="BJ853" s="2867"/>
      <c r="BK853" s="2867"/>
      <c r="BL853" s="2867"/>
      <c r="BM853" s="2867"/>
      <c r="BN853" s="2867"/>
      <c r="BO853" s="2867"/>
      <c r="BP853" s="2867"/>
      <c r="BQ853" s="2867"/>
      <c r="BR853" s="2867"/>
      <c r="BS853" s="2867"/>
      <c r="BT853" s="2867"/>
      <c r="BU853" s="2867"/>
      <c r="BV853" s="2867"/>
      <c r="BW853" s="2867"/>
      <c r="BX853" s="2867"/>
      <c r="BY853" s="2867"/>
      <c r="BZ853" s="2867"/>
      <c r="CA853" s="2867"/>
      <c r="CB853" s="2867"/>
      <c r="CC853" s="2867"/>
      <c r="CD853" s="2867"/>
      <c r="CE853" s="2867"/>
      <c r="CF853" s="2867"/>
      <c r="CG853" s="2867"/>
      <c r="CH853" s="2867"/>
      <c r="CI853" s="2867"/>
      <c r="CJ853" s="2867"/>
      <c r="CK853" s="2867"/>
      <c r="CL853" s="2867"/>
      <c r="CM853" s="2867"/>
      <c r="CN853" s="2867"/>
      <c r="CO853" s="2867"/>
      <c r="CP853" s="2867"/>
      <c r="CQ853" s="2867"/>
      <c r="CR853" s="2867"/>
      <c r="CS853" s="2867"/>
      <c r="CT853" s="2867"/>
      <c r="CU853" s="2867"/>
      <c r="CV853" s="2867"/>
      <c r="CW853" s="2867"/>
    </row>
    <row r="854" spans="1:101">
      <c r="A854" s="2867"/>
      <c r="B854" s="2867"/>
      <c r="C854" s="2867"/>
      <c r="D854" s="2867"/>
      <c r="E854" s="2867"/>
      <c r="F854" s="2867"/>
      <c r="G854" s="2867"/>
      <c r="H854" s="2867"/>
      <c r="I854" s="2867"/>
      <c r="J854" s="2867"/>
      <c r="K854" s="2867"/>
      <c r="L854" s="2867"/>
      <c r="M854" s="2867"/>
      <c r="O854" s="2867"/>
      <c r="P854" s="2867"/>
      <c r="Q854" s="2867"/>
      <c r="R854" s="2867"/>
      <c r="S854" s="2867"/>
      <c r="T854" s="2867"/>
      <c r="U854" s="2867"/>
      <c r="V854" s="2867"/>
      <c r="W854" s="2867"/>
      <c r="X854" s="2867"/>
      <c r="Y854" s="2867"/>
      <c r="Z854" s="2867"/>
      <c r="AA854" s="2867"/>
      <c r="AB854" s="2867"/>
      <c r="AC854" s="2867"/>
      <c r="AD854" s="2867"/>
      <c r="AE854" s="2867"/>
      <c r="AF854" s="2867"/>
      <c r="AG854" s="2867"/>
      <c r="AH854" s="2867"/>
      <c r="AI854" s="2867"/>
      <c r="AJ854" s="2867"/>
      <c r="AK854" s="2867"/>
      <c r="AL854" s="2867"/>
      <c r="AM854" s="2867"/>
      <c r="AN854" s="2867"/>
      <c r="AO854" s="2867"/>
      <c r="AP854" s="2867"/>
      <c r="AQ854" s="2867"/>
      <c r="AR854" s="2867"/>
      <c r="AS854" s="2867"/>
      <c r="AT854" s="2867"/>
      <c r="AU854" s="2867"/>
      <c r="AV854" s="2867"/>
      <c r="AW854" s="2867"/>
      <c r="AX854" s="2867"/>
      <c r="AY854" s="2867"/>
      <c r="AZ854" s="2867"/>
      <c r="BA854" s="2867"/>
      <c r="BB854" s="2867"/>
      <c r="BC854" s="2867"/>
      <c r="BD854" s="2867"/>
      <c r="BE854" s="2867"/>
      <c r="BF854" s="2867"/>
      <c r="BG854" s="2867"/>
      <c r="BH854" s="2867"/>
      <c r="BI854" s="2867"/>
      <c r="BJ854" s="2867"/>
      <c r="BK854" s="2867"/>
      <c r="BL854" s="2867"/>
      <c r="BM854" s="2867"/>
      <c r="BN854" s="2867"/>
      <c r="BO854" s="2867"/>
      <c r="BP854" s="2867"/>
      <c r="BQ854" s="2867"/>
      <c r="BR854" s="2867"/>
      <c r="BS854" s="2867"/>
      <c r="BT854" s="2867"/>
      <c r="BU854" s="2867"/>
      <c r="BV854" s="2867"/>
      <c r="BW854" s="2867"/>
      <c r="BX854" s="2867"/>
      <c r="BY854" s="2867"/>
      <c r="BZ854" s="2867"/>
      <c r="CA854" s="2867"/>
      <c r="CB854" s="2867"/>
      <c r="CC854" s="2867"/>
      <c r="CD854" s="2867"/>
      <c r="CE854" s="2867"/>
      <c r="CF854" s="2867"/>
      <c r="CG854" s="2867"/>
      <c r="CH854" s="2867"/>
      <c r="CI854" s="2867"/>
      <c r="CJ854" s="2867"/>
      <c r="CK854" s="2867"/>
      <c r="CL854" s="2867"/>
      <c r="CM854" s="2867"/>
      <c r="CN854" s="2867"/>
      <c r="CO854" s="2867"/>
      <c r="CP854" s="2867"/>
      <c r="CQ854" s="2867"/>
      <c r="CR854" s="2867"/>
      <c r="CS854" s="2867"/>
      <c r="CT854" s="2867"/>
      <c r="CU854" s="2867"/>
      <c r="CV854" s="2867"/>
      <c r="CW854" s="2867"/>
    </row>
    <row r="855" spans="1:101">
      <c r="A855" s="2867"/>
      <c r="B855" s="2867"/>
      <c r="C855" s="2867"/>
      <c r="D855" s="2867"/>
      <c r="E855" s="2867"/>
      <c r="F855" s="2867"/>
      <c r="G855" s="2867"/>
      <c r="H855" s="2867"/>
      <c r="I855" s="2867"/>
      <c r="J855" s="2867"/>
      <c r="K855" s="2867"/>
      <c r="L855" s="2867"/>
      <c r="M855" s="2867"/>
      <c r="O855" s="2867"/>
      <c r="P855" s="2867"/>
      <c r="Q855" s="2867"/>
      <c r="R855" s="2867"/>
      <c r="S855" s="2867"/>
      <c r="T855" s="2867"/>
      <c r="U855" s="2867"/>
      <c r="V855" s="2867"/>
      <c r="W855" s="2867"/>
      <c r="X855" s="2867"/>
      <c r="Y855" s="2867"/>
      <c r="Z855" s="2867"/>
      <c r="AA855" s="2867"/>
      <c r="AB855" s="2867"/>
      <c r="AC855" s="2867"/>
      <c r="AD855" s="2867"/>
      <c r="AE855" s="2867"/>
      <c r="AF855" s="2867"/>
      <c r="AG855" s="2867"/>
      <c r="AH855" s="2867"/>
      <c r="AI855" s="2867"/>
      <c r="AJ855" s="2867"/>
      <c r="AK855" s="2867"/>
      <c r="AL855" s="2867"/>
      <c r="AM855" s="2867"/>
      <c r="AN855" s="2867"/>
      <c r="AO855" s="2867"/>
      <c r="AP855" s="2867"/>
      <c r="AQ855" s="2867"/>
      <c r="AR855" s="2867"/>
      <c r="AS855" s="2867"/>
      <c r="AT855" s="2867"/>
      <c r="AU855" s="2867"/>
      <c r="AV855" s="2867"/>
      <c r="AW855" s="2867"/>
      <c r="AX855" s="2867"/>
      <c r="AY855" s="2867"/>
      <c r="AZ855" s="2867"/>
      <c r="BA855" s="2867"/>
      <c r="BB855" s="2867"/>
      <c r="BC855" s="2867"/>
      <c r="BD855" s="2867"/>
      <c r="BE855" s="2867"/>
      <c r="BF855" s="2867"/>
      <c r="BG855" s="2867"/>
      <c r="BH855" s="2867"/>
      <c r="BI855" s="2867"/>
      <c r="BJ855" s="2867"/>
      <c r="BK855" s="2867"/>
      <c r="BL855" s="2867"/>
      <c r="BM855" s="2867"/>
      <c r="BN855" s="2867"/>
      <c r="BO855" s="2867"/>
      <c r="BP855" s="2867"/>
      <c r="BQ855" s="2867"/>
      <c r="BR855" s="2867"/>
      <c r="BS855" s="2867"/>
      <c r="BT855" s="2867"/>
      <c r="BU855" s="2867"/>
      <c r="BV855" s="2867"/>
      <c r="BW855" s="2867"/>
      <c r="BX855" s="2867"/>
      <c r="BY855" s="2867"/>
      <c r="BZ855" s="2867"/>
      <c r="CA855" s="2867"/>
      <c r="CB855" s="2867"/>
      <c r="CC855" s="2867"/>
      <c r="CD855" s="2867"/>
      <c r="CE855" s="2867"/>
      <c r="CF855" s="2867"/>
      <c r="CG855" s="2867"/>
      <c r="CH855" s="2867"/>
      <c r="CI855" s="2867"/>
      <c r="CJ855" s="2867"/>
      <c r="CK855" s="2867"/>
      <c r="CL855" s="2867"/>
      <c r="CM855" s="2867"/>
      <c r="CN855" s="2867"/>
      <c r="CO855" s="2867"/>
      <c r="CP855" s="2867"/>
      <c r="CQ855" s="2867"/>
      <c r="CR855" s="2867"/>
      <c r="CS855" s="2867"/>
      <c r="CT855" s="2867"/>
      <c r="CU855" s="2867"/>
      <c r="CV855" s="2867"/>
      <c r="CW855" s="2867"/>
    </row>
    <row r="856" spans="1:101">
      <c r="A856" s="2867"/>
      <c r="B856" s="2867"/>
      <c r="C856" s="2867"/>
      <c r="D856" s="2867"/>
      <c r="E856" s="2867"/>
      <c r="F856" s="2867"/>
      <c r="G856" s="2867"/>
      <c r="H856" s="2867"/>
      <c r="I856" s="2867"/>
      <c r="J856" s="2867"/>
      <c r="K856" s="2867"/>
      <c r="L856" s="2867"/>
      <c r="M856" s="2867"/>
      <c r="O856" s="2867"/>
      <c r="P856" s="2867"/>
      <c r="Q856" s="2867"/>
      <c r="R856" s="2867"/>
      <c r="S856" s="2867"/>
      <c r="T856" s="2867"/>
      <c r="U856" s="2867"/>
      <c r="V856" s="2867"/>
      <c r="W856" s="2867"/>
      <c r="X856" s="2867"/>
      <c r="Y856" s="2867"/>
      <c r="Z856" s="2867"/>
      <c r="AA856" s="2867"/>
      <c r="AB856" s="2867"/>
      <c r="AC856" s="2867"/>
      <c r="AD856" s="2867"/>
      <c r="AE856" s="2867"/>
      <c r="AF856" s="2867"/>
      <c r="AG856" s="2867"/>
      <c r="AH856" s="2867"/>
      <c r="AI856" s="2867"/>
      <c r="AJ856" s="2867"/>
      <c r="AK856" s="2867"/>
      <c r="AL856" s="2867"/>
      <c r="AM856" s="2867"/>
      <c r="AN856" s="2867"/>
      <c r="AO856" s="2867"/>
      <c r="AP856" s="2867"/>
      <c r="AQ856" s="2867"/>
      <c r="AR856" s="2867"/>
      <c r="AS856" s="2867"/>
      <c r="AT856" s="2867"/>
      <c r="AU856" s="2867"/>
      <c r="AV856" s="2867"/>
      <c r="AW856" s="2867"/>
      <c r="AX856" s="2867"/>
      <c r="AY856" s="2867"/>
      <c r="AZ856" s="2867"/>
      <c r="BA856" s="2867"/>
      <c r="BB856" s="2867"/>
      <c r="BC856" s="2867"/>
      <c r="BD856" s="2867"/>
      <c r="BE856" s="2867"/>
      <c r="BF856" s="2867"/>
      <c r="BG856" s="2867"/>
      <c r="BH856" s="2867"/>
      <c r="BI856" s="2867"/>
      <c r="BJ856" s="2867"/>
      <c r="BK856" s="2867"/>
      <c r="BL856" s="2867"/>
      <c r="BM856" s="2867"/>
      <c r="BN856" s="2867"/>
      <c r="BO856" s="2867"/>
      <c r="BP856" s="2867"/>
      <c r="BQ856" s="2867"/>
      <c r="BR856" s="2867"/>
      <c r="BS856" s="2867"/>
      <c r="BT856" s="2867"/>
      <c r="BU856" s="2867"/>
      <c r="BV856" s="2867"/>
      <c r="BW856" s="2867"/>
      <c r="BX856" s="2867"/>
      <c r="BY856" s="2867"/>
      <c r="BZ856" s="2867"/>
      <c r="CA856" s="2867"/>
      <c r="CB856" s="2867"/>
      <c r="CC856" s="2867"/>
      <c r="CD856" s="2867"/>
      <c r="CE856" s="2867"/>
      <c r="CF856" s="2867"/>
      <c r="CG856" s="2867"/>
      <c r="CH856" s="2867"/>
      <c r="CI856" s="2867"/>
      <c r="CJ856" s="2867"/>
      <c r="CK856" s="2867"/>
      <c r="CL856" s="2867"/>
      <c r="CM856" s="2867"/>
      <c r="CN856" s="2867"/>
      <c r="CO856" s="2867"/>
      <c r="CP856" s="2867"/>
      <c r="CQ856" s="2867"/>
      <c r="CR856" s="2867"/>
      <c r="CS856" s="2867"/>
      <c r="CT856" s="2867"/>
      <c r="CU856" s="2867"/>
      <c r="CV856" s="2867"/>
      <c r="CW856" s="2867"/>
    </row>
    <row r="857" spans="1:101">
      <c r="A857" s="2867"/>
      <c r="B857" s="2867"/>
      <c r="C857" s="2867"/>
      <c r="D857" s="2867"/>
      <c r="E857" s="2867"/>
      <c r="F857" s="2867"/>
      <c r="G857" s="2867"/>
      <c r="H857" s="2867"/>
      <c r="I857" s="2867"/>
      <c r="J857" s="2867"/>
      <c r="K857" s="2867"/>
      <c r="L857" s="2867"/>
      <c r="M857" s="2867"/>
      <c r="O857" s="2867"/>
      <c r="P857" s="2867"/>
      <c r="Q857" s="2867"/>
      <c r="R857" s="2867"/>
      <c r="S857" s="2867"/>
      <c r="T857" s="2867"/>
      <c r="U857" s="2867"/>
      <c r="V857" s="2867"/>
      <c r="W857" s="2867"/>
      <c r="X857" s="2867"/>
      <c r="Y857" s="2867"/>
      <c r="Z857" s="2867"/>
      <c r="AA857" s="2867"/>
      <c r="AB857" s="2867"/>
      <c r="AC857" s="2867"/>
      <c r="AD857" s="2867"/>
      <c r="AE857" s="2867"/>
      <c r="AF857" s="2867"/>
      <c r="AG857" s="2867"/>
      <c r="AH857" s="2867"/>
      <c r="AI857" s="2867"/>
      <c r="AJ857" s="2867"/>
      <c r="AK857" s="2867"/>
      <c r="AL857" s="2867"/>
      <c r="AM857" s="2867"/>
      <c r="AN857" s="2867"/>
      <c r="AO857" s="2867"/>
      <c r="AP857" s="2867"/>
      <c r="AQ857" s="2867"/>
      <c r="AR857" s="2867"/>
      <c r="AS857" s="2867"/>
      <c r="AT857" s="2867"/>
      <c r="AU857" s="2867"/>
      <c r="AV857" s="2867"/>
      <c r="AW857" s="2867"/>
      <c r="AX857" s="2867"/>
      <c r="AY857" s="2867"/>
      <c r="AZ857" s="2867"/>
      <c r="BA857" s="2867"/>
      <c r="BB857" s="2867"/>
      <c r="BC857" s="2867"/>
      <c r="BD857" s="2867"/>
      <c r="BE857" s="2867"/>
      <c r="BF857" s="2867"/>
      <c r="BG857" s="2867"/>
      <c r="BH857" s="2867"/>
      <c r="BI857" s="2867"/>
      <c r="BJ857" s="2867"/>
      <c r="BK857" s="2867"/>
      <c r="BL857" s="2867"/>
      <c r="BM857" s="2867"/>
      <c r="BN857" s="2867"/>
      <c r="BO857" s="2867"/>
      <c r="BP857" s="2867"/>
      <c r="BQ857" s="2867"/>
      <c r="BR857" s="2867"/>
      <c r="BS857" s="2867"/>
      <c r="BT857" s="2867"/>
      <c r="BU857" s="2867"/>
      <c r="BV857" s="2867"/>
      <c r="BW857" s="2867"/>
      <c r="BX857" s="2867"/>
      <c r="BY857" s="2867"/>
      <c r="BZ857" s="2867"/>
      <c r="CA857" s="2867"/>
      <c r="CB857" s="2867"/>
      <c r="CC857" s="2867"/>
      <c r="CD857" s="2867"/>
      <c r="CE857" s="2867"/>
      <c r="CF857" s="2867"/>
      <c r="CG857" s="2867"/>
      <c r="CH857" s="2867"/>
      <c r="CI857" s="2867"/>
      <c r="CJ857" s="2867"/>
      <c r="CK857" s="2867"/>
      <c r="CL857" s="2867"/>
      <c r="CM857" s="2867"/>
      <c r="CN857" s="2867"/>
      <c r="CO857" s="2867"/>
      <c r="CP857" s="2867"/>
      <c r="CQ857" s="2867"/>
      <c r="CR857" s="2867"/>
      <c r="CS857" s="2867"/>
      <c r="CT857" s="2867"/>
      <c r="CU857" s="2867"/>
      <c r="CV857" s="2867"/>
      <c r="CW857" s="2867"/>
    </row>
    <row r="858" spans="1:101">
      <c r="A858" s="2867"/>
      <c r="B858" s="2867"/>
      <c r="C858" s="2867"/>
      <c r="D858" s="2867"/>
      <c r="E858" s="2867"/>
      <c r="F858" s="2867"/>
      <c r="G858" s="2867"/>
      <c r="H858" s="2867"/>
      <c r="I858" s="2867"/>
      <c r="J858" s="2867"/>
      <c r="K858" s="2867"/>
      <c r="L858" s="2867"/>
      <c r="M858" s="2867"/>
      <c r="O858" s="2867"/>
      <c r="P858" s="2867"/>
      <c r="Q858" s="2867"/>
      <c r="R858" s="2867"/>
      <c r="S858" s="2867"/>
      <c r="T858" s="2867"/>
      <c r="U858" s="2867"/>
      <c r="V858" s="2867"/>
      <c r="W858" s="2867"/>
      <c r="X858" s="2867"/>
      <c r="Y858" s="2867"/>
      <c r="Z858" s="2867"/>
      <c r="AA858" s="2867"/>
      <c r="AB858" s="2867"/>
      <c r="AC858" s="2867"/>
      <c r="AD858" s="2867"/>
      <c r="AE858" s="2867"/>
      <c r="AF858" s="2867"/>
      <c r="AG858" s="2867"/>
      <c r="AH858" s="2867"/>
      <c r="AI858" s="2867"/>
      <c r="AJ858" s="2867"/>
      <c r="AK858" s="2867"/>
      <c r="AL858" s="2867"/>
      <c r="AM858" s="2867"/>
      <c r="AN858" s="2867"/>
      <c r="AO858" s="2867"/>
      <c r="AP858" s="2867"/>
      <c r="AQ858" s="2867"/>
      <c r="AR858" s="2867"/>
      <c r="AS858" s="2867"/>
      <c r="AT858" s="2867"/>
      <c r="AU858" s="2867"/>
      <c r="AV858" s="2867"/>
      <c r="AW858" s="2867"/>
      <c r="AX858" s="2867"/>
      <c r="AY858" s="2867"/>
      <c r="AZ858" s="2867"/>
      <c r="BA858" s="2867"/>
      <c r="BB858" s="2867"/>
      <c r="BC858" s="2867"/>
      <c r="BD858" s="2867"/>
      <c r="BE858" s="2867"/>
      <c r="BF858" s="2867"/>
      <c r="BG858" s="2867"/>
      <c r="BH858" s="2867"/>
      <c r="BI858" s="2867"/>
      <c r="BJ858" s="2867"/>
      <c r="BK858" s="2867"/>
      <c r="BL858" s="2867"/>
      <c r="BM858" s="2867"/>
      <c r="BN858" s="2867"/>
      <c r="BO858" s="2867"/>
      <c r="BP858" s="2867"/>
      <c r="BQ858" s="2867"/>
      <c r="BR858" s="2867"/>
      <c r="BS858" s="2867"/>
      <c r="BT858" s="2867"/>
      <c r="BU858" s="2867"/>
      <c r="BV858" s="2867"/>
      <c r="BW858" s="2867"/>
      <c r="BX858" s="2867"/>
      <c r="BY858" s="2867"/>
      <c r="BZ858" s="2867"/>
      <c r="CA858" s="2867"/>
      <c r="CB858" s="2867"/>
      <c r="CC858" s="2867"/>
      <c r="CD858" s="2867"/>
      <c r="CE858" s="2867"/>
      <c r="CF858" s="2867"/>
      <c r="CG858" s="2867"/>
      <c r="CH858" s="2867"/>
      <c r="CI858" s="2867"/>
      <c r="CJ858" s="2867"/>
      <c r="CK858" s="2867"/>
      <c r="CL858" s="2867"/>
      <c r="CM858" s="2867"/>
      <c r="CN858" s="2867"/>
      <c r="CO858" s="2867"/>
      <c r="CP858" s="2867"/>
      <c r="CQ858" s="2867"/>
      <c r="CR858" s="2867"/>
      <c r="CS858" s="2867"/>
      <c r="CT858" s="2867"/>
      <c r="CU858" s="2867"/>
      <c r="CV858" s="2867"/>
      <c r="CW858" s="2867"/>
    </row>
    <row r="859" spans="1:101">
      <c r="A859" s="2867"/>
      <c r="B859" s="2867"/>
      <c r="C859" s="2867"/>
      <c r="D859" s="2867"/>
      <c r="E859" s="2867"/>
      <c r="F859" s="2867"/>
      <c r="G859" s="2867"/>
      <c r="H859" s="2867"/>
      <c r="I859" s="2867"/>
      <c r="J859" s="2867"/>
      <c r="K859" s="2867"/>
      <c r="L859" s="2867"/>
      <c r="M859" s="2867"/>
      <c r="O859" s="2867"/>
      <c r="P859" s="2867"/>
      <c r="Q859" s="2867"/>
      <c r="R859" s="2867"/>
      <c r="S859" s="2867"/>
      <c r="T859" s="2867"/>
      <c r="U859" s="2867"/>
      <c r="V859" s="2867"/>
      <c r="W859" s="2867"/>
      <c r="X859" s="2867"/>
      <c r="Y859" s="2867"/>
      <c r="Z859" s="2867"/>
      <c r="AA859" s="2867"/>
      <c r="AB859" s="2867"/>
      <c r="AC859" s="2867"/>
      <c r="AD859" s="2867"/>
      <c r="AE859" s="2867"/>
      <c r="AF859" s="2867"/>
      <c r="AG859" s="2867"/>
      <c r="AH859" s="2867"/>
      <c r="AI859" s="2867"/>
      <c r="AJ859" s="2867"/>
      <c r="AK859" s="2867"/>
      <c r="AL859" s="2867"/>
      <c r="AM859" s="2867"/>
      <c r="AN859" s="2867"/>
      <c r="AO859" s="2867"/>
      <c r="AP859" s="2867"/>
      <c r="AQ859" s="2867"/>
      <c r="AR859" s="2867"/>
      <c r="AS859" s="2867"/>
      <c r="AT859" s="2867"/>
      <c r="AU859" s="2867"/>
      <c r="AV859" s="2867"/>
      <c r="AW859" s="2867"/>
      <c r="AX859" s="2867"/>
      <c r="AY859" s="2867"/>
      <c r="AZ859" s="2867"/>
      <c r="BA859" s="2867"/>
      <c r="BB859" s="2867"/>
      <c r="BC859" s="2867"/>
      <c r="BD859" s="2867"/>
      <c r="BE859" s="2867"/>
      <c r="BF859" s="2867"/>
      <c r="BG859" s="2867"/>
      <c r="BH859" s="2867"/>
      <c r="BI859" s="2867"/>
      <c r="BJ859" s="2867"/>
      <c r="BK859" s="2867"/>
      <c r="BL859" s="2867"/>
      <c r="BM859" s="2867"/>
      <c r="BN859" s="2867"/>
      <c r="BO859" s="2867"/>
      <c r="BP859" s="2867"/>
      <c r="BQ859" s="2867"/>
      <c r="BR859" s="2867"/>
      <c r="BS859" s="2867"/>
      <c r="BT859" s="2867"/>
      <c r="BU859" s="2867"/>
      <c r="BV859" s="2867"/>
      <c r="BW859" s="2867"/>
      <c r="BX859" s="2867"/>
      <c r="BY859" s="2867"/>
      <c r="BZ859" s="2867"/>
      <c r="CA859" s="2867"/>
      <c r="CB859" s="2867"/>
      <c r="CC859" s="2867"/>
      <c r="CD859" s="2867"/>
      <c r="CE859" s="2867"/>
      <c r="CF859" s="2867"/>
      <c r="CG859" s="2867"/>
      <c r="CH859" s="2867"/>
      <c r="CI859" s="2867"/>
      <c r="CJ859" s="2867"/>
      <c r="CK859" s="2867"/>
      <c r="CL859" s="2867"/>
      <c r="CM859" s="2867"/>
      <c r="CN859" s="2867"/>
      <c r="CO859" s="2867"/>
      <c r="CP859" s="2867"/>
      <c r="CQ859" s="2867"/>
      <c r="CR859" s="2867"/>
      <c r="CS859" s="2867"/>
      <c r="CT859" s="2867"/>
      <c r="CU859" s="2867"/>
      <c r="CV859" s="2867"/>
      <c r="CW859" s="2867"/>
    </row>
    <row r="860" spans="1:101">
      <c r="A860" s="2867"/>
      <c r="B860" s="2867"/>
      <c r="C860" s="2867"/>
      <c r="D860" s="2867"/>
      <c r="E860" s="2867"/>
      <c r="F860" s="2867"/>
      <c r="G860" s="2867"/>
      <c r="H860" s="2867"/>
      <c r="I860" s="2867"/>
      <c r="J860" s="2867"/>
      <c r="K860" s="2867"/>
      <c r="L860" s="2867"/>
      <c r="M860" s="2867"/>
      <c r="O860" s="2867"/>
      <c r="P860" s="2867"/>
      <c r="Q860" s="2867"/>
      <c r="R860" s="2867"/>
      <c r="S860" s="2867"/>
      <c r="T860" s="2867"/>
      <c r="U860" s="2867"/>
      <c r="V860" s="2867"/>
      <c r="W860" s="2867"/>
      <c r="X860" s="2867"/>
      <c r="Y860" s="2867"/>
      <c r="Z860" s="2867"/>
      <c r="AA860" s="2867"/>
      <c r="AB860" s="2867"/>
      <c r="AC860" s="2867"/>
      <c r="AD860" s="2867"/>
      <c r="AE860" s="2867"/>
      <c r="AF860" s="2867"/>
      <c r="AG860" s="2867"/>
      <c r="AH860" s="2867"/>
      <c r="AI860" s="2867"/>
      <c r="AJ860" s="2867"/>
      <c r="AK860" s="2867"/>
      <c r="AL860" s="2867"/>
      <c r="AM860" s="2867"/>
      <c r="AN860" s="2867"/>
      <c r="AO860" s="2867"/>
      <c r="AP860" s="2867"/>
      <c r="AQ860" s="2867"/>
      <c r="AR860" s="2867"/>
      <c r="AS860" s="2867"/>
      <c r="AT860" s="2867"/>
      <c r="AU860" s="2867"/>
      <c r="AV860" s="2867"/>
      <c r="AW860" s="2867"/>
      <c r="AX860" s="2867"/>
      <c r="AY860" s="2867"/>
      <c r="AZ860" s="2867"/>
      <c r="BA860" s="2867"/>
      <c r="BB860" s="2867"/>
      <c r="BC860" s="2867"/>
      <c r="BD860" s="2867"/>
      <c r="BE860" s="2867"/>
      <c r="BF860" s="2867"/>
      <c r="BG860" s="2867"/>
      <c r="BH860" s="2867"/>
      <c r="BI860" s="2867"/>
      <c r="BJ860" s="2867"/>
      <c r="BK860" s="2867"/>
      <c r="BL860" s="2867"/>
      <c r="BM860" s="2867"/>
      <c r="BN860" s="2867"/>
      <c r="BO860" s="2867"/>
      <c r="BP860" s="2867"/>
      <c r="BQ860" s="2867"/>
      <c r="BR860" s="2867"/>
      <c r="BS860" s="2867"/>
      <c r="BT860" s="2867"/>
      <c r="BU860" s="2867"/>
      <c r="BV860" s="2867"/>
      <c r="BW860" s="2867"/>
      <c r="BX860" s="2867"/>
      <c r="BY860" s="2867"/>
      <c r="BZ860" s="2867"/>
      <c r="CA860" s="2867"/>
      <c r="CB860" s="2867"/>
      <c r="CC860" s="2867"/>
      <c r="CD860" s="2867"/>
      <c r="CE860" s="2867"/>
      <c r="CF860" s="2867"/>
      <c r="CG860" s="2867"/>
      <c r="CH860" s="2867"/>
      <c r="CI860" s="2867"/>
      <c r="CJ860" s="2867"/>
      <c r="CK860" s="2867"/>
      <c r="CL860" s="2867"/>
      <c r="CM860" s="2867"/>
      <c r="CN860" s="2867"/>
      <c r="CO860" s="2867"/>
      <c r="CP860" s="2867"/>
      <c r="CQ860" s="2867"/>
      <c r="CR860" s="2867"/>
      <c r="CS860" s="2867"/>
      <c r="CT860" s="2867"/>
      <c r="CU860" s="2867"/>
      <c r="CV860" s="2867"/>
      <c r="CW860" s="2867"/>
    </row>
    <row r="861" spans="1:101">
      <c r="A861" s="2867"/>
      <c r="B861" s="2867"/>
      <c r="C861" s="2867"/>
      <c r="D861" s="2867"/>
      <c r="E861" s="2867"/>
      <c r="F861" s="2867"/>
      <c r="G861" s="2867"/>
      <c r="H861" s="2867"/>
      <c r="I861" s="2867"/>
      <c r="J861" s="2867"/>
      <c r="K861" s="2867"/>
      <c r="L861" s="2867"/>
      <c r="M861" s="2867"/>
      <c r="O861" s="2867"/>
      <c r="P861" s="2867"/>
      <c r="Q861" s="2867"/>
      <c r="R861" s="2867"/>
      <c r="S861" s="2867"/>
      <c r="T861" s="2867"/>
      <c r="U861" s="2867"/>
      <c r="V861" s="2867"/>
      <c r="W861" s="2867"/>
      <c r="X861" s="2867"/>
      <c r="Y861" s="2867"/>
      <c r="Z861" s="2867"/>
      <c r="AA861" s="2867"/>
      <c r="AB861" s="2867"/>
      <c r="AC861" s="2867"/>
      <c r="AD861" s="2867"/>
      <c r="AE861" s="2867"/>
      <c r="AF861" s="2867"/>
      <c r="AG861" s="2867"/>
      <c r="AH861" s="2867"/>
      <c r="AI861" s="2867"/>
      <c r="AJ861" s="2867"/>
      <c r="AK861" s="2867"/>
      <c r="AL861" s="2867"/>
      <c r="AM861" s="2867"/>
      <c r="AN861" s="2867"/>
      <c r="AO861" s="2867"/>
      <c r="AP861" s="2867"/>
      <c r="AQ861" s="2867"/>
      <c r="AR861" s="2867"/>
      <c r="AS861" s="2867"/>
      <c r="AT861" s="2867"/>
      <c r="AU861" s="2867"/>
      <c r="AV861" s="2867"/>
      <c r="AW861" s="2867"/>
      <c r="AX861" s="2867"/>
      <c r="AY861" s="2867"/>
      <c r="AZ861" s="2867"/>
      <c r="BA861" s="2867"/>
      <c r="BB861" s="2867"/>
      <c r="BC861" s="2867"/>
      <c r="BD861" s="2867"/>
      <c r="BE861" s="2867"/>
      <c r="BF861" s="2867"/>
      <c r="BG861" s="2867"/>
      <c r="BH861" s="2867"/>
      <c r="BI861" s="2867"/>
      <c r="BJ861" s="2867"/>
      <c r="BK861" s="2867"/>
      <c r="BL861" s="2867"/>
      <c r="BM861" s="2867"/>
      <c r="BN861" s="2867"/>
      <c r="BO861" s="2867"/>
      <c r="BP861" s="2867"/>
      <c r="BQ861" s="2867"/>
      <c r="BR861" s="2867"/>
      <c r="BS861" s="2867"/>
      <c r="BT861" s="2867"/>
      <c r="BU861" s="2867"/>
      <c r="BV861" s="2867"/>
      <c r="BW861" s="2867"/>
      <c r="BX861" s="2867"/>
      <c r="BY861" s="2867"/>
      <c r="BZ861" s="2867"/>
      <c r="CA861" s="2867"/>
      <c r="CB861" s="2867"/>
      <c r="CC861" s="2867"/>
      <c r="CD861" s="2867"/>
      <c r="CE861" s="2867"/>
      <c r="CF861" s="2867"/>
      <c r="CG861" s="2867"/>
      <c r="CH861" s="2867"/>
      <c r="CI861" s="2867"/>
      <c r="CJ861" s="2867"/>
      <c r="CK861" s="2867"/>
      <c r="CL861" s="2867"/>
      <c r="CM861" s="2867"/>
      <c r="CN861" s="2867"/>
      <c r="CO861" s="2867"/>
      <c r="CP861" s="2867"/>
      <c r="CQ861" s="2867"/>
      <c r="CR861" s="2867"/>
      <c r="CS861" s="2867"/>
      <c r="CT861" s="2867"/>
      <c r="CU861" s="2867"/>
      <c r="CV861" s="2867"/>
      <c r="CW861" s="2867"/>
    </row>
    <row r="862" spans="1:101">
      <c r="A862" s="2867"/>
      <c r="B862" s="2867"/>
      <c r="C862" s="2867"/>
      <c r="D862" s="2867"/>
      <c r="E862" s="2867"/>
      <c r="F862" s="2867"/>
      <c r="G862" s="2867"/>
      <c r="H862" s="2867"/>
      <c r="I862" s="2867"/>
      <c r="J862" s="2867"/>
      <c r="K862" s="2867"/>
      <c r="L862" s="2867"/>
      <c r="M862" s="2867"/>
      <c r="O862" s="2867"/>
      <c r="P862" s="2867"/>
      <c r="Q862" s="2867"/>
      <c r="R862" s="2867"/>
      <c r="S862" s="2867"/>
      <c r="T862" s="2867"/>
      <c r="U862" s="2867"/>
      <c r="V862" s="2867"/>
      <c r="W862" s="2867"/>
      <c r="X862" s="2867"/>
      <c r="Y862" s="2867"/>
      <c r="Z862" s="2867"/>
      <c r="AA862" s="2867"/>
      <c r="AB862" s="2867"/>
      <c r="AC862" s="2867"/>
      <c r="AD862" s="2867"/>
      <c r="AE862" s="2867"/>
      <c r="AF862" s="2867"/>
      <c r="AG862" s="2867"/>
      <c r="AH862" s="2867"/>
      <c r="AI862" s="2867"/>
      <c r="AJ862" s="2867"/>
      <c r="AK862" s="2867"/>
      <c r="AL862" s="2867"/>
      <c r="AM862" s="2867"/>
      <c r="AN862" s="2867"/>
      <c r="AO862" s="2867"/>
      <c r="AP862" s="2867"/>
      <c r="AQ862" s="2867"/>
      <c r="AR862" s="2867"/>
      <c r="AS862" s="2867"/>
      <c r="AT862" s="2867"/>
      <c r="AU862" s="2867"/>
      <c r="AV862" s="2867"/>
      <c r="AW862" s="2867"/>
      <c r="AX862" s="2867"/>
      <c r="AY862" s="2867"/>
      <c r="AZ862" s="2867"/>
      <c r="BA862" s="2867"/>
      <c r="BB862" s="2867"/>
      <c r="BC862" s="2867"/>
      <c r="BD862" s="2867"/>
      <c r="BE862" s="2867"/>
      <c r="BF862" s="2867"/>
      <c r="BG862" s="2867"/>
      <c r="BH862" s="2867"/>
      <c r="BI862" s="2867"/>
      <c r="BJ862" s="2867"/>
      <c r="BK862" s="2867"/>
      <c r="BL862" s="2867"/>
      <c r="BM862" s="2867"/>
      <c r="BN862" s="2867"/>
      <c r="BO862" s="2867"/>
      <c r="BP862" s="2867"/>
      <c r="BQ862" s="2867"/>
      <c r="BR862" s="2867"/>
      <c r="BS862" s="2867"/>
      <c r="BT862" s="2867"/>
      <c r="BU862" s="2867"/>
      <c r="BV862" s="2867"/>
      <c r="BW862" s="2867"/>
      <c r="BX862" s="2867"/>
      <c r="BY862" s="2867"/>
      <c r="BZ862" s="2867"/>
      <c r="CA862" s="2867"/>
      <c r="CB862" s="2867"/>
      <c r="CC862" s="2867"/>
      <c r="CD862" s="2867"/>
      <c r="CE862" s="2867"/>
      <c r="CF862" s="2867"/>
      <c r="CG862" s="2867"/>
      <c r="CH862" s="2867"/>
      <c r="CI862" s="2867"/>
      <c r="CJ862" s="2867"/>
      <c r="CK862" s="2867"/>
      <c r="CL862" s="2867"/>
      <c r="CM862" s="2867"/>
      <c r="CN862" s="2867"/>
      <c r="CO862" s="2867"/>
      <c r="CP862" s="2867"/>
      <c r="CQ862" s="2867"/>
      <c r="CR862" s="2867"/>
      <c r="CS862" s="2867"/>
      <c r="CT862" s="2867"/>
      <c r="CU862" s="2867"/>
      <c r="CV862" s="2867"/>
      <c r="CW862" s="2867"/>
    </row>
    <row r="863" spans="1:101">
      <c r="A863" s="2867"/>
      <c r="B863" s="2867"/>
      <c r="C863" s="2867"/>
      <c r="D863" s="2867"/>
      <c r="E863" s="2867"/>
      <c r="F863" s="2867"/>
      <c r="G863" s="2867"/>
      <c r="H863" s="2867"/>
      <c r="I863" s="2867"/>
      <c r="J863" s="2867"/>
      <c r="K863" s="2867"/>
      <c r="L863" s="2867"/>
      <c r="M863" s="2867"/>
      <c r="O863" s="2867"/>
      <c r="P863" s="2867"/>
      <c r="Q863" s="2867"/>
      <c r="R863" s="2867"/>
      <c r="S863" s="2867"/>
      <c r="T863" s="2867"/>
      <c r="U863" s="2867"/>
      <c r="V863" s="2867"/>
      <c r="W863" s="2867"/>
      <c r="X863" s="2867"/>
      <c r="Y863" s="2867"/>
      <c r="Z863" s="2867"/>
      <c r="AA863" s="2867"/>
      <c r="AB863" s="2867"/>
      <c r="AC863" s="2867"/>
      <c r="AD863" s="2867"/>
      <c r="AE863" s="2867"/>
      <c r="AF863" s="2867"/>
      <c r="AG863" s="2867"/>
      <c r="AH863" s="2867"/>
      <c r="AI863" s="2867"/>
      <c r="AJ863" s="2867"/>
      <c r="AK863" s="2867"/>
      <c r="AL863" s="2867"/>
      <c r="AM863" s="2867"/>
      <c r="AN863" s="2867"/>
      <c r="AO863" s="2867"/>
      <c r="AP863" s="2867"/>
      <c r="AQ863" s="2867"/>
      <c r="AR863" s="2867"/>
      <c r="AS863" s="2867"/>
      <c r="AT863" s="2867"/>
      <c r="AU863" s="2867"/>
      <c r="AV863" s="2867"/>
      <c r="AW863" s="2867"/>
      <c r="AX863" s="2867"/>
      <c r="AY863" s="2867"/>
      <c r="AZ863" s="2867"/>
      <c r="BA863" s="2867"/>
      <c r="BB863" s="2867"/>
      <c r="BC863" s="2867"/>
      <c r="BD863" s="2867"/>
      <c r="BE863" s="2867"/>
      <c r="BF863" s="2867"/>
      <c r="BG863" s="2867"/>
      <c r="BH863" s="2867"/>
      <c r="BI863" s="2867"/>
      <c r="BJ863" s="2867"/>
      <c r="BK863" s="2867"/>
      <c r="BL863" s="2867"/>
      <c r="BM863" s="2867"/>
      <c r="BN863" s="2867"/>
      <c r="BO863" s="2867"/>
      <c r="BP863" s="2867"/>
      <c r="BQ863" s="2867"/>
      <c r="BR863" s="2867"/>
      <c r="BS863" s="2867"/>
      <c r="BT863" s="2867"/>
      <c r="BU863" s="2867"/>
      <c r="BV863" s="2867"/>
      <c r="BW863" s="2867"/>
      <c r="BX863" s="2867"/>
      <c r="BY863" s="2867"/>
      <c r="BZ863" s="2867"/>
      <c r="CA863" s="2867"/>
      <c r="CB863" s="2867"/>
      <c r="CC863" s="2867"/>
      <c r="CD863" s="2867"/>
      <c r="CE863" s="2867"/>
      <c r="CF863" s="2867"/>
      <c r="CG863" s="2867"/>
      <c r="CH863" s="2867"/>
      <c r="CI863" s="2867"/>
      <c r="CJ863" s="2867"/>
      <c r="CK863" s="2867"/>
      <c r="CL863" s="2867"/>
      <c r="CM863" s="2867"/>
      <c r="CN863" s="2867"/>
      <c r="CO863" s="2867"/>
      <c r="CP863" s="2867"/>
      <c r="CQ863" s="2867"/>
      <c r="CR863" s="2867"/>
      <c r="CS863" s="2867"/>
      <c r="CT863" s="2867"/>
      <c r="CU863" s="2867"/>
      <c r="CV863" s="2867"/>
      <c r="CW863" s="2867"/>
    </row>
    <row r="864" spans="1:101">
      <c r="A864" s="2867"/>
      <c r="B864" s="2867"/>
      <c r="C864" s="2867"/>
      <c r="D864" s="2867"/>
      <c r="E864" s="2867"/>
      <c r="F864" s="2867"/>
      <c r="G864" s="2867"/>
      <c r="H864" s="2867"/>
      <c r="I864" s="2867"/>
      <c r="J864" s="2867"/>
      <c r="K864" s="2867"/>
      <c r="L864" s="2867"/>
      <c r="M864" s="2867"/>
      <c r="O864" s="2867"/>
      <c r="P864" s="2867"/>
      <c r="Q864" s="2867"/>
      <c r="R864" s="2867"/>
      <c r="S864" s="2867"/>
      <c r="T864" s="2867"/>
      <c r="U864" s="2867"/>
      <c r="V864" s="2867"/>
      <c r="W864" s="2867"/>
      <c r="X864" s="2867"/>
      <c r="Y864" s="2867"/>
      <c r="Z864" s="2867"/>
      <c r="AA864" s="2867"/>
      <c r="AB864" s="2867"/>
      <c r="AC864" s="2867"/>
      <c r="AD864" s="2867"/>
      <c r="AE864" s="2867"/>
      <c r="AF864" s="2867"/>
      <c r="AG864" s="2867"/>
      <c r="AH864" s="2867"/>
      <c r="AI864" s="2867"/>
      <c r="AJ864" s="2867"/>
      <c r="AK864" s="2867"/>
      <c r="AL864" s="2867"/>
      <c r="AM864" s="2867"/>
      <c r="AN864" s="2867"/>
      <c r="AO864" s="2867"/>
      <c r="AP864" s="2867"/>
      <c r="AQ864" s="2867"/>
      <c r="AR864" s="2867"/>
      <c r="AS864" s="2867"/>
      <c r="AT864" s="2867"/>
      <c r="AU864" s="2867"/>
      <c r="AV864" s="2867"/>
      <c r="AW864" s="2867"/>
      <c r="AX864" s="2867"/>
      <c r="AY864" s="2867"/>
      <c r="AZ864" s="2867"/>
      <c r="BA864" s="2867"/>
      <c r="BB864" s="2867"/>
      <c r="BC864" s="2867"/>
      <c r="BD864" s="2867"/>
      <c r="BE864" s="2867"/>
      <c r="BF864" s="2867"/>
      <c r="BG864" s="2867"/>
      <c r="BH864" s="2867"/>
      <c r="BI864" s="2867"/>
      <c r="BJ864" s="2867"/>
      <c r="BK864" s="2867"/>
      <c r="BL864" s="2867"/>
      <c r="BM864" s="2867"/>
      <c r="BN864" s="2867"/>
      <c r="BO864" s="2867"/>
      <c r="BP864" s="2867"/>
      <c r="BQ864" s="2867"/>
      <c r="BR864" s="2867"/>
      <c r="BS864" s="2867"/>
      <c r="BT864" s="2867"/>
      <c r="BU864" s="2867"/>
      <c r="BV864" s="2867"/>
      <c r="BW864" s="2867"/>
      <c r="BX864" s="2867"/>
      <c r="BY864" s="2867"/>
      <c r="BZ864" s="2867"/>
      <c r="CA864" s="2867"/>
      <c r="CB864" s="2867"/>
      <c r="CC864" s="2867"/>
      <c r="CD864" s="2867"/>
      <c r="CE864" s="2867"/>
      <c r="CF864" s="2867"/>
      <c r="CG864" s="2867"/>
      <c r="CH864" s="2867"/>
      <c r="CI864" s="2867"/>
      <c r="CJ864" s="2867"/>
      <c r="CK864" s="2867"/>
      <c r="CL864" s="2867"/>
      <c r="CM864" s="2867"/>
      <c r="CN864" s="2867"/>
      <c r="CO864" s="2867"/>
      <c r="CP864" s="2867"/>
      <c r="CQ864" s="2867"/>
      <c r="CR864" s="2867"/>
      <c r="CS864" s="2867"/>
      <c r="CT864" s="2867"/>
      <c r="CU864" s="2867"/>
      <c r="CV864" s="2867"/>
      <c r="CW864" s="2867"/>
    </row>
    <row r="865" spans="1:101">
      <c r="A865" s="2867"/>
      <c r="B865" s="2867"/>
      <c r="C865" s="2867"/>
      <c r="D865" s="2867"/>
      <c r="E865" s="2867"/>
      <c r="F865" s="2867"/>
      <c r="G865" s="2867"/>
      <c r="H865" s="2867"/>
      <c r="I865" s="2867"/>
      <c r="J865" s="2867"/>
      <c r="K865" s="2867"/>
      <c r="L865" s="2867"/>
      <c r="M865" s="2867"/>
      <c r="O865" s="2867"/>
      <c r="P865" s="2867"/>
      <c r="Q865" s="2867"/>
      <c r="R865" s="2867"/>
      <c r="S865" s="2867"/>
      <c r="T865" s="2867"/>
      <c r="U865" s="2867"/>
      <c r="V865" s="2867"/>
      <c r="W865" s="2867"/>
      <c r="X865" s="2867"/>
      <c r="Y865" s="2867"/>
      <c r="Z865" s="2867"/>
      <c r="AA865" s="2867"/>
      <c r="AB865" s="2867"/>
      <c r="AC865" s="2867"/>
      <c r="AD865" s="2867"/>
      <c r="AE865" s="2867"/>
      <c r="AF865" s="2867"/>
      <c r="AG865" s="2867"/>
      <c r="AH865" s="2867"/>
      <c r="AI865" s="2867"/>
      <c r="AJ865" s="2867"/>
      <c r="AK865" s="2867"/>
      <c r="AL865" s="2867"/>
      <c r="AM865" s="2867"/>
      <c r="AN865" s="2867"/>
      <c r="AO865" s="2867"/>
      <c r="AP865" s="2867"/>
      <c r="AQ865" s="2867"/>
      <c r="AR865" s="2867"/>
      <c r="AS865" s="2867"/>
      <c r="AT865" s="2867"/>
      <c r="AU865" s="2867"/>
      <c r="AV865" s="2867"/>
      <c r="AW865" s="2867"/>
      <c r="AX865" s="2867"/>
      <c r="AY865" s="2867"/>
      <c r="AZ865" s="2867"/>
      <c r="BA865" s="2867"/>
      <c r="BB865" s="2867"/>
      <c r="BC865" s="2867"/>
      <c r="BD865" s="2867"/>
      <c r="BE865" s="2867"/>
      <c r="BF865" s="2867"/>
      <c r="BG865" s="2867"/>
      <c r="BH865" s="2867"/>
      <c r="BI865" s="2867"/>
      <c r="BJ865" s="2867"/>
      <c r="BK865" s="2867"/>
      <c r="BL865" s="2867"/>
      <c r="BM865" s="2867"/>
      <c r="BN865" s="2867"/>
      <c r="BO865" s="2867"/>
      <c r="BP865" s="2867"/>
      <c r="BQ865" s="2867"/>
      <c r="BR865" s="2867"/>
      <c r="BS865" s="2867"/>
      <c r="BT865" s="2867"/>
      <c r="BU865" s="2867"/>
      <c r="BV865" s="2867"/>
      <c r="BW865" s="2867"/>
      <c r="BX865" s="2867"/>
      <c r="BY865" s="2867"/>
      <c r="BZ865" s="2867"/>
      <c r="CA865" s="2867"/>
      <c r="CB865" s="2867"/>
      <c r="CC865" s="2867"/>
      <c r="CD865" s="2867"/>
      <c r="CE865" s="2867"/>
      <c r="CF865" s="2867"/>
      <c r="CG865" s="2867"/>
      <c r="CH865" s="2867"/>
      <c r="CI865" s="2867"/>
      <c r="CJ865" s="2867"/>
      <c r="CK865" s="2867"/>
      <c r="CL865" s="2867"/>
      <c r="CM865" s="2867"/>
      <c r="CN865" s="2867"/>
      <c r="CO865" s="2867"/>
      <c r="CP865" s="2867"/>
      <c r="CQ865" s="2867"/>
      <c r="CR865" s="2867"/>
      <c r="CS865" s="2867"/>
      <c r="CT865" s="2867"/>
      <c r="CU865" s="2867"/>
      <c r="CV865" s="2867"/>
      <c r="CW865" s="2867"/>
    </row>
    <row r="866" spans="1:101">
      <c r="A866" s="2867"/>
      <c r="B866" s="2867"/>
      <c r="C866" s="2867"/>
      <c r="D866" s="2867"/>
      <c r="E866" s="2867"/>
      <c r="F866" s="2867"/>
      <c r="G866" s="2867"/>
      <c r="H866" s="2867"/>
      <c r="I866" s="2867"/>
      <c r="J866" s="2867"/>
      <c r="K866" s="2867"/>
      <c r="L866" s="2867"/>
      <c r="M866" s="2867"/>
      <c r="O866" s="2867"/>
      <c r="P866" s="2867"/>
      <c r="Q866" s="2867"/>
      <c r="R866" s="2867"/>
      <c r="S866" s="2867"/>
      <c r="T866" s="2867"/>
      <c r="U866" s="2867"/>
      <c r="V866" s="2867"/>
      <c r="W866" s="2867"/>
      <c r="X866" s="2867"/>
      <c r="Y866" s="2867"/>
      <c r="Z866" s="2867"/>
      <c r="AA866" s="2867"/>
      <c r="AB866" s="2867"/>
      <c r="AC866" s="2867"/>
      <c r="AD866" s="2867"/>
      <c r="AE866" s="2867"/>
      <c r="AF866" s="2867"/>
      <c r="AG866" s="2867"/>
      <c r="AH866" s="2867"/>
      <c r="AI866" s="2867"/>
      <c r="AJ866" s="2867"/>
      <c r="AK866" s="2867"/>
      <c r="AL866" s="2867"/>
      <c r="AM866" s="2867"/>
      <c r="AN866" s="2867"/>
      <c r="AO866" s="2867"/>
      <c r="AP866" s="2867"/>
      <c r="AQ866" s="2867"/>
      <c r="AR866" s="2867"/>
      <c r="AS866" s="2867"/>
      <c r="AT866" s="2867"/>
      <c r="AU866" s="2867"/>
      <c r="AV866" s="2867"/>
      <c r="AW866" s="2867"/>
      <c r="AX866" s="2867"/>
      <c r="AY866" s="2867"/>
      <c r="AZ866" s="2867"/>
      <c r="BA866" s="2867"/>
      <c r="BB866" s="2867"/>
      <c r="BC866" s="2867"/>
      <c r="BD866" s="2867"/>
      <c r="BE866" s="2867"/>
      <c r="BF866" s="2867"/>
      <c r="BG866" s="2867"/>
      <c r="BH866" s="2867"/>
      <c r="BI866" s="2867"/>
      <c r="BJ866" s="2867"/>
      <c r="BK866" s="2867"/>
      <c r="BL866" s="2867"/>
      <c r="BM866" s="2867"/>
      <c r="BN866" s="2867"/>
      <c r="BO866" s="2867"/>
      <c r="BP866" s="2867"/>
      <c r="BQ866" s="2867"/>
      <c r="BR866" s="2867"/>
      <c r="BS866" s="2867"/>
      <c r="BT866" s="2867"/>
      <c r="BU866" s="2867"/>
      <c r="BV866" s="2867"/>
      <c r="BW866" s="2867"/>
      <c r="BX866" s="2867"/>
      <c r="BY866" s="2867"/>
      <c r="BZ866" s="2867"/>
      <c r="CA866" s="2867"/>
      <c r="CB866" s="2867"/>
      <c r="CC866" s="2867"/>
      <c r="CD866" s="2867"/>
      <c r="CE866" s="2867"/>
      <c r="CF866" s="2867"/>
      <c r="CG866" s="2867"/>
      <c r="CH866" s="2867"/>
      <c r="CI866" s="2867"/>
      <c r="CJ866" s="2867"/>
      <c r="CK866" s="2867"/>
      <c r="CL866" s="2867"/>
      <c r="CM866" s="2867"/>
      <c r="CN866" s="2867"/>
      <c r="CO866" s="2867"/>
      <c r="CP866" s="2867"/>
      <c r="CQ866" s="2867"/>
      <c r="CR866" s="2867"/>
      <c r="CS866" s="2867"/>
      <c r="CT866" s="2867"/>
      <c r="CU866" s="2867"/>
      <c r="CV866" s="2867"/>
      <c r="CW866" s="2867"/>
    </row>
    <row r="867" spans="1:101">
      <c r="A867" s="2867"/>
      <c r="B867" s="2867"/>
      <c r="C867" s="2867"/>
      <c r="D867" s="2867"/>
      <c r="E867" s="2867"/>
      <c r="F867" s="2867"/>
      <c r="G867" s="2867"/>
      <c r="H867" s="2867"/>
      <c r="I867" s="2867"/>
      <c r="J867" s="2867"/>
      <c r="K867" s="2867"/>
      <c r="L867" s="2867"/>
      <c r="M867" s="2867"/>
      <c r="O867" s="2867"/>
      <c r="P867" s="2867"/>
      <c r="Q867" s="2867"/>
      <c r="R867" s="2867"/>
      <c r="S867" s="2867"/>
      <c r="T867" s="2867"/>
      <c r="U867" s="2867"/>
      <c r="V867" s="2867"/>
      <c r="W867" s="2867"/>
      <c r="X867" s="2867"/>
      <c r="Y867" s="2867"/>
      <c r="Z867" s="2867"/>
      <c r="AA867" s="2867"/>
      <c r="AB867" s="2867"/>
      <c r="AC867" s="2867"/>
      <c r="AD867" s="2867"/>
      <c r="AE867" s="2867"/>
      <c r="AF867" s="2867"/>
      <c r="AG867" s="2867"/>
      <c r="AH867" s="2867"/>
      <c r="AI867" s="2867"/>
      <c r="AJ867" s="2867"/>
      <c r="AK867" s="2867"/>
      <c r="AL867" s="2867"/>
      <c r="AM867" s="2867"/>
      <c r="AN867" s="2867"/>
      <c r="AO867" s="2867"/>
      <c r="AP867" s="2867"/>
      <c r="AQ867" s="2867"/>
      <c r="AR867" s="2867"/>
      <c r="AS867" s="2867"/>
      <c r="AT867" s="2867"/>
      <c r="AU867" s="2867"/>
      <c r="AV867" s="2867"/>
      <c r="AW867" s="2867"/>
      <c r="AX867" s="2867"/>
      <c r="AY867" s="2867"/>
      <c r="AZ867" s="2867"/>
      <c r="BA867" s="2867"/>
      <c r="BB867" s="2867"/>
      <c r="BC867" s="2867"/>
      <c r="BD867" s="2867"/>
      <c r="BE867" s="2867"/>
      <c r="BF867" s="2867"/>
      <c r="BG867" s="2867"/>
      <c r="BH867" s="2867"/>
      <c r="BI867" s="2867"/>
      <c r="BJ867" s="2867"/>
      <c r="BK867" s="2867"/>
      <c r="BL867" s="2867"/>
      <c r="BM867" s="2867"/>
      <c r="BN867" s="2867"/>
      <c r="BO867" s="2867"/>
      <c r="BP867" s="2867"/>
      <c r="BQ867" s="2867"/>
      <c r="BR867" s="2867"/>
      <c r="BS867" s="2867"/>
      <c r="BT867" s="2867"/>
      <c r="BU867" s="2867"/>
      <c r="BV867" s="2867"/>
      <c r="BW867" s="2867"/>
      <c r="BX867" s="2867"/>
      <c r="BY867" s="2867"/>
      <c r="BZ867" s="2867"/>
      <c r="CA867" s="2867"/>
      <c r="CB867" s="2867"/>
      <c r="CC867" s="2867"/>
      <c r="CD867" s="2867"/>
      <c r="CE867" s="2867"/>
      <c r="CF867" s="2867"/>
      <c r="CG867" s="2867"/>
      <c r="CH867" s="2867"/>
      <c r="CI867" s="2867"/>
      <c r="CJ867" s="2867"/>
      <c r="CK867" s="2867"/>
      <c r="CL867" s="2867"/>
      <c r="CM867" s="2867"/>
      <c r="CN867" s="2867"/>
      <c r="CO867" s="2867"/>
      <c r="CP867" s="2867"/>
      <c r="CQ867" s="2867"/>
      <c r="CR867" s="2867"/>
      <c r="CS867" s="2867"/>
      <c r="CT867" s="2867"/>
      <c r="CU867" s="2867"/>
      <c r="CV867" s="2867"/>
      <c r="CW867" s="2867"/>
    </row>
    <row r="868" spans="1:101">
      <c r="A868" s="2867"/>
      <c r="B868" s="2867"/>
      <c r="C868" s="2867"/>
      <c r="D868" s="2867"/>
      <c r="E868" s="2867"/>
      <c r="F868" s="2867"/>
      <c r="G868" s="2867"/>
      <c r="H868" s="2867"/>
      <c r="I868" s="2867"/>
      <c r="J868" s="2867"/>
      <c r="K868" s="2867"/>
      <c r="L868" s="2867"/>
      <c r="M868" s="2867"/>
      <c r="O868" s="2867"/>
      <c r="P868" s="2867"/>
      <c r="Q868" s="2867"/>
      <c r="R868" s="2867"/>
      <c r="S868" s="2867"/>
      <c r="T868" s="2867"/>
      <c r="U868" s="2867"/>
      <c r="V868" s="2867"/>
      <c r="W868" s="2867"/>
      <c r="X868" s="2867"/>
      <c r="Y868" s="2867"/>
      <c r="Z868" s="2867"/>
      <c r="AA868" s="2867"/>
      <c r="AB868" s="2867"/>
      <c r="AC868" s="2867"/>
      <c r="AD868" s="2867"/>
      <c r="AE868" s="2867"/>
      <c r="AF868" s="2867"/>
      <c r="AG868" s="2867"/>
      <c r="AH868" s="2867"/>
      <c r="AI868" s="2867"/>
      <c r="AJ868" s="2867"/>
      <c r="AK868" s="2867"/>
      <c r="AL868" s="2867"/>
      <c r="AM868" s="2867"/>
      <c r="AN868" s="2867"/>
      <c r="AO868" s="2867"/>
      <c r="AP868" s="2867"/>
      <c r="AQ868" s="2867"/>
      <c r="AR868" s="2867"/>
      <c r="AS868" s="2867"/>
      <c r="AT868" s="2867"/>
      <c r="AU868" s="2867"/>
      <c r="AV868" s="2867"/>
      <c r="AW868" s="2867"/>
      <c r="AX868" s="2867"/>
      <c r="AY868" s="2867"/>
      <c r="AZ868" s="2867"/>
      <c r="BA868" s="2867"/>
      <c r="BB868" s="2867"/>
      <c r="BC868" s="2867"/>
      <c r="BD868" s="2867"/>
      <c r="BE868" s="2867"/>
      <c r="BF868" s="2867"/>
      <c r="BG868" s="2867"/>
      <c r="BH868" s="2867"/>
      <c r="BI868" s="2867"/>
      <c r="BJ868" s="2867"/>
      <c r="BK868" s="2867"/>
      <c r="BL868" s="2867"/>
      <c r="BM868" s="2867"/>
      <c r="BN868" s="2867"/>
      <c r="BO868" s="2867"/>
      <c r="BP868" s="2867"/>
      <c r="BQ868" s="2867"/>
      <c r="BR868" s="2867"/>
      <c r="BS868" s="2867"/>
      <c r="BT868" s="2867"/>
      <c r="BU868" s="2867"/>
      <c r="BV868" s="2867"/>
      <c r="BW868" s="2867"/>
      <c r="BX868" s="2867"/>
      <c r="BY868" s="2867"/>
      <c r="BZ868" s="2867"/>
      <c r="CA868" s="2867"/>
      <c r="CB868" s="2867"/>
      <c r="CC868" s="2867"/>
      <c r="CD868" s="2867"/>
      <c r="CE868" s="2867"/>
      <c r="CF868" s="2867"/>
      <c r="CG868" s="2867"/>
      <c r="CH868" s="2867"/>
      <c r="CI868" s="2867"/>
      <c r="CJ868" s="2867"/>
      <c r="CK868" s="2867"/>
      <c r="CL868" s="2867"/>
      <c r="CM868" s="2867"/>
      <c r="CN868" s="2867"/>
      <c r="CO868" s="2867"/>
      <c r="CP868" s="2867"/>
      <c r="CQ868" s="2867"/>
      <c r="CR868" s="2867"/>
      <c r="CS868" s="2867"/>
      <c r="CT868" s="2867"/>
      <c r="CU868" s="2867"/>
      <c r="CV868" s="2867"/>
      <c r="CW868" s="2867"/>
    </row>
    <row r="869" spans="1:101">
      <c r="A869" s="2867"/>
      <c r="B869" s="2867"/>
      <c r="C869" s="2867"/>
      <c r="D869" s="2867"/>
      <c r="E869" s="2867"/>
      <c r="F869" s="2867"/>
      <c r="G869" s="2867"/>
      <c r="H869" s="2867"/>
      <c r="I869" s="2867"/>
      <c r="J869" s="2867"/>
      <c r="K869" s="2867"/>
      <c r="L869" s="2867"/>
      <c r="M869" s="2867"/>
      <c r="O869" s="2867"/>
      <c r="P869" s="2867"/>
      <c r="Q869" s="2867"/>
      <c r="R869" s="2867"/>
      <c r="S869" s="2867"/>
      <c r="T869" s="2867"/>
      <c r="U869" s="2867"/>
      <c r="V869" s="2867"/>
      <c r="W869" s="2867"/>
      <c r="X869" s="2867"/>
      <c r="Y869" s="2867"/>
      <c r="Z869" s="2867"/>
      <c r="AA869" s="2867"/>
      <c r="AB869" s="2867"/>
      <c r="AC869" s="2867"/>
      <c r="AD869" s="2867"/>
      <c r="AE869" s="2867"/>
      <c r="AF869" s="2867"/>
      <c r="AG869" s="2867"/>
      <c r="AH869" s="2867"/>
      <c r="AI869" s="2867"/>
      <c r="AJ869" s="2867"/>
      <c r="AK869" s="2867"/>
      <c r="AL869" s="2867"/>
      <c r="AM869" s="2867"/>
      <c r="AN869" s="2867"/>
      <c r="AO869" s="2867"/>
      <c r="AP869" s="2867"/>
      <c r="AQ869" s="2867"/>
      <c r="AR869" s="2867"/>
      <c r="AS869" s="2867"/>
      <c r="AT869" s="2867"/>
      <c r="AU869" s="2867"/>
      <c r="AV869" s="2867"/>
      <c r="AW869" s="2867"/>
      <c r="AX869" s="2867"/>
      <c r="AY869" s="2867"/>
      <c r="AZ869" s="2867"/>
      <c r="BA869" s="2867"/>
      <c r="BB869" s="2867"/>
      <c r="BC869" s="2867"/>
      <c r="BD869" s="2867"/>
      <c r="BE869" s="2867"/>
      <c r="BF869" s="2867"/>
      <c r="BG869" s="2867"/>
      <c r="BH869" s="2867"/>
      <c r="BI869" s="2867"/>
      <c r="BJ869" s="2867"/>
      <c r="BK869" s="2867"/>
      <c r="BL869" s="2867"/>
      <c r="BM869" s="2867"/>
      <c r="BN869" s="2867"/>
      <c r="BO869" s="2867"/>
      <c r="BP869" s="2867"/>
      <c r="BQ869" s="2867"/>
      <c r="BR869" s="2867"/>
      <c r="BS869" s="2867"/>
      <c r="BT869" s="2867"/>
      <c r="BU869" s="2867"/>
      <c r="BV869" s="2867"/>
      <c r="BW869" s="2867"/>
      <c r="BX869" s="2867"/>
      <c r="BY869" s="2867"/>
      <c r="BZ869" s="2867"/>
      <c r="CA869" s="2867"/>
      <c r="CB869" s="2867"/>
      <c r="CC869" s="2867"/>
      <c r="CD869" s="2867"/>
      <c r="CE869" s="2867"/>
      <c r="CF869" s="2867"/>
      <c r="CG869" s="2867"/>
      <c r="CH869" s="2867"/>
      <c r="CI869" s="2867"/>
      <c r="CJ869" s="2867"/>
      <c r="CK869" s="2867"/>
      <c r="CL869" s="2867"/>
      <c r="CM869" s="2867"/>
      <c r="CN869" s="2867"/>
      <c r="CO869" s="2867"/>
      <c r="CP869" s="2867"/>
      <c r="CQ869" s="2867"/>
      <c r="CR869" s="2867"/>
      <c r="CS869" s="2867"/>
      <c r="CT869" s="2867"/>
      <c r="CU869" s="2867"/>
      <c r="CV869" s="2867"/>
      <c r="CW869" s="2867"/>
    </row>
    <row r="870" spans="1:101">
      <c r="A870" s="2867"/>
      <c r="B870" s="2867"/>
      <c r="C870" s="2867"/>
      <c r="D870" s="2867"/>
      <c r="E870" s="2867"/>
      <c r="F870" s="2867"/>
      <c r="G870" s="2867"/>
      <c r="H870" s="2867"/>
      <c r="I870" s="2867"/>
      <c r="J870" s="2867"/>
      <c r="K870" s="2867"/>
      <c r="L870" s="2867"/>
      <c r="M870" s="2867"/>
      <c r="O870" s="2867"/>
      <c r="P870" s="2867"/>
      <c r="Q870" s="2867"/>
      <c r="R870" s="2867"/>
      <c r="S870" s="2867"/>
      <c r="T870" s="2867"/>
      <c r="U870" s="2867"/>
      <c r="V870" s="2867"/>
      <c r="W870" s="2867"/>
      <c r="X870" s="2867"/>
      <c r="Y870" s="2867"/>
      <c r="Z870" s="2867"/>
      <c r="AA870" s="2867"/>
      <c r="AB870" s="2867"/>
      <c r="AC870" s="2867"/>
      <c r="AD870" s="2867"/>
      <c r="AE870" s="2867"/>
      <c r="AF870" s="2867"/>
      <c r="AG870" s="2867"/>
      <c r="AH870" s="2867"/>
      <c r="AI870" s="2867"/>
      <c r="AJ870" s="2867"/>
      <c r="AK870" s="2867"/>
      <c r="AL870" s="2867"/>
      <c r="AM870" s="2867"/>
      <c r="AN870" s="2867"/>
      <c r="AO870" s="2867"/>
      <c r="AP870" s="2867"/>
      <c r="AQ870" s="2867"/>
      <c r="AR870" s="2867"/>
      <c r="AS870" s="2867"/>
      <c r="AT870" s="2867"/>
      <c r="AU870" s="2867"/>
      <c r="AV870" s="2867"/>
      <c r="AW870" s="2867"/>
      <c r="AX870" s="2867"/>
      <c r="AY870" s="2867"/>
      <c r="AZ870" s="2867"/>
      <c r="BA870" s="2867"/>
      <c r="BB870" s="2867"/>
      <c r="BC870" s="2867"/>
      <c r="BD870" s="2867"/>
      <c r="BE870" s="2867"/>
      <c r="BF870" s="2867"/>
      <c r="BG870" s="2867"/>
      <c r="BH870" s="2867"/>
      <c r="BI870" s="2867"/>
      <c r="BJ870" s="2867"/>
      <c r="BK870" s="2867"/>
      <c r="BL870" s="2867"/>
      <c r="BM870" s="2867"/>
      <c r="BN870" s="2867"/>
      <c r="BO870" s="2867"/>
      <c r="BP870" s="2867"/>
      <c r="BQ870" s="2867"/>
      <c r="BR870" s="2867"/>
      <c r="BS870" s="2867"/>
      <c r="BT870" s="2867"/>
      <c r="BU870" s="2867"/>
      <c r="BV870" s="2867"/>
      <c r="BW870" s="2867"/>
      <c r="BX870" s="2867"/>
      <c r="BY870" s="2867"/>
      <c r="BZ870" s="2867"/>
      <c r="CA870" s="2867"/>
      <c r="CB870" s="2867"/>
      <c r="CC870" s="2867"/>
      <c r="CD870" s="2867"/>
      <c r="CE870" s="2867"/>
      <c r="CF870" s="2867"/>
      <c r="CG870" s="2867"/>
      <c r="CH870" s="2867"/>
      <c r="CI870" s="2867"/>
      <c r="CJ870" s="2867"/>
      <c r="CK870" s="2867"/>
      <c r="CL870" s="2867"/>
      <c r="CM870" s="2867"/>
      <c r="CN870" s="2867"/>
      <c r="CO870" s="2867"/>
      <c r="CP870" s="2867"/>
      <c r="CQ870" s="2867"/>
      <c r="CR870" s="2867"/>
      <c r="CS870" s="2867"/>
      <c r="CT870" s="2867"/>
      <c r="CU870" s="2867"/>
      <c r="CV870" s="2867"/>
      <c r="CW870" s="2867"/>
    </row>
    <row r="871" spans="1:101">
      <c r="A871" s="2867"/>
      <c r="B871" s="2867"/>
      <c r="C871" s="2867"/>
      <c r="D871" s="2867"/>
      <c r="E871" s="2867"/>
      <c r="F871" s="2867"/>
      <c r="G871" s="2867"/>
      <c r="H871" s="2867"/>
      <c r="I871" s="2867"/>
      <c r="J871" s="2867"/>
      <c r="K871" s="2867"/>
      <c r="L871" s="2867"/>
      <c r="M871" s="2867"/>
      <c r="O871" s="2867"/>
      <c r="P871" s="2867"/>
      <c r="Q871" s="2867"/>
      <c r="R871" s="2867"/>
      <c r="S871" s="2867"/>
      <c r="T871" s="2867"/>
      <c r="U871" s="2867"/>
      <c r="V871" s="2867"/>
      <c r="W871" s="2867"/>
      <c r="X871" s="2867"/>
      <c r="Y871" s="2867"/>
      <c r="Z871" s="2867"/>
      <c r="AA871" s="2867"/>
      <c r="AB871" s="2867"/>
      <c r="AC871" s="2867"/>
      <c r="AD871" s="2867"/>
      <c r="AE871" s="2867"/>
      <c r="AF871" s="2867"/>
      <c r="AG871" s="2867"/>
      <c r="AH871" s="2867"/>
      <c r="AI871" s="2867"/>
      <c r="AJ871" s="2867"/>
      <c r="AK871" s="2867"/>
      <c r="AL871" s="2867"/>
      <c r="AM871" s="2867"/>
      <c r="AN871" s="2867"/>
      <c r="AO871" s="2867"/>
      <c r="AP871" s="2867"/>
      <c r="AQ871" s="2867"/>
      <c r="AR871" s="2867"/>
      <c r="AS871" s="2867"/>
      <c r="AT871" s="2867"/>
      <c r="AU871" s="2867"/>
      <c r="AV871" s="2867"/>
      <c r="AW871" s="2867"/>
      <c r="AX871" s="2867"/>
      <c r="AY871" s="2867"/>
      <c r="AZ871" s="2867"/>
      <c r="BA871" s="2867"/>
      <c r="BB871" s="2867"/>
      <c r="BC871" s="2867"/>
      <c r="BD871" s="2867"/>
      <c r="BE871" s="2867"/>
      <c r="BF871" s="2867"/>
      <c r="BG871" s="2867"/>
      <c r="BH871" s="2867"/>
      <c r="BI871" s="2867"/>
      <c r="BJ871" s="2867"/>
      <c r="BK871" s="2867"/>
      <c r="BL871" s="2867"/>
      <c r="BM871" s="2867"/>
      <c r="BN871" s="2867"/>
      <c r="BO871" s="2867"/>
      <c r="BP871" s="2867"/>
      <c r="BQ871" s="2867"/>
      <c r="BR871" s="2867"/>
      <c r="BS871" s="2867"/>
      <c r="BT871" s="2867"/>
      <c r="BU871" s="2867"/>
      <c r="BV871" s="2867"/>
      <c r="BW871" s="2867"/>
      <c r="BX871" s="2867"/>
      <c r="BY871" s="2867"/>
      <c r="BZ871" s="2867"/>
      <c r="CA871" s="2867"/>
      <c r="CB871" s="2867"/>
      <c r="CC871" s="2867"/>
      <c r="CD871" s="2867"/>
      <c r="CE871" s="2867"/>
      <c r="CF871" s="2867"/>
      <c r="CG871" s="2867"/>
      <c r="CH871" s="2867"/>
      <c r="CI871" s="2867"/>
      <c r="CJ871" s="2867"/>
      <c r="CK871" s="2867"/>
      <c r="CL871" s="2867"/>
      <c r="CM871" s="2867"/>
      <c r="CN871" s="2867"/>
      <c r="CO871" s="2867"/>
      <c r="CP871" s="2867"/>
      <c r="CQ871" s="2867"/>
      <c r="CR871" s="2867"/>
      <c r="CS871" s="2867"/>
      <c r="CT871" s="2867"/>
      <c r="CU871" s="2867"/>
      <c r="CV871" s="2867"/>
      <c r="CW871" s="2867"/>
    </row>
    <row r="872" spans="1:101">
      <c r="A872" s="2867"/>
      <c r="B872" s="2867"/>
      <c r="C872" s="2867"/>
      <c r="D872" s="2867"/>
      <c r="E872" s="2867"/>
      <c r="F872" s="2867"/>
      <c r="G872" s="2867"/>
      <c r="H872" s="2867"/>
      <c r="I872" s="2867"/>
      <c r="J872" s="2867"/>
      <c r="K872" s="2867"/>
      <c r="L872" s="2867"/>
      <c r="M872" s="2867"/>
      <c r="O872" s="2867"/>
      <c r="P872" s="2867"/>
      <c r="Q872" s="2867"/>
      <c r="R872" s="2867"/>
      <c r="S872" s="2867"/>
      <c r="T872" s="2867"/>
      <c r="U872" s="2867"/>
      <c r="V872" s="2867"/>
      <c r="W872" s="2867"/>
      <c r="X872" s="2867"/>
      <c r="Y872" s="2867"/>
      <c r="Z872" s="2867"/>
      <c r="AA872" s="2867"/>
      <c r="AB872" s="2867"/>
      <c r="AC872" s="2867"/>
      <c r="AD872" s="2867"/>
      <c r="AE872" s="2867"/>
      <c r="AF872" s="2867"/>
      <c r="AG872" s="2867"/>
      <c r="AH872" s="2867"/>
      <c r="AI872" s="2867"/>
      <c r="AJ872" s="2867"/>
      <c r="AK872" s="2867"/>
      <c r="AL872" s="2867"/>
      <c r="AM872" s="2867"/>
      <c r="AN872" s="2867"/>
      <c r="AO872" s="2867"/>
      <c r="AP872" s="2867"/>
      <c r="AQ872" s="2867"/>
      <c r="AR872" s="2867"/>
      <c r="AS872" s="2867"/>
      <c r="AT872" s="2867"/>
      <c r="AU872" s="2867"/>
      <c r="AV872" s="2867"/>
      <c r="AW872" s="2867"/>
      <c r="AX872" s="2867"/>
      <c r="AY872" s="2867"/>
      <c r="AZ872" s="2867"/>
      <c r="BA872" s="2867"/>
      <c r="BB872" s="2867"/>
      <c r="BC872" s="2867"/>
      <c r="BD872" s="2867"/>
      <c r="BE872" s="2867"/>
      <c r="BF872" s="2867"/>
      <c r="BG872" s="2867"/>
      <c r="BH872" s="2867"/>
      <c r="BI872" s="2867"/>
      <c r="BJ872" s="2867"/>
      <c r="BK872" s="2867"/>
      <c r="BL872" s="2867"/>
      <c r="BM872" s="2867"/>
      <c r="BN872" s="2867"/>
      <c r="BO872" s="2867"/>
      <c r="BP872" s="2867"/>
      <c r="BQ872" s="2867"/>
      <c r="BR872" s="2867"/>
      <c r="BS872" s="2867"/>
      <c r="BT872" s="2867"/>
      <c r="BU872" s="2867"/>
      <c r="BV872" s="2867"/>
      <c r="BW872" s="2867"/>
      <c r="BX872" s="2867"/>
      <c r="BY872" s="2867"/>
      <c r="BZ872" s="2867"/>
      <c r="CA872" s="2867"/>
      <c r="CB872" s="2867"/>
      <c r="CC872" s="2867"/>
      <c r="CD872" s="2867"/>
      <c r="CE872" s="2867"/>
      <c r="CF872" s="2867"/>
      <c r="CG872" s="2867"/>
      <c r="CH872" s="2867"/>
      <c r="CI872" s="2867"/>
      <c r="CJ872" s="2867"/>
      <c r="CK872" s="2867"/>
      <c r="CL872" s="2867"/>
      <c r="CM872" s="2867"/>
      <c r="CN872" s="2867"/>
      <c r="CO872" s="2867"/>
      <c r="CP872" s="2867"/>
      <c r="CQ872" s="2867"/>
      <c r="CR872" s="2867"/>
      <c r="CS872" s="2867"/>
      <c r="CT872" s="2867"/>
      <c r="CU872" s="2867"/>
      <c r="CV872" s="2867"/>
      <c r="CW872" s="2867"/>
    </row>
    <row r="873" spans="1:101">
      <c r="A873" s="2867"/>
      <c r="B873" s="2867"/>
      <c r="C873" s="2867"/>
      <c r="D873" s="2867"/>
      <c r="E873" s="2867"/>
      <c r="F873" s="2867"/>
      <c r="G873" s="2867"/>
      <c r="H873" s="2867"/>
      <c r="I873" s="2867"/>
      <c r="J873" s="2867"/>
      <c r="K873" s="2867"/>
      <c r="L873" s="2867"/>
      <c r="M873" s="2867"/>
      <c r="O873" s="2867"/>
      <c r="P873" s="2867"/>
      <c r="Q873" s="2867"/>
      <c r="R873" s="2867"/>
      <c r="S873" s="2867"/>
      <c r="T873" s="2867"/>
      <c r="U873" s="2867"/>
      <c r="V873" s="2867"/>
      <c r="W873" s="2867"/>
      <c r="X873" s="2867"/>
      <c r="Y873" s="2867"/>
      <c r="Z873" s="2867"/>
      <c r="AA873" s="2867"/>
      <c r="AB873" s="2867"/>
      <c r="AC873" s="2867"/>
      <c r="AD873" s="2867"/>
      <c r="AE873" s="2867"/>
      <c r="AF873" s="2867"/>
      <c r="AG873" s="2867"/>
      <c r="AH873" s="2867"/>
      <c r="AI873" s="2867"/>
      <c r="AJ873" s="2867"/>
      <c r="AK873" s="2867"/>
      <c r="AL873" s="2867"/>
      <c r="AM873" s="2867"/>
      <c r="AN873" s="2867"/>
      <c r="AO873" s="2867"/>
      <c r="AP873" s="2867"/>
      <c r="AQ873" s="2867"/>
      <c r="AR873" s="2867"/>
      <c r="AS873" s="2867"/>
      <c r="AT873" s="2867"/>
      <c r="AU873" s="2867"/>
      <c r="AV873" s="2867"/>
      <c r="AW873" s="2867"/>
      <c r="AX873" s="2867"/>
      <c r="AY873" s="2867"/>
      <c r="AZ873" s="2867"/>
      <c r="BA873" s="2867"/>
      <c r="BB873" s="2867"/>
      <c r="BC873" s="2867"/>
      <c r="BD873" s="2867"/>
      <c r="BE873" s="2867"/>
      <c r="BF873" s="2867"/>
      <c r="BG873" s="2867"/>
      <c r="BH873" s="2867"/>
      <c r="BI873" s="2867"/>
      <c r="BJ873" s="2867"/>
      <c r="BK873" s="2867"/>
      <c r="BL873" s="2867"/>
      <c r="BM873" s="2867"/>
      <c r="BN873" s="2867"/>
      <c r="BO873" s="2867"/>
      <c r="BP873" s="2867"/>
      <c r="BQ873" s="2867"/>
      <c r="BR873" s="2867"/>
      <c r="BS873" s="2867"/>
      <c r="BT873" s="2867"/>
      <c r="BU873" s="2867"/>
      <c r="BV873" s="2867"/>
      <c r="BW873" s="2867"/>
      <c r="BX873" s="2867"/>
      <c r="BY873" s="2867"/>
      <c r="BZ873" s="2867"/>
      <c r="CA873" s="2867"/>
      <c r="CB873" s="2867"/>
      <c r="CC873" s="2867"/>
      <c r="CD873" s="2867"/>
      <c r="CE873" s="2867"/>
      <c r="CF873" s="2867"/>
      <c r="CG873" s="2867"/>
      <c r="CH873" s="2867"/>
      <c r="CI873" s="2867"/>
      <c r="CJ873" s="2867"/>
      <c r="CK873" s="2867"/>
      <c r="CL873" s="2867"/>
      <c r="CM873" s="2867"/>
      <c r="CN873" s="2867"/>
      <c r="CO873" s="2867"/>
      <c r="CP873" s="2867"/>
      <c r="CQ873" s="2867"/>
      <c r="CR873" s="2867"/>
      <c r="CS873" s="2867"/>
      <c r="CT873" s="2867"/>
      <c r="CU873" s="2867"/>
      <c r="CV873" s="2867"/>
      <c r="CW873" s="2867"/>
    </row>
    <row r="874" spans="1:101">
      <c r="A874" s="2867"/>
      <c r="B874" s="2867"/>
      <c r="C874" s="2867"/>
      <c r="D874" s="2867"/>
      <c r="E874" s="2867"/>
      <c r="F874" s="2867"/>
      <c r="G874" s="2867"/>
      <c r="H874" s="2867"/>
      <c r="I874" s="2867"/>
      <c r="J874" s="2867"/>
      <c r="K874" s="2867"/>
      <c r="L874" s="2867"/>
      <c r="M874" s="2867"/>
      <c r="O874" s="2867"/>
      <c r="P874" s="2867"/>
      <c r="Q874" s="2867"/>
      <c r="R874" s="2867"/>
      <c r="S874" s="2867"/>
      <c r="T874" s="2867"/>
      <c r="U874" s="2867"/>
      <c r="V874" s="2867"/>
      <c r="W874" s="2867"/>
      <c r="X874" s="2867"/>
      <c r="Y874" s="2867"/>
      <c r="Z874" s="2867"/>
      <c r="AA874" s="2867"/>
      <c r="AB874" s="2867"/>
      <c r="AC874" s="2867"/>
      <c r="AD874" s="2867"/>
      <c r="AE874" s="2867"/>
      <c r="AF874" s="2867"/>
      <c r="AG874" s="2867"/>
      <c r="AH874" s="2867"/>
      <c r="AI874" s="2867"/>
      <c r="AJ874" s="2867"/>
      <c r="AK874" s="2867"/>
      <c r="AL874" s="2867"/>
      <c r="AM874" s="2867"/>
      <c r="AN874" s="2867"/>
      <c r="AO874" s="2867"/>
      <c r="AP874" s="2867"/>
      <c r="AQ874" s="2867"/>
      <c r="AR874" s="2867"/>
      <c r="AS874" s="2867"/>
      <c r="AT874" s="2867"/>
      <c r="AU874" s="2867"/>
      <c r="AV874" s="2867"/>
      <c r="AW874" s="2867"/>
      <c r="AX874" s="2867"/>
      <c r="AY874" s="2867"/>
      <c r="AZ874" s="2867"/>
      <c r="BA874" s="2867"/>
      <c r="BB874" s="2867"/>
      <c r="BC874" s="2867"/>
      <c r="BD874" s="2867"/>
      <c r="BE874" s="2867"/>
      <c r="BF874" s="2867"/>
      <c r="BG874" s="2867"/>
      <c r="BH874" s="2867"/>
      <c r="BI874" s="2867"/>
      <c r="BJ874" s="2867"/>
      <c r="BK874" s="2867"/>
      <c r="BL874" s="2867"/>
      <c r="BM874" s="2867"/>
      <c r="BN874" s="2867"/>
      <c r="BO874" s="2867"/>
      <c r="BP874" s="2867"/>
      <c r="BQ874" s="2867"/>
      <c r="BR874" s="2867"/>
      <c r="BS874" s="2867"/>
      <c r="BT874" s="2867"/>
      <c r="BU874" s="2867"/>
      <c r="BV874" s="2867"/>
      <c r="BW874" s="2867"/>
      <c r="BX874" s="2867"/>
      <c r="BY874" s="2867"/>
      <c r="BZ874" s="2867"/>
      <c r="CA874" s="2867"/>
      <c r="CB874" s="2867"/>
      <c r="CC874" s="2867"/>
      <c r="CD874" s="2867"/>
      <c r="CE874" s="2867"/>
      <c r="CF874" s="2867"/>
      <c r="CG874" s="2867"/>
      <c r="CH874" s="2867"/>
      <c r="CI874" s="2867"/>
      <c r="CJ874" s="2867"/>
      <c r="CK874" s="2867"/>
      <c r="CL874" s="2867"/>
      <c r="CM874" s="2867"/>
      <c r="CN874" s="2867"/>
      <c r="CO874" s="2867"/>
      <c r="CP874" s="2867"/>
      <c r="CQ874" s="2867"/>
      <c r="CR874" s="2867"/>
      <c r="CS874" s="2867"/>
      <c r="CT874" s="2867"/>
      <c r="CU874" s="2867"/>
      <c r="CV874" s="2867"/>
      <c r="CW874" s="2867"/>
    </row>
    <row r="875" spans="1:101">
      <c r="A875" s="2867"/>
      <c r="B875" s="2867"/>
      <c r="C875" s="2867"/>
      <c r="D875" s="2867"/>
      <c r="E875" s="2867"/>
      <c r="F875" s="2867"/>
      <c r="G875" s="2867"/>
      <c r="H875" s="2867"/>
      <c r="I875" s="2867"/>
      <c r="J875" s="2867"/>
      <c r="K875" s="2867"/>
      <c r="L875" s="2867"/>
      <c r="M875" s="2867"/>
      <c r="O875" s="2867"/>
      <c r="P875" s="2867"/>
      <c r="Q875" s="2867"/>
      <c r="R875" s="2867"/>
      <c r="S875" s="2867"/>
      <c r="T875" s="2867"/>
      <c r="U875" s="2867"/>
      <c r="V875" s="2867"/>
      <c r="W875" s="2867"/>
      <c r="X875" s="2867"/>
      <c r="Y875" s="2867"/>
      <c r="Z875" s="2867"/>
      <c r="AA875" s="2867"/>
      <c r="AB875" s="2867"/>
      <c r="AC875" s="2867"/>
      <c r="AD875" s="2867"/>
      <c r="AE875" s="2867"/>
      <c r="AF875" s="2867"/>
      <c r="AG875" s="2867"/>
      <c r="AH875" s="2867"/>
      <c r="AI875" s="2867"/>
      <c r="AJ875" s="2867"/>
      <c r="AK875" s="2867"/>
      <c r="AL875" s="2867"/>
      <c r="AM875" s="2867"/>
      <c r="AN875" s="2867"/>
      <c r="AO875" s="2867"/>
      <c r="AP875" s="2867"/>
      <c r="AQ875" s="2867"/>
      <c r="AR875" s="2867"/>
      <c r="AS875" s="2867"/>
      <c r="AT875" s="2867"/>
      <c r="AU875" s="2867"/>
      <c r="AV875" s="2867"/>
      <c r="AW875" s="2867"/>
      <c r="AX875" s="2867"/>
      <c r="AY875" s="2867"/>
      <c r="AZ875" s="2867"/>
      <c r="BA875" s="2867"/>
      <c r="BB875" s="2867"/>
      <c r="BC875" s="2867"/>
      <c r="BD875" s="2867"/>
      <c r="BE875" s="2867"/>
      <c r="BF875" s="2867"/>
      <c r="BG875" s="2867"/>
      <c r="BH875" s="2867"/>
      <c r="BI875" s="2867"/>
      <c r="BJ875" s="2867"/>
      <c r="BK875" s="2867"/>
      <c r="BL875" s="2867"/>
      <c r="BM875" s="2867"/>
      <c r="BN875" s="2867"/>
      <c r="BO875" s="2867"/>
      <c r="BP875" s="2867"/>
      <c r="BQ875" s="2867"/>
      <c r="BR875" s="2867"/>
      <c r="BS875" s="2867"/>
      <c r="BT875" s="2867"/>
      <c r="BU875" s="2867"/>
      <c r="BV875" s="2867"/>
      <c r="BW875" s="2867"/>
      <c r="BX875" s="2867"/>
      <c r="BY875" s="2867"/>
      <c r="BZ875" s="2867"/>
      <c r="CA875" s="2867"/>
      <c r="CB875" s="2867"/>
      <c r="CC875" s="2867"/>
      <c r="CD875" s="2867"/>
      <c r="CE875" s="2867"/>
      <c r="CF875" s="2867"/>
      <c r="CG875" s="2867"/>
      <c r="CH875" s="2867"/>
      <c r="CI875" s="2867"/>
      <c r="CJ875" s="2867"/>
      <c r="CK875" s="2867"/>
      <c r="CL875" s="2867"/>
      <c r="CM875" s="2867"/>
      <c r="CN875" s="2867"/>
      <c r="CO875" s="2867"/>
      <c r="CP875" s="2867"/>
      <c r="CQ875" s="2867"/>
      <c r="CR875" s="2867"/>
      <c r="CS875" s="2867"/>
      <c r="CT875" s="2867"/>
      <c r="CU875" s="2867"/>
      <c r="CV875" s="2867"/>
      <c r="CW875" s="2867"/>
    </row>
    <row r="876" spans="1:101">
      <c r="A876" s="2867"/>
      <c r="B876" s="2867"/>
      <c r="C876" s="2867"/>
      <c r="D876" s="2867"/>
      <c r="E876" s="2867"/>
      <c r="F876" s="2867"/>
      <c r="G876" s="2867"/>
      <c r="H876" s="2867"/>
      <c r="I876" s="2867"/>
      <c r="J876" s="2867"/>
      <c r="K876" s="2867"/>
      <c r="L876" s="2867"/>
      <c r="M876" s="2867"/>
      <c r="O876" s="2867"/>
      <c r="P876" s="2867"/>
      <c r="Q876" s="2867"/>
      <c r="R876" s="2867"/>
      <c r="S876" s="2867"/>
      <c r="T876" s="2867"/>
      <c r="U876" s="2867"/>
      <c r="V876" s="2867"/>
      <c r="W876" s="2867"/>
      <c r="X876" s="2867"/>
      <c r="Y876" s="2867"/>
      <c r="Z876" s="2867"/>
      <c r="AA876" s="2867"/>
      <c r="AB876" s="2867"/>
      <c r="AC876" s="2867"/>
      <c r="AD876" s="2867"/>
      <c r="AE876" s="2867"/>
      <c r="AF876" s="2867"/>
      <c r="AG876" s="2867"/>
      <c r="AH876" s="2867"/>
      <c r="AI876" s="2867"/>
      <c r="AJ876" s="2867"/>
      <c r="AK876" s="2867"/>
      <c r="AL876" s="2867"/>
      <c r="AM876" s="2867"/>
      <c r="AN876" s="2867"/>
      <c r="AO876" s="2867"/>
      <c r="AP876" s="2867"/>
      <c r="AQ876" s="2867"/>
      <c r="AR876" s="2867"/>
      <c r="AS876" s="2867"/>
      <c r="AT876" s="2867"/>
      <c r="AU876" s="2867"/>
      <c r="AV876" s="2867"/>
      <c r="AW876" s="2867"/>
      <c r="AX876" s="2867"/>
      <c r="AY876" s="2867"/>
      <c r="AZ876" s="2867"/>
      <c r="BA876" s="2867"/>
      <c r="BB876" s="2867"/>
      <c r="BC876" s="2867"/>
      <c r="BD876" s="2867"/>
      <c r="BE876" s="2867"/>
      <c r="BF876" s="2867"/>
      <c r="BG876" s="2867"/>
      <c r="BH876" s="2867"/>
      <c r="BI876" s="2867"/>
      <c r="BJ876" s="2867"/>
      <c r="BK876" s="2867"/>
      <c r="BL876" s="2867"/>
      <c r="BM876" s="2867"/>
      <c r="BN876" s="2867"/>
      <c r="BO876" s="2867"/>
      <c r="BP876" s="2867"/>
      <c r="BQ876" s="2867"/>
      <c r="BR876" s="2867"/>
      <c r="BS876" s="2867"/>
      <c r="BT876" s="2867"/>
      <c r="BU876" s="2867"/>
      <c r="BV876" s="2867"/>
      <c r="BW876" s="2867"/>
      <c r="BX876" s="2867"/>
      <c r="BY876" s="2867"/>
      <c r="BZ876" s="2867"/>
      <c r="CA876" s="2867"/>
      <c r="CB876" s="2867"/>
      <c r="CC876" s="2867"/>
      <c r="CD876" s="2867"/>
      <c r="CE876" s="2867"/>
      <c r="CF876" s="2867"/>
      <c r="CG876" s="2867"/>
      <c r="CH876" s="2867"/>
      <c r="CI876" s="2867"/>
      <c r="CJ876" s="2867"/>
      <c r="CK876" s="2867"/>
      <c r="CL876" s="2867"/>
      <c r="CM876" s="2867"/>
      <c r="CN876" s="2867"/>
      <c r="CO876" s="2867"/>
      <c r="CP876" s="2867"/>
      <c r="CQ876" s="2867"/>
      <c r="CR876" s="2867"/>
      <c r="CS876" s="2867"/>
      <c r="CT876" s="2867"/>
      <c r="CU876" s="2867"/>
      <c r="CV876" s="2867"/>
      <c r="CW876" s="2867"/>
    </row>
    <row r="877" spans="1:101">
      <c r="A877" s="2867"/>
      <c r="B877" s="2867"/>
      <c r="C877" s="2867"/>
      <c r="D877" s="2867"/>
      <c r="E877" s="2867"/>
      <c r="F877" s="2867"/>
      <c r="G877" s="2867"/>
      <c r="H877" s="2867"/>
      <c r="I877" s="2867"/>
      <c r="J877" s="2867"/>
      <c r="K877" s="2867"/>
      <c r="L877" s="2867"/>
      <c r="M877" s="2867"/>
      <c r="O877" s="2867"/>
      <c r="P877" s="2867"/>
      <c r="Q877" s="2867"/>
      <c r="R877" s="2867"/>
      <c r="S877" s="2867"/>
      <c r="T877" s="2867"/>
      <c r="U877" s="2867"/>
      <c r="V877" s="2867"/>
      <c r="W877" s="2867"/>
      <c r="X877" s="2867"/>
      <c r="Y877" s="2867"/>
      <c r="Z877" s="2867"/>
      <c r="AA877" s="2867"/>
      <c r="AB877" s="2867"/>
      <c r="AC877" s="2867"/>
      <c r="AD877" s="2867"/>
      <c r="AE877" s="2867"/>
      <c r="AF877" s="2867"/>
      <c r="AG877" s="2867"/>
      <c r="AH877" s="2867"/>
      <c r="AI877" s="2867"/>
      <c r="AJ877" s="2867"/>
      <c r="AK877" s="2867"/>
      <c r="AL877" s="2867"/>
      <c r="AM877" s="2867"/>
      <c r="AN877" s="2867"/>
      <c r="AO877" s="2867"/>
      <c r="AP877" s="2867"/>
      <c r="AQ877" s="2867"/>
      <c r="AR877" s="2867"/>
      <c r="AS877" s="2867"/>
      <c r="AT877" s="2867"/>
      <c r="AU877" s="2867"/>
      <c r="AV877" s="2867"/>
      <c r="AW877" s="2867"/>
      <c r="AX877" s="2867"/>
      <c r="AY877" s="2867"/>
      <c r="AZ877" s="2867"/>
      <c r="BA877" s="2867"/>
      <c r="BB877" s="2867"/>
      <c r="BC877" s="2867"/>
      <c r="BD877" s="2867"/>
      <c r="BE877" s="2867"/>
      <c r="BF877" s="2867"/>
      <c r="BG877" s="2867"/>
      <c r="BH877" s="2867"/>
      <c r="BI877" s="2867"/>
      <c r="BJ877" s="2867"/>
      <c r="BK877" s="2867"/>
      <c r="BL877" s="2867"/>
      <c r="BM877" s="2867"/>
      <c r="BN877" s="2867"/>
      <c r="BO877" s="2867"/>
      <c r="BP877" s="2867"/>
      <c r="BQ877" s="2867"/>
      <c r="BR877" s="2867"/>
      <c r="BS877" s="2867"/>
      <c r="BT877" s="2867"/>
      <c r="BU877" s="2867"/>
      <c r="BV877" s="2867"/>
      <c r="BW877" s="2867"/>
      <c r="BX877" s="2867"/>
      <c r="BY877" s="2867"/>
      <c r="BZ877" s="2867"/>
      <c r="CA877" s="2867"/>
      <c r="CB877" s="2867"/>
      <c r="CC877" s="2867"/>
      <c r="CD877" s="2867"/>
      <c r="CE877" s="2867"/>
      <c r="CF877" s="2867"/>
      <c r="CG877" s="2867"/>
      <c r="CH877" s="2867"/>
      <c r="CI877" s="2867"/>
      <c r="CJ877" s="2867"/>
      <c r="CK877" s="2867"/>
      <c r="CL877" s="2867"/>
      <c r="CM877" s="2867"/>
      <c r="CN877" s="2867"/>
      <c r="CO877" s="2867"/>
      <c r="CP877" s="2867"/>
      <c r="CQ877" s="2867"/>
      <c r="CR877" s="2867"/>
      <c r="CS877" s="2867"/>
      <c r="CT877" s="2867"/>
      <c r="CU877" s="2867"/>
      <c r="CV877" s="2867"/>
      <c r="CW877" s="2867"/>
    </row>
    <row r="878" spans="1:101">
      <c r="A878" s="2867"/>
      <c r="B878" s="2867"/>
      <c r="C878" s="2867"/>
      <c r="D878" s="2867"/>
      <c r="E878" s="2867"/>
      <c r="F878" s="2867"/>
      <c r="G878" s="2867"/>
      <c r="H878" s="2867"/>
      <c r="I878" s="2867"/>
      <c r="J878" s="2867"/>
      <c r="K878" s="2867"/>
      <c r="L878" s="2867"/>
      <c r="M878" s="2867"/>
      <c r="O878" s="2867"/>
      <c r="P878" s="2867"/>
      <c r="Q878" s="2867"/>
      <c r="R878" s="2867"/>
      <c r="S878" s="2867"/>
      <c r="T878" s="2867"/>
      <c r="U878" s="2867"/>
      <c r="V878" s="2867"/>
      <c r="W878" s="2867"/>
      <c r="X878" s="2867"/>
      <c r="Y878" s="2867"/>
      <c r="Z878" s="2867"/>
      <c r="AA878" s="2867"/>
      <c r="AB878" s="2867"/>
      <c r="AC878" s="2867"/>
      <c r="AD878" s="2867"/>
      <c r="AE878" s="2867"/>
      <c r="AF878" s="2867"/>
      <c r="AG878" s="2867"/>
      <c r="AH878" s="2867"/>
      <c r="AI878" s="2867"/>
      <c r="AJ878" s="2867"/>
      <c r="AK878" s="2867"/>
      <c r="AL878" s="2867"/>
      <c r="AM878" s="2867"/>
      <c r="AN878" s="2867"/>
      <c r="AO878" s="2867"/>
      <c r="AP878" s="2867"/>
      <c r="AQ878" s="2867"/>
      <c r="AR878" s="2867"/>
      <c r="AS878" s="2867"/>
      <c r="AT878" s="2867"/>
      <c r="AU878" s="2867"/>
      <c r="AV878" s="2867"/>
      <c r="AW878" s="2867"/>
      <c r="AX878" s="2867"/>
      <c r="AY878" s="2867"/>
      <c r="AZ878" s="2867"/>
      <c r="BA878" s="2867"/>
      <c r="BB878" s="2867"/>
      <c r="BC878" s="2867"/>
      <c r="BD878" s="2867"/>
      <c r="BE878" s="2867"/>
      <c r="BF878" s="2867"/>
      <c r="BG878" s="2867"/>
      <c r="BH878" s="2867"/>
      <c r="BI878" s="2867"/>
      <c r="BJ878" s="2867"/>
      <c r="BK878" s="2867"/>
      <c r="BL878" s="2867"/>
      <c r="BM878" s="2867"/>
      <c r="BN878" s="2867"/>
      <c r="BO878" s="2867"/>
      <c r="BP878" s="2867"/>
      <c r="BQ878" s="2867"/>
      <c r="BR878" s="2867"/>
      <c r="BS878" s="2867"/>
      <c r="BT878" s="2867"/>
      <c r="BU878" s="2867"/>
      <c r="BV878" s="2867"/>
      <c r="BW878" s="2867"/>
      <c r="BX878" s="2867"/>
      <c r="BY878" s="2867"/>
      <c r="BZ878" s="2867"/>
      <c r="CA878" s="2867"/>
      <c r="CB878" s="2867"/>
      <c r="CC878" s="2867"/>
      <c r="CD878" s="2867"/>
      <c r="CE878" s="2867"/>
      <c r="CF878" s="2867"/>
      <c r="CG878" s="2867"/>
      <c r="CH878" s="2867"/>
      <c r="CI878" s="2867"/>
      <c r="CJ878" s="2867"/>
      <c r="CK878" s="2867"/>
      <c r="CL878" s="2867"/>
      <c r="CM878" s="2867"/>
      <c r="CN878" s="2867"/>
      <c r="CO878" s="2867"/>
      <c r="CP878" s="2867"/>
      <c r="CQ878" s="2867"/>
      <c r="CR878" s="2867"/>
      <c r="CS878" s="2867"/>
      <c r="CT878" s="2867"/>
      <c r="CU878" s="2867"/>
      <c r="CV878" s="2867"/>
      <c r="CW878" s="2867"/>
    </row>
    <row r="879" spans="1:101">
      <c r="A879" s="2867"/>
      <c r="B879" s="2867"/>
      <c r="C879" s="2867"/>
      <c r="D879" s="2867"/>
      <c r="E879" s="2867"/>
      <c r="F879" s="2867"/>
      <c r="G879" s="2867"/>
      <c r="H879" s="2867"/>
      <c r="I879" s="2867"/>
      <c r="J879" s="2867"/>
      <c r="K879" s="2867"/>
      <c r="L879" s="2867"/>
      <c r="M879" s="2867"/>
      <c r="O879" s="2867"/>
      <c r="P879" s="2867"/>
      <c r="Q879" s="2867"/>
      <c r="R879" s="2867"/>
      <c r="S879" s="2867"/>
      <c r="T879" s="2867"/>
      <c r="U879" s="2867"/>
      <c r="V879" s="2867"/>
      <c r="W879" s="2867"/>
      <c r="X879" s="2867"/>
      <c r="Y879" s="2867"/>
      <c r="Z879" s="2867"/>
      <c r="AA879" s="2867"/>
      <c r="AB879" s="2867"/>
      <c r="AC879" s="2867"/>
      <c r="AD879" s="2867"/>
      <c r="AE879" s="2867"/>
      <c r="AF879" s="2867"/>
      <c r="AG879" s="2867"/>
      <c r="AH879" s="2867"/>
      <c r="AI879" s="2867"/>
      <c r="AJ879" s="2867"/>
      <c r="AK879" s="2867"/>
      <c r="AL879" s="2867"/>
      <c r="AM879" s="2867"/>
      <c r="AN879" s="2867"/>
      <c r="AO879" s="2867"/>
      <c r="AP879" s="2867"/>
      <c r="AQ879" s="2867"/>
      <c r="AR879" s="2867"/>
      <c r="AS879" s="2867"/>
      <c r="AT879" s="2867"/>
      <c r="AU879" s="2867"/>
      <c r="AV879" s="2867"/>
      <c r="AW879" s="2867"/>
      <c r="AX879" s="2867"/>
      <c r="AY879" s="2867"/>
      <c r="AZ879" s="2867"/>
      <c r="BA879" s="2867"/>
      <c r="BB879" s="2867"/>
      <c r="BC879" s="2867"/>
      <c r="BD879" s="2867"/>
      <c r="BE879" s="2867"/>
      <c r="BF879" s="2867"/>
      <c r="BG879" s="2867"/>
      <c r="BH879" s="2867"/>
      <c r="BI879" s="2867"/>
      <c r="BJ879" s="2867"/>
      <c r="BK879" s="2867"/>
      <c r="BL879" s="2867"/>
      <c r="BM879" s="2867"/>
      <c r="BN879" s="2867"/>
      <c r="BO879" s="2867"/>
      <c r="BP879" s="2867"/>
      <c r="BQ879" s="2867"/>
      <c r="BR879" s="2867"/>
      <c r="BS879" s="2867"/>
      <c r="BT879" s="2867"/>
      <c r="BU879" s="2867"/>
      <c r="BV879" s="2867"/>
      <c r="BW879" s="2867"/>
      <c r="BX879" s="2867"/>
      <c r="BY879" s="2867"/>
      <c r="BZ879" s="2867"/>
      <c r="CA879" s="2867"/>
      <c r="CB879" s="2867"/>
      <c r="CC879" s="2867"/>
      <c r="CD879" s="2867"/>
      <c r="CE879" s="2867"/>
      <c r="CF879" s="2867"/>
      <c r="CG879" s="2867"/>
      <c r="CH879" s="2867"/>
      <c r="CI879" s="2867"/>
      <c r="CJ879" s="2867"/>
      <c r="CK879" s="2867"/>
      <c r="CL879" s="2867"/>
      <c r="CM879" s="2867"/>
      <c r="CN879" s="2867"/>
      <c r="CO879" s="2867"/>
      <c r="CP879" s="2867"/>
      <c r="CQ879" s="2867"/>
      <c r="CR879" s="2867"/>
      <c r="CS879" s="2867"/>
      <c r="CT879" s="2867"/>
      <c r="CU879" s="2867"/>
      <c r="CV879" s="2867"/>
      <c r="CW879" s="2867"/>
    </row>
    <row r="880" spans="1:101">
      <c r="A880" s="2867"/>
      <c r="B880" s="2867"/>
      <c r="C880" s="2867"/>
      <c r="D880" s="2867"/>
      <c r="E880" s="2867"/>
      <c r="F880" s="2867"/>
      <c r="G880" s="2867"/>
      <c r="H880" s="2867"/>
      <c r="I880" s="2867"/>
      <c r="J880" s="2867"/>
      <c r="K880" s="2867"/>
      <c r="L880" s="2867"/>
      <c r="M880" s="2867"/>
      <c r="O880" s="2867"/>
      <c r="P880" s="2867"/>
      <c r="Q880" s="2867"/>
      <c r="R880" s="2867"/>
      <c r="S880" s="2867"/>
      <c r="T880" s="2867"/>
      <c r="U880" s="2867"/>
      <c r="V880" s="2867"/>
      <c r="W880" s="2867"/>
      <c r="X880" s="2867"/>
      <c r="Y880" s="2867"/>
      <c r="Z880" s="2867"/>
      <c r="AA880" s="2867"/>
      <c r="AB880" s="2867"/>
      <c r="AC880" s="2867"/>
      <c r="AD880" s="2867"/>
      <c r="AE880" s="2867"/>
      <c r="AF880" s="2867"/>
      <c r="AG880" s="2867"/>
      <c r="AH880" s="2867"/>
      <c r="AI880" s="2867"/>
      <c r="AJ880" s="2867"/>
      <c r="AK880" s="2867"/>
      <c r="AL880" s="2867"/>
      <c r="AM880" s="2867"/>
      <c r="AN880" s="2867"/>
      <c r="AO880" s="2867"/>
      <c r="AP880" s="2867"/>
      <c r="AQ880" s="2867"/>
      <c r="AR880" s="2867"/>
      <c r="AS880" s="2867"/>
      <c r="AT880" s="2867"/>
      <c r="AU880" s="2867"/>
      <c r="AV880" s="2867"/>
      <c r="AW880" s="2867"/>
      <c r="AX880" s="2867"/>
      <c r="AY880" s="2867"/>
      <c r="AZ880" s="2867"/>
      <c r="BA880" s="2867"/>
      <c r="BB880" s="2867"/>
      <c r="BC880" s="2867"/>
      <c r="BD880" s="2867"/>
      <c r="BE880" s="2867"/>
      <c r="BF880" s="2867"/>
      <c r="BG880" s="2867"/>
      <c r="BH880" s="2867"/>
      <c r="BI880" s="2867"/>
      <c r="BJ880" s="2867"/>
      <c r="BK880" s="2867"/>
      <c r="BL880" s="2867"/>
      <c r="BM880" s="2867"/>
      <c r="BN880" s="2867"/>
      <c r="BO880" s="2867"/>
      <c r="BP880" s="2867"/>
      <c r="BQ880" s="2867"/>
      <c r="BR880" s="2867"/>
      <c r="BS880" s="2867"/>
      <c r="BT880" s="2867"/>
      <c r="BU880" s="2867"/>
      <c r="BV880" s="2867"/>
      <c r="BW880" s="2867"/>
      <c r="BX880" s="2867"/>
      <c r="BY880" s="2867"/>
      <c r="BZ880" s="2867"/>
      <c r="CA880" s="2867"/>
      <c r="CB880" s="2867"/>
      <c r="CC880" s="2867"/>
      <c r="CD880" s="2867"/>
      <c r="CE880" s="2867"/>
      <c r="CF880" s="2867"/>
      <c r="CG880" s="2867"/>
      <c r="CH880" s="2867"/>
      <c r="CI880" s="2867"/>
      <c r="CJ880" s="2867"/>
      <c r="CK880" s="2867"/>
      <c r="CL880" s="2867"/>
      <c r="CM880" s="2867"/>
      <c r="CN880" s="2867"/>
      <c r="CO880" s="2867"/>
      <c r="CP880" s="2867"/>
      <c r="CQ880" s="2867"/>
      <c r="CR880" s="2867"/>
      <c r="CS880" s="2867"/>
      <c r="CT880" s="2867"/>
      <c r="CU880" s="2867"/>
      <c r="CV880" s="2867"/>
      <c r="CW880" s="2867"/>
    </row>
    <row r="881" spans="1:101">
      <c r="A881" s="2867"/>
      <c r="B881" s="2867"/>
      <c r="C881" s="2867"/>
      <c r="D881" s="2867"/>
      <c r="E881" s="2867"/>
      <c r="F881" s="2867"/>
      <c r="G881" s="2867"/>
      <c r="H881" s="2867"/>
      <c r="I881" s="2867"/>
      <c r="J881" s="2867"/>
      <c r="K881" s="2867"/>
      <c r="L881" s="2867"/>
      <c r="M881" s="2867"/>
      <c r="O881" s="2867"/>
      <c r="P881" s="2867"/>
      <c r="Q881" s="2867"/>
      <c r="R881" s="2867"/>
      <c r="S881" s="2867"/>
      <c r="T881" s="2867"/>
      <c r="U881" s="2867"/>
      <c r="V881" s="2867"/>
      <c r="W881" s="2867"/>
      <c r="X881" s="2867"/>
      <c r="Y881" s="2867"/>
      <c r="Z881" s="2867"/>
      <c r="AA881" s="2867"/>
      <c r="AB881" s="2867"/>
      <c r="AC881" s="2867"/>
      <c r="AD881" s="2867"/>
      <c r="AE881" s="2867"/>
      <c r="AF881" s="2867"/>
      <c r="AG881" s="2867"/>
      <c r="AH881" s="2867"/>
      <c r="AI881" s="2867"/>
      <c r="AJ881" s="2867"/>
      <c r="AK881" s="2867"/>
      <c r="AL881" s="2867"/>
      <c r="AM881" s="2867"/>
      <c r="AN881" s="2867"/>
      <c r="AO881" s="2867"/>
      <c r="AP881" s="2867"/>
      <c r="AQ881" s="2867"/>
      <c r="AR881" s="2867"/>
      <c r="AS881" s="2867"/>
      <c r="AT881" s="2867"/>
      <c r="AU881" s="2867"/>
      <c r="AV881" s="2867"/>
      <c r="AW881" s="2867"/>
      <c r="AX881" s="2867"/>
      <c r="AY881" s="2867"/>
      <c r="AZ881" s="2867"/>
      <c r="BA881" s="2867"/>
      <c r="BB881" s="2867"/>
      <c r="BC881" s="2867"/>
      <c r="BD881" s="2867"/>
      <c r="BE881" s="2867"/>
      <c r="BF881" s="2867"/>
      <c r="BG881" s="2867"/>
      <c r="BH881" s="2867"/>
      <c r="BI881" s="2867"/>
      <c r="BJ881" s="2867"/>
      <c r="BK881" s="2867"/>
      <c r="BL881" s="2867"/>
      <c r="BM881" s="2867"/>
      <c r="BN881" s="2867"/>
      <c r="BO881" s="2867"/>
      <c r="BP881" s="2867"/>
      <c r="BQ881" s="2867"/>
      <c r="BR881" s="2867"/>
      <c r="BS881" s="2867"/>
      <c r="BT881" s="2867"/>
      <c r="BU881" s="2867"/>
      <c r="BV881" s="2867"/>
      <c r="BW881" s="2867"/>
      <c r="BX881" s="2867"/>
      <c r="BY881" s="2867"/>
      <c r="BZ881" s="2867"/>
      <c r="CA881" s="2867"/>
      <c r="CB881" s="2867"/>
      <c r="CC881" s="2867"/>
      <c r="CD881" s="2867"/>
      <c r="CE881" s="2867"/>
      <c r="CF881" s="2867"/>
      <c r="CG881" s="2867"/>
      <c r="CH881" s="2867"/>
      <c r="CI881" s="2867"/>
      <c r="CJ881" s="2867"/>
      <c r="CK881" s="2867"/>
      <c r="CL881" s="2867"/>
      <c r="CM881" s="2867"/>
      <c r="CN881" s="2867"/>
      <c r="CO881" s="2867"/>
      <c r="CP881" s="2867"/>
      <c r="CQ881" s="2867"/>
      <c r="CR881" s="2867"/>
      <c r="CS881" s="2867"/>
      <c r="CT881" s="2867"/>
      <c r="CU881" s="2867"/>
      <c r="CV881" s="2867"/>
      <c r="CW881" s="2867"/>
    </row>
    <row r="882" spans="1:101">
      <c r="A882" s="2867"/>
      <c r="B882" s="2867"/>
      <c r="C882" s="2867"/>
      <c r="D882" s="2867"/>
      <c r="E882" s="2867"/>
      <c r="F882" s="2867"/>
      <c r="G882" s="2867"/>
      <c r="H882" s="2867"/>
      <c r="I882" s="2867"/>
      <c r="J882" s="2867"/>
      <c r="K882" s="2867"/>
      <c r="L882" s="2867"/>
      <c r="M882" s="2867"/>
      <c r="O882" s="2867"/>
      <c r="P882" s="2867"/>
      <c r="Q882" s="2867"/>
      <c r="R882" s="2867"/>
      <c r="S882" s="2867"/>
      <c r="T882" s="2867"/>
      <c r="U882" s="2867"/>
      <c r="V882" s="2867"/>
      <c r="W882" s="2867"/>
      <c r="X882" s="2867"/>
      <c r="Y882" s="2867"/>
      <c r="Z882" s="2867"/>
      <c r="AA882" s="2867"/>
      <c r="AB882" s="2867"/>
      <c r="AC882" s="2867"/>
      <c r="AD882" s="2867"/>
      <c r="AE882" s="2867"/>
      <c r="AF882" s="2867"/>
      <c r="AG882" s="2867"/>
      <c r="AH882" s="2867"/>
      <c r="AI882" s="2867"/>
      <c r="AJ882" s="2867"/>
      <c r="AK882" s="2867"/>
      <c r="AL882" s="2867"/>
      <c r="AM882" s="2867"/>
      <c r="AN882" s="2867"/>
      <c r="AO882" s="2867"/>
      <c r="AP882" s="2867"/>
      <c r="AQ882" s="2867"/>
      <c r="AR882" s="2867"/>
      <c r="AS882" s="2867"/>
      <c r="AT882" s="2867"/>
      <c r="AU882" s="2867"/>
      <c r="AV882" s="2867"/>
      <c r="AW882" s="2867"/>
      <c r="AX882" s="2867"/>
      <c r="AY882" s="2867"/>
      <c r="AZ882" s="2867"/>
      <c r="BA882" s="2867"/>
      <c r="BB882" s="2867"/>
      <c r="BC882" s="2867"/>
      <c r="BD882" s="2867"/>
      <c r="BE882" s="2867"/>
      <c r="BF882" s="2867"/>
      <c r="BG882" s="2867"/>
      <c r="BH882" s="2867"/>
      <c r="BI882" s="2867"/>
      <c r="BJ882" s="2867"/>
      <c r="BK882" s="2867"/>
      <c r="BL882" s="2867"/>
      <c r="BM882" s="2867"/>
      <c r="BN882" s="2867"/>
      <c r="BO882" s="2867"/>
      <c r="BP882" s="2867"/>
      <c r="BQ882" s="2867"/>
      <c r="BR882" s="2867"/>
      <c r="BS882" s="2867"/>
      <c r="BT882" s="2867"/>
      <c r="BU882" s="2867"/>
      <c r="BV882" s="2867"/>
      <c r="BW882" s="2867"/>
      <c r="BX882" s="2867"/>
      <c r="BY882" s="2867"/>
      <c r="BZ882" s="2867"/>
      <c r="CA882" s="2867"/>
      <c r="CB882" s="2867"/>
      <c r="CC882" s="2867"/>
      <c r="CD882" s="2867"/>
      <c r="CE882" s="2867"/>
      <c r="CF882" s="2867"/>
      <c r="CG882" s="2867"/>
      <c r="CH882" s="2867"/>
      <c r="CI882" s="2867"/>
      <c r="CJ882" s="2867"/>
      <c r="CK882" s="2867"/>
      <c r="CL882" s="2867"/>
      <c r="CM882" s="2867"/>
      <c r="CN882" s="2867"/>
      <c r="CO882" s="2867"/>
      <c r="CP882" s="2867"/>
      <c r="CQ882" s="2867"/>
      <c r="CR882" s="2867"/>
      <c r="CS882" s="2867"/>
      <c r="CT882" s="2867"/>
      <c r="CU882" s="2867"/>
      <c r="CV882" s="2867"/>
      <c r="CW882" s="2867"/>
    </row>
    <row r="883" spans="1:101">
      <c r="A883" s="2867"/>
      <c r="B883" s="2867"/>
      <c r="C883" s="2867"/>
      <c r="D883" s="2867"/>
      <c r="E883" s="2867"/>
      <c r="F883" s="2867"/>
      <c r="G883" s="2867"/>
      <c r="H883" s="2867"/>
      <c r="I883" s="2867"/>
      <c r="J883" s="2867"/>
      <c r="K883" s="2867"/>
      <c r="L883" s="2867"/>
      <c r="M883" s="2867"/>
      <c r="O883" s="2867"/>
      <c r="P883" s="2867"/>
      <c r="Q883" s="2867"/>
      <c r="R883" s="2867"/>
      <c r="S883" s="2867"/>
      <c r="T883" s="2867"/>
      <c r="U883" s="2867"/>
      <c r="V883" s="2867"/>
      <c r="W883" s="2867"/>
      <c r="X883" s="2867"/>
      <c r="Y883" s="2867"/>
      <c r="Z883" s="2867"/>
      <c r="AA883" s="2867"/>
      <c r="AB883" s="2867"/>
      <c r="AC883" s="2867"/>
      <c r="AD883" s="2867"/>
      <c r="AE883" s="2867"/>
      <c r="AF883" s="2867"/>
      <c r="AG883" s="2867"/>
      <c r="AH883" s="2867"/>
      <c r="AI883" s="2867"/>
      <c r="AJ883" s="2867"/>
      <c r="AK883" s="2867"/>
      <c r="AL883" s="2867"/>
      <c r="AM883" s="2867"/>
      <c r="AN883" s="2867"/>
      <c r="AO883" s="2867"/>
      <c r="AP883" s="2867"/>
      <c r="AQ883" s="2867"/>
      <c r="AR883" s="2867"/>
      <c r="AS883" s="2867"/>
      <c r="AT883" s="2867"/>
      <c r="AU883" s="2867"/>
      <c r="AV883" s="2867"/>
      <c r="AW883" s="2867"/>
      <c r="AX883" s="2867"/>
      <c r="AY883" s="2867"/>
      <c r="AZ883" s="2867"/>
      <c r="BA883" s="2867"/>
      <c r="BB883" s="2867"/>
      <c r="BC883" s="2867"/>
      <c r="BD883" s="2867"/>
      <c r="BE883" s="2867"/>
      <c r="BF883" s="2867"/>
      <c r="BG883" s="2867"/>
      <c r="BH883" s="2867"/>
      <c r="BI883" s="2867"/>
      <c r="BJ883" s="2867"/>
      <c r="BK883" s="2867"/>
      <c r="BL883" s="2867"/>
      <c r="BM883" s="2867"/>
      <c r="BN883" s="2867"/>
      <c r="BO883" s="2867"/>
      <c r="BP883" s="2867"/>
      <c r="BQ883" s="2867"/>
      <c r="BR883" s="2867"/>
      <c r="BS883" s="2867"/>
      <c r="BT883" s="2867"/>
      <c r="BU883" s="2867"/>
      <c r="BV883" s="2867"/>
      <c r="BW883" s="2867"/>
      <c r="BX883" s="2867"/>
      <c r="BY883" s="2867"/>
      <c r="BZ883" s="2867"/>
      <c r="CA883" s="2867"/>
      <c r="CB883" s="2867"/>
      <c r="CC883" s="2867"/>
      <c r="CD883" s="2867"/>
      <c r="CE883" s="2867"/>
      <c r="CF883" s="2867"/>
      <c r="CG883" s="2867"/>
      <c r="CH883" s="2867"/>
      <c r="CI883" s="2867"/>
      <c r="CJ883" s="2867"/>
      <c r="CK883" s="2867"/>
      <c r="CL883" s="2867"/>
      <c r="CM883" s="2867"/>
      <c r="CN883" s="2867"/>
      <c r="CO883" s="2867"/>
      <c r="CP883" s="2867"/>
      <c r="CQ883" s="2867"/>
      <c r="CR883" s="2867"/>
      <c r="CS883" s="2867"/>
      <c r="CT883" s="2867"/>
      <c r="CU883" s="2867"/>
      <c r="CV883" s="2867"/>
      <c r="CW883" s="2867"/>
    </row>
    <row r="884" spans="1:101">
      <c r="A884" s="2867"/>
      <c r="B884" s="2867"/>
      <c r="C884" s="2867"/>
      <c r="D884" s="2867"/>
      <c r="E884" s="2867"/>
      <c r="F884" s="2867"/>
      <c r="G884" s="2867"/>
      <c r="H884" s="2867"/>
      <c r="I884" s="2867"/>
      <c r="J884" s="2867"/>
      <c r="K884" s="2867"/>
      <c r="L884" s="2867"/>
      <c r="M884" s="2867"/>
      <c r="O884" s="2867"/>
      <c r="P884" s="2867"/>
      <c r="Q884" s="2867"/>
      <c r="R884" s="2867"/>
      <c r="S884" s="2867"/>
      <c r="T884" s="2867"/>
      <c r="U884" s="2867"/>
      <c r="V884" s="2867"/>
      <c r="W884" s="2867"/>
      <c r="X884" s="2867"/>
      <c r="Y884" s="2867"/>
      <c r="Z884" s="2867"/>
      <c r="AA884" s="2867"/>
      <c r="AB884" s="2867"/>
      <c r="AC884" s="2867"/>
      <c r="AD884" s="2867"/>
      <c r="AE884" s="2867"/>
      <c r="AF884" s="2867"/>
      <c r="AG884" s="2867"/>
      <c r="AH884" s="2867"/>
      <c r="AI884" s="2867"/>
      <c r="AJ884" s="2867"/>
      <c r="AK884" s="2867"/>
      <c r="AL884" s="2867"/>
      <c r="AM884" s="2867"/>
      <c r="AN884" s="2867"/>
      <c r="AO884" s="2867"/>
      <c r="AP884" s="2867"/>
      <c r="AQ884" s="2867"/>
      <c r="AR884" s="2867"/>
      <c r="AS884" s="2867"/>
      <c r="AT884" s="2867"/>
      <c r="AU884" s="2867"/>
      <c r="AV884" s="2867"/>
      <c r="AW884" s="2867"/>
      <c r="AX884" s="2867"/>
      <c r="AY884" s="2867"/>
      <c r="AZ884" s="2867"/>
      <c r="BA884" s="2867"/>
      <c r="BB884" s="2867"/>
      <c r="BC884" s="2867"/>
      <c r="BD884" s="2867"/>
      <c r="BE884" s="2867"/>
      <c r="BF884" s="2867"/>
      <c r="BG884" s="2867"/>
      <c r="BH884" s="2867"/>
      <c r="BI884" s="2867"/>
      <c r="BJ884" s="2867"/>
      <c r="BK884" s="2867"/>
      <c r="BL884" s="2867"/>
      <c r="BM884" s="2867"/>
      <c r="BN884" s="2867"/>
      <c r="BO884" s="2867"/>
      <c r="BP884" s="2867"/>
      <c r="BQ884" s="2867"/>
      <c r="BR884" s="2867"/>
      <c r="BS884" s="2867"/>
      <c r="BT884" s="2867"/>
      <c r="BU884" s="2867"/>
      <c r="BV884" s="2867"/>
      <c r="BW884" s="2867"/>
      <c r="BX884" s="2867"/>
      <c r="BY884" s="2867"/>
      <c r="BZ884" s="2867"/>
      <c r="CA884" s="2867"/>
      <c r="CB884" s="2867"/>
      <c r="CC884" s="2867"/>
      <c r="CD884" s="2867"/>
      <c r="CE884" s="2867"/>
      <c r="CF884" s="2867"/>
      <c r="CG884" s="2867"/>
      <c r="CH884" s="2867"/>
      <c r="CI884" s="2867"/>
      <c r="CJ884" s="2867"/>
      <c r="CK884" s="2867"/>
      <c r="CL884" s="2867"/>
      <c r="CM884" s="2867"/>
      <c r="CN884" s="2867"/>
      <c r="CO884" s="2867"/>
      <c r="CP884" s="2867"/>
      <c r="CQ884" s="2867"/>
      <c r="CR884" s="2867"/>
      <c r="CS884" s="2867"/>
      <c r="CT884" s="2867"/>
      <c r="CU884" s="2867"/>
      <c r="CV884" s="2867"/>
      <c r="CW884" s="2867"/>
    </row>
    <row r="885" spans="1:101">
      <c r="A885" s="2867"/>
      <c r="B885" s="2867"/>
      <c r="C885" s="2867"/>
      <c r="D885" s="2867"/>
      <c r="E885" s="2867"/>
      <c r="F885" s="2867"/>
      <c r="G885" s="2867"/>
      <c r="H885" s="2867"/>
      <c r="I885" s="2867"/>
      <c r="J885" s="2867"/>
      <c r="K885" s="2867"/>
      <c r="L885" s="2867"/>
      <c r="M885" s="2867"/>
      <c r="O885" s="2867"/>
      <c r="P885" s="2867"/>
      <c r="Q885" s="2867"/>
      <c r="R885" s="2867"/>
      <c r="S885" s="2867"/>
      <c r="T885" s="2867"/>
      <c r="U885" s="2867"/>
      <c r="V885" s="2867"/>
      <c r="W885" s="2867"/>
      <c r="X885" s="2867"/>
      <c r="Y885" s="2867"/>
      <c r="Z885" s="2867"/>
      <c r="AA885" s="2867"/>
      <c r="AB885" s="2867"/>
      <c r="AC885" s="2867"/>
      <c r="AD885" s="2867"/>
      <c r="AE885" s="2867"/>
      <c r="AF885" s="2867"/>
      <c r="AG885" s="2867"/>
      <c r="AH885" s="2867"/>
      <c r="AI885" s="2867"/>
      <c r="AJ885" s="2867"/>
      <c r="AK885" s="2867"/>
      <c r="AL885" s="2867"/>
      <c r="AM885" s="2867"/>
      <c r="AN885" s="2867"/>
      <c r="AO885" s="2867"/>
      <c r="AP885" s="2867"/>
      <c r="AQ885" s="2867"/>
      <c r="AR885" s="2867"/>
      <c r="AS885" s="2867"/>
      <c r="AT885" s="2867"/>
      <c r="AU885" s="2867"/>
      <c r="AV885" s="2867"/>
      <c r="AW885" s="2867"/>
      <c r="AX885" s="2867"/>
      <c r="AY885" s="2867"/>
      <c r="AZ885" s="2867"/>
      <c r="BA885" s="2867"/>
      <c r="BB885" s="2867"/>
      <c r="BC885" s="2867"/>
      <c r="BD885" s="2867"/>
      <c r="BE885" s="2867"/>
      <c r="BF885" s="2867"/>
      <c r="BG885" s="2867"/>
      <c r="BH885" s="2867"/>
      <c r="BI885" s="2867"/>
      <c r="BJ885" s="2867"/>
      <c r="BK885" s="2867"/>
      <c r="BL885" s="2867"/>
      <c r="BM885" s="2867"/>
      <c r="BN885" s="2867"/>
      <c r="BO885" s="2867"/>
      <c r="BP885" s="2867"/>
      <c r="BQ885" s="2867"/>
      <c r="BR885" s="2867"/>
      <c r="BS885" s="2867"/>
      <c r="BT885" s="2867"/>
      <c r="BU885" s="2867"/>
      <c r="BV885" s="2867"/>
      <c r="BW885" s="2867"/>
      <c r="BX885" s="2867"/>
      <c r="BY885" s="2867"/>
      <c r="BZ885" s="2867"/>
      <c r="CA885" s="2867"/>
      <c r="CB885" s="2867"/>
      <c r="CC885" s="2867"/>
      <c r="CD885" s="2867"/>
      <c r="CE885" s="2867"/>
      <c r="CF885" s="2867"/>
      <c r="CG885" s="2867"/>
      <c r="CH885" s="2867"/>
      <c r="CI885" s="2867"/>
      <c r="CJ885" s="2867"/>
      <c r="CK885" s="2867"/>
      <c r="CL885" s="2867"/>
      <c r="CM885" s="2867"/>
      <c r="CN885" s="2867"/>
      <c r="CO885" s="2867"/>
      <c r="CP885" s="2867"/>
      <c r="CQ885" s="2867"/>
      <c r="CR885" s="2867"/>
      <c r="CS885" s="2867"/>
      <c r="CT885" s="2867"/>
      <c r="CU885" s="2867"/>
      <c r="CV885" s="2867"/>
      <c r="CW885" s="2867"/>
    </row>
    <row r="886" spans="1:101">
      <c r="A886" s="2867"/>
      <c r="B886" s="2867"/>
      <c r="C886" s="2867"/>
      <c r="D886" s="2867"/>
      <c r="E886" s="2867"/>
      <c r="F886" s="2867"/>
      <c r="G886" s="2867"/>
      <c r="H886" s="2867"/>
      <c r="I886" s="2867"/>
      <c r="J886" s="2867"/>
      <c r="K886" s="2867"/>
      <c r="L886" s="2867"/>
      <c r="M886" s="2867"/>
      <c r="O886" s="2867"/>
      <c r="P886" s="2867"/>
      <c r="Q886" s="2867"/>
      <c r="R886" s="2867"/>
      <c r="S886" s="2867"/>
      <c r="T886" s="2867"/>
      <c r="U886" s="2867"/>
      <c r="V886" s="2867"/>
      <c r="W886" s="2867"/>
      <c r="X886" s="2867"/>
      <c r="Y886" s="2867"/>
      <c r="Z886" s="2867"/>
      <c r="AA886" s="2867"/>
      <c r="AB886" s="2867"/>
      <c r="AC886" s="2867"/>
      <c r="AD886" s="2867"/>
      <c r="AE886" s="2867"/>
      <c r="AF886" s="2867"/>
      <c r="AG886" s="2867"/>
      <c r="AH886" s="2867"/>
      <c r="AI886" s="2867"/>
      <c r="AJ886" s="2867"/>
      <c r="AK886" s="2867"/>
      <c r="AL886" s="2867"/>
      <c r="AM886" s="2867"/>
      <c r="AN886" s="2867"/>
      <c r="AO886" s="2867"/>
      <c r="AP886" s="2867"/>
      <c r="AQ886" s="2867"/>
      <c r="AR886" s="2867"/>
      <c r="AS886" s="2867"/>
      <c r="AT886" s="2867"/>
      <c r="AU886" s="2867"/>
      <c r="AV886" s="2867"/>
      <c r="AW886" s="2867"/>
      <c r="AX886" s="2867"/>
      <c r="AY886" s="2867"/>
      <c r="AZ886" s="2867"/>
      <c r="BA886" s="2867"/>
      <c r="BB886" s="2867"/>
      <c r="BC886" s="2867"/>
      <c r="BD886" s="2867"/>
      <c r="BE886" s="2867"/>
      <c r="BF886" s="2867"/>
      <c r="BG886" s="2867"/>
      <c r="BH886" s="2867"/>
      <c r="BI886" s="2867"/>
      <c r="BJ886" s="2867"/>
      <c r="BK886" s="2867"/>
      <c r="BL886" s="2867"/>
      <c r="BM886" s="2867"/>
      <c r="BN886" s="2867"/>
      <c r="BO886" s="2867"/>
      <c r="BP886" s="2867"/>
      <c r="BQ886" s="2867"/>
      <c r="BR886" s="2867"/>
      <c r="BS886" s="2867"/>
      <c r="BT886" s="2867"/>
      <c r="BU886" s="2867"/>
      <c r="BV886" s="2867"/>
      <c r="BW886" s="2867"/>
      <c r="BX886" s="2867"/>
      <c r="BY886" s="2867"/>
      <c r="BZ886" s="2867"/>
      <c r="CA886" s="2867"/>
      <c r="CB886" s="2867"/>
      <c r="CC886" s="2867"/>
      <c r="CD886" s="2867"/>
      <c r="CE886" s="2867"/>
      <c r="CF886" s="2867"/>
      <c r="CG886" s="2867"/>
      <c r="CH886" s="2867"/>
      <c r="CI886" s="2867"/>
      <c r="CJ886" s="2867"/>
      <c r="CK886" s="2867"/>
      <c r="CL886" s="2867"/>
      <c r="CM886" s="2867"/>
      <c r="CN886" s="2867"/>
      <c r="CO886" s="2867"/>
      <c r="CP886" s="2867"/>
      <c r="CQ886" s="2867"/>
      <c r="CR886" s="2867"/>
      <c r="CS886" s="2867"/>
      <c r="CT886" s="2867"/>
      <c r="CU886" s="2867"/>
      <c r="CV886" s="2867"/>
      <c r="CW886" s="2867"/>
    </row>
    <row r="887" spans="1:101">
      <c r="A887" s="2867"/>
      <c r="B887" s="2867"/>
      <c r="C887" s="2867"/>
      <c r="D887" s="2867"/>
      <c r="E887" s="2867"/>
      <c r="F887" s="2867"/>
      <c r="G887" s="2867"/>
      <c r="H887" s="2867"/>
      <c r="I887" s="2867"/>
      <c r="J887" s="2867"/>
      <c r="K887" s="2867"/>
      <c r="L887" s="2867"/>
      <c r="M887" s="2867"/>
      <c r="O887" s="2867"/>
      <c r="P887" s="2867"/>
      <c r="Q887" s="2867"/>
      <c r="R887" s="2867"/>
      <c r="S887" s="2867"/>
      <c r="T887" s="2867"/>
      <c r="U887" s="2867"/>
      <c r="V887" s="2867"/>
      <c r="W887" s="2867"/>
      <c r="X887" s="2867"/>
      <c r="Y887" s="2867"/>
      <c r="Z887" s="2867"/>
      <c r="AA887" s="2867"/>
      <c r="AB887" s="2867"/>
      <c r="AC887" s="2867"/>
      <c r="AD887" s="2867"/>
      <c r="AE887" s="2867"/>
      <c r="AF887" s="2867"/>
      <c r="AG887" s="2867"/>
      <c r="AH887" s="2867"/>
      <c r="AI887" s="2867"/>
      <c r="AJ887" s="2867"/>
      <c r="AK887" s="2867"/>
      <c r="AL887" s="2867"/>
      <c r="AM887" s="2867"/>
      <c r="AN887" s="2867"/>
      <c r="AO887" s="2867"/>
      <c r="AP887" s="2867"/>
      <c r="AQ887" s="2867"/>
      <c r="AR887" s="2867"/>
      <c r="AS887" s="2867"/>
      <c r="AT887" s="2867"/>
      <c r="AU887" s="2867"/>
      <c r="AV887" s="2867"/>
      <c r="AW887" s="2867"/>
      <c r="AX887" s="2867"/>
      <c r="AY887" s="2867"/>
      <c r="AZ887" s="2867"/>
      <c r="BA887" s="2867"/>
      <c r="BB887" s="2867"/>
      <c r="BC887" s="2867"/>
      <c r="BD887" s="2867"/>
      <c r="BE887" s="2867"/>
      <c r="BF887" s="2867"/>
      <c r="BG887" s="2867"/>
      <c r="BH887" s="2867"/>
      <c r="BI887" s="2867"/>
      <c r="BJ887" s="2867"/>
      <c r="BK887" s="2867"/>
      <c r="BL887" s="2867"/>
      <c r="BM887" s="2867"/>
      <c r="BN887" s="2867"/>
      <c r="BO887" s="2867"/>
      <c r="BP887" s="2867"/>
      <c r="BQ887" s="2867"/>
      <c r="BR887" s="2867"/>
      <c r="BS887" s="2867"/>
      <c r="BT887" s="2867"/>
      <c r="BU887" s="2867"/>
      <c r="BV887" s="2867"/>
      <c r="BW887" s="2867"/>
      <c r="BX887" s="2867"/>
      <c r="BY887" s="2867"/>
      <c r="BZ887" s="2867"/>
      <c r="CA887" s="2867"/>
      <c r="CB887" s="2867"/>
      <c r="CC887" s="2867"/>
      <c r="CD887" s="2867"/>
      <c r="CE887" s="2867"/>
      <c r="CF887" s="2867"/>
      <c r="CG887" s="2867"/>
      <c r="CH887" s="2867"/>
      <c r="CI887" s="2867"/>
      <c r="CJ887" s="2867"/>
      <c r="CK887" s="2867"/>
      <c r="CL887" s="2867"/>
      <c r="CM887" s="2867"/>
      <c r="CN887" s="2867"/>
      <c r="CO887" s="2867"/>
      <c r="CP887" s="2867"/>
      <c r="CQ887" s="2867"/>
      <c r="CR887" s="2867"/>
      <c r="CS887" s="2867"/>
      <c r="CT887" s="2867"/>
      <c r="CU887" s="2867"/>
      <c r="CV887" s="2867"/>
      <c r="CW887" s="2867"/>
    </row>
    <row r="888" spans="1:101">
      <c r="A888" s="2867"/>
      <c r="B888" s="2867"/>
      <c r="C888" s="2867"/>
      <c r="D888" s="2867"/>
      <c r="E888" s="2867"/>
      <c r="F888" s="2867"/>
      <c r="G888" s="2867"/>
      <c r="H888" s="2867"/>
      <c r="I888" s="2867"/>
      <c r="J888" s="2867"/>
      <c r="K888" s="2867"/>
      <c r="L888" s="2867"/>
      <c r="M888" s="2867"/>
      <c r="O888" s="2867"/>
      <c r="P888" s="2867"/>
      <c r="Q888" s="2867"/>
      <c r="R888" s="2867"/>
      <c r="S888" s="2867"/>
      <c r="T888" s="2867"/>
      <c r="U888" s="2867"/>
      <c r="V888" s="2867"/>
      <c r="W888" s="2867"/>
      <c r="X888" s="2867"/>
      <c r="Y888" s="2867"/>
      <c r="Z888" s="2867"/>
      <c r="AA888" s="2867"/>
      <c r="AB888" s="2867"/>
      <c r="AC888" s="2867"/>
      <c r="AD888" s="2867"/>
      <c r="AE888" s="2867"/>
      <c r="AF888" s="2867"/>
      <c r="AG888" s="2867"/>
      <c r="AH888" s="2867"/>
      <c r="AI888" s="2867"/>
      <c r="AJ888" s="2867"/>
      <c r="AK888" s="2867"/>
      <c r="AL888" s="2867"/>
      <c r="AM888" s="2867"/>
      <c r="AN888" s="2867"/>
      <c r="AO888" s="2867"/>
      <c r="AP888" s="2867"/>
      <c r="AQ888" s="2867"/>
      <c r="AR888" s="2867"/>
      <c r="AS888" s="2867"/>
      <c r="AT888" s="2867"/>
      <c r="AU888" s="2867"/>
      <c r="AV888" s="2867"/>
      <c r="AW888" s="2867"/>
      <c r="AX888" s="2867"/>
      <c r="AY888" s="2867"/>
      <c r="AZ888" s="2867"/>
      <c r="BA888" s="2867"/>
      <c r="BB888" s="2867"/>
      <c r="BC888" s="2867"/>
      <c r="BD888" s="2867"/>
      <c r="BE888" s="2867"/>
      <c r="BF888" s="2867"/>
      <c r="BG888" s="2867"/>
      <c r="BH888" s="2867"/>
      <c r="BI888" s="2867"/>
      <c r="BJ888" s="2867"/>
      <c r="BK888" s="2867"/>
      <c r="BL888" s="2867"/>
      <c r="BM888" s="2867"/>
      <c r="BN888" s="2867"/>
      <c r="BO888" s="2867"/>
      <c r="BP888" s="2867"/>
      <c r="BQ888" s="2867"/>
      <c r="BR888" s="2867"/>
      <c r="BS888" s="2867"/>
      <c r="BT888" s="2867"/>
      <c r="BU888" s="2867"/>
      <c r="BV888" s="2867"/>
      <c r="BW888" s="2867"/>
      <c r="BX888" s="2867"/>
      <c r="BY888" s="2867"/>
      <c r="BZ888" s="2867"/>
      <c r="CA888" s="2867"/>
      <c r="CB888" s="2867"/>
      <c r="CC888" s="2867"/>
      <c r="CD888" s="2867"/>
      <c r="CE888" s="2867"/>
      <c r="CF888" s="2867"/>
      <c r="CG888" s="2867"/>
      <c r="CH888" s="2867"/>
      <c r="CI888" s="2867"/>
      <c r="CJ888" s="2867"/>
      <c r="CK888" s="2867"/>
      <c r="CL888" s="2867"/>
      <c r="CM888" s="2867"/>
      <c r="CN888" s="2867"/>
      <c r="CO888" s="2867"/>
      <c r="CP888" s="2867"/>
      <c r="CQ888" s="2867"/>
      <c r="CR888" s="2867"/>
      <c r="CS888" s="2867"/>
      <c r="CT888" s="2867"/>
      <c r="CU888" s="2867"/>
      <c r="CV888" s="2867"/>
      <c r="CW888" s="2867"/>
    </row>
    <row r="889" spans="1:101">
      <c r="A889" s="2867"/>
      <c r="B889" s="2867"/>
      <c r="C889" s="2867"/>
      <c r="D889" s="2867"/>
      <c r="E889" s="2867"/>
      <c r="F889" s="2867"/>
      <c r="G889" s="2867"/>
      <c r="H889" s="2867"/>
      <c r="I889" s="2867"/>
      <c r="J889" s="2867"/>
      <c r="K889" s="2867"/>
      <c r="L889" s="2867"/>
      <c r="M889" s="2867"/>
      <c r="O889" s="2867"/>
      <c r="P889" s="2867"/>
      <c r="Q889" s="2867"/>
      <c r="R889" s="2867"/>
      <c r="S889" s="2867"/>
      <c r="T889" s="2867"/>
      <c r="U889" s="2867"/>
      <c r="V889" s="2867"/>
      <c r="W889" s="2867"/>
      <c r="X889" s="2867"/>
      <c r="Y889" s="2867"/>
      <c r="Z889" s="2867"/>
      <c r="AA889" s="2867"/>
      <c r="AB889" s="2867"/>
      <c r="AC889" s="2867"/>
      <c r="AD889" s="2867"/>
      <c r="AE889" s="2867"/>
      <c r="AF889" s="2867"/>
      <c r="AG889" s="2867"/>
      <c r="AH889" s="2867"/>
      <c r="AI889" s="2867"/>
      <c r="AJ889" s="2867"/>
      <c r="AK889" s="2867"/>
      <c r="AL889" s="2867"/>
      <c r="AM889" s="2867"/>
      <c r="AN889" s="2867"/>
      <c r="AO889" s="2867"/>
      <c r="AP889" s="2867"/>
      <c r="AQ889" s="2867"/>
      <c r="AR889" s="2867"/>
      <c r="AS889" s="2867"/>
      <c r="AT889" s="2867"/>
      <c r="AU889" s="2867"/>
      <c r="AV889" s="2867"/>
      <c r="AW889" s="2867"/>
      <c r="AX889" s="2867"/>
      <c r="AY889" s="2867"/>
      <c r="AZ889" s="2867"/>
      <c r="BA889" s="2867"/>
      <c r="BB889" s="2867"/>
      <c r="BC889" s="2867"/>
      <c r="BD889" s="2867"/>
      <c r="BE889" s="2867"/>
      <c r="BF889" s="2867"/>
      <c r="BG889" s="2867"/>
      <c r="BH889" s="2867"/>
      <c r="BI889" s="2867"/>
      <c r="BJ889" s="2867"/>
      <c r="BK889" s="2867"/>
      <c r="BL889" s="2867"/>
      <c r="BM889" s="2867"/>
      <c r="BN889" s="2867"/>
      <c r="BO889" s="2867"/>
      <c r="BP889" s="2867"/>
      <c r="BQ889" s="2867"/>
      <c r="BR889" s="2867"/>
      <c r="BS889" s="2867"/>
      <c r="BT889" s="2867"/>
      <c r="BU889" s="2867"/>
      <c r="BV889" s="2867"/>
      <c r="BW889" s="2867"/>
      <c r="BX889" s="2867"/>
      <c r="BY889" s="2867"/>
      <c r="BZ889" s="2867"/>
      <c r="CA889" s="2867"/>
      <c r="CB889" s="2867"/>
      <c r="CC889" s="2867"/>
      <c r="CD889" s="2867"/>
      <c r="CE889" s="2867"/>
      <c r="CF889" s="2867"/>
      <c r="CG889" s="2867"/>
      <c r="CH889" s="2867"/>
      <c r="CI889" s="2867"/>
      <c r="CJ889" s="2867"/>
      <c r="CK889" s="2867"/>
      <c r="CL889" s="2867"/>
      <c r="CM889" s="2867"/>
      <c r="CN889" s="2867"/>
      <c r="CO889" s="2867"/>
      <c r="CP889" s="2867"/>
      <c r="CQ889" s="2867"/>
      <c r="CR889" s="2867"/>
      <c r="CS889" s="2867"/>
      <c r="CT889" s="2867"/>
      <c r="CU889" s="2867"/>
      <c r="CV889" s="2867"/>
      <c r="CW889" s="2867"/>
    </row>
    <row r="890" spans="1:101">
      <c r="A890" s="2867"/>
      <c r="B890" s="2867"/>
      <c r="C890" s="2867"/>
      <c r="D890" s="2867"/>
      <c r="E890" s="2867"/>
      <c r="F890" s="2867"/>
      <c r="G890" s="2867"/>
      <c r="H890" s="2867"/>
      <c r="I890" s="2867"/>
      <c r="J890" s="2867"/>
      <c r="K890" s="2867"/>
      <c r="L890" s="2867"/>
      <c r="M890" s="2867"/>
      <c r="O890" s="2867"/>
      <c r="P890" s="2867"/>
      <c r="Q890" s="2867"/>
      <c r="R890" s="2867"/>
      <c r="S890" s="2867"/>
      <c r="T890" s="2867"/>
      <c r="U890" s="2867"/>
      <c r="V890" s="2867"/>
      <c r="W890" s="2867"/>
      <c r="X890" s="2867"/>
      <c r="Y890" s="2867"/>
      <c r="Z890" s="2867"/>
      <c r="AA890" s="2867"/>
      <c r="AB890" s="2867"/>
      <c r="AC890" s="2867"/>
      <c r="AD890" s="2867"/>
      <c r="AE890" s="2867"/>
      <c r="AF890" s="2867"/>
      <c r="AG890" s="2867"/>
      <c r="AH890" s="2867"/>
      <c r="AI890" s="2867"/>
      <c r="AJ890" s="2867"/>
      <c r="AK890" s="2867"/>
      <c r="AL890" s="2867"/>
      <c r="AM890" s="2867"/>
      <c r="AN890" s="2867"/>
      <c r="AO890" s="2867"/>
      <c r="AP890" s="2867"/>
      <c r="AQ890" s="2867"/>
      <c r="AR890" s="2867"/>
      <c r="AS890" s="2867"/>
      <c r="AT890" s="2867"/>
      <c r="AU890" s="2867"/>
      <c r="AV890" s="2867"/>
      <c r="AW890" s="2867"/>
      <c r="AX890" s="2867"/>
      <c r="AY890" s="2867"/>
      <c r="AZ890" s="2867"/>
      <c r="BA890" s="2867"/>
      <c r="BB890" s="2867"/>
      <c r="BC890" s="2867"/>
      <c r="BD890" s="2867"/>
      <c r="BE890" s="2867"/>
      <c r="BF890" s="2867"/>
      <c r="BG890" s="2867"/>
      <c r="BH890" s="2867"/>
      <c r="BI890" s="2867"/>
      <c r="BJ890" s="2867"/>
      <c r="BK890" s="2867"/>
      <c r="BL890" s="2867"/>
      <c r="BM890" s="2867"/>
      <c r="BN890" s="2867"/>
      <c r="BO890" s="2867"/>
      <c r="BP890" s="2867"/>
      <c r="BQ890" s="2867"/>
      <c r="BR890" s="2867"/>
      <c r="BS890" s="2867"/>
      <c r="BT890" s="2867"/>
      <c r="BU890" s="2867"/>
      <c r="BV890" s="2867"/>
      <c r="BW890" s="2867"/>
      <c r="BX890" s="2867"/>
      <c r="BY890" s="2867"/>
      <c r="BZ890" s="2867"/>
      <c r="CA890" s="2867"/>
      <c r="CB890" s="2867"/>
      <c r="CC890" s="2867"/>
      <c r="CD890" s="2867"/>
      <c r="CE890" s="2867"/>
      <c r="CF890" s="2867"/>
      <c r="CG890" s="2867"/>
      <c r="CH890" s="2867"/>
      <c r="CI890" s="2867"/>
      <c r="CJ890" s="2867"/>
      <c r="CK890" s="2867"/>
      <c r="CL890" s="2867"/>
      <c r="CM890" s="2867"/>
      <c r="CN890" s="2867"/>
      <c r="CO890" s="2867"/>
      <c r="CP890" s="2867"/>
      <c r="CQ890" s="2867"/>
      <c r="CR890" s="2867"/>
      <c r="CS890" s="2867"/>
      <c r="CT890" s="2867"/>
      <c r="CU890" s="2867"/>
      <c r="CV890" s="2867"/>
      <c r="CW890" s="2867"/>
    </row>
    <row r="891" spans="1:101">
      <c r="A891" s="2867"/>
      <c r="B891" s="2867"/>
      <c r="C891" s="2867"/>
      <c r="D891" s="2867"/>
      <c r="E891" s="2867"/>
      <c r="F891" s="2867"/>
      <c r="G891" s="2867"/>
      <c r="H891" s="2867"/>
      <c r="I891" s="2867"/>
      <c r="J891" s="2867"/>
      <c r="K891" s="2867"/>
      <c r="L891" s="2867"/>
      <c r="M891" s="2867"/>
      <c r="O891" s="2867"/>
      <c r="P891" s="2867"/>
      <c r="Q891" s="2867"/>
      <c r="R891" s="2867"/>
      <c r="S891" s="2867"/>
      <c r="T891" s="2867"/>
      <c r="U891" s="2867"/>
      <c r="V891" s="2867"/>
      <c r="W891" s="2867"/>
      <c r="X891" s="2867"/>
      <c r="Y891" s="2867"/>
      <c r="Z891" s="2867"/>
      <c r="AA891" s="2867"/>
      <c r="AB891" s="2867"/>
      <c r="AC891" s="2867"/>
      <c r="AD891" s="2867"/>
      <c r="AE891" s="2867"/>
      <c r="AF891" s="2867"/>
      <c r="AG891" s="2867"/>
      <c r="AH891" s="2867"/>
      <c r="AI891" s="2867"/>
      <c r="AJ891" s="2867"/>
      <c r="AK891" s="2867"/>
      <c r="AL891" s="2867"/>
      <c r="AM891" s="2867"/>
      <c r="AN891" s="2867"/>
      <c r="AO891" s="2867"/>
      <c r="AP891" s="2867"/>
      <c r="AQ891" s="2867"/>
      <c r="AR891" s="2867"/>
      <c r="AS891" s="2867"/>
      <c r="AT891" s="2867"/>
      <c r="AU891" s="2867"/>
      <c r="AV891" s="2867"/>
      <c r="AW891" s="2867"/>
      <c r="AX891" s="2867"/>
      <c r="AY891" s="2867"/>
      <c r="AZ891" s="2867"/>
      <c r="BA891" s="2867"/>
      <c r="BB891" s="2867"/>
      <c r="BC891" s="2867"/>
      <c r="BD891" s="2867"/>
      <c r="BE891" s="2867"/>
      <c r="BF891" s="2867"/>
      <c r="BG891" s="2867"/>
      <c r="BH891" s="2867"/>
      <c r="BI891" s="2867"/>
      <c r="BJ891" s="2867"/>
      <c r="BK891" s="2867"/>
      <c r="BL891" s="2867"/>
      <c r="BM891" s="2867"/>
      <c r="BN891" s="2867"/>
      <c r="BO891" s="2867"/>
      <c r="BP891" s="2867"/>
      <c r="BQ891" s="2867"/>
      <c r="BR891" s="2867"/>
      <c r="BS891" s="2867"/>
      <c r="BT891" s="2867"/>
      <c r="BU891" s="2867"/>
      <c r="BV891" s="2867"/>
      <c r="BW891" s="2867"/>
      <c r="BX891" s="2867"/>
      <c r="BY891" s="2867"/>
      <c r="BZ891" s="2867"/>
      <c r="CA891" s="2867"/>
      <c r="CB891" s="2867"/>
      <c r="CC891" s="2867"/>
      <c r="CD891" s="2867"/>
      <c r="CE891" s="2867"/>
      <c r="CF891" s="2867"/>
      <c r="CG891" s="2867"/>
      <c r="CH891" s="2867"/>
      <c r="CI891" s="2867"/>
      <c r="CJ891" s="2867"/>
      <c r="CK891" s="2867"/>
      <c r="CL891" s="2867"/>
      <c r="CM891" s="2867"/>
      <c r="CN891" s="2867"/>
      <c r="CO891" s="2867"/>
      <c r="CP891" s="2867"/>
      <c r="CQ891" s="2867"/>
      <c r="CR891" s="2867"/>
      <c r="CS891" s="2867"/>
      <c r="CT891" s="2867"/>
      <c r="CU891" s="2867"/>
      <c r="CV891" s="2867"/>
      <c r="CW891" s="2867"/>
    </row>
    <row r="892" spans="1:101">
      <c r="A892" s="2867"/>
      <c r="B892" s="2867"/>
      <c r="C892" s="2867"/>
      <c r="D892" s="2867"/>
      <c r="E892" s="2867"/>
      <c r="F892" s="2867"/>
      <c r="G892" s="2867"/>
      <c r="H892" s="2867"/>
      <c r="I892" s="2867"/>
      <c r="J892" s="2867"/>
      <c r="K892" s="2867"/>
      <c r="L892" s="2867"/>
      <c r="M892" s="2867"/>
      <c r="O892" s="2867"/>
      <c r="P892" s="2867"/>
      <c r="Q892" s="2867"/>
      <c r="R892" s="2867"/>
      <c r="S892" s="2867"/>
      <c r="T892" s="2867"/>
      <c r="U892" s="2867"/>
      <c r="V892" s="2867"/>
      <c r="W892" s="2867"/>
      <c r="X892" s="2867"/>
      <c r="Y892" s="2867"/>
      <c r="Z892" s="2867"/>
      <c r="AA892" s="2867"/>
      <c r="AB892" s="2867"/>
      <c r="AC892" s="2867"/>
      <c r="AD892" s="2867"/>
      <c r="AE892" s="2867"/>
      <c r="AF892" s="2867"/>
      <c r="AG892" s="2867"/>
      <c r="AH892" s="2867"/>
      <c r="AI892" s="2867"/>
      <c r="AJ892" s="2867"/>
      <c r="AK892" s="2867"/>
      <c r="AL892" s="2867"/>
      <c r="AM892" s="2867"/>
      <c r="AN892" s="2867"/>
      <c r="AO892" s="2867"/>
      <c r="AP892" s="2867"/>
      <c r="AQ892" s="2867"/>
      <c r="AR892" s="2867"/>
      <c r="AS892" s="2867"/>
      <c r="AT892" s="2867"/>
      <c r="AU892" s="2867"/>
      <c r="AV892" s="2867"/>
      <c r="AW892" s="2867"/>
      <c r="AX892" s="2867"/>
      <c r="AY892" s="2867"/>
      <c r="AZ892" s="2867"/>
      <c r="BA892" s="2867"/>
      <c r="BB892" s="2867"/>
      <c r="BC892" s="2867"/>
      <c r="BD892" s="2867"/>
      <c r="BE892" s="2867"/>
      <c r="BF892" s="2867"/>
      <c r="BG892" s="2867"/>
      <c r="BH892" s="2867"/>
      <c r="BI892" s="2867"/>
      <c r="BJ892" s="2867"/>
      <c r="BK892" s="2867"/>
      <c r="BL892" s="2867"/>
      <c r="BM892" s="2867"/>
      <c r="BN892" s="2867"/>
      <c r="BO892" s="2867"/>
      <c r="BP892" s="2867"/>
      <c r="BQ892" s="2867"/>
      <c r="BR892" s="2867"/>
      <c r="BS892" s="2867"/>
      <c r="BT892" s="2867"/>
      <c r="BU892" s="2867"/>
      <c r="BV892" s="2867"/>
      <c r="BW892" s="2867"/>
      <c r="BX892" s="2867"/>
      <c r="BY892" s="2867"/>
      <c r="BZ892" s="2867"/>
      <c r="CA892" s="2867"/>
      <c r="CB892" s="2867"/>
      <c r="CC892" s="2867"/>
      <c r="CD892" s="2867"/>
      <c r="CE892" s="2867"/>
      <c r="CF892" s="2867"/>
      <c r="CG892" s="2867"/>
      <c r="CH892" s="2867"/>
      <c r="CI892" s="2867"/>
      <c r="CJ892" s="2867"/>
      <c r="CK892" s="2867"/>
      <c r="CL892" s="2867"/>
      <c r="CM892" s="2867"/>
      <c r="CN892" s="2867"/>
      <c r="CO892" s="2867"/>
      <c r="CP892" s="2867"/>
      <c r="CQ892" s="2867"/>
      <c r="CR892" s="2867"/>
      <c r="CS892" s="2867"/>
      <c r="CT892" s="2867"/>
      <c r="CU892" s="2867"/>
      <c r="CV892" s="2867"/>
      <c r="CW892" s="2867"/>
    </row>
    <row r="893" spans="1:101">
      <c r="A893" s="2867"/>
      <c r="B893" s="2867"/>
      <c r="C893" s="2867"/>
      <c r="D893" s="2867"/>
      <c r="E893" s="2867"/>
      <c r="F893" s="2867"/>
      <c r="G893" s="2867"/>
      <c r="H893" s="2867"/>
      <c r="I893" s="2867"/>
      <c r="J893" s="2867"/>
      <c r="K893" s="2867"/>
      <c r="L893" s="2867"/>
      <c r="M893" s="2867"/>
      <c r="O893" s="2867"/>
      <c r="P893" s="2867"/>
      <c r="Q893" s="2867"/>
      <c r="R893" s="2867"/>
      <c r="S893" s="2867"/>
      <c r="T893" s="2867"/>
      <c r="U893" s="2867"/>
      <c r="V893" s="2867"/>
      <c r="W893" s="2867"/>
      <c r="X893" s="2867"/>
      <c r="Y893" s="2867"/>
      <c r="Z893" s="2867"/>
      <c r="AA893" s="2867"/>
      <c r="AB893" s="2867"/>
      <c r="AC893" s="2867"/>
      <c r="AD893" s="2867"/>
      <c r="AE893" s="2867"/>
      <c r="AF893" s="2867"/>
      <c r="AG893" s="2867"/>
      <c r="AH893" s="2867"/>
      <c r="AI893" s="2867"/>
      <c r="AJ893" s="2867"/>
      <c r="AK893" s="2867"/>
      <c r="AL893" s="2867"/>
      <c r="AM893" s="2867"/>
      <c r="AN893" s="2867"/>
      <c r="AO893" s="2867"/>
      <c r="AP893" s="2867"/>
      <c r="AQ893" s="2867"/>
      <c r="AR893" s="2867"/>
      <c r="AS893" s="2867"/>
      <c r="AT893" s="2867"/>
      <c r="AU893" s="2867"/>
      <c r="AV893" s="2867"/>
      <c r="AW893" s="2867"/>
      <c r="AX893" s="2867"/>
      <c r="AY893" s="2867"/>
      <c r="AZ893" s="2867"/>
      <c r="BA893" s="2867"/>
      <c r="BB893" s="2867"/>
      <c r="BC893" s="2867"/>
      <c r="BD893" s="2867"/>
      <c r="BE893" s="2867"/>
      <c r="BF893" s="2867"/>
      <c r="BG893" s="2867"/>
      <c r="BH893" s="2867"/>
      <c r="BI893" s="2867"/>
      <c r="BJ893" s="2867"/>
      <c r="BK893" s="2867"/>
      <c r="BL893" s="2867"/>
      <c r="BM893" s="2867"/>
      <c r="BN893" s="2867"/>
      <c r="BO893" s="2867"/>
      <c r="BP893" s="2867"/>
      <c r="BQ893" s="2867"/>
      <c r="BR893" s="2867"/>
      <c r="BS893" s="2867"/>
      <c r="BT893" s="2867"/>
      <c r="BU893" s="2867"/>
      <c r="BV893" s="2867"/>
      <c r="BW893" s="2867"/>
      <c r="BX893" s="2867"/>
      <c r="BY893" s="2867"/>
      <c r="BZ893" s="2867"/>
      <c r="CA893" s="2867"/>
      <c r="CB893" s="2867"/>
      <c r="CC893" s="2867"/>
      <c r="CD893" s="2867"/>
      <c r="CE893" s="2867"/>
      <c r="CF893" s="2867"/>
      <c r="CG893" s="2867"/>
      <c r="CH893" s="2867"/>
      <c r="CI893" s="2867"/>
      <c r="CJ893" s="2867"/>
      <c r="CK893" s="2867"/>
      <c r="CL893" s="2867"/>
      <c r="CM893" s="2867"/>
      <c r="CN893" s="2867"/>
      <c r="CO893" s="2867"/>
      <c r="CP893" s="2867"/>
      <c r="CQ893" s="2867"/>
      <c r="CR893" s="2867"/>
      <c r="CS893" s="2867"/>
      <c r="CT893" s="2867"/>
      <c r="CU893" s="2867"/>
      <c r="CV893" s="2867"/>
      <c r="CW893" s="2867"/>
    </row>
    <row r="894" spans="1:101">
      <c r="A894" s="2867"/>
      <c r="B894" s="2867"/>
      <c r="C894" s="2867"/>
      <c r="D894" s="2867"/>
      <c r="E894" s="2867"/>
      <c r="F894" s="2867"/>
      <c r="G894" s="2867"/>
      <c r="H894" s="2867"/>
      <c r="I894" s="2867"/>
      <c r="J894" s="2867"/>
      <c r="K894" s="2867"/>
      <c r="L894" s="2867"/>
      <c r="M894" s="2867"/>
      <c r="O894" s="2867"/>
      <c r="P894" s="2867"/>
      <c r="Q894" s="2867"/>
      <c r="R894" s="2867"/>
      <c r="S894" s="2867"/>
      <c r="T894" s="2867"/>
      <c r="U894" s="2867"/>
      <c r="V894" s="2867"/>
      <c r="W894" s="2867"/>
      <c r="X894" s="2867"/>
      <c r="Y894" s="2867"/>
      <c r="Z894" s="2867"/>
      <c r="AA894" s="2867"/>
      <c r="AB894" s="2867"/>
      <c r="AC894" s="2867"/>
      <c r="AD894" s="2867"/>
      <c r="AE894" s="2867"/>
      <c r="AF894" s="2867"/>
      <c r="AG894" s="2867"/>
      <c r="AH894" s="2867"/>
      <c r="AI894" s="2867"/>
      <c r="AJ894" s="2867"/>
      <c r="AK894" s="2867"/>
      <c r="AL894" s="2867"/>
      <c r="AM894" s="2867"/>
      <c r="AN894" s="2867"/>
      <c r="AO894" s="2867"/>
      <c r="AP894" s="2867"/>
      <c r="AQ894" s="2867"/>
      <c r="AR894" s="2867"/>
      <c r="AS894" s="2867"/>
      <c r="AT894" s="2867"/>
      <c r="AU894" s="2867"/>
      <c r="AV894" s="2867"/>
      <c r="AW894" s="2867"/>
      <c r="AX894" s="2867"/>
      <c r="AY894" s="2867"/>
      <c r="AZ894" s="2867"/>
      <c r="BA894" s="2867"/>
      <c r="BB894" s="2867"/>
      <c r="BC894" s="2867"/>
      <c r="BD894" s="2867"/>
      <c r="BE894" s="2867"/>
      <c r="BF894" s="2867"/>
      <c r="BG894" s="2867"/>
      <c r="BH894" s="2867"/>
      <c r="BI894" s="2867"/>
      <c r="BJ894" s="2867"/>
      <c r="BK894" s="2867"/>
      <c r="BL894" s="2867"/>
      <c r="BM894" s="2867"/>
      <c r="BN894" s="2867"/>
      <c r="BO894" s="2867"/>
      <c r="BP894" s="2867"/>
      <c r="BQ894" s="2867"/>
      <c r="BR894" s="2867"/>
      <c r="BS894" s="2867"/>
      <c r="BT894" s="2867"/>
      <c r="BU894" s="2867"/>
      <c r="BV894" s="2867"/>
      <c r="BW894" s="2867"/>
      <c r="BX894" s="2867"/>
      <c r="BY894" s="2867"/>
      <c r="BZ894" s="2867"/>
      <c r="CA894" s="2867"/>
      <c r="CB894" s="2867"/>
      <c r="CC894" s="2867"/>
      <c r="CD894" s="2867"/>
      <c r="CE894" s="2867"/>
      <c r="CF894" s="2867"/>
      <c r="CG894" s="2867"/>
      <c r="CH894" s="2867"/>
      <c r="CI894" s="2867"/>
      <c r="CJ894" s="2867"/>
      <c r="CK894" s="2867"/>
      <c r="CL894" s="2867"/>
      <c r="CM894" s="2867"/>
      <c r="CN894" s="2867"/>
      <c r="CO894" s="2867"/>
      <c r="CP894" s="2867"/>
      <c r="CQ894" s="2867"/>
      <c r="CR894" s="2867"/>
      <c r="CS894" s="2867"/>
      <c r="CT894" s="2867"/>
      <c r="CU894" s="2867"/>
      <c r="CV894" s="2867"/>
      <c r="CW894" s="2867"/>
    </row>
    <row r="895" spans="1:101">
      <c r="A895" s="2867"/>
      <c r="B895" s="2867"/>
      <c r="C895" s="2867"/>
      <c r="D895" s="2867"/>
      <c r="E895" s="2867"/>
      <c r="F895" s="2867"/>
      <c r="G895" s="2867"/>
      <c r="H895" s="2867"/>
      <c r="I895" s="2867"/>
      <c r="J895" s="2867"/>
      <c r="K895" s="2867"/>
      <c r="L895" s="2867"/>
      <c r="M895" s="2867"/>
      <c r="O895" s="2867"/>
      <c r="P895" s="2867"/>
      <c r="Q895" s="2867"/>
      <c r="R895" s="2867"/>
      <c r="S895" s="2867"/>
      <c r="T895" s="2867"/>
      <c r="U895" s="2867"/>
      <c r="V895" s="2867"/>
      <c r="W895" s="2867"/>
      <c r="X895" s="2867"/>
      <c r="Y895" s="2867"/>
      <c r="Z895" s="2867"/>
      <c r="AA895" s="2867"/>
      <c r="AB895" s="2867"/>
      <c r="AC895" s="2867"/>
      <c r="AD895" s="2867"/>
      <c r="AE895" s="2867"/>
      <c r="AF895" s="2867"/>
      <c r="AG895" s="2867"/>
      <c r="AH895" s="2867"/>
      <c r="AI895" s="2867"/>
      <c r="AJ895" s="2867"/>
      <c r="AK895" s="2867"/>
      <c r="AL895" s="2867"/>
      <c r="AM895" s="2867"/>
      <c r="AN895" s="2867"/>
      <c r="AO895" s="2867"/>
      <c r="AP895" s="2867"/>
      <c r="AQ895" s="2867"/>
      <c r="AR895" s="2867"/>
      <c r="AS895" s="2867"/>
      <c r="AT895" s="2867"/>
      <c r="AU895" s="2867"/>
      <c r="AV895" s="2867"/>
      <c r="AW895" s="2867"/>
      <c r="AX895" s="2867"/>
      <c r="AY895" s="2867"/>
      <c r="AZ895" s="2867"/>
      <c r="BA895" s="2867"/>
      <c r="BB895" s="2867"/>
      <c r="BC895" s="2867"/>
      <c r="BD895" s="2867"/>
      <c r="BE895" s="2867"/>
      <c r="BF895" s="2867"/>
      <c r="BG895" s="2867"/>
      <c r="BH895" s="2867"/>
      <c r="BI895" s="2867"/>
      <c r="BJ895" s="2867"/>
      <c r="BK895" s="2867"/>
      <c r="BL895" s="2867"/>
      <c r="BM895" s="2867"/>
      <c r="BN895" s="2867"/>
      <c r="BO895" s="2867"/>
      <c r="BP895" s="2867"/>
      <c r="BQ895" s="2867"/>
      <c r="BR895" s="2867"/>
      <c r="BS895" s="2867"/>
      <c r="BT895" s="2867"/>
      <c r="BU895" s="2867"/>
      <c r="BV895" s="2867"/>
      <c r="BW895" s="2867"/>
      <c r="BX895" s="2867"/>
      <c r="BY895" s="2867"/>
      <c r="BZ895" s="2867"/>
      <c r="CA895" s="2867"/>
      <c r="CB895" s="2867"/>
      <c r="CC895" s="2867"/>
      <c r="CD895" s="2867"/>
      <c r="CE895" s="2867"/>
      <c r="CF895" s="2867"/>
      <c r="CG895" s="2867"/>
      <c r="CH895" s="2867"/>
      <c r="CI895" s="2867"/>
      <c r="CJ895" s="2867"/>
      <c r="CK895" s="2867"/>
      <c r="CL895" s="2867"/>
      <c r="CM895" s="2867"/>
      <c r="CN895" s="2867"/>
      <c r="CO895" s="2867"/>
      <c r="CP895" s="2867"/>
      <c r="CQ895" s="2867"/>
      <c r="CR895" s="2867"/>
      <c r="CS895" s="2867"/>
      <c r="CT895" s="2867"/>
      <c r="CU895" s="2867"/>
      <c r="CV895" s="2867"/>
      <c r="CW895" s="2867"/>
    </row>
    <row r="896" spans="1:101">
      <c r="A896" s="2867"/>
      <c r="B896" s="2867"/>
      <c r="C896" s="2867"/>
      <c r="D896" s="2867"/>
      <c r="E896" s="2867"/>
      <c r="F896" s="2867"/>
      <c r="G896" s="2867"/>
      <c r="H896" s="2867"/>
      <c r="I896" s="2867"/>
      <c r="J896" s="2867"/>
      <c r="K896" s="2867"/>
      <c r="L896" s="2867"/>
      <c r="M896" s="2867"/>
      <c r="O896" s="2867"/>
      <c r="P896" s="2867"/>
      <c r="Q896" s="2867"/>
      <c r="R896" s="2867"/>
      <c r="S896" s="2867"/>
      <c r="T896" s="2867"/>
      <c r="U896" s="2867"/>
      <c r="V896" s="2867"/>
      <c r="W896" s="2867"/>
      <c r="X896" s="2867"/>
      <c r="Y896" s="2867"/>
      <c r="Z896" s="2867"/>
      <c r="AA896" s="2867"/>
      <c r="AB896" s="2867"/>
      <c r="AC896" s="2867"/>
      <c r="AD896" s="2867"/>
      <c r="AE896" s="2867"/>
      <c r="AF896" s="2867"/>
      <c r="AG896" s="2867"/>
      <c r="AH896" s="2867"/>
      <c r="AI896" s="2867"/>
      <c r="AJ896" s="2867"/>
      <c r="AK896" s="2867"/>
      <c r="AL896" s="2867"/>
      <c r="AM896" s="2867"/>
      <c r="AN896" s="2867"/>
      <c r="AO896" s="2867"/>
      <c r="AP896" s="2867"/>
      <c r="AQ896" s="2867"/>
      <c r="AR896" s="2867"/>
      <c r="AS896" s="2867"/>
      <c r="AT896" s="2867"/>
      <c r="AU896" s="2867"/>
      <c r="AV896" s="2867"/>
      <c r="AW896" s="2867"/>
      <c r="AX896" s="2867"/>
      <c r="AY896" s="2867"/>
      <c r="AZ896" s="2867"/>
      <c r="BA896" s="2867"/>
      <c r="BB896" s="2867"/>
      <c r="BC896" s="2867"/>
      <c r="BD896" s="2867"/>
      <c r="BE896" s="2867"/>
      <c r="BF896" s="2867"/>
      <c r="BG896" s="2867"/>
      <c r="BH896" s="2867"/>
      <c r="BI896" s="2867"/>
      <c r="BJ896" s="2867"/>
      <c r="BK896" s="2867"/>
      <c r="BL896" s="2867"/>
      <c r="BM896" s="2867"/>
      <c r="BN896" s="2867"/>
      <c r="BO896" s="2867"/>
      <c r="BP896" s="2867"/>
      <c r="BQ896" s="2867"/>
      <c r="BR896" s="2867"/>
      <c r="BS896" s="2867"/>
      <c r="BT896" s="2867"/>
      <c r="BU896" s="2867"/>
      <c r="BV896" s="2867"/>
      <c r="BW896" s="2867"/>
      <c r="BX896" s="2867"/>
      <c r="BY896" s="2867"/>
      <c r="BZ896" s="2867"/>
      <c r="CA896" s="2867"/>
      <c r="CB896" s="2867"/>
      <c r="CC896" s="2867"/>
      <c r="CD896" s="2867"/>
      <c r="CE896" s="2867"/>
      <c r="CF896" s="2867"/>
      <c r="CG896" s="2867"/>
      <c r="CH896" s="2867"/>
      <c r="CI896" s="2867"/>
      <c r="CJ896" s="2867"/>
      <c r="CK896" s="2867"/>
      <c r="CL896" s="2867"/>
      <c r="CM896" s="2867"/>
      <c r="CN896" s="2867"/>
      <c r="CO896" s="2867"/>
      <c r="CP896" s="2867"/>
      <c r="CQ896" s="2867"/>
      <c r="CR896" s="2867"/>
      <c r="CS896" s="2867"/>
      <c r="CT896" s="2867"/>
      <c r="CU896" s="2867"/>
      <c r="CV896" s="2867"/>
      <c r="CW896" s="2867"/>
    </row>
    <row r="897" spans="1:101">
      <c r="A897" s="2867"/>
      <c r="B897" s="2867"/>
      <c r="C897" s="2867"/>
      <c r="D897" s="2867"/>
      <c r="E897" s="2867"/>
      <c r="F897" s="2867"/>
      <c r="G897" s="2867"/>
      <c r="H897" s="2867"/>
      <c r="I897" s="2867"/>
      <c r="J897" s="2867"/>
      <c r="K897" s="2867"/>
      <c r="L897" s="2867"/>
      <c r="M897" s="2867"/>
      <c r="O897" s="2867"/>
      <c r="P897" s="2867"/>
      <c r="Q897" s="2867"/>
      <c r="R897" s="2867"/>
      <c r="S897" s="2867"/>
      <c r="T897" s="2867"/>
      <c r="U897" s="2867"/>
      <c r="V897" s="2867"/>
      <c r="W897" s="2867"/>
      <c r="X897" s="2867"/>
      <c r="Y897" s="2867"/>
      <c r="Z897" s="2867"/>
      <c r="AA897" s="2867"/>
      <c r="AB897" s="2867"/>
      <c r="AC897" s="2867"/>
      <c r="AD897" s="2867"/>
      <c r="AE897" s="2867"/>
      <c r="AF897" s="2867"/>
      <c r="AG897" s="2867"/>
      <c r="AH897" s="2867"/>
      <c r="AI897" s="2867"/>
      <c r="AJ897" s="2867"/>
      <c r="AK897" s="2867"/>
      <c r="AL897" s="2867"/>
      <c r="AM897" s="2867"/>
      <c r="AN897" s="2867"/>
      <c r="AO897" s="2867"/>
      <c r="AP897" s="2867"/>
      <c r="AQ897" s="2867"/>
      <c r="AR897" s="2867"/>
      <c r="AS897" s="2867"/>
      <c r="AT897" s="2867"/>
      <c r="AU897" s="2867"/>
      <c r="AV897" s="2867"/>
      <c r="AW897" s="2867"/>
      <c r="AX897" s="2867"/>
      <c r="AY897" s="2867"/>
      <c r="AZ897" s="2867"/>
      <c r="BA897" s="2867"/>
      <c r="BB897" s="2867"/>
      <c r="BC897" s="2867"/>
      <c r="BD897" s="2867"/>
      <c r="BE897" s="2867"/>
      <c r="BF897" s="2867"/>
      <c r="BG897" s="2867"/>
      <c r="BH897" s="2867"/>
      <c r="BI897" s="2867"/>
      <c r="BJ897" s="2867"/>
      <c r="BK897" s="2867"/>
      <c r="BL897" s="2867"/>
      <c r="BM897" s="2867"/>
      <c r="BN897" s="2867"/>
      <c r="BO897" s="2867"/>
      <c r="BP897" s="2867"/>
      <c r="BQ897" s="2867"/>
      <c r="BR897" s="2867"/>
      <c r="BS897" s="2867"/>
      <c r="BT897" s="2867"/>
      <c r="BU897" s="2867"/>
      <c r="BV897" s="2867"/>
      <c r="BW897" s="2867"/>
      <c r="BX897" s="2867"/>
      <c r="BY897" s="2867"/>
      <c r="BZ897" s="2867"/>
      <c r="CA897" s="2867"/>
      <c r="CB897" s="2867"/>
      <c r="CC897" s="2867"/>
      <c r="CD897" s="2867"/>
      <c r="CE897" s="2867"/>
      <c r="CF897" s="2867"/>
      <c r="CG897" s="2867"/>
      <c r="CH897" s="2867"/>
      <c r="CI897" s="2867"/>
      <c r="CJ897" s="2867"/>
      <c r="CK897" s="2867"/>
      <c r="CL897" s="2867"/>
      <c r="CM897" s="2867"/>
      <c r="CN897" s="2867"/>
      <c r="CO897" s="2867"/>
      <c r="CP897" s="2867"/>
      <c r="CQ897" s="2867"/>
      <c r="CR897" s="2867"/>
      <c r="CS897" s="2867"/>
      <c r="CT897" s="2867"/>
      <c r="CU897" s="2867"/>
      <c r="CV897" s="2867"/>
      <c r="CW897" s="2867"/>
    </row>
    <row r="898" spans="1:101">
      <c r="A898" s="2867"/>
      <c r="B898" s="2867"/>
      <c r="C898" s="2867"/>
      <c r="D898" s="2867"/>
      <c r="E898" s="2867"/>
      <c r="F898" s="2867"/>
      <c r="G898" s="2867"/>
      <c r="H898" s="2867"/>
      <c r="I898" s="2867"/>
      <c r="J898" s="2867"/>
      <c r="K898" s="2867"/>
      <c r="L898" s="2867"/>
      <c r="M898" s="2867"/>
      <c r="O898" s="2867"/>
      <c r="P898" s="2867"/>
      <c r="Q898" s="2867"/>
      <c r="R898" s="2867"/>
      <c r="S898" s="2867"/>
      <c r="T898" s="2867"/>
      <c r="U898" s="2867"/>
      <c r="V898" s="2867"/>
      <c r="W898" s="2867"/>
      <c r="X898" s="2867"/>
      <c r="Y898" s="2867"/>
      <c r="Z898" s="2867"/>
      <c r="AA898" s="2867"/>
      <c r="AB898" s="2867"/>
      <c r="AC898" s="2867"/>
      <c r="AD898" s="2867"/>
      <c r="AE898" s="2867"/>
      <c r="AF898" s="2867"/>
      <c r="AG898" s="2867"/>
      <c r="AH898" s="2867"/>
      <c r="AI898" s="2867"/>
      <c r="AJ898" s="2867"/>
      <c r="AK898" s="2867"/>
      <c r="AL898" s="2867"/>
      <c r="AM898" s="2867"/>
      <c r="AN898" s="2867"/>
      <c r="AO898" s="2867"/>
      <c r="AP898" s="2867"/>
      <c r="AQ898" s="2867"/>
      <c r="AR898" s="2867"/>
      <c r="AS898" s="2867"/>
      <c r="AT898" s="2867"/>
      <c r="AU898" s="2867"/>
      <c r="AV898" s="2867"/>
      <c r="AW898" s="2867"/>
      <c r="AX898" s="2867"/>
      <c r="AY898" s="2867"/>
      <c r="AZ898" s="2867"/>
      <c r="BA898" s="2867"/>
      <c r="BB898" s="2867"/>
      <c r="BC898" s="2867"/>
      <c r="BD898" s="2867"/>
      <c r="BE898" s="2867"/>
      <c r="BF898" s="2867"/>
      <c r="BG898" s="2867"/>
      <c r="BH898" s="2867"/>
      <c r="BI898" s="2867"/>
      <c r="BJ898" s="2867"/>
      <c r="BK898" s="2867"/>
      <c r="BL898" s="2867"/>
      <c r="BM898" s="2867"/>
      <c r="BN898" s="2867"/>
      <c r="BO898" s="2867"/>
      <c r="BP898" s="2867"/>
      <c r="BQ898" s="2867"/>
      <c r="BR898" s="2867"/>
      <c r="BS898" s="2867"/>
      <c r="BT898" s="2867"/>
      <c r="BU898" s="2867"/>
      <c r="BV898" s="2867"/>
      <c r="BW898" s="2867"/>
      <c r="BX898" s="2867"/>
      <c r="BY898" s="2867"/>
      <c r="BZ898" s="2867"/>
      <c r="CA898" s="2867"/>
      <c r="CB898" s="2867"/>
      <c r="CC898" s="2867"/>
      <c r="CD898" s="2867"/>
      <c r="CE898" s="2867"/>
      <c r="CF898" s="2867"/>
      <c r="CG898" s="2867"/>
      <c r="CH898" s="2867"/>
      <c r="CI898" s="2867"/>
      <c r="CJ898" s="2867"/>
      <c r="CK898" s="2867"/>
      <c r="CL898" s="2867"/>
      <c r="CM898" s="2867"/>
      <c r="CN898" s="2867"/>
      <c r="CO898" s="2867"/>
      <c r="CP898" s="2867"/>
      <c r="CQ898" s="2867"/>
      <c r="CR898" s="2867"/>
      <c r="CS898" s="2867"/>
      <c r="CT898" s="2867"/>
      <c r="CU898" s="2867"/>
      <c r="CV898" s="2867"/>
      <c r="CW898" s="2867"/>
    </row>
    <row r="899" spans="1:101">
      <c r="A899" s="2867"/>
      <c r="B899" s="2867"/>
      <c r="C899" s="2867"/>
      <c r="D899" s="2867"/>
      <c r="E899" s="2867"/>
      <c r="F899" s="2867"/>
      <c r="G899" s="2867"/>
      <c r="H899" s="2867"/>
      <c r="I899" s="2867"/>
      <c r="J899" s="2867"/>
      <c r="K899" s="2867"/>
      <c r="L899" s="2867"/>
      <c r="M899" s="2867"/>
      <c r="O899" s="2867"/>
      <c r="P899" s="2867"/>
      <c r="Q899" s="2867"/>
      <c r="R899" s="2867"/>
      <c r="S899" s="2867"/>
      <c r="T899" s="2867"/>
      <c r="U899" s="2867"/>
      <c r="V899" s="2867"/>
      <c r="W899" s="2867"/>
      <c r="X899" s="2867"/>
      <c r="Y899" s="2867"/>
      <c r="Z899" s="2867"/>
      <c r="AA899" s="2867"/>
      <c r="AB899" s="2867"/>
      <c r="AC899" s="2867"/>
      <c r="AD899" s="2867"/>
      <c r="AE899" s="2867"/>
      <c r="AF899" s="2867"/>
      <c r="AG899" s="2867"/>
      <c r="AH899" s="2867"/>
      <c r="AI899" s="2867"/>
      <c r="AJ899" s="2867"/>
      <c r="AK899" s="2867"/>
      <c r="AL899" s="2867"/>
      <c r="AM899" s="2867"/>
      <c r="AN899" s="2867"/>
      <c r="AO899" s="2867"/>
      <c r="AP899" s="2867"/>
      <c r="AQ899" s="2867"/>
      <c r="AR899" s="2867"/>
      <c r="AS899" s="2867"/>
      <c r="AT899" s="2867"/>
      <c r="AU899" s="2867"/>
      <c r="AV899" s="2867"/>
      <c r="AW899" s="2867"/>
      <c r="AX899" s="2867"/>
      <c r="AY899" s="2867"/>
      <c r="AZ899" s="2867"/>
      <c r="BA899" s="2867"/>
      <c r="BB899" s="2867"/>
      <c r="BC899" s="2867"/>
      <c r="BD899" s="2867"/>
      <c r="BE899" s="2867"/>
      <c r="BF899" s="2867"/>
      <c r="BG899" s="2867"/>
      <c r="BH899" s="2867"/>
      <c r="BI899" s="2867"/>
      <c r="BJ899" s="2867"/>
      <c r="BK899" s="2867"/>
      <c r="BL899" s="2867"/>
      <c r="BM899" s="2867"/>
      <c r="BN899" s="2867"/>
      <c r="BO899" s="2867"/>
      <c r="BP899" s="2867"/>
      <c r="BQ899" s="2867"/>
      <c r="BR899" s="2867"/>
      <c r="BS899" s="2867"/>
      <c r="BT899" s="2867"/>
      <c r="BU899" s="2867"/>
      <c r="BV899" s="2867"/>
      <c r="BW899" s="2867"/>
      <c r="BX899" s="2867"/>
      <c r="BY899" s="2867"/>
      <c r="BZ899" s="2867"/>
      <c r="CA899" s="2867"/>
      <c r="CB899" s="2867"/>
      <c r="CC899" s="2867"/>
      <c r="CD899" s="2867"/>
      <c r="CE899" s="2867"/>
      <c r="CF899" s="2867"/>
      <c r="CG899" s="2867"/>
      <c r="CH899" s="2867"/>
      <c r="CI899" s="2867"/>
      <c r="CJ899" s="2867"/>
      <c r="CK899" s="2867"/>
      <c r="CL899" s="2867"/>
      <c r="CM899" s="2867"/>
      <c r="CN899" s="2867"/>
      <c r="CO899" s="2867"/>
      <c r="CP899" s="2867"/>
      <c r="CQ899" s="2867"/>
      <c r="CR899" s="2867"/>
      <c r="CS899" s="2867"/>
      <c r="CT899" s="2867"/>
      <c r="CU899" s="2867"/>
      <c r="CV899" s="2867"/>
      <c r="CW899" s="2867"/>
    </row>
    <row r="900" spans="1:101">
      <c r="A900" s="2867"/>
      <c r="B900" s="2867"/>
      <c r="C900" s="2867"/>
      <c r="D900" s="2867"/>
      <c r="E900" s="2867"/>
      <c r="F900" s="2867"/>
      <c r="G900" s="2867"/>
      <c r="H900" s="2867"/>
      <c r="I900" s="2867"/>
      <c r="J900" s="2867"/>
      <c r="K900" s="2867"/>
      <c r="L900" s="2867"/>
      <c r="M900" s="2867"/>
      <c r="O900" s="2867"/>
      <c r="P900" s="2867"/>
      <c r="Q900" s="2867"/>
      <c r="R900" s="2867"/>
      <c r="S900" s="2867"/>
      <c r="T900" s="2867"/>
      <c r="U900" s="2867"/>
      <c r="V900" s="2867"/>
      <c r="W900" s="2867"/>
      <c r="X900" s="2867"/>
      <c r="Y900" s="2867"/>
      <c r="Z900" s="2867"/>
      <c r="AA900" s="2867"/>
      <c r="AB900" s="2867"/>
      <c r="AC900" s="2867"/>
      <c r="AD900" s="2867"/>
      <c r="AE900" s="2867"/>
      <c r="AF900" s="2867"/>
      <c r="AG900" s="2867"/>
      <c r="AH900" s="2867"/>
      <c r="AI900" s="2867"/>
      <c r="AJ900" s="2867"/>
      <c r="AK900" s="2867"/>
      <c r="AL900" s="2867"/>
      <c r="AM900" s="2867"/>
      <c r="AN900" s="2867"/>
      <c r="AO900" s="2867"/>
      <c r="AP900" s="2867"/>
      <c r="AQ900" s="2867"/>
      <c r="AR900" s="2867"/>
      <c r="AS900" s="2867"/>
      <c r="AT900" s="2867"/>
      <c r="AU900" s="2867"/>
      <c r="AV900" s="2867"/>
      <c r="AW900" s="2867"/>
      <c r="AX900" s="2867"/>
      <c r="AY900" s="2867"/>
      <c r="AZ900" s="2867"/>
      <c r="BA900" s="2867"/>
      <c r="BB900" s="2867"/>
      <c r="BC900" s="2867"/>
      <c r="BD900" s="2867"/>
      <c r="BE900" s="2867"/>
      <c r="BF900" s="2867"/>
      <c r="BG900" s="2867"/>
      <c r="BH900" s="2867"/>
      <c r="BI900" s="2867"/>
      <c r="BJ900" s="2867"/>
      <c r="BK900" s="2867"/>
      <c r="BL900" s="2867"/>
      <c r="BM900" s="2867"/>
      <c r="BN900" s="2867"/>
      <c r="BO900" s="2867"/>
      <c r="BP900" s="2867"/>
      <c r="BQ900" s="2867"/>
      <c r="BR900" s="2867"/>
      <c r="BS900" s="2867"/>
      <c r="BT900" s="2867"/>
      <c r="BU900" s="2867"/>
      <c r="BV900" s="2867"/>
      <c r="BW900" s="2867"/>
      <c r="BX900" s="2867"/>
      <c r="BY900" s="2867"/>
      <c r="BZ900" s="2867"/>
      <c r="CA900" s="2867"/>
      <c r="CB900" s="2867"/>
      <c r="CC900" s="2867"/>
      <c r="CD900" s="2867"/>
      <c r="CE900" s="2867"/>
      <c r="CF900" s="2867"/>
      <c r="CG900" s="2867"/>
      <c r="CH900" s="2867"/>
      <c r="CI900" s="2867"/>
      <c r="CJ900" s="2867"/>
      <c r="CK900" s="2867"/>
      <c r="CL900" s="2867"/>
      <c r="CM900" s="2867"/>
      <c r="CN900" s="2867"/>
      <c r="CO900" s="2867"/>
      <c r="CP900" s="2867"/>
      <c r="CQ900" s="2867"/>
      <c r="CR900" s="2867"/>
      <c r="CS900" s="2867"/>
      <c r="CT900" s="2867"/>
      <c r="CU900" s="2867"/>
      <c r="CV900" s="2867"/>
      <c r="CW900" s="2867"/>
    </row>
    <row r="901" spans="1:101">
      <c r="A901" s="2867"/>
      <c r="B901" s="2867"/>
      <c r="C901" s="2867"/>
      <c r="D901" s="2867"/>
      <c r="E901" s="2867"/>
      <c r="F901" s="2867"/>
      <c r="G901" s="2867"/>
      <c r="H901" s="2867"/>
      <c r="I901" s="2867"/>
      <c r="J901" s="2867"/>
      <c r="K901" s="2867"/>
      <c r="L901" s="2867"/>
      <c r="M901" s="2867"/>
      <c r="O901" s="2867"/>
      <c r="P901" s="2867"/>
      <c r="Q901" s="2867"/>
      <c r="R901" s="2867"/>
      <c r="S901" s="2867"/>
      <c r="T901" s="2867"/>
      <c r="U901" s="2867"/>
      <c r="V901" s="2867"/>
      <c r="W901" s="2867"/>
      <c r="X901" s="2867"/>
      <c r="Y901" s="2867"/>
      <c r="Z901" s="2867"/>
      <c r="AA901" s="2867"/>
      <c r="AB901" s="2867"/>
      <c r="AC901" s="2867"/>
      <c r="AD901" s="2867"/>
      <c r="AE901" s="2867"/>
      <c r="AF901" s="2867"/>
      <c r="AG901" s="2867"/>
      <c r="AH901" s="2867"/>
      <c r="AI901" s="2867"/>
      <c r="AJ901" s="2867"/>
      <c r="AK901" s="2867"/>
      <c r="AL901" s="2867"/>
      <c r="AM901" s="2867"/>
      <c r="AN901" s="2867"/>
      <c r="AO901" s="2867"/>
      <c r="AP901" s="2867"/>
      <c r="AQ901" s="2867"/>
      <c r="AR901" s="2867"/>
      <c r="AS901" s="2867"/>
      <c r="AT901" s="2867"/>
      <c r="AU901" s="2867"/>
      <c r="AV901" s="2867"/>
      <c r="AW901" s="2867"/>
      <c r="AX901" s="2867"/>
      <c r="AY901" s="2867"/>
      <c r="AZ901" s="2867"/>
      <c r="BA901" s="2867"/>
      <c r="BB901" s="2867"/>
      <c r="BC901" s="2867"/>
      <c r="BD901" s="2867"/>
      <c r="BE901" s="2867"/>
      <c r="BF901" s="2867"/>
      <c r="BG901" s="2867"/>
      <c r="BH901" s="2867"/>
      <c r="BI901" s="2867"/>
      <c r="BJ901" s="2867"/>
      <c r="BK901" s="2867"/>
      <c r="BL901" s="2867"/>
      <c r="BM901" s="2867"/>
      <c r="BN901" s="2867"/>
      <c r="BO901" s="2867"/>
      <c r="BP901" s="2867"/>
      <c r="BQ901" s="2867"/>
      <c r="BR901" s="2867"/>
      <c r="BS901" s="2867"/>
      <c r="BT901" s="2867"/>
      <c r="BU901" s="2867"/>
      <c r="BV901" s="2867"/>
      <c r="BW901" s="2867"/>
      <c r="BX901" s="2867"/>
      <c r="BY901" s="2867"/>
      <c r="BZ901" s="2867"/>
      <c r="CA901" s="2867"/>
      <c r="CB901" s="2867"/>
      <c r="CC901" s="2867"/>
      <c r="CD901" s="2867"/>
      <c r="CE901" s="2867"/>
      <c r="CF901" s="2867"/>
      <c r="CG901" s="2867"/>
      <c r="CH901" s="2867"/>
      <c r="CI901" s="2867"/>
      <c r="CJ901" s="2867"/>
      <c r="CK901" s="2867"/>
      <c r="CL901" s="2867"/>
      <c r="CM901" s="2867"/>
      <c r="CN901" s="2867"/>
      <c r="CO901" s="2867"/>
      <c r="CP901" s="2867"/>
      <c r="CQ901" s="2867"/>
      <c r="CR901" s="2867"/>
      <c r="CS901" s="2867"/>
      <c r="CT901" s="2867"/>
      <c r="CU901" s="2867"/>
      <c r="CV901" s="2867"/>
      <c r="CW901" s="2867"/>
    </row>
    <row r="902" spans="1:101">
      <c r="A902" s="2867"/>
      <c r="B902" s="2867"/>
      <c r="C902" s="2867"/>
      <c r="D902" s="2867"/>
      <c r="E902" s="2867"/>
      <c r="F902" s="2867"/>
      <c r="G902" s="2867"/>
      <c r="H902" s="2867"/>
      <c r="I902" s="2867"/>
      <c r="J902" s="2867"/>
      <c r="K902" s="2867"/>
      <c r="L902" s="2867"/>
      <c r="M902" s="2867"/>
      <c r="O902" s="2867"/>
      <c r="P902" s="2867"/>
      <c r="Q902" s="2867"/>
      <c r="R902" s="2867"/>
      <c r="S902" s="2867"/>
      <c r="T902" s="2867"/>
      <c r="U902" s="2867"/>
      <c r="V902" s="2867"/>
      <c r="W902" s="2867"/>
      <c r="X902" s="2867"/>
      <c r="Y902" s="2867"/>
      <c r="Z902" s="2867"/>
      <c r="AA902" s="2867"/>
      <c r="AB902" s="2867"/>
      <c r="AC902" s="2867"/>
      <c r="AD902" s="2867"/>
      <c r="AE902" s="2867"/>
      <c r="AF902" s="2867"/>
      <c r="AG902" s="2867"/>
      <c r="AH902" s="2867"/>
      <c r="AI902" s="2867"/>
      <c r="AJ902" s="2867"/>
      <c r="AK902" s="2867"/>
      <c r="AL902" s="2867"/>
      <c r="AM902" s="2867"/>
      <c r="AN902" s="2867"/>
      <c r="AO902" s="2867"/>
      <c r="AP902" s="2867"/>
      <c r="AQ902" s="2867"/>
      <c r="AR902" s="2867"/>
      <c r="AS902" s="2867"/>
      <c r="AT902" s="2867"/>
      <c r="AU902" s="2867"/>
      <c r="AV902" s="2867"/>
      <c r="AW902" s="2867"/>
      <c r="AX902" s="2867"/>
      <c r="AY902" s="2867"/>
      <c r="AZ902" s="2867"/>
      <c r="BA902" s="2867"/>
      <c r="BB902" s="2867"/>
      <c r="BC902" s="2867"/>
      <c r="BD902" s="2867"/>
      <c r="BE902" s="2867"/>
      <c r="BF902" s="2867"/>
      <c r="BG902" s="2867"/>
      <c r="BH902" s="2867"/>
      <c r="BI902" s="2867"/>
      <c r="BJ902" s="2867"/>
      <c r="BK902" s="2867"/>
      <c r="BL902" s="2867"/>
      <c r="BM902" s="2867"/>
      <c r="BN902" s="2867"/>
      <c r="BO902" s="2867"/>
      <c r="BP902" s="2867"/>
      <c r="BQ902" s="2867"/>
      <c r="BR902" s="2867"/>
      <c r="BS902" s="2867"/>
      <c r="BT902" s="2867"/>
      <c r="BU902" s="2867"/>
      <c r="BV902" s="2867"/>
      <c r="BW902" s="2867"/>
      <c r="BX902" s="2867"/>
      <c r="BY902" s="2867"/>
      <c r="BZ902" s="2867"/>
      <c r="CA902" s="2867"/>
      <c r="CB902" s="2867"/>
      <c r="CC902" s="2867"/>
      <c r="CD902" s="2867"/>
      <c r="CE902" s="2867"/>
      <c r="CF902" s="2867"/>
      <c r="CG902" s="2867"/>
      <c r="CH902" s="2867"/>
      <c r="CI902" s="2867"/>
      <c r="CJ902" s="2867"/>
      <c r="CK902" s="2867"/>
      <c r="CL902" s="2867"/>
      <c r="CM902" s="2867"/>
      <c r="CN902" s="2867"/>
      <c r="CO902" s="2867"/>
      <c r="CP902" s="2867"/>
      <c r="CQ902" s="2867"/>
      <c r="CR902" s="2867"/>
      <c r="CS902" s="2867"/>
      <c r="CT902" s="2867"/>
      <c r="CU902" s="2867"/>
      <c r="CV902" s="2867"/>
      <c r="CW902" s="2867"/>
    </row>
    <row r="903" spans="1:101">
      <c r="A903" s="2867"/>
      <c r="B903" s="2867"/>
      <c r="C903" s="2867"/>
      <c r="D903" s="2867"/>
      <c r="E903" s="2867"/>
      <c r="F903" s="2867"/>
      <c r="G903" s="2867"/>
      <c r="H903" s="2867"/>
      <c r="I903" s="2867"/>
      <c r="J903" s="2867"/>
      <c r="K903" s="2867"/>
      <c r="L903" s="2867"/>
      <c r="M903" s="2867"/>
      <c r="O903" s="2867"/>
      <c r="P903" s="2867"/>
      <c r="Q903" s="2867"/>
      <c r="R903" s="2867"/>
      <c r="S903" s="2867"/>
      <c r="T903" s="2867"/>
      <c r="U903" s="2867"/>
      <c r="V903" s="2867"/>
      <c r="W903" s="2867"/>
      <c r="X903" s="2867"/>
      <c r="Y903" s="2867"/>
      <c r="Z903" s="2867"/>
      <c r="AA903" s="2867"/>
      <c r="AB903" s="2867"/>
      <c r="AC903" s="2867"/>
      <c r="AD903" s="2867"/>
      <c r="AE903" s="2867"/>
      <c r="AF903" s="2867"/>
      <c r="AG903" s="2867"/>
      <c r="AH903" s="2867"/>
      <c r="AI903" s="2867"/>
      <c r="AJ903" s="2867"/>
      <c r="AK903" s="2867"/>
      <c r="AL903" s="2867"/>
      <c r="AM903" s="2867"/>
      <c r="AN903" s="2867"/>
      <c r="AO903" s="2867"/>
      <c r="AP903" s="2867"/>
      <c r="AQ903" s="2867"/>
      <c r="AR903" s="2867"/>
      <c r="AS903" s="2867"/>
      <c r="AT903" s="2867"/>
      <c r="AU903" s="2867"/>
      <c r="AV903" s="2867"/>
      <c r="AW903" s="2867"/>
      <c r="AX903" s="2867"/>
      <c r="AY903" s="2867"/>
      <c r="AZ903" s="2867"/>
      <c r="BA903" s="2867"/>
      <c r="BB903" s="2867"/>
      <c r="BC903" s="2867"/>
      <c r="BD903" s="2867"/>
      <c r="BE903" s="2867"/>
      <c r="BF903" s="2867"/>
      <c r="BG903" s="2867"/>
      <c r="BH903" s="2867"/>
      <c r="BI903" s="2867"/>
      <c r="BJ903" s="2867"/>
      <c r="BK903" s="2867"/>
      <c r="BL903" s="2867"/>
      <c r="BM903" s="2867"/>
      <c r="BN903" s="2867"/>
      <c r="BO903" s="2867"/>
      <c r="BP903" s="2867"/>
      <c r="BQ903" s="2867"/>
      <c r="BR903" s="2867"/>
      <c r="BS903" s="2867"/>
      <c r="BT903" s="2867"/>
      <c r="BU903" s="2867"/>
      <c r="BV903" s="2867"/>
      <c r="BW903" s="2867"/>
      <c r="BX903" s="2867"/>
      <c r="BY903" s="2867"/>
      <c r="BZ903" s="2867"/>
      <c r="CA903" s="2867"/>
      <c r="CB903" s="2867"/>
      <c r="CC903" s="2867"/>
      <c r="CD903" s="2867"/>
      <c r="CE903" s="2867"/>
      <c r="CF903" s="2867"/>
      <c r="CG903" s="2867"/>
      <c r="CH903" s="2867"/>
      <c r="CI903" s="2867"/>
      <c r="CJ903" s="2867"/>
      <c r="CK903" s="2867"/>
      <c r="CL903" s="2867"/>
      <c r="CM903" s="2867"/>
      <c r="CN903" s="2867"/>
      <c r="CO903" s="2867"/>
      <c r="CP903" s="2867"/>
      <c r="CQ903" s="2867"/>
      <c r="CR903" s="2867"/>
      <c r="CS903" s="2867"/>
      <c r="CT903" s="2867"/>
      <c r="CU903" s="2867"/>
      <c r="CV903" s="2867"/>
      <c r="CW903" s="2867"/>
    </row>
    <row r="904" spans="1:101">
      <c r="A904" s="2867"/>
      <c r="B904" s="2867"/>
      <c r="C904" s="2867"/>
      <c r="D904" s="2867"/>
      <c r="E904" s="2867"/>
      <c r="F904" s="2867"/>
      <c r="G904" s="2867"/>
      <c r="H904" s="2867"/>
      <c r="I904" s="2867"/>
      <c r="J904" s="2867"/>
      <c r="K904" s="2867"/>
      <c r="L904" s="2867"/>
      <c r="M904" s="2867"/>
      <c r="O904" s="2867"/>
      <c r="P904" s="2867"/>
      <c r="Q904" s="2867"/>
      <c r="R904" s="2867"/>
      <c r="S904" s="2867"/>
      <c r="T904" s="2867"/>
      <c r="U904" s="2867"/>
      <c r="V904" s="2867"/>
      <c r="W904" s="2867"/>
      <c r="X904" s="2867"/>
      <c r="Y904" s="2867"/>
      <c r="Z904" s="2867"/>
      <c r="AA904" s="2867"/>
      <c r="AB904" s="2867"/>
      <c r="AC904" s="2867"/>
      <c r="AD904" s="2867"/>
      <c r="AE904" s="2867"/>
      <c r="AF904" s="2867"/>
      <c r="AG904" s="2867"/>
      <c r="AH904" s="2867"/>
      <c r="AI904" s="2867"/>
      <c r="AJ904" s="2867"/>
      <c r="AK904" s="2867"/>
      <c r="AL904" s="2867"/>
      <c r="AM904" s="2867"/>
      <c r="AN904" s="2867"/>
      <c r="AO904" s="2867"/>
      <c r="AP904" s="2867"/>
      <c r="AQ904" s="2867"/>
      <c r="AR904" s="2867"/>
      <c r="AS904" s="2867"/>
      <c r="AT904" s="2867"/>
      <c r="AU904" s="2867"/>
      <c r="AV904" s="2867"/>
      <c r="AW904" s="2867"/>
      <c r="AX904" s="2867"/>
      <c r="AY904" s="2867"/>
      <c r="AZ904" s="2867"/>
      <c r="BA904" s="2867"/>
      <c r="BB904" s="2867"/>
      <c r="BC904" s="2867"/>
      <c r="BD904" s="2867"/>
      <c r="BE904" s="2867"/>
      <c r="BF904" s="2867"/>
      <c r="BG904" s="2867"/>
      <c r="BH904" s="2867"/>
      <c r="BI904" s="2867"/>
      <c r="BJ904" s="2867"/>
      <c r="BK904" s="2867"/>
      <c r="BL904" s="2867"/>
      <c r="BM904" s="2867"/>
      <c r="BN904" s="2867"/>
      <c r="BO904" s="2867"/>
      <c r="BP904" s="2867"/>
      <c r="BQ904" s="2867"/>
      <c r="BR904" s="2867"/>
      <c r="BS904" s="2867"/>
      <c r="BT904" s="2867"/>
      <c r="BU904" s="2867"/>
      <c r="BV904" s="2867"/>
      <c r="BW904" s="2867"/>
      <c r="BX904" s="2867"/>
      <c r="BY904" s="2867"/>
      <c r="BZ904" s="2867"/>
      <c r="CA904" s="2867"/>
      <c r="CB904" s="2867"/>
      <c r="CC904" s="2867"/>
      <c r="CD904" s="2867"/>
      <c r="CE904" s="2867"/>
      <c r="CF904" s="2867"/>
      <c r="CG904" s="2867"/>
      <c r="CH904" s="2867"/>
      <c r="CI904" s="2867"/>
      <c r="CJ904" s="2867"/>
      <c r="CK904" s="2867"/>
      <c r="CL904" s="2867"/>
      <c r="CM904" s="2867"/>
      <c r="CN904" s="2867"/>
      <c r="CO904" s="2867"/>
      <c r="CP904" s="2867"/>
      <c r="CQ904" s="2867"/>
      <c r="CR904" s="2867"/>
      <c r="CS904" s="2867"/>
      <c r="CT904" s="2867"/>
      <c r="CU904" s="2867"/>
      <c r="CV904" s="2867"/>
      <c r="CW904" s="2867"/>
    </row>
    <row r="905" spans="1:101">
      <c r="A905" s="2867"/>
      <c r="B905" s="2867"/>
      <c r="C905" s="2867"/>
      <c r="D905" s="2867"/>
      <c r="E905" s="2867"/>
      <c r="F905" s="2867"/>
      <c r="G905" s="2867"/>
      <c r="H905" s="2867"/>
      <c r="I905" s="2867"/>
      <c r="J905" s="2867"/>
      <c r="K905" s="2867"/>
      <c r="L905" s="2867"/>
      <c r="M905" s="2867"/>
      <c r="O905" s="2867"/>
      <c r="P905" s="2867"/>
      <c r="Q905" s="2867"/>
      <c r="R905" s="2867"/>
      <c r="S905" s="2867"/>
      <c r="T905" s="2867"/>
      <c r="U905" s="2867"/>
      <c r="V905" s="2867"/>
      <c r="W905" s="2867"/>
      <c r="X905" s="2867"/>
      <c r="Y905" s="2867"/>
      <c r="Z905" s="2867"/>
      <c r="AA905" s="2867"/>
      <c r="AB905" s="2867"/>
      <c r="AC905" s="2867"/>
      <c r="AD905" s="2867"/>
      <c r="AE905" s="2867"/>
      <c r="AF905" s="2867"/>
      <c r="AG905" s="2867"/>
      <c r="AH905" s="2867"/>
      <c r="AI905" s="2867"/>
      <c r="AJ905" s="2867"/>
      <c r="AK905" s="2867"/>
      <c r="AL905" s="2867"/>
      <c r="AM905" s="2867"/>
      <c r="AN905" s="2867"/>
      <c r="AO905" s="2867"/>
      <c r="AP905" s="2867"/>
      <c r="AQ905" s="2867"/>
      <c r="AR905" s="2867"/>
      <c r="AS905" s="2867"/>
      <c r="AT905" s="2867"/>
      <c r="AU905" s="2867"/>
      <c r="AV905" s="2867"/>
      <c r="AW905" s="2867"/>
      <c r="AX905" s="2867"/>
      <c r="AY905" s="2867"/>
      <c r="AZ905" s="2867"/>
      <c r="BA905" s="2867"/>
      <c r="BB905" s="2867"/>
      <c r="BC905" s="2867"/>
      <c r="BD905" s="2867"/>
      <c r="BE905" s="2867"/>
      <c r="BF905" s="2867"/>
      <c r="BG905" s="2867"/>
      <c r="BH905" s="2867"/>
      <c r="BI905" s="2867"/>
      <c r="BJ905" s="2867"/>
      <c r="BK905" s="2867"/>
      <c r="BL905" s="2867"/>
      <c r="BM905" s="2867"/>
      <c r="BN905" s="2867"/>
      <c r="BO905" s="2867"/>
      <c r="BP905" s="2867"/>
      <c r="BQ905" s="2867"/>
      <c r="BR905" s="2867"/>
      <c r="BS905" s="2867"/>
      <c r="BT905" s="2867"/>
      <c r="BU905" s="2867"/>
      <c r="BV905" s="2867"/>
      <c r="BW905" s="2867"/>
      <c r="BX905" s="2867"/>
      <c r="BY905" s="2867"/>
      <c r="BZ905" s="2867"/>
      <c r="CA905" s="2867"/>
      <c r="CB905" s="2867"/>
      <c r="CC905" s="2867"/>
      <c r="CD905" s="2867"/>
      <c r="CE905" s="2867"/>
      <c r="CF905" s="2867"/>
      <c r="CG905" s="2867"/>
      <c r="CH905" s="2867"/>
      <c r="CI905" s="2867"/>
      <c r="CJ905" s="2867"/>
      <c r="CK905" s="2867"/>
      <c r="CL905" s="2867"/>
      <c r="CM905" s="2867"/>
      <c r="CN905" s="2867"/>
      <c r="CO905" s="2867"/>
      <c r="CP905" s="2867"/>
      <c r="CQ905" s="2867"/>
      <c r="CR905" s="2867"/>
      <c r="CS905" s="2867"/>
      <c r="CT905" s="2867"/>
      <c r="CU905" s="2867"/>
      <c r="CV905" s="2867"/>
      <c r="CW905" s="2867"/>
    </row>
    <row r="906" spans="1:101">
      <c r="A906" s="2867"/>
      <c r="B906" s="2867"/>
      <c r="C906" s="2867"/>
      <c r="D906" s="2867"/>
      <c r="E906" s="2867"/>
      <c r="F906" s="2867"/>
      <c r="G906" s="2867"/>
      <c r="H906" s="2867"/>
      <c r="I906" s="2867"/>
      <c r="J906" s="2867"/>
      <c r="K906" s="2867"/>
      <c r="L906" s="2867"/>
      <c r="M906" s="2867"/>
      <c r="O906" s="2867"/>
      <c r="P906" s="2867"/>
      <c r="Q906" s="2867"/>
      <c r="R906" s="2867"/>
      <c r="S906" s="2867"/>
      <c r="T906" s="2867"/>
      <c r="U906" s="2867"/>
      <c r="V906" s="2867"/>
      <c r="W906" s="2867"/>
      <c r="X906" s="2867"/>
      <c r="Y906" s="2867"/>
      <c r="Z906" s="2867"/>
      <c r="AA906" s="2867"/>
      <c r="AB906" s="2867"/>
      <c r="AC906" s="2867"/>
      <c r="AD906" s="2867"/>
      <c r="AE906" s="2867"/>
      <c r="AF906" s="2867"/>
      <c r="AG906" s="2867"/>
      <c r="AH906" s="2867"/>
      <c r="AI906" s="2867"/>
      <c r="AJ906" s="2867"/>
      <c r="AK906" s="2867"/>
      <c r="AL906" s="2867"/>
      <c r="AM906" s="2867"/>
      <c r="AN906" s="2867"/>
      <c r="AO906" s="2867"/>
      <c r="AP906" s="2867"/>
      <c r="AQ906" s="2867"/>
      <c r="AR906" s="2867"/>
      <c r="AS906" s="2867"/>
      <c r="AT906" s="2867"/>
      <c r="AU906" s="2867"/>
      <c r="AV906" s="2867"/>
      <c r="AW906" s="2867"/>
      <c r="AX906" s="2867"/>
      <c r="AY906" s="2867"/>
      <c r="AZ906" s="2867"/>
      <c r="BA906" s="2867"/>
      <c r="BB906" s="2867"/>
      <c r="BC906" s="2867"/>
      <c r="BD906" s="2867"/>
      <c r="BE906" s="2867"/>
      <c r="BF906" s="2867"/>
      <c r="BG906" s="2867"/>
      <c r="BH906" s="2867"/>
      <c r="BI906" s="2867"/>
      <c r="BJ906" s="2867"/>
      <c r="BK906" s="2867"/>
      <c r="BL906" s="2867"/>
      <c r="BM906" s="2867"/>
      <c r="BN906" s="2867"/>
      <c r="BO906" s="2867"/>
      <c r="BP906" s="2867"/>
      <c r="BQ906" s="2867"/>
      <c r="BR906" s="2867"/>
      <c r="BS906" s="2867"/>
      <c r="BT906" s="2867"/>
      <c r="BU906" s="2867"/>
      <c r="BV906" s="2867"/>
      <c r="BW906" s="2867"/>
      <c r="BX906" s="2867"/>
      <c r="BY906" s="2867"/>
      <c r="BZ906" s="2867"/>
      <c r="CA906" s="2867"/>
      <c r="CB906" s="2867"/>
      <c r="CC906" s="2867"/>
      <c r="CD906" s="2867"/>
      <c r="CE906" s="2867"/>
      <c r="CF906" s="2867"/>
      <c r="CG906" s="2867"/>
      <c r="CH906" s="2867"/>
      <c r="CI906" s="2867"/>
      <c r="CJ906" s="2867"/>
      <c r="CK906" s="2867"/>
      <c r="CL906" s="2867"/>
      <c r="CM906" s="2867"/>
      <c r="CN906" s="2867"/>
      <c r="CO906" s="2867"/>
      <c r="CP906" s="2867"/>
      <c r="CQ906" s="2867"/>
      <c r="CR906" s="2867"/>
      <c r="CS906" s="2867"/>
      <c r="CT906" s="2867"/>
      <c r="CU906" s="2867"/>
      <c r="CV906" s="2867"/>
      <c r="CW906" s="2867"/>
    </row>
    <row r="907" spans="1:101">
      <c r="A907" s="2867"/>
      <c r="B907" s="2867"/>
      <c r="C907" s="2867"/>
      <c r="D907" s="2867"/>
      <c r="E907" s="2867"/>
      <c r="F907" s="2867"/>
      <c r="G907" s="2867"/>
      <c r="H907" s="2867"/>
      <c r="I907" s="2867"/>
      <c r="J907" s="2867"/>
      <c r="K907" s="2867"/>
      <c r="L907" s="2867"/>
      <c r="M907" s="2867"/>
      <c r="O907" s="2867"/>
      <c r="P907" s="2867"/>
      <c r="Q907" s="2867"/>
      <c r="R907" s="2867"/>
      <c r="S907" s="2867"/>
      <c r="T907" s="2867"/>
      <c r="U907" s="2867"/>
      <c r="V907" s="2867"/>
      <c r="W907" s="2867"/>
      <c r="X907" s="2867"/>
      <c r="Y907" s="2867"/>
      <c r="Z907" s="2867"/>
      <c r="AA907" s="2867"/>
      <c r="AB907" s="2867"/>
      <c r="AC907" s="2867"/>
      <c r="AD907" s="2867"/>
      <c r="AE907" s="2867"/>
      <c r="AF907" s="2867"/>
      <c r="AG907" s="2867"/>
      <c r="AH907" s="2867"/>
      <c r="AI907" s="2867"/>
      <c r="AJ907" s="2867"/>
      <c r="AK907" s="2867"/>
      <c r="AL907" s="2867"/>
      <c r="AM907" s="2867"/>
      <c r="AN907" s="2867"/>
      <c r="AO907" s="2867"/>
      <c r="AP907" s="2867"/>
      <c r="AQ907" s="2867"/>
      <c r="AR907" s="2867"/>
      <c r="AS907" s="2867"/>
      <c r="AT907" s="2867"/>
      <c r="AU907" s="2867"/>
      <c r="AV907" s="2867"/>
      <c r="AW907" s="2867"/>
      <c r="AX907" s="2867"/>
      <c r="AY907" s="2867"/>
      <c r="AZ907" s="2867"/>
      <c r="BA907" s="2867"/>
      <c r="BB907" s="2867"/>
      <c r="BC907" s="2867"/>
      <c r="BD907" s="2867"/>
      <c r="BE907" s="2867"/>
      <c r="BF907" s="2867"/>
      <c r="BG907" s="2867"/>
      <c r="BH907" s="2867"/>
      <c r="BI907" s="2867"/>
      <c r="BJ907" s="2867"/>
      <c r="BK907" s="2867"/>
      <c r="BL907" s="2867"/>
      <c r="BM907" s="2867"/>
      <c r="BN907" s="2867"/>
      <c r="BO907" s="2867"/>
      <c r="BP907" s="2867"/>
      <c r="BQ907" s="2867"/>
      <c r="BR907" s="2867"/>
      <c r="BS907" s="2867"/>
      <c r="BT907" s="2867"/>
      <c r="BU907" s="2867"/>
      <c r="BV907" s="2867"/>
      <c r="BW907" s="2867"/>
      <c r="BX907" s="2867"/>
      <c r="BY907" s="2867"/>
      <c r="BZ907" s="2867"/>
      <c r="CA907" s="2867"/>
      <c r="CB907" s="2867"/>
      <c r="CC907" s="2867"/>
      <c r="CD907" s="2867"/>
      <c r="CE907" s="2867"/>
      <c r="CF907" s="2867"/>
      <c r="CG907" s="2867"/>
      <c r="CH907" s="2867"/>
      <c r="CI907" s="2867"/>
      <c r="CJ907" s="2867"/>
      <c r="CK907" s="2867"/>
      <c r="CL907" s="2867"/>
      <c r="CM907" s="2867"/>
      <c r="CN907" s="2867"/>
      <c r="CO907" s="2867"/>
      <c r="CP907" s="2867"/>
      <c r="CQ907" s="2867"/>
      <c r="CR907" s="2867"/>
      <c r="CS907" s="2867"/>
      <c r="CT907" s="2867"/>
      <c r="CU907" s="2867"/>
      <c r="CV907" s="2867"/>
      <c r="CW907" s="2867"/>
    </row>
    <row r="908" spans="1:101">
      <c r="A908" s="2867"/>
      <c r="B908" s="2867"/>
      <c r="C908" s="2867"/>
      <c r="D908" s="2867"/>
      <c r="E908" s="2867"/>
      <c r="F908" s="2867"/>
      <c r="G908" s="2867"/>
      <c r="H908" s="2867"/>
      <c r="I908" s="2867"/>
      <c r="J908" s="2867"/>
      <c r="K908" s="2867"/>
      <c r="L908" s="2867"/>
      <c r="M908" s="2867"/>
      <c r="O908" s="2867"/>
      <c r="P908" s="2867"/>
      <c r="Q908" s="2867"/>
      <c r="R908" s="2867"/>
      <c r="S908" s="2867"/>
      <c r="T908" s="2867"/>
      <c r="U908" s="2867"/>
      <c r="V908" s="2867"/>
      <c r="W908" s="2867"/>
      <c r="X908" s="2867"/>
      <c r="Y908" s="2867"/>
      <c r="Z908" s="2867"/>
      <c r="AA908" s="2867"/>
      <c r="AB908" s="2867"/>
      <c r="AC908" s="2867"/>
      <c r="AD908" s="2867"/>
      <c r="AE908" s="2867"/>
      <c r="AF908" s="2867"/>
      <c r="AG908" s="2867"/>
      <c r="AH908" s="2867"/>
      <c r="AI908" s="2867"/>
      <c r="AJ908" s="2867"/>
      <c r="AK908" s="2867"/>
      <c r="AL908" s="2867"/>
      <c r="AM908" s="2867"/>
      <c r="AN908" s="2867"/>
      <c r="AO908" s="2867"/>
      <c r="AP908" s="2867"/>
      <c r="AQ908" s="2867"/>
      <c r="AR908" s="2867"/>
      <c r="AS908" s="2867"/>
      <c r="AT908" s="2867"/>
      <c r="AU908" s="2867"/>
      <c r="AV908" s="2867"/>
      <c r="AW908" s="2867"/>
      <c r="AX908" s="2867"/>
      <c r="AY908" s="2867"/>
      <c r="AZ908" s="2867"/>
      <c r="BA908" s="2867"/>
      <c r="BB908" s="2867"/>
      <c r="BC908" s="2867"/>
      <c r="BD908" s="2867"/>
      <c r="BE908" s="2867"/>
      <c r="BF908" s="2867"/>
      <c r="BG908" s="2867"/>
      <c r="BH908" s="2867"/>
      <c r="BI908" s="2867"/>
      <c r="BJ908" s="2867"/>
      <c r="BK908" s="2867"/>
      <c r="BL908" s="2867"/>
      <c r="BM908" s="2867"/>
      <c r="BN908" s="2867"/>
      <c r="BO908" s="2867"/>
      <c r="BP908" s="2867"/>
      <c r="BQ908" s="2867"/>
      <c r="BR908" s="2867"/>
      <c r="BS908" s="2867"/>
      <c r="BT908" s="2867"/>
      <c r="BU908" s="2867"/>
      <c r="BV908" s="2867"/>
      <c r="BW908" s="2867"/>
      <c r="BX908" s="2867"/>
      <c r="BY908" s="2867"/>
      <c r="BZ908" s="2867"/>
      <c r="CA908" s="2867"/>
      <c r="CB908" s="2867"/>
      <c r="CC908" s="2867"/>
      <c r="CD908" s="2867"/>
      <c r="CE908" s="2867"/>
      <c r="CF908" s="2867"/>
      <c r="CG908" s="2867"/>
      <c r="CH908" s="2867"/>
      <c r="CI908" s="2867"/>
      <c r="CJ908" s="2867"/>
      <c r="CK908" s="2867"/>
      <c r="CL908" s="2867"/>
      <c r="CM908" s="2867"/>
      <c r="CN908" s="2867"/>
      <c r="CO908" s="2867"/>
      <c r="CP908" s="2867"/>
      <c r="CQ908" s="2867"/>
      <c r="CR908" s="2867"/>
      <c r="CS908" s="2867"/>
      <c r="CT908" s="2867"/>
      <c r="CU908" s="2867"/>
      <c r="CV908" s="2867"/>
      <c r="CW908" s="2867"/>
    </row>
    <row r="909" spans="1:101">
      <c r="A909" s="2867"/>
      <c r="B909" s="2867"/>
      <c r="C909" s="2867"/>
      <c r="D909" s="2867"/>
      <c r="E909" s="2867"/>
      <c r="F909" s="2867"/>
      <c r="G909" s="2867"/>
      <c r="H909" s="2867"/>
      <c r="I909" s="2867"/>
      <c r="J909" s="2867"/>
      <c r="K909" s="2867"/>
      <c r="L909" s="2867"/>
      <c r="M909" s="2867"/>
      <c r="O909" s="2867"/>
      <c r="P909" s="2867"/>
      <c r="Q909" s="2867"/>
      <c r="R909" s="2867"/>
      <c r="S909" s="2867"/>
      <c r="T909" s="2867"/>
      <c r="U909" s="2867"/>
      <c r="V909" s="2867"/>
      <c r="W909" s="2867"/>
      <c r="X909" s="2867"/>
      <c r="Y909" s="2867"/>
      <c r="Z909" s="2867"/>
      <c r="AA909" s="2867"/>
      <c r="AB909" s="2867"/>
      <c r="AC909" s="2867"/>
      <c r="AD909" s="2867"/>
      <c r="AE909" s="2867"/>
      <c r="AF909" s="2867"/>
      <c r="AG909" s="2867"/>
      <c r="AH909" s="2867"/>
      <c r="AI909" s="2867"/>
      <c r="AJ909" s="2867"/>
      <c r="AK909" s="2867"/>
      <c r="AL909" s="2867"/>
      <c r="AM909" s="2867"/>
      <c r="AN909" s="2867"/>
      <c r="AO909" s="2867"/>
      <c r="AP909" s="2867"/>
      <c r="AQ909" s="2867"/>
      <c r="AR909" s="2867"/>
      <c r="AS909" s="2867"/>
      <c r="AT909" s="2867"/>
      <c r="AU909" s="2867"/>
      <c r="AV909" s="2867"/>
      <c r="AW909" s="2867"/>
      <c r="AX909" s="2867"/>
      <c r="AY909" s="2867"/>
      <c r="AZ909" s="2867"/>
      <c r="BA909" s="2867"/>
      <c r="BB909" s="2867"/>
      <c r="BC909" s="2867"/>
      <c r="BD909" s="2867"/>
      <c r="BE909" s="2867"/>
      <c r="BF909" s="2867"/>
      <c r="BG909" s="2867"/>
      <c r="BH909" s="2867"/>
      <c r="BI909" s="2867"/>
      <c r="BJ909" s="2867"/>
      <c r="BK909" s="2867"/>
      <c r="BL909" s="2867"/>
      <c r="BM909" s="2867"/>
      <c r="BN909" s="2867"/>
      <c r="BO909" s="2867"/>
      <c r="BP909" s="2867"/>
      <c r="BQ909" s="2867"/>
      <c r="BR909" s="2867"/>
      <c r="BS909" s="2867"/>
      <c r="BT909" s="2867"/>
      <c r="BU909" s="2867"/>
      <c r="BV909" s="2867"/>
      <c r="BW909" s="2867"/>
      <c r="BX909" s="2867"/>
      <c r="BY909" s="2867"/>
      <c r="BZ909" s="2867"/>
      <c r="CA909" s="2867"/>
      <c r="CB909" s="2867"/>
      <c r="CC909" s="2867"/>
      <c r="CD909" s="2867"/>
      <c r="CE909" s="2867"/>
      <c r="CF909" s="2867"/>
      <c r="CG909" s="2867"/>
      <c r="CH909" s="2867"/>
      <c r="CI909" s="2867"/>
      <c r="CJ909" s="2867"/>
      <c r="CK909" s="2867"/>
      <c r="CL909" s="2867"/>
      <c r="CM909" s="2867"/>
      <c r="CN909" s="2867"/>
      <c r="CO909" s="2867"/>
      <c r="CP909" s="2867"/>
      <c r="CQ909" s="2867"/>
      <c r="CR909" s="2867"/>
      <c r="CS909" s="2867"/>
      <c r="CT909" s="2867"/>
      <c r="CU909" s="2867"/>
      <c r="CV909" s="2867"/>
      <c r="CW909" s="2867"/>
    </row>
    <row r="910" spans="1:101">
      <c r="A910" s="2867"/>
      <c r="B910" s="2867"/>
      <c r="C910" s="2867"/>
      <c r="D910" s="2867"/>
      <c r="E910" s="2867"/>
      <c r="F910" s="2867"/>
      <c r="G910" s="2867"/>
      <c r="H910" s="2867"/>
      <c r="I910" s="2867"/>
      <c r="J910" s="2867"/>
      <c r="K910" s="2867"/>
      <c r="L910" s="2867"/>
      <c r="M910" s="2867"/>
      <c r="O910" s="2867"/>
      <c r="P910" s="2867"/>
      <c r="Q910" s="2867"/>
      <c r="R910" s="2867"/>
      <c r="S910" s="2867"/>
      <c r="T910" s="2867"/>
      <c r="U910" s="2867"/>
      <c r="V910" s="2867"/>
      <c r="W910" s="2867"/>
      <c r="X910" s="2867"/>
      <c r="Y910" s="2867"/>
      <c r="Z910" s="2867"/>
      <c r="AA910" s="2867"/>
      <c r="AB910" s="2867"/>
      <c r="AC910" s="2867"/>
      <c r="AD910" s="2867"/>
      <c r="AE910" s="2867"/>
      <c r="AF910" s="2867"/>
      <c r="AG910" s="2867"/>
      <c r="AH910" s="2867"/>
      <c r="AI910" s="2867"/>
      <c r="AJ910" s="2867"/>
      <c r="AK910" s="2867"/>
      <c r="AL910" s="2867"/>
      <c r="AM910" s="2867"/>
      <c r="AN910" s="2867"/>
      <c r="AO910" s="2867"/>
      <c r="AP910" s="2867"/>
      <c r="AQ910" s="2867"/>
      <c r="AR910" s="2867"/>
      <c r="AS910" s="2867"/>
      <c r="AT910" s="2867"/>
      <c r="AU910" s="2867"/>
      <c r="AV910" s="2867"/>
      <c r="AW910" s="2867"/>
      <c r="AX910" s="2867"/>
      <c r="AY910" s="2867"/>
      <c r="AZ910" s="2867"/>
      <c r="BA910" s="2867"/>
      <c r="BB910" s="2867"/>
      <c r="BC910" s="2867"/>
      <c r="BD910" s="2867"/>
      <c r="BE910" s="2867"/>
      <c r="BF910" s="2867"/>
      <c r="BG910" s="2867"/>
      <c r="BH910" s="2867"/>
      <c r="BI910" s="2867"/>
      <c r="BJ910" s="2867"/>
      <c r="BK910" s="2867"/>
      <c r="BL910" s="2867"/>
      <c r="BM910" s="2867"/>
      <c r="BN910" s="2867"/>
      <c r="BO910" s="2867"/>
      <c r="BP910" s="2867"/>
      <c r="BQ910" s="2867"/>
      <c r="BR910" s="2867"/>
      <c r="BS910" s="2867"/>
      <c r="BT910" s="2867"/>
      <c r="BU910" s="2867"/>
      <c r="BV910" s="2867"/>
      <c r="BW910" s="2867"/>
      <c r="BX910" s="2867"/>
      <c r="BY910" s="2867"/>
      <c r="BZ910" s="2867"/>
      <c r="CA910" s="2867"/>
      <c r="CB910" s="2867"/>
      <c r="CC910" s="2867"/>
      <c r="CD910" s="2867"/>
      <c r="CE910" s="2867"/>
      <c r="CF910" s="2867"/>
      <c r="CG910" s="2867"/>
      <c r="CH910" s="2867"/>
      <c r="CI910" s="2867"/>
      <c r="CJ910" s="2867"/>
      <c r="CK910" s="2867"/>
      <c r="CL910" s="2867"/>
      <c r="CM910" s="2867"/>
      <c r="CN910" s="2867"/>
      <c r="CO910" s="2867"/>
      <c r="CP910" s="2867"/>
      <c r="CQ910" s="2867"/>
      <c r="CR910" s="2867"/>
      <c r="CS910" s="2867"/>
      <c r="CT910" s="2867"/>
      <c r="CU910" s="2867"/>
      <c r="CV910" s="2867"/>
      <c r="CW910" s="2867"/>
    </row>
    <row r="911" spans="1:101">
      <c r="A911" s="2867"/>
      <c r="B911" s="2867"/>
      <c r="C911" s="2867"/>
      <c r="D911" s="2867"/>
      <c r="E911" s="2867"/>
      <c r="F911" s="2867"/>
      <c r="G911" s="2867"/>
      <c r="H911" s="2867"/>
      <c r="I911" s="2867"/>
      <c r="J911" s="2867"/>
      <c r="K911" s="2867"/>
      <c r="L911" s="2867"/>
      <c r="M911" s="2867"/>
      <c r="O911" s="2867"/>
      <c r="P911" s="2867"/>
      <c r="Q911" s="2867"/>
      <c r="R911" s="2867"/>
      <c r="S911" s="2867"/>
      <c r="T911" s="2867"/>
      <c r="U911" s="2867"/>
      <c r="V911" s="2867"/>
      <c r="W911" s="2867"/>
      <c r="X911" s="2867"/>
      <c r="Y911" s="2867"/>
      <c r="Z911" s="2867"/>
      <c r="AA911" s="2867"/>
      <c r="AB911" s="2867"/>
      <c r="AC911" s="2867"/>
      <c r="AD911" s="2867"/>
      <c r="AE911" s="2867"/>
      <c r="AF911" s="2867"/>
      <c r="AG911" s="2867"/>
      <c r="AH911" s="2867"/>
      <c r="AI911" s="2867"/>
      <c r="AJ911" s="2867"/>
      <c r="AK911" s="2867"/>
      <c r="AL911" s="2867"/>
      <c r="AM911" s="2867"/>
      <c r="AN911" s="2867"/>
      <c r="AO911" s="2867"/>
      <c r="AP911" s="2867"/>
      <c r="AQ911" s="2867"/>
      <c r="AR911" s="2867"/>
      <c r="AS911" s="2867"/>
      <c r="AT911" s="2867"/>
      <c r="AU911" s="2867"/>
      <c r="AV911" s="2867"/>
      <c r="AW911" s="2867"/>
      <c r="AX911" s="2867"/>
      <c r="AY911" s="2867"/>
      <c r="AZ911" s="2867"/>
      <c r="BA911" s="2867"/>
      <c r="BB911" s="2867"/>
      <c r="BC911" s="2867"/>
      <c r="BD911" s="2867"/>
      <c r="BE911" s="2867"/>
      <c r="BF911" s="2867"/>
      <c r="BG911" s="2867"/>
      <c r="BH911" s="2867"/>
      <c r="BI911" s="2867"/>
      <c r="BJ911" s="2867"/>
      <c r="BK911" s="2867"/>
      <c r="BL911" s="2867"/>
      <c r="BM911" s="2867"/>
      <c r="BN911" s="2867"/>
      <c r="BO911" s="2867"/>
      <c r="BP911" s="2867"/>
      <c r="BQ911" s="2867"/>
      <c r="BR911" s="2867"/>
      <c r="BS911" s="2867"/>
      <c r="BT911" s="2867"/>
      <c r="BU911" s="2867"/>
      <c r="BV911" s="2867"/>
      <c r="BW911" s="2867"/>
      <c r="BX911" s="2867"/>
      <c r="BY911" s="2867"/>
      <c r="BZ911" s="2867"/>
      <c r="CA911" s="2867"/>
      <c r="CB911" s="2867"/>
      <c r="CC911" s="2867"/>
      <c r="CD911" s="2867"/>
      <c r="CE911" s="2867"/>
      <c r="CF911" s="2867"/>
      <c r="CG911" s="2867"/>
      <c r="CH911" s="2867"/>
      <c r="CI911" s="2867"/>
      <c r="CJ911" s="2867"/>
      <c r="CK911" s="2867"/>
      <c r="CL911" s="2867"/>
      <c r="CM911" s="2867"/>
      <c r="CN911" s="2867"/>
      <c r="CO911" s="2867"/>
      <c r="CP911" s="2867"/>
      <c r="CQ911" s="2867"/>
      <c r="CR911" s="2867"/>
      <c r="CS911" s="2867"/>
      <c r="CT911" s="2867"/>
      <c r="CU911" s="2867"/>
      <c r="CV911" s="2867"/>
      <c r="CW911" s="2867"/>
    </row>
    <row r="912" spans="1:101">
      <c r="A912" s="2867"/>
      <c r="B912" s="2867"/>
      <c r="C912" s="2867"/>
      <c r="D912" s="2867"/>
      <c r="E912" s="2867"/>
      <c r="F912" s="2867"/>
      <c r="G912" s="2867"/>
      <c r="H912" s="2867"/>
      <c r="I912" s="2867"/>
      <c r="J912" s="2867"/>
      <c r="K912" s="2867"/>
      <c r="L912" s="2867"/>
      <c r="M912" s="2867"/>
      <c r="O912" s="2867"/>
      <c r="P912" s="2867"/>
      <c r="Q912" s="2867"/>
      <c r="R912" s="2867"/>
      <c r="S912" s="2867"/>
      <c r="T912" s="2867"/>
      <c r="U912" s="2867"/>
      <c r="V912" s="2867"/>
      <c r="W912" s="2867"/>
      <c r="X912" s="2867"/>
      <c r="Y912" s="2867"/>
      <c r="Z912" s="2867"/>
      <c r="AA912" s="2867"/>
      <c r="AB912" s="2867"/>
      <c r="AC912" s="2867"/>
      <c r="AD912" s="2867"/>
      <c r="AE912" s="2867"/>
      <c r="AF912" s="2867"/>
      <c r="AG912" s="2867"/>
      <c r="AH912" s="2867"/>
      <c r="AI912" s="2867"/>
      <c r="AJ912" s="2867"/>
      <c r="AK912" s="2867"/>
      <c r="AL912" s="2867"/>
      <c r="AM912" s="2867"/>
      <c r="AN912" s="2867"/>
      <c r="AO912" s="2867"/>
      <c r="AP912" s="2867"/>
      <c r="AQ912" s="2867"/>
      <c r="AR912" s="2867"/>
      <c r="AS912" s="2867"/>
      <c r="AT912" s="2867"/>
      <c r="AU912" s="2867"/>
      <c r="AV912" s="2867"/>
      <c r="AW912" s="2867"/>
      <c r="AX912" s="2867"/>
      <c r="AY912" s="2867"/>
      <c r="AZ912" s="2867"/>
      <c r="BA912" s="2867"/>
      <c r="BB912" s="2867"/>
      <c r="BC912" s="2867"/>
      <c r="BD912" s="2867"/>
      <c r="BE912" s="2867"/>
      <c r="BF912" s="2867"/>
      <c r="BG912" s="2867"/>
      <c r="BH912" s="2867"/>
      <c r="BI912" s="2867"/>
      <c r="BJ912" s="2867"/>
      <c r="BK912" s="2867"/>
      <c r="BL912" s="2867"/>
      <c r="BM912" s="2867"/>
      <c r="BN912" s="2867"/>
      <c r="BO912" s="2867"/>
      <c r="BP912" s="2867"/>
      <c r="BQ912" s="2867"/>
      <c r="BR912" s="2867"/>
      <c r="BS912" s="2867"/>
      <c r="BT912" s="2867"/>
      <c r="BU912" s="2867"/>
      <c r="BV912" s="2867"/>
      <c r="BW912" s="2867"/>
      <c r="BX912" s="2867"/>
      <c r="BY912" s="2867"/>
      <c r="BZ912" s="2867"/>
      <c r="CA912" s="2867"/>
      <c r="CB912" s="2867"/>
      <c r="CC912" s="2867"/>
      <c r="CD912" s="2867"/>
      <c r="CE912" s="2867"/>
      <c r="CF912" s="2867"/>
      <c r="CG912" s="2867"/>
      <c r="CH912" s="2867"/>
      <c r="CI912" s="2867"/>
      <c r="CJ912" s="2867"/>
      <c r="CK912" s="2867"/>
      <c r="CL912" s="2867"/>
      <c r="CM912" s="2867"/>
      <c r="CN912" s="2867"/>
      <c r="CO912" s="2867"/>
      <c r="CP912" s="2867"/>
      <c r="CQ912" s="2867"/>
      <c r="CR912" s="2867"/>
      <c r="CS912" s="2867"/>
      <c r="CT912" s="2867"/>
      <c r="CU912" s="2867"/>
      <c r="CV912" s="2867"/>
      <c r="CW912" s="2867"/>
    </row>
    <row r="913" spans="1:101">
      <c r="A913" s="2867"/>
      <c r="B913" s="2867"/>
      <c r="C913" s="2867"/>
      <c r="D913" s="2867"/>
      <c r="E913" s="2867"/>
      <c r="F913" s="2867"/>
      <c r="G913" s="2867"/>
      <c r="H913" s="2867"/>
      <c r="I913" s="2867"/>
      <c r="J913" s="2867"/>
      <c r="K913" s="2867"/>
      <c r="L913" s="2867"/>
      <c r="M913" s="2867"/>
      <c r="O913" s="2867"/>
      <c r="P913" s="2867"/>
      <c r="Q913" s="2867"/>
      <c r="R913" s="2867"/>
      <c r="S913" s="2867"/>
      <c r="T913" s="2867"/>
      <c r="U913" s="2867"/>
      <c r="V913" s="2867"/>
      <c r="W913" s="2867"/>
      <c r="X913" s="2867"/>
      <c r="Y913" s="2867"/>
      <c r="Z913" s="2867"/>
      <c r="AA913" s="2867"/>
      <c r="AB913" s="2867"/>
      <c r="AC913" s="2867"/>
      <c r="AD913" s="2867"/>
      <c r="AE913" s="2867"/>
      <c r="AF913" s="2867"/>
      <c r="AG913" s="2867"/>
      <c r="AH913" s="2867"/>
      <c r="AI913" s="2867"/>
      <c r="AJ913" s="2867"/>
      <c r="AK913" s="2867"/>
      <c r="AL913" s="2867"/>
      <c r="AM913" s="2867"/>
      <c r="AN913" s="2867"/>
      <c r="AO913" s="2867"/>
      <c r="AP913" s="2867"/>
      <c r="AQ913" s="2867"/>
      <c r="AR913" s="2867"/>
      <c r="AS913" s="2867"/>
      <c r="AT913" s="2867"/>
      <c r="AU913" s="2867"/>
      <c r="AV913" s="2867"/>
      <c r="AW913" s="2867"/>
      <c r="AX913" s="2867"/>
      <c r="AY913" s="2867"/>
      <c r="AZ913" s="2867"/>
      <c r="BA913" s="2867"/>
      <c r="BB913" s="2867"/>
      <c r="BC913" s="2867"/>
      <c r="BD913" s="2867"/>
      <c r="BE913" s="2867"/>
      <c r="BF913" s="2867"/>
      <c r="BG913" s="2867"/>
      <c r="BH913" s="2867"/>
      <c r="BI913" s="2867"/>
      <c r="BJ913" s="2867"/>
      <c r="BK913" s="2867"/>
      <c r="BL913" s="2867"/>
      <c r="BM913" s="2867"/>
      <c r="BN913" s="2867"/>
      <c r="BO913" s="2867"/>
      <c r="BP913" s="2867"/>
      <c r="BQ913" s="2867"/>
      <c r="BR913" s="2867"/>
      <c r="BS913" s="2867"/>
      <c r="BT913" s="2867"/>
      <c r="BU913" s="2867"/>
      <c r="BV913" s="2867"/>
      <c r="BW913" s="2867"/>
      <c r="BX913" s="2867"/>
      <c r="BY913" s="2867"/>
      <c r="BZ913" s="2867"/>
      <c r="CA913" s="2867"/>
      <c r="CB913" s="2867"/>
      <c r="CC913" s="2867"/>
      <c r="CD913" s="2867"/>
      <c r="CE913" s="2867"/>
      <c r="CF913" s="2867"/>
      <c r="CG913" s="2867"/>
      <c r="CH913" s="2867"/>
      <c r="CI913" s="2867"/>
      <c r="CJ913" s="2867"/>
      <c r="CK913" s="2867"/>
      <c r="CL913" s="2867"/>
      <c r="CM913" s="2867"/>
      <c r="CN913" s="2867"/>
      <c r="CO913" s="2867"/>
      <c r="CP913" s="2867"/>
      <c r="CQ913" s="2867"/>
      <c r="CR913" s="2867"/>
      <c r="CS913" s="2867"/>
      <c r="CT913" s="2867"/>
      <c r="CU913" s="2867"/>
      <c r="CV913" s="2867"/>
      <c r="CW913" s="2867"/>
    </row>
    <row r="914" spans="1:101">
      <c r="A914" s="2867"/>
      <c r="B914" s="2867"/>
      <c r="C914" s="2867"/>
      <c r="D914" s="2867"/>
      <c r="E914" s="2867"/>
      <c r="F914" s="2867"/>
      <c r="G914" s="2867"/>
      <c r="H914" s="2867"/>
      <c r="I914" s="2867"/>
      <c r="J914" s="2867"/>
      <c r="K914" s="2867"/>
      <c r="L914" s="2867"/>
      <c r="M914" s="2867"/>
      <c r="O914" s="2867"/>
      <c r="P914" s="2867"/>
      <c r="Q914" s="2867"/>
      <c r="R914" s="2867"/>
      <c r="S914" s="2867"/>
      <c r="T914" s="2867"/>
      <c r="U914" s="2867"/>
      <c r="V914" s="2867"/>
      <c r="W914" s="2867"/>
      <c r="X914" s="2867"/>
      <c r="Y914" s="2867"/>
      <c r="Z914" s="2867"/>
      <c r="AA914" s="2867"/>
      <c r="AB914" s="2867"/>
      <c r="AC914" s="2867"/>
      <c r="AD914" s="2867"/>
      <c r="AE914" s="2867"/>
      <c r="AF914" s="2867"/>
      <c r="AG914" s="2867"/>
      <c r="AH914" s="2867"/>
      <c r="AI914" s="2867"/>
      <c r="AJ914" s="2867"/>
      <c r="AK914" s="2867"/>
      <c r="AL914" s="2867"/>
      <c r="AM914" s="2867"/>
      <c r="AN914" s="2867"/>
      <c r="AO914" s="2867"/>
      <c r="AP914" s="2867"/>
      <c r="AQ914" s="2867"/>
      <c r="AR914" s="2867"/>
      <c r="AS914" s="2867"/>
      <c r="AT914" s="2867"/>
      <c r="AU914" s="2867"/>
      <c r="AV914" s="2867"/>
      <c r="AW914" s="2867"/>
      <c r="AX914" s="2867"/>
      <c r="AY914" s="2867"/>
      <c r="AZ914" s="2867"/>
      <c r="BA914" s="2867"/>
      <c r="BB914" s="2867"/>
      <c r="BC914" s="2867"/>
      <c r="BD914" s="2867"/>
      <c r="BE914" s="2867"/>
      <c r="BF914" s="2867"/>
      <c r="BG914" s="2867"/>
      <c r="BH914" s="2867"/>
      <c r="BI914" s="2867"/>
      <c r="BJ914" s="2867"/>
      <c r="BK914" s="2867"/>
      <c r="BL914" s="2867"/>
      <c r="BM914" s="2867"/>
      <c r="BN914" s="2867"/>
      <c r="BO914" s="2867"/>
      <c r="BP914" s="2867"/>
      <c r="BQ914" s="2867"/>
      <c r="BR914" s="2867"/>
      <c r="BS914" s="2867"/>
      <c r="BT914" s="2867"/>
      <c r="BU914" s="2867"/>
      <c r="BV914" s="2867"/>
      <c r="BW914" s="2867"/>
      <c r="BX914" s="2867"/>
      <c r="BY914" s="2867"/>
      <c r="BZ914" s="2867"/>
      <c r="CA914" s="2867"/>
      <c r="CB914" s="2867"/>
      <c r="CC914" s="2867"/>
      <c r="CD914" s="2867"/>
      <c r="CE914" s="2867"/>
      <c r="CF914" s="2867"/>
      <c r="CG914" s="2867"/>
      <c r="CH914" s="2867"/>
      <c r="CI914" s="2867"/>
      <c r="CJ914" s="2867"/>
      <c r="CK914" s="2867"/>
      <c r="CL914" s="2867"/>
      <c r="CM914" s="2867"/>
      <c r="CN914" s="2867"/>
      <c r="CO914" s="2867"/>
      <c r="CP914" s="2867"/>
      <c r="CQ914" s="2867"/>
      <c r="CR914" s="2867"/>
      <c r="CS914" s="2867"/>
      <c r="CT914" s="2867"/>
      <c r="CU914" s="2867"/>
      <c r="CV914" s="2867"/>
      <c r="CW914" s="2867"/>
    </row>
    <row r="915" spans="1:101">
      <c r="A915" s="2867"/>
      <c r="B915" s="2867"/>
      <c r="C915" s="2867"/>
      <c r="D915" s="2867"/>
      <c r="E915" s="2867"/>
      <c r="F915" s="2867"/>
      <c r="G915" s="2867"/>
      <c r="H915" s="2867"/>
      <c r="I915" s="2867"/>
      <c r="J915" s="2867"/>
      <c r="K915" s="2867"/>
      <c r="L915" s="2867"/>
      <c r="M915" s="2867"/>
      <c r="O915" s="2867"/>
      <c r="P915" s="2867"/>
      <c r="Q915" s="2867"/>
      <c r="R915" s="2867"/>
      <c r="S915" s="2867"/>
      <c r="T915" s="2867"/>
      <c r="U915" s="2867"/>
      <c r="V915" s="2867"/>
      <c r="W915" s="2867"/>
      <c r="X915" s="2867"/>
      <c r="Y915" s="2867"/>
      <c r="Z915" s="2867"/>
      <c r="AA915" s="2867"/>
      <c r="AB915" s="2867"/>
      <c r="AC915" s="2867"/>
      <c r="AD915" s="2867"/>
      <c r="AE915" s="2867"/>
      <c r="AF915" s="2867"/>
      <c r="AG915" s="2867"/>
      <c r="AH915" s="2867"/>
      <c r="AI915" s="2867"/>
      <c r="AJ915" s="2867"/>
      <c r="AK915" s="2867"/>
      <c r="AL915" s="2867"/>
      <c r="AM915" s="2867"/>
      <c r="AN915" s="2867"/>
      <c r="AO915" s="2867"/>
      <c r="AP915" s="2867"/>
      <c r="AQ915" s="2867"/>
      <c r="AR915" s="2867"/>
      <c r="AS915" s="2867"/>
      <c r="AT915" s="2867"/>
      <c r="AU915" s="2867"/>
      <c r="AV915" s="2867"/>
      <c r="AW915" s="2867"/>
      <c r="AX915" s="2867"/>
      <c r="AY915" s="2867"/>
      <c r="AZ915" s="2867"/>
      <c r="BA915" s="2867"/>
      <c r="BB915" s="2867"/>
      <c r="BC915" s="2867"/>
      <c r="BD915" s="2867"/>
      <c r="BE915" s="2867"/>
      <c r="BF915" s="2867"/>
      <c r="BG915" s="2867"/>
      <c r="BH915" s="2867"/>
      <c r="BI915" s="2867"/>
      <c r="BJ915" s="2867"/>
      <c r="BK915" s="2867"/>
      <c r="BL915" s="2867"/>
      <c r="BM915" s="2867"/>
      <c r="BN915" s="2867"/>
      <c r="BO915" s="2867"/>
      <c r="BP915" s="2867"/>
      <c r="BQ915" s="2867"/>
      <c r="BR915" s="2867"/>
      <c r="BS915" s="2867"/>
      <c r="BT915" s="2867"/>
      <c r="BU915" s="2867"/>
      <c r="BV915" s="2867"/>
      <c r="BW915" s="2867"/>
      <c r="BX915" s="2867"/>
      <c r="BY915" s="2867"/>
      <c r="BZ915" s="2867"/>
      <c r="CA915" s="2867"/>
      <c r="CB915" s="2867"/>
      <c r="CC915" s="2867"/>
      <c r="CD915" s="2867"/>
      <c r="CE915" s="2867"/>
      <c r="CF915" s="2867"/>
      <c r="CG915" s="2867"/>
      <c r="CH915" s="2867"/>
      <c r="CI915" s="2867"/>
      <c r="CJ915" s="2867"/>
      <c r="CK915" s="2867"/>
      <c r="CL915" s="2867"/>
      <c r="CM915" s="2867"/>
      <c r="CN915" s="2867"/>
      <c r="CO915" s="2867"/>
      <c r="CP915" s="2867"/>
      <c r="CQ915" s="2867"/>
      <c r="CR915" s="2867"/>
      <c r="CS915" s="2867"/>
      <c r="CT915" s="2867"/>
      <c r="CU915" s="2867"/>
      <c r="CV915" s="2867"/>
      <c r="CW915" s="2867"/>
    </row>
    <row r="916" spans="1:101">
      <c r="A916" s="2867"/>
      <c r="B916" s="2867"/>
      <c r="C916" s="2867"/>
      <c r="D916" s="2867"/>
      <c r="E916" s="2867"/>
      <c r="F916" s="2867"/>
      <c r="G916" s="2867"/>
      <c r="H916" s="2867"/>
      <c r="I916" s="2867"/>
      <c r="J916" s="2867"/>
      <c r="K916" s="2867"/>
      <c r="L916" s="2867"/>
      <c r="M916" s="2867"/>
      <c r="O916" s="2867"/>
      <c r="P916" s="2867"/>
      <c r="Q916" s="2867"/>
      <c r="R916" s="2867"/>
      <c r="S916" s="2867"/>
      <c r="T916" s="2867"/>
      <c r="U916" s="2867"/>
      <c r="V916" s="2867"/>
      <c r="W916" s="2867"/>
      <c r="X916" s="2867"/>
      <c r="Y916" s="2867"/>
      <c r="Z916" s="2867"/>
      <c r="AA916" s="2867"/>
      <c r="AB916" s="2867"/>
      <c r="AC916" s="2867"/>
      <c r="AD916" s="2867"/>
      <c r="AE916" s="2867"/>
      <c r="AF916" s="2867"/>
      <c r="AG916" s="2867"/>
      <c r="AH916" s="2867"/>
      <c r="AI916" s="2867"/>
      <c r="AJ916" s="2867"/>
      <c r="AK916" s="2867"/>
      <c r="AL916" s="2867"/>
      <c r="AM916" s="2867"/>
      <c r="AN916" s="2867"/>
      <c r="AO916" s="2867"/>
      <c r="AP916" s="2867"/>
      <c r="AQ916" s="2867"/>
      <c r="AR916" s="2867"/>
      <c r="AS916" s="2867"/>
      <c r="AT916" s="2867"/>
      <c r="AU916" s="2867"/>
      <c r="AV916" s="2867"/>
      <c r="AW916" s="2867"/>
      <c r="AX916" s="2867"/>
      <c r="AY916" s="2867"/>
      <c r="AZ916" s="2867"/>
      <c r="BA916" s="2867"/>
      <c r="BB916" s="2867"/>
      <c r="BC916" s="2867"/>
      <c r="BD916" s="2867"/>
      <c r="BE916" s="2867"/>
      <c r="BF916" s="2867"/>
      <c r="BG916" s="2867"/>
      <c r="BH916" s="2867"/>
      <c r="BI916" s="2867"/>
      <c r="BJ916" s="2867"/>
      <c r="BK916" s="2867"/>
      <c r="BL916" s="2867"/>
      <c r="BM916" s="2867"/>
      <c r="BN916" s="2867"/>
      <c r="BO916" s="2867"/>
      <c r="BP916" s="2867"/>
      <c r="BQ916" s="2867"/>
      <c r="BR916" s="2867"/>
      <c r="BS916" s="2867"/>
      <c r="BT916" s="2867"/>
      <c r="BU916" s="2867"/>
      <c r="BV916" s="2867"/>
      <c r="BW916" s="2867"/>
      <c r="BX916" s="2867"/>
      <c r="BY916" s="2867"/>
      <c r="BZ916" s="2867"/>
      <c r="CA916" s="2867"/>
      <c r="CB916" s="2867"/>
      <c r="CC916" s="2867"/>
      <c r="CD916" s="2867"/>
      <c r="CE916" s="2867"/>
      <c r="CF916" s="2867"/>
      <c r="CG916" s="2867"/>
      <c r="CH916" s="2867"/>
      <c r="CI916" s="2867"/>
      <c r="CJ916" s="2867"/>
      <c r="CK916" s="2867"/>
      <c r="CL916" s="2867"/>
      <c r="CM916" s="2867"/>
      <c r="CN916" s="2867"/>
      <c r="CO916" s="2867"/>
      <c r="CP916" s="2867"/>
      <c r="CQ916" s="2867"/>
      <c r="CR916" s="2867"/>
      <c r="CS916" s="2867"/>
      <c r="CT916" s="2867"/>
      <c r="CU916" s="2867"/>
      <c r="CV916" s="2867"/>
      <c r="CW916" s="2867"/>
    </row>
    <row r="917" spans="1:101">
      <c r="A917" s="2867"/>
      <c r="B917" s="2867"/>
      <c r="C917" s="2867"/>
      <c r="D917" s="2867"/>
      <c r="E917" s="2867"/>
      <c r="F917" s="2867"/>
      <c r="G917" s="2867"/>
      <c r="H917" s="2867"/>
      <c r="I917" s="2867"/>
      <c r="J917" s="2867"/>
      <c r="K917" s="2867"/>
      <c r="L917" s="2867"/>
      <c r="M917" s="2867"/>
      <c r="O917" s="2867"/>
      <c r="P917" s="2867"/>
      <c r="Q917" s="2867"/>
      <c r="R917" s="2867"/>
      <c r="S917" s="2867"/>
      <c r="T917" s="2867"/>
      <c r="U917" s="2867"/>
      <c r="V917" s="2867"/>
      <c r="W917" s="2867"/>
      <c r="X917" s="2867"/>
      <c r="Y917" s="2867"/>
      <c r="Z917" s="2867"/>
      <c r="AA917" s="2867"/>
      <c r="AB917" s="2867"/>
      <c r="AC917" s="2867"/>
      <c r="AD917" s="2867"/>
      <c r="AE917" s="2867"/>
      <c r="AF917" s="2867"/>
      <c r="AG917" s="2867"/>
      <c r="AH917" s="2867"/>
      <c r="AI917" s="2867"/>
      <c r="AJ917" s="2867"/>
      <c r="AK917" s="2867"/>
      <c r="AL917" s="2867"/>
      <c r="AM917" s="2867"/>
      <c r="AN917" s="2867"/>
      <c r="AO917" s="2867"/>
      <c r="AP917" s="2867"/>
      <c r="AQ917" s="2867"/>
      <c r="AR917" s="2867"/>
      <c r="AS917" s="2867"/>
      <c r="AT917" s="2867"/>
      <c r="AU917" s="2867"/>
      <c r="AV917" s="2867"/>
      <c r="AW917" s="2867"/>
      <c r="AX917" s="2867"/>
      <c r="AY917" s="2867"/>
      <c r="AZ917" s="2867"/>
      <c r="BA917" s="2867"/>
      <c r="BB917" s="2867"/>
      <c r="BC917" s="2867"/>
      <c r="BD917" s="2867"/>
      <c r="BE917" s="2867"/>
      <c r="BF917" s="2867"/>
      <c r="BG917" s="2867"/>
      <c r="BH917" s="2867"/>
      <c r="BI917" s="2867"/>
      <c r="BJ917" s="2867"/>
      <c r="BK917" s="2867"/>
      <c r="BL917" s="2867"/>
      <c r="BM917" s="2867"/>
      <c r="BN917" s="2867"/>
      <c r="BO917" s="2867"/>
      <c r="BP917" s="2867"/>
      <c r="BQ917" s="2867"/>
      <c r="BR917" s="2867"/>
      <c r="BS917" s="2867"/>
      <c r="BT917" s="2867"/>
      <c r="BU917" s="2867"/>
      <c r="BV917" s="2867"/>
      <c r="BW917" s="2867"/>
      <c r="BX917" s="2867"/>
      <c r="BY917" s="2867"/>
      <c r="BZ917" s="2867"/>
      <c r="CA917" s="2867"/>
      <c r="CB917" s="2867"/>
      <c r="CC917" s="2867"/>
      <c r="CD917" s="2867"/>
      <c r="CE917" s="2867"/>
      <c r="CF917" s="2867"/>
      <c r="CG917" s="2867"/>
      <c r="CH917" s="2867"/>
      <c r="CI917" s="2867"/>
      <c r="CJ917" s="2867"/>
      <c r="CK917" s="2867"/>
      <c r="CL917" s="2867"/>
      <c r="CM917" s="2867"/>
      <c r="CN917" s="2867"/>
      <c r="CO917" s="2867"/>
      <c r="CP917" s="2867"/>
      <c r="CQ917" s="2867"/>
      <c r="CR917" s="2867"/>
      <c r="CS917" s="2867"/>
      <c r="CT917" s="2867"/>
      <c r="CU917" s="2867"/>
      <c r="CV917" s="2867"/>
      <c r="CW917" s="2867"/>
    </row>
    <row r="918" spans="1:101">
      <c r="A918" s="2867"/>
      <c r="B918" s="2867"/>
      <c r="C918" s="2867"/>
      <c r="D918" s="2867"/>
      <c r="E918" s="2867"/>
      <c r="F918" s="2867"/>
      <c r="G918" s="2867"/>
      <c r="H918" s="2867"/>
      <c r="I918" s="2867"/>
      <c r="J918" s="2867"/>
      <c r="K918" s="2867"/>
      <c r="L918" s="2867"/>
      <c r="M918" s="2867"/>
      <c r="O918" s="2867"/>
      <c r="P918" s="2867"/>
      <c r="Q918" s="2867"/>
      <c r="R918" s="2867"/>
      <c r="S918" s="2867"/>
      <c r="T918" s="2867"/>
      <c r="U918" s="2867"/>
      <c r="V918" s="2867"/>
      <c r="W918" s="2867"/>
      <c r="X918" s="2867"/>
      <c r="Y918" s="2867"/>
      <c r="Z918" s="2867"/>
      <c r="AA918" s="2867"/>
      <c r="AB918" s="2867"/>
      <c r="AC918" s="2867"/>
      <c r="AD918" s="2867"/>
      <c r="AE918" s="2867"/>
      <c r="AF918" s="2867"/>
      <c r="AG918" s="2867"/>
      <c r="AH918" s="2867"/>
      <c r="AI918" s="2867"/>
      <c r="AJ918" s="2867"/>
      <c r="AK918" s="2867"/>
      <c r="AL918" s="2867"/>
      <c r="AM918" s="2867"/>
      <c r="AN918" s="2867"/>
      <c r="AO918" s="2867"/>
      <c r="AP918" s="2867"/>
      <c r="AQ918" s="2867"/>
      <c r="AR918" s="2867"/>
      <c r="AS918" s="2867"/>
      <c r="AT918" s="2867"/>
      <c r="AU918" s="2867"/>
      <c r="AV918" s="2867"/>
      <c r="AW918" s="2867"/>
      <c r="AX918" s="2867"/>
      <c r="AY918" s="2867"/>
      <c r="AZ918" s="2867"/>
      <c r="BA918" s="2867"/>
      <c r="BB918" s="2867"/>
      <c r="BC918" s="2867"/>
      <c r="BD918" s="2867"/>
      <c r="BE918" s="2867"/>
      <c r="BF918" s="2867"/>
      <c r="BG918" s="2867"/>
      <c r="BH918" s="2867"/>
      <c r="BI918" s="2867"/>
      <c r="BJ918" s="2867"/>
      <c r="BK918" s="2867"/>
      <c r="BL918" s="2867"/>
      <c r="BM918" s="2867"/>
      <c r="BN918" s="2867"/>
      <c r="BO918" s="2867"/>
      <c r="BP918" s="2867"/>
      <c r="BQ918" s="2867"/>
      <c r="BR918" s="2867"/>
      <c r="BS918" s="2867"/>
      <c r="BT918" s="2867"/>
      <c r="BU918" s="2867"/>
      <c r="BV918" s="2867"/>
      <c r="BW918" s="2867"/>
      <c r="BX918" s="2867"/>
      <c r="BY918" s="2867"/>
      <c r="BZ918" s="2867"/>
      <c r="CA918" s="2867"/>
      <c r="CB918" s="2867"/>
      <c r="CC918" s="2867"/>
      <c r="CD918" s="2867"/>
      <c r="CE918" s="2867"/>
      <c r="CF918" s="2867"/>
      <c r="CG918" s="2867"/>
      <c r="CH918" s="2867"/>
      <c r="CI918" s="2867"/>
      <c r="CJ918" s="2867"/>
      <c r="CK918" s="2867"/>
      <c r="CL918" s="2867"/>
      <c r="CM918" s="2867"/>
      <c r="CN918" s="2867"/>
      <c r="CO918" s="2867"/>
      <c r="CP918" s="2867"/>
      <c r="CQ918" s="2867"/>
      <c r="CR918" s="2867"/>
      <c r="CS918" s="2867"/>
      <c r="CT918" s="2867"/>
      <c r="CU918" s="2867"/>
      <c r="CV918" s="2867"/>
      <c r="CW918" s="2867"/>
    </row>
    <row r="919" spans="1:101">
      <c r="A919" s="2867"/>
      <c r="B919" s="2867"/>
      <c r="C919" s="2867"/>
      <c r="D919" s="2867"/>
      <c r="E919" s="2867"/>
      <c r="F919" s="2867"/>
      <c r="G919" s="2867"/>
      <c r="H919" s="2867"/>
      <c r="I919" s="2867"/>
      <c r="J919" s="2867"/>
      <c r="K919" s="2867"/>
      <c r="L919" s="2867"/>
      <c r="M919" s="2867"/>
      <c r="O919" s="2867"/>
      <c r="P919" s="2867"/>
      <c r="Q919" s="2867"/>
      <c r="R919" s="2867"/>
      <c r="S919" s="2867"/>
      <c r="T919" s="2867"/>
      <c r="U919" s="2867"/>
      <c r="V919" s="2867"/>
      <c r="W919" s="2867"/>
      <c r="X919" s="2867"/>
      <c r="Y919" s="2867"/>
      <c r="Z919" s="2867"/>
      <c r="AA919" s="2867"/>
      <c r="AB919" s="2867"/>
      <c r="AC919" s="2867"/>
      <c r="AD919" s="2867"/>
      <c r="AE919" s="2867"/>
      <c r="AF919" s="2867"/>
      <c r="AG919" s="2867"/>
      <c r="AH919" s="2867"/>
      <c r="AI919" s="2867"/>
      <c r="AJ919" s="2867"/>
      <c r="AK919" s="2867"/>
      <c r="AL919" s="2867"/>
      <c r="AM919" s="2867"/>
      <c r="AN919" s="2867"/>
      <c r="AO919" s="2867"/>
      <c r="AP919" s="2867"/>
      <c r="AQ919" s="2867"/>
      <c r="AR919" s="2867"/>
      <c r="AS919" s="2867"/>
      <c r="AT919" s="2867"/>
      <c r="AU919" s="2867"/>
      <c r="AV919" s="2867"/>
      <c r="AW919" s="2867"/>
      <c r="AX919" s="2867"/>
      <c r="AY919" s="2867"/>
      <c r="AZ919" s="2867"/>
      <c r="BA919" s="2867"/>
      <c r="BB919" s="2867"/>
      <c r="BC919" s="2867"/>
      <c r="BD919" s="2867"/>
      <c r="BE919" s="2867"/>
      <c r="BF919" s="2867"/>
      <c r="BG919" s="2867"/>
      <c r="BH919" s="2867"/>
      <c r="BI919" s="2867"/>
      <c r="BJ919" s="2867"/>
      <c r="BK919" s="2867"/>
      <c r="BL919" s="2867"/>
      <c r="BM919" s="2867"/>
      <c r="BN919" s="2867"/>
      <c r="BO919" s="2867"/>
      <c r="BP919" s="2867"/>
      <c r="BQ919" s="2867"/>
      <c r="BR919" s="2867"/>
      <c r="BS919" s="2867"/>
      <c r="BT919" s="2867"/>
      <c r="BU919" s="2867"/>
      <c r="BV919" s="2867"/>
      <c r="BW919" s="2867"/>
      <c r="BX919" s="2867"/>
      <c r="BY919" s="2867"/>
      <c r="BZ919" s="2867"/>
      <c r="CA919" s="2867"/>
      <c r="CB919" s="2867"/>
      <c r="CC919" s="2867"/>
      <c r="CD919" s="2867"/>
      <c r="CE919" s="2867"/>
      <c r="CF919" s="2867"/>
      <c r="CG919" s="2867"/>
      <c r="CH919" s="2867"/>
      <c r="CI919" s="2867"/>
      <c r="CJ919" s="2867"/>
      <c r="CK919" s="2867"/>
      <c r="CL919" s="2867"/>
      <c r="CM919" s="2867"/>
      <c r="CN919" s="2867"/>
      <c r="CO919" s="2867"/>
      <c r="CP919" s="2867"/>
      <c r="CQ919" s="2867"/>
      <c r="CR919" s="2867"/>
      <c r="CS919" s="2867"/>
      <c r="CT919" s="2867"/>
      <c r="CU919" s="2867"/>
      <c r="CV919" s="2867"/>
      <c r="CW919" s="2867"/>
    </row>
    <row r="920" spans="1:101">
      <c r="A920" s="2867"/>
      <c r="B920" s="2867"/>
      <c r="C920" s="2867"/>
      <c r="D920" s="2867"/>
      <c r="E920" s="2867"/>
      <c r="F920" s="2867"/>
      <c r="G920" s="2867"/>
      <c r="H920" s="2867"/>
      <c r="I920" s="2867"/>
      <c r="J920" s="2867"/>
      <c r="K920" s="2867"/>
      <c r="L920" s="2867"/>
      <c r="M920" s="2867"/>
      <c r="O920" s="2867"/>
      <c r="P920" s="2867"/>
      <c r="Q920" s="2867"/>
      <c r="R920" s="2867"/>
      <c r="S920" s="2867"/>
      <c r="T920" s="2867"/>
      <c r="U920" s="2867"/>
      <c r="V920" s="2867"/>
      <c r="W920" s="2867"/>
      <c r="X920" s="2867"/>
      <c r="Y920" s="2867"/>
      <c r="Z920" s="2867"/>
      <c r="AA920" s="2867"/>
      <c r="AB920" s="2867"/>
      <c r="AC920" s="2867"/>
      <c r="AD920" s="2867"/>
      <c r="AE920" s="2867"/>
      <c r="AF920" s="2867"/>
      <c r="AG920" s="2867"/>
      <c r="AH920" s="2867"/>
      <c r="AI920" s="2867"/>
      <c r="AJ920" s="2867"/>
      <c r="AK920" s="2867"/>
      <c r="AL920" s="2867"/>
      <c r="AM920" s="2867"/>
      <c r="AN920" s="2867"/>
      <c r="AO920" s="2867"/>
      <c r="AP920" s="2867"/>
      <c r="AQ920" s="2867"/>
      <c r="AR920" s="2867"/>
      <c r="AS920" s="2867"/>
      <c r="AT920" s="2867"/>
      <c r="AU920" s="2867"/>
      <c r="AV920" s="2867"/>
      <c r="AW920" s="2867"/>
      <c r="AX920" s="2867"/>
      <c r="AY920" s="2867"/>
      <c r="AZ920" s="2867"/>
      <c r="BA920" s="2867"/>
      <c r="BB920" s="2867"/>
      <c r="BC920" s="2867"/>
      <c r="BD920" s="2867"/>
      <c r="BE920" s="2867"/>
      <c r="BF920" s="2867"/>
      <c r="BG920" s="2867"/>
      <c r="BH920" s="2867"/>
      <c r="BI920" s="2867"/>
      <c r="BJ920" s="2867"/>
      <c r="BK920" s="2867"/>
      <c r="BL920" s="2867"/>
      <c r="BM920" s="2867"/>
      <c r="BN920" s="2867"/>
      <c r="BO920" s="2867"/>
      <c r="BP920" s="2867"/>
      <c r="BQ920" s="2867"/>
      <c r="BR920" s="2867"/>
      <c r="BS920" s="2867"/>
      <c r="BT920" s="2867"/>
      <c r="BU920" s="2867"/>
      <c r="BV920" s="2867"/>
      <c r="BW920" s="2867"/>
      <c r="BX920" s="2867"/>
      <c r="BY920" s="2867"/>
      <c r="BZ920" s="2867"/>
      <c r="CA920" s="2867"/>
      <c r="CB920" s="2867"/>
      <c r="CC920" s="2867"/>
      <c r="CD920" s="2867"/>
      <c r="CE920" s="2867"/>
      <c r="CF920" s="2867"/>
      <c r="CG920" s="2867"/>
      <c r="CH920" s="2867"/>
      <c r="CI920" s="2867"/>
      <c r="CJ920" s="2867"/>
      <c r="CK920" s="2867"/>
      <c r="CL920" s="2867"/>
      <c r="CM920" s="2867"/>
      <c r="CN920" s="2867"/>
      <c r="CO920" s="2867"/>
      <c r="CP920" s="2867"/>
      <c r="CQ920" s="2867"/>
      <c r="CR920" s="2867"/>
      <c r="CS920" s="2867"/>
      <c r="CT920" s="2867"/>
      <c r="CU920" s="2867"/>
      <c r="CV920" s="2867"/>
      <c r="CW920" s="2867"/>
    </row>
    <row r="921" spans="1:101">
      <c r="A921" s="2867"/>
      <c r="B921" s="2867"/>
      <c r="C921" s="2867"/>
      <c r="D921" s="2867"/>
      <c r="E921" s="2867"/>
      <c r="F921" s="2867"/>
      <c r="G921" s="2867"/>
      <c r="H921" s="2867"/>
      <c r="I921" s="2867"/>
      <c r="J921" s="2867"/>
      <c r="K921" s="2867"/>
      <c r="L921" s="2867"/>
      <c r="M921" s="2867"/>
      <c r="O921" s="2867"/>
      <c r="P921" s="2867"/>
      <c r="Q921" s="2867"/>
      <c r="R921" s="2867"/>
      <c r="S921" s="2867"/>
      <c r="T921" s="2867"/>
      <c r="U921" s="2867"/>
      <c r="V921" s="2867"/>
      <c r="W921" s="2867"/>
      <c r="X921" s="2867"/>
      <c r="Y921" s="2867"/>
      <c r="Z921" s="2867"/>
      <c r="AA921" s="2867"/>
      <c r="AB921" s="2867"/>
      <c r="AC921" s="2867"/>
      <c r="AD921" s="2867"/>
      <c r="AE921" s="2867"/>
      <c r="AF921" s="2867"/>
      <c r="AG921" s="2867"/>
      <c r="AH921" s="2867"/>
      <c r="AI921" s="2867"/>
      <c r="AJ921" s="2867"/>
      <c r="AK921" s="2867"/>
      <c r="AL921" s="2867"/>
      <c r="AM921" s="2867"/>
      <c r="AN921" s="2867"/>
      <c r="AO921" s="2867"/>
      <c r="AP921" s="2867"/>
      <c r="AQ921" s="2867"/>
      <c r="AR921" s="2867"/>
      <c r="AS921" s="2867"/>
      <c r="AT921" s="2867"/>
      <c r="AU921" s="2867"/>
      <c r="AV921" s="2867"/>
      <c r="AW921" s="2867"/>
      <c r="AX921" s="2867"/>
      <c r="AY921" s="2867"/>
      <c r="AZ921" s="2867"/>
      <c r="BA921" s="2867"/>
      <c r="BB921" s="2867"/>
      <c r="BC921" s="2867"/>
      <c r="BD921" s="2867"/>
      <c r="BE921" s="2867"/>
      <c r="BF921" s="2867"/>
      <c r="BG921" s="2867"/>
      <c r="BH921" s="2867"/>
      <c r="BI921" s="2867"/>
      <c r="BJ921" s="2867"/>
      <c r="BK921" s="2867"/>
      <c r="BL921" s="2867"/>
      <c r="BM921" s="2867"/>
      <c r="BN921" s="2867"/>
      <c r="BO921" s="2867"/>
      <c r="BP921" s="2867"/>
      <c r="BQ921" s="2867"/>
      <c r="BR921" s="2867"/>
      <c r="BS921" s="2867"/>
      <c r="BT921" s="2867"/>
      <c r="BU921" s="2867"/>
      <c r="BV921" s="2867"/>
      <c r="BW921" s="2867"/>
      <c r="BX921" s="2867"/>
      <c r="BY921" s="2867"/>
      <c r="BZ921" s="2867"/>
      <c r="CA921" s="2867"/>
      <c r="CB921" s="2867"/>
      <c r="CC921" s="2867"/>
      <c r="CD921" s="2867"/>
      <c r="CE921" s="2867"/>
      <c r="CF921" s="2867"/>
      <c r="CG921" s="2867"/>
      <c r="CH921" s="2867"/>
      <c r="CI921" s="2867"/>
      <c r="CJ921" s="2867"/>
      <c r="CK921" s="2867"/>
      <c r="CL921" s="2867"/>
      <c r="CM921" s="2867"/>
      <c r="CN921" s="2867"/>
      <c r="CO921" s="2867"/>
      <c r="CP921" s="2867"/>
      <c r="CQ921" s="2867"/>
      <c r="CR921" s="2867"/>
      <c r="CS921" s="2867"/>
      <c r="CT921" s="2867"/>
      <c r="CU921" s="2867"/>
      <c r="CV921" s="2867"/>
      <c r="CW921" s="2867"/>
    </row>
    <row r="922" spans="1:101">
      <c r="A922" s="2867"/>
      <c r="B922" s="2867"/>
      <c r="C922" s="2867"/>
      <c r="D922" s="2867"/>
      <c r="E922" s="2867"/>
      <c r="F922" s="2867"/>
      <c r="G922" s="2867"/>
      <c r="H922" s="2867"/>
      <c r="I922" s="2867"/>
      <c r="J922" s="2867"/>
      <c r="K922" s="2867"/>
      <c r="L922" s="2867"/>
      <c r="M922" s="2867"/>
      <c r="O922" s="2867"/>
      <c r="P922" s="2867"/>
      <c r="Q922" s="2867"/>
      <c r="R922" s="2867"/>
      <c r="S922" s="2867"/>
      <c r="T922" s="2867"/>
      <c r="U922" s="2867"/>
      <c r="V922" s="2867"/>
      <c r="W922" s="2867"/>
      <c r="X922" s="2867"/>
      <c r="Y922" s="2867"/>
      <c r="Z922" s="2867"/>
      <c r="AA922" s="2867"/>
      <c r="AB922" s="2867"/>
      <c r="AC922" s="2867"/>
      <c r="AD922" s="2867"/>
      <c r="AE922" s="2867"/>
      <c r="AF922" s="2867"/>
      <c r="AG922" s="2867"/>
      <c r="AH922" s="2867"/>
      <c r="AI922" s="2867"/>
      <c r="AJ922" s="2867"/>
      <c r="AK922" s="2867"/>
      <c r="AL922" s="2867"/>
      <c r="AM922" s="2867"/>
      <c r="AN922" s="2867"/>
      <c r="AO922" s="2867"/>
      <c r="AP922" s="2867"/>
      <c r="AQ922" s="2867"/>
      <c r="AR922" s="2867"/>
      <c r="AS922" s="2867"/>
      <c r="AT922" s="2867"/>
      <c r="AU922" s="2867"/>
      <c r="AV922" s="2867"/>
      <c r="AW922" s="2867"/>
      <c r="AX922" s="2867"/>
      <c r="AY922" s="2867"/>
      <c r="AZ922" s="2867"/>
      <c r="BA922" s="2867"/>
      <c r="BB922" s="2867"/>
      <c r="BC922" s="2867"/>
      <c r="BD922" s="2867"/>
      <c r="BE922" s="2867"/>
      <c r="BF922" s="2867"/>
      <c r="BG922" s="2867"/>
      <c r="BH922" s="2867"/>
      <c r="BI922" s="2867"/>
      <c r="BJ922" s="2867"/>
      <c r="BK922" s="2867"/>
      <c r="BL922" s="2867"/>
      <c r="BM922" s="2867"/>
      <c r="BN922" s="2867"/>
      <c r="BO922" s="2867"/>
      <c r="BP922" s="2867"/>
      <c r="BQ922" s="2867"/>
      <c r="BR922" s="2867"/>
      <c r="BS922" s="2867"/>
      <c r="BT922" s="2867"/>
      <c r="BU922" s="2867"/>
      <c r="BV922" s="2867"/>
      <c r="BW922" s="2867"/>
      <c r="BX922" s="2867"/>
      <c r="BY922" s="2867"/>
      <c r="BZ922" s="2867"/>
      <c r="CA922" s="2867"/>
      <c r="CB922" s="2867"/>
      <c r="CC922" s="2867"/>
      <c r="CD922" s="2867"/>
      <c r="CE922" s="2867"/>
      <c r="CF922" s="2867"/>
      <c r="CG922" s="2867"/>
      <c r="CH922" s="2867"/>
      <c r="CI922" s="2867"/>
      <c r="CJ922" s="2867"/>
      <c r="CK922" s="2867"/>
      <c r="CL922" s="2867"/>
      <c r="CM922" s="2867"/>
      <c r="CN922" s="2867"/>
      <c r="CO922" s="2867"/>
      <c r="CP922" s="2867"/>
      <c r="CQ922" s="2867"/>
      <c r="CR922" s="2867"/>
      <c r="CS922" s="2867"/>
      <c r="CT922" s="2867"/>
      <c r="CU922" s="2867"/>
      <c r="CV922" s="2867"/>
      <c r="CW922" s="2867"/>
    </row>
    <row r="923" spans="1:101">
      <c r="A923" s="2867"/>
      <c r="B923" s="2867"/>
      <c r="C923" s="2867"/>
      <c r="D923" s="2867"/>
      <c r="E923" s="2867"/>
      <c r="F923" s="2867"/>
      <c r="G923" s="2867"/>
      <c r="H923" s="2867"/>
      <c r="I923" s="2867"/>
      <c r="J923" s="2867"/>
      <c r="K923" s="2867"/>
      <c r="L923" s="2867"/>
      <c r="M923" s="2867"/>
      <c r="O923" s="2867"/>
      <c r="P923" s="2867"/>
      <c r="Q923" s="2867"/>
      <c r="R923" s="2867"/>
      <c r="S923" s="2867"/>
      <c r="T923" s="2867"/>
      <c r="U923" s="2867"/>
      <c r="V923" s="2867"/>
      <c r="W923" s="2867"/>
      <c r="X923" s="2867"/>
      <c r="Y923" s="2867"/>
      <c r="Z923" s="2867"/>
      <c r="AA923" s="2867"/>
      <c r="AB923" s="2867"/>
      <c r="AC923" s="2867"/>
      <c r="AD923" s="2867"/>
      <c r="AE923" s="2867"/>
      <c r="AF923" s="2867"/>
      <c r="AG923" s="2867"/>
      <c r="AH923" s="2867"/>
      <c r="AI923" s="2867"/>
      <c r="AJ923" s="2867"/>
      <c r="AK923" s="2867"/>
      <c r="AL923" s="2867"/>
      <c r="AM923" s="2867"/>
      <c r="AN923" s="2867"/>
      <c r="AO923" s="2867"/>
      <c r="AP923" s="2867"/>
      <c r="AQ923" s="2867"/>
      <c r="AR923" s="2867"/>
      <c r="AS923" s="2867"/>
      <c r="AT923" s="2867"/>
      <c r="AU923" s="2867"/>
      <c r="AV923" s="2867"/>
      <c r="AW923" s="2867"/>
      <c r="AX923" s="2867"/>
      <c r="AY923" s="2867"/>
      <c r="AZ923" s="2867"/>
      <c r="BA923" s="2867"/>
      <c r="BB923" s="2867"/>
      <c r="BC923" s="2867"/>
      <c r="BD923" s="2867"/>
      <c r="BE923" s="2867"/>
      <c r="BF923" s="2867"/>
      <c r="BG923" s="2867"/>
      <c r="BH923" s="2867"/>
      <c r="BI923" s="2867"/>
      <c r="BJ923" s="2867"/>
      <c r="BK923" s="2867"/>
      <c r="BL923" s="2867"/>
      <c r="BM923" s="2867"/>
      <c r="BN923" s="2867"/>
      <c r="BO923" s="2867"/>
      <c r="BP923" s="2867"/>
      <c r="BQ923" s="2867"/>
      <c r="BR923" s="2867"/>
      <c r="BS923" s="2867"/>
      <c r="BT923" s="2867"/>
      <c r="BU923" s="2867"/>
      <c r="BV923" s="2867"/>
      <c r="BW923" s="2867"/>
      <c r="BX923" s="2867"/>
      <c r="BY923" s="2867"/>
      <c r="BZ923" s="2867"/>
      <c r="CA923" s="2867"/>
      <c r="CB923" s="2867"/>
      <c r="CC923" s="2867"/>
      <c r="CD923" s="2867"/>
      <c r="CE923" s="2867"/>
      <c r="CF923" s="2867"/>
      <c r="CG923" s="2867"/>
      <c r="CH923" s="2867"/>
      <c r="CI923" s="2867"/>
      <c r="CJ923" s="2867"/>
      <c r="CK923" s="2867"/>
      <c r="CL923" s="2867"/>
      <c r="CM923" s="2867"/>
      <c r="CN923" s="2867"/>
      <c r="CO923" s="2867"/>
      <c r="CP923" s="2867"/>
      <c r="CQ923" s="2867"/>
      <c r="CR923" s="2867"/>
      <c r="CS923" s="2867"/>
      <c r="CT923" s="2867"/>
      <c r="CU923" s="2867"/>
      <c r="CV923" s="2867"/>
      <c r="CW923" s="2867"/>
    </row>
    <row r="924" spans="1:101">
      <c r="A924" s="2867"/>
      <c r="B924" s="2867"/>
      <c r="C924" s="2867"/>
      <c r="D924" s="2867"/>
      <c r="E924" s="2867"/>
      <c r="F924" s="2867"/>
      <c r="G924" s="2867"/>
      <c r="H924" s="2867"/>
      <c r="I924" s="2867"/>
      <c r="J924" s="2867"/>
      <c r="K924" s="2867"/>
      <c r="L924" s="2867"/>
      <c r="M924" s="2867"/>
      <c r="O924" s="2867"/>
      <c r="P924" s="2867"/>
      <c r="Q924" s="2867"/>
      <c r="R924" s="2867"/>
      <c r="S924" s="2867"/>
      <c r="T924" s="2867"/>
      <c r="U924" s="2867"/>
      <c r="V924" s="2867"/>
      <c r="W924" s="2867"/>
      <c r="X924" s="2867"/>
      <c r="Y924" s="2867"/>
      <c r="Z924" s="2867"/>
      <c r="AA924" s="2867"/>
      <c r="AB924" s="2867"/>
      <c r="AC924" s="2867"/>
      <c r="AD924" s="2867"/>
      <c r="AE924" s="2867"/>
      <c r="AF924" s="2867"/>
      <c r="AG924" s="2867"/>
      <c r="AH924" s="2867"/>
      <c r="AI924" s="2867"/>
      <c r="AJ924" s="2867"/>
      <c r="AK924" s="2867"/>
      <c r="AL924" s="2867"/>
      <c r="AM924" s="2867"/>
      <c r="AN924" s="2867"/>
      <c r="AO924" s="2867"/>
      <c r="AP924" s="2867"/>
      <c r="AQ924" s="2867"/>
      <c r="AR924" s="2867"/>
      <c r="AS924" s="2867"/>
      <c r="AT924" s="2867"/>
      <c r="AU924" s="2867"/>
      <c r="AV924" s="2867"/>
      <c r="AW924" s="2867"/>
      <c r="AX924" s="2867"/>
      <c r="AY924" s="2867"/>
      <c r="AZ924" s="2867"/>
      <c r="BA924" s="2867"/>
      <c r="BB924" s="2867"/>
      <c r="BC924" s="2867"/>
      <c r="BD924" s="2867"/>
      <c r="BE924" s="2867"/>
      <c r="BF924" s="2867"/>
      <c r="BG924" s="2867"/>
      <c r="BH924" s="2867"/>
      <c r="BI924" s="2867"/>
      <c r="BJ924" s="2867"/>
      <c r="BK924" s="2867"/>
      <c r="BL924" s="2867"/>
      <c r="BM924" s="2867"/>
      <c r="BN924" s="2867"/>
      <c r="BO924" s="2867"/>
      <c r="BP924" s="2867"/>
      <c r="BQ924" s="2867"/>
      <c r="BR924" s="2867"/>
      <c r="BS924" s="2867"/>
      <c r="BT924" s="2867"/>
      <c r="BU924" s="2867"/>
      <c r="BV924" s="2867"/>
      <c r="BW924" s="2867"/>
      <c r="BX924" s="2867"/>
      <c r="BY924" s="2867"/>
      <c r="BZ924" s="2867"/>
      <c r="CA924" s="2867"/>
      <c r="CB924" s="2867"/>
      <c r="CC924" s="2867"/>
      <c r="CD924" s="2867"/>
      <c r="CE924" s="2867"/>
      <c r="CF924" s="2867"/>
      <c r="CG924" s="2867"/>
      <c r="CH924" s="2867"/>
      <c r="CI924" s="2867"/>
      <c r="CJ924" s="2867"/>
      <c r="CK924" s="2867"/>
      <c r="CL924" s="2867"/>
      <c r="CM924" s="2867"/>
      <c r="CN924" s="2867"/>
      <c r="CO924" s="2867"/>
      <c r="CP924" s="2867"/>
      <c r="CQ924" s="2867"/>
      <c r="CR924" s="2867"/>
      <c r="CS924" s="2867"/>
      <c r="CT924" s="2867"/>
      <c r="CU924" s="2867"/>
      <c r="CV924" s="2867"/>
      <c r="CW924" s="2867"/>
    </row>
    <row r="925" spans="1:101">
      <c r="A925" s="2867"/>
      <c r="B925" s="2867"/>
      <c r="C925" s="2867"/>
      <c r="D925" s="2867"/>
      <c r="E925" s="2867"/>
      <c r="F925" s="2867"/>
      <c r="G925" s="2867"/>
      <c r="H925" s="2867"/>
      <c r="I925" s="2867"/>
      <c r="J925" s="2867"/>
      <c r="K925" s="2867"/>
      <c r="L925" s="2867"/>
      <c r="M925" s="2867"/>
      <c r="O925" s="2867"/>
      <c r="P925" s="2867"/>
      <c r="Q925" s="2867"/>
      <c r="R925" s="2867"/>
      <c r="S925" s="2867"/>
      <c r="T925" s="2867"/>
      <c r="U925" s="2867"/>
      <c r="V925" s="2867"/>
      <c r="W925" s="2867"/>
      <c r="X925" s="2867"/>
      <c r="Y925" s="2867"/>
      <c r="Z925" s="2867"/>
      <c r="AA925" s="2867"/>
      <c r="AB925" s="2867"/>
      <c r="AC925" s="2867"/>
      <c r="AD925" s="2867"/>
      <c r="AE925" s="2867"/>
      <c r="AF925" s="2867"/>
      <c r="AG925" s="2867"/>
      <c r="AH925" s="2867"/>
      <c r="AI925" s="2867"/>
      <c r="AJ925" s="2867"/>
      <c r="AK925" s="2867"/>
      <c r="AL925" s="2867"/>
      <c r="AM925" s="2867"/>
      <c r="AN925" s="2867"/>
      <c r="AO925" s="2867"/>
      <c r="AP925" s="2867"/>
      <c r="AQ925" s="2867"/>
      <c r="AR925" s="2867"/>
      <c r="AS925" s="2867"/>
      <c r="AT925" s="2867"/>
      <c r="AU925" s="2867"/>
      <c r="AV925" s="2867"/>
      <c r="AW925" s="2867"/>
      <c r="AX925" s="2867"/>
      <c r="AY925" s="2867"/>
      <c r="AZ925" s="2867"/>
      <c r="BA925" s="2867"/>
      <c r="BB925" s="2867"/>
      <c r="BC925" s="2867"/>
      <c r="BD925" s="2867"/>
      <c r="BE925" s="2867"/>
      <c r="BF925" s="2867"/>
      <c r="BG925" s="2867"/>
      <c r="BH925" s="2867"/>
      <c r="BI925" s="2867"/>
      <c r="BJ925" s="2867"/>
      <c r="BK925" s="2867"/>
      <c r="BL925" s="2867"/>
      <c r="BM925" s="2867"/>
      <c r="BN925" s="2867"/>
      <c r="BO925" s="2867"/>
      <c r="BP925" s="2867"/>
      <c r="BQ925" s="2867"/>
      <c r="BR925" s="2867"/>
      <c r="BS925" s="2867"/>
      <c r="BT925" s="2867"/>
      <c r="BU925" s="2867"/>
      <c r="BV925" s="2867"/>
      <c r="BW925" s="2867"/>
      <c r="BX925" s="2867"/>
      <c r="BY925" s="2867"/>
      <c r="BZ925" s="2867"/>
      <c r="CA925" s="2867"/>
      <c r="CB925" s="2867"/>
      <c r="CC925" s="2867"/>
      <c r="CD925" s="2867"/>
      <c r="CE925" s="2867"/>
      <c r="CF925" s="2867"/>
      <c r="CG925" s="2867"/>
      <c r="CH925" s="2867"/>
      <c r="CI925" s="2867"/>
      <c r="CJ925" s="2867"/>
      <c r="CK925" s="2867"/>
      <c r="CL925" s="2867"/>
      <c r="CM925" s="2867"/>
      <c r="CN925" s="2867"/>
      <c r="CO925" s="2867"/>
      <c r="CP925" s="2867"/>
      <c r="CQ925" s="2867"/>
      <c r="CR925" s="2867"/>
      <c r="CS925" s="2867"/>
      <c r="CT925" s="2867"/>
      <c r="CU925" s="2867"/>
      <c r="CV925" s="2867"/>
      <c r="CW925" s="2867"/>
    </row>
    <row r="926" spans="1:101">
      <c r="A926" s="2867"/>
      <c r="B926" s="2867"/>
      <c r="C926" s="2867"/>
      <c r="D926" s="2867"/>
      <c r="E926" s="2867"/>
      <c r="F926" s="2867"/>
      <c r="G926" s="2867"/>
      <c r="H926" s="2867"/>
      <c r="I926" s="2867"/>
      <c r="J926" s="2867"/>
      <c r="K926" s="2867"/>
      <c r="L926" s="2867"/>
      <c r="M926" s="2867"/>
      <c r="O926" s="2867"/>
      <c r="P926" s="2867"/>
      <c r="Q926" s="2867"/>
      <c r="R926" s="2867"/>
      <c r="S926" s="2867"/>
      <c r="T926" s="2867"/>
      <c r="U926" s="2867"/>
      <c r="V926" s="2867"/>
      <c r="W926" s="2867"/>
      <c r="X926" s="2867"/>
      <c r="Y926" s="2867"/>
      <c r="Z926" s="2867"/>
      <c r="AA926" s="2867"/>
      <c r="AB926" s="2867"/>
      <c r="AC926" s="2867"/>
      <c r="AD926" s="2867"/>
      <c r="AE926" s="2867"/>
      <c r="AF926" s="2867"/>
      <c r="AG926" s="2867"/>
      <c r="AH926" s="2867"/>
      <c r="AI926" s="2867"/>
      <c r="AJ926" s="2867"/>
      <c r="AK926" s="2867"/>
      <c r="AL926" s="2867"/>
      <c r="AM926" s="2867"/>
      <c r="AN926" s="2867"/>
      <c r="AO926" s="2867"/>
      <c r="AP926" s="2867"/>
      <c r="AQ926" s="2867"/>
      <c r="AR926" s="2867"/>
      <c r="AS926" s="2867"/>
      <c r="AT926" s="2867"/>
      <c r="AU926" s="2867"/>
      <c r="AV926" s="2867"/>
      <c r="AW926" s="2867"/>
      <c r="AX926" s="2867"/>
      <c r="AY926" s="2867"/>
      <c r="AZ926" s="2867"/>
      <c r="BA926" s="2867"/>
      <c r="BB926" s="2867"/>
      <c r="BC926" s="2867"/>
      <c r="BD926" s="2867"/>
      <c r="BE926" s="2867"/>
      <c r="BF926" s="2867"/>
      <c r="BG926" s="2867"/>
      <c r="BH926" s="2867"/>
      <c r="BI926" s="2867"/>
      <c r="BJ926" s="2867"/>
      <c r="BK926" s="2867"/>
      <c r="BL926" s="2867"/>
      <c r="BM926" s="2867"/>
      <c r="BN926" s="2867"/>
      <c r="BO926" s="2867"/>
      <c r="BP926" s="2867"/>
      <c r="BQ926" s="2867"/>
      <c r="BR926" s="2867"/>
      <c r="BS926" s="2867"/>
      <c r="BT926" s="2867"/>
      <c r="BU926" s="2867"/>
      <c r="BV926" s="2867"/>
      <c r="BW926" s="2867"/>
      <c r="BX926" s="2867"/>
      <c r="BY926" s="2867"/>
      <c r="BZ926" s="2867"/>
      <c r="CA926" s="2867"/>
      <c r="CB926" s="2867"/>
      <c r="CC926" s="2867"/>
      <c r="CD926" s="2867"/>
      <c r="CE926" s="2867"/>
      <c r="CF926" s="2867"/>
      <c r="CG926" s="2867"/>
      <c r="CH926" s="2867"/>
      <c r="CI926" s="2867"/>
      <c r="CJ926" s="2867"/>
      <c r="CK926" s="2867"/>
      <c r="CL926" s="2867"/>
      <c r="CM926" s="2867"/>
      <c r="CN926" s="2867"/>
      <c r="CO926" s="2867"/>
      <c r="CP926" s="2867"/>
      <c r="CQ926" s="2867"/>
      <c r="CR926" s="2867"/>
      <c r="CS926" s="2867"/>
      <c r="CT926" s="2867"/>
      <c r="CU926" s="2867"/>
      <c r="CV926" s="2867"/>
      <c r="CW926" s="2867"/>
    </row>
    <row r="927" spans="1:101">
      <c r="A927" s="2867"/>
      <c r="B927" s="2867"/>
      <c r="C927" s="2867"/>
      <c r="D927" s="2867"/>
      <c r="E927" s="2867"/>
      <c r="F927" s="2867"/>
      <c r="G927" s="2867"/>
      <c r="H927" s="2867"/>
      <c r="I927" s="2867"/>
      <c r="J927" s="2867"/>
      <c r="K927" s="2867"/>
      <c r="L927" s="2867"/>
      <c r="M927" s="2867"/>
      <c r="O927" s="2867"/>
      <c r="P927" s="2867"/>
      <c r="Q927" s="2867"/>
      <c r="R927" s="2867"/>
      <c r="S927" s="2867"/>
      <c r="T927" s="2867"/>
      <c r="U927" s="2867"/>
      <c r="V927" s="2867"/>
      <c r="W927" s="2867"/>
      <c r="X927" s="2867"/>
      <c r="Y927" s="2867"/>
      <c r="Z927" s="2867"/>
      <c r="AA927" s="2867"/>
      <c r="AB927" s="2867"/>
      <c r="AC927" s="2867"/>
      <c r="AD927" s="2867"/>
      <c r="AE927" s="2867"/>
      <c r="AF927" s="2867"/>
      <c r="AG927" s="2867"/>
      <c r="AH927" s="2867"/>
      <c r="AI927" s="2867"/>
      <c r="AJ927" s="2867"/>
      <c r="AK927" s="2867"/>
      <c r="AL927" s="2867"/>
      <c r="AM927" s="2867"/>
      <c r="AN927" s="2867"/>
      <c r="AO927" s="2867"/>
      <c r="AP927" s="2867"/>
      <c r="AQ927" s="2867"/>
      <c r="AR927" s="2867"/>
      <c r="AS927" s="2867"/>
      <c r="AT927" s="2867"/>
      <c r="AU927" s="2867"/>
      <c r="AV927" s="2867"/>
      <c r="AW927" s="2867"/>
      <c r="AX927" s="2867"/>
      <c r="AY927" s="2867"/>
      <c r="AZ927" s="2867"/>
      <c r="BA927" s="2867"/>
      <c r="BB927" s="2867"/>
      <c r="BC927" s="2867"/>
      <c r="BD927" s="2867"/>
      <c r="BE927" s="2867"/>
      <c r="BF927" s="2867"/>
      <c r="BG927" s="2867"/>
      <c r="BH927" s="2867"/>
      <c r="BI927" s="2867"/>
      <c r="BJ927" s="2867"/>
      <c r="BK927" s="2867"/>
      <c r="BL927" s="2867"/>
      <c r="BM927" s="2867"/>
      <c r="BN927" s="2867"/>
      <c r="BO927" s="2867"/>
      <c r="BP927" s="2867"/>
      <c r="BQ927" s="2867"/>
      <c r="BR927" s="2867"/>
      <c r="BS927" s="2867"/>
      <c r="BT927" s="2867"/>
      <c r="BU927" s="2867"/>
      <c r="BV927" s="2867"/>
      <c r="BW927" s="2867"/>
      <c r="BX927" s="2867"/>
      <c r="BY927" s="2867"/>
      <c r="BZ927" s="2867"/>
      <c r="CA927" s="2867"/>
      <c r="CB927" s="2867"/>
      <c r="CC927" s="2867"/>
      <c r="CD927" s="2867"/>
      <c r="CE927" s="2867"/>
      <c r="CF927" s="2867"/>
      <c r="CG927" s="2867"/>
      <c r="CH927" s="2867"/>
      <c r="CI927" s="2867"/>
      <c r="CJ927" s="2867"/>
      <c r="CK927" s="2867"/>
      <c r="CL927" s="2867"/>
      <c r="CM927" s="2867"/>
      <c r="CN927" s="2867"/>
      <c r="CO927" s="2867"/>
      <c r="CP927" s="2867"/>
      <c r="CQ927" s="2867"/>
      <c r="CR927" s="2867"/>
      <c r="CS927" s="2867"/>
      <c r="CT927" s="2867"/>
      <c r="CU927" s="2867"/>
      <c r="CV927" s="2867"/>
      <c r="CW927" s="2867"/>
    </row>
    <row r="928" spans="1:101">
      <c r="A928" s="2867"/>
      <c r="B928" s="2867"/>
      <c r="C928" s="2867"/>
      <c r="D928" s="2867"/>
      <c r="E928" s="2867"/>
      <c r="F928" s="2867"/>
      <c r="G928" s="2867"/>
      <c r="H928" s="2867"/>
      <c r="I928" s="2867"/>
      <c r="J928" s="2867"/>
      <c r="K928" s="2867"/>
      <c r="L928" s="2867"/>
      <c r="M928" s="2867"/>
      <c r="O928" s="2867"/>
      <c r="P928" s="2867"/>
      <c r="Q928" s="2867"/>
      <c r="R928" s="2867"/>
      <c r="S928" s="2867"/>
      <c r="T928" s="2867"/>
      <c r="U928" s="2867"/>
      <c r="V928" s="2867"/>
      <c r="W928" s="2867"/>
      <c r="X928" s="2867"/>
      <c r="Y928" s="2867"/>
      <c r="Z928" s="2867"/>
      <c r="AA928" s="2867"/>
      <c r="AB928" s="2867"/>
      <c r="AC928" s="2867"/>
      <c r="AD928" s="2867"/>
      <c r="AE928" s="2867"/>
      <c r="AF928" s="2867"/>
      <c r="AG928" s="2867"/>
      <c r="AH928" s="2867"/>
      <c r="AI928" s="2867"/>
      <c r="AJ928" s="2867"/>
      <c r="AK928" s="2867"/>
      <c r="AL928" s="2867"/>
      <c r="AM928" s="2867"/>
      <c r="AN928" s="2867"/>
      <c r="AO928" s="2867"/>
      <c r="AP928" s="2867"/>
      <c r="AQ928" s="2867"/>
      <c r="AR928" s="2867"/>
      <c r="AS928" s="2867"/>
      <c r="AT928" s="2867"/>
      <c r="AU928" s="2867"/>
      <c r="AV928" s="2867"/>
      <c r="AW928" s="2867"/>
      <c r="AX928" s="2867"/>
      <c r="AY928" s="2867"/>
      <c r="AZ928" s="2867"/>
      <c r="BA928" s="2867"/>
      <c r="BB928" s="2867"/>
      <c r="BC928" s="2867"/>
      <c r="BD928" s="2867"/>
      <c r="BE928" s="2867"/>
      <c r="BF928" s="2867"/>
      <c r="BG928" s="2867"/>
      <c r="BH928" s="2867"/>
      <c r="BI928" s="2867"/>
      <c r="BJ928" s="2867"/>
      <c r="BK928" s="2867"/>
      <c r="BL928" s="2867"/>
      <c r="BM928" s="2867"/>
      <c r="BN928" s="2867"/>
      <c r="BO928" s="2867"/>
      <c r="BP928" s="2867"/>
      <c r="BQ928" s="2867"/>
      <c r="BR928" s="2867"/>
      <c r="BS928" s="2867"/>
      <c r="BT928" s="2867"/>
      <c r="BU928" s="2867"/>
      <c r="BV928" s="2867"/>
      <c r="BW928" s="2867"/>
      <c r="BX928" s="2867"/>
      <c r="BY928" s="2867"/>
      <c r="BZ928" s="2867"/>
      <c r="CA928" s="2867"/>
      <c r="CB928" s="2867"/>
      <c r="CC928" s="2867"/>
      <c r="CD928" s="2867"/>
      <c r="CE928" s="2867"/>
      <c r="CF928" s="2867"/>
      <c r="CG928" s="2867"/>
      <c r="CH928" s="2867"/>
      <c r="CI928" s="2867"/>
      <c r="CJ928" s="2867"/>
      <c r="CK928" s="2867"/>
      <c r="CL928" s="2867"/>
      <c r="CM928" s="2867"/>
      <c r="CN928" s="2867"/>
      <c r="CO928" s="2867"/>
      <c r="CP928" s="2867"/>
      <c r="CQ928" s="2867"/>
      <c r="CR928" s="2867"/>
      <c r="CS928" s="2867"/>
      <c r="CT928" s="2867"/>
      <c r="CU928" s="2867"/>
      <c r="CV928" s="2867"/>
      <c r="CW928" s="2867"/>
    </row>
    <row r="929" spans="1:101">
      <c r="A929" s="2867"/>
      <c r="B929" s="2867"/>
      <c r="C929" s="2867"/>
      <c r="D929" s="2867"/>
      <c r="E929" s="2867"/>
      <c r="F929" s="2867"/>
      <c r="G929" s="2867"/>
      <c r="H929" s="2867"/>
      <c r="I929" s="2867"/>
      <c r="J929" s="2867"/>
      <c r="K929" s="2867"/>
      <c r="L929" s="2867"/>
      <c r="M929" s="2867"/>
      <c r="O929" s="2867"/>
      <c r="P929" s="2867"/>
      <c r="Q929" s="2867"/>
      <c r="R929" s="2867"/>
      <c r="S929" s="2867"/>
      <c r="T929" s="2867"/>
      <c r="U929" s="2867"/>
      <c r="V929" s="2867"/>
      <c r="W929" s="2867"/>
      <c r="X929" s="2867"/>
      <c r="Y929" s="2867"/>
      <c r="Z929" s="2867"/>
      <c r="AA929" s="2867"/>
      <c r="AB929" s="2867"/>
      <c r="AC929" s="2867"/>
      <c r="AD929" s="2867"/>
      <c r="AE929" s="2867"/>
      <c r="AF929" s="2867"/>
      <c r="AG929" s="2867"/>
      <c r="AH929" s="2867"/>
      <c r="AI929" s="2867"/>
      <c r="AJ929" s="2867"/>
      <c r="AK929" s="2867"/>
      <c r="AL929" s="2867"/>
      <c r="AM929" s="2867"/>
      <c r="AN929" s="2867"/>
      <c r="AO929" s="2867"/>
      <c r="AP929" s="2867"/>
      <c r="AQ929" s="2867"/>
      <c r="AR929" s="2867"/>
      <c r="AS929" s="2867"/>
      <c r="AT929" s="2867"/>
      <c r="AU929" s="2867"/>
      <c r="AV929" s="2867"/>
      <c r="AW929" s="2867"/>
      <c r="AX929" s="2867"/>
      <c r="AY929" s="2867"/>
      <c r="AZ929" s="2867"/>
      <c r="BA929" s="2867"/>
      <c r="BB929" s="2867"/>
      <c r="BC929" s="2867"/>
      <c r="BD929" s="2867"/>
      <c r="BE929" s="2867"/>
      <c r="BF929" s="2867"/>
      <c r="BG929" s="2867"/>
      <c r="BH929" s="2867"/>
      <c r="BI929" s="2867"/>
      <c r="BJ929" s="2867"/>
      <c r="BK929" s="2867"/>
      <c r="BL929" s="2867"/>
      <c r="BM929" s="2867"/>
      <c r="BN929" s="2867"/>
      <c r="BO929" s="2867"/>
      <c r="BP929" s="2867"/>
      <c r="BQ929" s="2867"/>
      <c r="BR929" s="2867"/>
      <c r="BS929" s="2867"/>
      <c r="BT929" s="2867"/>
      <c r="BU929" s="2867"/>
      <c r="BV929" s="2867"/>
      <c r="BW929" s="2867"/>
      <c r="BX929" s="2867"/>
      <c r="BY929" s="2867"/>
      <c r="BZ929" s="2867"/>
      <c r="CA929" s="2867"/>
      <c r="CB929" s="2867"/>
      <c r="CC929" s="2867"/>
      <c r="CD929" s="2867"/>
      <c r="CE929" s="2867"/>
      <c r="CF929" s="2867"/>
      <c r="CG929" s="2867"/>
      <c r="CH929" s="2867"/>
      <c r="CI929" s="2867"/>
      <c r="CJ929" s="2867"/>
      <c r="CK929" s="2867"/>
      <c r="CL929" s="2867"/>
      <c r="CM929" s="2867"/>
      <c r="CN929" s="2867"/>
      <c r="CO929" s="2867"/>
      <c r="CP929" s="2867"/>
      <c r="CQ929" s="2867"/>
      <c r="CR929" s="2867"/>
      <c r="CS929" s="2867"/>
      <c r="CT929" s="2867"/>
      <c r="CU929" s="2867"/>
      <c r="CV929" s="2867"/>
      <c r="CW929" s="2867"/>
    </row>
    <row r="930" spans="1:101">
      <c r="A930" s="2867"/>
      <c r="B930" s="2867"/>
      <c r="C930" s="2867"/>
      <c r="D930" s="2867"/>
      <c r="E930" s="2867"/>
      <c r="F930" s="2867"/>
      <c r="G930" s="2867"/>
      <c r="H930" s="2867"/>
      <c r="I930" s="2867"/>
      <c r="J930" s="2867"/>
      <c r="K930" s="2867"/>
      <c r="L930" s="2867"/>
      <c r="M930" s="2867"/>
      <c r="O930" s="2867"/>
      <c r="P930" s="2867"/>
      <c r="Q930" s="2867"/>
      <c r="R930" s="2867"/>
      <c r="S930" s="2867"/>
      <c r="T930" s="2867"/>
      <c r="U930" s="2867"/>
      <c r="V930" s="2867"/>
      <c r="W930" s="2867"/>
      <c r="X930" s="2867"/>
      <c r="Y930" s="2867"/>
      <c r="Z930" s="2867"/>
      <c r="AA930" s="2867"/>
      <c r="AB930" s="2867"/>
      <c r="AC930" s="2867"/>
      <c r="AD930" s="2867"/>
      <c r="AE930" s="2867"/>
      <c r="AF930" s="2867"/>
      <c r="AG930" s="2867"/>
      <c r="AH930" s="2867"/>
      <c r="AI930" s="2867"/>
      <c r="AJ930" s="2867"/>
      <c r="AK930" s="2867"/>
      <c r="AL930" s="2867"/>
      <c r="AM930" s="2867"/>
      <c r="AN930" s="2867"/>
      <c r="AO930" s="2867"/>
      <c r="AP930" s="2867"/>
      <c r="AQ930" s="2867"/>
      <c r="AR930" s="2867"/>
      <c r="AS930" s="2867"/>
      <c r="AT930" s="2867"/>
      <c r="AU930" s="2867"/>
      <c r="AV930" s="2867"/>
      <c r="AW930" s="2867"/>
      <c r="AX930" s="2867"/>
      <c r="AY930" s="2867"/>
      <c r="AZ930" s="2867"/>
      <c r="BA930" s="2867"/>
      <c r="BB930" s="2867"/>
      <c r="BC930" s="2867"/>
      <c r="BD930" s="2867"/>
      <c r="BE930" s="2867"/>
      <c r="BF930" s="2867"/>
      <c r="BG930" s="2867"/>
      <c r="BH930" s="2867"/>
      <c r="BI930" s="2867"/>
      <c r="BJ930" s="2867"/>
      <c r="BK930" s="2867"/>
      <c r="BL930" s="2867"/>
      <c r="BM930" s="2867"/>
      <c r="BN930" s="2867"/>
      <c r="BO930" s="2867"/>
      <c r="BP930" s="2867"/>
      <c r="BQ930" s="2867"/>
      <c r="BR930" s="2867"/>
      <c r="BS930" s="2867"/>
      <c r="BT930" s="2867"/>
      <c r="BU930" s="2867"/>
      <c r="BV930" s="2867"/>
      <c r="BW930" s="2867"/>
      <c r="BX930" s="2867"/>
      <c r="BY930" s="2867"/>
      <c r="BZ930" s="2867"/>
      <c r="CA930" s="2867"/>
      <c r="CB930" s="2867"/>
      <c r="CC930" s="2867"/>
      <c r="CD930" s="2867"/>
      <c r="CE930" s="2867"/>
      <c r="CF930" s="2867"/>
      <c r="CG930" s="2867"/>
      <c r="CH930" s="2867"/>
      <c r="CI930" s="2867"/>
      <c r="CJ930" s="2867"/>
      <c r="CK930" s="2867"/>
      <c r="CL930" s="2867"/>
      <c r="CM930" s="2867"/>
      <c r="CN930" s="2867"/>
      <c r="CO930" s="2867"/>
      <c r="CP930" s="2867"/>
      <c r="CQ930" s="2867"/>
      <c r="CR930" s="2867"/>
      <c r="CS930" s="2867"/>
      <c r="CT930" s="2867"/>
      <c r="CU930" s="2867"/>
      <c r="CV930" s="2867"/>
      <c r="CW930" s="2867"/>
    </row>
    <row r="931" spans="1:101">
      <c r="A931" s="2867"/>
      <c r="B931" s="2867"/>
      <c r="C931" s="2867"/>
      <c r="D931" s="2867"/>
      <c r="E931" s="2867"/>
      <c r="F931" s="2867"/>
      <c r="G931" s="2867"/>
      <c r="H931" s="2867"/>
      <c r="I931" s="2867"/>
      <c r="J931" s="2867"/>
      <c r="K931" s="2867"/>
      <c r="L931" s="2867"/>
      <c r="M931" s="2867"/>
      <c r="O931" s="2867"/>
      <c r="P931" s="2867"/>
      <c r="Q931" s="2867"/>
      <c r="R931" s="2867"/>
      <c r="S931" s="2867"/>
      <c r="T931" s="2867"/>
      <c r="U931" s="2867"/>
      <c r="V931" s="2867"/>
      <c r="W931" s="2867"/>
      <c r="X931" s="2867"/>
      <c r="Y931" s="2867"/>
      <c r="Z931" s="2867"/>
      <c r="AA931" s="2867"/>
      <c r="AB931" s="2867"/>
      <c r="AC931" s="2867"/>
      <c r="AD931" s="2867"/>
      <c r="AE931" s="2867"/>
      <c r="AF931" s="2867"/>
      <c r="AG931" s="2867"/>
      <c r="AH931" s="2867"/>
      <c r="AI931" s="2867"/>
      <c r="AJ931" s="2867"/>
      <c r="AK931" s="2867"/>
      <c r="AL931" s="2867"/>
      <c r="AM931" s="2867"/>
      <c r="AN931" s="2867"/>
      <c r="AO931" s="2867"/>
      <c r="AP931" s="2867"/>
      <c r="AQ931" s="2867"/>
      <c r="AR931" s="2867"/>
      <c r="AS931" s="2867"/>
      <c r="AT931" s="2867"/>
      <c r="AU931" s="2867"/>
      <c r="AV931" s="2867"/>
      <c r="AW931" s="2867"/>
      <c r="AX931" s="2867"/>
      <c r="AY931" s="2867"/>
      <c r="AZ931" s="2867"/>
      <c r="BA931" s="2867"/>
      <c r="BB931" s="2867"/>
      <c r="BC931" s="2867"/>
      <c r="BD931" s="2867"/>
      <c r="BE931" s="2867"/>
      <c r="BF931" s="2867"/>
      <c r="BG931" s="2867"/>
      <c r="BH931" s="2867"/>
      <c r="BI931" s="2867"/>
      <c r="BJ931" s="2867"/>
      <c r="BK931" s="2867"/>
      <c r="BL931" s="2867"/>
      <c r="BM931" s="2867"/>
      <c r="BN931" s="2867"/>
      <c r="BO931" s="2867"/>
      <c r="BP931" s="2867"/>
      <c r="BQ931" s="2867"/>
      <c r="BR931" s="2867"/>
      <c r="BS931" s="2867"/>
      <c r="BT931" s="2867"/>
      <c r="BU931" s="2867"/>
      <c r="BV931" s="2867"/>
      <c r="BW931" s="2867"/>
      <c r="BX931" s="2867"/>
      <c r="BY931" s="2867"/>
      <c r="BZ931" s="2867"/>
      <c r="CA931" s="2867"/>
      <c r="CB931" s="2867"/>
      <c r="CC931" s="2867"/>
      <c r="CD931" s="2867"/>
      <c r="CE931" s="2867"/>
      <c r="CF931" s="2867"/>
      <c r="CG931" s="2867"/>
      <c r="CH931" s="2867"/>
      <c r="CI931" s="2867"/>
      <c r="CJ931" s="2867"/>
      <c r="CK931" s="2867"/>
      <c r="CL931" s="2867"/>
      <c r="CM931" s="2867"/>
      <c r="CN931" s="2867"/>
      <c r="CO931" s="2867"/>
      <c r="CP931" s="2867"/>
      <c r="CQ931" s="2867"/>
      <c r="CR931" s="2867"/>
      <c r="CS931" s="2867"/>
      <c r="CT931" s="2867"/>
      <c r="CU931" s="2867"/>
      <c r="CV931" s="2867"/>
      <c r="CW931" s="2867"/>
    </row>
    <row r="932" spans="1:101">
      <c r="A932" s="2867"/>
      <c r="B932" s="2867"/>
      <c r="C932" s="2867"/>
      <c r="D932" s="2867"/>
      <c r="E932" s="2867"/>
      <c r="F932" s="2867"/>
      <c r="G932" s="2867"/>
      <c r="H932" s="2867"/>
      <c r="I932" s="2867"/>
      <c r="J932" s="2867"/>
      <c r="K932" s="2867"/>
      <c r="L932" s="2867"/>
      <c r="M932" s="2867"/>
      <c r="O932" s="2867"/>
      <c r="P932" s="2867"/>
      <c r="Q932" s="2867"/>
      <c r="R932" s="2867"/>
      <c r="S932" s="2867"/>
      <c r="T932" s="2867"/>
      <c r="U932" s="2867"/>
      <c r="V932" s="2867"/>
      <c r="W932" s="2867"/>
      <c r="X932" s="2867"/>
      <c r="Y932" s="2867"/>
      <c r="Z932" s="2867"/>
      <c r="AA932" s="2867"/>
      <c r="AB932" s="2867"/>
      <c r="AC932" s="2867"/>
      <c r="AD932" s="2867"/>
      <c r="AE932" s="2867"/>
      <c r="AF932" s="2867"/>
      <c r="AG932" s="2867"/>
      <c r="AH932" s="2867"/>
      <c r="AI932" s="2867"/>
      <c r="AJ932" s="2867"/>
      <c r="AK932" s="2867"/>
      <c r="AL932" s="2867"/>
      <c r="AM932" s="2867"/>
      <c r="AN932" s="2867"/>
      <c r="AO932" s="2867"/>
      <c r="AP932" s="2867"/>
      <c r="AQ932" s="2867"/>
      <c r="AR932" s="2867"/>
      <c r="AS932" s="2867"/>
      <c r="AT932" s="2867"/>
      <c r="AU932" s="2867"/>
      <c r="AV932" s="2867"/>
      <c r="AW932" s="2867"/>
      <c r="AX932" s="2867"/>
      <c r="AY932" s="2867"/>
      <c r="AZ932" s="2867"/>
      <c r="BA932" s="2867"/>
      <c r="BB932" s="2867"/>
      <c r="BC932" s="2867"/>
      <c r="BD932" s="2867"/>
      <c r="BE932" s="2867"/>
      <c r="BF932" s="2867"/>
      <c r="BG932" s="2867"/>
      <c r="BH932" s="2867"/>
      <c r="BI932" s="2867"/>
      <c r="BJ932" s="2867"/>
      <c r="BK932" s="2867"/>
      <c r="BL932" s="2867"/>
      <c r="BM932" s="2867"/>
      <c r="BN932" s="2867"/>
      <c r="BO932" s="2867"/>
      <c r="BP932" s="2867"/>
      <c r="BQ932" s="2867"/>
      <c r="BR932" s="2867"/>
      <c r="BS932" s="2867"/>
      <c r="BT932" s="2867"/>
      <c r="BU932" s="2867"/>
      <c r="BV932" s="2867"/>
      <c r="BW932" s="2867"/>
      <c r="BX932" s="2867"/>
      <c r="BY932" s="2867"/>
      <c r="BZ932" s="2867"/>
      <c r="CA932" s="2867"/>
      <c r="CB932" s="2867"/>
      <c r="CC932" s="2867"/>
      <c r="CD932" s="2867"/>
      <c r="CE932" s="2867"/>
      <c r="CF932" s="2867"/>
      <c r="CG932" s="2867"/>
      <c r="CH932" s="2867"/>
      <c r="CI932" s="2867"/>
      <c r="CJ932" s="2867"/>
      <c r="CK932" s="2867"/>
      <c r="CL932" s="2867"/>
      <c r="CM932" s="2867"/>
      <c r="CN932" s="2867"/>
      <c r="CO932" s="2867"/>
      <c r="CP932" s="2867"/>
      <c r="CQ932" s="2867"/>
      <c r="CR932" s="2867"/>
      <c r="CS932" s="2867"/>
      <c r="CT932" s="2867"/>
      <c r="CU932" s="2867"/>
      <c r="CV932" s="2867"/>
      <c r="CW932" s="2867"/>
    </row>
    <row r="933" spans="1:101">
      <c r="A933" s="2867"/>
      <c r="B933" s="2867"/>
      <c r="C933" s="2867"/>
      <c r="D933" s="2867"/>
      <c r="E933" s="2867"/>
      <c r="F933" s="2867"/>
      <c r="G933" s="2867"/>
      <c r="H933" s="2867"/>
      <c r="I933" s="2867"/>
      <c r="J933" s="2867"/>
      <c r="K933" s="2867"/>
      <c r="L933" s="2867"/>
      <c r="M933" s="2867"/>
      <c r="O933" s="2867"/>
      <c r="P933" s="2867"/>
      <c r="Q933" s="2867"/>
      <c r="R933" s="2867"/>
      <c r="S933" s="2867"/>
      <c r="T933" s="2867"/>
      <c r="U933" s="2867"/>
      <c r="V933" s="2867"/>
      <c r="W933" s="2867"/>
      <c r="X933" s="2867"/>
      <c r="Y933" s="2867"/>
      <c r="Z933" s="2867"/>
      <c r="AA933" s="2867"/>
      <c r="AB933" s="2867"/>
      <c r="AC933" s="2867"/>
      <c r="AD933" s="2867"/>
      <c r="AE933" s="2867"/>
      <c r="AF933" s="2867"/>
      <c r="AG933" s="2867"/>
      <c r="AH933" s="2867"/>
      <c r="AI933" s="2867"/>
      <c r="AJ933" s="2867"/>
      <c r="AK933" s="2867"/>
      <c r="AL933" s="2867"/>
      <c r="AM933" s="2867"/>
      <c r="AN933" s="2867"/>
      <c r="AO933" s="2867"/>
      <c r="AP933" s="2867"/>
      <c r="AQ933" s="2867"/>
      <c r="AR933" s="2867"/>
      <c r="AS933" s="2867"/>
      <c r="AT933" s="2867"/>
      <c r="AU933" s="2867"/>
      <c r="AV933" s="2867"/>
      <c r="AW933" s="2867"/>
      <c r="AX933" s="2867"/>
      <c r="AY933" s="2867"/>
      <c r="AZ933" s="2867"/>
      <c r="BA933" s="2867"/>
      <c r="BB933" s="2867"/>
      <c r="BC933" s="2867"/>
      <c r="BD933" s="2867"/>
      <c r="BE933" s="2867"/>
      <c r="BF933" s="2867"/>
      <c r="BG933" s="2867"/>
      <c r="BH933" s="2867"/>
      <c r="BI933" s="2867"/>
      <c r="BJ933" s="2867"/>
      <c r="BK933" s="2867"/>
      <c r="BL933" s="2867"/>
      <c r="BM933" s="2867"/>
      <c r="BN933" s="2867"/>
      <c r="BO933" s="2867"/>
      <c r="BP933" s="2867"/>
      <c r="BQ933" s="2867"/>
      <c r="BR933" s="2867"/>
      <c r="BS933" s="2867"/>
      <c r="BT933" s="2867"/>
      <c r="BU933" s="2867"/>
      <c r="BV933" s="2867"/>
      <c r="BW933" s="2867"/>
      <c r="BX933" s="2867"/>
      <c r="BY933" s="2867"/>
      <c r="BZ933" s="2867"/>
      <c r="CA933" s="2867"/>
      <c r="CB933" s="2867"/>
      <c r="CC933" s="2867"/>
      <c r="CD933" s="2867"/>
      <c r="CE933" s="2867"/>
      <c r="CF933" s="2867"/>
      <c r="CG933" s="2867"/>
      <c r="CH933" s="2867"/>
      <c r="CI933" s="2867"/>
      <c r="CJ933" s="2867"/>
      <c r="CK933" s="2867"/>
      <c r="CL933" s="2867"/>
      <c r="CM933" s="2867"/>
      <c r="CN933" s="2867"/>
      <c r="CO933" s="2867"/>
      <c r="CP933" s="2867"/>
      <c r="CQ933" s="2867"/>
      <c r="CR933" s="2867"/>
      <c r="CS933" s="2867"/>
      <c r="CT933" s="2867"/>
      <c r="CU933" s="2867"/>
      <c r="CV933" s="2867"/>
      <c r="CW933" s="2867"/>
    </row>
    <row r="934" spans="1:101">
      <c r="A934" s="2867"/>
      <c r="B934" s="2867"/>
      <c r="C934" s="2867"/>
      <c r="D934" s="2867"/>
      <c r="E934" s="2867"/>
      <c r="F934" s="2867"/>
      <c r="G934" s="2867"/>
      <c r="H934" s="2867"/>
      <c r="I934" s="2867"/>
      <c r="J934" s="2867"/>
      <c r="K934" s="2867"/>
      <c r="L934" s="2867"/>
      <c r="M934" s="2867"/>
      <c r="O934" s="2867"/>
      <c r="P934" s="2867"/>
      <c r="Q934" s="2867"/>
      <c r="R934" s="2867"/>
      <c r="S934" s="2867"/>
      <c r="T934" s="2867"/>
      <c r="U934" s="2867"/>
      <c r="V934" s="2867"/>
      <c r="W934" s="2867"/>
      <c r="X934" s="2867"/>
      <c r="Y934" s="2867"/>
      <c r="Z934" s="2867"/>
      <c r="AA934" s="2867"/>
      <c r="AB934" s="2867"/>
      <c r="AC934" s="2867"/>
      <c r="AD934" s="2867"/>
      <c r="AE934" s="2867"/>
      <c r="AF934" s="2867"/>
      <c r="AG934" s="2867"/>
      <c r="AH934" s="2867"/>
      <c r="AI934" s="2867"/>
      <c r="AJ934" s="2867"/>
      <c r="AK934" s="2867"/>
      <c r="AL934" s="2867"/>
      <c r="AM934" s="2867"/>
      <c r="AN934" s="2867"/>
      <c r="AO934" s="2867"/>
      <c r="AP934" s="2867"/>
      <c r="AQ934" s="2867"/>
      <c r="AR934" s="2867"/>
      <c r="AS934" s="2867"/>
      <c r="AT934" s="2867"/>
      <c r="AU934" s="2867"/>
      <c r="AV934" s="2867"/>
      <c r="AW934" s="2867"/>
      <c r="AX934" s="2867"/>
      <c r="AY934" s="2867"/>
      <c r="AZ934" s="2867"/>
      <c r="BA934" s="2867"/>
      <c r="BB934" s="2867"/>
      <c r="BC934" s="2867"/>
      <c r="BD934" s="2867"/>
      <c r="BE934" s="2867"/>
      <c r="BF934" s="2867"/>
      <c r="BG934" s="2867"/>
      <c r="BH934" s="2867"/>
      <c r="BI934" s="2867"/>
      <c r="BJ934" s="2867"/>
      <c r="BK934" s="2867"/>
      <c r="BL934" s="2867"/>
      <c r="BM934" s="2867"/>
      <c r="BN934" s="2867"/>
      <c r="BO934" s="2867"/>
      <c r="BP934" s="2867"/>
      <c r="BQ934" s="2867"/>
      <c r="BR934" s="2867"/>
      <c r="BS934" s="2867"/>
      <c r="BT934" s="2867"/>
      <c r="BU934" s="2867"/>
      <c r="BV934" s="2867"/>
      <c r="BW934" s="2867"/>
      <c r="BX934" s="2867"/>
      <c r="BY934" s="2867"/>
      <c r="BZ934" s="2867"/>
      <c r="CA934" s="2867"/>
      <c r="CB934" s="2867"/>
      <c r="CC934" s="2867"/>
      <c r="CD934" s="2867"/>
      <c r="CE934" s="2867"/>
      <c r="CF934" s="2867"/>
      <c r="CG934" s="2867"/>
      <c r="CH934" s="2867"/>
      <c r="CI934" s="2867"/>
      <c r="CJ934" s="2867"/>
      <c r="CK934" s="2867"/>
      <c r="CL934" s="2867"/>
      <c r="CM934" s="2867"/>
      <c r="CN934" s="2867"/>
      <c r="CO934" s="2867"/>
      <c r="CP934" s="2867"/>
      <c r="CQ934" s="2867"/>
      <c r="CR934" s="2867"/>
      <c r="CS934" s="2867"/>
      <c r="CT934" s="2867"/>
      <c r="CU934" s="2867"/>
      <c r="CV934" s="2867"/>
      <c r="CW934" s="2867"/>
    </row>
    <row r="935" spans="1:101">
      <c r="A935" s="2867"/>
      <c r="B935" s="2867"/>
      <c r="C935" s="2867"/>
      <c r="D935" s="2867"/>
      <c r="E935" s="2867"/>
      <c r="F935" s="2867"/>
      <c r="G935" s="2867"/>
      <c r="H935" s="2867"/>
      <c r="I935" s="2867"/>
      <c r="J935" s="2867"/>
      <c r="K935" s="2867"/>
      <c r="L935" s="2867"/>
      <c r="M935" s="2867"/>
      <c r="O935" s="2867"/>
      <c r="P935" s="2867"/>
      <c r="Q935" s="2867"/>
      <c r="R935" s="2867"/>
      <c r="S935" s="2867"/>
      <c r="T935" s="2867"/>
      <c r="U935" s="2867"/>
      <c r="V935" s="2867"/>
      <c r="W935" s="2867"/>
      <c r="X935" s="2867"/>
      <c r="Y935" s="2867"/>
      <c r="Z935" s="2867"/>
      <c r="AA935" s="2867"/>
      <c r="AB935" s="2867"/>
      <c r="AC935" s="2867"/>
      <c r="AD935" s="2867"/>
      <c r="AE935" s="2867"/>
      <c r="AF935" s="2867"/>
      <c r="AG935" s="2867"/>
      <c r="AH935" s="2867"/>
      <c r="AI935" s="2867"/>
      <c r="AJ935" s="2867"/>
      <c r="AK935" s="2867"/>
      <c r="AL935" s="2867"/>
      <c r="AM935" s="2867"/>
      <c r="AN935" s="2867"/>
      <c r="AO935" s="2867"/>
      <c r="AP935" s="2867"/>
      <c r="AQ935" s="2867"/>
      <c r="AR935" s="2867"/>
      <c r="AS935" s="2867"/>
      <c r="AT935" s="2867"/>
      <c r="AU935" s="2867"/>
      <c r="AV935" s="2867"/>
      <c r="AW935" s="2867"/>
      <c r="AX935" s="2867"/>
      <c r="AY935" s="2867"/>
      <c r="AZ935" s="2867"/>
      <c r="BA935" s="2867"/>
      <c r="BB935" s="2867"/>
      <c r="BC935" s="2867"/>
      <c r="BD935" s="2867"/>
      <c r="BE935" s="2867"/>
      <c r="BF935" s="2867"/>
      <c r="BG935" s="2867"/>
      <c r="BH935" s="2867"/>
      <c r="BI935" s="2867"/>
      <c r="BJ935" s="2867"/>
      <c r="BK935" s="2867"/>
      <c r="BL935" s="2867"/>
      <c r="BM935" s="2867"/>
      <c r="BN935" s="2867"/>
      <c r="BO935" s="2867"/>
      <c r="BP935" s="2867"/>
      <c r="BQ935" s="2867"/>
      <c r="BR935" s="2867"/>
      <c r="BS935" s="2867"/>
      <c r="BT935" s="2867"/>
      <c r="BU935" s="2867"/>
      <c r="BV935" s="2867"/>
      <c r="BW935" s="2867"/>
      <c r="BX935" s="2867"/>
      <c r="BY935" s="2867"/>
      <c r="BZ935" s="2867"/>
      <c r="CA935" s="2867"/>
      <c r="CB935" s="2867"/>
      <c r="CC935" s="2867"/>
      <c r="CD935" s="2867"/>
      <c r="CE935" s="2867"/>
      <c r="CF935" s="2867"/>
      <c r="CG935" s="2867"/>
      <c r="CH935" s="2867"/>
      <c r="CI935" s="2867"/>
      <c r="CJ935" s="2867"/>
      <c r="CK935" s="2867"/>
      <c r="CL935" s="2867"/>
      <c r="CM935" s="2867"/>
      <c r="CN935" s="2867"/>
      <c r="CO935" s="2867"/>
      <c r="CP935" s="2867"/>
      <c r="CQ935" s="2867"/>
      <c r="CR935" s="2867"/>
      <c r="CS935" s="2867"/>
      <c r="CT935" s="2867"/>
      <c r="CU935" s="2867"/>
      <c r="CV935" s="2867"/>
      <c r="CW935" s="2867"/>
    </row>
    <row r="936" spans="1:101">
      <c r="A936" s="2867"/>
      <c r="B936" s="2867"/>
      <c r="C936" s="2867"/>
      <c r="D936" s="2867"/>
      <c r="E936" s="2867"/>
      <c r="F936" s="2867"/>
      <c r="G936" s="2867"/>
      <c r="H936" s="2867"/>
      <c r="I936" s="2867"/>
      <c r="J936" s="2867"/>
      <c r="K936" s="2867"/>
      <c r="L936" s="2867"/>
      <c r="M936" s="2867"/>
      <c r="O936" s="2867"/>
      <c r="P936" s="2867"/>
      <c r="Q936" s="2867"/>
      <c r="R936" s="2867"/>
      <c r="S936" s="2867"/>
      <c r="T936" s="2867"/>
      <c r="U936" s="2867"/>
      <c r="V936" s="2867"/>
      <c r="W936" s="2867"/>
      <c r="X936" s="2867"/>
      <c r="Y936" s="2867"/>
      <c r="Z936" s="2867"/>
      <c r="AA936" s="2867"/>
      <c r="AB936" s="2867"/>
      <c r="AC936" s="2867"/>
      <c r="AD936" s="2867"/>
      <c r="AE936" s="2867"/>
      <c r="AF936" s="2867"/>
      <c r="AG936" s="2867"/>
      <c r="AH936" s="2867"/>
      <c r="AI936" s="2867"/>
      <c r="AJ936" s="2867"/>
      <c r="AK936" s="2867"/>
      <c r="AL936" s="2867"/>
      <c r="AM936" s="2867"/>
      <c r="AN936" s="2867"/>
      <c r="AO936" s="2867"/>
      <c r="AP936" s="2867"/>
      <c r="AQ936" s="2867"/>
      <c r="AR936" s="2867"/>
      <c r="AS936" s="2867"/>
      <c r="AT936" s="2867"/>
      <c r="AU936" s="2867"/>
      <c r="AV936" s="2867"/>
      <c r="AW936" s="2867"/>
      <c r="AX936" s="2867"/>
      <c r="AY936" s="2867"/>
      <c r="AZ936" s="2867"/>
      <c r="BA936" s="2867"/>
      <c r="BB936" s="2867"/>
      <c r="BC936" s="2867"/>
      <c r="BD936" s="2867"/>
      <c r="BE936" s="2867"/>
      <c r="BF936" s="2867"/>
      <c r="BG936" s="2867"/>
      <c r="BH936" s="2867"/>
      <c r="BI936" s="2867"/>
      <c r="BJ936" s="2867"/>
      <c r="BK936" s="2867"/>
      <c r="BL936" s="2867"/>
      <c r="BM936" s="2867"/>
      <c r="BN936" s="2867"/>
      <c r="BO936" s="2867"/>
      <c r="BP936" s="2867"/>
      <c r="BQ936" s="2867"/>
      <c r="BR936" s="2867"/>
      <c r="BS936" s="2867"/>
      <c r="BT936" s="2867"/>
      <c r="BU936" s="2867"/>
      <c r="BV936" s="2867"/>
      <c r="BW936" s="2867"/>
      <c r="BX936" s="2867"/>
      <c r="BY936" s="2867"/>
      <c r="BZ936" s="2867"/>
      <c r="CA936" s="2867"/>
      <c r="CB936" s="2867"/>
      <c r="CC936" s="2867"/>
      <c r="CD936" s="2867"/>
      <c r="CE936" s="2867"/>
      <c r="CF936" s="2867"/>
      <c r="CG936" s="2867"/>
      <c r="CH936" s="2867"/>
      <c r="CI936" s="2867"/>
      <c r="CJ936" s="2867"/>
      <c r="CK936" s="2867"/>
      <c r="CL936" s="2867"/>
      <c r="CM936" s="2867"/>
      <c r="CN936" s="2867"/>
      <c r="CO936" s="2867"/>
      <c r="CP936" s="2867"/>
      <c r="CQ936" s="2867"/>
      <c r="CR936" s="2867"/>
      <c r="CS936" s="2867"/>
      <c r="CT936" s="2867"/>
      <c r="CU936" s="2867"/>
      <c r="CV936" s="2867"/>
      <c r="CW936" s="2867"/>
    </row>
    <row r="937" spans="1:101">
      <c r="A937" s="2867"/>
      <c r="B937" s="2867"/>
      <c r="C937" s="2867"/>
      <c r="D937" s="2867"/>
      <c r="E937" s="2867"/>
      <c r="F937" s="2867"/>
      <c r="G937" s="2867"/>
      <c r="H937" s="2867"/>
      <c r="I937" s="2867"/>
      <c r="J937" s="2867"/>
      <c r="K937" s="2867"/>
      <c r="L937" s="2867"/>
      <c r="M937" s="2867"/>
      <c r="O937" s="2867"/>
      <c r="P937" s="2867"/>
      <c r="Q937" s="2867"/>
      <c r="R937" s="2867"/>
      <c r="S937" s="2867"/>
      <c r="T937" s="2867"/>
      <c r="U937" s="2867"/>
      <c r="V937" s="2867"/>
      <c r="W937" s="2867"/>
      <c r="X937" s="2867"/>
      <c r="Y937" s="2867"/>
      <c r="Z937" s="2867"/>
      <c r="AA937" s="2867"/>
      <c r="AB937" s="2867"/>
      <c r="AC937" s="2867"/>
      <c r="AD937" s="2867"/>
      <c r="AE937" s="2867"/>
      <c r="AF937" s="2867"/>
      <c r="AG937" s="2867"/>
      <c r="AH937" s="2867"/>
      <c r="AI937" s="2867"/>
      <c r="AJ937" s="2867"/>
      <c r="AK937" s="2867"/>
      <c r="AL937" s="2867"/>
      <c r="AM937" s="2867"/>
      <c r="AN937" s="2867"/>
      <c r="AO937" s="2867"/>
      <c r="AP937" s="2867"/>
      <c r="AQ937" s="2867"/>
      <c r="AR937" s="2867"/>
      <c r="AS937" s="2867"/>
      <c r="AT937" s="2867"/>
      <c r="AU937" s="2867"/>
      <c r="AV937" s="2867"/>
      <c r="AW937" s="2867"/>
      <c r="AX937" s="2867"/>
      <c r="AY937" s="2867"/>
      <c r="AZ937" s="2867"/>
      <c r="BA937" s="2867"/>
      <c r="BB937" s="2867"/>
      <c r="BC937" s="2867"/>
      <c r="BD937" s="2867"/>
      <c r="BE937" s="2867"/>
      <c r="BF937" s="2867"/>
      <c r="BG937" s="2867"/>
      <c r="BH937" s="2867"/>
      <c r="BI937" s="2867"/>
      <c r="BJ937" s="2867"/>
      <c r="BK937" s="2867"/>
      <c r="BL937" s="2867"/>
      <c r="BM937" s="2867"/>
      <c r="BN937" s="2867"/>
      <c r="BO937" s="2867"/>
      <c r="BP937" s="2867"/>
      <c r="BQ937" s="2867"/>
      <c r="BR937" s="2867"/>
      <c r="BS937" s="2867"/>
      <c r="BT937" s="2867"/>
      <c r="BU937" s="2867"/>
      <c r="BV937" s="2867"/>
      <c r="BW937" s="2867"/>
      <c r="BX937" s="2867"/>
      <c r="BY937" s="2867"/>
      <c r="BZ937" s="2867"/>
      <c r="CA937" s="2867"/>
      <c r="CB937" s="2867"/>
      <c r="CC937" s="2867"/>
      <c r="CD937" s="2867"/>
      <c r="CE937" s="2867"/>
      <c r="CF937" s="2867"/>
      <c r="CG937" s="2867"/>
      <c r="CH937" s="2867"/>
      <c r="CI937" s="2867"/>
      <c r="CJ937" s="2867"/>
      <c r="CK937" s="2867"/>
      <c r="CL937" s="2867"/>
      <c r="CM937" s="2867"/>
      <c r="CN937" s="2867"/>
      <c r="CO937" s="2867"/>
      <c r="CP937" s="2867"/>
      <c r="CQ937" s="2867"/>
      <c r="CR937" s="2867"/>
      <c r="CS937" s="2867"/>
      <c r="CT937" s="2867"/>
      <c r="CU937" s="2867"/>
      <c r="CV937" s="2867"/>
      <c r="CW937" s="2867"/>
    </row>
    <row r="938" spans="1:101">
      <c r="A938" s="2867"/>
      <c r="B938" s="2867"/>
      <c r="C938" s="2867"/>
      <c r="D938" s="2867"/>
      <c r="E938" s="2867"/>
      <c r="F938" s="2867"/>
      <c r="G938" s="2867"/>
      <c r="H938" s="2867"/>
      <c r="I938" s="2867"/>
      <c r="J938" s="2867"/>
      <c r="K938" s="2867"/>
      <c r="L938" s="2867"/>
      <c r="M938" s="2867"/>
      <c r="O938" s="2867"/>
      <c r="P938" s="2867"/>
      <c r="Q938" s="2867"/>
      <c r="R938" s="2867"/>
      <c r="S938" s="2867"/>
      <c r="T938" s="2867"/>
      <c r="U938" s="2867"/>
      <c r="V938" s="2867"/>
      <c r="W938" s="2867"/>
      <c r="X938" s="2867"/>
      <c r="Y938" s="2867"/>
      <c r="Z938" s="2867"/>
      <c r="AA938" s="2867"/>
      <c r="AB938" s="2867"/>
      <c r="AC938" s="2867"/>
      <c r="AD938" s="2867"/>
      <c r="AE938" s="2867"/>
      <c r="AF938" s="2867"/>
      <c r="AG938" s="2867"/>
      <c r="AH938" s="2867"/>
      <c r="AI938" s="2867"/>
      <c r="AJ938" s="2867"/>
      <c r="AK938" s="2867"/>
      <c r="AL938" s="2867"/>
      <c r="AM938" s="2867"/>
      <c r="AN938" s="2867"/>
      <c r="AO938" s="2867"/>
      <c r="AP938" s="2867"/>
      <c r="AQ938" s="2867"/>
      <c r="AR938" s="2867"/>
      <c r="AS938" s="2867"/>
      <c r="AT938" s="2867"/>
      <c r="AU938" s="2867"/>
      <c r="AV938" s="2867"/>
      <c r="AW938" s="2867"/>
      <c r="AX938" s="2867"/>
      <c r="AY938" s="2867"/>
      <c r="AZ938" s="2867"/>
      <c r="BA938" s="2867"/>
      <c r="BB938" s="2867"/>
      <c r="BC938" s="2867"/>
      <c r="BD938" s="2867"/>
      <c r="BE938" s="2867"/>
      <c r="BF938" s="2867"/>
      <c r="BG938" s="2867"/>
      <c r="BH938" s="2867"/>
      <c r="BI938" s="2867"/>
      <c r="BJ938" s="2867"/>
      <c r="BK938" s="2867"/>
      <c r="BL938" s="2867"/>
      <c r="BM938" s="2867"/>
      <c r="BN938" s="2867"/>
      <c r="BO938" s="2867"/>
      <c r="BP938" s="2867"/>
      <c r="BQ938" s="2867"/>
      <c r="BR938" s="2867"/>
      <c r="BS938" s="2867"/>
      <c r="BT938" s="2867"/>
      <c r="BU938" s="2867"/>
      <c r="BV938" s="2867"/>
      <c r="BW938" s="2867"/>
      <c r="BX938" s="2867"/>
      <c r="BY938" s="2867"/>
      <c r="BZ938" s="2867"/>
      <c r="CA938" s="2867"/>
      <c r="CB938" s="2867"/>
      <c r="CC938" s="2867"/>
      <c r="CD938" s="2867"/>
      <c r="CE938" s="2867"/>
      <c r="CF938" s="2867"/>
      <c r="CG938" s="2867"/>
      <c r="CH938" s="2867"/>
      <c r="CI938" s="2867"/>
      <c r="CJ938" s="2867"/>
      <c r="CK938" s="2867"/>
      <c r="CL938" s="2867"/>
      <c r="CM938" s="2867"/>
      <c r="CN938" s="2867"/>
      <c r="CO938" s="2867"/>
      <c r="CP938" s="2867"/>
      <c r="CQ938" s="2867"/>
      <c r="CR938" s="2867"/>
      <c r="CS938" s="2867"/>
      <c r="CT938" s="2867"/>
      <c r="CU938" s="2867"/>
      <c r="CV938" s="2867"/>
      <c r="CW938" s="2867"/>
    </row>
    <row r="939" spans="1:101">
      <c r="A939" s="2867"/>
      <c r="B939" s="2867"/>
      <c r="C939" s="2867"/>
      <c r="D939" s="2867"/>
      <c r="E939" s="2867"/>
      <c r="F939" s="2867"/>
      <c r="G939" s="2867"/>
      <c r="H939" s="2867"/>
      <c r="I939" s="2867"/>
      <c r="J939" s="2867"/>
      <c r="K939" s="2867"/>
      <c r="L939" s="2867"/>
      <c r="M939" s="2867"/>
      <c r="O939" s="2867"/>
      <c r="P939" s="2867"/>
      <c r="Q939" s="2867"/>
      <c r="R939" s="2867"/>
      <c r="S939" s="2867"/>
      <c r="T939" s="2867"/>
      <c r="U939" s="2867"/>
      <c r="V939" s="2867"/>
      <c r="W939" s="2867"/>
      <c r="X939" s="2867"/>
      <c r="Y939" s="2867"/>
      <c r="Z939" s="2867"/>
      <c r="AA939" s="2867"/>
      <c r="AB939" s="2867"/>
      <c r="AC939" s="2867"/>
      <c r="AD939" s="2867"/>
      <c r="AE939" s="2867"/>
      <c r="AF939" s="2867"/>
      <c r="AG939" s="2867"/>
      <c r="AH939" s="2867"/>
      <c r="AI939" s="2867"/>
      <c r="AJ939" s="2867"/>
      <c r="AK939" s="2867"/>
      <c r="AL939" s="2867"/>
      <c r="AM939" s="2867"/>
      <c r="AN939" s="2867"/>
      <c r="AO939" s="2867"/>
      <c r="AP939" s="2867"/>
      <c r="AQ939" s="2867"/>
      <c r="AR939" s="2867"/>
      <c r="AS939" s="2867"/>
      <c r="AT939" s="2867"/>
      <c r="AU939" s="2867"/>
      <c r="AV939" s="2867"/>
      <c r="AW939" s="2867"/>
      <c r="AX939" s="2867"/>
      <c r="AY939" s="2867"/>
      <c r="AZ939" s="2867"/>
      <c r="BA939" s="2867"/>
      <c r="BB939" s="2867"/>
      <c r="BC939" s="2867"/>
      <c r="BD939" s="2867"/>
      <c r="BE939" s="2867"/>
      <c r="BF939" s="2867"/>
      <c r="BG939" s="2867"/>
      <c r="BH939" s="2867"/>
      <c r="BI939" s="2867"/>
      <c r="BJ939" s="2867"/>
      <c r="BK939" s="2867"/>
      <c r="BL939" s="2867"/>
      <c r="BM939" s="2867"/>
      <c r="BN939" s="2867"/>
      <c r="BO939" s="2867"/>
      <c r="BP939" s="2867"/>
      <c r="BQ939" s="2867"/>
      <c r="BR939" s="2867"/>
      <c r="BS939" s="2867"/>
      <c r="BT939" s="2867"/>
      <c r="BU939" s="2867"/>
      <c r="BV939" s="2867"/>
      <c r="BW939" s="2867"/>
      <c r="BX939" s="2867"/>
      <c r="BY939" s="2867"/>
      <c r="BZ939" s="2867"/>
      <c r="CA939" s="2867"/>
      <c r="CB939" s="2867"/>
      <c r="CC939" s="2867"/>
      <c r="CD939" s="2867"/>
      <c r="CE939" s="2867"/>
      <c r="CF939" s="2867"/>
      <c r="CG939" s="2867"/>
      <c r="CH939" s="2867"/>
      <c r="CI939" s="2867"/>
      <c r="CJ939" s="2867"/>
      <c r="CK939" s="2867"/>
      <c r="CL939" s="2867"/>
      <c r="CM939" s="2867"/>
      <c r="CN939" s="2867"/>
      <c r="CO939" s="2867"/>
      <c r="CP939" s="2867"/>
      <c r="CQ939" s="2867"/>
      <c r="CR939" s="2867"/>
      <c r="CS939" s="2867"/>
      <c r="CT939" s="2867"/>
      <c r="CU939" s="2867"/>
      <c r="CV939" s="2867"/>
      <c r="CW939" s="2867"/>
    </row>
    <row r="940" spans="1:101">
      <c r="A940" s="2867"/>
      <c r="B940" s="2867"/>
      <c r="C940" s="2867"/>
      <c r="D940" s="2867"/>
      <c r="E940" s="2867"/>
      <c r="F940" s="2867"/>
      <c r="G940" s="2867"/>
      <c r="H940" s="2867"/>
      <c r="I940" s="2867"/>
      <c r="J940" s="2867"/>
      <c r="K940" s="2867"/>
      <c r="L940" s="2867"/>
      <c r="M940" s="2867"/>
      <c r="O940" s="2867"/>
      <c r="P940" s="2867"/>
      <c r="Q940" s="2867"/>
      <c r="R940" s="2867"/>
      <c r="S940" s="2867"/>
      <c r="T940" s="2867"/>
      <c r="U940" s="2867"/>
      <c r="V940" s="2867"/>
      <c r="W940" s="2867"/>
      <c r="X940" s="2867"/>
      <c r="Y940" s="2867"/>
      <c r="Z940" s="2867"/>
      <c r="AA940" s="2867"/>
      <c r="AB940" s="2867"/>
      <c r="AC940" s="2867"/>
      <c r="AD940" s="2867"/>
      <c r="AE940" s="2867"/>
      <c r="AF940" s="2867"/>
      <c r="AG940" s="2867"/>
      <c r="AH940" s="2867"/>
      <c r="AI940" s="2867"/>
      <c r="AJ940" s="2867"/>
      <c r="AK940" s="2867"/>
      <c r="AL940" s="2867"/>
      <c r="AM940" s="2867"/>
      <c r="AN940" s="2867"/>
      <c r="AO940" s="2867"/>
      <c r="AP940" s="2867"/>
      <c r="AQ940" s="2867"/>
      <c r="AR940" s="2867"/>
      <c r="AS940" s="2867"/>
      <c r="AT940" s="2867"/>
      <c r="AU940" s="2867"/>
      <c r="AV940" s="2867"/>
      <c r="AW940" s="2867"/>
      <c r="AX940" s="2867"/>
      <c r="AY940" s="2867"/>
      <c r="AZ940" s="2867"/>
      <c r="BA940" s="2867"/>
      <c r="BB940" s="2867"/>
      <c r="BC940" s="2867"/>
      <c r="BD940" s="2867"/>
      <c r="BE940" s="2867"/>
      <c r="BF940" s="2867"/>
      <c r="BG940" s="2867"/>
      <c r="BH940" s="2867"/>
      <c r="BI940" s="2867"/>
      <c r="BJ940" s="2867"/>
      <c r="BK940" s="2867"/>
      <c r="BL940" s="2867"/>
      <c r="BM940" s="2867"/>
      <c r="BN940" s="2867"/>
      <c r="BO940" s="2867"/>
      <c r="BP940" s="2867"/>
      <c r="BQ940" s="2867"/>
      <c r="BR940" s="2867"/>
      <c r="BS940" s="2867"/>
      <c r="BT940" s="2867"/>
      <c r="BU940" s="2867"/>
      <c r="BV940" s="2867"/>
      <c r="BW940" s="2867"/>
      <c r="BX940" s="2867"/>
      <c r="BY940" s="2867"/>
      <c r="BZ940" s="2867"/>
      <c r="CA940" s="2867"/>
      <c r="CB940" s="2867"/>
      <c r="CC940" s="2867"/>
      <c r="CD940" s="2867"/>
      <c r="CE940" s="2867"/>
      <c r="CF940" s="2867"/>
      <c r="CG940" s="2867"/>
      <c r="CH940" s="2867"/>
      <c r="CI940" s="2867"/>
      <c r="CJ940" s="2867"/>
      <c r="CK940" s="2867"/>
      <c r="CL940" s="2867"/>
      <c r="CM940" s="2867"/>
      <c r="CN940" s="2867"/>
      <c r="CO940" s="2867"/>
      <c r="CP940" s="2867"/>
      <c r="CQ940" s="2867"/>
      <c r="CR940" s="2867"/>
      <c r="CS940" s="2867"/>
      <c r="CT940" s="2867"/>
      <c r="CU940" s="2867"/>
      <c r="CV940" s="2867"/>
      <c r="CW940" s="2867"/>
    </row>
    <row r="941" spans="1:101">
      <c r="A941" s="2867"/>
      <c r="B941" s="2867"/>
      <c r="C941" s="2867"/>
      <c r="D941" s="2867"/>
      <c r="E941" s="2867"/>
      <c r="F941" s="2867"/>
      <c r="G941" s="2867"/>
      <c r="H941" s="2867"/>
      <c r="I941" s="2867"/>
      <c r="J941" s="2867"/>
      <c r="K941" s="2867"/>
      <c r="L941" s="2867"/>
      <c r="M941" s="2867"/>
      <c r="O941" s="2867"/>
      <c r="P941" s="2867"/>
      <c r="Q941" s="2867"/>
      <c r="R941" s="2867"/>
      <c r="S941" s="2867"/>
      <c r="T941" s="2867"/>
      <c r="U941" s="2867"/>
      <c r="V941" s="2867"/>
      <c r="W941" s="2867"/>
      <c r="X941" s="2867"/>
      <c r="Y941" s="2867"/>
      <c r="Z941" s="2867"/>
      <c r="AA941" s="2867"/>
      <c r="AB941" s="2867"/>
      <c r="AC941" s="2867"/>
      <c r="AD941" s="2867"/>
      <c r="AE941" s="2867"/>
      <c r="AF941" s="2867"/>
      <c r="AG941" s="2867"/>
      <c r="AH941" s="2867"/>
      <c r="AI941" s="2867"/>
      <c r="AJ941" s="2867"/>
      <c r="AK941" s="2867"/>
      <c r="AL941" s="2867"/>
      <c r="AM941" s="2867"/>
      <c r="AN941" s="2867"/>
      <c r="AO941" s="2867"/>
      <c r="AP941" s="2867"/>
      <c r="AQ941" s="2867"/>
      <c r="AR941" s="2867"/>
      <c r="AS941" s="2867"/>
      <c r="AT941" s="2867"/>
      <c r="AU941" s="2867"/>
      <c r="AV941" s="2867"/>
      <c r="AW941" s="2867"/>
      <c r="AX941" s="2867"/>
      <c r="AY941" s="2867"/>
      <c r="AZ941" s="2867"/>
      <c r="BA941" s="2867"/>
      <c r="BB941" s="2867"/>
      <c r="BC941" s="2867"/>
      <c r="BD941" s="2867"/>
      <c r="BE941" s="2867"/>
      <c r="BF941" s="2867"/>
      <c r="BG941" s="2867"/>
      <c r="BH941" s="2867"/>
      <c r="BI941" s="2867"/>
      <c r="BJ941" s="2867"/>
      <c r="BK941" s="2867"/>
      <c r="BL941" s="2867"/>
      <c r="BM941" s="2867"/>
      <c r="BN941" s="2867"/>
      <c r="BO941" s="2867"/>
      <c r="BP941" s="2867"/>
      <c r="BQ941" s="2867"/>
      <c r="BR941" s="2867"/>
      <c r="BS941" s="2867"/>
      <c r="BT941" s="2867"/>
      <c r="BU941" s="2867"/>
      <c r="BV941" s="2867"/>
      <c r="BW941" s="2867"/>
      <c r="BX941" s="2867"/>
      <c r="BY941" s="2867"/>
      <c r="BZ941" s="2867"/>
      <c r="CA941" s="2867"/>
      <c r="CB941" s="2867"/>
      <c r="CC941" s="2867"/>
      <c r="CD941" s="2867"/>
      <c r="CE941" s="2867"/>
      <c r="CF941" s="2867"/>
      <c r="CG941" s="2867"/>
      <c r="CH941" s="2867"/>
      <c r="CI941" s="2867"/>
      <c r="CJ941" s="2867"/>
      <c r="CK941" s="2867"/>
      <c r="CL941" s="2867"/>
      <c r="CM941" s="2867"/>
      <c r="CN941" s="2867"/>
      <c r="CO941" s="2867"/>
      <c r="CP941" s="2867"/>
      <c r="CQ941" s="2867"/>
      <c r="CR941" s="2867"/>
      <c r="CS941" s="2867"/>
      <c r="CT941" s="2867"/>
      <c r="CU941" s="2867"/>
      <c r="CV941" s="2867"/>
      <c r="CW941" s="2867"/>
    </row>
    <row r="942" spans="1:101">
      <c r="A942" s="2867"/>
      <c r="B942" s="2867"/>
      <c r="C942" s="2867"/>
      <c r="D942" s="2867"/>
      <c r="E942" s="2867"/>
      <c r="F942" s="2867"/>
      <c r="G942" s="2867"/>
      <c r="H942" s="2867"/>
      <c r="I942" s="2867"/>
      <c r="J942" s="2867"/>
      <c r="K942" s="2867"/>
      <c r="L942" s="2867"/>
      <c r="M942" s="2867"/>
      <c r="O942" s="2867"/>
      <c r="P942" s="2867"/>
      <c r="Q942" s="2867"/>
      <c r="R942" s="2867"/>
      <c r="S942" s="2867"/>
      <c r="T942" s="2867"/>
      <c r="U942" s="2867"/>
      <c r="V942" s="2867"/>
      <c r="W942" s="2867"/>
      <c r="X942" s="2867"/>
      <c r="Y942" s="2867"/>
      <c r="Z942" s="2867"/>
      <c r="AA942" s="2867"/>
      <c r="AB942" s="2867"/>
      <c r="AC942" s="2867"/>
      <c r="AD942" s="2867"/>
      <c r="AE942" s="2867"/>
      <c r="AF942" s="2867"/>
      <c r="AG942" s="2867"/>
      <c r="AH942" s="2867"/>
      <c r="AI942" s="2867"/>
      <c r="AJ942" s="2867"/>
      <c r="AK942" s="2867"/>
      <c r="AL942" s="2867"/>
      <c r="AM942" s="2867"/>
      <c r="AN942" s="2867"/>
      <c r="AO942" s="2867"/>
      <c r="AP942" s="2867"/>
      <c r="AQ942" s="2867"/>
      <c r="AR942" s="2867"/>
      <c r="AS942" s="2867"/>
      <c r="AT942" s="2867"/>
      <c r="AU942" s="2867"/>
      <c r="AV942" s="2867"/>
      <c r="AW942" s="2867"/>
      <c r="AX942" s="2867"/>
      <c r="AY942" s="2867"/>
      <c r="AZ942" s="2867"/>
      <c r="BA942" s="2867"/>
      <c r="BB942" s="2867"/>
      <c r="BC942" s="2867"/>
      <c r="BD942" s="2867"/>
      <c r="BE942" s="2867"/>
      <c r="BF942" s="2867"/>
      <c r="BG942" s="2867"/>
      <c r="BH942" s="2867"/>
      <c r="BI942" s="2867"/>
      <c r="BJ942" s="2867"/>
      <c r="BK942" s="2867"/>
      <c r="BL942" s="2867"/>
      <c r="BM942" s="2867"/>
      <c r="BN942" s="2867"/>
      <c r="BO942" s="2867"/>
      <c r="BP942" s="2867"/>
      <c r="BQ942" s="2867"/>
      <c r="BR942" s="2867"/>
      <c r="BS942" s="2867"/>
      <c r="BT942" s="2867"/>
      <c r="BU942" s="2867"/>
      <c r="BV942" s="2867"/>
      <c r="BW942" s="2867"/>
      <c r="BX942" s="2867"/>
      <c r="BY942" s="2867"/>
      <c r="BZ942" s="2867"/>
      <c r="CA942" s="2867"/>
      <c r="CB942" s="2867"/>
      <c r="CC942" s="2867"/>
      <c r="CD942" s="2867"/>
      <c r="CE942" s="2867"/>
      <c r="CF942" s="2867"/>
      <c r="CG942" s="2867"/>
      <c r="CH942" s="2867"/>
      <c r="CI942" s="2867"/>
      <c r="CJ942" s="2867"/>
      <c r="CK942" s="2867"/>
      <c r="CL942" s="2867"/>
      <c r="CM942" s="2867"/>
      <c r="CN942" s="2867"/>
      <c r="CO942" s="2867"/>
      <c r="CP942" s="2867"/>
      <c r="CQ942" s="2867"/>
      <c r="CR942" s="2867"/>
      <c r="CS942" s="2867"/>
      <c r="CT942" s="2867"/>
      <c r="CU942" s="2867"/>
      <c r="CV942" s="2867"/>
      <c r="CW942" s="2867"/>
    </row>
    <row r="943" spans="1:101">
      <c r="A943" s="2867"/>
      <c r="B943" s="2867"/>
      <c r="C943" s="2867"/>
      <c r="D943" s="2867"/>
      <c r="E943" s="2867"/>
      <c r="F943" s="2867"/>
      <c r="G943" s="2867"/>
      <c r="H943" s="2867"/>
      <c r="I943" s="2867"/>
      <c r="J943" s="2867"/>
      <c r="K943" s="2867"/>
      <c r="L943" s="2867"/>
      <c r="M943" s="2867"/>
      <c r="O943" s="2867"/>
      <c r="P943" s="2867"/>
      <c r="Q943" s="2867"/>
      <c r="R943" s="2867"/>
      <c r="S943" s="2867"/>
      <c r="T943" s="2867"/>
      <c r="U943" s="2867"/>
      <c r="V943" s="2867"/>
      <c r="W943" s="2867"/>
      <c r="X943" s="2867"/>
      <c r="Y943" s="2867"/>
      <c r="Z943" s="2867"/>
      <c r="AA943" s="2867"/>
      <c r="AB943" s="2867"/>
      <c r="AC943" s="2867"/>
      <c r="AD943" s="2867"/>
      <c r="AE943" s="2867"/>
      <c r="AF943" s="2867"/>
      <c r="AG943" s="2867"/>
      <c r="AH943" s="2867"/>
      <c r="AI943" s="2867"/>
      <c r="AJ943" s="2867"/>
      <c r="AK943" s="2867"/>
      <c r="AL943" s="2867"/>
      <c r="AM943" s="2867"/>
      <c r="AN943" s="2867"/>
      <c r="AO943" s="2867"/>
      <c r="AP943" s="2867"/>
      <c r="AQ943" s="2867"/>
      <c r="AR943" s="2867"/>
      <c r="AS943" s="2867"/>
      <c r="AT943" s="2867"/>
      <c r="AU943" s="2867"/>
      <c r="AV943" s="2867"/>
      <c r="AW943" s="2867"/>
      <c r="AX943" s="2867"/>
      <c r="AY943" s="2867"/>
      <c r="AZ943" s="2867"/>
      <c r="BA943" s="2867"/>
      <c r="BB943" s="2867"/>
      <c r="BC943" s="2867"/>
      <c r="BD943" s="2867"/>
      <c r="BE943" s="2867"/>
      <c r="BF943" s="2867"/>
      <c r="BG943" s="2867"/>
      <c r="BH943" s="2867"/>
      <c r="BI943" s="2867"/>
      <c r="BJ943" s="2867"/>
      <c r="BK943" s="2867"/>
      <c r="BL943" s="2867"/>
      <c r="BM943" s="2867"/>
      <c r="BN943" s="2867"/>
      <c r="BO943" s="2867"/>
      <c r="BP943" s="2867"/>
      <c r="BQ943" s="2867"/>
      <c r="BR943" s="2867"/>
      <c r="BS943" s="2867"/>
      <c r="BT943" s="2867"/>
      <c r="BU943" s="2867"/>
      <c r="BV943" s="2867"/>
      <c r="BW943" s="2867"/>
      <c r="BX943" s="2867"/>
      <c r="BY943" s="2867"/>
      <c r="BZ943" s="2867"/>
      <c r="CA943" s="2867"/>
      <c r="CB943" s="2867"/>
      <c r="CC943" s="2867"/>
      <c r="CD943" s="2867"/>
      <c r="CE943" s="2867"/>
      <c r="CF943" s="2867"/>
      <c r="CG943" s="2867"/>
      <c r="CH943" s="2867"/>
      <c r="CI943" s="2867"/>
      <c r="CJ943" s="2867"/>
      <c r="CK943" s="2867"/>
      <c r="CL943" s="2867"/>
      <c r="CM943" s="2867"/>
      <c r="CN943" s="2867"/>
      <c r="CO943" s="2867"/>
      <c r="CP943" s="2867"/>
      <c r="CQ943" s="2867"/>
      <c r="CR943" s="2867"/>
      <c r="CS943" s="2867"/>
      <c r="CT943" s="2867"/>
      <c r="CU943" s="2867"/>
      <c r="CV943" s="2867"/>
      <c r="CW943" s="2867"/>
    </row>
    <row r="944" spans="1:101">
      <c r="A944" s="2867"/>
      <c r="B944" s="2867"/>
      <c r="C944" s="2867"/>
      <c r="D944" s="2867"/>
      <c r="E944" s="2867"/>
      <c r="F944" s="2867"/>
      <c r="G944" s="2867"/>
      <c r="H944" s="2867"/>
      <c r="I944" s="2867"/>
      <c r="J944" s="2867"/>
      <c r="K944" s="2867"/>
      <c r="L944" s="2867"/>
      <c r="M944" s="2867"/>
      <c r="O944" s="2867"/>
      <c r="P944" s="2867"/>
      <c r="Q944" s="2867"/>
      <c r="R944" s="2867"/>
      <c r="S944" s="2867"/>
      <c r="T944" s="2867"/>
      <c r="U944" s="2867"/>
      <c r="V944" s="2867"/>
      <c r="W944" s="2867"/>
      <c r="X944" s="2867"/>
      <c r="Y944" s="2867"/>
      <c r="Z944" s="2867"/>
      <c r="AA944" s="2867"/>
      <c r="AB944" s="2867"/>
      <c r="AC944" s="2867"/>
      <c r="AD944" s="2867"/>
      <c r="AE944" s="2867"/>
      <c r="AF944" s="2867"/>
      <c r="AG944" s="2867"/>
      <c r="AH944" s="2867"/>
      <c r="AI944" s="2867"/>
      <c r="AJ944" s="2867"/>
      <c r="AK944" s="2867"/>
      <c r="AL944" s="2867"/>
      <c r="AM944" s="2867"/>
      <c r="AN944" s="2867"/>
      <c r="AO944" s="2867"/>
      <c r="AP944" s="2867"/>
      <c r="AQ944" s="2867"/>
      <c r="AR944" s="2867"/>
      <c r="AS944" s="2867"/>
      <c r="AT944" s="2867"/>
      <c r="AU944" s="2867"/>
      <c r="AV944" s="2867"/>
      <c r="AW944" s="2867"/>
      <c r="AX944" s="2867"/>
      <c r="AY944" s="2867"/>
      <c r="AZ944" s="2867"/>
      <c r="BA944" s="2867"/>
      <c r="BB944" s="2867"/>
      <c r="BC944" s="2867"/>
      <c r="BD944" s="2867"/>
      <c r="BE944" s="2867"/>
      <c r="BF944" s="2867"/>
      <c r="BG944" s="2867"/>
      <c r="BH944" s="2867"/>
      <c r="BI944" s="2867"/>
      <c r="BJ944" s="2867"/>
      <c r="BK944" s="2867"/>
      <c r="BL944" s="2867"/>
      <c r="BM944" s="2867"/>
      <c r="BN944" s="2867"/>
      <c r="BO944" s="2867"/>
      <c r="BP944" s="2867"/>
      <c r="BQ944" s="2867"/>
      <c r="BR944" s="2867"/>
      <c r="BS944" s="2867"/>
      <c r="BT944" s="2867"/>
      <c r="BU944" s="2867"/>
      <c r="BV944" s="2867"/>
      <c r="BW944" s="2867"/>
      <c r="BX944" s="2867"/>
      <c r="BY944" s="2867"/>
      <c r="BZ944" s="2867"/>
      <c r="CA944" s="2867"/>
      <c r="CB944" s="2867"/>
      <c r="CC944" s="2867"/>
      <c r="CD944" s="2867"/>
      <c r="CE944" s="2867"/>
      <c r="CF944" s="2867"/>
      <c r="CG944" s="2867"/>
      <c r="CH944" s="2867"/>
      <c r="CI944" s="2867"/>
      <c r="CJ944" s="2867"/>
      <c r="CK944" s="2867"/>
      <c r="CL944" s="2867"/>
      <c r="CM944" s="2867"/>
      <c r="CN944" s="2867"/>
      <c r="CO944" s="2867"/>
      <c r="CP944" s="2867"/>
      <c r="CQ944" s="2867"/>
      <c r="CR944" s="2867"/>
      <c r="CS944" s="2867"/>
      <c r="CT944" s="2867"/>
      <c r="CU944" s="2867"/>
      <c r="CV944" s="2867"/>
      <c r="CW944" s="2867"/>
    </row>
    <row r="945" spans="1:101">
      <c r="A945" s="2867"/>
      <c r="B945" s="2867"/>
      <c r="C945" s="2867"/>
      <c r="D945" s="2867"/>
      <c r="E945" s="2867"/>
      <c r="F945" s="2867"/>
      <c r="G945" s="2867"/>
      <c r="H945" s="2867"/>
      <c r="I945" s="2867"/>
      <c r="J945" s="2867"/>
      <c r="K945" s="2867"/>
      <c r="L945" s="2867"/>
      <c r="M945" s="2867"/>
      <c r="O945" s="2867"/>
      <c r="P945" s="2867"/>
      <c r="Q945" s="2867"/>
      <c r="R945" s="2867"/>
      <c r="S945" s="2867"/>
      <c r="T945" s="2867"/>
      <c r="U945" s="2867"/>
      <c r="V945" s="2867"/>
      <c r="W945" s="2867"/>
      <c r="X945" s="2867"/>
      <c r="Y945" s="2867"/>
      <c r="Z945" s="2867"/>
      <c r="AA945" s="2867"/>
      <c r="AB945" s="2867"/>
      <c r="AC945" s="2867"/>
      <c r="AD945" s="2867"/>
      <c r="AE945" s="2867"/>
      <c r="AF945" s="2867"/>
      <c r="AG945" s="2867"/>
      <c r="AH945" s="2867"/>
      <c r="AI945" s="2867"/>
      <c r="AJ945" s="2867"/>
      <c r="AK945" s="2867"/>
      <c r="AL945" s="2867"/>
      <c r="AM945" s="2867"/>
      <c r="AN945" s="2867"/>
      <c r="AO945" s="2867"/>
      <c r="AP945" s="2867"/>
      <c r="AQ945" s="2867"/>
      <c r="AR945" s="2867"/>
      <c r="AS945" s="2867"/>
      <c r="AT945" s="2867"/>
      <c r="AU945" s="2867"/>
      <c r="AV945" s="2867"/>
      <c r="AW945" s="2867"/>
      <c r="AX945" s="2867"/>
      <c r="AY945" s="2867"/>
      <c r="AZ945" s="2867"/>
      <c r="BA945" s="2867"/>
      <c r="BB945" s="2867"/>
      <c r="BC945" s="2867"/>
      <c r="BD945" s="2867"/>
      <c r="BE945" s="2867"/>
      <c r="BF945" s="2867"/>
      <c r="BG945" s="2867"/>
      <c r="BH945" s="2867"/>
      <c r="BI945" s="2867"/>
      <c r="BJ945" s="2867"/>
      <c r="BK945" s="2867"/>
      <c r="BL945" s="2867"/>
      <c r="BM945" s="2867"/>
      <c r="BN945" s="2867"/>
      <c r="BO945" s="2867"/>
      <c r="BP945" s="2867"/>
      <c r="BQ945" s="2867"/>
      <c r="BR945" s="2867"/>
      <c r="BS945" s="2867"/>
      <c r="BT945" s="2867"/>
      <c r="BU945" s="2867"/>
      <c r="BV945" s="2867"/>
      <c r="BW945" s="2867"/>
      <c r="BX945" s="2867"/>
      <c r="BY945" s="2867"/>
      <c r="BZ945" s="2867"/>
      <c r="CA945" s="2867"/>
      <c r="CB945" s="2867"/>
      <c r="CC945" s="2867"/>
      <c r="CD945" s="2867"/>
      <c r="CE945" s="2867"/>
      <c r="CF945" s="2867"/>
      <c r="CG945" s="2867"/>
      <c r="CH945" s="2867"/>
      <c r="CI945" s="2867"/>
      <c r="CJ945" s="2867"/>
      <c r="CK945" s="2867"/>
      <c r="CL945" s="2867"/>
      <c r="CM945" s="2867"/>
      <c r="CN945" s="2867"/>
      <c r="CO945" s="2867"/>
      <c r="CP945" s="2867"/>
      <c r="CQ945" s="2867"/>
      <c r="CR945" s="2867"/>
      <c r="CS945" s="2867"/>
      <c r="CT945" s="2867"/>
      <c r="CU945" s="2867"/>
      <c r="CV945" s="2867"/>
      <c r="CW945" s="2867"/>
    </row>
    <row r="946" spans="1:101">
      <c r="A946" s="2867"/>
      <c r="B946" s="2867"/>
      <c r="C946" s="2867"/>
      <c r="D946" s="2867"/>
      <c r="E946" s="2867"/>
      <c r="F946" s="2867"/>
      <c r="G946" s="2867"/>
      <c r="H946" s="2867"/>
      <c r="I946" s="2867"/>
      <c r="J946" s="2867"/>
      <c r="K946" s="2867"/>
      <c r="L946" s="2867"/>
      <c r="M946" s="2867"/>
      <c r="O946" s="2867"/>
      <c r="P946" s="2867"/>
      <c r="Q946" s="2867"/>
      <c r="R946" s="2867"/>
      <c r="S946" s="2867"/>
      <c r="T946" s="2867"/>
      <c r="U946" s="2867"/>
      <c r="V946" s="2867"/>
      <c r="W946" s="2867"/>
      <c r="X946" s="2867"/>
      <c r="Y946" s="2867"/>
      <c r="Z946" s="2867"/>
      <c r="AA946" s="2867"/>
      <c r="AB946" s="2867"/>
      <c r="AC946" s="2867"/>
      <c r="AD946" s="2867"/>
      <c r="AE946" s="2867"/>
      <c r="AF946" s="2867"/>
      <c r="AG946" s="2867"/>
      <c r="AH946" s="2867"/>
      <c r="AI946" s="2867"/>
      <c r="AJ946" s="2867"/>
      <c r="AK946" s="2867"/>
      <c r="AL946" s="2867"/>
      <c r="AM946" s="2867"/>
      <c r="AN946" s="2867"/>
      <c r="AO946" s="2867"/>
      <c r="AP946" s="2867"/>
      <c r="AQ946" s="2867"/>
      <c r="AR946" s="2867"/>
      <c r="AS946" s="2867"/>
      <c r="AT946" s="2867"/>
      <c r="AU946" s="2867"/>
      <c r="AV946" s="2867"/>
      <c r="AW946" s="2867"/>
      <c r="AX946" s="2867"/>
      <c r="AY946" s="2867"/>
      <c r="AZ946" s="2867"/>
      <c r="BA946" s="2867"/>
      <c r="BB946" s="2867"/>
      <c r="BC946" s="2867"/>
      <c r="BD946" s="2867"/>
      <c r="BE946" s="2867"/>
      <c r="BF946" s="2867"/>
      <c r="BG946" s="2867"/>
      <c r="BH946" s="2867"/>
      <c r="BI946" s="2867"/>
      <c r="BJ946" s="2867"/>
      <c r="BK946" s="2867"/>
      <c r="BL946" s="2867"/>
      <c r="BM946" s="2867"/>
      <c r="BN946" s="2867"/>
      <c r="BO946" s="2867"/>
      <c r="BP946" s="2867"/>
      <c r="BQ946" s="2867"/>
      <c r="BR946" s="2867"/>
      <c r="BS946" s="2867"/>
      <c r="BT946" s="2867"/>
      <c r="BU946" s="2867"/>
      <c r="BV946" s="2867"/>
      <c r="BW946" s="2867"/>
      <c r="BX946" s="2867"/>
      <c r="BY946" s="2867"/>
      <c r="BZ946" s="2867"/>
      <c r="CA946" s="2867"/>
      <c r="CB946" s="2867"/>
      <c r="CC946" s="2867"/>
      <c r="CD946" s="2867"/>
      <c r="CE946" s="2867"/>
      <c r="CF946" s="2867"/>
      <c r="CG946" s="2867"/>
      <c r="CH946" s="2867"/>
      <c r="CI946" s="2867"/>
      <c r="CJ946" s="2867"/>
      <c r="CK946" s="2867"/>
      <c r="CL946" s="2867"/>
      <c r="CM946" s="2867"/>
      <c r="CN946" s="2867"/>
      <c r="CO946" s="2867"/>
      <c r="CP946" s="2867"/>
      <c r="CQ946" s="2867"/>
      <c r="CR946" s="2867"/>
      <c r="CS946" s="2867"/>
      <c r="CT946" s="2867"/>
      <c r="CU946" s="2867"/>
      <c r="CV946" s="2867"/>
      <c r="CW946" s="2867"/>
    </row>
    <row r="947" spans="1:101">
      <c r="A947" s="2867"/>
      <c r="B947" s="2867"/>
      <c r="C947" s="2867"/>
      <c r="D947" s="2867"/>
      <c r="E947" s="2867"/>
      <c r="F947" s="2867"/>
      <c r="G947" s="2867"/>
      <c r="H947" s="2867"/>
      <c r="I947" s="2867"/>
      <c r="J947" s="2867"/>
      <c r="K947" s="2867"/>
      <c r="L947" s="2867"/>
      <c r="M947" s="2867"/>
      <c r="O947" s="2867"/>
      <c r="P947" s="2867"/>
      <c r="Q947" s="2867"/>
      <c r="R947" s="2867"/>
      <c r="S947" s="2867"/>
      <c r="T947" s="2867"/>
      <c r="U947" s="2867"/>
      <c r="V947" s="2867"/>
      <c r="W947" s="2867"/>
      <c r="X947" s="2867"/>
      <c r="Y947" s="2867"/>
      <c r="Z947" s="2867"/>
      <c r="AA947" s="2867"/>
      <c r="AB947" s="2867"/>
      <c r="AC947" s="2867"/>
      <c r="AD947" s="2867"/>
      <c r="AE947" s="2867"/>
      <c r="AF947" s="2867"/>
      <c r="AG947" s="2867"/>
      <c r="AH947" s="2867"/>
      <c r="AI947" s="2867"/>
      <c r="AJ947" s="2867"/>
      <c r="AK947" s="2867"/>
      <c r="AL947" s="2867"/>
      <c r="AM947" s="2867"/>
      <c r="AN947" s="2867"/>
      <c r="AO947" s="2867"/>
      <c r="AP947" s="2867"/>
      <c r="AQ947" s="2867"/>
      <c r="AR947" s="2867"/>
      <c r="AS947" s="2867"/>
      <c r="AT947" s="2867"/>
      <c r="AU947" s="2867"/>
      <c r="AV947" s="2867"/>
      <c r="AW947" s="2867"/>
      <c r="AX947" s="2867"/>
      <c r="AY947" s="2867"/>
      <c r="AZ947" s="2867"/>
      <c r="BA947" s="2867"/>
      <c r="BB947" s="2867"/>
      <c r="BC947" s="2867"/>
      <c r="BD947" s="2867"/>
      <c r="BE947" s="2867"/>
      <c r="BF947" s="2867"/>
      <c r="BG947" s="2867"/>
      <c r="BH947" s="2867"/>
      <c r="BI947" s="2867"/>
      <c r="BJ947" s="2867"/>
      <c r="BK947" s="2867"/>
      <c r="BL947" s="2867"/>
      <c r="BM947" s="2867"/>
      <c r="BN947" s="2867"/>
      <c r="BO947" s="2867"/>
      <c r="BP947" s="2867"/>
      <c r="BQ947" s="2867"/>
      <c r="BR947" s="2867"/>
      <c r="BS947" s="2867"/>
      <c r="BT947" s="2867"/>
      <c r="BU947" s="2867"/>
      <c r="BV947" s="2867"/>
      <c r="BW947" s="2867"/>
      <c r="BX947" s="2867"/>
      <c r="BY947" s="2867"/>
      <c r="BZ947" s="2867"/>
      <c r="CA947" s="2867"/>
      <c r="CB947" s="2867"/>
      <c r="CC947" s="2867"/>
      <c r="CD947" s="2867"/>
      <c r="CE947" s="2867"/>
      <c r="CF947" s="2867"/>
      <c r="CG947" s="2867"/>
      <c r="CH947" s="2867"/>
      <c r="CI947" s="2867"/>
      <c r="CJ947" s="2867"/>
      <c r="CK947" s="2867"/>
      <c r="CL947" s="2867"/>
      <c r="CM947" s="2867"/>
      <c r="CN947" s="2867"/>
      <c r="CO947" s="2867"/>
      <c r="CP947" s="2867"/>
      <c r="CQ947" s="2867"/>
      <c r="CR947" s="2867"/>
      <c r="CS947" s="2867"/>
      <c r="CT947" s="2867"/>
      <c r="CU947" s="2867"/>
      <c r="CV947" s="2867"/>
      <c r="CW947" s="2867"/>
    </row>
    <row r="948" spans="1:101">
      <c r="A948" s="2867"/>
      <c r="B948" s="2867"/>
      <c r="C948" s="2867"/>
      <c r="D948" s="2867"/>
      <c r="E948" s="2867"/>
      <c r="F948" s="2867"/>
      <c r="G948" s="2867"/>
      <c r="H948" s="2867"/>
      <c r="I948" s="2867"/>
      <c r="J948" s="2867"/>
      <c r="K948" s="2867"/>
      <c r="L948" s="2867"/>
      <c r="M948" s="2867"/>
      <c r="O948" s="2867"/>
      <c r="P948" s="2867"/>
      <c r="Q948" s="2867"/>
      <c r="R948" s="2867"/>
      <c r="S948" s="2867"/>
      <c r="T948" s="2867"/>
      <c r="U948" s="2867"/>
      <c r="V948" s="2867"/>
      <c r="W948" s="2867"/>
      <c r="X948" s="2867"/>
      <c r="Y948" s="2867"/>
      <c r="Z948" s="2867"/>
      <c r="AA948" s="2867"/>
      <c r="AB948" s="2867"/>
      <c r="AC948" s="2867"/>
      <c r="AD948" s="2867"/>
      <c r="AE948" s="2867"/>
      <c r="AF948" s="2867"/>
      <c r="AG948" s="2867"/>
      <c r="AH948" s="2867"/>
      <c r="AI948" s="2867"/>
      <c r="AJ948" s="2867"/>
      <c r="AK948" s="2867"/>
      <c r="AL948" s="2867"/>
      <c r="AM948" s="2867"/>
      <c r="AN948" s="2867"/>
      <c r="AO948" s="2867"/>
      <c r="AP948" s="2867"/>
      <c r="AQ948" s="2867"/>
      <c r="AR948" s="2867"/>
      <c r="AS948" s="2867"/>
      <c r="AT948" s="2867"/>
      <c r="AU948" s="2867"/>
      <c r="AV948" s="2867"/>
      <c r="AW948" s="2867"/>
      <c r="AX948" s="2867"/>
      <c r="AY948" s="2867"/>
      <c r="AZ948" s="2867"/>
      <c r="BA948" s="2867"/>
      <c r="BB948" s="2867"/>
      <c r="BC948" s="2867"/>
      <c r="BD948" s="2867"/>
      <c r="BE948" s="2867"/>
      <c r="BF948" s="2867"/>
      <c r="BG948" s="2867"/>
      <c r="BH948" s="2867"/>
      <c r="BI948" s="2867"/>
      <c r="BJ948" s="2867"/>
      <c r="BK948" s="2867"/>
      <c r="BL948" s="2867"/>
      <c r="BM948" s="2867"/>
      <c r="BN948" s="2867"/>
      <c r="BO948" s="2867"/>
      <c r="BP948" s="2867"/>
      <c r="BQ948" s="2867"/>
      <c r="BR948" s="2867"/>
      <c r="BS948" s="2867"/>
      <c r="BT948" s="2867"/>
      <c r="BU948" s="2867"/>
      <c r="BV948" s="2867"/>
      <c r="BW948" s="2867"/>
      <c r="BX948" s="2867"/>
      <c r="BY948" s="2867"/>
      <c r="BZ948" s="2867"/>
      <c r="CA948" s="2867"/>
      <c r="CB948" s="2867"/>
      <c r="CC948" s="2867"/>
      <c r="CD948" s="2867"/>
      <c r="CE948" s="2867"/>
      <c r="CF948" s="2867"/>
      <c r="CG948" s="2867"/>
      <c r="CH948" s="2867"/>
      <c r="CI948" s="2867"/>
      <c r="CJ948" s="2867"/>
      <c r="CK948" s="2867"/>
      <c r="CL948" s="2867"/>
      <c r="CM948" s="2867"/>
      <c r="CN948" s="2867"/>
      <c r="CO948" s="2867"/>
      <c r="CP948" s="2867"/>
      <c r="CQ948" s="2867"/>
      <c r="CR948" s="2867"/>
      <c r="CS948" s="2867"/>
      <c r="CT948" s="2867"/>
      <c r="CU948" s="2867"/>
      <c r="CV948" s="2867"/>
      <c r="CW948" s="2867"/>
    </row>
    <row r="949" spans="1:101">
      <c r="A949" s="2867"/>
      <c r="B949" s="2867"/>
      <c r="C949" s="2867"/>
      <c r="D949" s="2867"/>
      <c r="E949" s="2867"/>
      <c r="F949" s="2867"/>
      <c r="G949" s="2867"/>
      <c r="H949" s="2867"/>
      <c r="I949" s="2867"/>
      <c r="J949" s="2867"/>
      <c r="K949" s="2867"/>
      <c r="L949" s="2867"/>
      <c r="M949" s="2867"/>
      <c r="O949" s="2867"/>
      <c r="P949" s="2867"/>
      <c r="Q949" s="2867"/>
      <c r="R949" s="2867"/>
      <c r="S949" s="2867"/>
      <c r="T949" s="2867"/>
      <c r="U949" s="2867"/>
      <c r="V949" s="2867"/>
      <c r="W949" s="2867"/>
      <c r="X949" s="2867"/>
      <c r="Y949" s="2867"/>
      <c r="Z949" s="2867"/>
      <c r="AA949" s="2867"/>
      <c r="AB949" s="2867"/>
      <c r="AC949" s="2867"/>
      <c r="AD949" s="2867"/>
      <c r="AE949" s="2867"/>
      <c r="AF949" s="2867"/>
      <c r="AG949" s="2867"/>
      <c r="AH949" s="2867"/>
      <c r="AI949" s="2867"/>
      <c r="AJ949" s="2867"/>
      <c r="AK949" s="2867"/>
      <c r="AL949" s="2867"/>
      <c r="AM949" s="2867"/>
      <c r="AN949" s="2867"/>
      <c r="AO949" s="2867"/>
      <c r="AP949" s="2867"/>
      <c r="AQ949" s="2867"/>
      <c r="AR949" s="2867"/>
      <c r="AS949" s="2867"/>
      <c r="AT949" s="2867"/>
      <c r="AU949" s="2867"/>
      <c r="AV949" s="2867"/>
      <c r="AW949" s="2867"/>
      <c r="AX949" s="2867"/>
      <c r="AY949" s="2867"/>
      <c r="AZ949" s="2867"/>
      <c r="BA949" s="2867"/>
      <c r="BB949" s="2867"/>
      <c r="BC949" s="2867"/>
      <c r="BD949" s="2867"/>
      <c r="BE949" s="2867"/>
      <c r="BF949" s="2867"/>
      <c r="BG949" s="2867"/>
      <c r="BH949" s="2867"/>
      <c r="BI949" s="2867"/>
      <c r="BJ949" s="2867"/>
      <c r="BK949" s="2867"/>
      <c r="BL949" s="2867"/>
      <c r="BM949" s="2867"/>
      <c r="BN949" s="2867"/>
      <c r="BO949" s="2867"/>
      <c r="BP949" s="2867"/>
      <c r="BQ949" s="2867"/>
      <c r="BR949" s="2867"/>
      <c r="BS949" s="2867"/>
      <c r="BT949" s="2867"/>
      <c r="BU949" s="2867"/>
      <c r="BV949" s="2867"/>
      <c r="BW949" s="2867"/>
      <c r="BX949" s="2867"/>
      <c r="BY949" s="2867"/>
      <c r="BZ949" s="2867"/>
      <c r="CA949" s="2867"/>
      <c r="CB949" s="2867"/>
      <c r="CC949" s="2867"/>
      <c r="CD949" s="2867"/>
      <c r="CE949" s="2867"/>
      <c r="CF949" s="2867"/>
      <c r="CG949" s="2867"/>
      <c r="CH949" s="2867"/>
      <c r="CI949" s="2867"/>
      <c r="CJ949" s="2867"/>
      <c r="CK949" s="2867"/>
      <c r="CL949" s="2867"/>
      <c r="CM949" s="2867"/>
      <c r="CN949" s="2867"/>
      <c r="CO949" s="2867"/>
      <c r="CP949" s="2867"/>
      <c r="CQ949" s="2867"/>
      <c r="CR949" s="2867"/>
      <c r="CS949" s="2867"/>
      <c r="CT949" s="2867"/>
      <c r="CU949" s="2867"/>
      <c r="CV949" s="2867"/>
      <c r="CW949" s="2867"/>
    </row>
    <row r="950" spans="1:101">
      <c r="A950" s="2867"/>
      <c r="B950" s="2867"/>
      <c r="C950" s="2867"/>
      <c r="D950" s="2867"/>
      <c r="E950" s="2867"/>
      <c r="F950" s="2867"/>
      <c r="G950" s="2867"/>
      <c r="H950" s="2867"/>
      <c r="I950" s="2867"/>
      <c r="J950" s="2867"/>
      <c r="K950" s="2867"/>
      <c r="L950" s="2867"/>
      <c r="M950" s="2867"/>
      <c r="O950" s="2867"/>
      <c r="P950" s="2867"/>
      <c r="Q950" s="2867"/>
      <c r="R950" s="2867"/>
      <c r="S950" s="2867"/>
      <c r="T950" s="2867"/>
      <c r="U950" s="2867"/>
      <c r="V950" s="2867"/>
      <c r="W950" s="2867"/>
      <c r="X950" s="2867"/>
      <c r="Y950" s="2867"/>
      <c r="Z950" s="2867"/>
      <c r="AA950" s="2867"/>
      <c r="AB950" s="2867"/>
      <c r="AC950" s="2867"/>
      <c r="AD950" s="2867"/>
      <c r="AE950" s="2867"/>
      <c r="AF950" s="2867"/>
      <c r="AG950" s="2867"/>
      <c r="AH950" s="2867"/>
      <c r="AI950" s="2867"/>
      <c r="AJ950" s="2867"/>
      <c r="AK950" s="2867"/>
      <c r="AL950" s="2867"/>
      <c r="AM950" s="2867"/>
      <c r="AN950" s="2867"/>
      <c r="AO950" s="2867"/>
      <c r="AP950" s="2867"/>
      <c r="AQ950" s="2867"/>
      <c r="AR950" s="2867"/>
      <c r="AS950" s="2867"/>
      <c r="AT950" s="2867"/>
      <c r="AU950" s="2867"/>
      <c r="AV950" s="2867"/>
      <c r="AW950" s="2867"/>
      <c r="AX950" s="2867"/>
      <c r="AY950" s="2867"/>
      <c r="AZ950" s="2867"/>
      <c r="BA950" s="2867"/>
      <c r="BB950" s="2867"/>
      <c r="BC950" s="2867"/>
      <c r="BD950" s="2867"/>
      <c r="BE950" s="2867"/>
      <c r="BF950" s="2867"/>
      <c r="BG950" s="2867"/>
      <c r="BH950" s="2867"/>
      <c r="BI950" s="2867"/>
      <c r="BJ950" s="2867"/>
      <c r="BK950" s="2867"/>
      <c r="BL950" s="2867"/>
      <c r="BM950" s="2867"/>
      <c r="BN950" s="2867"/>
      <c r="BO950" s="2867"/>
      <c r="BP950" s="2867"/>
      <c r="BQ950" s="2867"/>
      <c r="BR950" s="2867"/>
      <c r="BS950" s="2867"/>
      <c r="BT950" s="2867"/>
      <c r="BU950" s="2867"/>
      <c r="BV950" s="2867"/>
      <c r="BW950" s="2867"/>
      <c r="BX950" s="2867"/>
      <c r="BY950" s="2867"/>
      <c r="BZ950" s="2867"/>
      <c r="CA950" s="2867"/>
      <c r="CB950" s="2867"/>
      <c r="CC950" s="2867"/>
      <c r="CD950" s="2867"/>
      <c r="CE950" s="2867"/>
      <c r="CF950" s="2867"/>
      <c r="CG950" s="2867"/>
      <c r="CH950" s="2867"/>
      <c r="CI950" s="2867"/>
      <c r="CJ950" s="2867"/>
      <c r="CK950" s="2867"/>
      <c r="CL950" s="2867"/>
      <c r="CM950" s="2867"/>
      <c r="CN950" s="2867"/>
      <c r="CO950" s="2867"/>
      <c r="CP950" s="2867"/>
      <c r="CQ950" s="2867"/>
      <c r="CR950" s="2867"/>
      <c r="CS950" s="2867"/>
      <c r="CT950" s="2867"/>
      <c r="CU950" s="2867"/>
      <c r="CV950" s="2867"/>
      <c r="CW950" s="2867"/>
    </row>
    <row r="951" spans="1:101">
      <c r="A951" s="2867"/>
      <c r="B951" s="2867"/>
      <c r="C951" s="2867"/>
      <c r="D951" s="2867"/>
      <c r="E951" s="2867"/>
      <c r="F951" s="2867"/>
      <c r="G951" s="2867"/>
      <c r="H951" s="2867"/>
      <c r="I951" s="2867"/>
      <c r="J951" s="2867"/>
      <c r="K951" s="2867"/>
      <c r="L951" s="2867"/>
      <c r="M951" s="2867"/>
      <c r="O951" s="2867"/>
      <c r="P951" s="2867"/>
      <c r="Q951" s="2867"/>
      <c r="R951" s="2867"/>
      <c r="S951" s="2867"/>
      <c r="T951" s="2867"/>
      <c r="U951" s="2867"/>
      <c r="V951" s="2867"/>
      <c r="W951" s="2867"/>
      <c r="X951" s="2867"/>
      <c r="Y951" s="2867"/>
      <c r="Z951" s="2867"/>
      <c r="AA951" s="2867"/>
      <c r="AB951" s="2867"/>
      <c r="AC951" s="2867"/>
      <c r="AD951" s="2867"/>
      <c r="AE951" s="2867"/>
      <c r="AF951" s="2867"/>
      <c r="AG951" s="2867"/>
      <c r="AH951" s="2867"/>
      <c r="AI951" s="2867"/>
      <c r="AJ951" s="2867"/>
      <c r="AK951" s="2867"/>
      <c r="AL951" s="2867"/>
      <c r="AM951" s="2867"/>
      <c r="AN951" s="2867"/>
      <c r="AO951" s="2867"/>
      <c r="AP951" s="2867"/>
      <c r="AQ951" s="2867"/>
      <c r="AR951" s="2867"/>
      <c r="AS951" s="2867"/>
      <c r="AT951" s="2867"/>
      <c r="AU951" s="2867"/>
      <c r="AV951" s="2867"/>
      <c r="AW951" s="2867"/>
      <c r="AX951" s="2867"/>
      <c r="AY951" s="2867"/>
      <c r="AZ951" s="2867"/>
      <c r="BA951" s="2867"/>
      <c r="BB951" s="2867"/>
      <c r="BC951" s="2867"/>
      <c r="BD951" s="2867"/>
      <c r="BE951" s="2867"/>
      <c r="BF951" s="2867"/>
      <c r="BG951" s="2867"/>
      <c r="BH951" s="2867"/>
      <c r="BI951" s="2867"/>
      <c r="BJ951" s="2867"/>
      <c r="BK951" s="2867"/>
      <c r="BL951" s="2867"/>
      <c r="BM951" s="2867"/>
      <c r="BN951" s="2867"/>
      <c r="BO951" s="2867"/>
      <c r="BP951" s="2867"/>
      <c r="BQ951" s="2867"/>
      <c r="BR951" s="2867"/>
      <c r="BS951" s="2867"/>
      <c r="BT951" s="2867"/>
      <c r="BU951" s="2867"/>
      <c r="BV951" s="2867"/>
      <c r="BW951" s="2867"/>
      <c r="BX951" s="2867"/>
      <c r="BY951" s="2867"/>
      <c r="BZ951" s="2867"/>
      <c r="CA951" s="2867"/>
      <c r="CB951" s="2867"/>
      <c r="CC951" s="2867"/>
      <c r="CD951" s="2867"/>
      <c r="CE951" s="2867"/>
      <c r="CF951" s="2867"/>
      <c r="CG951" s="2867"/>
      <c r="CH951" s="2867"/>
      <c r="CI951" s="2867"/>
      <c r="CJ951" s="2867"/>
      <c r="CK951" s="2867"/>
      <c r="CL951" s="2867"/>
      <c r="CM951" s="2867"/>
      <c r="CN951" s="2867"/>
      <c r="CO951" s="2867"/>
      <c r="CP951" s="2867"/>
      <c r="CQ951" s="2867"/>
      <c r="CR951" s="2867"/>
      <c r="CS951" s="2867"/>
      <c r="CT951" s="2867"/>
      <c r="CU951" s="2867"/>
      <c r="CV951" s="2867"/>
      <c r="CW951" s="2867"/>
    </row>
    <row r="952" spans="1:101">
      <c r="A952" s="2867"/>
      <c r="B952" s="2867"/>
      <c r="C952" s="2867"/>
      <c r="D952" s="2867"/>
      <c r="E952" s="2867"/>
      <c r="F952" s="2867"/>
      <c r="G952" s="2867"/>
      <c r="H952" s="2867"/>
      <c r="I952" s="2867"/>
      <c r="J952" s="2867"/>
      <c r="K952" s="2867"/>
      <c r="L952" s="2867"/>
      <c r="M952" s="2867"/>
      <c r="O952" s="2867"/>
      <c r="P952" s="2867"/>
      <c r="Q952" s="2867"/>
      <c r="R952" s="2867"/>
      <c r="S952" s="2867"/>
      <c r="T952" s="2867"/>
      <c r="U952" s="2867"/>
      <c r="V952" s="2867"/>
      <c r="W952" s="2867"/>
      <c r="X952" s="2867"/>
      <c r="Y952" s="2867"/>
      <c r="Z952" s="2867"/>
      <c r="AA952" s="2867"/>
      <c r="AB952" s="2867"/>
      <c r="AC952" s="2867"/>
      <c r="AD952" s="2867"/>
      <c r="AE952" s="2867"/>
      <c r="AF952" s="2867"/>
      <c r="AG952" s="2867"/>
      <c r="AH952" s="2867"/>
      <c r="AI952" s="2867"/>
      <c r="AJ952" s="2867"/>
      <c r="AK952" s="2867"/>
      <c r="AL952" s="2867"/>
      <c r="AM952" s="2867"/>
      <c r="AN952" s="2867"/>
      <c r="AO952" s="2867"/>
      <c r="AP952" s="2867"/>
      <c r="AQ952" s="2867"/>
      <c r="AR952" s="2867"/>
      <c r="AS952" s="2867"/>
      <c r="AT952" s="2867"/>
      <c r="AU952" s="2867"/>
      <c r="AV952" s="2867"/>
      <c r="AW952" s="2867"/>
      <c r="AX952" s="2867"/>
      <c r="AY952" s="2867"/>
      <c r="AZ952" s="2867"/>
      <c r="BA952" s="2867"/>
      <c r="BB952" s="2867"/>
      <c r="BC952" s="2867"/>
      <c r="BD952" s="2867"/>
      <c r="BE952" s="2867"/>
      <c r="BF952" s="2867"/>
      <c r="BG952" s="2867"/>
      <c r="BH952" s="2867"/>
      <c r="BI952" s="2867"/>
      <c r="BJ952" s="2867"/>
      <c r="BK952" s="2867"/>
      <c r="BL952" s="2867"/>
      <c r="BM952" s="2867"/>
      <c r="BN952" s="2867"/>
      <c r="BO952" s="2867"/>
      <c r="BP952" s="2867"/>
      <c r="BQ952" s="2867"/>
      <c r="BR952" s="2867"/>
      <c r="BS952" s="2867"/>
      <c r="BT952" s="2867"/>
      <c r="BU952" s="2867"/>
      <c r="BV952" s="2867"/>
      <c r="BW952" s="2867"/>
      <c r="BX952" s="2867"/>
      <c r="BY952" s="2867"/>
      <c r="BZ952" s="2867"/>
      <c r="CA952" s="2867"/>
      <c r="CB952" s="2867"/>
      <c r="CC952" s="2867"/>
      <c r="CD952" s="2867"/>
      <c r="CE952" s="2867"/>
      <c r="CF952" s="2867"/>
      <c r="CG952" s="2867"/>
      <c r="CH952" s="2867"/>
      <c r="CI952" s="2867"/>
      <c r="CJ952" s="2867"/>
      <c r="CK952" s="2867"/>
      <c r="CL952" s="2867"/>
      <c r="CM952" s="2867"/>
      <c r="CN952" s="2867"/>
      <c r="CO952" s="2867"/>
      <c r="CP952" s="2867"/>
      <c r="CQ952" s="2867"/>
      <c r="CR952" s="2867"/>
      <c r="CS952" s="2867"/>
      <c r="CT952" s="2867"/>
      <c r="CU952" s="2867"/>
      <c r="CV952" s="2867"/>
      <c r="CW952" s="2867"/>
    </row>
    <row r="953" spans="1:101">
      <c r="A953" s="2867"/>
      <c r="B953" s="2867"/>
      <c r="C953" s="2867"/>
      <c r="D953" s="2867"/>
      <c r="E953" s="2867"/>
      <c r="F953" s="2867"/>
      <c r="G953" s="2867"/>
      <c r="H953" s="2867"/>
      <c r="I953" s="2867"/>
      <c r="J953" s="2867"/>
      <c r="K953" s="2867"/>
      <c r="L953" s="2867"/>
      <c r="M953" s="2867"/>
      <c r="O953" s="2867"/>
      <c r="P953" s="2867"/>
      <c r="Q953" s="2867"/>
      <c r="R953" s="2867"/>
      <c r="S953" s="2867"/>
      <c r="T953" s="2867"/>
      <c r="U953" s="2867"/>
      <c r="V953" s="2867"/>
      <c r="W953" s="2867"/>
      <c r="X953" s="2867"/>
      <c r="Y953" s="2867"/>
      <c r="Z953" s="2867"/>
      <c r="AA953" s="2867"/>
      <c r="AB953" s="2867"/>
      <c r="AC953" s="2867"/>
      <c r="AD953" s="2867"/>
      <c r="AE953" s="2867"/>
      <c r="AF953" s="2867"/>
      <c r="AG953" s="2867"/>
      <c r="AH953" s="2867"/>
      <c r="AI953" s="2867"/>
      <c r="AJ953" s="2867"/>
      <c r="AK953" s="2867"/>
      <c r="AL953" s="2867"/>
      <c r="AM953" s="2867"/>
      <c r="AN953" s="2867"/>
      <c r="AO953" s="2867"/>
      <c r="AP953" s="2867"/>
      <c r="AQ953" s="2867"/>
      <c r="AR953" s="2867"/>
      <c r="AS953" s="2867"/>
      <c r="AT953" s="2867"/>
      <c r="AU953" s="2867"/>
      <c r="AV953" s="2867"/>
      <c r="AW953" s="2867"/>
      <c r="AX953" s="2867"/>
      <c r="AY953" s="2867"/>
      <c r="AZ953" s="2867"/>
      <c r="BA953" s="2867"/>
      <c r="BB953" s="2867"/>
      <c r="BC953" s="2867"/>
      <c r="BD953" s="2867"/>
      <c r="BE953" s="2867"/>
      <c r="BF953" s="2867"/>
      <c r="BG953" s="2867"/>
      <c r="BH953" s="2867"/>
      <c r="BI953" s="2867"/>
      <c r="BJ953" s="2867"/>
      <c r="BK953" s="2867"/>
      <c r="BL953" s="2867"/>
      <c r="BM953" s="2867"/>
      <c r="BN953" s="2867"/>
      <c r="BO953" s="2867"/>
      <c r="BP953" s="2867"/>
      <c r="BQ953" s="2867"/>
      <c r="BR953" s="2867"/>
      <c r="BS953" s="2867"/>
      <c r="BT953" s="2867"/>
      <c r="BU953" s="2867"/>
      <c r="BV953" s="2867"/>
      <c r="BW953" s="2867"/>
      <c r="BX953" s="2867"/>
      <c r="BY953" s="2867"/>
      <c r="BZ953" s="2867"/>
      <c r="CA953" s="2867"/>
      <c r="CB953" s="2867"/>
      <c r="CC953" s="2867"/>
      <c r="CD953" s="2867"/>
      <c r="CE953" s="2867"/>
      <c r="CF953" s="2867"/>
      <c r="CG953" s="2867"/>
      <c r="CH953" s="2867"/>
      <c r="CI953" s="2867"/>
      <c r="CJ953" s="2867"/>
      <c r="CK953" s="2867"/>
      <c r="CL953" s="2867"/>
      <c r="CM953" s="2867"/>
      <c r="CN953" s="2867"/>
      <c r="CO953" s="2867"/>
      <c r="CP953" s="2867"/>
      <c r="CQ953" s="2867"/>
      <c r="CR953" s="2867"/>
      <c r="CS953" s="2867"/>
      <c r="CT953" s="2867"/>
      <c r="CU953" s="2867"/>
      <c r="CV953" s="2867"/>
      <c r="CW953" s="2867"/>
    </row>
    <row r="954" spans="1:101">
      <c r="A954" s="2867"/>
      <c r="B954" s="2867"/>
      <c r="C954" s="2867"/>
      <c r="D954" s="2867"/>
      <c r="E954" s="2867"/>
      <c r="F954" s="2867"/>
      <c r="G954" s="2867"/>
      <c r="H954" s="2867"/>
      <c r="I954" s="2867"/>
      <c r="J954" s="2867"/>
      <c r="K954" s="2867"/>
      <c r="L954" s="2867"/>
      <c r="M954" s="2867"/>
      <c r="O954" s="2867"/>
      <c r="P954" s="2867"/>
      <c r="Q954" s="2867"/>
      <c r="R954" s="2867"/>
      <c r="S954" s="2867"/>
      <c r="T954" s="2867"/>
      <c r="U954" s="2867"/>
      <c r="V954" s="2867"/>
      <c r="W954" s="2867"/>
      <c r="X954" s="2867"/>
      <c r="Y954" s="2867"/>
      <c r="Z954" s="2867"/>
      <c r="AA954" s="2867"/>
      <c r="AB954" s="2867"/>
      <c r="AC954" s="2867"/>
      <c r="AD954" s="2867"/>
      <c r="AE954" s="2867"/>
      <c r="AF954" s="2867"/>
      <c r="AG954" s="2867"/>
      <c r="AH954" s="2867"/>
      <c r="AI954" s="2867"/>
      <c r="AJ954" s="2867"/>
      <c r="AK954" s="2867"/>
      <c r="AL954" s="2867"/>
      <c r="AM954" s="2867"/>
      <c r="AN954" s="2867"/>
      <c r="AO954" s="2867"/>
      <c r="AP954" s="2867"/>
      <c r="AQ954" s="2867"/>
      <c r="AR954" s="2867"/>
      <c r="AS954" s="2867"/>
      <c r="AT954" s="2867"/>
      <c r="AU954" s="2867"/>
      <c r="AV954" s="2867"/>
      <c r="AW954" s="2867"/>
      <c r="AX954" s="2867"/>
      <c r="AY954" s="2867"/>
      <c r="AZ954" s="2867"/>
      <c r="BA954" s="2867"/>
      <c r="BB954" s="2867"/>
      <c r="BC954" s="2867"/>
      <c r="BD954" s="2867"/>
      <c r="BE954" s="2867"/>
      <c r="BF954" s="2867"/>
      <c r="BG954" s="2867"/>
      <c r="BH954" s="2867"/>
      <c r="BI954" s="2867"/>
      <c r="BJ954" s="2867"/>
      <c r="BK954" s="2867"/>
      <c r="BL954" s="2867"/>
      <c r="BM954" s="2867"/>
      <c r="BN954" s="2867"/>
      <c r="BO954" s="2867"/>
      <c r="BP954" s="2867"/>
      <c r="BQ954" s="2867"/>
      <c r="BR954" s="2867"/>
      <c r="BS954" s="2867"/>
      <c r="BT954" s="2867"/>
      <c r="BU954" s="2867"/>
      <c r="BV954" s="2867"/>
      <c r="BW954" s="2867"/>
      <c r="BX954" s="2867"/>
      <c r="BY954" s="2867"/>
      <c r="BZ954" s="2867"/>
      <c r="CA954" s="2867"/>
      <c r="CB954" s="2867"/>
      <c r="CC954" s="2867"/>
      <c r="CD954" s="2867"/>
      <c r="CE954" s="2867"/>
      <c r="CF954" s="2867"/>
      <c r="CG954" s="2867"/>
      <c r="CH954" s="2867"/>
      <c r="CI954" s="2867"/>
      <c r="CJ954" s="2867"/>
      <c r="CK954" s="2867"/>
      <c r="CL954" s="2867"/>
      <c r="CM954" s="2867"/>
      <c r="CN954" s="2867"/>
      <c r="CO954" s="2867"/>
      <c r="CP954" s="2867"/>
      <c r="CQ954" s="2867"/>
      <c r="CR954" s="2867"/>
      <c r="CS954" s="2867"/>
      <c r="CT954" s="2867"/>
      <c r="CU954" s="2867"/>
      <c r="CV954" s="2867"/>
      <c r="CW954" s="2867"/>
    </row>
    <row r="955" spans="1:101">
      <c r="A955" s="2867"/>
      <c r="B955" s="2867"/>
      <c r="C955" s="2867"/>
      <c r="D955" s="2867"/>
      <c r="E955" s="2867"/>
      <c r="F955" s="2867"/>
      <c r="G955" s="2867"/>
      <c r="H955" s="2867"/>
      <c r="I955" s="2867"/>
      <c r="J955" s="2867"/>
      <c r="K955" s="2867"/>
      <c r="L955" s="2867"/>
      <c r="M955" s="2867"/>
      <c r="O955" s="2867"/>
      <c r="P955" s="2867"/>
      <c r="Q955" s="2867"/>
      <c r="R955" s="2867"/>
      <c r="S955" s="2867"/>
      <c r="T955" s="2867"/>
      <c r="U955" s="2867"/>
      <c r="V955" s="2867"/>
      <c r="W955" s="2867"/>
      <c r="X955" s="2867"/>
      <c r="Y955" s="2867"/>
      <c r="Z955" s="2867"/>
      <c r="AA955" s="2867"/>
      <c r="AB955" s="2867"/>
      <c r="AC955" s="2867"/>
      <c r="AD955" s="2867"/>
      <c r="AE955" s="2867"/>
      <c r="AF955" s="2867"/>
      <c r="AG955" s="2867"/>
      <c r="AH955" s="2867"/>
      <c r="AI955" s="2867"/>
      <c r="AJ955" s="2867"/>
      <c r="AK955" s="2867"/>
      <c r="AL955" s="2867"/>
      <c r="AM955" s="2867"/>
      <c r="AN955" s="2867"/>
      <c r="AO955" s="2867"/>
      <c r="AP955" s="2867"/>
      <c r="AQ955" s="2867"/>
      <c r="AR955" s="2867"/>
      <c r="AS955" s="2867"/>
      <c r="AT955" s="2867"/>
      <c r="AU955" s="2867"/>
      <c r="AV955" s="2867"/>
      <c r="AW955" s="2867"/>
      <c r="AX955" s="2867"/>
      <c r="AY955" s="2867"/>
      <c r="AZ955" s="2867"/>
      <c r="BA955" s="2867"/>
      <c r="BB955" s="2867"/>
      <c r="BC955" s="2867"/>
      <c r="BD955" s="2867"/>
      <c r="BE955" s="2867"/>
      <c r="BF955" s="2867"/>
      <c r="BG955" s="2867"/>
      <c r="BH955" s="2867"/>
      <c r="BI955" s="2867"/>
      <c r="BJ955" s="2867"/>
      <c r="BK955" s="2867"/>
      <c r="BL955" s="2867"/>
      <c r="BM955" s="2867"/>
      <c r="BN955" s="2867"/>
      <c r="BO955" s="2867"/>
      <c r="BP955" s="2867"/>
      <c r="BQ955" s="2867"/>
      <c r="BR955" s="2867"/>
      <c r="BS955" s="2867"/>
      <c r="BT955" s="2867"/>
      <c r="BU955" s="2867"/>
      <c r="BV955" s="2867"/>
      <c r="BW955" s="2867"/>
      <c r="BX955" s="2867"/>
      <c r="BY955" s="2867"/>
      <c r="BZ955" s="2867"/>
      <c r="CA955" s="2867"/>
      <c r="CB955" s="2867"/>
      <c r="CC955" s="2867"/>
      <c r="CD955" s="2867"/>
      <c r="CE955" s="2867"/>
      <c r="CF955" s="2867"/>
      <c r="CG955" s="2867"/>
      <c r="CH955" s="2867"/>
      <c r="CI955" s="2867"/>
      <c r="CJ955" s="2867"/>
      <c r="CK955" s="2867"/>
      <c r="CL955" s="2867"/>
      <c r="CM955" s="2867"/>
      <c r="CN955" s="2867"/>
      <c r="CO955" s="2867"/>
      <c r="CP955" s="2867"/>
      <c r="CQ955" s="2867"/>
      <c r="CR955" s="2867"/>
      <c r="CS955" s="2867"/>
      <c r="CT955" s="2867"/>
      <c r="CU955" s="2867"/>
      <c r="CV955" s="2867"/>
      <c r="CW955" s="2867"/>
    </row>
    <row r="956" spans="1:101">
      <c r="A956" s="2867"/>
      <c r="B956" s="2867"/>
      <c r="C956" s="2867"/>
      <c r="D956" s="2867"/>
      <c r="E956" s="2867"/>
      <c r="F956" s="2867"/>
      <c r="G956" s="2867"/>
      <c r="H956" s="2867"/>
      <c r="I956" s="2867"/>
      <c r="J956" s="2867"/>
      <c r="K956" s="2867"/>
      <c r="L956" s="2867"/>
      <c r="M956" s="2867"/>
      <c r="O956" s="2867"/>
      <c r="P956" s="2867"/>
      <c r="Q956" s="2867"/>
      <c r="R956" s="2867"/>
      <c r="S956" s="2867"/>
      <c r="T956" s="2867"/>
      <c r="U956" s="2867"/>
      <c r="V956" s="2867"/>
      <c r="W956" s="2867"/>
      <c r="X956" s="2867"/>
      <c r="Y956" s="2867"/>
      <c r="Z956" s="2867"/>
      <c r="AA956" s="2867"/>
      <c r="AB956" s="2867"/>
      <c r="AC956" s="2867"/>
      <c r="AD956" s="2867"/>
      <c r="AE956" s="2867"/>
      <c r="AF956" s="2867"/>
      <c r="AG956" s="2867"/>
      <c r="AH956" s="2867"/>
      <c r="AI956" s="2867"/>
      <c r="AJ956" s="2867"/>
      <c r="AK956" s="2867"/>
      <c r="AL956" s="2867"/>
      <c r="AM956" s="2867"/>
      <c r="AN956" s="2867"/>
      <c r="AO956" s="2867"/>
      <c r="AP956" s="2867"/>
      <c r="AQ956" s="2867"/>
      <c r="AR956" s="2867"/>
      <c r="AS956" s="2867"/>
      <c r="AT956" s="2867"/>
      <c r="AU956" s="2867"/>
      <c r="AV956" s="2867"/>
      <c r="AW956" s="2867"/>
      <c r="AX956" s="2867"/>
      <c r="AY956" s="2867"/>
      <c r="AZ956" s="2867"/>
      <c r="BA956" s="2867"/>
      <c r="BB956" s="2867"/>
      <c r="BC956" s="2867"/>
      <c r="BD956" s="2867"/>
      <c r="BE956" s="2867"/>
      <c r="BF956" s="2867"/>
      <c r="BG956" s="2867"/>
      <c r="BH956" s="2867"/>
      <c r="BI956" s="2867"/>
      <c r="BJ956" s="2867"/>
      <c r="BK956" s="2867"/>
      <c r="BL956" s="2867"/>
      <c r="BM956" s="2867"/>
      <c r="BN956" s="2867"/>
      <c r="BO956" s="2867"/>
      <c r="BP956" s="2867"/>
      <c r="BQ956" s="2867"/>
      <c r="BR956" s="2867"/>
      <c r="BS956" s="2867"/>
      <c r="BT956" s="2867"/>
      <c r="BU956" s="2867"/>
      <c r="BV956" s="2867"/>
      <c r="BW956" s="2867"/>
      <c r="BX956" s="2867"/>
      <c r="BY956" s="2867"/>
      <c r="BZ956" s="2867"/>
      <c r="CA956" s="2867"/>
      <c r="CB956" s="2867"/>
      <c r="CC956" s="2867"/>
      <c r="CD956" s="2867"/>
      <c r="CE956" s="2867"/>
      <c r="CF956" s="2867"/>
      <c r="CG956" s="2867"/>
      <c r="CH956" s="2867"/>
      <c r="CI956" s="2867"/>
      <c r="CJ956" s="2867"/>
      <c r="CK956" s="2867"/>
      <c r="CL956" s="2867"/>
      <c r="CM956" s="2867"/>
      <c r="CN956" s="2867"/>
      <c r="CO956" s="2867"/>
      <c r="CP956" s="2867"/>
      <c r="CQ956" s="2867"/>
      <c r="CR956" s="2867"/>
      <c r="CS956" s="2867"/>
      <c r="CT956" s="2867"/>
      <c r="CU956" s="2867"/>
      <c r="CV956" s="2867"/>
      <c r="CW956" s="2867"/>
    </row>
    <row r="957" spans="1:101">
      <c r="A957" s="2867"/>
      <c r="B957" s="2867"/>
      <c r="C957" s="2867"/>
      <c r="D957" s="2867"/>
      <c r="E957" s="2867"/>
      <c r="F957" s="2867"/>
      <c r="G957" s="2867"/>
      <c r="H957" s="2867"/>
      <c r="I957" s="2867"/>
      <c r="J957" s="2867"/>
      <c r="K957" s="2867"/>
      <c r="L957" s="2867"/>
      <c r="M957" s="2867"/>
      <c r="O957" s="2867"/>
      <c r="P957" s="2867"/>
      <c r="Q957" s="2867"/>
      <c r="R957" s="2867"/>
      <c r="S957" s="2867"/>
      <c r="T957" s="2867"/>
      <c r="U957" s="2867"/>
      <c r="V957" s="2867"/>
      <c r="W957" s="2867"/>
      <c r="X957" s="2867"/>
      <c r="Y957" s="2867"/>
      <c r="Z957" s="2867"/>
      <c r="AA957" s="2867"/>
      <c r="AB957" s="2867"/>
      <c r="AC957" s="2867"/>
      <c r="AD957" s="2867"/>
      <c r="AE957" s="2867"/>
      <c r="AF957" s="2867"/>
      <c r="AG957" s="2867"/>
      <c r="AH957" s="2867"/>
      <c r="AI957" s="2867"/>
      <c r="AJ957" s="2867"/>
      <c r="AK957" s="2867"/>
      <c r="AL957" s="2867"/>
      <c r="AM957" s="2867"/>
      <c r="AN957" s="2867"/>
      <c r="AO957" s="2867"/>
      <c r="AP957" s="2867"/>
      <c r="AQ957" s="2867"/>
      <c r="AR957" s="2867"/>
      <c r="AS957" s="2867"/>
      <c r="AT957" s="2867"/>
      <c r="AU957" s="2867"/>
      <c r="AV957" s="2867"/>
      <c r="AW957" s="2867"/>
      <c r="AX957" s="2867"/>
      <c r="AY957" s="2867"/>
      <c r="AZ957" s="2867"/>
      <c r="BA957" s="2867"/>
      <c r="BB957" s="2867"/>
      <c r="BC957" s="2867"/>
      <c r="BD957" s="2867"/>
      <c r="BE957" s="2867"/>
      <c r="BF957" s="2867"/>
      <c r="BG957" s="2867"/>
      <c r="BH957" s="2867"/>
      <c r="BI957" s="2867"/>
      <c r="BJ957" s="2867"/>
      <c r="BK957" s="2867"/>
      <c r="BL957" s="2867"/>
      <c r="BM957" s="2867"/>
      <c r="BN957" s="2867"/>
      <c r="BO957" s="2867"/>
      <c r="BP957" s="2867"/>
      <c r="BQ957" s="2867"/>
      <c r="BR957" s="2867"/>
      <c r="BS957" s="2867"/>
      <c r="BT957" s="2867"/>
      <c r="BU957" s="2867"/>
      <c r="BV957" s="2867"/>
      <c r="BW957" s="2867"/>
      <c r="BX957" s="2867"/>
      <c r="BY957" s="2867"/>
      <c r="BZ957" s="2867"/>
      <c r="CA957" s="2867"/>
      <c r="CB957" s="2867"/>
      <c r="CC957" s="2867"/>
      <c r="CD957" s="2867"/>
      <c r="CE957" s="2867"/>
      <c r="CF957" s="2867"/>
      <c r="CG957" s="2867"/>
      <c r="CH957" s="2867"/>
      <c r="CI957" s="2867"/>
      <c r="CJ957" s="2867"/>
      <c r="CK957" s="2867"/>
      <c r="CL957" s="2867"/>
      <c r="CM957" s="2867"/>
      <c r="CN957" s="2867"/>
      <c r="CO957" s="2867"/>
      <c r="CP957" s="2867"/>
      <c r="CQ957" s="2867"/>
      <c r="CR957" s="2867"/>
      <c r="CS957" s="2867"/>
      <c r="CT957" s="2867"/>
      <c r="CU957" s="2867"/>
      <c r="CV957" s="2867"/>
      <c r="CW957" s="2867"/>
    </row>
    <row r="958" spans="1:101">
      <c r="A958" s="2867"/>
      <c r="B958" s="2867"/>
      <c r="C958" s="2867"/>
      <c r="D958" s="2867"/>
      <c r="E958" s="2867"/>
      <c r="F958" s="2867"/>
      <c r="G958" s="2867"/>
      <c r="H958" s="2867"/>
      <c r="I958" s="2867"/>
      <c r="J958" s="2867"/>
      <c r="K958" s="2867"/>
      <c r="L958" s="2867"/>
      <c r="M958" s="2867"/>
      <c r="O958" s="2867"/>
      <c r="P958" s="2867"/>
      <c r="Q958" s="2867"/>
      <c r="R958" s="2867"/>
      <c r="S958" s="2867"/>
      <c r="T958" s="2867"/>
      <c r="U958" s="2867"/>
      <c r="V958" s="2867"/>
      <c r="W958" s="2867"/>
      <c r="X958" s="2867"/>
      <c r="Y958" s="2867"/>
      <c r="Z958" s="2867"/>
      <c r="AA958" s="2867"/>
      <c r="AB958" s="2867"/>
      <c r="AC958" s="2867"/>
      <c r="AD958" s="2867"/>
      <c r="AE958" s="2867"/>
      <c r="AF958" s="2867"/>
      <c r="AG958" s="2867"/>
      <c r="AH958" s="2867"/>
      <c r="AI958" s="2867"/>
      <c r="AJ958" s="2867"/>
      <c r="AK958" s="2867"/>
      <c r="AL958" s="2867"/>
      <c r="AM958" s="2867"/>
      <c r="AN958" s="2867"/>
      <c r="AO958" s="2867"/>
      <c r="AP958" s="2867"/>
      <c r="AQ958" s="2867"/>
      <c r="AR958" s="2867"/>
      <c r="AS958" s="2867"/>
      <c r="AT958" s="2867"/>
      <c r="AU958" s="2867"/>
      <c r="AV958" s="2867"/>
      <c r="AW958" s="2867"/>
      <c r="AX958" s="2867"/>
      <c r="AY958" s="2867"/>
      <c r="AZ958" s="2867"/>
      <c r="BA958" s="2867"/>
      <c r="BB958" s="2867"/>
      <c r="BC958" s="2867"/>
      <c r="BD958" s="2867"/>
      <c r="BE958" s="2867"/>
      <c r="BF958" s="2867"/>
      <c r="BG958" s="2867"/>
      <c r="BH958" s="2867"/>
      <c r="BI958" s="2867"/>
      <c r="BJ958" s="2867"/>
      <c r="BK958" s="2867"/>
      <c r="BL958" s="2867"/>
      <c r="BM958" s="2867"/>
      <c r="BN958" s="2867"/>
      <c r="BO958" s="2867"/>
      <c r="BP958" s="2867"/>
      <c r="BQ958" s="2867"/>
      <c r="BR958" s="2867"/>
      <c r="BS958" s="2867"/>
      <c r="BT958" s="2867"/>
      <c r="BU958" s="2867"/>
      <c r="BV958" s="2867"/>
      <c r="BW958" s="2867"/>
      <c r="BX958" s="2867"/>
      <c r="BY958" s="2867"/>
      <c r="BZ958" s="2867"/>
      <c r="CA958" s="2867"/>
      <c r="CB958" s="2867"/>
      <c r="CC958" s="2867"/>
      <c r="CD958" s="2867"/>
      <c r="CE958" s="2867"/>
      <c r="CF958" s="2867"/>
      <c r="CG958" s="2867"/>
      <c r="CH958" s="2867"/>
      <c r="CI958" s="2867"/>
      <c r="CJ958" s="2867"/>
      <c r="CK958" s="2867"/>
      <c r="CL958" s="2867"/>
      <c r="CM958" s="2867"/>
      <c r="CN958" s="2867"/>
      <c r="CO958" s="2867"/>
      <c r="CP958" s="2867"/>
      <c r="CQ958" s="2867"/>
      <c r="CR958" s="2867"/>
      <c r="CS958" s="2867"/>
      <c r="CT958" s="2867"/>
      <c r="CU958" s="2867"/>
      <c r="CV958" s="2867"/>
      <c r="CW958" s="2867"/>
    </row>
    <row r="959" spans="1:101">
      <c r="A959" s="2867"/>
      <c r="B959" s="2867"/>
      <c r="C959" s="2867"/>
      <c r="D959" s="2867"/>
      <c r="E959" s="2867"/>
      <c r="F959" s="2867"/>
      <c r="G959" s="2867"/>
      <c r="H959" s="2867"/>
      <c r="I959" s="2867"/>
      <c r="J959" s="2867"/>
      <c r="K959" s="2867"/>
      <c r="L959" s="2867"/>
      <c r="M959" s="2867"/>
      <c r="O959" s="2867"/>
      <c r="P959" s="2867"/>
      <c r="Q959" s="2867"/>
      <c r="R959" s="2867"/>
      <c r="S959" s="2867"/>
      <c r="T959" s="2867"/>
      <c r="U959" s="2867"/>
      <c r="V959" s="2867"/>
      <c r="W959" s="2867"/>
      <c r="X959" s="2867"/>
      <c r="Y959" s="2867"/>
      <c r="Z959" s="2867"/>
      <c r="AA959" s="2867"/>
      <c r="AB959" s="2867"/>
      <c r="AC959" s="2867"/>
      <c r="AD959" s="2867"/>
      <c r="AE959" s="2867"/>
      <c r="AF959" s="2867"/>
      <c r="AG959" s="2867"/>
      <c r="AH959" s="2867"/>
      <c r="AI959" s="2867"/>
      <c r="AJ959" s="2867"/>
      <c r="AK959" s="2867"/>
      <c r="AL959" s="2867"/>
      <c r="AM959" s="2867"/>
      <c r="AN959" s="2867"/>
      <c r="AO959" s="2867"/>
      <c r="AP959" s="2867"/>
      <c r="AQ959" s="2867"/>
      <c r="AR959" s="2867"/>
      <c r="AS959" s="2867"/>
      <c r="AT959" s="2867"/>
      <c r="AU959" s="2867"/>
      <c r="AV959" s="2867"/>
      <c r="AW959" s="2867"/>
      <c r="AX959" s="2867"/>
      <c r="AY959" s="2867"/>
      <c r="AZ959" s="2867"/>
      <c r="BA959" s="2867"/>
      <c r="BB959" s="2867"/>
      <c r="BC959" s="2867"/>
      <c r="BD959" s="2867"/>
      <c r="BE959" s="2867"/>
      <c r="BF959" s="2867"/>
      <c r="BG959" s="2867"/>
      <c r="BH959" s="2867"/>
      <c r="BI959" s="2867"/>
      <c r="BJ959" s="2867"/>
      <c r="BK959" s="2867"/>
      <c r="BL959" s="2867"/>
      <c r="BM959" s="2867"/>
      <c r="BN959" s="2867"/>
      <c r="BO959" s="2867"/>
      <c r="BP959" s="2867"/>
      <c r="BQ959" s="2867"/>
      <c r="BR959" s="2867"/>
      <c r="BS959" s="2867"/>
      <c r="BT959" s="2867"/>
      <c r="BU959" s="2867"/>
      <c r="BV959" s="2867"/>
      <c r="BW959" s="2867"/>
      <c r="BX959" s="2867"/>
      <c r="BY959" s="2867"/>
      <c r="BZ959" s="2867"/>
      <c r="CA959" s="2867"/>
      <c r="CB959" s="2867"/>
      <c r="CC959" s="2867"/>
      <c r="CD959" s="2867"/>
      <c r="CE959" s="2867"/>
      <c r="CF959" s="2867"/>
      <c r="CG959" s="2867"/>
      <c r="CH959" s="2867"/>
      <c r="CI959" s="2867"/>
      <c r="CJ959" s="2867"/>
      <c r="CK959" s="2867"/>
      <c r="CL959" s="2867"/>
      <c r="CM959" s="2867"/>
      <c r="CN959" s="2867"/>
      <c r="CO959" s="2867"/>
      <c r="CP959" s="2867"/>
      <c r="CQ959" s="2867"/>
      <c r="CR959" s="2867"/>
      <c r="CS959" s="2867"/>
      <c r="CT959" s="2867"/>
      <c r="CU959" s="2867"/>
      <c r="CV959" s="2867"/>
      <c r="CW959" s="2867"/>
    </row>
    <row r="960" spans="1:101">
      <c r="A960" s="2867"/>
      <c r="B960" s="2867"/>
      <c r="C960" s="2867"/>
      <c r="D960" s="2867"/>
      <c r="E960" s="2867"/>
      <c r="F960" s="2867"/>
      <c r="G960" s="2867"/>
      <c r="H960" s="2867"/>
      <c r="I960" s="2867"/>
      <c r="J960" s="2867"/>
      <c r="K960" s="2867"/>
      <c r="L960" s="2867"/>
      <c r="M960" s="2867"/>
      <c r="O960" s="2867"/>
      <c r="P960" s="2867"/>
      <c r="Q960" s="2867"/>
      <c r="R960" s="2867"/>
      <c r="S960" s="2867"/>
      <c r="T960" s="2867"/>
      <c r="U960" s="2867"/>
      <c r="V960" s="2867"/>
      <c r="W960" s="2867"/>
      <c r="X960" s="2867"/>
      <c r="Y960" s="2867"/>
      <c r="Z960" s="2867"/>
      <c r="AA960" s="2867"/>
      <c r="AB960" s="2867"/>
      <c r="AC960" s="2867"/>
      <c r="AD960" s="2867"/>
      <c r="AE960" s="2867"/>
      <c r="AF960" s="2867"/>
      <c r="AG960" s="2867"/>
      <c r="AH960" s="2867"/>
      <c r="AI960" s="2867"/>
      <c r="AJ960" s="2867"/>
      <c r="AK960" s="2867"/>
      <c r="AL960" s="2867"/>
      <c r="AM960" s="2867"/>
      <c r="AN960" s="2867"/>
      <c r="AO960" s="2867"/>
      <c r="AP960" s="2867"/>
      <c r="AQ960" s="2867"/>
      <c r="AR960" s="2867"/>
      <c r="AS960" s="2867"/>
      <c r="AT960" s="2867"/>
      <c r="AU960" s="2867"/>
      <c r="AV960" s="2867"/>
      <c r="AW960" s="2867"/>
      <c r="AX960" s="2867"/>
      <c r="AY960" s="2867"/>
      <c r="AZ960" s="2867"/>
      <c r="BA960" s="2867"/>
      <c r="BB960" s="2867"/>
      <c r="BC960" s="2867"/>
      <c r="BD960" s="2867"/>
      <c r="BE960" s="2867"/>
      <c r="BF960" s="2867"/>
      <c r="BG960" s="2867"/>
      <c r="BH960" s="2867"/>
      <c r="BI960" s="2867"/>
      <c r="BJ960" s="2867"/>
      <c r="BK960" s="2867"/>
      <c r="BL960" s="2867"/>
      <c r="BM960" s="2867"/>
      <c r="BN960" s="2867"/>
      <c r="BO960" s="2867"/>
      <c r="BP960" s="2867"/>
      <c r="BQ960" s="2867"/>
      <c r="BR960" s="2867"/>
      <c r="BS960" s="2867"/>
      <c r="BT960" s="2867"/>
      <c r="BU960" s="2867"/>
      <c r="BV960" s="2867"/>
      <c r="BW960" s="2867"/>
      <c r="BX960" s="2867"/>
      <c r="BY960" s="2867"/>
      <c r="BZ960" s="2867"/>
      <c r="CA960" s="2867"/>
      <c r="CB960" s="2867"/>
      <c r="CC960" s="2867"/>
      <c r="CD960" s="2867"/>
      <c r="CE960" s="2867"/>
      <c r="CF960" s="2867"/>
      <c r="CG960" s="2867"/>
      <c r="CH960" s="2867"/>
      <c r="CI960" s="2867"/>
      <c r="CJ960" s="2867"/>
      <c r="CK960" s="2867"/>
      <c r="CL960" s="2867"/>
      <c r="CM960" s="2867"/>
      <c r="CN960" s="2867"/>
      <c r="CO960" s="2867"/>
      <c r="CP960" s="2867"/>
      <c r="CQ960" s="2867"/>
      <c r="CR960" s="2867"/>
      <c r="CS960" s="2867"/>
      <c r="CT960" s="2867"/>
      <c r="CU960" s="2867"/>
      <c r="CV960" s="2867"/>
      <c r="CW960" s="2867"/>
    </row>
    <row r="961" spans="1:101">
      <c r="A961" s="2867"/>
      <c r="B961" s="2867"/>
      <c r="C961" s="2867"/>
      <c r="D961" s="2867"/>
      <c r="E961" s="2867"/>
      <c r="F961" s="2867"/>
      <c r="G961" s="2867"/>
      <c r="H961" s="2867"/>
      <c r="I961" s="2867"/>
      <c r="J961" s="2867"/>
      <c r="K961" s="2867"/>
      <c r="L961" s="2867"/>
      <c r="M961" s="2867"/>
      <c r="O961" s="2867"/>
      <c r="P961" s="2867"/>
      <c r="Q961" s="2867"/>
      <c r="R961" s="2867"/>
      <c r="S961" s="2867"/>
      <c r="T961" s="2867"/>
      <c r="U961" s="2867"/>
      <c r="V961" s="2867"/>
      <c r="W961" s="2867"/>
      <c r="X961" s="2867"/>
      <c r="Y961" s="2867"/>
      <c r="Z961" s="2867"/>
      <c r="AA961" s="2867"/>
      <c r="AB961" s="2867"/>
      <c r="AC961" s="2867"/>
      <c r="AD961" s="2867"/>
      <c r="AE961" s="2867"/>
      <c r="AF961" s="2867"/>
      <c r="AG961" s="2867"/>
      <c r="AH961" s="2867"/>
      <c r="AI961" s="2867"/>
      <c r="AJ961" s="2867"/>
      <c r="AK961" s="2867"/>
      <c r="AL961" s="2867"/>
      <c r="AM961" s="2867"/>
      <c r="AN961" s="2867"/>
      <c r="AO961" s="2867"/>
      <c r="AP961" s="2867"/>
      <c r="AQ961" s="2867"/>
      <c r="AR961" s="2867"/>
      <c r="AS961" s="2867"/>
      <c r="AT961" s="2867"/>
      <c r="AU961" s="2867"/>
      <c r="AV961" s="2867"/>
      <c r="AW961" s="2867"/>
      <c r="AX961" s="2867"/>
      <c r="AY961" s="2867"/>
      <c r="AZ961" s="2867"/>
      <c r="BA961" s="2867"/>
      <c r="BB961" s="2867"/>
      <c r="BC961" s="2867"/>
      <c r="BD961" s="2867"/>
      <c r="BE961" s="2867"/>
      <c r="BF961" s="2867"/>
      <c r="BG961" s="2867"/>
      <c r="BH961" s="2867"/>
      <c r="BI961" s="2867"/>
      <c r="BJ961" s="2867"/>
      <c r="BK961" s="2867"/>
      <c r="BL961" s="2867"/>
      <c r="BM961" s="2867"/>
      <c r="BN961" s="2867"/>
      <c r="BO961" s="2867"/>
      <c r="BP961" s="2867"/>
      <c r="BQ961" s="2867"/>
      <c r="BR961" s="2867"/>
      <c r="BS961" s="2867"/>
      <c r="BT961" s="2867"/>
      <c r="BU961" s="2867"/>
      <c r="BV961" s="2867"/>
      <c r="BW961" s="2867"/>
      <c r="BX961" s="2867"/>
      <c r="BY961" s="2867"/>
      <c r="BZ961" s="2867"/>
      <c r="CA961" s="2867"/>
      <c r="CB961" s="2867"/>
      <c r="CC961" s="2867"/>
      <c r="CD961" s="2867"/>
      <c r="CE961" s="2867"/>
      <c r="CF961" s="2867"/>
      <c r="CG961" s="2867"/>
      <c r="CH961" s="2867"/>
      <c r="CI961" s="2867"/>
      <c r="CJ961" s="2867"/>
      <c r="CK961" s="2867"/>
      <c r="CL961" s="2867"/>
      <c r="CM961" s="2867"/>
      <c r="CN961" s="2867"/>
      <c r="CO961" s="2867"/>
      <c r="CP961" s="2867"/>
      <c r="CQ961" s="2867"/>
      <c r="CR961" s="2867"/>
      <c r="CS961" s="2867"/>
      <c r="CT961" s="2867"/>
      <c r="CU961" s="2867"/>
      <c r="CV961" s="2867"/>
      <c r="CW961" s="2867"/>
    </row>
    <row r="962" spans="1:101">
      <c r="A962" s="2867"/>
      <c r="B962" s="2867"/>
      <c r="C962" s="2867"/>
      <c r="D962" s="2867"/>
      <c r="E962" s="2867"/>
      <c r="F962" s="2867"/>
      <c r="G962" s="2867"/>
      <c r="H962" s="2867"/>
      <c r="I962" s="2867"/>
      <c r="J962" s="2867"/>
      <c r="K962" s="2867"/>
      <c r="L962" s="2867"/>
      <c r="M962" s="2867"/>
      <c r="O962" s="2867"/>
      <c r="P962" s="2867"/>
      <c r="Q962" s="2867"/>
      <c r="R962" s="2867"/>
      <c r="S962" s="2867"/>
      <c r="T962" s="2867"/>
      <c r="U962" s="2867"/>
      <c r="V962" s="2867"/>
      <c r="W962" s="2867"/>
      <c r="X962" s="2867"/>
      <c r="Y962" s="2867"/>
      <c r="Z962" s="2867"/>
      <c r="AA962" s="2867"/>
      <c r="AB962" s="2867"/>
      <c r="AC962" s="2867"/>
      <c r="AD962" s="2867"/>
      <c r="AE962" s="2867"/>
      <c r="AF962" s="2867"/>
      <c r="AG962" s="2867"/>
      <c r="AH962" s="2867"/>
      <c r="AI962" s="2867"/>
      <c r="AJ962" s="2867"/>
      <c r="AK962" s="2867"/>
      <c r="AL962" s="2867"/>
      <c r="AM962" s="2867"/>
      <c r="AN962" s="2867"/>
      <c r="AO962" s="2867"/>
      <c r="AP962" s="2867"/>
      <c r="AQ962" s="2867"/>
      <c r="AR962" s="2867"/>
      <c r="AS962" s="2867"/>
      <c r="AT962" s="2867"/>
      <c r="AU962" s="2867"/>
      <c r="AV962" s="2867"/>
      <c r="AW962" s="2867"/>
      <c r="AX962" s="2867"/>
      <c r="AY962" s="2867"/>
      <c r="AZ962" s="2867"/>
      <c r="BA962" s="2867"/>
      <c r="BB962" s="2867"/>
      <c r="BC962" s="2867"/>
      <c r="BD962" s="2867"/>
      <c r="BE962" s="2867"/>
      <c r="BF962" s="2867"/>
      <c r="BG962" s="2867"/>
      <c r="BH962" s="2867"/>
      <c r="BI962" s="2867"/>
      <c r="BJ962" s="2867"/>
      <c r="BK962" s="2867"/>
      <c r="BL962" s="2867"/>
      <c r="BM962" s="2867"/>
      <c r="BN962" s="2867"/>
      <c r="BO962" s="2867"/>
      <c r="BP962" s="2867"/>
      <c r="BQ962" s="2867"/>
      <c r="BR962" s="2867"/>
      <c r="BS962" s="2867"/>
      <c r="BT962" s="2867"/>
      <c r="BU962" s="2867"/>
      <c r="BV962" s="2867"/>
      <c r="BW962" s="2867"/>
      <c r="BX962" s="2867"/>
      <c r="BY962" s="2867"/>
      <c r="BZ962" s="2867"/>
      <c r="CA962" s="2867"/>
      <c r="CB962" s="2867"/>
      <c r="CC962" s="2867"/>
      <c r="CD962" s="2867"/>
      <c r="CE962" s="2867"/>
      <c r="CF962" s="2867"/>
      <c r="CG962" s="2867"/>
      <c r="CH962" s="2867"/>
      <c r="CI962" s="2867"/>
      <c r="CJ962" s="2867"/>
      <c r="CK962" s="2867"/>
      <c r="CL962" s="2867"/>
      <c r="CM962" s="2867"/>
      <c r="CN962" s="2867"/>
      <c r="CO962" s="2867"/>
      <c r="CP962" s="2867"/>
      <c r="CQ962" s="2867"/>
      <c r="CR962" s="2867"/>
      <c r="CS962" s="2867"/>
      <c r="CT962" s="2867"/>
      <c r="CU962" s="2867"/>
      <c r="CV962" s="2867"/>
      <c r="CW962" s="2867"/>
    </row>
    <row r="963" spans="1:101">
      <c r="A963" s="2867"/>
      <c r="B963" s="2867"/>
      <c r="C963" s="2867"/>
      <c r="D963" s="2867"/>
      <c r="E963" s="2867"/>
      <c r="F963" s="2867"/>
      <c r="G963" s="2867"/>
      <c r="H963" s="2867"/>
      <c r="I963" s="2867"/>
      <c r="J963" s="2867"/>
      <c r="K963" s="2867"/>
      <c r="L963" s="2867"/>
      <c r="M963" s="2867"/>
      <c r="O963" s="2867"/>
      <c r="P963" s="2867"/>
      <c r="Q963" s="2867"/>
      <c r="R963" s="2867"/>
      <c r="S963" s="2867"/>
      <c r="T963" s="2867"/>
      <c r="U963" s="2867"/>
      <c r="V963" s="2867"/>
      <c r="W963" s="2867"/>
      <c r="X963" s="2867"/>
      <c r="Y963" s="2867"/>
      <c r="Z963" s="2867"/>
      <c r="AA963" s="2867"/>
      <c r="AB963" s="2867"/>
      <c r="AC963" s="2867"/>
      <c r="AD963" s="2867"/>
      <c r="AE963" s="2867"/>
      <c r="AF963" s="2867"/>
      <c r="AG963" s="2867"/>
      <c r="AH963" s="2867"/>
      <c r="AI963" s="2867"/>
      <c r="AJ963" s="2867"/>
      <c r="AK963" s="2867"/>
      <c r="AL963" s="2867"/>
      <c r="AM963" s="2867"/>
      <c r="AN963" s="2867"/>
      <c r="AO963" s="2867"/>
      <c r="AP963" s="2867"/>
      <c r="AQ963" s="2867"/>
      <c r="AR963" s="2867"/>
      <c r="AS963" s="2867"/>
      <c r="AT963" s="2867"/>
      <c r="AU963" s="2867"/>
      <c r="AV963" s="2867"/>
      <c r="AW963" s="2867"/>
      <c r="AX963" s="2867"/>
      <c r="AY963" s="2867"/>
      <c r="AZ963" s="2867"/>
      <c r="BA963" s="2867"/>
      <c r="BB963" s="2867"/>
      <c r="BC963" s="2867"/>
      <c r="BD963" s="2867"/>
      <c r="BE963" s="2867"/>
      <c r="BF963" s="2867"/>
      <c r="BG963" s="2867"/>
      <c r="BH963" s="2867"/>
      <c r="BI963" s="2867"/>
      <c r="BJ963" s="2867"/>
      <c r="BK963" s="2867"/>
      <c r="BL963" s="2867"/>
      <c r="BM963" s="2867"/>
      <c r="BN963" s="2867"/>
      <c r="BO963" s="2867"/>
      <c r="BP963" s="2867"/>
      <c r="BQ963" s="2867"/>
      <c r="BR963" s="2867"/>
      <c r="BS963" s="2867"/>
      <c r="BT963" s="2867"/>
      <c r="BU963" s="2867"/>
      <c r="BV963" s="2867"/>
      <c r="BW963" s="2867"/>
      <c r="BX963" s="2867"/>
      <c r="BY963" s="2867"/>
      <c r="BZ963" s="2867"/>
      <c r="CA963" s="2867"/>
      <c r="CB963" s="2867"/>
      <c r="CC963" s="2867"/>
      <c r="CD963" s="2867"/>
      <c r="CE963" s="2867"/>
      <c r="CF963" s="2867"/>
      <c r="CG963" s="2867"/>
      <c r="CH963" s="2867"/>
      <c r="CI963" s="2867"/>
      <c r="CJ963" s="2867"/>
      <c r="CK963" s="2867"/>
      <c r="CL963" s="2867"/>
      <c r="CM963" s="2867"/>
      <c r="CN963" s="2867"/>
      <c r="CO963" s="2867"/>
      <c r="CP963" s="2867"/>
      <c r="CQ963" s="2867"/>
      <c r="CR963" s="2867"/>
      <c r="CS963" s="2867"/>
      <c r="CT963" s="2867"/>
      <c r="CU963" s="2867"/>
      <c r="CV963" s="2867"/>
      <c r="CW963" s="2867"/>
    </row>
    <row r="964" spans="1:101">
      <c r="A964" s="2867"/>
      <c r="B964" s="2867"/>
      <c r="C964" s="2867"/>
      <c r="D964" s="2867"/>
      <c r="E964" s="2867"/>
      <c r="F964" s="2867"/>
      <c r="G964" s="2867"/>
      <c r="H964" s="2867"/>
      <c r="I964" s="2867"/>
      <c r="J964" s="2867"/>
      <c r="K964" s="2867"/>
      <c r="L964" s="2867"/>
      <c r="M964" s="2867"/>
      <c r="O964" s="2867"/>
      <c r="P964" s="2867"/>
      <c r="Q964" s="2867"/>
      <c r="R964" s="2867"/>
      <c r="S964" s="2867"/>
      <c r="T964" s="2867"/>
      <c r="U964" s="2867"/>
      <c r="V964" s="2867"/>
      <c r="W964" s="2867"/>
      <c r="X964" s="2867"/>
      <c r="Y964" s="2867"/>
      <c r="Z964" s="2867"/>
      <c r="AA964" s="2867"/>
      <c r="AB964" s="2867"/>
      <c r="AC964" s="2867"/>
      <c r="AD964" s="2867"/>
      <c r="AE964" s="2867"/>
      <c r="AF964" s="2867"/>
      <c r="AG964" s="2867"/>
      <c r="AH964" s="2867"/>
      <c r="AI964" s="2867"/>
      <c r="AJ964" s="2867"/>
      <c r="AK964" s="2867"/>
      <c r="AL964" s="2867"/>
      <c r="AM964" s="2867"/>
      <c r="AN964" s="2867"/>
      <c r="AO964" s="2867"/>
      <c r="AP964" s="2867"/>
      <c r="AQ964" s="2867"/>
      <c r="AR964" s="2867"/>
      <c r="AS964" s="2867"/>
      <c r="AT964" s="2867"/>
      <c r="AU964" s="2867"/>
      <c r="AV964" s="2867"/>
      <c r="AW964" s="2867"/>
      <c r="AX964" s="2867"/>
      <c r="AY964" s="2867"/>
      <c r="AZ964" s="2867"/>
      <c r="BA964" s="2867"/>
      <c r="BB964" s="2867"/>
      <c r="BC964" s="2867"/>
      <c r="BD964" s="2867"/>
      <c r="BE964" s="2867"/>
      <c r="BF964" s="2867"/>
      <c r="BG964" s="2867"/>
      <c r="BH964" s="2867"/>
      <c r="BI964" s="2867"/>
      <c r="BJ964" s="2867"/>
      <c r="BK964" s="2867"/>
      <c r="BL964" s="2867"/>
      <c r="BM964" s="2867"/>
      <c r="BN964" s="2867"/>
      <c r="BO964" s="2867"/>
      <c r="BP964" s="2867"/>
      <c r="BQ964" s="2867"/>
      <c r="BR964" s="2867"/>
      <c r="BS964" s="2867"/>
      <c r="BT964" s="2867"/>
      <c r="BU964" s="2867"/>
      <c r="BV964" s="2867"/>
      <c r="BW964" s="2867"/>
      <c r="BX964" s="2867"/>
      <c r="BY964" s="2867"/>
      <c r="BZ964" s="2867"/>
      <c r="CA964" s="2867"/>
      <c r="CB964" s="2867"/>
      <c r="CC964" s="2867"/>
      <c r="CD964" s="2867"/>
      <c r="CE964" s="2867"/>
      <c r="CF964" s="2867"/>
      <c r="CG964" s="2867"/>
      <c r="CH964" s="2867"/>
      <c r="CI964" s="2867"/>
      <c r="CJ964" s="2867"/>
      <c r="CK964" s="2867"/>
      <c r="CL964" s="2867"/>
      <c r="CM964" s="2867"/>
      <c r="CN964" s="2867"/>
      <c r="CO964" s="2867"/>
      <c r="CP964" s="2867"/>
      <c r="CQ964" s="2867"/>
      <c r="CR964" s="2867"/>
      <c r="CS964" s="2867"/>
      <c r="CT964" s="2867"/>
      <c r="CU964" s="2867"/>
      <c r="CV964" s="2867"/>
      <c r="CW964" s="2867"/>
    </row>
    <row r="965" spans="1:101">
      <c r="A965" s="2867"/>
      <c r="B965" s="2867"/>
      <c r="C965" s="2867"/>
      <c r="D965" s="2867"/>
      <c r="E965" s="2867"/>
      <c r="F965" s="2867"/>
      <c r="G965" s="2867"/>
      <c r="H965" s="2867"/>
      <c r="I965" s="2867"/>
      <c r="J965" s="2867"/>
      <c r="K965" s="2867"/>
      <c r="L965" s="2867"/>
      <c r="M965" s="2867"/>
      <c r="O965" s="2867"/>
      <c r="P965" s="2867"/>
      <c r="Q965" s="2867"/>
      <c r="R965" s="2867"/>
      <c r="S965" s="2867"/>
      <c r="T965" s="2867"/>
      <c r="U965" s="2867"/>
      <c r="V965" s="2867"/>
      <c r="W965" s="2867"/>
      <c r="X965" s="2867"/>
      <c r="Y965" s="2867"/>
      <c r="Z965" s="2867"/>
      <c r="AA965" s="2867"/>
      <c r="AB965" s="2867"/>
      <c r="AC965" s="2867"/>
      <c r="AD965" s="2867"/>
      <c r="AE965" s="2867"/>
      <c r="AF965" s="2867"/>
      <c r="AG965" s="2867"/>
      <c r="AH965" s="2867"/>
      <c r="AI965" s="2867"/>
      <c r="AJ965" s="2867"/>
      <c r="AK965" s="2867"/>
      <c r="AL965" s="2867"/>
      <c r="AM965" s="2867"/>
      <c r="AN965" s="2867"/>
      <c r="AO965" s="2867"/>
      <c r="AP965" s="2867"/>
      <c r="AQ965" s="2867"/>
      <c r="AR965" s="2867"/>
      <c r="AS965" s="2867"/>
      <c r="AT965" s="2867"/>
      <c r="AU965" s="2867"/>
      <c r="AV965" s="2867"/>
      <c r="AW965" s="2867"/>
      <c r="AX965" s="2867"/>
      <c r="AY965" s="2867"/>
      <c r="AZ965" s="2867"/>
      <c r="BA965" s="2867"/>
      <c r="BB965" s="2867"/>
      <c r="BC965" s="2867"/>
      <c r="BD965" s="2867"/>
      <c r="BE965" s="2867"/>
      <c r="BF965" s="2867"/>
      <c r="BG965" s="2867"/>
      <c r="BH965" s="2867"/>
      <c r="BI965" s="2867"/>
      <c r="BJ965" s="2867"/>
      <c r="BK965" s="2867"/>
      <c r="BL965" s="2867"/>
      <c r="BM965" s="2867"/>
      <c r="BN965" s="2867"/>
      <c r="BO965" s="2867"/>
      <c r="BP965" s="2867"/>
      <c r="BQ965" s="2867"/>
      <c r="BR965" s="2867"/>
      <c r="BS965" s="2867"/>
      <c r="BT965" s="2867"/>
      <c r="BU965" s="2867"/>
      <c r="BV965" s="2867"/>
      <c r="BW965" s="2867"/>
      <c r="BX965" s="2867"/>
      <c r="BY965" s="2867"/>
      <c r="BZ965" s="2867"/>
      <c r="CA965" s="2867"/>
      <c r="CB965" s="2867"/>
      <c r="CC965" s="2867"/>
      <c r="CD965" s="2867"/>
      <c r="CE965" s="2867"/>
      <c r="CF965" s="2867"/>
      <c r="CG965" s="2867"/>
      <c r="CH965" s="2867"/>
      <c r="CI965" s="2867"/>
      <c r="CJ965" s="2867"/>
      <c r="CK965" s="2867"/>
      <c r="CL965" s="2867"/>
      <c r="CM965" s="2867"/>
      <c r="CN965" s="2867"/>
      <c r="CO965" s="2867"/>
      <c r="CP965" s="2867"/>
      <c r="CQ965" s="2867"/>
      <c r="CR965" s="2867"/>
      <c r="CS965" s="2867"/>
      <c r="CT965" s="2867"/>
      <c r="CU965" s="2867"/>
      <c r="CV965" s="2867"/>
      <c r="CW965" s="2867"/>
    </row>
    <row r="966" spans="1:101">
      <c r="A966" s="2867"/>
      <c r="B966" s="2867"/>
      <c r="C966" s="2867"/>
      <c r="D966" s="2867"/>
      <c r="E966" s="2867"/>
      <c r="F966" s="2867"/>
      <c r="G966" s="2867"/>
      <c r="H966" s="2867"/>
      <c r="I966" s="2867"/>
      <c r="J966" s="2867"/>
      <c r="K966" s="2867"/>
      <c r="L966" s="2867"/>
      <c r="M966" s="2867"/>
      <c r="O966" s="2867"/>
      <c r="P966" s="2867"/>
      <c r="Q966" s="2867"/>
      <c r="R966" s="2867"/>
      <c r="S966" s="2867"/>
      <c r="T966" s="2867"/>
      <c r="U966" s="2867"/>
      <c r="V966" s="2867"/>
      <c r="W966" s="2867"/>
      <c r="X966" s="2867"/>
      <c r="Y966" s="2867"/>
      <c r="Z966" s="2867"/>
      <c r="AA966" s="2867"/>
      <c r="AB966" s="2867"/>
      <c r="AC966" s="2867"/>
      <c r="AD966" s="2867"/>
      <c r="AE966" s="2867"/>
      <c r="AF966" s="2867"/>
      <c r="AG966" s="2867"/>
      <c r="AH966" s="2867"/>
      <c r="AI966" s="2867"/>
      <c r="AJ966" s="2867"/>
      <c r="AK966" s="2867"/>
      <c r="AL966" s="2867"/>
      <c r="AM966" s="2867"/>
      <c r="AN966" s="2867"/>
      <c r="AO966" s="2867"/>
      <c r="AP966" s="2867"/>
      <c r="AQ966" s="2867"/>
      <c r="AR966" s="2867"/>
      <c r="AS966" s="2867"/>
      <c r="AT966" s="2867"/>
      <c r="AU966" s="2867"/>
      <c r="AV966" s="2867"/>
      <c r="AW966" s="2867"/>
      <c r="AX966" s="2867"/>
      <c r="AY966" s="2867"/>
      <c r="AZ966" s="2867"/>
      <c r="BA966" s="2867"/>
      <c r="BB966" s="2867"/>
      <c r="BC966" s="2867"/>
      <c r="BD966" s="2867"/>
      <c r="BE966" s="2867"/>
      <c r="BF966" s="2867"/>
      <c r="BG966" s="2867"/>
      <c r="BH966" s="2867"/>
      <c r="BI966" s="2867"/>
      <c r="BJ966" s="2867"/>
      <c r="BK966" s="2867"/>
      <c r="BL966" s="2867"/>
      <c r="BM966" s="2867"/>
      <c r="BN966" s="2867"/>
      <c r="BO966" s="2867"/>
      <c r="BP966" s="2867"/>
      <c r="BQ966" s="2867"/>
      <c r="BR966" s="2867"/>
      <c r="BS966" s="2867"/>
      <c r="BT966" s="2867"/>
      <c r="BU966" s="2867"/>
      <c r="BV966" s="2867"/>
      <c r="BW966" s="2867"/>
      <c r="BX966" s="2867"/>
      <c r="BY966" s="2867"/>
      <c r="BZ966" s="2867"/>
      <c r="CA966" s="2867"/>
      <c r="CB966" s="2867"/>
      <c r="CC966" s="2867"/>
      <c r="CD966" s="2867"/>
      <c r="CE966" s="2867"/>
      <c r="CF966" s="2867"/>
      <c r="CG966" s="2867"/>
      <c r="CH966" s="2867"/>
      <c r="CI966" s="2867"/>
      <c r="CJ966" s="2867"/>
      <c r="CK966" s="2867"/>
      <c r="CL966" s="2867"/>
      <c r="CM966" s="2867"/>
      <c r="CN966" s="2867"/>
      <c r="CO966" s="2867"/>
      <c r="CP966" s="2867"/>
      <c r="CQ966" s="2867"/>
      <c r="CR966" s="2867"/>
      <c r="CS966" s="2867"/>
      <c r="CT966" s="2867"/>
      <c r="CU966" s="2867"/>
      <c r="CV966" s="2867"/>
      <c r="CW966" s="2867"/>
    </row>
    <row r="967" spans="1:101">
      <c r="A967" s="2867"/>
      <c r="B967" s="2867"/>
      <c r="C967" s="2867"/>
      <c r="D967" s="2867"/>
      <c r="E967" s="2867"/>
      <c r="F967" s="2867"/>
      <c r="G967" s="2867"/>
      <c r="H967" s="2867"/>
      <c r="I967" s="2867"/>
      <c r="J967" s="2867"/>
      <c r="K967" s="2867"/>
      <c r="L967" s="2867"/>
      <c r="M967" s="2867"/>
      <c r="O967" s="2867"/>
      <c r="P967" s="2867"/>
      <c r="Q967" s="2867"/>
      <c r="R967" s="2867"/>
      <c r="S967" s="2867"/>
      <c r="T967" s="2867"/>
      <c r="U967" s="2867"/>
      <c r="V967" s="2867"/>
      <c r="W967" s="2867"/>
      <c r="X967" s="2867"/>
      <c r="Y967" s="2867"/>
      <c r="Z967" s="2867"/>
      <c r="AA967" s="2867"/>
      <c r="AB967" s="2867"/>
      <c r="AC967" s="2867"/>
      <c r="AD967" s="2867"/>
      <c r="AE967" s="2867"/>
      <c r="AF967" s="2867"/>
      <c r="AG967" s="2867"/>
      <c r="AH967" s="2867"/>
      <c r="AI967" s="2867"/>
      <c r="AJ967" s="2867"/>
      <c r="AK967" s="2867"/>
      <c r="AL967" s="2867"/>
      <c r="AM967" s="2867"/>
      <c r="AN967" s="2867"/>
      <c r="AO967" s="2867"/>
      <c r="AP967" s="2867"/>
      <c r="AQ967" s="2867"/>
      <c r="AR967" s="2867"/>
      <c r="AS967" s="2867"/>
      <c r="AT967" s="2867"/>
      <c r="AU967" s="2867"/>
      <c r="AV967" s="2867"/>
      <c r="AW967" s="2867"/>
      <c r="AX967" s="2867"/>
      <c r="AY967" s="2867"/>
      <c r="AZ967" s="2867"/>
      <c r="BA967" s="2867"/>
      <c r="BB967" s="2867"/>
      <c r="BC967" s="2867"/>
      <c r="BD967" s="2867"/>
      <c r="BE967" s="2867"/>
      <c r="BF967" s="2867"/>
      <c r="BG967" s="2867"/>
      <c r="BH967" s="2867"/>
      <c r="BI967" s="2867"/>
      <c r="BJ967" s="2867"/>
      <c r="BK967" s="2867"/>
      <c r="BL967" s="2867"/>
      <c r="BM967" s="2867"/>
      <c r="BN967" s="2867"/>
      <c r="BO967" s="2867"/>
      <c r="BP967" s="2867"/>
      <c r="BQ967" s="2867"/>
      <c r="BR967" s="2867"/>
      <c r="BS967" s="2867"/>
      <c r="BT967" s="2867"/>
      <c r="BU967" s="2867"/>
      <c r="BV967" s="2867"/>
      <c r="BW967" s="2867"/>
      <c r="BX967" s="2867"/>
      <c r="BY967" s="2867"/>
      <c r="BZ967" s="2867"/>
      <c r="CA967" s="2867"/>
      <c r="CB967" s="2867"/>
      <c r="CC967" s="2867"/>
      <c r="CD967" s="2867"/>
      <c r="CE967" s="2867"/>
      <c r="CF967" s="2867"/>
      <c r="CG967" s="2867"/>
      <c r="CH967" s="2867"/>
      <c r="CI967" s="2867"/>
      <c r="CJ967" s="2867"/>
      <c r="CK967" s="2867"/>
      <c r="CL967" s="2867"/>
      <c r="CM967" s="2867"/>
      <c r="CN967" s="2867"/>
      <c r="CO967" s="2867"/>
      <c r="CP967" s="2867"/>
      <c r="CQ967" s="2867"/>
      <c r="CR967" s="2867"/>
      <c r="CS967" s="2867"/>
      <c r="CT967" s="2867"/>
      <c r="CU967" s="2867"/>
      <c r="CV967" s="2867"/>
      <c r="CW967" s="2867"/>
    </row>
    <row r="968" spans="1:101">
      <c r="A968" s="2867"/>
      <c r="B968" s="2867"/>
      <c r="C968" s="2867"/>
      <c r="D968" s="2867"/>
      <c r="E968" s="2867"/>
      <c r="F968" s="2867"/>
      <c r="G968" s="2867"/>
      <c r="H968" s="2867"/>
      <c r="I968" s="2867"/>
      <c r="J968" s="2867"/>
      <c r="K968" s="2867"/>
      <c r="L968" s="2867"/>
      <c r="M968" s="2867"/>
      <c r="O968" s="2867"/>
      <c r="P968" s="2867"/>
      <c r="Q968" s="2867"/>
      <c r="R968" s="2867"/>
      <c r="S968" s="2867"/>
      <c r="T968" s="2867"/>
      <c r="U968" s="2867"/>
      <c r="V968" s="2867"/>
      <c r="W968" s="2867"/>
      <c r="X968" s="2867"/>
      <c r="Y968" s="2867"/>
      <c r="Z968" s="2867"/>
      <c r="AA968" s="2867"/>
      <c r="AB968" s="2867"/>
      <c r="AC968" s="2867"/>
      <c r="AD968" s="2867"/>
      <c r="AE968" s="2867"/>
      <c r="AF968" s="2867"/>
      <c r="AG968" s="2867"/>
      <c r="AH968" s="2867"/>
      <c r="AI968" s="2867"/>
      <c r="AJ968" s="2867"/>
      <c r="AK968" s="2867"/>
      <c r="AL968" s="2867"/>
      <c r="AM968" s="2867"/>
      <c r="AN968" s="2867"/>
      <c r="AO968" s="2867"/>
      <c r="AP968" s="2867"/>
      <c r="AQ968" s="2867"/>
      <c r="AR968" s="2867"/>
      <c r="AS968" s="2867"/>
      <c r="AT968" s="2867"/>
      <c r="AU968" s="2867"/>
      <c r="AV968" s="2867"/>
      <c r="AW968" s="2867"/>
      <c r="AX968" s="2867"/>
      <c r="AY968" s="2867"/>
      <c r="AZ968" s="2867"/>
      <c r="BA968" s="2867"/>
      <c r="BB968" s="2867"/>
      <c r="BC968" s="2867"/>
      <c r="BD968" s="2867"/>
      <c r="BE968" s="2867"/>
      <c r="BF968" s="2867"/>
      <c r="BG968" s="2867"/>
      <c r="BH968" s="2867"/>
      <c r="BI968" s="2867"/>
      <c r="BJ968" s="2867"/>
      <c r="BK968" s="2867"/>
      <c r="BL968" s="2867"/>
      <c r="BM968" s="2867"/>
      <c r="BN968" s="2867"/>
      <c r="BO968" s="2867"/>
      <c r="BP968" s="2867"/>
      <c r="BQ968" s="2867"/>
      <c r="BR968" s="2867"/>
      <c r="BS968" s="2867"/>
      <c r="BT968" s="2867"/>
      <c r="BU968" s="2867"/>
      <c r="BV968" s="2867"/>
      <c r="BW968" s="2867"/>
      <c r="BX968" s="2867"/>
      <c r="BY968" s="2867"/>
      <c r="BZ968" s="2867"/>
      <c r="CA968" s="2867"/>
      <c r="CB968" s="2867"/>
      <c r="CC968" s="2867"/>
      <c r="CD968" s="2867"/>
      <c r="CE968" s="2867"/>
      <c r="CF968" s="2867"/>
      <c r="CG968" s="2867"/>
      <c r="CH968" s="2867"/>
      <c r="CI968" s="2867"/>
      <c r="CJ968" s="2867"/>
      <c r="CK968" s="2867"/>
      <c r="CL968" s="2867"/>
      <c r="CM968" s="2867"/>
      <c r="CN968" s="2867"/>
      <c r="CO968" s="2867"/>
      <c r="CP968" s="2867"/>
      <c r="CQ968" s="2867"/>
      <c r="CR968" s="2867"/>
      <c r="CS968" s="2867"/>
      <c r="CT968" s="2867"/>
      <c r="CU968" s="2867"/>
      <c r="CV968" s="2867"/>
      <c r="CW968" s="2867"/>
    </row>
    <row r="969" spans="1:101">
      <c r="A969" s="2867"/>
      <c r="B969" s="2867"/>
      <c r="C969" s="2867"/>
      <c r="D969" s="2867"/>
      <c r="E969" s="2867"/>
      <c r="F969" s="2867"/>
      <c r="G969" s="2867"/>
      <c r="H969" s="2867"/>
      <c r="I969" s="2867"/>
      <c r="J969" s="2867"/>
      <c r="K969" s="2867"/>
      <c r="L969" s="2867"/>
      <c r="M969" s="2867"/>
      <c r="O969" s="2867"/>
      <c r="P969" s="2867"/>
      <c r="Q969" s="2867"/>
      <c r="R969" s="2867"/>
      <c r="S969" s="2867"/>
      <c r="T969" s="2867"/>
      <c r="U969" s="2867"/>
      <c r="V969" s="2867"/>
      <c r="W969" s="2867"/>
      <c r="X969" s="2867"/>
      <c r="Y969" s="2867"/>
      <c r="Z969" s="2867"/>
      <c r="AA969" s="2867"/>
      <c r="AB969" s="2867"/>
      <c r="AC969" s="2867"/>
      <c r="AD969" s="2867"/>
      <c r="AE969" s="2867"/>
      <c r="AF969" s="2867"/>
      <c r="AG969" s="2867"/>
      <c r="AH969" s="2867"/>
      <c r="AI969" s="2867"/>
      <c r="AJ969" s="2867"/>
      <c r="AK969" s="2867"/>
      <c r="AL969" s="2867"/>
      <c r="AM969" s="2867"/>
      <c r="AN969" s="2867"/>
      <c r="AO969" s="2867"/>
      <c r="AP969" s="2867"/>
      <c r="AQ969" s="2867"/>
      <c r="AR969" s="2867"/>
      <c r="AS969" s="2867"/>
      <c r="AT969" s="2867"/>
      <c r="AU969" s="2867"/>
      <c r="AV969" s="2867"/>
      <c r="AW969" s="2867"/>
      <c r="AX969" s="2867"/>
      <c r="AY969" s="2867"/>
      <c r="AZ969" s="2867"/>
      <c r="BA969" s="2867"/>
      <c r="BB969" s="2867"/>
      <c r="BC969" s="2867"/>
      <c r="BD969" s="2867"/>
      <c r="BE969" s="2867"/>
      <c r="BF969" s="2867"/>
      <c r="BG969" s="2867"/>
      <c r="BH969" s="2867"/>
      <c r="BI969" s="2867"/>
      <c r="BJ969" s="2867"/>
      <c r="BK969" s="2867"/>
      <c r="BL969" s="2867"/>
      <c r="BM969" s="2867"/>
      <c r="BN969" s="2867"/>
      <c r="BO969" s="2867"/>
      <c r="BP969" s="2867"/>
      <c r="BQ969" s="2867"/>
      <c r="BR969" s="2867"/>
      <c r="BS969" s="2867"/>
      <c r="BT969" s="2867"/>
      <c r="BU969" s="2867"/>
      <c r="BV969" s="2867"/>
      <c r="BW969" s="2867"/>
      <c r="BX969" s="2867"/>
      <c r="BY969" s="2867"/>
      <c r="BZ969" s="2867"/>
      <c r="CA969" s="2867"/>
      <c r="CB969" s="2867"/>
      <c r="CC969" s="2867"/>
      <c r="CD969" s="2867"/>
      <c r="CE969" s="2867"/>
      <c r="CF969" s="2867"/>
      <c r="CG969" s="2867"/>
      <c r="CH969" s="2867"/>
      <c r="CI969" s="2867"/>
      <c r="CJ969" s="2867"/>
      <c r="CK969" s="2867"/>
      <c r="CL969" s="2867"/>
      <c r="CM969" s="2867"/>
      <c r="CN969" s="2867"/>
      <c r="CO969" s="2867"/>
      <c r="CP969" s="2867"/>
      <c r="CQ969" s="2867"/>
      <c r="CR969" s="2867"/>
      <c r="CS969" s="2867"/>
      <c r="CT969" s="2867"/>
      <c r="CU969" s="2867"/>
      <c r="CV969" s="2867"/>
      <c r="CW969" s="2867"/>
    </row>
    <row r="970" spans="1:101">
      <c r="A970" s="2867"/>
      <c r="B970" s="2867"/>
      <c r="C970" s="2867"/>
      <c r="D970" s="2867"/>
      <c r="E970" s="2867"/>
      <c r="F970" s="2867"/>
      <c r="G970" s="2867"/>
      <c r="H970" s="2867"/>
      <c r="I970" s="2867"/>
      <c r="J970" s="2867"/>
      <c r="K970" s="2867"/>
      <c r="L970" s="2867"/>
      <c r="M970" s="2867"/>
      <c r="O970" s="2867"/>
      <c r="P970" s="2867"/>
      <c r="Q970" s="2867"/>
      <c r="R970" s="2867"/>
      <c r="S970" s="2867"/>
      <c r="T970" s="2867"/>
      <c r="U970" s="2867"/>
      <c r="V970" s="2867"/>
      <c r="W970" s="2867"/>
      <c r="X970" s="2867"/>
      <c r="Y970" s="2867"/>
      <c r="Z970" s="2867"/>
      <c r="AA970" s="2867"/>
      <c r="AB970" s="2867"/>
      <c r="AC970" s="2867"/>
      <c r="AD970" s="2867"/>
      <c r="AE970" s="2867"/>
      <c r="AF970" s="2867"/>
      <c r="AG970" s="2867"/>
      <c r="AH970" s="2867"/>
      <c r="AI970" s="2867"/>
      <c r="AJ970" s="2867"/>
      <c r="AK970" s="2867"/>
      <c r="AL970" s="2867"/>
      <c r="AM970" s="2867"/>
      <c r="AN970" s="2867"/>
      <c r="AO970" s="2867"/>
      <c r="AP970" s="2867"/>
      <c r="AQ970" s="2867"/>
      <c r="AR970" s="2867"/>
      <c r="AS970" s="2867"/>
      <c r="AT970" s="2867"/>
      <c r="AU970" s="2867"/>
      <c r="AV970" s="2867"/>
      <c r="AW970" s="2867"/>
      <c r="AX970" s="2867"/>
      <c r="AY970" s="2867"/>
      <c r="AZ970" s="2867"/>
      <c r="BA970" s="2867"/>
      <c r="BB970" s="2867"/>
      <c r="BC970" s="2867"/>
      <c r="BD970" s="2867"/>
      <c r="BE970" s="2867"/>
      <c r="BF970" s="2867"/>
      <c r="BG970" s="2867"/>
      <c r="BH970" s="2867"/>
      <c r="BI970" s="2867"/>
      <c r="BJ970" s="2867"/>
      <c r="BK970" s="2867"/>
      <c r="BL970" s="2867"/>
      <c r="BM970" s="2867"/>
      <c r="BN970" s="2867"/>
      <c r="BO970" s="2867"/>
      <c r="BP970" s="2867"/>
      <c r="BQ970" s="2867"/>
      <c r="BR970" s="2867"/>
      <c r="BS970" s="2867"/>
      <c r="BT970" s="2867"/>
      <c r="BU970" s="2867"/>
      <c r="BV970" s="2867"/>
      <c r="BW970" s="2867"/>
      <c r="BX970" s="2867"/>
      <c r="BY970" s="2867"/>
      <c r="BZ970" s="2867"/>
      <c r="CA970" s="2867"/>
      <c r="CB970" s="2867"/>
      <c r="CC970" s="2867"/>
      <c r="CD970" s="2867"/>
      <c r="CE970" s="2867"/>
      <c r="CF970" s="2867"/>
      <c r="CG970" s="2867"/>
      <c r="CH970" s="2867"/>
      <c r="CI970" s="2867"/>
      <c r="CJ970" s="2867"/>
      <c r="CK970" s="2867"/>
      <c r="CL970" s="2867"/>
      <c r="CM970" s="2867"/>
      <c r="CN970" s="2867"/>
      <c r="CO970" s="2867"/>
      <c r="CP970" s="2867"/>
      <c r="CQ970" s="2867"/>
      <c r="CR970" s="2867"/>
      <c r="CS970" s="2867"/>
      <c r="CT970" s="2867"/>
      <c r="CU970" s="2867"/>
      <c r="CV970" s="2867"/>
      <c r="CW970" s="2867"/>
    </row>
    <row r="971" spans="1:101">
      <c r="A971" s="2867"/>
      <c r="B971" s="2867"/>
      <c r="C971" s="2867"/>
      <c r="D971" s="2867"/>
      <c r="E971" s="2867"/>
      <c r="F971" s="2867"/>
      <c r="G971" s="2867"/>
      <c r="H971" s="2867"/>
      <c r="I971" s="2867"/>
      <c r="J971" s="2867"/>
      <c r="K971" s="2867"/>
      <c r="L971" s="2867"/>
      <c r="M971" s="2867"/>
      <c r="O971" s="2867"/>
      <c r="P971" s="2867"/>
      <c r="Q971" s="2867"/>
      <c r="R971" s="2867"/>
      <c r="S971" s="2867"/>
      <c r="T971" s="2867"/>
      <c r="U971" s="2867"/>
      <c r="V971" s="2867"/>
      <c r="W971" s="2867"/>
      <c r="X971" s="2867"/>
      <c r="Y971" s="2867"/>
      <c r="Z971" s="2867"/>
      <c r="AA971" s="2867"/>
      <c r="AB971" s="2867"/>
      <c r="AC971" s="2867"/>
      <c r="AD971" s="2867"/>
      <c r="AE971" s="2867"/>
      <c r="AF971" s="2867"/>
      <c r="AG971" s="2867"/>
      <c r="AH971" s="2867"/>
      <c r="AI971" s="2867"/>
      <c r="AJ971" s="2867"/>
      <c r="AK971" s="2867"/>
      <c r="AL971" s="2867"/>
      <c r="AM971" s="2867"/>
      <c r="AN971" s="2867"/>
      <c r="AO971" s="2867"/>
      <c r="AP971" s="2867"/>
      <c r="AQ971" s="2867"/>
      <c r="AR971" s="2867"/>
      <c r="AS971" s="2867"/>
      <c r="AT971" s="2867"/>
      <c r="AU971" s="2867"/>
      <c r="AV971" s="2867"/>
      <c r="AW971" s="2867"/>
      <c r="AX971" s="2867"/>
      <c r="AY971" s="2867"/>
      <c r="AZ971" s="2867"/>
      <c r="BA971" s="2867"/>
      <c r="BB971" s="2867"/>
      <c r="BC971" s="2867"/>
      <c r="BD971" s="2867"/>
      <c r="BE971" s="2867"/>
      <c r="BF971" s="2867"/>
      <c r="BG971" s="2867"/>
      <c r="BH971" s="2867"/>
      <c r="BI971" s="2867"/>
      <c r="BJ971" s="2867"/>
      <c r="BK971" s="2867"/>
      <c r="BL971" s="2867"/>
      <c r="BM971" s="2867"/>
      <c r="BN971" s="2867"/>
      <c r="BO971" s="2867"/>
      <c r="BP971" s="2867"/>
      <c r="BQ971" s="2867"/>
      <c r="BR971" s="2867"/>
      <c r="BS971" s="2867"/>
      <c r="BT971" s="2867"/>
      <c r="BU971" s="2867"/>
      <c r="BV971" s="2867"/>
      <c r="BW971" s="2867"/>
      <c r="BX971" s="2867"/>
      <c r="BY971" s="2867"/>
      <c r="BZ971" s="2867"/>
      <c r="CA971" s="2867"/>
      <c r="CB971" s="2867"/>
      <c r="CC971" s="2867"/>
      <c r="CD971" s="2867"/>
      <c r="CE971" s="2867"/>
      <c r="CF971" s="2867"/>
      <c r="CG971" s="2867"/>
      <c r="CH971" s="2867"/>
      <c r="CI971" s="2867"/>
      <c r="CJ971" s="2867"/>
      <c r="CK971" s="2867"/>
      <c r="CL971" s="2867"/>
      <c r="CM971" s="2867"/>
      <c r="CN971" s="2867"/>
      <c r="CO971" s="2867"/>
      <c r="CP971" s="2867"/>
      <c r="CQ971" s="2867"/>
      <c r="CR971" s="2867"/>
      <c r="CS971" s="2867"/>
      <c r="CT971" s="2867"/>
      <c r="CU971" s="2867"/>
      <c r="CV971" s="2867"/>
      <c r="CW971" s="2867"/>
    </row>
    <row r="972" spans="1:101">
      <c r="A972" s="2867"/>
      <c r="B972" s="2867"/>
      <c r="C972" s="2867"/>
      <c r="D972" s="2867"/>
      <c r="E972" s="2867"/>
      <c r="F972" s="2867"/>
      <c r="G972" s="2867"/>
      <c r="H972" s="2867"/>
      <c r="I972" s="2867"/>
      <c r="J972" s="2867"/>
      <c r="K972" s="2867"/>
      <c r="L972" s="2867"/>
      <c r="M972" s="2867"/>
      <c r="O972" s="2867"/>
      <c r="P972" s="2867"/>
      <c r="Q972" s="2867"/>
      <c r="R972" s="2867"/>
      <c r="S972" s="2867"/>
      <c r="T972" s="2867"/>
      <c r="U972" s="2867"/>
      <c r="V972" s="2867"/>
      <c r="W972" s="2867"/>
      <c r="X972" s="2867"/>
      <c r="Y972" s="2867"/>
      <c r="Z972" s="2867"/>
      <c r="AA972" s="2867"/>
      <c r="AB972" s="2867"/>
      <c r="AC972" s="2867"/>
      <c r="AD972" s="2867"/>
      <c r="AE972" s="2867"/>
      <c r="AF972" s="2867"/>
      <c r="AG972" s="2867"/>
      <c r="AH972" s="2867"/>
      <c r="AI972" s="2867"/>
      <c r="AJ972" s="2867"/>
      <c r="AK972" s="2867"/>
      <c r="AL972" s="2867"/>
      <c r="AM972" s="2867"/>
      <c r="AN972" s="2867"/>
      <c r="AO972" s="2867"/>
      <c r="AP972" s="2867"/>
      <c r="AQ972" s="2867"/>
      <c r="AR972" s="2867"/>
      <c r="AS972" s="2867"/>
      <c r="AT972" s="2867"/>
      <c r="AU972" s="2867"/>
      <c r="AV972" s="2867"/>
      <c r="AW972" s="2867"/>
      <c r="AX972" s="2867"/>
      <c r="AY972" s="2867"/>
      <c r="AZ972" s="2867"/>
      <c r="BA972" s="2867"/>
      <c r="BB972" s="2867"/>
      <c r="BC972" s="2867"/>
      <c r="BD972" s="2867"/>
      <c r="BE972" s="2867"/>
      <c r="BF972" s="2867"/>
      <c r="BG972" s="2867"/>
      <c r="BH972" s="2867"/>
      <c r="BI972" s="2867"/>
      <c r="BJ972" s="2867"/>
      <c r="BK972" s="2867"/>
      <c r="BL972" s="2867"/>
      <c r="BM972" s="2867"/>
      <c r="BN972" s="2867"/>
      <c r="BO972" s="2867"/>
      <c r="BP972" s="2867"/>
      <c r="BQ972" s="2867"/>
      <c r="BR972" s="2867"/>
      <c r="BS972" s="2867"/>
      <c r="BT972" s="2867"/>
      <c r="BU972" s="2867"/>
      <c r="BV972" s="2867"/>
      <c r="BW972" s="2867"/>
      <c r="BX972" s="2867"/>
      <c r="BY972" s="2867"/>
      <c r="BZ972" s="2867"/>
      <c r="CA972" s="2867"/>
      <c r="CB972" s="2867"/>
      <c r="CC972" s="2867"/>
      <c r="CD972" s="2867"/>
      <c r="CE972" s="2867"/>
      <c r="CF972" s="2867"/>
      <c r="CG972" s="2867"/>
      <c r="CH972" s="2867"/>
      <c r="CI972" s="2867"/>
      <c r="CJ972" s="2867"/>
      <c r="CK972" s="2867"/>
      <c r="CL972" s="2867"/>
      <c r="CM972" s="2867"/>
      <c r="CN972" s="2867"/>
      <c r="CO972" s="2867"/>
      <c r="CP972" s="2867"/>
      <c r="CQ972" s="2867"/>
      <c r="CR972" s="2867"/>
      <c r="CS972" s="2867"/>
      <c r="CT972" s="2867"/>
      <c r="CU972" s="2867"/>
      <c r="CV972" s="2867"/>
      <c r="CW972" s="2867"/>
    </row>
    <row r="973" spans="1:101">
      <c r="A973" s="2867"/>
      <c r="B973" s="2867"/>
      <c r="C973" s="2867"/>
      <c r="D973" s="2867"/>
      <c r="E973" s="2867"/>
      <c r="F973" s="2867"/>
      <c r="G973" s="2867"/>
      <c r="H973" s="2867"/>
      <c r="I973" s="2867"/>
      <c r="J973" s="2867"/>
      <c r="K973" s="2867"/>
      <c r="L973" s="2867"/>
      <c r="M973" s="2867"/>
      <c r="O973" s="2867"/>
      <c r="P973" s="2867"/>
      <c r="Q973" s="2867"/>
      <c r="R973" s="2867"/>
      <c r="S973" s="2867"/>
      <c r="T973" s="2867"/>
      <c r="U973" s="2867"/>
      <c r="V973" s="2867"/>
      <c r="W973" s="2867"/>
      <c r="X973" s="2867"/>
      <c r="Y973" s="2867"/>
      <c r="Z973" s="2867"/>
      <c r="AA973" s="2867"/>
      <c r="AB973" s="2867"/>
      <c r="AC973" s="2867"/>
      <c r="AD973" s="2867"/>
      <c r="AE973" s="2867"/>
      <c r="AF973" s="2867"/>
      <c r="AG973" s="2867"/>
      <c r="AH973" s="2867"/>
      <c r="AI973" s="2867"/>
      <c r="AJ973" s="2867"/>
      <c r="AK973" s="2867"/>
      <c r="AL973" s="2867"/>
      <c r="AM973" s="2867"/>
      <c r="AN973" s="2867"/>
      <c r="AO973" s="2867"/>
      <c r="AP973" s="2867"/>
      <c r="AQ973" s="2867"/>
      <c r="AR973" s="2867"/>
      <c r="AS973" s="2867"/>
      <c r="AT973" s="2867"/>
      <c r="AU973" s="2867"/>
      <c r="AV973" s="2867"/>
      <c r="AW973" s="2867"/>
      <c r="AX973" s="2867"/>
      <c r="AY973" s="2867"/>
      <c r="AZ973" s="2867"/>
      <c r="BA973" s="2867"/>
      <c r="BB973" s="2867"/>
      <c r="BC973" s="2867"/>
      <c r="BD973" s="2867"/>
      <c r="BE973" s="2867"/>
      <c r="BF973" s="2867"/>
      <c r="BG973" s="2867"/>
      <c r="BH973" s="2867"/>
      <c r="BI973" s="2867"/>
      <c r="BJ973" s="2867"/>
      <c r="BK973" s="2867"/>
      <c r="BL973" s="2867"/>
      <c r="BM973" s="2867"/>
      <c r="BN973" s="2867"/>
      <c r="BO973" s="2867"/>
      <c r="BP973" s="2867"/>
      <c r="BQ973" s="2867"/>
      <c r="BR973" s="2867"/>
      <c r="BS973" s="2867"/>
      <c r="BT973" s="2867"/>
      <c r="BU973" s="2867"/>
      <c r="BV973" s="2867"/>
      <c r="BW973" s="2867"/>
      <c r="BX973" s="2867"/>
      <c r="BY973" s="2867"/>
      <c r="BZ973" s="2867"/>
      <c r="CA973" s="2867"/>
      <c r="CB973" s="2867"/>
      <c r="CC973" s="2867"/>
      <c r="CD973" s="2867"/>
      <c r="CE973" s="2867"/>
      <c r="CF973" s="2867"/>
      <c r="CG973" s="2867"/>
      <c r="CH973" s="2867"/>
      <c r="CI973" s="2867"/>
      <c r="CJ973" s="2867"/>
      <c r="CK973" s="2867"/>
      <c r="CL973" s="2867"/>
      <c r="CM973" s="2867"/>
      <c r="CN973" s="2867"/>
      <c r="CO973" s="2867"/>
      <c r="CP973" s="2867"/>
      <c r="CQ973" s="2867"/>
      <c r="CR973" s="2867"/>
      <c r="CS973" s="2867"/>
      <c r="CT973" s="2867"/>
      <c r="CU973" s="2867"/>
      <c r="CV973" s="2867"/>
      <c r="CW973" s="2867"/>
    </row>
    <row r="974" spans="1:101">
      <c r="A974" s="2867"/>
      <c r="B974" s="2867"/>
      <c r="C974" s="2867"/>
      <c r="D974" s="2867"/>
      <c r="E974" s="2867"/>
      <c r="F974" s="2867"/>
      <c r="G974" s="2867"/>
      <c r="H974" s="2867"/>
      <c r="I974" s="2867"/>
      <c r="J974" s="2867"/>
      <c r="K974" s="2867"/>
      <c r="L974" s="2867"/>
      <c r="M974" s="2867"/>
      <c r="O974" s="2867"/>
      <c r="P974" s="2867"/>
      <c r="Q974" s="2867"/>
      <c r="R974" s="2867"/>
      <c r="S974" s="2867"/>
      <c r="T974" s="2867"/>
      <c r="U974" s="2867"/>
      <c r="V974" s="2867"/>
      <c r="W974" s="2867"/>
      <c r="X974" s="2867"/>
      <c r="Y974" s="2867"/>
      <c r="Z974" s="2867"/>
      <c r="AA974" s="2867"/>
      <c r="AB974" s="2867"/>
      <c r="AC974" s="2867"/>
      <c r="AD974" s="2867"/>
      <c r="AE974" s="2867"/>
      <c r="AF974" s="2867"/>
      <c r="AG974" s="2867"/>
      <c r="AH974" s="2867"/>
      <c r="AI974" s="2867"/>
      <c r="AJ974" s="2867"/>
      <c r="AK974" s="2867"/>
      <c r="AL974" s="2867"/>
      <c r="AM974" s="2867"/>
      <c r="AN974" s="2867"/>
      <c r="AO974" s="2867"/>
      <c r="AP974" s="2867"/>
      <c r="AQ974" s="2867"/>
      <c r="AR974" s="2867"/>
      <c r="AS974" s="2867"/>
      <c r="AT974" s="2867"/>
      <c r="AU974" s="2867"/>
      <c r="AV974" s="2867"/>
      <c r="AW974" s="2867"/>
      <c r="AX974" s="2867"/>
      <c r="AY974" s="2867"/>
      <c r="AZ974" s="2867"/>
      <c r="BA974" s="2867"/>
      <c r="BB974" s="2867"/>
      <c r="BC974" s="2867"/>
      <c r="BD974" s="2867"/>
      <c r="BE974" s="2867"/>
      <c r="BF974" s="2867"/>
      <c r="BG974" s="2867"/>
      <c r="BH974" s="2867"/>
      <c r="BI974" s="2867"/>
      <c r="BJ974" s="2867"/>
      <c r="BK974" s="2867"/>
      <c r="BL974" s="2867"/>
      <c r="BM974" s="2867"/>
      <c r="BN974" s="2867"/>
      <c r="BO974" s="2867"/>
      <c r="BP974" s="2867"/>
      <c r="BQ974" s="2867"/>
      <c r="BR974" s="2867"/>
      <c r="BS974" s="2867"/>
      <c r="BT974" s="2867"/>
      <c r="BU974" s="2867"/>
      <c r="BV974" s="2867"/>
      <c r="BW974" s="2867"/>
      <c r="BX974" s="2867"/>
      <c r="BY974" s="2867"/>
      <c r="BZ974" s="2867"/>
      <c r="CA974" s="2867"/>
      <c r="CB974" s="2867"/>
      <c r="CC974" s="2867"/>
      <c r="CD974" s="2867"/>
      <c r="CE974" s="2867"/>
      <c r="CF974" s="2867"/>
      <c r="CG974" s="2867"/>
      <c r="CH974" s="2867"/>
      <c r="CI974" s="2867"/>
      <c r="CJ974" s="2867"/>
      <c r="CK974" s="2867"/>
      <c r="CL974" s="2867"/>
      <c r="CM974" s="2867"/>
      <c r="CN974" s="2867"/>
      <c r="CO974" s="2867"/>
      <c r="CP974" s="2867"/>
      <c r="CQ974" s="2867"/>
      <c r="CR974" s="2867"/>
      <c r="CS974" s="2867"/>
      <c r="CT974" s="2867"/>
      <c r="CU974" s="2867"/>
      <c r="CV974" s="2867"/>
      <c r="CW974" s="2867"/>
    </row>
    <row r="975" spans="1:101">
      <c r="A975" s="2867"/>
      <c r="B975" s="2867"/>
      <c r="C975" s="2867"/>
      <c r="D975" s="2867"/>
      <c r="E975" s="2867"/>
      <c r="F975" s="2867"/>
      <c r="G975" s="2867"/>
      <c r="H975" s="2867"/>
      <c r="I975" s="2867"/>
      <c r="J975" s="2867"/>
      <c r="K975" s="2867"/>
      <c r="L975" s="2867"/>
      <c r="M975" s="2867"/>
      <c r="O975" s="2867"/>
      <c r="P975" s="2867"/>
      <c r="Q975" s="2867"/>
      <c r="R975" s="2867"/>
      <c r="S975" s="2867"/>
      <c r="T975" s="2867"/>
      <c r="U975" s="2867"/>
      <c r="V975" s="2867"/>
      <c r="W975" s="2867"/>
      <c r="X975" s="2867"/>
      <c r="Y975" s="2867"/>
      <c r="Z975" s="2867"/>
      <c r="AA975" s="2867"/>
      <c r="AB975" s="2867"/>
      <c r="AC975" s="2867"/>
      <c r="AD975" s="2867"/>
      <c r="AE975" s="2867"/>
      <c r="AF975" s="2867"/>
      <c r="AG975" s="2867"/>
      <c r="AH975" s="2867"/>
      <c r="AI975" s="2867"/>
      <c r="AJ975" s="2867"/>
      <c r="AK975" s="2867"/>
      <c r="AL975" s="2867"/>
      <c r="AM975" s="2867"/>
      <c r="AN975" s="2867"/>
      <c r="AO975" s="2867"/>
      <c r="AP975" s="2867"/>
      <c r="AQ975" s="2867"/>
      <c r="AR975" s="2867"/>
      <c r="AS975" s="2867"/>
      <c r="AT975" s="2867"/>
      <c r="AU975" s="2867"/>
      <c r="AV975" s="2867"/>
      <c r="AW975" s="2867"/>
      <c r="AX975" s="2867"/>
      <c r="AY975" s="2867"/>
      <c r="AZ975" s="2867"/>
      <c r="BA975" s="2867"/>
      <c r="BB975" s="2867"/>
      <c r="BC975" s="2867"/>
      <c r="BD975" s="2867"/>
      <c r="BE975" s="2867"/>
      <c r="BF975" s="2867"/>
      <c r="BG975" s="2867"/>
      <c r="BH975" s="2867"/>
      <c r="BI975" s="2867"/>
      <c r="BJ975" s="2867"/>
      <c r="BK975" s="2867"/>
      <c r="BL975" s="2867"/>
      <c r="BM975" s="2867"/>
      <c r="BN975" s="2867"/>
      <c r="BO975" s="2867"/>
      <c r="BP975" s="2867"/>
      <c r="BQ975" s="2867"/>
      <c r="BR975" s="2867"/>
      <c r="BS975" s="2867"/>
      <c r="BT975" s="2867"/>
      <c r="BU975" s="2867"/>
      <c r="BV975" s="2867"/>
      <c r="BW975" s="2867"/>
      <c r="BX975" s="2867"/>
      <c r="BY975" s="2867"/>
      <c r="BZ975" s="2867"/>
      <c r="CA975" s="2867"/>
      <c r="CB975" s="2867"/>
      <c r="CC975" s="2867"/>
      <c r="CD975" s="2867"/>
      <c r="CE975" s="2867"/>
      <c r="CF975" s="2867"/>
      <c r="CG975" s="2867"/>
      <c r="CH975" s="2867"/>
      <c r="CI975" s="2867"/>
      <c r="CJ975" s="2867"/>
      <c r="CK975" s="2867"/>
      <c r="CL975" s="2867"/>
      <c r="CM975" s="2867"/>
      <c r="CN975" s="2867"/>
      <c r="CO975" s="2867"/>
      <c r="CP975" s="2867"/>
      <c r="CQ975" s="2867"/>
      <c r="CR975" s="2867"/>
      <c r="CS975" s="2867"/>
      <c r="CT975" s="2867"/>
      <c r="CU975" s="2867"/>
      <c r="CV975" s="2867"/>
      <c r="CW975" s="2867"/>
    </row>
    <row r="976" spans="1:101">
      <c r="A976" s="2867"/>
      <c r="B976" s="2867"/>
      <c r="C976" s="2867"/>
      <c r="D976" s="2867"/>
      <c r="E976" s="2867"/>
      <c r="F976" s="2867"/>
      <c r="G976" s="2867"/>
      <c r="H976" s="2867"/>
      <c r="I976" s="2867"/>
      <c r="J976" s="2867"/>
      <c r="K976" s="2867"/>
      <c r="L976" s="2867"/>
      <c r="M976" s="2867"/>
      <c r="O976" s="2867"/>
      <c r="P976" s="2867"/>
      <c r="Q976" s="2867"/>
      <c r="R976" s="2867"/>
      <c r="S976" s="2867"/>
      <c r="T976" s="2867"/>
      <c r="U976" s="2867"/>
      <c r="V976" s="2867"/>
      <c r="W976" s="2867"/>
      <c r="X976" s="2867"/>
      <c r="Y976" s="2867"/>
      <c r="Z976" s="2867"/>
      <c r="AA976" s="2867"/>
      <c r="AB976" s="2867"/>
      <c r="AC976" s="2867"/>
      <c r="AD976" s="2867"/>
      <c r="AE976" s="2867"/>
      <c r="AF976" s="2867"/>
      <c r="AG976" s="2867"/>
      <c r="AH976" s="2867"/>
      <c r="AI976" s="2867"/>
      <c r="AJ976" s="2867"/>
      <c r="AK976" s="2867"/>
      <c r="AL976" s="2867"/>
      <c r="AM976" s="2867"/>
      <c r="AN976" s="2867"/>
      <c r="AO976" s="2867"/>
      <c r="AP976" s="2867"/>
      <c r="AQ976" s="2867"/>
      <c r="AR976" s="2867"/>
      <c r="AS976" s="2867"/>
      <c r="AT976" s="2867"/>
      <c r="AU976" s="2867"/>
      <c r="AV976" s="2867"/>
      <c r="AW976" s="2867"/>
      <c r="AX976" s="2867"/>
      <c r="AY976" s="2867"/>
      <c r="AZ976" s="2867"/>
      <c r="BA976" s="2867"/>
      <c r="BB976" s="2867"/>
      <c r="BC976" s="2867"/>
      <c r="BD976" s="2867"/>
      <c r="BE976" s="2867"/>
      <c r="BF976" s="2867"/>
      <c r="BG976" s="2867"/>
      <c r="BH976" s="2867"/>
      <c r="BI976" s="2867"/>
      <c r="BJ976" s="2867"/>
      <c r="BK976" s="2867"/>
      <c r="BL976" s="2867"/>
      <c r="BM976" s="2867"/>
      <c r="BN976" s="2867"/>
      <c r="BO976" s="2867"/>
      <c r="BP976" s="2867"/>
      <c r="BQ976" s="2867"/>
      <c r="BR976" s="2867"/>
      <c r="BS976" s="2867"/>
      <c r="BT976" s="2867"/>
      <c r="BU976" s="2867"/>
      <c r="BV976" s="2867"/>
      <c r="BW976" s="2867"/>
      <c r="BX976" s="2867"/>
      <c r="BY976" s="2867"/>
      <c r="BZ976" s="2867"/>
      <c r="CA976" s="2867"/>
      <c r="CB976" s="2867"/>
      <c r="CC976" s="2867"/>
      <c r="CD976" s="2867"/>
      <c r="CE976" s="2867"/>
      <c r="CF976" s="2867"/>
      <c r="CG976" s="2867"/>
      <c r="CH976" s="2867"/>
      <c r="CI976" s="2867"/>
      <c r="CJ976" s="2867"/>
      <c r="CK976" s="2867"/>
      <c r="CL976" s="2867"/>
      <c r="CM976" s="2867"/>
      <c r="CN976" s="2867"/>
      <c r="CO976" s="2867"/>
      <c r="CP976" s="2867"/>
      <c r="CQ976" s="2867"/>
      <c r="CR976" s="2867"/>
      <c r="CS976" s="2867"/>
      <c r="CT976" s="2867"/>
      <c r="CU976" s="2867"/>
      <c r="CV976" s="2867"/>
      <c r="CW976" s="2867"/>
    </row>
    <row r="977" spans="1:101">
      <c r="A977" s="2867"/>
      <c r="B977" s="2867"/>
      <c r="C977" s="2867"/>
      <c r="D977" s="2867"/>
      <c r="E977" s="2867"/>
      <c r="F977" s="2867"/>
      <c r="G977" s="2867"/>
      <c r="H977" s="2867"/>
      <c r="I977" s="2867"/>
      <c r="J977" s="2867"/>
      <c r="K977" s="2867"/>
      <c r="L977" s="2867"/>
      <c r="M977" s="2867"/>
      <c r="O977" s="2867"/>
      <c r="P977" s="2867"/>
      <c r="Q977" s="2867"/>
      <c r="R977" s="2867"/>
      <c r="S977" s="2867"/>
      <c r="T977" s="2867"/>
      <c r="U977" s="2867"/>
      <c r="V977" s="2867"/>
      <c r="W977" s="2867"/>
      <c r="X977" s="2867"/>
      <c r="Y977" s="2867"/>
      <c r="Z977" s="2867"/>
      <c r="AA977" s="2867"/>
      <c r="AB977" s="2867"/>
      <c r="AC977" s="2867"/>
      <c r="AD977" s="2867"/>
      <c r="AE977" s="2867"/>
      <c r="AF977" s="2867"/>
      <c r="AG977" s="2867"/>
      <c r="AH977" s="2867"/>
      <c r="AI977" s="2867"/>
      <c r="AJ977" s="2867"/>
      <c r="AK977" s="2867"/>
      <c r="AL977" s="2867"/>
      <c r="AM977" s="2867"/>
      <c r="AN977" s="2867"/>
      <c r="AO977" s="2867"/>
      <c r="AP977" s="2867"/>
      <c r="AQ977" s="2867"/>
      <c r="AR977" s="2867"/>
      <c r="AS977" s="2867"/>
      <c r="AT977" s="2867"/>
      <c r="AU977" s="2867"/>
      <c r="AV977" s="2867"/>
      <c r="AW977" s="2867"/>
      <c r="AX977" s="2867"/>
      <c r="AY977" s="2867"/>
      <c r="AZ977" s="2867"/>
      <c r="BA977" s="2867"/>
      <c r="BB977" s="2867"/>
      <c r="BC977" s="2867"/>
      <c r="BD977" s="2867"/>
      <c r="BE977" s="2867"/>
      <c r="BF977" s="2867"/>
      <c r="BG977" s="2867"/>
      <c r="BH977" s="2867"/>
      <c r="BI977" s="2867"/>
      <c r="BJ977" s="2867"/>
      <c r="BK977" s="2867"/>
      <c r="BL977" s="2867"/>
      <c r="BM977" s="2867"/>
      <c r="BN977" s="2867"/>
      <c r="BO977" s="2867"/>
      <c r="BP977" s="2867"/>
      <c r="BQ977" s="2867"/>
      <c r="BR977" s="2867"/>
      <c r="BS977" s="2867"/>
      <c r="BT977" s="2867"/>
      <c r="BU977" s="2867"/>
      <c r="BV977" s="2867"/>
      <c r="BW977" s="2867"/>
      <c r="BX977" s="2867"/>
      <c r="BY977" s="2867"/>
      <c r="BZ977" s="2867"/>
      <c r="CA977" s="2867"/>
      <c r="CB977" s="2867"/>
      <c r="CC977" s="2867"/>
      <c r="CD977" s="2867"/>
      <c r="CE977" s="2867"/>
      <c r="CF977" s="2867"/>
      <c r="CG977" s="2867"/>
      <c r="CH977" s="2867"/>
      <c r="CI977" s="2867"/>
      <c r="CJ977" s="2867"/>
      <c r="CK977" s="2867"/>
      <c r="CL977" s="2867"/>
      <c r="CM977" s="2867"/>
      <c r="CN977" s="2867"/>
      <c r="CO977" s="2867"/>
      <c r="CP977" s="2867"/>
      <c r="CQ977" s="2867"/>
      <c r="CR977" s="2867"/>
      <c r="CS977" s="2867"/>
      <c r="CT977" s="2867"/>
      <c r="CU977" s="2867"/>
      <c r="CV977" s="2867"/>
      <c r="CW977" s="2867"/>
    </row>
    <row r="978" spans="1:101">
      <c r="A978" s="2867"/>
      <c r="B978" s="2867"/>
      <c r="C978" s="2867"/>
      <c r="D978" s="2867"/>
      <c r="E978" s="2867"/>
      <c r="F978" s="2867"/>
      <c r="G978" s="2867"/>
      <c r="H978" s="2867"/>
      <c r="I978" s="2867"/>
      <c r="J978" s="2867"/>
      <c r="K978" s="2867"/>
      <c r="L978" s="2867"/>
      <c r="M978" s="2867"/>
      <c r="O978" s="2867"/>
      <c r="P978" s="2867"/>
      <c r="Q978" s="2867"/>
      <c r="R978" s="2867"/>
      <c r="S978" s="2867"/>
      <c r="T978" s="2867"/>
      <c r="U978" s="2867"/>
      <c r="V978" s="2867"/>
      <c r="W978" s="2867"/>
      <c r="X978" s="2867"/>
      <c r="Y978" s="2867"/>
      <c r="Z978" s="2867"/>
      <c r="AA978" s="2867"/>
      <c r="AB978" s="2867"/>
      <c r="AC978" s="2867"/>
      <c r="AD978" s="2867"/>
      <c r="AE978" s="2867"/>
      <c r="AF978" s="2867"/>
      <c r="AG978" s="2867"/>
      <c r="AH978" s="2867"/>
      <c r="AI978" s="2867"/>
      <c r="AJ978" s="2867"/>
      <c r="AK978" s="2867"/>
      <c r="AL978" s="2867"/>
      <c r="AM978" s="2867"/>
      <c r="AN978" s="2867"/>
      <c r="AO978" s="2867"/>
      <c r="AP978" s="2867"/>
      <c r="AQ978" s="2867"/>
      <c r="AR978" s="2867"/>
      <c r="AS978" s="2867"/>
      <c r="AT978" s="2867"/>
      <c r="AU978" s="2867"/>
      <c r="AV978" s="2867"/>
      <c r="AW978" s="2867"/>
      <c r="AX978" s="2867"/>
      <c r="AY978" s="2867"/>
      <c r="AZ978" s="2867"/>
      <c r="BA978" s="2867"/>
      <c r="BB978" s="2867"/>
      <c r="BC978" s="2867"/>
      <c r="BD978" s="2867"/>
      <c r="BE978" s="2867"/>
      <c r="BF978" s="2867"/>
      <c r="BG978" s="2867"/>
      <c r="BH978" s="2867"/>
      <c r="BI978" s="2867"/>
      <c r="BJ978" s="2867"/>
      <c r="BK978" s="2867"/>
      <c r="BL978" s="2867"/>
      <c r="BM978" s="2867"/>
      <c r="BN978" s="2867"/>
      <c r="BO978" s="2867"/>
      <c r="BP978" s="2867"/>
      <c r="BQ978" s="2867"/>
      <c r="BR978" s="2867"/>
      <c r="BS978" s="2867"/>
      <c r="BT978" s="2867"/>
      <c r="BU978" s="2867"/>
      <c r="BV978" s="2867"/>
      <c r="BW978" s="2867"/>
      <c r="BX978" s="2867"/>
      <c r="BY978" s="2867"/>
      <c r="BZ978" s="2867"/>
      <c r="CA978" s="2867"/>
      <c r="CB978" s="2867"/>
      <c r="CC978" s="2867"/>
      <c r="CD978" s="2867"/>
      <c r="CE978" s="2867"/>
      <c r="CF978" s="2867"/>
      <c r="CG978" s="2867"/>
      <c r="CH978" s="2867"/>
      <c r="CI978" s="2867"/>
      <c r="CJ978" s="2867"/>
      <c r="CK978" s="2867"/>
      <c r="CL978" s="2867"/>
      <c r="CM978" s="2867"/>
      <c r="CN978" s="2867"/>
      <c r="CO978" s="2867"/>
      <c r="CP978" s="2867"/>
      <c r="CQ978" s="2867"/>
      <c r="CR978" s="2867"/>
      <c r="CS978" s="2867"/>
      <c r="CT978" s="2867"/>
      <c r="CU978" s="2867"/>
      <c r="CV978" s="2867"/>
      <c r="CW978" s="2867"/>
    </row>
    <row r="979" spans="1:101">
      <c r="A979" s="2867"/>
      <c r="B979" s="2867"/>
      <c r="C979" s="2867"/>
      <c r="D979" s="2867"/>
      <c r="E979" s="2867"/>
      <c r="F979" s="2867"/>
      <c r="G979" s="2867"/>
      <c r="H979" s="2867"/>
      <c r="I979" s="2867"/>
      <c r="J979" s="2867"/>
      <c r="K979" s="2867"/>
      <c r="L979" s="2867"/>
      <c r="M979" s="2867"/>
      <c r="O979" s="2867"/>
      <c r="P979" s="2867"/>
      <c r="Q979" s="2867"/>
      <c r="R979" s="2867"/>
      <c r="S979" s="2867"/>
      <c r="T979" s="2867"/>
      <c r="U979" s="2867"/>
      <c r="V979" s="2867"/>
      <c r="W979" s="2867"/>
      <c r="X979" s="2867"/>
      <c r="Y979" s="2867"/>
      <c r="Z979" s="2867"/>
      <c r="AA979" s="2867"/>
      <c r="AB979" s="2867"/>
      <c r="AC979" s="2867"/>
      <c r="AD979" s="2867"/>
      <c r="AE979" s="2867"/>
      <c r="AF979" s="2867"/>
      <c r="AG979" s="2867"/>
      <c r="AH979" s="2867"/>
      <c r="AI979" s="2867"/>
      <c r="AJ979" s="2867"/>
      <c r="AK979" s="2867"/>
      <c r="AL979" s="2867"/>
      <c r="AM979" s="2867"/>
      <c r="AN979" s="2867"/>
      <c r="AO979" s="2867"/>
      <c r="AP979" s="2867"/>
      <c r="AQ979" s="2867"/>
      <c r="AR979" s="2867"/>
      <c r="AS979" s="2867"/>
      <c r="AT979" s="2867"/>
      <c r="AU979" s="2867"/>
      <c r="AV979" s="2867"/>
      <c r="AW979" s="2867"/>
      <c r="AX979" s="2867"/>
      <c r="AY979" s="2867"/>
      <c r="AZ979" s="2867"/>
      <c r="BA979" s="2867"/>
      <c r="BB979" s="2867"/>
      <c r="BC979" s="2867"/>
      <c r="BD979" s="2867"/>
      <c r="BE979" s="2867"/>
      <c r="BF979" s="2867"/>
      <c r="BG979" s="2867"/>
      <c r="BH979" s="2867"/>
      <c r="BI979" s="2867"/>
      <c r="BJ979" s="2867"/>
      <c r="BK979" s="2867"/>
      <c r="BL979" s="2867"/>
      <c r="BM979" s="2867"/>
      <c r="BN979" s="2867"/>
      <c r="BO979" s="2867"/>
      <c r="BP979" s="2867"/>
      <c r="BQ979" s="2867"/>
      <c r="BR979" s="2867"/>
      <c r="BS979" s="2867"/>
      <c r="BT979" s="2867"/>
      <c r="BU979" s="2867"/>
      <c r="BV979" s="2867"/>
      <c r="BW979" s="2867"/>
      <c r="BX979" s="2867"/>
      <c r="BY979" s="2867"/>
      <c r="BZ979" s="2867"/>
      <c r="CA979" s="2867"/>
      <c r="CB979" s="2867"/>
      <c r="CC979" s="2867"/>
      <c r="CD979" s="2867"/>
      <c r="CE979" s="2867"/>
      <c r="CF979" s="2867"/>
      <c r="CG979" s="2867"/>
      <c r="CH979" s="2867"/>
      <c r="CI979" s="2867"/>
      <c r="CJ979" s="2867"/>
      <c r="CK979" s="2867"/>
      <c r="CL979" s="2867"/>
      <c r="CM979" s="2867"/>
      <c r="CN979" s="2867"/>
      <c r="CO979" s="2867"/>
      <c r="CP979" s="2867"/>
      <c r="CQ979" s="2867"/>
      <c r="CR979" s="2867"/>
      <c r="CS979" s="2867"/>
      <c r="CT979" s="2867"/>
      <c r="CU979" s="2867"/>
      <c r="CV979" s="2867"/>
      <c r="CW979" s="2867"/>
    </row>
    <row r="980" spans="1:101">
      <c r="A980" s="2867"/>
      <c r="B980" s="2867"/>
      <c r="C980" s="2867"/>
      <c r="D980" s="2867"/>
      <c r="E980" s="2867"/>
      <c r="F980" s="2867"/>
      <c r="G980" s="2867"/>
      <c r="H980" s="2867"/>
      <c r="I980" s="2867"/>
      <c r="J980" s="2867"/>
      <c r="K980" s="2867"/>
      <c r="L980" s="2867"/>
      <c r="M980" s="2867"/>
      <c r="O980" s="2867"/>
      <c r="P980" s="2867"/>
      <c r="Q980" s="2867"/>
      <c r="R980" s="2867"/>
      <c r="S980" s="2867"/>
      <c r="T980" s="2867"/>
      <c r="U980" s="2867"/>
      <c r="V980" s="2867"/>
      <c r="W980" s="2867"/>
      <c r="X980" s="2867"/>
      <c r="Y980" s="2867"/>
      <c r="Z980" s="2867"/>
      <c r="AA980" s="2867"/>
      <c r="AB980" s="2867"/>
      <c r="AC980" s="2867"/>
      <c r="AD980" s="2867"/>
      <c r="AE980" s="2867"/>
      <c r="AF980" s="2867"/>
      <c r="AG980" s="2867"/>
      <c r="AH980" s="2867"/>
      <c r="AI980" s="2867"/>
      <c r="AJ980" s="2867"/>
      <c r="AK980" s="2867"/>
      <c r="AL980" s="2867"/>
      <c r="AM980" s="2867"/>
      <c r="AN980" s="2867"/>
      <c r="AO980" s="2867"/>
      <c r="AP980" s="2867"/>
      <c r="AQ980" s="2867"/>
      <c r="AR980" s="2867"/>
      <c r="AS980" s="2867"/>
      <c r="AT980" s="2867"/>
      <c r="AU980" s="2867"/>
      <c r="AV980" s="2867"/>
      <c r="AW980" s="2867"/>
      <c r="AX980" s="2867"/>
      <c r="AY980" s="2867"/>
      <c r="AZ980" s="2867"/>
      <c r="BA980" s="2867"/>
      <c r="BB980" s="2867"/>
      <c r="BC980" s="2867"/>
      <c r="BD980" s="2867"/>
      <c r="BE980" s="2867"/>
      <c r="BF980" s="2867"/>
      <c r="BG980" s="2867"/>
      <c r="BH980" s="2867"/>
      <c r="BI980" s="2867"/>
      <c r="BJ980" s="2867"/>
      <c r="BK980" s="2867"/>
      <c r="BL980" s="2867"/>
      <c r="BM980" s="2867"/>
      <c r="BN980" s="2867"/>
      <c r="BO980" s="2867"/>
      <c r="BP980" s="2867"/>
      <c r="BQ980" s="2867"/>
      <c r="BR980" s="2867"/>
      <c r="BS980" s="2867"/>
      <c r="BT980" s="2867"/>
      <c r="BU980" s="2867"/>
      <c r="BV980" s="2867"/>
      <c r="BW980" s="2867"/>
      <c r="BX980" s="2867"/>
      <c r="BY980" s="2867"/>
      <c r="BZ980" s="2867"/>
      <c r="CA980" s="2867"/>
      <c r="CB980" s="2867"/>
      <c r="CC980" s="2867"/>
      <c r="CD980" s="2867"/>
      <c r="CE980" s="2867"/>
      <c r="CF980" s="2867"/>
      <c r="CG980" s="2867"/>
      <c r="CH980" s="2867"/>
      <c r="CI980" s="2867"/>
      <c r="CJ980" s="2867"/>
      <c r="CK980" s="2867"/>
      <c r="CL980" s="2867"/>
      <c r="CM980" s="2867"/>
      <c r="CN980" s="2867"/>
      <c r="CO980" s="2867"/>
      <c r="CP980" s="2867"/>
      <c r="CQ980" s="2867"/>
      <c r="CR980" s="2867"/>
      <c r="CS980" s="2867"/>
      <c r="CT980" s="2867"/>
      <c r="CU980" s="2867"/>
      <c r="CV980" s="2867"/>
      <c r="CW980" s="2867"/>
    </row>
    <row r="981" spans="1:101">
      <c r="A981" s="2867"/>
      <c r="B981" s="2867"/>
      <c r="C981" s="2867"/>
      <c r="D981" s="2867"/>
      <c r="E981" s="2867"/>
      <c r="F981" s="2867"/>
      <c r="G981" s="2867"/>
      <c r="H981" s="2867"/>
      <c r="I981" s="2867"/>
      <c r="J981" s="2867"/>
      <c r="K981" s="2867"/>
      <c r="L981" s="2867"/>
      <c r="M981" s="2867"/>
      <c r="O981" s="2867"/>
      <c r="P981" s="2867"/>
      <c r="Q981" s="2867"/>
      <c r="R981" s="2867"/>
      <c r="S981" s="2867"/>
      <c r="T981" s="2867"/>
      <c r="U981" s="2867"/>
      <c r="V981" s="2867"/>
      <c r="W981" s="2867"/>
      <c r="X981" s="2867"/>
      <c r="Y981" s="2867"/>
      <c r="Z981" s="2867"/>
      <c r="AA981" s="2867"/>
      <c r="AB981" s="2867"/>
      <c r="AC981" s="2867"/>
      <c r="AD981" s="2867"/>
      <c r="AE981" s="2867"/>
      <c r="AF981" s="2867"/>
      <c r="AG981" s="2867"/>
      <c r="AH981" s="2867"/>
      <c r="AI981" s="2867"/>
      <c r="AJ981" s="2867"/>
      <c r="AK981" s="2867"/>
      <c r="AL981" s="2867"/>
      <c r="AM981" s="2867"/>
      <c r="AN981" s="2867"/>
      <c r="AO981" s="2867"/>
      <c r="AP981" s="2867"/>
      <c r="AQ981" s="2867"/>
      <c r="AR981" s="2867"/>
      <c r="AS981" s="2867"/>
      <c r="AT981" s="2867"/>
      <c r="AU981" s="2867"/>
      <c r="AV981" s="2867"/>
      <c r="AW981" s="2867"/>
      <c r="AX981" s="2867"/>
      <c r="AY981" s="2867"/>
      <c r="AZ981" s="2867"/>
      <c r="BA981" s="2867"/>
      <c r="BB981" s="2867"/>
      <c r="BC981" s="2867"/>
      <c r="BD981" s="2867"/>
      <c r="BE981" s="2867"/>
      <c r="BF981" s="2867"/>
      <c r="BG981" s="2867"/>
      <c r="BH981" s="2867"/>
      <c r="BI981" s="2867"/>
      <c r="BJ981" s="2867"/>
      <c r="BK981" s="2867"/>
      <c r="BL981" s="2867"/>
      <c r="BM981" s="2867"/>
      <c r="BN981" s="2867"/>
      <c r="BO981" s="2867"/>
      <c r="BP981" s="2867"/>
      <c r="BQ981" s="2867"/>
      <c r="BR981" s="2867"/>
      <c r="BS981" s="2867"/>
      <c r="BT981" s="2867"/>
      <c r="BU981" s="2867"/>
      <c r="BV981" s="2867"/>
      <c r="BW981" s="2867"/>
      <c r="BX981" s="2867"/>
      <c r="BY981" s="2867"/>
      <c r="BZ981" s="2867"/>
      <c r="CA981" s="2867"/>
      <c r="CB981" s="2867"/>
      <c r="CC981" s="2867"/>
      <c r="CD981" s="2867"/>
      <c r="CE981" s="2867"/>
      <c r="CF981" s="2867"/>
      <c r="CG981" s="2867"/>
      <c r="CH981" s="2867"/>
      <c r="CI981" s="2867"/>
      <c r="CJ981" s="2867"/>
      <c r="CK981" s="2867"/>
      <c r="CL981" s="2867"/>
      <c r="CM981" s="2867"/>
      <c r="CN981" s="2867"/>
      <c r="CO981" s="2867"/>
      <c r="CP981" s="2867"/>
      <c r="CQ981" s="2867"/>
      <c r="CR981" s="2867"/>
      <c r="CS981" s="2867"/>
      <c r="CT981" s="2867"/>
      <c r="CU981" s="2867"/>
      <c r="CV981" s="2867"/>
      <c r="CW981" s="2867"/>
    </row>
    <row r="982" spans="1:101">
      <c r="A982" s="2867"/>
      <c r="B982" s="2867"/>
      <c r="C982" s="2867"/>
      <c r="D982" s="2867"/>
      <c r="E982" s="2867"/>
      <c r="F982" s="2867"/>
      <c r="G982" s="2867"/>
      <c r="H982" s="2867"/>
      <c r="I982" s="2867"/>
      <c r="J982" s="2867"/>
      <c r="K982" s="2867"/>
      <c r="L982" s="2867"/>
      <c r="M982" s="2867"/>
      <c r="O982" s="2867"/>
      <c r="P982" s="2867"/>
      <c r="Q982" s="2867"/>
      <c r="R982" s="2867"/>
      <c r="S982" s="2867"/>
      <c r="T982" s="2867"/>
      <c r="U982" s="2867"/>
      <c r="V982" s="2867"/>
      <c r="W982" s="2867"/>
      <c r="X982" s="2867"/>
      <c r="Y982" s="2867"/>
      <c r="Z982" s="2867"/>
      <c r="AA982" s="2867"/>
      <c r="AB982" s="2867"/>
      <c r="AC982" s="2867"/>
      <c r="AD982" s="2867"/>
      <c r="AE982" s="2867"/>
      <c r="AF982" s="2867"/>
      <c r="AG982" s="2867"/>
      <c r="AH982" s="2867"/>
      <c r="AI982" s="2867"/>
      <c r="AJ982" s="2867"/>
      <c r="AK982" s="2867"/>
      <c r="AL982" s="2867"/>
      <c r="AM982" s="2867"/>
      <c r="AN982" s="2867"/>
      <c r="AO982" s="2867"/>
      <c r="AP982" s="2867"/>
      <c r="AQ982" s="2867"/>
      <c r="AR982" s="2867"/>
      <c r="AS982" s="2867"/>
      <c r="AT982" s="2867"/>
      <c r="AU982" s="2867"/>
      <c r="AV982" s="2867"/>
      <c r="AW982" s="2867"/>
      <c r="AX982" s="2867"/>
      <c r="AY982" s="2867"/>
      <c r="AZ982" s="2867"/>
      <c r="BA982" s="2867"/>
      <c r="BB982" s="2867"/>
      <c r="BC982" s="2867"/>
      <c r="BD982" s="2867"/>
      <c r="BE982" s="2867"/>
      <c r="BF982" s="2867"/>
      <c r="BG982" s="2867"/>
      <c r="BH982" s="2867"/>
      <c r="BI982" s="2867"/>
      <c r="BJ982" s="2867"/>
      <c r="BK982" s="2867"/>
      <c r="BL982" s="2867"/>
      <c r="BM982" s="2867"/>
      <c r="BN982" s="2867"/>
      <c r="BO982" s="2867"/>
      <c r="BP982" s="2867"/>
      <c r="BQ982" s="2867"/>
      <c r="BR982" s="2867"/>
      <c r="BS982" s="2867"/>
      <c r="BT982" s="2867"/>
      <c r="BU982" s="2867"/>
      <c r="BV982" s="2867"/>
      <c r="BW982" s="2867"/>
      <c r="BX982" s="2867"/>
      <c r="BY982" s="2867"/>
      <c r="BZ982" s="2867"/>
      <c r="CA982" s="2867"/>
      <c r="CB982" s="2867"/>
      <c r="CC982" s="2867"/>
      <c r="CD982" s="2867"/>
      <c r="CE982" s="2867"/>
      <c r="CF982" s="2867"/>
      <c r="CG982" s="2867"/>
      <c r="CH982" s="2867"/>
      <c r="CI982" s="2867"/>
      <c r="CJ982" s="2867"/>
      <c r="CK982" s="2867"/>
      <c r="CL982" s="2867"/>
      <c r="CM982" s="2867"/>
      <c r="CN982" s="2867"/>
      <c r="CO982" s="2867"/>
      <c r="CP982" s="2867"/>
      <c r="CQ982" s="2867"/>
      <c r="CR982" s="2867"/>
      <c r="CS982" s="2867"/>
      <c r="CT982" s="2867"/>
      <c r="CU982" s="2867"/>
      <c r="CV982" s="2867"/>
      <c r="CW982" s="2867"/>
    </row>
    <row r="983" spans="1:101">
      <c r="A983" s="2867"/>
      <c r="B983" s="2867"/>
      <c r="C983" s="2867"/>
      <c r="D983" s="2867"/>
      <c r="E983" s="2867"/>
      <c r="F983" s="2867"/>
      <c r="G983" s="2867"/>
      <c r="H983" s="2867"/>
      <c r="I983" s="2867"/>
      <c r="J983" s="2867"/>
      <c r="K983" s="2867"/>
      <c r="L983" s="2867"/>
      <c r="M983" s="2867"/>
      <c r="O983" s="2867"/>
      <c r="P983" s="2867"/>
      <c r="Q983" s="2867"/>
      <c r="R983" s="2867"/>
      <c r="S983" s="2867"/>
      <c r="T983" s="2867"/>
      <c r="U983" s="2867"/>
      <c r="V983" s="2867"/>
      <c r="W983" s="2867"/>
      <c r="X983" s="2867"/>
      <c r="Y983" s="2867"/>
      <c r="Z983" s="2867"/>
      <c r="AA983" s="2867"/>
      <c r="AB983" s="2867"/>
      <c r="AC983" s="2867"/>
      <c r="AD983" s="2867"/>
      <c r="AE983" s="2867"/>
      <c r="AF983" s="2867"/>
      <c r="AG983" s="2867"/>
      <c r="AH983" s="2867"/>
      <c r="AI983" s="2867"/>
      <c r="AJ983" s="2867"/>
      <c r="AK983" s="2867"/>
      <c r="AL983" s="2867"/>
      <c r="AM983" s="2867"/>
      <c r="AN983" s="2867"/>
      <c r="AO983" s="2867"/>
      <c r="AP983" s="2867"/>
      <c r="AQ983" s="2867"/>
      <c r="AR983" s="2867"/>
      <c r="AS983" s="2867"/>
      <c r="AT983" s="2867"/>
      <c r="AU983" s="2867"/>
      <c r="AV983" s="2867"/>
      <c r="AW983" s="2867"/>
      <c r="AX983" s="2867"/>
      <c r="AY983" s="2867"/>
      <c r="AZ983" s="2867"/>
      <c r="BA983" s="2867"/>
      <c r="BB983" s="2867"/>
      <c r="BC983" s="2867"/>
      <c r="BD983" s="2867"/>
      <c r="BE983" s="2867"/>
      <c r="BF983" s="2867"/>
      <c r="BG983" s="2867"/>
      <c r="BH983" s="2867"/>
      <c r="BI983" s="2867"/>
      <c r="BJ983" s="2867"/>
      <c r="BK983" s="2867"/>
      <c r="BL983" s="2867"/>
      <c r="BM983" s="2867"/>
      <c r="BN983" s="2867"/>
      <c r="BO983" s="2867"/>
      <c r="BP983" s="2867"/>
      <c r="BQ983" s="2867"/>
      <c r="BR983" s="2867"/>
      <c r="BS983" s="2867"/>
      <c r="BT983" s="2867"/>
      <c r="BU983" s="2867"/>
      <c r="BV983" s="2867"/>
      <c r="BW983" s="2867"/>
      <c r="BX983" s="2867"/>
      <c r="BY983" s="2867"/>
      <c r="BZ983" s="2867"/>
      <c r="CA983" s="2867"/>
      <c r="CB983" s="2867"/>
      <c r="CC983" s="2867"/>
      <c r="CD983" s="2867"/>
      <c r="CE983" s="2867"/>
      <c r="CF983" s="2867"/>
      <c r="CG983" s="2867"/>
      <c r="CH983" s="2867"/>
      <c r="CI983" s="2867"/>
      <c r="CJ983" s="2867"/>
      <c r="CK983" s="2867"/>
      <c r="CL983" s="2867"/>
      <c r="CM983" s="2867"/>
      <c r="CN983" s="2867"/>
      <c r="CO983" s="2867"/>
      <c r="CP983" s="2867"/>
      <c r="CQ983" s="2867"/>
      <c r="CR983" s="2867"/>
      <c r="CS983" s="2867"/>
      <c r="CT983" s="2867"/>
      <c r="CU983" s="2867"/>
      <c r="CV983" s="2867"/>
      <c r="CW983" s="2867"/>
    </row>
    <row r="984" spans="1:101">
      <c r="A984" s="2867"/>
      <c r="B984" s="2867"/>
      <c r="C984" s="2867"/>
      <c r="D984" s="2867"/>
      <c r="E984" s="2867"/>
      <c r="F984" s="2867"/>
      <c r="G984" s="2867"/>
      <c r="H984" s="2867"/>
      <c r="I984" s="2867"/>
      <c r="J984" s="2867"/>
      <c r="K984" s="2867"/>
      <c r="L984" s="2867"/>
      <c r="M984" s="2867"/>
      <c r="O984" s="2867"/>
      <c r="P984" s="2867"/>
      <c r="Q984" s="2867"/>
      <c r="R984" s="2867"/>
      <c r="S984" s="2867"/>
      <c r="T984" s="2867"/>
      <c r="U984" s="2867"/>
      <c r="V984" s="2867"/>
      <c r="W984" s="2867"/>
      <c r="X984" s="2867"/>
      <c r="Y984" s="2867"/>
      <c r="Z984" s="2867"/>
      <c r="AA984" s="2867"/>
      <c r="AB984" s="2867"/>
      <c r="AC984" s="2867"/>
      <c r="AD984" s="2867"/>
      <c r="AE984" s="2867"/>
      <c r="AF984" s="2867"/>
      <c r="AG984" s="2867"/>
      <c r="AH984" s="2867"/>
      <c r="AI984" s="2867"/>
      <c r="AJ984" s="2867"/>
      <c r="AK984" s="2867"/>
      <c r="AL984" s="2867"/>
      <c r="AM984" s="2867"/>
      <c r="AN984" s="2867"/>
      <c r="AO984" s="2867"/>
      <c r="AP984" s="2867"/>
      <c r="AQ984" s="2867"/>
      <c r="AR984" s="2867"/>
      <c r="AS984" s="2867"/>
      <c r="AT984" s="2867"/>
      <c r="AU984" s="2867"/>
      <c r="AV984" s="2867"/>
      <c r="AW984" s="2867"/>
      <c r="AX984" s="2867"/>
      <c r="AY984" s="2867"/>
      <c r="AZ984" s="2867"/>
      <c r="BA984" s="2867"/>
      <c r="BB984" s="2867"/>
      <c r="BC984" s="2867"/>
      <c r="BD984" s="2867"/>
      <c r="BE984" s="2867"/>
      <c r="BF984" s="2867"/>
      <c r="BG984" s="2867"/>
      <c r="BH984" s="2867"/>
      <c r="BI984" s="2867"/>
      <c r="BJ984" s="2867"/>
      <c r="BK984" s="2867"/>
      <c r="BL984" s="2867"/>
      <c r="BM984" s="2867"/>
      <c r="BN984" s="2867"/>
      <c r="BO984" s="2867"/>
      <c r="BP984" s="2867"/>
      <c r="BQ984" s="2867"/>
      <c r="BR984" s="2867"/>
      <c r="BS984" s="2867"/>
      <c r="BT984" s="2867"/>
      <c r="BU984" s="2867"/>
      <c r="BV984" s="2867"/>
      <c r="BW984" s="2867"/>
      <c r="BX984" s="2867"/>
      <c r="BY984" s="2867"/>
      <c r="BZ984" s="2867"/>
      <c r="CA984" s="2867"/>
      <c r="CB984" s="2867"/>
      <c r="CC984" s="2867"/>
      <c r="CD984" s="2867"/>
      <c r="CE984" s="2867"/>
      <c r="CF984" s="2867"/>
      <c r="CG984" s="2867"/>
      <c r="CH984" s="2867"/>
      <c r="CI984" s="2867"/>
      <c r="CJ984" s="2867"/>
      <c r="CK984" s="2867"/>
      <c r="CL984" s="2867"/>
      <c r="CM984" s="2867"/>
      <c r="CN984" s="2867"/>
      <c r="CO984" s="2867"/>
      <c r="CP984" s="2867"/>
      <c r="CQ984" s="2867"/>
      <c r="CR984" s="2867"/>
      <c r="CS984" s="2867"/>
      <c r="CT984" s="2867"/>
      <c r="CU984" s="2867"/>
      <c r="CV984" s="2867"/>
      <c r="CW984" s="2867"/>
    </row>
    <row r="985" spans="1:101">
      <c r="A985" s="2867"/>
      <c r="B985" s="2867"/>
      <c r="C985" s="2867"/>
      <c r="D985" s="2867"/>
      <c r="E985" s="2867"/>
      <c r="F985" s="2867"/>
      <c r="G985" s="2867"/>
      <c r="H985" s="2867"/>
      <c r="I985" s="2867"/>
      <c r="J985" s="2867"/>
      <c r="K985" s="2867"/>
      <c r="L985" s="2867"/>
      <c r="M985" s="2867"/>
      <c r="O985" s="2867"/>
      <c r="P985" s="2867"/>
      <c r="Q985" s="2867"/>
      <c r="R985" s="2867"/>
      <c r="S985" s="2867"/>
      <c r="T985" s="2867"/>
      <c r="U985" s="2867"/>
      <c r="V985" s="2867"/>
      <c r="W985" s="2867"/>
      <c r="X985" s="2867"/>
      <c r="Y985" s="2867"/>
      <c r="Z985" s="2867"/>
      <c r="AA985" s="2867"/>
      <c r="AB985" s="2867"/>
      <c r="AC985" s="2867"/>
      <c r="AD985" s="2867"/>
      <c r="AE985" s="2867"/>
      <c r="AF985" s="2867"/>
      <c r="AG985" s="2867"/>
      <c r="AH985" s="2867"/>
      <c r="AI985" s="2867"/>
      <c r="AJ985" s="2867"/>
      <c r="AK985" s="2867"/>
      <c r="AL985" s="2867"/>
      <c r="AM985" s="2867"/>
      <c r="AN985" s="2867"/>
      <c r="AO985" s="2867"/>
      <c r="AP985" s="2867"/>
      <c r="AQ985" s="2867"/>
      <c r="AR985" s="2867"/>
      <c r="AS985" s="2867"/>
      <c r="AT985" s="2867"/>
      <c r="AU985" s="2867"/>
      <c r="AV985" s="2867"/>
      <c r="AW985" s="2867"/>
      <c r="AX985" s="2867"/>
      <c r="AY985" s="2867"/>
      <c r="AZ985" s="2867"/>
      <c r="BA985" s="2867"/>
      <c r="BB985" s="2867"/>
      <c r="BC985" s="2867"/>
      <c r="BD985" s="2867"/>
      <c r="BE985" s="2867"/>
      <c r="BF985" s="2867"/>
      <c r="BG985" s="2867"/>
      <c r="BH985" s="2867"/>
      <c r="BI985" s="2867"/>
      <c r="BJ985" s="2867"/>
      <c r="BK985" s="2867"/>
      <c r="BL985" s="2867"/>
      <c r="BM985" s="2867"/>
      <c r="BN985" s="2867"/>
      <c r="BO985" s="2867"/>
      <c r="BP985" s="2867"/>
      <c r="BQ985" s="2867"/>
      <c r="BR985" s="2867"/>
      <c r="BS985" s="2867"/>
      <c r="BT985" s="2867"/>
      <c r="BU985" s="2867"/>
      <c r="BV985" s="2867"/>
      <c r="BW985" s="2867"/>
      <c r="BX985" s="2867"/>
      <c r="BY985" s="2867"/>
      <c r="BZ985" s="2867"/>
      <c r="CA985" s="2867"/>
      <c r="CB985" s="2867"/>
      <c r="CC985" s="2867"/>
      <c r="CD985" s="2867"/>
      <c r="CE985" s="2867"/>
      <c r="CF985" s="2867"/>
      <c r="CG985" s="2867"/>
      <c r="CH985" s="2867"/>
      <c r="CI985" s="2867"/>
      <c r="CJ985" s="2867"/>
      <c r="CK985" s="2867"/>
      <c r="CL985" s="2867"/>
      <c r="CM985" s="2867"/>
      <c r="CN985" s="2867"/>
      <c r="CO985" s="2867"/>
      <c r="CP985" s="2867"/>
      <c r="CQ985" s="2867"/>
      <c r="CR985" s="2867"/>
      <c r="CS985" s="2867"/>
      <c r="CT985" s="2867"/>
      <c r="CU985" s="2867"/>
      <c r="CV985" s="2867"/>
      <c r="CW985" s="2867"/>
    </row>
    <row r="986" spans="1:101">
      <c r="A986" s="2867"/>
      <c r="B986" s="2867"/>
      <c r="C986" s="2867"/>
      <c r="D986" s="2867"/>
      <c r="E986" s="2867"/>
      <c r="F986" s="2867"/>
      <c r="G986" s="2867"/>
      <c r="H986" s="2867"/>
      <c r="I986" s="2867"/>
      <c r="J986" s="2867"/>
      <c r="K986" s="2867"/>
      <c r="L986" s="2867"/>
      <c r="M986" s="2867"/>
      <c r="O986" s="2867"/>
      <c r="P986" s="2867"/>
      <c r="Q986" s="2867"/>
      <c r="R986" s="2867"/>
      <c r="S986" s="2867"/>
      <c r="T986" s="2867"/>
      <c r="U986" s="2867"/>
      <c r="V986" s="2867"/>
      <c r="W986" s="2867"/>
      <c r="X986" s="2867"/>
      <c r="Y986" s="2867"/>
      <c r="Z986" s="2867"/>
      <c r="AA986" s="2867"/>
      <c r="AB986" s="2867"/>
      <c r="AC986" s="2867"/>
      <c r="AD986" s="2867"/>
      <c r="AE986" s="2867"/>
      <c r="AF986" s="2867"/>
      <c r="AG986" s="2867"/>
      <c r="AH986" s="2867"/>
      <c r="AI986" s="2867"/>
      <c r="AJ986" s="2867"/>
      <c r="AK986" s="2867"/>
      <c r="AL986" s="2867"/>
      <c r="AM986" s="2867"/>
      <c r="AN986" s="2867"/>
      <c r="AO986" s="2867"/>
      <c r="AP986" s="2867"/>
      <c r="AQ986" s="2867"/>
      <c r="AR986" s="2867"/>
      <c r="AS986" s="2867"/>
      <c r="AT986" s="2867"/>
      <c r="AU986" s="2867"/>
      <c r="AV986" s="2867"/>
      <c r="AW986" s="2867"/>
      <c r="AX986" s="2867"/>
      <c r="AY986" s="2867"/>
      <c r="AZ986" s="2867"/>
      <c r="BA986" s="2867"/>
      <c r="BB986" s="2867"/>
      <c r="BC986" s="2867"/>
      <c r="BD986" s="2867"/>
      <c r="BE986" s="2867"/>
      <c r="BF986" s="2867"/>
      <c r="BG986" s="2867"/>
      <c r="BH986" s="2867"/>
      <c r="BI986" s="2867"/>
      <c r="BJ986" s="2867"/>
      <c r="BK986" s="2867"/>
      <c r="BL986" s="2867"/>
      <c r="BM986" s="2867"/>
      <c r="BN986" s="2867"/>
      <c r="BO986" s="2867"/>
      <c r="BP986" s="2867"/>
      <c r="BQ986" s="2867"/>
      <c r="BR986" s="2867"/>
      <c r="BS986" s="2867"/>
      <c r="BT986" s="2867"/>
      <c r="BU986" s="2867"/>
      <c r="BV986" s="2867"/>
      <c r="BW986" s="2867"/>
      <c r="BX986" s="2867"/>
      <c r="BY986" s="2867"/>
      <c r="BZ986" s="2867"/>
      <c r="CA986" s="2867"/>
      <c r="CB986" s="2867"/>
      <c r="CC986" s="2867"/>
      <c r="CD986" s="2867"/>
      <c r="CE986" s="2867"/>
      <c r="CF986" s="2867"/>
      <c r="CG986" s="2867"/>
      <c r="CH986" s="2867"/>
      <c r="CI986" s="2867"/>
      <c r="CJ986" s="2867"/>
      <c r="CK986" s="2867"/>
      <c r="CL986" s="2867"/>
      <c r="CM986" s="2867"/>
      <c r="CN986" s="2867"/>
      <c r="CO986" s="2867"/>
      <c r="CP986" s="2867"/>
      <c r="CQ986" s="2867"/>
      <c r="CR986" s="2867"/>
      <c r="CS986" s="2867"/>
      <c r="CT986" s="2867"/>
      <c r="CU986" s="2867"/>
      <c r="CV986" s="2867"/>
      <c r="CW986" s="2867"/>
    </row>
    <row r="987" spans="1:101">
      <c r="A987" s="2867"/>
      <c r="B987" s="2867"/>
      <c r="C987" s="2867"/>
      <c r="D987" s="2867"/>
      <c r="E987" s="2867"/>
      <c r="F987" s="2867"/>
      <c r="G987" s="2867"/>
      <c r="H987" s="2867"/>
      <c r="I987" s="2867"/>
      <c r="J987" s="2867"/>
      <c r="K987" s="2867"/>
      <c r="L987" s="2867"/>
      <c r="M987" s="2867"/>
      <c r="O987" s="2867"/>
      <c r="P987" s="2867"/>
      <c r="Q987" s="2867"/>
      <c r="R987" s="2867"/>
      <c r="S987" s="2867"/>
      <c r="T987" s="2867"/>
      <c r="U987" s="2867"/>
      <c r="V987" s="2867"/>
      <c r="W987" s="2867"/>
      <c r="X987" s="2867"/>
      <c r="Y987" s="2867"/>
      <c r="Z987" s="2867"/>
      <c r="AA987" s="2867"/>
      <c r="AB987" s="2867"/>
      <c r="AC987" s="2867"/>
      <c r="AD987" s="2867"/>
      <c r="AE987" s="2867"/>
      <c r="AF987" s="2867"/>
      <c r="AG987" s="2867"/>
      <c r="AH987" s="2867"/>
      <c r="AI987" s="2867"/>
      <c r="AJ987" s="2867"/>
      <c r="AK987" s="2867"/>
      <c r="AL987" s="2867"/>
      <c r="AM987" s="2867"/>
      <c r="AN987" s="2867"/>
      <c r="AO987" s="2867"/>
      <c r="AP987" s="2867"/>
      <c r="AQ987" s="2867"/>
      <c r="AR987" s="2867"/>
      <c r="AS987" s="2867"/>
      <c r="AT987" s="2867"/>
      <c r="AU987" s="2867"/>
      <c r="AV987" s="2867"/>
      <c r="AW987" s="2867"/>
      <c r="AX987" s="2867"/>
      <c r="AY987" s="2867"/>
      <c r="AZ987" s="2867"/>
      <c r="BA987" s="2867"/>
      <c r="BB987" s="2867"/>
      <c r="BC987" s="2867"/>
      <c r="BD987" s="2867"/>
      <c r="BE987" s="2867"/>
      <c r="BF987" s="2867"/>
      <c r="BG987" s="2867"/>
      <c r="BH987" s="2867"/>
      <c r="BI987" s="2867"/>
      <c r="BJ987" s="2867"/>
      <c r="BK987" s="2867"/>
      <c r="BL987" s="2867"/>
      <c r="BM987" s="2867"/>
      <c r="BN987" s="2867"/>
      <c r="BO987" s="2867"/>
      <c r="BP987" s="2867"/>
      <c r="BQ987" s="2867"/>
      <c r="BR987" s="2867"/>
      <c r="BS987" s="2867"/>
      <c r="BT987" s="2867"/>
      <c r="BU987" s="2867"/>
      <c r="BV987" s="2867"/>
      <c r="BW987" s="2867"/>
      <c r="BX987" s="2867"/>
      <c r="BY987" s="2867"/>
      <c r="BZ987" s="2867"/>
      <c r="CA987" s="2867"/>
      <c r="CB987" s="2867"/>
      <c r="CC987" s="2867"/>
      <c r="CD987" s="2867"/>
      <c r="CE987" s="2867"/>
      <c r="CF987" s="2867"/>
      <c r="CG987" s="2867"/>
      <c r="CH987" s="2867"/>
      <c r="CI987" s="2867"/>
      <c r="CJ987" s="2867"/>
      <c r="CK987" s="2867"/>
      <c r="CL987" s="2867"/>
      <c r="CM987" s="2867"/>
      <c r="CN987" s="2867"/>
      <c r="CO987" s="2867"/>
      <c r="CP987" s="2867"/>
      <c r="CQ987" s="2867"/>
      <c r="CR987" s="2867"/>
      <c r="CS987" s="2867"/>
      <c r="CT987" s="2867"/>
      <c r="CU987" s="2867"/>
      <c r="CV987" s="2867"/>
      <c r="CW987" s="2867"/>
    </row>
    <row r="988" spans="1:101">
      <c r="A988" s="2867"/>
      <c r="B988" s="2867"/>
      <c r="C988" s="2867"/>
      <c r="D988" s="2867"/>
      <c r="E988" s="2867"/>
      <c r="F988" s="2867"/>
      <c r="G988" s="2867"/>
      <c r="H988" s="2867"/>
      <c r="I988" s="2867"/>
      <c r="J988" s="2867"/>
      <c r="K988" s="2867"/>
      <c r="L988" s="2867"/>
      <c r="M988" s="2867"/>
      <c r="O988" s="2867"/>
      <c r="P988" s="2867"/>
      <c r="Q988" s="2867"/>
      <c r="R988" s="2867"/>
      <c r="S988" s="2867"/>
      <c r="T988" s="2867"/>
      <c r="U988" s="2867"/>
      <c r="V988" s="2867"/>
      <c r="W988" s="2867"/>
      <c r="X988" s="2867"/>
      <c r="Y988" s="2867"/>
      <c r="Z988" s="2867"/>
      <c r="AA988" s="2867"/>
      <c r="AB988" s="2867"/>
      <c r="AC988" s="2867"/>
      <c r="AD988" s="2867"/>
      <c r="AE988" s="2867"/>
      <c r="AF988" s="2867"/>
      <c r="AG988" s="2867"/>
      <c r="AH988" s="2867"/>
      <c r="AI988" s="2867"/>
      <c r="AJ988" s="2867"/>
      <c r="AK988" s="2867"/>
      <c r="AL988" s="2867"/>
      <c r="AM988" s="2867"/>
      <c r="AN988" s="2867"/>
      <c r="AO988" s="2867"/>
      <c r="AP988" s="2867"/>
      <c r="AQ988" s="2867"/>
      <c r="AR988" s="2867"/>
      <c r="AS988" s="2867"/>
      <c r="AT988" s="2867"/>
      <c r="AU988" s="2867"/>
      <c r="AV988" s="2867"/>
      <c r="AW988" s="2867"/>
      <c r="AX988" s="2867"/>
      <c r="AY988" s="2867"/>
      <c r="AZ988" s="2867"/>
      <c r="BA988" s="2867"/>
      <c r="BB988" s="2867"/>
      <c r="BC988" s="2867"/>
      <c r="BD988" s="2867"/>
      <c r="BE988" s="2867"/>
      <c r="BF988" s="2867"/>
      <c r="BG988" s="2867"/>
      <c r="BH988" s="2867"/>
      <c r="BI988" s="2867"/>
      <c r="BJ988" s="2867"/>
      <c r="BK988" s="2867"/>
      <c r="BL988" s="2867"/>
      <c r="BM988" s="2867"/>
      <c r="BN988" s="2867"/>
      <c r="BO988" s="2867"/>
      <c r="BP988" s="2867"/>
      <c r="BQ988" s="2867"/>
      <c r="BR988" s="2867"/>
      <c r="BS988" s="2867"/>
      <c r="BT988" s="2867"/>
      <c r="BU988" s="2867"/>
      <c r="BV988" s="2867"/>
      <c r="BW988" s="2867"/>
      <c r="BX988" s="2867"/>
      <c r="BY988" s="2867"/>
      <c r="BZ988" s="2867"/>
      <c r="CA988" s="2867"/>
      <c r="CB988" s="2867"/>
      <c r="CC988" s="2867"/>
      <c r="CD988" s="2867"/>
      <c r="CE988" s="2867"/>
      <c r="CF988" s="2867"/>
      <c r="CG988" s="2867"/>
      <c r="CH988" s="2867"/>
      <c r="CI988" s="2867"/>
      <c r="CJ988" s="2867"/>
      <c r="CK988" s="2867"/>
      <c r="CL988" s="2867"/>
      <c r="CM988" s="2867"/>
      <c r="CN988" s="2867"/>
      <c r="CO988" s="2867"/>
      <c r="CP988" s="2867"/>
      <c r="CQ988" s="2867"/>
      <c r="CR988" s="2867"/>
      <c r="CS988" s="2867"/>
      <c r="CT988" s="2867"/>
      <c r="CU988" s="2867"/>
      <c r="CV988" s="2867"/>
      <c r="CW988" s="2867"/>
    </row>
    <row r="989" spans="1:101">
      <c r="A989" s="2867"/>
      <c r="B989" s="2867"/>
      <c r="C989" s="2867"/>
      <c r="D989" s="2867"/>
      <c r="E989" s="2867"/>
      <c r="F989" s="2867"/>
      <c r="G989" s="2867"/>
      <c r="H989" s="2867"/>
      <c r="I989" s="2867"/>
      <c r="J989" s="2867"/>
      <c r="K989" s="2867"/>
      <c r="L989" s="2867"/>
      <c r="M989" s="2867"/>
      <c r="O989" s="2867"/>
      <c r="P989" s="2867"/>
      <c r="Q989" s="2867"/>
      <c r="R989" s="2867"/>
      <c r="S989" s="2867"/>
      <c r="T989" s="2867"/>
      <c r="U989" s="2867"/>
      <c r="V989" s="2867"/>
      <c r="W989" s="2867"/>
      <c r="X989" s="2867"/>
      <c r="Y989" s="2867"/>
      <c r="Z989" s="2867"/>
      <c r="AA989" s="2867"/>
      <c r="AB989" s="2867"/>
      <c r="AC989" s="2867"/>
      <c r="AD989" s="2867"/>
      <c r="AE989" s="2867"/>
      <c r="AF989" s="2867"/>
      <c r="AG989" s="2867"/>
      <c r="AH989" s="2867"/>
      <c r="AI989" s="2867"/>
      <c r="AJ989" s="2867"/>
      <c r="AK989" s="2867"/>
      <c r="AL989" s="2867"/>
      <c r="AM989" s="2867"/>
      <c r="AN989" s="2867"/>
      <c r="AO989" s="2867"/>
      <c r="AP989" s="2867"/>
      <c r="AQ989" s="2867"/>
      <c r="AR989" s="2867"/>
      <c r="AS989" s="2867"/>
      <c r="AT989" s="2867"/>
      <c r="AU989" s="2867"/>
      <c r="AV989" s="2867"/>
      <c r="AW989" s="2867"/>
      <c r="AX989" s="2867"/>
      <c r="AY989" s="2867"/>
      <c r="AZ989" s="2867"/>
      <c r="BA989" s="2867"/>
      <c r="BB989" s="2867"/>
      <c r="BC989" s="2867"/>
      <c r="BD989" s="2867"/>
      <c r="BE989" s="2867"/>
      <c r="BF989" s="2867"/>
      <c r="BG989" s="2867"/>
      <c r="BH989" s="2867"/>
      <c r="BI989" s="2867"/>
      <c r="BJ989" s="2867"/>
      <c r="BK989" s="2867"/>
      <c r="BL989" s="2867"/>
      <c r="BM989" s="2867"/>
      <c r="BN989" s="2867"/>
      <c r="BO989" s="2867"/>
      <c r="BP989" s="2867"/>
      <c r="BQ989" s="2867"/>
      <c r="BR989" s="2867"/>
      <c r="BS989" s="2867"/>
      <c r="BT989" s="2867"/>
      <c r="BU989" s="2867"/>
      <c r="BV989" s="2867"/>
      <c r="BW989" s="2867"/>
      <c r="BX989" s="2867"/>
      <c r="BY989" s="2867"/>
      <c r="BZ989" s="2867"/>
      <c r="CA989" s="2867"/>
      <c r="CB989" s="2867"/>
      <c r="CC989" s="2867"/>
      <c r="CD989" s="2867"/>
      <c r="CE989" s="2867"/>
      <c r="CF989" s="2867"/>
      <c r="CG989" s="2867"/>
      <c r="CH989" s="2867"/>
      <c r="CI989" s="2867"/>
      <c r="CJ989" s="2867"/>
      <c r="CK989" s="2867"/>
      <c r="CL989" s="2867"/>
      <c r="CM989" s="2867"/>
      <c r="CN989" s="2867"/>
      <c r="CO989" s="2867"/>
      <c r="CP989" s="2867"/>
      <c r="CQ989" s="2867"/>
      <c r="CR989" s="2867"/>
      <c r="CS989" s="2867"/>
      <c r="CT989" s="2867"/>
      <c r="CU989" s="2867"/>
      <c r="CV989" s="2867"/>
      <c r="CW989" s="2867"/>
    </row>
    <row r="990" spans="1:101">
      <c r="A990" s="2867"/>
      <c r="B990" s="2867"/>
      <c r="C990" s="2867"/>
      <c r="D990" s="2867"/>
      <c r="E990" s="2867"/>
      <c r="F990" s="2867"/>
      <c r="G990" s="2867"/>
      <c r="H990" s="2867"/>
      <c r="I990" s="2867"/>
      <c r="J990" s="2867"/>
      <c r="K990" s="2867"/>
      <c r="L990" s="2867"/>
      <c r="M990" s="2867"/>
      <c r="O990" s="2867"/>
      <c r="P990" s="2867"/>
      <c r="Q990" s="2867"/>
      <c r="R990" s="2867"/>
      <c r="S990" s="2867"/>
      <c r="T990" s="2867"/>
      <c r="U990" s="2867"/>
      <c r="V990" s="2867"/>
      <c r="W990" s="2867"/>
      <c r="X990" s="2867"/>
      <c r="Y990" s="2867"/>
      <c r="Z990" s="2867"/>
      <c r="AA990" s="2867"/>
      <c r="AB990" s="2867"/>
      <c r="AC990" s="2867"/>
      <c r="AD990" s="2867"/>
      <c r="AE990" s="2867"/>
      <c r="AF990" s="2867"/>
      <c r="AG990" s="2867"/>
      <c r="AH990" s="2867"/>
      <c r="AI990" s="2867"/>
      <c r="AJ990" s="2867"/>
      <c r="AK990" s="2867"/>
      <c r="AL990" s="2867"/>
      <c r="AM990" s="2867"/>
      <c r="AN990" s="2867"/>
      <c r="AO990" s="2867"/>
      <c r="AP990" s="2867"/>
      <c r="AQ990" s="2867"/>
      <c r="AR990" s="2867"/>
      <c r="AS990" s="2867"/>
      <c r="AT990" s="2867"/>
      <c r="AU990" s="2867"/>
      <c r="AV990" s="2867"/>
      <c r="AW990" s="2867"/>
      <c r="AX990" s="2867"/>
      <c r="AY990" s="2867"/>
      <c r="AZ990" s="2867"/>
      <c r="BA990" s="2867"/>
      <c r="BB990" s="2867"/>
      <c r="BC990" s="2867"/>
      <c r="BD990" s="2867"/>
      <c r="BE990" s="2867"/>
      <c r="BF990" s="2867"/>
      <c r="BG990" s="2867"/>
      <c r="BH990" s="2867"/>
      <c r="BI990" s="2867"/>
      <c r="BJ990" s="2867"/>
      <c r="BK990" s="2867"/>
      <c r="BL990" s="2867"/>
      <c r="BM990" s="2867"/>
      <c r="BN990" s="2867"/>
      <c r="BO990" s="2867"/>
      <c r="BP990" s="2867"/>
      <c r="BQ990" s="2867"/>
      <c r="BR990" s="2867"/>
      <c r="BS990" s="2867"/>
      <c r="BT990" s="2867"/>
      <c r="BU990" s="2867"/>
      <c r="BV990" s="2867"/>
      <c r="BW990" s="2867"/>
      <c r="BX990" s="2867"/>
      <c r="BY990" s="2867"/>
      <c r="BZ990" s="2867"/>
      <c r="CA990" s="2867"/>
      <c r="CB990" s="2867"/>
      <c r="CC990" s="2867"/>
      <c r="CD990" s="2867"/>
      <c r="CE990" s="2867"/>
      <c r="CF990" s="2867"/>
      <c r="CG990" s="2867"/>
      <c r="CH990" s="2867"/>
      <c r="CI990" s="2867"/>
      <c r="CJ990" s="2867"/>
      <c r="CK990" s="2867"/>
      <c r="CL990" s="2867"/>
      <c r="CM990" s="2867"/>
      <c r="CN990" s="2867"/>
      <c r="CO990" s="2867"/>
      <c r="CP990" s="2867"/>
      <c r="CQ990" s="2867"/>
      <c r="CR990" s="2867"/>
      <c r="CS990" s="2867"/>
      <c r="CT990" s="2867"/>
      <c r="CU990" s="2867"/>
      <c r="CV990" s="2867"/>
      <c r="CW990" s="2867"/>
    </row>
    <row r="991" spans="1:101">
      <c r="A991" s="2867"/>
      <c r="B991" s="2867"/>
      <c r="C991" s="2867"/>
      <c r="D991" s="2867"/>
      <c r="E991" s="2867"/>
      <c r="F991" s="2867"/>
      <c r="G991" s="2867"/>
      <c r="H991" s="2867"/>
      <c r="I991" s="2867"/>
      <c r="J991" s="2867"/>
      <c r="K991" s="2867"/>
      <c r="L991" s="2867"/>
      <c r="M991" s="2867"/>
      <c r="O991" s="2867"/>
      <c r="P991" s="2867"/>
      <c r="Q991" s="2867"/>
      <c r="R991" s="2867"/>
      <c r="S991" s="2867"/>
      <c r="T991" s="2867"/>
      <c r="U991" s="2867"/>
      <c r="V991" s="2867"/>
      <c r="W991" s="2867"/>
      <c r="X991" s="2867"/>
      <c r="Y991" s="2867"/>
      <c r="Z991" s="2867"/>
      <c r="AA991" s="2867"/>
      <c r="AB991" s="2867"/>
      <c r="AC991" s="2867"/>
      <c r="AD991" s="2867"/>
      <c r="AE991" s="2867"/>
      <c r="AF991" s="2867"/>
      <c r="AG991" s="2867"/>
      <c r="AH991" s="2867"/>
      <c r="AI991" s="2867"/>
      <c r="AJ991" s="2867"/>
      <c r="AK991" s="2867"/>
      <c r="AL991" s="2867"/>
      <c r="AM991" s="2867"/>
      <c r="AN991" s="2867"/>
      <c r="AO991" s="2867"/>
      <c r="AP991" s="2867"/>
      <c r="AQ991" s="2867"/>
      <c r="AR991" s="2867"/>
      <c r="AS991" s="2867"/>
      <c r="AT991" s="2867"/>
      <c r="AU991" s="2867"/>
      <c r="AV991" s="2867"/>
      <c r="AW991" s="2867"/>
      <c r="AX991" s="2867"/>
      <c r="AY991" s="2867"/>
      <c r="AZ991" s="2867"/>
      <c r="BA991" s="2867"/>
      <c r="BB991" s="2867"/>
      <c r="BC991" s="2867"/>
      <c r="BD991" s="2867"/>
      <c r="BE991" s="2867"/>
      <c r="BF991" s="2867"/>
      <c r="BG991" s="2867"/>
      <c r="BH991" s="2867"/>
      <c r="BI991" s="2867"/>
      <c r="BJ991" s="2867"/>
      <c r="BK991" s="2867"/>
      <c r="BL991" s="2867"/>
      <c r="BM991" s="2867"/>
      <c r="BN991" s="2867"/>
      <c r="BO991" s="2867"/>
      <c r="BP991" s="2867"/>
      <c r="BQ991" s="2867"/>
      <c r="BR991" s="2867"/>
      <c r="BS991" s="2867"/>
      <c r="BT991" s="2867"/>
      <c r="BU991" s="2867"/>
      <c r="BV991" s="2867"/>
      <c r="BW991" s="2867"/>
      <c r="BX991" s="2867"/>
      <c r="BY991" s="2867"/>
      <c r="BZ991" s="2867"/>
      <c r="CA991" s="2867"/>
      <c r="CB991" s="2867"/>
      <c r="CC991" s="2867"/>
      <c r="CD991" s="2867"/>
      <c r="CE991" s="2867"/>
      <c r="CF991" s="2867"/>
      <c r="CG991" s="2867"/>
      <c r="CH991" s="2867"/>
      <c r="CI991" s="2867"/>
      <c r="CJ991" s="2867"/>
      <c r="CK991" s="2867"/>
      <c r="CL991" s="2867"/>
      <c r="CM991" s="2867"/>
      <c r="CN991" s="2867"/>
      <c r="CO991" s="2867"/>
      <c r="CP991" s="2867"/>
      <c r="CQ991" s="2867"/>
      <c r="CR991" s="2867"/>
      <c r="CS991" s="2867"/>
      <c r="CT991" s="2867"/>
      <c r="CU991" s="2867"/>
      <c r="CV991" s="2867"/>
      <c r="CW991" s="2867"/>
    </row>
    <row r="992" spans="1:101">
      <c r="A992" s="2867"/>
      <c r="B992" s="2867"/>
      <c r="C992" s="2867"/>
      <c r="D992" s="2867"/>
      <c r="E992" s="2867"/>
      <c r="F992" s="2867"/>
      <c r="G992" s="2867"/>
      <c r="H992" s="2867"/>
      <c r="I992" s="2867"/>
      <c r="J992" s="2867"/>
      <c r="K992" s="2867"/>
      <c r="L992" s="2867"/>
      <c r="M992" s="2867"/>
      <c r="O992" s="2867"/>
      <c r="P992" s="2867"/>
      <c r="Q992" s="2867"/>
      <c r="R992" s="2867"/>
      <c r="S992" s="2867"/>
      <c r="T992" s="2867"/>
      <c r="U992" s="2867"/>
      <c r="V992" s="2867"/>
      <c r="W992" s="2867"/>
      <c r="X992" s="2867"/>
      <c r="Y992" s="2867"/>
      <c r="Z992" s="2867"/>
      <c r="AA992" s="2867"/>
      <c r="AB992" s="2867"/>
      <c r="AC992" s="2867"/>
      <c r="AD992" s="2867"/>
      <c r="AE992" s="2867"/>
      <c r="AF992" s="2867"/>
      <c r="AG992" s="2867"/>
      <c r="AH992" s="2867"/>
      <c r="AI992" s="2867"/>
      <c r="AJ992" s="2867"/>
      <c r="AK992" s="2867"/>
      <c r="AL992" s="2867"/>
      <c r="AM992" s="2867"/>
      <c r="AN992" s="2867"/>
      <c r="AO992" s="2867"/>
      <c r="AP992" s="2867"/>
      <c r="AQ992" s="2867"/>
      <c r="AR992" s="2867"/>
      <c r="AS992" s="2867"/>
      <c r="AT992" s="2867"/>
      <c r="AU992" s="2867"/>
      <c r="AV992" s="2867"/>
      <c r="AW992" s="2867"/>
      <c r="AX992" s="2867"/>
      <c r="AY992" s="2867"/>
      <c r="AZ992" s="2867"/>
      <c r="BA992" s="2867"/>
      <c r="BB992" s="2867"/>
      <c r="BC992" s="2867"/>
      <c r="BD992" s="2867"/>
      <c r="BE992" s="2867"/>
      <c r="BF992" s="2867"/>
      <c r="BG992" s="2867"/>
      <c r="BH992" s="2867"/>
      <c r="BI992" s="2867"/>
      <c r="BJ992" s="2867"/>
      <c r="BK992" s="2867"/>
      <c r="BL992" s="2867"/>
      <c r="BM992" s="2867"/>
      <c r="BN992" s="2867"/>
      <c r="BO992" s="2867"/>
      <c r="BP992" s="2867"/>
      <c r="BQ992" s="2867"/>
      <c r="BR992" s="2867"/>
      <c r="BS992" s="2867"/>
      <c r="BT992" s="2867"/>
      <c r="BU992" s="2867"/>
      <c r="BV992" s="2867"/>
      <c r="BW992" s="2867"/>
      <c r="BX992" s="2867"/>
      <c r="BY992" s="2867"/>
      <c r="BZ992" s="2867"/>
      <c r="CA992" s="2867"/>
      <c r="CB992" s="2867"/>
      <c r="CC992" s="2867"/>
      <c r="CD992" s="2867"/>
      <c r="CE992" s="2867"/>
      <c r="CF992" s="2867"/>
      <c r="CG992" s="2867"/>
      <c r="CH992" s="2867"/>
      <c r="CI992" s="2867"/>
      <c r="CJ992" s="2867"/>
      <c r="CK992" s="2867"/>
      <c r="CL992" s="2867"/>
      <c r="CM992" s="2867"/>
      <c r="CN992" s="2867"/>
      <c r="CO992" s="2867"/>
      <c r="CP992" s="2867"/>
      <c r="CQ992" s="2867"/>
      <c r="CR992" s="2867"/>
      <c r="CS992" s="2867"/>
      <c r="CT992" s="2867"/>
      <c r="CU992" s="2867"/>
      <c r="CV992" s="2867"/>
      <c r="CW992" s="2867"/>
    </row>
    <row r="993" spans="1:101">
      <c r="A993" s="2867"/>
      <c r="B993" s="2867"/>
      <c r="C993" s="2867"/>
      <c r="D993" s="2867"/>
      <c r="E993" s="2867"/>
      <c r="F993" s="2867"/>
      <c r="G993" s="2867"/>
      <c r="H993" s="2867"/>
      <c r="I993" s="2867"/>
      <c r="J993" s="2867"/>
      <c r="K993" s="2867"/>
      <c r="L993" s="2867"/>
      <c r="M993" s="2867"/>
      <c r="O993" s="2867"/>
      <c r="P993" s="2867"/>
      <c r="Q993" s="2867"/>
      <c r="R993" s="2867"/>
      <c r="S993" s="2867"/>
      <c r="T993" s="2867"/>
      <c r="U993" s="2867"/>
      <c r="V993" s="2867"/>
      <c r="W993" s="2867"/>
      <c r="X993" s="2867"/>
      <c r="Y993" s="2867"/>
      <c r="Z993" s="2867"/>
      <c r="AA993" s="2867"/>
      <c r="AB993" s="2867"/>
      <c r="AC993" s="2867"/>
      <c r="AD993" s="2867"/>
      <c r="AE993" s="2867"/>
      <c r="AF993" s="2867"/>
      <c r="AG993" s="2867"/>
      <c r="AH993" s="2867"/>
      <c r="AI993" s="2867"/>
      <c r="AJ993" s="2867"/>
      <c r="AK993" s="2867"/>
      <c r="AL993" s="2867"/>
      <c r="AM993" s="2867"/>
      <c r="AN993" s="2867"/>
      <c r="AO993" s="2867"/>
      <c r="AP993" s="2867"/>
      <c r="AQ993" s="2867"/>
      <c r="AR993" s="2867"/>
      <c r="AS993" s="2867"/>
      <c r="AT993" s="2867"/>
      <c r="AU993" s="2867"/>
      <c r="AV993" s="2867"/>
      <c r="AW993" s="2867"/>
      <c r="AX993" s="2867"/>
      <c r="AY993" s="2867"/>
      <c r="AZ993" s="2867"/>
      <c r="BA993" s="2867"/>
      <c r="BB993" s="2867"/>
      <c r="BC993" s="2867"/>
      <c r="BD993" s="2867"/>
      <c r="BE993" s="2867"/>
      <c r="BF993" s="2867"/>
      <c r="BG993" s="2867"/>
      <c r="BH993" s="2867"/>
      <c r="BI993" s="2867"/>
      <c r="BJ993" s="2867"/>
      <c r="BK993" s="2867"/>
      <c r="BL993" s="2867"/>
      <c r="BM993" s="2867"/>
      <c r="BN993" s="2867"/>
      <c r="BO993" s="2867"/>
      <c r="BP993" s="2867"/>
      <c r="BQ993" s="2867"/>
      <c r="BR993" s="2867"/>
      <c r="BS993" s="2867"/>
      <c r="BT993" s="2867"/>
      <c r="BU993" s="2867"/>
      <c r="BV993" s="2867"/>
      <c r="BW993" s="2867"/>
      <c r="BX993" s="2867"/>
      <c r="BY993" s="2867"/>
      <c r="BZ993" s="2867"/>
      <c r="CA993" s="2867"/>
      <c r="CB993" s="2867"/>
      <c r="CC993" s="2867"/>
      <c r="CD993" s="2867"/>
      <c r="CE993" s="2867"/>
      <c r="CF993" s="2867"/>
      <c r="CG993" s="2867"/>
      <c r="CH993" s="2867"/>
      <c r="CI993" s="2867"/>
      <c r="CJ993" s="2867"/>
      <c r="CK993" s="2867"/>
      <c r="CL993" s="2867"/>
      <c r="CM993" s="2867"/>
      <c r="CN993" s="2867"/>
      <c r="CO993" s="2867"/>
      <c r="CP993" s="2867"/>
      <c r="CQ993" s="2867"/>
      <c r="CR993" s="2867"/>
      <c r="CS993" s="2867"/>
      <c r="CT993" s="2867"/>
      <c r="CU993" s="2867"/>
      <c r="CV993" s="2867"/>
      <c r="CW993" s="2867"/>
    </row>
    <row r="994" spans="1:101">
      <c r="A994" s="2867"/>
      <c r="B994" s="2867"/>
      <c r="C994" s="2867"/>
      <c r="D994" s="2867"/>
      <c r="E994" s="2867"/>
      <c r="F994" s="2867"/>
      <c r="G994" s="2867"/>
      <c r="H994" s="2867"/>
      <c r="I994" s="2867"/>
      <c r="J994" s="2867"/>
      <c r="K994" s="2867"/>
      <c r="L994" s="2867"/>
      <c r="M994" s="2867"/>
      <c r="O994" s="2867"/>
      <c r="P994" s="2867"/>
      <c r="Q994" s="2867"/>
      <c r="R994" s="2867"/>
      <c r="S994" s="2867"/>
      <c r="T994" s="2867"/>
      <c r="U994" s="2867"/>
      <c r="V994" s="2867"/>
      <c r="W994" s="2867"/>
      <c r="X994" s="2867"/>
      <c r="Y994" s="2867"/>
      <c r="Z994" s="2867"/>
      <c r="AA994" s="2867"/>
      <c r="AB994" s="2867"/>
      <c r="AC994" s="2867"/>
      <c r="AD994" s="2867"/>
      <c r="AE994" s="2867"/>
      <c r="AF994" s="2867"/>
      <c r="AG994" s="2867"/>
      <c r="AH994" s="2867"/>
      <c r="AI994" s="2867"/>
      <c r="AJ994" s="2867"/>
      <c r="AK994" s="2867"/>
      <c r="AL994" s="2867"/>
      <c r="AM994" s="2867"/>
      <c r="AN994" s="2867"/>
      <c r="AO994" s="2867"/>
      <c r="AP994" s="2867"/>
      <c r="AQ994" s="2867"/>
      <c r="AR994" s="2867"/>
      <c r="AS994" s="2867"/>
      <c r="AT994" s="2867"/>
      <c r="AU994" s="2867"/>
      <c r="AV994" s="2867"/>
      <c r="AW994" s="2867"/>
      <c r="AX994" s="2867"/>
      <c r="AY994" s="2867"/>
      <c r="AZ994" s="2867"/>
      <c r="BA994" s="2867"/>
      <c r="BB994" s="2867"/>
      <c r="BC994" s="2867"/>
      <c r="BD994" s="2867"/>
      <c r="BE994" s="2867"/>
      <c r="BF994" s="2867"/>
      <c r="BG994" s="2867"/>
      <c r="BH994" s="2867"/>
      <c r="BI994" s="2867"/>
      <c r="BJ994" s="2867"/>
      <c r="BK994" s="2867"/>
      <c r="BL994" s="2867"/>
      <c r="BM994" s="2867"/>
      <c r="BN994" s="2867"/>
      <c r="BO994" s="2867"/>
      <c r="BP994" s="2867"/>
      <c r="BQ994" s="2867"/>
      <c r="BR994" s="2867"/>
      <c r="BS994" s="2867"/>
      <c r="BT994" s="2867"/>
      <c r="BU994" s="2867"/>
      <c r="BV994" s="2867"/>
      <c r="BW994" s="2867"/>
      <c r="BX994" s="2867"/>
      <c r="BY994" s="2867"/>
      <c r="BZ994" s="2867"/>
      <c r="CA994" s="2867"/>
      <c r="CB994" s="2867"/>
      <c r="CC994" s="2867"/>
      <c r="CD994" s="2867"/>
      <c r="CE994" s="2867"/>
      <c r="CF994" s="2867"/>
      <c r="CG994" s="2867"/>
      <c r="CH994" s="2867"/>
      <c r="CI994" s="2867"/>
      <c r="CJ994" s="2867"/>
      <c r="CK994" s="2867"/>
      <c r="CL994" s="2867"/>
      <c r="CM994" s="2867"/>
      <c r="CN994" s="2867"/>
      <c r="CO994" s="2867"/>
      <c r="CP994" s="2867"/>
      <c r="CQ994" s="2867"/>
      <c r="CR994" s="2867"/>
      <c r="CS994" s="2867"/>
      <c r="CT994" s="2867"/>
      <c r="CU994" s="2867"/>
      <c r="CV994" s="2867"/>
      <c r="CW994" s="2867"/>
    </row>
    <row r="995" spans="1:101">
      <c r="A995" s="2867"/>
      <c r="B995" s="2867"/>
      <c r="C995" s="2867"/>
      <c r="D995" s="2867"/>
      <c r="E995" s="2867"/>
      <c r="F995" s="2867"/>
      <c r="G995" s="2867"/>
      <c r="H995" s="2867"/>
      <c r="I995" s="2867"/>
      <c r="J995" s="2867"/>
      <c r="K995" s="2867"/>
      <c r="L995" s="2867"/>
      <c r="M995" s="2867"/>
      <c r="O995" s="2867"/>
      <c r="P995" s="2867"/>
      <c r="Q995" s="2867"/>
      <c r="R995" s="2867"/>
      <c r="S995" s="2867"/>
      <c r="T995" s="2867"/>
      <c r="U995" s="2867"/>
      <c r="V995" s="2867"/>
      <c r="W995" s="2867"/>
      <c r="X995" s="2867"/>
      <c r="Y995" s="2867"/>
      <c r="Z995" s="2867"/>
      <c r="AA995" s="2867"/>
      <c r="AB995" s="2867"/>
      <c r="AC995" s="2867"/>
      <c r="AD995" s="2867"/>
      <c r="AE995" s="2867"/>
      <c r="AF995" s="2867"/>
      <c r="AG995" s="2867"/>
      <c r="AH995" s="2867"/>
      <c r="AI995" s="2867"/>
      <c r="AJ995" s="2867"/>
      <c r="AK995" s="2867"/>
      <c r="AL995" s="2867"/>
      <c r="AM995" s="2867"/>
      <c r="AN995" s="2867"/>
      <c r="AO995" s="2867"/>
      <c r="AP995" s="2867"/>
      <c r="AQ995" s="2867"/>
      <c r="AR995" s="2867"/>
      <c r="AS995" s="2867"/>
      <c r="AT995" s="2867"/>
      <c r="AU995" s="2867"/>
      <c r="AV995" s="2867"/>
      <c r="AW995" s="2867"/>
      <c r="AX995" s="2867"/>
      <c r="AY995" s="2867"/>
      <c r="AZ995" s="2867"/>
      <c r="BA995" s="2867"/>
      <c r="BB995" s="2867"/>
      <c r="BC995" s="2867"/>
      <c r="BD995" s="2867"/>
      <c r="BE995" s="2867"/>
      <c r="BF995" s="2867"/>
      <c r="BG995" s="2867"/>
      <c r="BH995" s="2867"/>
      <c r="BI995" s="2867"/>
      <c r="BJ995" s="2867"/>
      <c r="BK995" s="2867"/>
      <c r="BL995" s="2867"/>
      <c r="BM995" s="2867"/>
      <c r="BN995" s="2867"/>
      <c r="BO995" s="2867"/>
      <c r="BP995" s="2867"/>
      <c r="BQ995" s="2867"/>
      <c r="BR995" s="2867"/>
      <c r="BS995" s="2867"/>
      <c r="BT995" s="2867"/>
      <c r="BU995" s="2867"/>
      <c r="BV995" s="2867"/>
      <c r="BW995" s="2867"/>
      <c r="BX995" s="2867"/>
      <c r="BY995" s="2867"/>
      <c r="BZ995" s="2867"/>
      <c r="CA995" s="2867"/>
      <c r="CB995" s="2867"/>
      <c r="CC995" s="2867"/>
      <c r="CD995" s="2867"/>
      <c r="CE995" s="2867"/>
      <c r="CF995" s="2867"/>
      <c r="CG995" s="2867"/>
      <c r="CH995" s="2867"/>
      <c r="CI995" s="2867"/>
      <c r="CJ995" s="2867"/>
      <c r="CK995" s="2867"/>
      <c r="CL995" s="2867"/>
      <c r="CM995" s="2867"/>
      <c r="CN995" s="2867"/>
      <c r="CO995" s="2867"/>
      <c r="CP995" s="2867"/>
      <c r="CQ995" s="2867"/>
      <c r="CR995" s="2867"/>
      <c r="CS995" s="2867"/>
      <c r="CT995" s="2867"/>
      <c r="CU995" s="2867"/>
      <c r="CV995" s="2867"/>
      <c r="CW995" s="2867"/>
    </row>
    <row r="996" spans="1:101">
      <c r="A996" s="2867"/>
      <c r="B996" s="2867"/>
      <c r="C996" s="2867"/>
      <c r="D996" s="2867"/>
      <c r="E996" s="2867"/>
      <c r="F996" s="2867"/>
      <c r="G996" s="2867"/>
      <c r="H996" s="2867"/>
      <c r="I996" s="2867"/>
      <c r="J996" s="2867"/>
      <c r="K996" s="2867"/>
      <c r="L996" s="2867"/>
      <c r="M996" s="2867"/>
      <c r="O996" s="2867"/>
      <c r="P996" s="2867"/>
      <c r="Q996" s="2867"/>
      <c r="R996" s="2867"/>
      <c r="S996" s="2867"/>
      <c r="T996" s="2867"/>
      <c r="U996" s="2867"/>
      <c r="V996" s="2867"/>
      <c r="W996" s="2867"/>
      <c r="X996" s="2867"/>
      <c r="Y996" s="2867"/>
      <c r="Z996" s="2867"/>
      <c r="AA996" s="2867"/>
      <c r="AB996" s="2867"/>
      <c r="AC996" s="2867"/>
      <c r="AD996" s="2867"/>
      <c r="AE996" s="2867"/>
      <c r="AF996" s="2867"/>
      <c r="AG996" s="2867"/>
      <c r="AH996" s="2867"/>
      <c r="AI996" s="2867"/>
      <c r="AJ996" s="2867"/>
      <c r="AK996" s="2867"/>
      <c r="AL996" s="2867"/>
      <c r="AM996" s="2867"/>
      <c r="AN996" s="2867"/>
      <c r="AO996" s="2867"/>
      <c r="AP996" s="2867"/>
      <c r="AQ996" s="2867"/>
      <c r="AR996" s="2867"/>
      <c r="AS996" s="2867"/>
      <c r="AT996" s="2867"/>
      <c r="AU996" s="2867"/>
      <c r="AV996" s="2867"/>
      <c r="AW996" s="2867"/>
      <c r="AX996" s="2867"/>
      <c r="AY996" s="2867"/>
      <c r="AZ996" s="2867"/>
      <c r="BA996" s="2867"/>
      <c r="BB996" s="2867"/>
      <c r="BC996" s="2867"/>
      <c r="BD996" s="2867"/>
      <c r="BE996" s="2867"/>
      <c r="BF996" s="2867"/>
      <c r="BG996" s="2867"/>
      <c r="BH996" s="2867"/>
      <c r="BI996" s="2867"/>
      <c r="BJ996" s="2867"/>
      <c r="BK996" s="2867"/>
      <c r="BL996" s="2867"/>
      <c r="BM996" s="2867"/>
      <c r="BN996" s="2867"/>
      <c r="BO996" s="2867"/>
      <c r="BP996" s="2867"/>
      <c r="BQ996" s="2867"/>
      <c r="BR996" s="2867"/>
      <c r="BS996" s="2867"/>
      <c r="BT996" s="2867"/>
      <c r="BU996" s="2867"/>
      <c r="BV996" s="2867"/>
      <c r="BW996" s="2867"/>
      <c r="BX996" s="2867"/>
      <c r="BY996" s="2867"/>
      <c r="BZ996" s="2867"/>
      <c r="CA996" s="2867"/>
      <c r="CB996" s="2867"/>
      <c r="CC996" s="2867"/>
      <c r="CD996" s="2867"/>
      <c r="CE996" s="2867"/>
      <c r="CF996" s="2867"/>
      <c r="CG996" s="2867"/>
      <c r="CH996" s="2867"/>
      <c r="CI996" s="2867"/>
      <c r="CJ996" s="2867"/>
      <c r="CK996" s="2867"/>
      <c r="CL996" s="2867"/>
      <c r="CM996" s="2867"/>
      <c r="CN996" s="2867"/>
      <c r="CO996" s="2867"/>
      <c r="CP996" s="2867"/>
      <c r="CQ996" s="2867"/>
      <c r="CR996" s="2867"/>
      <c r="CS996" s="2867"/>
      <c r="CT996" s="2867"/>
      <c r="CU996" s="2867"/>
      <c r="CV996" s="2867"/>
      <c r="CW996" s="2867"/>
    </row>
    <row r="997" spans="1:101">
      <c r="A997" s="2867"/>
      <c r="B997" s="2867"/>
      <c r="C997" s="2867"/>
      <c r="D997" s="2867"/>
      <c r="E997" s="2867"/>
      <c r="F997" s="2867"/>
      <c r="G997" s="2867"/>
      <c r="H997" s="2867"/>
      <c r="I997" s="2867"/>
      <c r="J997" s="2867"/>
      <c r="K997" s="2867"/>
      <c r="L997" s="2867"/>
      <c r="M997" s="2867"/>
      <c r="O997" s="2867"/>
      <c r="P997" s="2867"/>
      <c r="Q997" s="2867"/>
      <c r="R997" s="2867"/>
      <c r="S997" s="2867"/>
      <c r="T997" s="2867"/>
      <c r="U997" s="2867"/>
      <c r="V997" s="2867"/>
      <c r="W997" s="2867"/>
      <c r="X997" s="2867"/>
      <c r="Y997" s="2867"/>
      <c r="Z997" s="2867"/>
      <c r="AA997" s="2867"/>
      <c r="AB997" s="2867"/>
      <c r="AC997" s="2867"/>
      <c r="AD997" s="2867"/>
      <c r="AE997" s="2867"/>
      <c r="AF997" s="2867"/>
      <c r="AG997" s="2867"/>
      <c r="AH997" s="2867"/>
      <c r="AI997" s="2867"/>
      <c r="AJ997" s="2867"/>
      <c r="AK997" s="2867"/>
      <c r="AL997" s="2867"/>
      <c r="AM997" s="2867"/>
      <c r="AN997" s="2867"/>
      <c r="AO997" s="2867"/>
      <c r="AP997" s="2867"/>
      <c r="AQ997" s="2867"/>
      <c r="AR997" s="2867"/>
      <c r="AS997" s="2867"/>
      <c r="AT997" s="2867"/>
      <c r="AU997" s="2867"/>
      <c r="AV997" s="2867"/>
      <c r="AW997" s="2867"/>
      <c r="AX997" s="2867"/>
      <c r="AY997" s="2867"/>
      <c r="AZ997" s="2867"/>
      <c r="BA997" s="2867"/>
      <c r="BB997" s="2867"/>
      <c r="BC997" s="2867"/>
      <c r="BD997" s="2867"/>
      <c r="BE997" s="2867"/>
      <c r="BF997" s="2867"/>
      <c r="BG997" s="2867"/>
      <c r="BH997" s="2867"/>
      <c r="BI997" s="2867"/>
      <c r="BJ997" s="2867"/>
      <c r="BK997" s="2867"/>
      <c r="BL997" s="2867"/>
      <c r="BM997" s="2867"/>
      <c r="BN997" s="2867"/>
      <c r="BO997" s="2867"/>
      <c r="BP997" s="2867"/>
      <c r="BQ997" s="2867"/>
      <c r="BR997" s="2867"/>
      <c r="BS997" s="2867"/>
      <c r="BT997" s="2867"/>
      <c r="BU997" s="2867"/>
      <c r="BV997" s="2867"/>
      <c r="BW997" s="2867"/>
      <c r="BX997" s="2867"/>
      <c r="BY997" s="2867"/>
      <c r="BZ997" s="2867"/>
      <c r="CA997" s="2867"/>
      <c r="CB997" s="2867"/>
      <c r="CC997" s="2867"/>
      <c r="CD997" s="2867"/>
      <c r="CE997" s="2867"/>
      <c r="CF997" s="2867"/>
      <c r="CG997" s="2867"/>
      <c r="CH997" s="2867"/>
      <c r="CI997" s="2867"/>
      <c r="CJ997" s="2867"/>
      <c r="CK997" s="2867"/>
      <c r="CL997" s="2867"/>
      <c r="CM997" s="2867"/>
      <c r="CN997" s="2867"/>
      <c r="CO997" s="2867"/>
      <c r="CP997" s="2867"/>
      <c r="CQ997" s="2867"/>
      <c r="CR997" s="2867"/>
      <c r="CS997" s="2867"/>
      <c r="CT997" s="2867"/>
      <c r="CU997" s="2867"/>
      <c r="CV997" s="2867"/>
      <c r="CW997" s="2867"/>
    </row>
    <row r="998" spans="1:101">
      <c r="A998" s="2867"/>
      <c r="B998" s="2867"/>
      <c r="C998" s="2867"/>
      <c r="D998" s="2867"/>
      <c r="E998" s="2867"/>
      <c r="F998" s="2867"/>
      <c r="G998" s="2867"/>
      <c r="H998" s="2867"/>
      <c r="I998" s="2867"/>
      <c r="J998" s="2867"/>
      <c r="K998" s="2867"/>
      <c r="L998" s="2867"/>
      <c r="M998" s="2867"/>
      <c r="O998" s="2867"/>
      <c r="P998" s="2867"/>
      <c r="Q998" s="2867"/>
      <c r="R998" s="2867"/>
      <c r="S998" s="2867"/>
      <c r="T998" s="2867"/>
      <c r="U998" s="2867"/>
      <c r="V998" s="2867"/>
      <c r="W998" s="2867"/>
      <c r="X998" s="2867"/>
      <c r="Y998" s="2867"/>
      <c r="Z998" s="2867"/>
      <c r="AA998" s="2867"/>
      <c r="AB998" s="2867"/>
      <c r="AC998" s="2867"/>
      <c r="AD998" s="2867"/>
      <c r="AE998" s="2867"/>
      <c r="AF998" s="2867"/>
      <c r="AG998" s="2867"/>
      <c r="AH998" s="2867"/>
      <c r="AI998" s="2867"/>
      <c r="AJ998" s="2867"/>
      <c r="AK998" s="2867"/>
      <c r="AL998" s="2867"/>
      <c r="AM998" s="2867"/>
      <c r="AN998" s="2867"/>
      <c r="AO998" s="2867"/>
      <c r="AP998" s="2867"/>
      <c r="AQ998" s="2867"/>
      <c r="AR998" s="2867"/>
      <c r="AS998" s="2867"/>
      <c r="AT998" s="2867"/>
      <c r="AU998" s="2867"/>
      <c r="AV998" s="2867"/>
      <c r="AW998" s="2867"/>
      <c r="AX998" s="2867"/>
      <c r="AY998" s="2867"/>
      <c r="AZ998" s="2867"/>
      <c r="BA998" s="2867"/>
      <c r="BB998" s="2867"/>
      <c r="BC998" s="2867"/>
      <c r="BD998" s="2867"/>
      <c r="BE998" s="2867"/>
      <c r="BF998" s="2867"/>
      <c r="BG998" s="2867"/>
      <c r="BH998" s="2867"/>
      <c r="BI998" s="2867"/>
      <c r="BJ998" s="2867"/>
      <c r="BK998" s="2867"/>
      <c r="BL998" s="2867"/>
      <c r="BM998" s="2867"/>
      <c r="BN998" s="2867"/>
      <c r="BO998" s="2867"/>
      <c r="BP998" s="2867"/>
      <c r="BQ998" s="2867"/>
      <c r="BR998" s="2867"/>
      <c r="BS998" s="2867"/>
      <c r="BT998" s="2867"/>
      <c r="BU998" s="2867"/>
      <c r="BV998" s="2867"/>
      <c r="BW998" s="2867"/>
      <c r="BX998" s="2867"/>
      <c r="BY998" s="2867"/>
      <c r="BZ998" s="2867"/>
      <c r="CA998" s="2867"/>
      <c r="CB998" s="2867"/>
      <c r="CC998" s="2867"/>
      <c r="CD998" s="2867"/>
      <c r="CE998" s="2867"/>
      <c r="CF998" s="2867"/>
      <c r="CG998" s="2867"/>
      <c r="CH998" s="2867"/>
      <c r="CI998" s="2867"/>
      <c r="CJ998" s="2867"/>
      <c r="CK998" s="2867"/>
      <c r="CL998" s="2867"/>
      <c r="CM998" s="2867"/>
      <c r="CN998" s="2867"/>
      <c r="CO998" s="2867"/>
      <c r="CP998" s="2867"/>
      <c r="CQ998" s="2867"/>
      <c r="CR998" s="2867"/>
      <c r="CS998" s="2867"/>
      <c r="CT998" s="2867"/>
      <c r="CU998" s="2867"/>
      <c r="CV998" s="2867"/>
      <c r="CW998" s="2867"/>
    </row>
    <row r="999" spans="1:101">
      <c r="A999" s="2867"/>
      <c r="B999" s="2867"/>
      <c r="C999" s="2867"/>
      <c r="D999" s="2867"/>
      <c r="E999" s="2867"/>
      <c r="F999" s="2867"/>
      <c r="G999" s="2867"/>
      <c r="H999" s="2867"/>
      <c r="I999" s="2867"/>
      <c r="J999" s="2867"/>
      <c r="K999" s="2867"/>
      <c r="L999" s="2867"/>
      <c r="M999" s="2867"/>
      <c r="O999" s="2867"/>
      <c r="P999" s="2867"/>
      <c r="Q999" s="2867"/>
      <c r="R999" s="2867"/>
      <c r="S999" s="2867"/>
      <c r="T999" s="2867"/>
      <c r="U999" s="2867"/>
      <c r="V999" s="2867"/>
      <c r="W999" s="2867"/>
      <c r="X999" s="2867"/>
      <c r="Y999" s="2867"/>
      <c r="Z999" s="2867"/>
      <c r="AA999" s="2867"/>
      <c r="AB999" s="2867"/>
      <c r="AC999" s="2867"/>
      <c r="AD999" s="2867"/>
      <c r="AE999" s="2867"/>
      <c r="AF999" s="2867"/>
      <c r="AG999" s="2867"/>
      <c r="AH999" s="2867"/>
      <c r="AI999" s="2867"/>
      <c r="AJ999" s="2867"/>
      <c r="AK999" s="2867"/>
      <c r="AL999" s="2867"/>
      <c r="AM999" s="2867"/>
      <c r="AN999" s="2867"/>
      <c r="AO999" s="2867"/>
      <c r="AP999" s="2867"/>
      <c r="AQ999" s="2867"/>
      <c r="AR999" s="2867"/>
      <c r="AS999" s="2867"/>
      <c r="AT999" s="2867"/>
      <c r="AU999" s="2867"/>
      <c r="AV999" s="2867"/>
      <c r="AW999" s="2867"/>
      <c r="AX999" s="2867"/>
      <c r="AY999" s="2867"/>
      <c r="AZ999" s="2867"/>
      <c r="BA999" s="2867"/>
      <c r="BB999" s="2867"/>
      <c r="BC999" s="2867"/>
      <c r="BD999" s="2867"/>
      <c r="BE999" s="2867"/>
      <c r="BF999" s="2867"/>
      <c r="BG999" s="2867"/>
      <c r="BH999" s="2867"/>
      <c r="BI999" s="2867"/>
      <c r="BJ999" s="2867"/>
      <c r="BK999" s="2867"/>
      <c r="BL999" s="2867"/>
      <c r="BM999" s="2867"/>
      <c r="BN999" s="2867"/>
      <c r="BO999" s="2867"/>
      <c r="BP999" s="2867"/>
      <c r="BQ999" s="2867"/>
      <c r="BR999" s="2867"/>
      <c r="BS999" s="2867"/>
      <c r="BT999" s="2867"/>
      <c r="BU999" s="2867"/>
      <c r="BV999" s="2867"/>
      <c r="BW999" s="2867"/>
      <c r="BX999" s="2867"/>
      <c r="BY999" s="2867"/>
      <c r="BZ999" s="2867"/>
      <c r="CA999" s="2867"/>
      <c r="CB999" s="2867"/>
      <c r="CC999" s="2867"/>
      <c r="CD999" s="2867"/>
      <c r="CE999" s="2867"/>
      <c r="CF999" s="2867"/>
      <c r="CG999" s="2867"/>
      <c r="CH999" s="2867"/>
      <c r="CI999" s="2867"/>
      <c r="CJ999" s="2867"/>
      <c r="CK999" s="2867"/>
      <c r="CL999" s="2867"/>
      <c r="CM999" s="2867"/>
      <c r="CN999" s="2867"/>
      <c r="CO999" s="2867"/>
      <c r="CP999" s="2867"/>
      <c r="CQ999" s="2867"/>
      <c r="CR999" s="2867"/>
      <c r="CS999" s="2867"/>
      <c r="CT999" s="2867"/>
      <c r="CU999" s="2867"/>
      <c r="CV999" s="2867"/>
      <c r="CW999" s="2867"/>
    </row>
    <row r="1000" spans="1:101">
      <c r="A1000" s="2867"/>
      <c r="B1000" s="2867"/>
      <c r="C1000" s="2867"/>
      <c r="D1000" s="2867"/>
      <c r="E1000" s="2867"/>
      <c r="F1000" s="2867"/>
      <c r="G1000" s="2867"/>
      <c r="H1000" s="2867"/>
      <c r="I1000" s="2867"/>
      <c r="J1000" s="2867"/>
      <c r="K1000" s="2867"/>
      <c r="L1000" s="2867"/>
      <c r="M1000" s="2867"/>
      <c r="O1000" s="2867"/>
      <c r="P1000" s="2867"/>
      <c r="Q1000" s="2867"/>
      <c r="R1000" s="2867"/>
      <c r="S1000" s="2867"/>
      <c r="T1000" s="2867"/>
      <c r="U1000" s="2867"/>
      <c r="V1000" s="2867"/>
      <c r="W1000" s="2867"/>
      <c r="X1000" s="2867"/>
      <c r="Y1000" s="2867"/>
      <c r="Z1000" s="2867"/>
      <c r="AA1000" s="2867"/>
      <c r="AB1000" s="2867"/>
      <c r="AC1000" s="2867"/>
      <c r="AD1000" s="2867"/>
      <c r="AE1000" s="2867"/>
      <c r="AF1000" s="2867"/>
      <c r="AG1000" s="2867"/>
      <c r="AH1000" s="2867"/>
      <c r="AI1000" s="2867"/>
      <c r="AJ1000" s="2867"/>
      <c r="AK1000" s="2867"/>
      <c r="AL1000" s="2867"/>
      <c r="AM1000" s="2867"/>
      <c r="AN1000" s="2867"/>
      <c r="AO1000" s="2867"/>
      <c r="AP1000" s="2867"/>
      <c r="AQ1000" s="2867"/>
      <c r="AR1000" s="2867"/>
      <c r="AS1000" s="2867"/>
      <c r="AT1000" s="2867"/>
      <c r="AU1000" s="2867"/>
      <c r="AV1000" s="2867"/>
      <c r="AW1000" s="2867"/>
      <c r="AX1000" s="2867"/>
      <c r="AY1000" s="2867"/>
      <c r="AZ1000" s="2867"/>
      <c r="BA1000" s="2867"/>
      <c r="BB1000" s="2867"/>
      <c r="BC1000" s="2867"/>
      <c r="BD1000" s="2867"/>
      <c r="BE1000" s="2867"/>
      <c r="BF1000" s="2867"/>
      <c r="BG1000" s="2867"/>
      <c r="BH1000" s="2867"/>
      <c r="BI1000" s="2867"/>
      <c r="BJ1000" s="2867"/>
      <c r="BK1000" s="2867"/>
      <c r="BL1000" s="2867"/>
      <c r="BM1000" s="2867"/>
      <c r="BN1000" s="2867"/>
      <c r="BO1000" s="2867"/>
      <c r="BP1000" s="2867"/>
      <c r="BQ1000" s="2867"/>
      <c r="BR1000" s="2867"/>
      <c r="BS1000" s="2867"/>
      <c r="BT1000" s="2867"/>
      <c r="BU1000" s="2867"/>
      <c r="BV1000" s="2867"/>
      <c r="BW1000" s="2867"/>
      <c r="BX1000" s="2867"/>
      <c r="BY1000" s="2867"/>
      <c r="BZ1000" s="2867"/>
      <c r="CA1000" s="2867"/>
      <c r="CB1000" s="2867"/>
      <c r="CC1000" s="2867"/>
      <c r="CD1000" s="2867"/>
      <c r="CE1000" s="2867"/>
      <c r="CF1000" s="2867"/>
      <c r="CG1000" s="2867"/>
      <c r="CH1000" s="2867"/>
      <c r="CI1000" s="2867"/>
      <c r="CJ1000" s="2867"/>
      <c r="CK1000" s="2867"/>
      <c r="CL1000" s="2867"/>
      <c r="CM1000" s="2867"/>
      <c r="CN1000" s="2867"/>
      <c r="CO1000" s="2867"/>
      <c r="CP1000" s="2867"/>
      <c r="CQ1000" s="2867"/>
      <c r="CR1000" s="2867"/>
      <c r="CS1000" s="2867"/>
      <c r="CT1000" s="2867"/>
      <c r="CU1000" s="2867"/>
      <c r="CV1000" s="2867"/>
      <c r="CW1000" s="2867"/>
    </row>
    <row r="1001" spans="1:101">
      <c r="A1001" s="2867"/>
      <c r="B1001" s="2867"/>
      <c r="C1001" s="2867"/>
      <c r="D1001" s="2867"/>
      <c r="E1001" s="2867"/>
      <c r="F1001" s="2867"/>
      <c r="G1001" s="2867"/>
      <c r="H1001" s="2867"/>
      <c r="I1001" s="2867"/>
      <c r="J1001" s="2867"/>
      <c r="K1001" s="2867"/>
      <c r="L1001" s="2867"/>
      <c r="M1001" s="2867"/>
      <c r="O1001" s="2867"/>
      <c r="P1001" s="2867"/>
      <c r="Q1001" s="2867"/>
      <c r="R1001" s="2867"/>
      <c r="S1001" s="2867"/>
      <c r="T1001" s="2867"/>
      <c r="U1001" s="2867"/>
      <c r="V1001" s="2867"/>
      <c r="W1001" s="2867"/>
      <c r="X1001" s="2867"/>
      <c r="Y1001" s="2867"/>
      <c r="Z1001" s="2867"/>
      <c r="AA1001" s="2867"/>
      <c r="AB1001" s="2867"/>
      <c r="AC1001" s="2867"/>
      <c r="AD1001" s="2867"/>
      <c r="AE1001" s="2867"/>
      <c r="AF1001" s="2867"/>
      <c r="AG1001" s="2867"/>
      <c r="AH1001" s="2867"/>
      <c r="AI1001" s="2867"/>
      <c r="AJ1001" s="2867"/>
      <c r="AK1001" s="2867"/>
      <c r="AL1001" s="2867"/>
      <c r="AM1001" s="2867"/>
      <c r="AN1001" s="2867"/>
      <c r="AO1001" s="2867"/>
      <c r="AP1001" s="2867"/>
      <c r="AQ1001" s="2867"/>
      <c r="AR1001" s="2867"/>
      <c r="AS1001" s="2867"/>
      <c r="AT1001" s="2867"/>
      <c r="AU1001" s="2867"/>
      <c r="AV1001" s="2867"/>
      <c r="AW1001" s="2867"/>
      <c r="AX1001" s="2867"/>
      <c r="AY1001" s="2867"/>
      <c r="AZ1001" s="2867"/>
      <c r="BA1001" s="2867"/>
      <c r="BB1001" s="2867"/>
      <c r="BC1001" s="2867"/>
      <c r="BD1001" s="2867"/>
      <c r="BE1001" s="2867"/>
      <c r="BF1001" s="2867"/>
      <c r="BG1001" s="2867"/>
      <c r="BH1001" s="2867"/>
      <c r="BI1001" s="2867"/>
      <c r="BJ1001" s="2867"/>
      <c r="BK1001" s="2867"/>
      <c r="BL1001" s="2867"/>
      <c r="BM1001" s="2867"/>
      <c r="BN1001" s="2867"/>
      <c r="BO1001" s="2867"/>
      <c r="BP1001" s="2867"/>
      <c r="BQ1001" s="2867"/>
      <c r="BR1001" s="2867"/>
      <c r="BS1001" s="2867"/>
      <c r="BT1001" s="2867"/>
      <c r="BU1001" s="2867"/>
      <c r="BV1001" s="2867"/>
      <c r="BW1001" s="2867"/>
      <c r="BX1001" s="2867"/>
      <c r="BY1001" s="2867"/>
      <c r="BZ1001" s="2867"/>
      <c r="CA1001" s="2867"/>
      <c r="CB1001" s="2867"/>
      <c r="CC1001" s="2867"/>
      <c r="CD1001" s="2867"/>
      <c r="CE1001" s="2867"/>
      <c r="CF1001" s="2867"/>
      <c r="CG1001" s="2867"/>
      <c r="CH1001" s="2867"/>
      <c r="CI1001" s="2867"/>
      <c r="CJ1001" s="2867"/>
      <c r="CK1001" s="2867"/>
      <c r="CL1001" s="2867"/>
      <c r="CM1001" s="2867"/>
      <c r="CN1001" s="2867"/>
      <c r="CO1001" s="2867"/>
      <c r="CP1001" s="2867"/>
      <c r="CQ1001" s="2867"/>
      <c r="CR1001" s="2867"/>
      <c r="CS1001" s="2867"/>
      <c r="CT1001" s="2867"/>
      <c r="CU1001" s="2867"/>
      <c r="CV1001" s="2867"/>
      <c r="CW1001" s="2867"/>
    </row>
    <row r="1002" spans="1:101">
      <c r="A1002" s="2867"/>
      <c r="B1002" s="2867"/>
      <c r="C1002" s="2867"/>
      <c r="D1002" s="2867"/>
      <c r="E1002" s="2867"/>
      <c r="F1002" s="2867"/>
      <c r="G1002" s="2867"/>
      <c r="H1002" s="2867"/>
      <c r="I1002" s="2867"/>
      <c r="J1002" s="2867"/>
      <c r="K1002" s="2867"/>
      <c r="L1002" s="2867"/>
      <c r="M1002" s="2867"/>
      <c r="O1002" s="2867"/>
      <c r="P1002" s="2867"/>
      <c r="Q1002" s="2867"/>
      <c r="R1002" s="2867"/>
      <c r="S1002" s="2867"/>
      <c r="T1002" s="2867"/>
      <c r="U1002" s="2867"/>
      <c r="V1002" s="2867"/>
      <c r="W1002" s="2867"/>
      <c r="X1002" s="2867"/>
      <c r="Y1002" s="2867"/>
      <c r="Z1002" s="2867"/>
      <c r="AA1002" s="2867"/>
      <c r="AB1002" s="2867"/>
      <c r="AC1002" s="2867"/>
      <c r="AD1002" s="2867"/>
      <c r="AE1002" s="2867"/>
      <c r="AF1002" s="2867"/>
      <c r="AG1002" s="2867"/>
      <c r="AH1002" s="2867"/>
      <c r="AI1002" s="2867"/>
      <c r="AJ1002" s="2867"/>
      <c r="AK1002" s="2867"/>
      <c r="AL1002" s="2867"/>
      <c r="AM1002" s="2867"/>
      <c r="AN1002" s="2867"/>
      <c r="AO1002" s="2867"/>
      <c r="AP1002" s="2867"/>
      <c r="AQ1002" s="2867"/>
      <c r="AR1002" s="2867"/>
      <c r="AS1002" s="2867"/>
      <c r="AT1002" s="2867"/>
      <c r="AU1002" s="2867"/>
      <c r="AV1002" s="2867"/>
      <c r="AW1002" s="2867"/>
      <c r="AX1002" s="2867"/>
      <c r="AY1002" s="2867"/>
      <c r="AZ1002" s="2867"/>
      <c r="BA1002" s="2867"/>
      <c r="BB1002" s="2867"/>
      <c r="BC1002" s="2867"/>
      <c r="BD1002" s="2867"/>
      <c r="BE1002" s="2867"/>
      <c r="BF1002" s="2867"/>
      <c r="BG1002" s="2867"/>
      <c r="BH1002" s="2867"/>
      <c r="BI1002" s="2867"/>
      <c r="BJ1002" s="2867"/>
      <c r="BK1002" s="2867"/>
      <c r="BL1002" s="2867"/>
      <c r="BM1002" s="2867"/>
      <c r="BN1002" s="2867"/>
      <c r="BO1002" s="2867"/>
      <c r="BP1002" s="2867"/>
      <c r="BQ1002" s="2867"/>
      <c r="BR1002" s="2867"/>
      <c r="BS1002" s="2867"/>
      <c r="BT1002" s="2867"/>
      <c r="BU1002" s="2867"/>
      <c r="BV1002" s="2867"/>
      <c r="BW1002" s="2867"/>
      <c r="BX1002" s="2867"/>
      <c r="BY1002" s="2867"/>
      <c r="BZ1002" s="2867"/>
      <c r="CA1002" s="2867"/>
      <c r="CB1002" s="2867"/>
      <c r="CC1002" s="2867"/>
      <c r="CD1002" s="2867"/>
      <c r="CE1002" s="2867"/>
      <c r="CF1002" s="2867"/>
      <c r="CG1002" s="2867"/>
      <c r="CH1002" s="2867"/>
      <c r="CI1002" s="2867"/>
      <c r="CJ1002" s="2867"/>
      <c r="CK1002" s="2867"/>
      <c r="CL1002" s="2867"/>
      <c r="CM1002" s="2867"/>
      <c r="CN1002" s="2867"/>
      <c r="CO1002" s="2867"/>
      <c r="CP1002" s="2867"/>
      <c r="CQ1002" s="2867"/>
      <c r="CR1002" s="2867"/>
      <c r="CS1002" s="2867"/>
      <c r="CT1002" s="2867"/>
      <c r="CU1002" s="2867"/>
      <c r="CV1002" s="2867"/>
      <c r="CW1002" s="2867"/>
    </row>
    <row r="1003" spans="1:101">
      <c r="A1003" s="2867"/>
      <c r="B1003" s="2867"/>
      <c r="C1003" s="2867"/>
      <c r="D1003" s="2867"/>
      <c r="E1003" s="2867"/>
      <c r="F1003" s="2867"/>
      <c r="G1003" s="2867"/>
      <c r="H1003" s="2867"/>
      <c r="I1003" s="2867"/>
      <c r="J1003" s="2867"/>
      <c r="K1003" s="2867"/>
      <c r="L1003" s="2867"/>
      <c r="M1003" s="2867"/>
      <c r="O1003" s="2867"/>
      <c r="P1003" s="2867"/>
      <c r="Q1003" s="2867"/>
      <c r="R1003" s="2867"/>
      <c r="S1003" s="2867"/>
      <c r="T1003" s="2867"/>
      <c r="U1003" s="2867"/>
      <c r="V1003" s="2867"/>
      <c r="W1003" s="2867"/>
      <c r="X1003" s="2867"/>
      <c r="Y1003" s="2867"/>
      <c r="Z1003" s="2867"/>
      <c r="AA1003" s="2867"/>
      <c r="AB1003" s="2867"/>
      <c r="AC1003" s="2867"/>
      <c r="AD1003" s="2867"/>
      <c r="AE1003" s="2867"/>
      <c r="AF1003" s="2867"/>
      <c r="AG1003" s="2867"/>
      <c r="AH1003" s="2867"/>
      <c r="AI1003" s="2867"/>
      <c r="AJ1003" s="2867"/>
      <c r="AK1003" s="2867"/>
      <c r="AL1003" s="2867"/>
      <c r="AM1003" s="2867"/>
      <c r="AN1003" s="2867"/>
      <c r="AO1003" s="2867"/>
      <c r="AP1003" s="2867"/>
      <c r="AQ1003" s="2867"/>
      <c r="AR1003" s="2867"/>
      <c r="AS1003" s="2867"/>
      <c r="AT1003" s="2867"/>
      <c r="AU1003" s="2867"/>
      <c r="AV1003" s="2867"/>
      <c r="AW1003" s="2867"/>
      <c r="AX1003" s="2867"/>
      <c r="AY1003" s="2867"/>
      <c r="AZ1003" s="2867"/>
      <c r="BA1003" s="2867"/>
      <c r="BB1003" s="2867"/>
      <c r="BC1003" s="2867"/>
      <c r="BD1003" s="2867"/>
      <c r="BE1003" s="2867"/>
      <c r="BF1003" s="2867"/>
      <c r="BG1003" s="2867"/>
      <c r="BH1003" s="2867"/>
      <c r="BI1003" s="2867"/>
      <c r="BJ1003" s="2867"/>
      <c r="BK1003" s="2867"/>
      <c r="BL1003" s="2867"/>
      <c r="BM1003" s="2867"/>
      <c r="BN1003" s="2867"/>
      <c r="BO1003" s="2867"/>
      <c r="BP1003" s="2867"/>
      <c r="BQ1003" s="2867"/>
      <c r="BR1003" s="2867"/>
      <c r="BS1003" s="2867"/>
      <c r="BT1003" s="2867"/>
      <c r="BU1003" s="2867"/>
      <c r="BV1003" s="2867"/>
      <c r="BW1003" s="2867"/>
      <c r="BX1003" s="2867"/>
      <c r="BY1003" s="2867"/>
      <c r="BZ1003" s="2867"/>
      <c r="CA1003" s="2867"/>
      <c r="CB1003" s="2867"/>
      <c r="CC1003" s="2867"/>
      <c r="CD1003" s="2867"/>
      <c r="CE1003" s="2867"/>
      <c r="CF1003" s="2867"/>
      <c r="CG1003" s="2867"/>
      <c r="CH1003" s="2867"/>
      <c r="CI1003" s="2867"/>
      <c r="CJ1003" s="2867"/>
      <c r="CK1003" s="2867"/>
      <c r="CL1003" s="2867"/>
      <c r="CM1003" s="2867"/>
      <c r="CN1003" s="2867"/>
      <c r="CO1003" s="2867"/>
      <c r="CP1003" s="2867"/>
      <c r="CQ1003" s="2867"/>
      <c r="CR1003" s="2867"/>
      <c r="CS1003" s="2867"/>
      <c r="CT1003" s="2867"/>
      <c r="CU1003" s="2867"/>
      <c r="CV1003" s="2867"/>
      <c r="CW1003" s="2867"/>
    </row>
    <row r="1004" spans="1:101">
      <c r="A1004" s="2867"/>
      <c r="B1004" s="2867"/>
      <c r="C1004" s="2867"/>
      <c r="D1004" s="2867"/>
      <c r="E1004" s="2867"/>
      <c r="F1004" s="2867"/>
      <c r="G1004" s="2867"/>
      <c r="H1004" s="2867"/>
      <c r="I1004" s="2867"/>
      <c r="J1004" s="2867"/>
      <c r="K1004" s="2867"/>
      <c r="L1004" s="2867"/>
      <c r="M1004" s="2867"/>
      <c r="O1004" s="2867"/>
      <c r="P1004" s="2867"/>
      <c r="Q1004" s="2867"/>
      <c r="R1004" s="2867"/>
      <c r="S1004" s="2867"/>
      <c r="T1004" s="2867"/>
      <c r="U1004" s="2867"/>
      <c r="V1004" s="2867"/>
      <c r="W1004" s="2867"/>
      <c r="X1004" s="2867"/>
      <c r="Y1004" s="2867"/>
      <c r="Z1004" s="2867"/>
      <c r="AA1004" s="2867"/>
      <c r="AB1004" s="2867"/>
      <c r="AC1004" s="2867"/>
      <c r="AD1004" s="2867"/>
      <c r="AE1004" s="2867"/>
      <c r="AF1004" s="2867"/>
      <c r="AG1004" s="2867"/>
      <c r="AH1004" s="2867"/>
      <c r="AI1004" s="2867"/>
      <c r="AJ1004" s="2867"/>
      <c r="AK1004" s="2867"/>
      <c r="AL1004" s="2867"/>
      <c r="AM1004" s="2867"/>
      <c r="AN1004" s="2867"/>
      <c r="AO1004" s="2867"/>
      <c r="AP1004" s="2867"/>
      <c r="AQ1004" s="2867"/>
      <c r="AR1004" s="2867"/>
      <c r="AS1004" s="2867"/>
      <c r="AT1004" s="2867"/>
      <c r="AU1004" s="2867"/>
      <c r="AV1004" s="2867"/>
      <c r="AW1004" s="2867"/>
      <c r="AX1004" s="2867"/>
      <c r="AY1004" s="2867"/>
      <c r="AZ1004" s="2867"/>
      <c r="BA1004" s="2867"/>
      <c r="BB1004" s="2867"/>
      <c r="BC1004" s="2867"/>
      <c r="BD1004" s="2867"/>
      <c r="BE1004" s="2867"/>
      <c r="BF1004" s="2867"/>
      <c r="BG1004" s="2867"/>
      <c r="BH1004" s="2867"/>
      <c r="BI1004" s="2867"/>
      <c r="BJ1004" s="2867"/>
      <c r="BK1004" s="2867"/>
      <c r="BL1004" s="2867"/>
      <c r="BM1004" s="2867"/>
      <c r="BN1004" s="2867"/>
      <c r="BO1004" s="2867"/>
      <c r="BP1004" s="2867"/>
      <c r="BQ1004" s="2867"/>
      <c r="BR1004" s="2867"/>
      <c r="BS1004" s="2867"/>
      <c r="BT1004" s="2867"/>
      <c r="BU1004" s="2867"/>
      <c r="BV1004" s="2867"/>
      <c r="BW1004" s="2867"/>
      <c r="BX1004" s="2867"/>
      <c r="BY1004" s="2867"/>
      <c r="BZ1004" s="2867"/>
      <c r="CA1004" s="2867"/>
      <c r="CB1004" s="2867"/>
      <c r="CC1004" s="2867"/>
      <c r="CD1004" s="2867"/>
      <c r="CE1004" s="2867"/>
      <c r="CF1004" s="2867"/>
      <c r="CG1004" s="2867"/>
      <c r="CH1004" s="2867"/>
      <c r="CI1004" s="2867"/>
      <c r="CJ1004" s="2867"/>
      <c r="CK1004" s="2867"/>
      <c r="CL1004" s="2867"/>
      <c r="CM1004" s="2867"/>
      <c r="CN1004" s="2867"/>
      <c r="CO1004" s="2867"/>
      <c r="CP1004" s="2867"/>
      <c r="CQ1004" s="2867"/>
      <c r="CR1004" s="2867"/>
      <c r="CS1004" s="2867"/>
      <c r="CT1004" s="2867"/>
      <c r="CU1004" s="2867"/>
      <c r="CV1004" s="2867"/>
      <c r="CW1004" s="2867"/>
    </row>
    <row r="1005" spans="1:101">
      <c r="A1005" s="2867"/>
      <c r="B1005" s="2867"/>
      <c r="C1005" s="2867"/>
      <c r="D1005" s="2867"/>
      <c r="E1005" s="2867"/>
      <c r="F1005" s="2867"/>
      <c r="G1005" s="2867"/>
      <c r="H1005" s="2867"/>
      <c r="I1005" s="2867"/>
      <c r="J1005" s="2867"/>
      <c r="K1005" s="2867"/>
      <c r="L1005" s="2867"/>
      <c r="M1005" s="2867"/>
      <c r="O1005" s="2867"/>
      <c r="P1005" s="2867"/>
      <c r="Q1005" s="2867"/>
      <c r="R1005" s="2867"/>
      <c r="S1005" s="2867"/>
      <c r="T1005" s="2867"/>
      <c r="U1005" s="2867"/>
      <c r="V1005" s="2867"/>
      <c r="W1005" s="2867"/>
      <c r="X1005" s="2867"/>
      <c r="Y1005" s="2867"/>
      <c r="Z1005" s="2867"/>
      <c r="AA1005" s="2867"/>
      <c r="AB1005" s="2867"/>
      <c r="AC1005" s="2867"/>
      <c r="AD1005" s="2867"/>
      <c r="AE1005" s="2867"/>
      <c r="AF1005" s="2867"/>
      <c r="AG1005" s="2867"/>
      <c r="AH1005" s="2867"/>
      <c r="AI1005" s="2867"/>
      <c r="AJ1005" s="2867"/>
      <c r="AK1005" s="2867"/>
      <c r="AL1005" s="2867"/>
      <c r="AM1005" s="2867"/>
      <c r="AN1005" s="2867"/>
      <c r="AO1005" s="2867"/>
      <c r="AP1005" s="2867"/>
      <c r="AQ1005" s="2867"/>
      <c r="AR1005" s="2867"/>
      <c r="AS1005" s="2867"/>
      <c r="AT1005" s="2867"/>
      <c r="AU1005" s="2867"/>
      <c r="AV1005" s="2867"/>
      <c r="AW1005" s="2867"/>
      <c r="AX1005" s="2867"/>
      <c r="AY1005" s="2867"/>
      <c r="AZ1005" s="2867"/>
      <c r="BA1005" s="2867"/>
      <c r="BB1005" s="2867"/>
      <c r="BC1005" s="2867"/>
      <c r="BD1005" s="2867"/>
      <c r="BE1005" s="2867"/>
      <c r="BF1005" s="2867"/>
      <c r="BG1005" s="2867"/>
      <c r="BH1005" s="2867"/>
      <c r="BI1005" s="2867"/>
      <c r="BJ1005" s="2867"/>
      <c r="BK1005" s="2867"/>
      <c r="BL1005" s="2867"/>
      <c r="BM1005" s="2867"/>
      <c r="BN1005" s="2867"/>
      <c r="BO1005" s="2867"/>
      <c r="BP1005" s="2867"/>
      <c r="BQ1005" s="2867"/>
      <c r="BR1005" s="2867"/>
      <c r="BS1005" s="2867"/>
      <c r="BT1005" s="2867"/>
      <c r="BU1005" s="2867"/>
      <c r="BV1005" s="2867"/>
      <c r="BW1005" s="2867"/>
      <c r="BX1005" s="2867"/>
      <c r="BY1005" s="2867"/>
      <c r="BZ1005" s="2867"/>
      <c r="CA1005" s="2867"/>
      <c r="CB1005" s="2867"/>
      <c r="CC1005" s="2867"/>
      <c r="CD1005" s="2867"/>
      <c r="CE1005" s="2867"/>
      <c r="CF1005" s="2867"/>
      <c r="CG1005" s="2867"/>
      <c r="CH1005" s="2867"/>
      <c r="CI1005" s="2867"/>
      <c r="CJ1005" s="2867"/>
      <c r="CK1005" s="2867"/>
      <c r="CL1005" s="2867"/>
      <c r="CM1005" s="2867"/>
      <c r="CN1005" s="2867"/>
      <c r="CO1005" s="2867"/>
      <c r="CP1005" s="2867"/>
      <c r="CQ1005" s="2867"/>
      <c r="CR1005" s="2867"/>
      <c r="CS1005" s="2867"/>
      <c r="CT1005" s="2867"/>
      <c r="CU1005" s="2867"/>
      <c r="CV1005" s="2867"/>
      <c r="CW1005" s="2867"/>
    </row>
    <row r="1006" spans="1:101">
      <c r="A1006" s="2867"/>
      <c r="B1006" s="2867"/>
      <c r="C1006" s="2867"/>
      <c r="D1006" s="2867"/>
      <c r="E1006" s="2867"/>
      <c r="F1006" s="2867"/>
      <c r="G1006" s="2867"/>
      <c r="H1006" s="2867"/>
      <c r="I1006" s="2867"/>
      <c r="J1006" s="2867"/>
      <c r="K1006" s="2867"/>
      <c r="L1006" s="2867"/>
      <c r="M1006" s="2867"/>
      <c r="O1006" s="2867"/>
      <c r="P1006" s="2867"/>
      <c r="Q1006" s="2867"/>
      <c r="R1006" s="2867"/>
      <c r="S1006" s="2867"/>
      <c r="T1006" s="2867"/>
      <c r="U1006" s="2867"/>
      <c r="V1006" s="2867"/>
      <c r="W1006" s="2867"/>
      <c r="X1006" s="2867"/>
      <c r="Y1006" s="2867"/>
      <c r="Z1006" s="2867"/>
      <c r="AA1006" s="2867"/>
      <c r="AB1006" s="2867"/>
      <c r="AC1006" s="2867"/>
      <c r="AD1006" s="2867"/>
      <c r="AE1006" s="2867"/>
      <c r="AF1006" s="2867"/>
      <c r="AG1006" s="2867"/>
      <c r="AH1006" s="2867"/>
      <c r="AI1006" s="2867"/>
      <c r="AJ1006" s="2867"/>
      <c r="AK1006" s="2867"/>
      <c r="AL1006" s="2867"/>
      <c r="AM1006" s="2867"/>
      <c r="AN1006" s="2867"/>
      <c r="AO1006" s="2867"/>
      <c r="AP1006" s="2867"/>
      <c r="AQ1006" s="2867"/>
      <c r="AR1006" s="2867"/>
      <c r="AS1006" s="2867"/>
      <c r="AT1006" s="2867"/>
      <c r="AU1006" s="2867"/>
      <c r="AV1006" s="2867"/>
      <c r="AW1006" s="2867"/>
      <c r="AX1006" s="2867"/>
      <c r="AY1006" s="2867"/>
      <c r="AZ1006" s="2867"/>
      <c r="BA1006" s="2867"/>
      <c r="BB1006" s="2867"/>
      <c r="BC1006" s="2867"/>
      <c r="BD1006" s="2867"/>
      <c r="BE1006" s="2867"/>
      <c r="BF1006" s="2867"/>
      <c r="BG1006" s="2867"/>
      <c r="BH1006" s="2867"/>
      <c r="BI1006" s="2867"/>
      <c r="BJ1006" s="2867"/>
      <c r="BK1006" s="2867"/>
      <c r="BL1006" s="2867"/>
      <c r="BM1006" s="2867"/>
      <c r="BN1006" s="2867"/>
      <c r="BO1006" s="2867"/>
      <c r="BP1006" s="2867"/>
      <c r="BQ1006" s="2867"/>
      <c r="BR1006" s="2867"/>
      <c r="BS1006" s="2867"/>
      <c r="BT1006" s="2867"/>
      <c r="BU1006" s="2867"/>
      <c r="BV1006" s="2867"/>
      <c r="BW1006" s="2867"/>
      <c r="BX1006" s="2867"/>
      <c r="BY1006" s="2867"/>
      <c r="BZ1006" s="2867"/>
      <c r="CA1006" s="2867"/>
      <c r="CB1006" s="2867"/>
      <c r="CC1006" s="2867"/>
      <c r="CD1006" s="2867"/>
      <c r="CE1006" s="2867"/>
      <c r="CF1006" s="2867"/>
      <c r="CG1006" s="2867"/>
      <c r="CH1006" s="2867"/>
      <c r="CI1006" s="2867"/>
      <c r="CJ1006" s="2867"/>
      <c r="CK1006" s="2867"/>
      <c r="CL1006" s="2867"/>
      <c r="CM1006" s="2867"/>
      <c r="CN1006" s="2867"/>
      <c r="CO1006" s="2867"/>
      <c r="CP1006" s="2867"/>
      <c r="CQ1006" s="2867"/>
      <c r="CR1006" s="2867"/>
      <c r="CS1006" s="2867"/>
      <c r="CT1006" s="2867"/>
      <c r="CU1006" s="2867"/>
      <c r="CV1006" s="2867"/>
      <c r="CW1006" s="2867"/>
    </row>
    <row r="1007" spans="1:101">
      <c r="A1007" s="2867"/>
      <c r="B1007" s="2867"/>
      <c r="C1007" s="2867"/>
      <c r="D1007" s="2867"/>
      <c r="E1007" s="2867"/>
      <c r="F1007" s="2867"/>
      <c r="G1007" s="2867"/>
      <c r="H1007" s="2867"/>
      <c r="I1007" s="2867"/>
      <c r="J1007" s="2867"/>
      <c r="K1007" s="2867"/>
      <c r="L1007" s="2867"/>
      <c r="M1007" s="2867"/>
      <c r="O1007" s="2867"/>
      <c r="P1007" s="2867"/>
      <c r="Q1007" s="2867"/>
      <c r="R1007" s="2867"/>
      <c r="S1007" s="2867"/>
      <c r="T1007" s="2867"/>
      <c r="U1007" s="2867"/>
      <c r="V1007" s="2867"/>
      <c r="W1007" s="2867"/>
      <c r="X1007" s="2867"/>
      <c r="Y1007" s="2867"/>
      <c r="Z1007" s="2867"/>
      <c r="AA1007" s="2867"/>
      <c r="AB1007" s="2867"/>
      <c r="AC1007" s="2867"/>
      <c r="AD1007" s="2867"/>
      <c r="AE1007" s="2867"/>
      <c r="AF1007" s="2867"/>
      <c r="AG1007" s="2867"/>
      <c r="AH1007" s="2867"/>
      <c r="AI1007" s="2867"/>
      <c r="AJ1007" s="2867"/>
      <c r="AK1007" s="2867"/>
      <c r="AL1007" s="2867"/>
      <c r="AM1007" s="2867"/>
      <c r="AN1007" s="2867"/>
      <c r="AO1007" s="2867"/>
      <c r="AP1007" s="2867"/>
      <c r="AQ1007" s="2867"/>
      <c r="AR1007" s="2867"/>
      <c r="AS1007" s="2867"/>
      <c r="AT1007" s="2867"/>
      <c r="AU1007" s="2867"/>
      <c r="AV1007" s="2867"/>
      <c r="AW1007" s="2867"/>
      <c r="AX1007" s="2867"/>
      <c r="AY1007" s="2867"/>
      <c r="AZ1007" s="2867"/>
      <c r="BA1007" s="2867"/>
      <c r="BB1007" s="2867"/>
      <c r="BC1007" s="2867"/>
      <c r="BD1007" s="2867"/>
      <c r="BE1007" s="2867"/>
      <c r="BF1007" s="2867"/>
      <c r="BG1007" s="2867"/>
      <c r="BH1007" s="2867"/>
      <c r="BI1007" s="2867"/>
      <c r="BJ1007" s="2867"/>
      <c r="BK1007" s="2867"/>
      <c r="BL1007" s="2867"/>
      <c r="BM1007" s="2867"/>
      <c r="BN1007" s="2867"/>
      <c r="BO1007" s="2867"/>
      <c r="BP1007" s="2867"/>
      <c r="BQ1007" s="2867"/>
      <c r="BR1007" s="2867"/>
      <c r="BS1007" s="2867"/>
      <c r="BT1007" s="2867"/>
      <c r="BU1007" s="2867"/>
      <c r="BV1007" s="2867"/>
      <c r="BW1007" s="2867"/>
      <c r="BX1007" s="2867"/>
      <c r="BY1007" s="2867"/>
      <c r="BZ1007" s="2867"/>
      <c r="CA1007" s="2867"/>
      <c r="CB1007" s="2867"/>
      <c r="CC1007" s="2867"/>
      <c r="CD1007" s="2867"/>
      <c r="CE1007" s="2867"/>
      <c r="CF1007" s="2867"/>
      <c r="CG1007" s="2867"/>
      <c r="CH1007" s="2867"/>
      <c r="CI1007" s="2867"/>
      <c r="CJ1007" s="2867"/>
      <c r="CK1007" s="2867"/>
      <c r="CL1007" s="2867"/>
      <c r="CM1007" s="2867"/>
      <c r="CN1007" s="2867"/>
      <c r="CO1007" s="2867"/>
      <c r="CP1007" s="2867"/>
      <c r="CQ1007" s="2867"/>
      <c r="CR1007" s="2867"/>
      <c r="CS1007" s="2867"/>
      <c r="CT1007" s="2867"/>
      <c r="CU1007" s="2867"/>
      <c r="CV1007" s="2867"/>
      <c r="CW1007" s="2867"/>
    </row>
    <row r="1008" spans="1:101">
      <c r="A1008" s="2867"/>
      <c r="B1008" s="2867"/>
      <c r="C1008" s="2867"/>
      <c r="D1008" s="2867"/>
      <c r="E1008" s="2867"/>
      <c r="F1008" s="2867"/>
      <c r="G1008" s="2867"/>
      <c r="H1008" s="2867"/>
      <c r="I1008" s="2867"/>
      <c r="J1008" s="2867"/>
      <c r="K1008" s="2867"/>
      <c r="L1008" s="2867"/>
      <c r="M1008" s="2867"/>
      <c r="O1008" s="2867"/>
      <c r="P1008" s="2867"/>
      <c r="Q1008" s="2867"/>
      <c r="R1008" s="2867"/>
      <c r="S1008" s="2867"/>
      <c r="T1008" s="2867"/>
      <c r="U1008" s="2867"/>
      <c r="V1008" s="2867"/>
      <c r="W1008" s="2867"/>
      <c r="X1008" s="2867"/>
      <c r="Y1008" s="2867"/>
      <c r="Z1008" s="2867"/>
      <c r="AA1008" s="2867"/>
      <c r="AB1008" s="2867"/>
      <c r="AC1008" s="2867"/>
      <c r="AD1008" s="2867"/>
      <c r="AE1008" s="2867"/>
      <c r="AF1008" s="2867"/>
      <c r="AG1008" s="2867"/>
      <c r="AH1008" s="2867"/>
      <c r="AI1008" s="2867"/>
      <c r="AJ1008" s="2867"/>
      <c r="AK1008" s="2867"/>
      <c r="AL1008" s="2867"/>
      <c r="AM1008" s="2867"/>
      <c r="AN1008" s="2867"/>
      <c r="AO1008" s="2867"/>
      <c r="AP1008" s="2867"/>
      <c r="AQ1008" s="2867"/>
      <c r="AR1008" s="2867"/>
      <c r="AS1008" s="2867"/>
      <c r="AT1008" s="2867"/>
      <c r="AU1008" s="2867"/>
      <c r="AV1008" s="2867"/>
      <c r="AW1008" s="2867"/>
      <c r="AX1008" s="2867"/>
      <c r="AY1008" s="2867"/>
      <c r="AZ1008" s="2867"/>
      <c r="BA1008" s="2867"/>
      <c r="BB1008" s="2867"/>
      <c r="BC1008" s="2867"/>
      <c r="BD1008" s="2867"/>
      <c r="BE1008" s="2867"/>
      <c r="BF1008" s="2867"/>
      <c r="BG1008" s="2867"/>
      <c r="BH1008" s="2867"/>
      <c r="BI1008" s="2867"/>
      <c r="BJ1008" s="2867"/>
      <c r="BK1008" s="2867"/>
      <c r="BL1008" s="2867"/>
      <c r="BM1008" s="2867"/>
      <c r="BN1008" s="2867"/>
      <c r="BO1008" s="2867"/>
      <c r="BP1008" s="2867"/>
      <c r="BQ1008" s="2867"/>
      <c r="BR1008" s="2867"/>
      <c r="BS1008" s="2867"/>
      <c r="BT1008" s="2867"/>
      <c r="BU1008" s="2867"/>
      <c r="BV1008" s="2867"/>
      <c r="BW1008" s="2867"/>
      <c r="BX1008" s="2867"/>
      <c r="BY1008" s="2867"/>
      <c r="BZ1008" s="2867"/>
      <c r="CA1008" s="2867"/>
      <c r="CB1008" s="2867"/>
      <c r="CC1008" s="2867"/>
      <c r="CD1008" s="2867"/>
      <c r="CE1008" s="2867"/>
      <c r="CF1008" s="2867"/>
      <c r="CG1008" s="2867"/>
      <c r="CH1008" s="2867"/>
      <c r="CI1008" s="2867"/>
      <c r="CJ1008" s="2867"/>
      <c r="CK1008" s="2867"/>
      <c r="CL1008" s="2867"/>
      <c r="CM1008" s="2867"/>
      <c r="CN1008" s="2867"/>
      <c r="CO1008" s="2867"/>
      <c r="CP1008" s="2867"/>
      <c r="CQ1008" s="2867"/>
      <c r="CR1008" s="2867"/>
      <c r="CS1008" s="2867"/>
      <c r="CT1008" s="2867"/>
      <c r="CU1008" s="2867"/>
      <c r="CV1008" s="2867"/>
      <c r="CW1008" s="2867"/>
    </row>
    <row r="1009" spans="1:101">
      <c r="A1009" s="2867"/>
      <c r="B1009" s="2867"/>
      <c r="C1009" s="2867"/>
      <c r="D1009" s="2867"/>
      <c r="E1009" s="2867"/>
      <c r="F1009" s="2867"/>
      <c r="G1009" s="2867"/>
      <c r="H1009" s="2867"/>
      <c r="I1009" s="2867"/>
      <c r="J1009" s="2867"/>
      <c r="K1009" s="2867"/>
      <c r="L1009" s="2867"/>
      <c r="M1009" s="2867"/>
      <c r="O1009" s="2867"/>
      <c r="P1009" s="2867"/>
      <c r="Q1009" s="2867"/>
      <c r="R1009" s="2867"/>
      <c r="S1009" s="2867"/>
      <c r="T1009" s="2867"/>
      <c r="U1009" s="2867"/>
      <c r="V1009" s="2867"/>
      <c r="W1009" s="2867"/>
      <c r="X1009" s="2867"/>
      <c r="Y1009" s="2867"/>
      <c r="Z1009" s="2867"/>
      <c r="AA1009" s="2867"/>
      <c r="AB1009" s="2867"/>
      <c r="AC1009" s="2867"/>
      <c r="AD1009" s="2867"/>
      <c r="AE1009" s="2867"/>
      <c r="AF1009" s="2867"/>
      <c r="AG1009" s="2867"/>
      <c r="AH1009" s="2867"/>
      <c r="AI1009" s="2867"/>
      <c r="AJ1009" s="2867"/>
      <c r="AK1009" s="2867"/>
      <c r="AL1009" s="2867"/>
      <c r="AM1009" s="2867"/>
      <c r="AN1009" s="2867"/>
      <c r="AO1009" s="2867"/>
      <c r="AP1009" s="2867"/>
      <c r="AQ1009" s="2867"/>
      <c r="AR1009" s="2867"/>
      <c r="AS1009" s="2867"/>
      <c r="AT1009" s="2867"/>
      <c r="AU1009" s="2867"/>
      <c r="AV1009" s="2867"/>
      <c r="AW1009" s="2867"/>
      <c r="AX1009" s="2867"/>
      <c r="AY1009" s="2867"/>
      <c r="AZ1009" s="2867"/>
      <c r="BA1009" s="2867"/>
      <c r="BB1009" s="2867"/>
      <c r="BC1009" s="2867"/>
      <c r="BD1009" s="2867"/>
      <c r="BE1009" s="2867"/>
      <c r="BF1009" s="2867"/>
      <c r="BG1009" s="2867"/>
      <c r="BH1009" s="2867"/>
      <c r="BI1009" s="2867"/>
      <c r="BJ1009" s="2867"/>
      <c r="BK1009" s="2867"/>
      <c r="BL1009" s="2867"/>
      <c r="BM1009" s="2867"/>
      <c r="BN1009" s="2867"/>
      <c r="BO1009" s="2867"/>
      <c r="BP1009" s="2867"/>
      <c r="BQ1009" s="2867"/>
      <c r="BR1009" s="2867"/>
      <c r="BS1009" s="2867"/>
      <c r="BT1009" s="2867"/>
      <c r="BU1009" s="2867"/>
      <c r="BV1009" s="2867"/>
      <c r="BW1009" s="2867"/>
      <c r="BX1009" s="2867"/>
      <c r="BY1009" s="2867"/>
      <c r="BZ1009" s="2867"/>
      <c r="CA1009" s="2867"/>
      <c r="CB1009" s="2867"/>
      <c r="CC1009" s="2867"/>
      <c r="CD1009" s="2867"/>
      <c r="CE1009" s="2867"/>
      <c r="CF1009" s="2867"/>
      <c r="CG1009" s="2867"/>
      <c r="CH1009" s="2867"/>
      <c r="CI1009" s="2867"/>
      <c r="CJ1009" s="2867"/>
      <c r="CK1009" s="2867"/>
      <c r="CL1009" s="2867"/>
      <c r="CM1009" s="2867"/>
      <c r="CN1009" s="2867"/>
      <c r="CO1009" s="2867"/>
      <c r="CP1009" s="2867"/>
      <c r="CQ1009" s="2867"/>
      <c r="CR1009" s="2867"/>
      <c r="CS1009" s="2867"/>
      <c r="CT1009" s="2867"/>
      <c r="CU1009" s="2867"/>
      <c r="CV1009" s="2867"/>
      <c r="CW1009" s="2867"/>
    </row>
    <row r="1010" spans="1:101">
      <c r="A1010" s="2867"/>
      <c r="B1010" s="2867"/>
      <c r="C1010" s="2867"/>
      <c r="D1010" s="2867"/>
      <c r="E1010" s="2867"/>
      <c r="F1010" s="2867"/>
      <c r="G1010" s="2867"/>
      <c r="H1010" s="2867"/>
      <c r="I1010" s="2867"/>
      <c r="J1010" s="2867"/>
      <c r="K1010" s="2867"/>
      <c r="L1010" s="2867"/>
      <c r="M1010" s="2867"/>
      <c r="O1010" s="2867"/>
      <c r="P1010" s="2867"/>
      <c r="Q1010" s="2867"/>
      <c r="R1010" s="2867"/>
      <c r="S1010" s="2867"/>
      <c r="T1010" s="2867"/>
      <c r="U1010" s="2867"/>
      <c r="V1010" s="2867"/>
      <c r="W1010" s="2867"/>
      <c r="X1010" s="2867"/>
      <c r="Y1010" s="2867"/>
      <c r="Z1010" s="2867"/>
      <c r="AA1010" s="2867"/>
      <c r="AB1010" s="2867"/>
      <c r="AC1010" s="2867"/>
      <c r="AD1010" s="2867"/>
      <c r="AE1010" s="2867"/>
      <c r="AF1010" s="2867"/>
      <c r="AG1010" s="2867"/>
      <c r="AH1010" s="2867"/>
      <c r="AI1010" s="2867"/>
      <c r="AJ1010" s="2867"/>
      <c r="AK1010" s="2867"/>
      <c r="AL1010" s="2867"/>
      <c r="AM1010" s="2867"/>
      <c r="AN1010" s="2867"/>
      <c r="AO1010" s="2867"/>
      <c r="AP1010" s="2867"/>
      <c r="AQ1010" s="2867"/>
      <c r="AR1010" s="2867"/>
      <c r="AS1010" s="2867"/>
      <c r="AT1010" s="2867"/>
      <c r="AU1010" s="2867"/>
      <c r="AV1010" s="2867"/>
      <c r="AW1010" s="2867"/>
      <c r="AX1010" s="2867"/>
      <c r="AY1010" s="2867"/>
      <c r="AZ1010" s="2867"/>
      <c r="BA1010" s="2867"/>
      <c r="BB1010" s="2867"/>
      <c r="BC1010" s="2867"/>
      <c r="BD1010" s="2867"/>
      <c r="BE1010" s="2867"/>
      <c r="BF1010" s="2867"/>
      <c r="BG1010" s="2867"/>
      <c r="BH1010" s="2867"/>
      <c r="BI1010" s="2867"/>
      <c r="BJ1010" s="2867"/>
      <c r="BK1010" s="2867"/>
      <c r="BL1010" s="2867"/>
      <c r="BM1010" s="2867"/>
      <c r="BN1010" s="2867"/>
      <c r="BO1010" s="2867"/>
      <c r="BP1010" s="2867"/>
      <c r="BQ1010" s="2867"/>
      <c r="BR1010" s="2867"/>
      <c r="BS1010" s="2867"/>
      <c r="BT1010" s="2867"/>
      <c r="BU1010" s="2867"/>
      <c r="BV1010" s="2867"/>
      <c r="BW1010" s="2867"/>
      <c r="BX1010" s="2867"/>
      <c r="BY1010" s="2867"/>
      <c r="BZ1010" s="2867"/>
      <c r="CA1010" s="2867"/>
      <c r="CB1010" s="2867"/>
      <c r="CC1010" s="2867"/>
      <c r="CD1010" s="2867"/>
      <c r="CE1010" s="2867"/>
      <c r="CF1010" s="2867"/>
      <c r="CG1010" s="2867"/>
      <c r="CH1010" s="2867"/>
      <c r="CI1010" s="2867"/>
      <c r="CJ1010" s="2867"/>
      <c r="CK1010" s="2867"/>
      <c r="CL1010" s="2867"/>
      <c r="CM1010" s="2867"/>
      <c r="CN1010" s="2867"/>
      <c r="CO1010" s="2867"/>
      <c r="CP1010" s="2867"/>
      <c r="CQ1010" s="2867"/>
      <c r="CR1010" s="2867"/>
      <c r="CS1010" s="2867"/>
      <c r="CT1010" s="2867"/>
      <c r="CU1010" s="2867"/>
      <c r="CV1010" s="2867"/>
      <c r="CW1010" s="2867"/>
    </row>
    <row r="1011" spans="1:101">
      <c r="A1011" s="2867"/>
      <c r="B1011" s="2867"/>
      <c r="C1011" s="2867"/>
      <c r="D1011" s="2867"/>
      <c r="E1011" s="2867"/>
      <c r="F1011" s="2867"/>
      <c r="G1011" s="2867"/>
      <c r="H1011" s="2867"/>
      <c r="I1011" s="2867"/>
      <c r="J1011" s="2867"/>
      <c r="K1011" s="2867"/>
      <c r="L1011" s="2867"/>
      <c r="M1011" s="2867"/>
      <c r="O1011" s="2867"/>
      <c r="P1011" s="2867"/>
      <c r="Q1011" s="2867"/>
      <c r="R1011" s="2867"/>
      <c r="S1011" s="2867"/>
      <c r="T1011" s="2867"/>
      <c r="U1011" s="2867"/>
      <c r="V1011" s="2867"/>
      <c r="W1011" s="2867"/>
      <c r="X1011" s="2867"/>
      <c r="Y1011" s="2867"/>
      <c r="Z1011" s="2867"/>
      <c r="AA1011" s="2867"/>
      <c r="AB1011" s="2867"/>
      <c r="AC1011" s="2867"/>
      <c r="AD1011" s="2867"/>
      <c r="AE1011" s="2867"/>
      <c r="AF1011" s="2867"/>
      <c r="AG1011" s="2867"/>
      <c r="AH1011" s="2867"/>
      <c r="AI1011" s="2867"/>
      <c r="AJ1011" s="2867"/>
      <c r="AK1011" s="2867"/>
      <c r="AL1011" s="2867"/>
      <c r="AM1011" s="2867"/>
      <c r="AN1011" s="2867"/>
      <c r="AO1011" s="2867"/>
      <c r="AP1011" s="2867"/>
      <c r="AQ1011" s="2867"/>
      <c r="AR1011" s="2867"/>
      <c r="AS1011" s="2867"/>
      <c r="AT1011" s="2867"/>
      <c r="AU1011" s="2867"/>
      <c r="AV1011" s="2867"/>
      <c r="AW1011" s="2867"/>
      <c r="AX1011" s="2867"/>
      <c r="AY1011" s="2867"/>
      <c r="AZ1011" s="2867"/>
      <c r="BA1011" s="2867"/>
      <c r="BB1011" s="2867"/>
      <c r="BC1011" s="2867"/>
      <c r="BD1011" s="2867"/>
      <c r="BE1011" s="2867"/>
      <c r="BF1011" s="2867"/>
      <c r="BG1011" s="2867"/>
      <c r="BH1011" s="2867"/>
      <c r="BI1011" s="2867"/>
      <c r="BJ1011" s="2867"/>
      <c r="BK1011" s="2867"/>
      <c r="BL1011" s="2867"/>
      <c r="BM1011" s="2867"/>
      <c r="BN1011" s="2867"/>
      <c r="BO1011" s="2867"/>
      <c r="BP1011" s="2867"/>
      <c r="BQ1011" s="2867"/>
      <c r="BR1011" s="2867"/>
      <c r="BS1011" s="2867"/>
      <c r="BT1011" s="2867"/>
      <c r="BU1011" s="2867"/>
      <c r="BV1011" s="2867"/>
      <c r="BW1011" s="2867"/>
      <c r="BX1011" s="2867"/>
      <c r="BY1011" s="2867"/>
      <c r="BZ1011" s="2867"/>
      <c r="CA1011" s="2867"/>
      <c r="CB1011" s="2867"/>
      <c r="CC1011" s="2867"/>
      <c r="CD1011" s="2867"/>
      <c r="CE1011" s="2867"/>
      <c r="CF1011" s="2867"/>
      <c r="CG1011" s="2867"/>
      <c r="CH1011" s="2867"/>
      <c r="CI1011" s="2867"/>
      <c r="CJ1011" s="2867"/>
      <c r="CK1011" s="2867"/>
      <c r="CL1011" s="2867"/>
      <c r="CM1011" s="2867"/>
      <c r="CN1011" s="2867"/>
      <c r="CO1011" s="2867"/>
      <c r="CP1011" s="2867"/>
      <c r="CQ1011" s="2867"/>
      <c r="CR1011" s="2867"/>
      <c r="CS1011" s="2867"/>
      <c r="CT1011" s="2867"/>
      <c r="CU1011" s="2867"/>
      <c r="CV1011" s="2867"/>
      <c r="CW1011" s="2867"/>
    </row>
    <row r="1012" spans="1:101">
      <c r="A1012" s="2867"/>
      <c r="B1012" s="2867"/>
      <c r="C1012" s="2867"/>
      <c r="D1012" s="2867"/>
      <c r="E1012" s="2867"/>
      <c r="F1012" s="2867"/>
      <c r="G1012" s="2867"/>
      <c r="H1012" s="2867"/>
      <c r="I1012" s="2867"/>
      <c r="J1012" s="2867"/>
      <c r="K1012" s="2867"/>
      <c r="L1012" s="2867"/>
      <c r="M1012" s="2867"/>
      <c r="O1012" s="2867"/>
      <c r="P1012" s="2867"/>
      <c r="Q1012" s="2867"/>
      <c r="R1012" s="2867"/>
      <c r="S1012" s="2867"/>
      <c r="T1012" s="2867"/>
      <c r="U1012" s="2867"/>
      <c r="V1012" s="2867"/>
      <c r="W1012" s="2867"/>
      <c r="X1012" s="2867"/>
      <c r="Y1012" s="2867"/>
      <c r="Z1012" s="2867"/>
      <c r="AA1012" s="2867"/>
      <c r="AB1012" s="2867"/>
      <c r="AC1012" s="2867"/>
      <c r="AD1012" s="2867"/>
      <c r="AE1012" s="2867"/>
      <c r="AF1012" s="2867"/>
      <c r="AG1012" s="2867"/>
      <c r="AH1012" s="2867"/>
      <c r="AI1012" s="2867"/>
      <c r="AJ1012" s="2867"/>
      <c r="AK1012" s="2867"/>
      <c r="AL1012" s="2867"/>
      <c r="AM1012" s="2867"/>
      <c r="AN1012" s="2867"/>
      <c r="AO1012" s="2867"/>
      <c r="AP1012" s="2867"/>
      <c r="AQ1012" s="2867"/>
      <c r="AR1012" s="2867"/>
      <c r="AS1012" s="2867"/>
      <c r="AT1012" s="2867"/>
      <c r="AU1012" s="2867"/>
      <c r="AV1012" s="2867"/>
      <c r="AW1012" s="2867"/>
      <c r="AX1012" s="2867"/>
      <c r="AY1012" s="2867"/>
      <c r="AZ1012" s="2867"/>
      <c r="BA1012" s="2867"/>
      <c r="BB1012" s="2867"/>
      <c r="BC1012" s="2867"/>
      <c r="BD1012" s="2867"/>
      <c r="BE1012" s="2867"/>
      <c r="BF1012" s="2867"/>
      <c r="BG1012" s="2867"/>
      <c r="BH1012" s="2867"/>
      <c r="BI1012" s="2867"/>
      <c r="BJ1012" s="2867"/>
      <c r="BK1012" s="2867"/>
      <c r="BL1012" s="2867"/>
      <c r="BM1012" s="2867"/>
      <c r="BN1012" s="2867"/>
      <c r="BO1012" s="2867"/>
      <c r="BP1012" s="2867"/>
      <c r="BQ1012" s="2867"/>
      <c r="BR1012" s="2867"/>
      <c r="BS1012" s="2867"/>
      <c r="BT1012" s="2867"/>
      <c r="BU1012" s="2867"/>
      <c r="BV1012" s="2867"/>
      <c r="BW1012" s="2867"/>
      <c r="BX1012" s="2867"/>
      <c r="BY1012" s="2867"/>
      <c r="BZ1012" s="2867"/>
      <c r="CA1012" s="2867"/>
      <c r="CB1012" s="2867"/>
      <c r="CC1012" s="2867"/>
      <c r="CD1012" s="2867"/>
      <c r="CE1012" s="2867"/>
      <c r="CF1012" s="2867"/>
      <c r="CG1012" s="2867"/>
      <c r="CH1012" s="2867"/>
      <c r="CI1012" s="2867"/>
      <c r="CJ1012" s="2867"/>
      <c r="CK1012" s="2867"/>
      <c r="CL1012" s="2867"/>
      <c r="CM1012" s="2867"/>
      <c r="CN1012" s="2867"/>
      <c r="CO1012" s="2867"/>
      <c r="CP1012" s="2867"/>
      <c r="CQ1012" s="2867"/>
      <c r="CR1012" s="2867"/>
      <c r="CS1012" s="2867"/>
      <c r="CT1012" s="2867"/>
      <c r="CU1012" s="2867"/>
      <c r="CV1012" s="2867"/>
      <c r="CW1012" s="2867"/>
    </row>
    <row r="1013" spans="1:101">
      <c r="A1013" s="2867"/>
      <c r="B1013" s="2867"/>
      <c r="C1013" s="2867"/>
      <c r="D1013" s="2867"/>
      <c r="E1013" s="2867"/>
      <c r="F1013" s="2867"/>
      <c r="G1013" s="2867"/>
      <c r="H1013" s="2867"/>
      <c r="I1013" s="2867"/>
      <c r="J1013" s="2867"/>
      <c r="K1013" s="2867"/>
      <c r="L1013" s="2867"/>
      <c r="M1013" s="2867"/>
      <c r="O1013" s="2867"/>
      <c r="P1013" s="2867"/>
      <c r="Q1013" s="2867"/>
      <c r="R1013" s="2867"/>
      <c r="S1013" s="2867"/>
      <c r="T1013" s="2867"/>
      <c r="U1013" s="2867"/>
      <c r="V1013" s="2867"/>
      <c r="W1013" s="2867"/>
      <c r="X1013" s="2867"/>
      <c r="Y1013" s="2867"/>
      <c r="Z1013" s="2867"/>
      <c r="AA1013" s="2867"/>
      <c r="AB1013" s="2867"/>
      <c r="AC1013" s="2867"/>
      <c r="AD1013" s="2867"/>
      <c r="AE1013" s="2867"/>
      <c r="AF1013" s="2867"/>
      <c r="AG1013" s="2867"/>
      <c r="AH1013" s="2867"/>
      <c r="AI1013" s="2867"/>
      <c r="AJ1013" s="2867"/>
      <c r="AK1013" s="2867"/>
      <c r="AL1013" s="2867"/>
      <c r="AM1013" s="2867"/>
      <c r="AN1013" s="2867"/>
      <c r="AO1013" s="2867"/>
      <c r="AP1013" s="2867"/>
      <c r="AQ1013" s="2867"/>
      <c r="AR1013" s="2867"/>
      <c r="AS1013" s="2867"/>
      <c r="AT1013" s="2867"/>
      <c r="AU1013" s="2867"/>
      <c r="AV1013" s="2867"/>
      <c r="AW1013" s="2867"/>
      <c r="AX1013" s="2867"/>
      <c r="AY1013" s="2867"/>
      <c r="AZ1013" s="2867"/>
      <c r="BA1013" s="2867"/>
      <c r="BB1013" s="2867"/>
      <c r="BC1013" s="2867"/>
      <c r="BD1013" s="2867"/>
      <c r="BE1013" s="2867"/>
      <c r="BF1013" s="2867"/>
      <c r="BG1013" s="2867"/>
      <c r="BH1013" s="2867"/>
      <c r="BI1013" s="2867"/>
      <c r="BJ1013" s="2867"/>
      <c r="BK1013" s="2867"/>
      <c r="BL1013" s="2867"/>
      <c r="BM1013" s="2867"/>
      <c r="BN1013" s="2867"/>
      <c r="BO1013" s="2867"/>
      <c r="BP1013" s="2867"/>
      <c r="BQ1013" s="2867"/>
      <c r="BR1013" s="2867"/>
      <c r="BS1013" s="2867"/>
      <c r="BT1013" s="2867"/>
      <c r="BU1013" s="2867"/>
      <c r="BV1013" s="2867"/>
      <c r="BW1013" s="2867"/>
      <c r="BX1013" s="2867"/>
      <c r="BY1013" s="2867"/>
      <c r="BZ1013" s="2867"/>
      <c r="CA1013" s="2867"/>
      <c r="CB1013" s="2867"/>
      <c r="CC1013" s="2867"/>
      <c r="CD1013" s="2867"/>
      <c r="CE1013" s="2867"/>
      <c r="CF1013" s="2867"/>
      <c r="CG1013" s="2867"/>
      <c r="CH1013" s="2867"/>
      <c r="CI1013" s="2867"/>
      <c r="CJ1013" s="2867"/>
      <c r="CK1013" s="2867"/>
      <c r="CL1013" s="2867"/>
      <c r="CM1013" s="2867"/>
      <c r="CN1013" s="2867"/>
      <c r="CO1013" s="2867"/>
      <c r="CP1013" s="2867"/>
      <c r="CQ1013" s="2867"/>
      <c r="CR1013" s="2867"/>
      <c r="CS1013" s="2867"/>
      <c r="CT1013" s="2867"/>
      <c r="CU1013" s="2867"/>
      <c r="CV1013" s="2867"/>
      <c r="CW1013" s="2867"/>
    </row>
    <row r="1014" spans="1:101">
      <c r="A1014" s="2867"/>
      <c r="B1014" s="2867"/>
      <c r="C1014" s="2867"/>
      <c r="D1014" s="2867"/>
      <c r="E1014" s="2867"/>
      <c r="F1014" s="2867"/>
      <c r="G1014" s="2867"/>
      <c r="H1014" s="2867"/>
      <c r="I1014" s="2867"/>
      <c r="J1014" s="2867"/>
      <c r="K1014" s="2867"/>
      <c r="L1014" s="2867"/>
      <c r="M1014" s="2867"/>
      <c r="O1014" s="2867"/>
      <c r="P1014" s="2867"/>
      <c r="Q1014" s="2867"/>
      <c r="R1014" s="2867"/>
      <c r="S1014" s="2867"/>
      <c r="T1014" s="2867"/>
      <c r="U1014" s="2867"/>
      <c r="V1014" s="2867"/>
      <c r="W1014" s="2867"/>
      <c r="X1014" s="2867"/>
      <c r="Y1014" s="2867"/>
      <c r="Z1014" s="2867"/>
      <c r="AA1014" s="2867"/>
      <c r="AB1014" s="2867"/>
      <c r="AC1014" s="2867"/>
      <c r="AD1014" s="2867"/>
      <c r="AE1014" s="2867"/>
      <c r="AF1014" s="2867"/>
      <c r="AG1014" s="2867"/>
      <c r="AH1014" s="2867"/>
      <c r="AI1014" s="2867"/>
      <c r="AJ1014" s="2867"/>
      <c r="AK1014" s="2867"/>
      <c r="AL1014" s="2867"/>
      <c r="AM1014" s="2867"/>
      <c r="AN1014" s="2867"/>
      <c r="AO1014" s="2867"/>
      <c r="AP1014" s="2867"/>
      <c r="AQ1014" s="2867"/>
      <c r="AR1014" s="2867"/>
      <c r="AS1014" s="2867"/>
      <c r="AT1014" s="2867"/>
      <c r="AU1014" s="2867"/>
      <c r="AV1014" s="2867"/>
      <c r="AW1014" s="2867"/>
      <c r="AX1014" s="2867"/>
      <c r="AY1014" s="2867"/>
      <c r="AZ1014" s="2867"/>
      <c r="BA1014" s="2867"/>
      <c r="BB1014" s="2867"/>
      <c r="BC1014" s="2867"/>
      <c r="BD1014" s="2867"/>
      <c r="BE1014" s="2867"/>
      <c r="BF1014" s="2867"/>
      <c r="BG1014" s="2867"/>
      <c r="BH1014" s="2867"/>
      <c r="BI1014" s="2867"/>
      <c r="BJ1014" s="2867"/>
      <c r="BK1014" s="2867"/>
      <c r="BL1014" s="2867"/>
      <c r="BM1014" s="2867"/>
      <c r="BN1014" s="2867"/>
      <c r="BO1014" s="2867"/>
      <c r="BP1014" s="2867"/>
      <c r="BQ1014" s="2867"/>
      <c r="BR1014" s="2867"/>
      <c r="BS1014" s="2867"/>
      <c r="BT1014" s="2867"/>
      <c r="BU1014" s="2867"/>
      <c r="BV1014" s="2867"/>
      <c r="BW1014" s="2867"/>
      <c r="BX1014" s="2867"/>
      <c r="BY1014" s="2867"/>
      <c r="BZ1014" s="2867"/>
      <c r="CA1014" s="2867"/>
      <c r="CB1014" s="2867"/>
      <c r="CC1014" s="2867"/>
      <c r="CD1014" s="2867"/>
      <c r="CE1014" s="2867"/>
      <c r="CF1014" s="2867"/>
      <c r="CG1014" s="2867"/>
      <c r="CH1014" s="2867"/>
      <c r="CI1014" s="2867"/>
      <c r="CJ1014" s="2867"/>
      <c r="CK1014" s="2867"/>
      <c r="CL1014" s="2867"/>
      <c r="CM1014" s="2867"/>
      <c r="CN1014" s="2867"/>
      <c r="CO1014" s="2867"/>
      <c r="CP1014" s="2867"/>
      <c r="CQ1014" s="2867"/>
      <c r="CR1014" s="2867"/>
      <c r="CS1014" s="2867"/>
      <c r="CT1014" s="2867"/>
      <c r="CU1014" s="2867"/>
      <c r="CV1014" s="2867"/>
      <c r="CW1014" s="2867"/>
    </row>
    <row r="1015" spans="1:101">
      <c r="A1015" s="2867"/>
      <c r="B1015" s="2867"/>
      <c r="C1015" s="2867"/>
      <c r="D1015" s="2867"/>
      <c r="E1015" s="2867"/>
      <c r="F1015" s="2867"/>
      <c r="G1015" s="2867"/>
      <c r="H1015" s="2867"/>
      <c r="I1015" s="2867"/>
      <c r="J1015" s="2867"/>
      <c r="K1015" s="2867"/>
      <c r="L1015" s="2867"/>
      <c r="M1015" s="2867"/>
      <c r="O1015" s="2867"/>
      <c r="P1015" s="2867"/>
      <c r="Q1015" s="2867"/>
      <c r="R1015" s="2867"/>
      <c r="S1015" s="2867"/>
      <c r="T1015" s="2867"/>
      <c r="U1015" s="2867"/>
      <c r="V1015" s="2867"/>
      <c r="W1015" s="2867"/>
      <c r="X1015" s="2867"/>
      <c r="Y1015" s="2867"/>
      <c r="Z1015" s="2867"/>
      <c r="AA1015" s="2867"/>
      <c r="AB1015" s="2867"/>
      <c r="AC1015" s="2867"/>
      <c r="AD1015" s="2867"/>
      <c r="AE1015" s="2867"/>
      <c r="AF1015" s="2867"/>
      <c r="AG1015" s="2867"/>
      <c r="AH1015" s="2867"/>
      <c r="AI1015" s="2867"/>
      <c r="AJ1015" s="2867"/>
      <c r="AK1015" s="2867"/>
      <c r="AL1015" s="2867"/>
      <c r="AM1015" s="2867"/>
      <c r="AN1015" s="2867"/>
      <c r="AO1015" s="2867"/>
      <c r="AP1015" s="2867"/>
      <c r="AQ1015" s="2867"/>
      <c r="AR1015" s="2867"/>
      <c r="AS1015" s="2867"/>
      <c r="AT1015" s="2867"/>
      <c r="AU1015" s="2867"/>
      <c r="AV1015" s="2867"/>
      <c r="AW1015" s="2867"/>
      <c r="AX1015" s="2867"/>
      <c r="AY1015" s="2867"/>
      <c r="AZ1015" s="2867"/>
      <c r="BA1015" s="2867"/>
      <c r="BB1015" s="2867"/>
      <c r="BC1015" s="2867"/>
      <c r="BD1015" s="2867"/>
      <c r="BE1015" s="2867"/>
      <c r="BF1015" s="2867"/>
      <c r="BG1015" s="2867"/>
      <c r="BH1015" s="2867"/>
      <c r="BI1015" s="2867"/>
      <c r="BJ1015" s="2867"/>
      <c r="BK1015" s="2867"/>
      <c r="BL1015" s="2867"/>
      <c r="BM1015" s="2867"/>
      <c r="BN1015" s="2867"/>
      <c r="BO1015" s="2867"/>
      <c r="BP1015" s="2867"/>
      <c r="BQ1015" s="2867"/>
      <c r="BR1015" s="2867"/>
      <c r="BS1015" s="2867"/>
      <c r="BT1015" s="2867"/>
      <c r="BU1015" s="2867"/>
      <c r="BV1015" s="2867"/>
      <c r="BW1015" s="2867"/>
      <c r="BX1015" s="2867"/>
      <c r="BY1015" s="2867"/>
      <c r="BZ1015" s="2867"/>
      <c r="CA1015" s="2867"/>
      <c r="CB1015" s="2867"/>
      <c r="CC1015" s="2867"/>
      <c r="CD1015" s="2867"/>
      <c r="CE1015" s="2867"/>
      <c r="CF1015" s="2867"/>
      <c r="CG1015" s="2867"/>
      <c r="CH1015" s="2867"/>
      <c r="CI1015" s="2867"/>
      <c r="CJ1015" s="2867"/>
      <c r="CK1015" s="2867"/>
      <c r="CL1015" s="2867"/>
      <c r="CM1015" s="2867"/>
      <c r="CN1015" s="2867"/>
      <c r="CO1015" s="2867"/>
      <c r="CP1015" s="2867"/>
      <c r="CQ1015" s="2867"/>
      <c r="CR1015" s="2867"/>
      <c r="CS1015" s="2867"/>
      <c r="CT1015" s="2867"/>
      <c r="CU1015" s="2867"/>
      <c r="CV1015" s="2867"/>
      <c r="CW1015" s="2867"/>
    </row>
    <row r="1016" spans="1:101">
      <c r="A1016" s="2867"/>
      <c r="B1016" s="2867"/>
      <c r="C1016" s="2867"/>
      <c r="D1016" s="2867"/>
      <c r="E1016" s="2867"/>
      <c r="F1016" s="2867"/>
      <c r="G1016" s="2867"/>
      <c r="H1016" s="2867"/>
      <c r="I1016" s="2867"/>
      <c r="J1016" s="2867"/>
      <c r="K1016" s="2867"/>
      <c r="L1016" s="2867"/>
      <c r="M1016" s="2867"/>
      <c r="O1016" s="2867"/>
      <c r="P1016" s="2867"/>
      <c r="Q1016" s="2867"/>
      <c r="R1016" s="2867"/>
      <c r="S1016" s="2867"/>
      <c r="T1016" s="2867"/>
      <c r="U1016" s="2867"/>
      <c r="V1016" s="2867"/>
      <c r="W1016" s="2867"/>
      <c r="X1016" s="2867"/>
      <c r="Y1016" s="2867"/>
      <c r="Z1016" s="2867"/>
      <c r="AA1016" s="2867"/>
      <c r="AB1016" s="2867"/>
      <c r="AC1016" s="2867"/>
      <c r="AD1016" s="2867"/>
      <c r="AE1016" s="2867"/>
      <c r="AF1016" s="2867"/>
      <c r="AG1016" s="2867"/>
      <c r="AH1016" s="2867"/>
      <c r="AI1016" s="2867"/>
      <c r="AJ1016" s="2867"/>
      <c r="AK1016" s="2867"/>
      <c r="AL1016" s="2867"/>
      <c r="AM1016" s="2867"/>
      <c r="AN1016" s="2867"/>
      <c r="AO1016" s="2867"/>
      <c r="AP1016" s="2867"/>
      <c r="AQ1016" s="2867"/>
      <c r="AR1016" s="2867"/>
      <c r="AS1016" s="2867"/>
      <c r="AT1016" s="2867"/>
      <c r="AU1016" s="2867"/>
      <c r="AV1016" s="2867"/>
      <c r="AW1016" s="2867"/>
      <c r="AX1016" s="2867"/>
      <c r="AY1016" s="2867"/>
      <c r="AZ1016" s="2867"/>
      <c r="BA1016" s="2867"/>
      <c r="BB1016" s="2867"/>
      <c r="BC1016" s="2867"/>
      <c r="BD1016" s="2867"/>
      <c r="BE1016" s="2867"/>
      <c r="BF1016" s="2867"/>
      <c r="BG1016" s="2867"/>
      <c r="BH1016" s="2867"/>
      <c r="BI1016" s="2867"/>
      <c r="BJ1016" s="2867"/>
      <c r="BK1016" s="2867"/>
      <c r="BL1016" s="2867"/>
      <c r="BM1016" s="2867"/>
      <c r="BN1016" s="2867"/>
      <c r="BO1016" s="2867"/>
      <c r="BP1016" s="2867"/>
      <c r="BQ1016" s="2867"/>
      <c r="BR1016" s="2867"/>
      <c r="BS1016" s="2867"/>
      <c r="BT1016" s="2867"/>
      <c r="BU1016" s="2867"/>
      <c r="BV1016" s="2867"/>
      <c r="BW1016" s="2867"/>
      <c r="BX1016" s="2867"/>
      <c r="BY1016" s="2867"/>
      <c r="BZ1016" s="2867"/>
      <c r="CA1016" s="2867"/>
      <c r="CB1016" s="2867"/>
      <c r="CC1016" s="2867"/>
      <c r="CD1016" s="2867"/>
      <c r="CE1016" s="2867"/>
      <c r="CF1016" s="2867"/>
      <c r="CG1016" s="2867"/>
      <c r="CH1016" s="2867"/>
      <c r="CI1016" s="2867"/>
      <c r="CJ1016" s="2867"/>
      <c r="CK1016" s="2867"/>
      <c r="CL1016" s="2867"/>
      <c r="CM1016" s="2867"/>
      <c r="CN1016" s="2867"/>
      <c r="CO1016" s="2867"/>
      <c r="CP1016" s="2867"/>
      <c r="CQ1016" s="2867"/>
      <c r="CR1016" s="2867"/>
      <c r="CS1016" s="2867"/>
      <c r="CT1016" s="2867"/>
      <c r="CU1016" s="2867"/>
      <c r="CV1016" s="2867"/>
      <c r="CW1016" s="2867"/>
    </row>
    <row r="1017" spans="1:101">
      <c r="A1017" s="2867"/>
      <c r="B1017" s="2867"/>
      <c r="C1017" s="2867"/>
      <c r="D1017" s="2867"/>
      <c r="E1017" s="2867"/>
      <c r="F1017" s="2867"/>
      <c r="G1017" s="2867"/>
      <c r="H1017" s="2867"/>
      <c r="I1017" s="2867"/>
      <c r="J1017" s="2867"/>
      <c r="K1017" s="2867"/>
      <c r="L1017" s="2867"/>
      <c r="M1017" s="2867"/>
      <c r="O1017" s="2867"/>
      <c r="P1017" s="2867"/>
      <c r="Q1017" s="2867"/>
      <c r="R1017" s="2867"/>
      <c r="S1017" s="2867"/>
      <c r="T1017" s="2867"/>
      <c r="U1017" s="2867"/>
      <c r="V1017" s="2867"/>
      <c r="W1017" s="2867"/>
      <c r="X1017" s="2867"/>
      <c r="Y1017" s="2867"/>
      <c r="Z1017" s="2867"/>
      <c r="AA1017" s="2867"/>
      <c r="AB1017" s="2867"/>
      <c r="AC1017" s="2867"/>
      <c r="AD1017" s="2867"/>
      <c r="AE1017" s="2867"/>
      <c r="AF1017" s="2867"/>
      <c r="AG1017" s="2867"/>
      <c r="AH1017" s="2867"/>
      <c r="AI1017" s="2867"/>
      <c r="AJ1017" s="2867"/>
      <c r="AK1017" s="2867"/>
      <c r="AL1017" s="2867"/>
      <c r="AM1017" s="2867"/>
      <c r="AN1017" s="2867"/>
      <c r="AO1017" s="2867"/>
      <c r="AP1017" s="2867"/>
      <c r="AQ1017" s="2867"/>
      <c r="AR1017" s="2867"/>
      <c r="AS1017" s="2867"/>
      <c r="AT1017" s="2867"/>
      <c r="AU1017" s="2867"/>
      <c r="AV1017" s="2867"/>
      <c r="AW1017" s="2867"/>
      <c r="AX1017" s="2867"/>
      <c r="AY1017" s="2867"/>
      <c r="AZ1017" s="2867"/>
      <c r="BA1017" s="2867"/>
      <c r="BB1017" s="2867"/>
      <c r="BC1017" s="2867"/>
      <c r="BD1017" s="2867"/>
      <c r="BE1017" s="2867"/>
      <c r="BF1017" s="2867"/>
      <c r="BG1017" s="2867"/>
      <c r="BH1017" s="2867"/>
      <c r="BI1017" s="2867"/>
      <c r="BJ1017" s="2867"/>
      <c r="BK1017" s="2867"/>
      <c r="BL1017" s="2867"/>
      <c r="BM1017" s="2867"/>
      <c r="BN1017" s="2867"/>
      <c r="BO1017" s="2867"/>
      <c r="BP1017" s="2867"/>
      <c r="BQ1017" s="2867"/>
      <c r="BR1017" s="2867"/>
      <c r="BS1017" s="2867"/>
      <c r="BT1017" s="2867"/>
      <c r="BU1017" s="2867"/>
      <c r="BV1017" s="2867"/>
      <c r="BW1017" s="2867"/>
      <c r="BX1017" s="2867"/>
      <c r="BY1017" s="2867"/>
      <c r="BZ1017" s="2867"/>
      <c r="CA1017" s="2867"/>
      <c r="CB1017" s="2867"/>
      <c r="CC1017" s="2867"/>
      <c r="CD1017" s="2867"/>
      <c r="CE1017" s="2867"/>
      <c r="CF1017" s="2867"/>
      <c r="CG1017" s="2867"/>
      <c r="CH1017" s="2867"/>
      <c r="CI1017" s="2867"/>
      <c r="CJ1017" s="2867"/>
      <c r="CK1017" s="2867"/>
      <c r="CL1017" s="2867"/>
      <c r="CM1017" s="2867"/>
      <c r="CN1017" s="2867"/>
      <c r="CO1017" s="2867"/>
      <c r="CP1017" s="2867"/>
      <c r="CQ1017" s="2867"/>
      <c r="CR1017" s="2867"/>
      <c r="CS1017" s="2867"/>
      <c r="CT1017" s="2867"/>
      <c r="CU1017" s="2867"/>
      <c r="CV1017" s="2867"/>
      <c r="CW1017" s="2867"/>
    </row>
    <row r="1018" spans="1:101">
      <c r="A1018" s="2867"/>
      <c r="B1018" s="2867"/>
      <c r="C1018" s="2867"/>
      <c r="D1018" s="2867"/>
      <c r="E1018" s="2867"/>
      <c r="F1018" s="2867"/>
      <c r="G1018" s="2867"/>
      <c r="H1018" s="2867"/>
      <c r="I1018" s="2867"/>
      <c r="J1018" s="2867"/>
      <c r="K1018" s="2867"/>
      <c r="L1018" s="2867"/>
      <c r="M1018" s="2867"/>
      <c r="O1018" s="2867"/>
      <c r="P1018" s="2867"/>
      <c r="Q1018" s="2867"/>
      <c r="R1018" s="2867"/>
      <c r="S1018" s="2867"/>
      <c r="T1018" s="2867"/>
      <c r="U1018" s="2867"/>
      <c r="V1018" s="2867"/>
      <c r="W1018" s="2867"/>
      <c r="X1018" s="2867"/>
      <c r="Y1018" s="2867"/>
      <c r="Z1018" s="2867"/>
      <c r="AA1018" s="2867"/>
      <c r="AB1018" s="2867"/>
      <c r="AC1018" s="2867"/>
      <c r="AD1018" s="2867"/>
      <c r="AE1018" s="2867"/>
      <c r="AF1018" s="2867"/>
      <c r="AG1018" s="2867"/>
      <c r="AH1018" s="2867"/>
      <c r="AI1018" s="2867"/>
      <c r="AJ1018" s="2867"/>
      <c r="AK1018" s="2867"/>
      <c r="AL1018" s="2867"/>
      <c r="AM1018" s="2867"/>
      <c r="AN1018" s="2867"/>
      <c r="AO1018" s="2867"/>
      <c r="AP1018" s="2867"/>
      <c r="AQ1018" s="2867"/>
      <c r="AR1018" s="2867"/>
      <c r="AS1018" s="2867"/>
      <c r="AT1018" s="2867"/>
      <c r="AU1018" s="2867"/>
      <c r="AV1018" s="2867"/>
      <c r="AW1018" s="2867"/>
      <c r="AX1018" s="2867"/>
      <c r="AY1018" s="2867"/>
      <c r="AZ1018" s="2867"/>
      <c r="BA1018" s="2867"/>
      <c r="BB1018" s="2867"/>
      <c r="BC1018" s="2867"/>
      <c r="BD1018" s="2867"/>
      <c r="BE1018" s="2867"/>
      <c r="BF1018" s="2867"/>
      <c r="BG1018" s="2867"/>
      <c r="BH1018" s="2867"/>
      <c r="BI1018" s="2867"/>
      <c r="BJ1018" s="2867"/>
      <c r="BK1018" s="2867"/>
      <c r="BL1018" s="2867"/>
      <c r="BM1018" s="2867"/>
      <c r="BN1018" s="2867"/>
      <c r="BO1018" s="2867"/>
      <c r="BP1018" s="2867"/>
      <c r="BQ1018" s="2867"/>
      <c r="BR1018" s="2867"/>
      <c r="BS1018" s="2867"/>
      <c r="BT1018" s="2867"/>
      <c r="BU1018" s="2867"/>
      <c r="BV1018" s="2867"/>
      <c r="BW1018" s="2867"/>
      <c r="BX1018" s="2867"/>
      <c r="BY1018" s="2867"/>
      <c r="BZ1018" s="2867"/>
      <c r="CA1018" s="2867"/>
      <c r="CB1018" s="2867"/>
      <c r="CC1018" s="2867"/>
      <c r="CD1018" s="2867"/>
      <c r="CE1018" s="2867"/>
      <c r="CF1018" s="2867"/>
      <c r="CG1018" s="2867"/>
      <c r="CH1018" s="2867"/>
      <c r="CI1018" s="2867"/>
      <c r="CJ1018" s="2867"/>
      <c r="CK1018" s="2867"/>
      <c r="CL1018" s="2867"/>
      <c r="CM1018" s="2867"/>
      <c r="CN1018" s="2867"/>
      <c r="CO1018" s="2867"/>
      <c r="CP1018" s="2867"/>
      <c r="CQ1018" s="2867"/>
      <c r="CR1018" s="2867"/>
      <c r="CS1018" s="2867"/>
      <c r="CT1018" s="2867"/>
      <c r="CU1018" s="2867"/>
      <c r="CV1018" s="2867"/>
      <c r="CW1018" s="2867"/>
    </row>
    <row r="1019" spans="1:101">
      <c r="A1019" s="2867"/>
      <c r="B1019" s="2867"/>
      <c r="C1019" s="2867"/>
      <c r="D1019" s="2867"/>
      <c r="E1019" s="2867"/>
      <c r="F1019" s="2867"/>
      <c r="G1019" s="2867"/>
      <c r="H1019" s="2867"/>
      <c r="I1019" s="2867"/>
      <c r="J1019" s="2867"/>
      <c r="K1019" s="2867"/>
      <c r="L1019" s="2867"/>
      <c r="M1019" s="2867"/>
      <c r="O1019" s="2867"/>
      <c r="P1019" s="2867"/>
      <c r="Q1019" s="2867"/>
      <c r="R1019" s="2867"/>
      <c r="S1019" s="2867"/>
      <c r="T1019" s="2867"/>
      <c r="U1019" s="2867"/>
      <c r="V1019" s="2867"/>
      <c r="W1019" s="2867"/>
      <c r="X1019" s="2867"/>
      <c r="Y1019" s="2867"/>
      <c r="Z1019" s="2867"/>
      <c r="AA1019" s="2867"/>
      <c r="AB1019" s="2867"/>
      <c r="AC1019" s="2867"/>
      <c r="AD1019" s="2867"/>
      <c r="AE1019" s="2867"/>
      <c r="AF1019" s="2867"/>
      <c r="AG1019" s="2867"/>
      <c r="AH1019" s="2867"/>
      <c r="AI1019" s="2867"/>
      <c r="AJ1019" s="2867"/>
      <c r="AK1019" s="2867"/>
      <c r="AL1019" s="2867"/>
      <c r="AM1019" s="2867"/>
      <c r="AN1019" s="2867"/>
      <c r="AO1019" s="2867"/>
      <c r="AP1019" s="2867"/>
      <c r="AQ1019" s="2867"/>
      <c r="AR1019" s="2867"/>
      <c r="AS1019" s="2867"/>
      <c r="AT1019" s="2867"/>
      <c r="AU1019" s="2867"/>
      <c r="AV1019" s="2867"/>
      <c r="AW1019" s="2867"/>
      <c r="AX1019" s="2867"/>
      <c r="AY1019" s="2867"/>
      <c r="AZ1019" s="2867"/>
      <c r="BA1019" s="2867"/>
      <c r="BB1019" s="2867"/>
      <c r="BC1019" s="2867"/>
      <c r="BD1019" s="2867"/>
      <c r="BE1019" s="2867"/>
      <c r="BF1019" s="2867"/>
      <c r="BG1019" s="2867"/>
      <c r="BH1019" s="2867"/>
      <c r="BI1019" s="2867"/>
      <c r="BJ1019" s="2867"/>
      <c r="BK1019" s="2867"/>
      <c r="BL1019" s="2867"/>
      <c r="BM1019" s="2867"/>
      <c r="BN1019" s="2867"/>
      <c r="BO1019" s="2867"/>
      <c r="BP1019" s="2867"/>
      <c r="BQ1019" s="2867"/>
      <c r="BR1019" s="2867"/>
      <c r="BS1019" s="2867"/>
      <c r="BT1019" s="2867"/>
      <c r="BU1019" s="2867"/>
      <c r="BV1019" s="2867"/>
      <c r="BW1019" s="2867"/>
      <c r="BX1019" s="2867"/>
      <c r="BY1019" s="2867"/>
      <c r="BZ1019" s="2867"/>
      <c r="CA1019" s="2867"/>
      <c r="CB1019" s="2867"/>
      <c r="CC1019" s="2867"/>
      <c r="CD1019" s="2867"/>
      <c r="CE1019" s="2867"/>
      <c r="CF1019" s="2867"/>
      <c r="CG1019" s="2867"/>
      <c r="CH1019" s="2867"/>
      <c r="CI1019" s="2867"/>
      <c r="CJ1019" s="2867"/>
      <c r="CK1019" s="2867"/>
      <c r="CL1019" s="2867"/>
      <c r="CM1019" s="2867"/>
      <c r="CN1019" s="2867"/>
      <c r="CO1019" s="2867"/>
      <c r="CP1019" s="2867"/>
      <c r="CQ1019" s="2867"/>
      <c r="CR1019" s="2867"/>
      <c r="CS1019" s="2867"/>
      <c r="CT1019" s="2867"/>
      <c r="CU1019" s="2867"/>
      <c r="CV1019" s="2867"/>
      <c r="CW1019" s="2867"/>
    </row>
    <row r="1020" spans="1:101">
      <c r="A1020" s="2867"/>
      <c r="B1020" s="2867"/>
      <c r="C1020" s="2867"/>
      <c r="D1020" s="2867"/>
      <c r="E1020" s="2867"/>
      <c r="F1020" s="2867"/>
      <c r="G1020" s="2867"/>
      <c r="H1020" s="2867"/>
      <c r="I1020" s="2867"/>
      <c r="J1020" s="2867"/>
      <c r="K1020" s="2867"/>
      <c r="L1020" s="2867"/>
      <c r="M1020" s="2867"/>
      <c r="O1020" s="2867"/>
      <c r="P1020" s="2867"/>
      <c r="Q1020" s="2867"/>
      <c r="R1020" s="2867"/>
      <c r="S1020" s="2867"/>
      <c r="T1020" s="2867"/>
      <c r="U1020" s="2867"/>
      <c r="V1020" s="2867"/>
      <c r="W1020" s="2867"/>
      <c r="X1020" s="2867"/>
      <c r="Y1020" s="2867"/>
      <c r="Z1020" s="2867"/>
      <c r="AA1020" s="2867"/>
      <c r="AB1020" s="2867"/>
      <c r="AC1020" s="2867"/>
      <c r="AD1020" s="2867"/>
      <c r="AE1020" s="2867"/>
      <c r="AF1020" s="2867"/>
      <c r="AG1020" s="2867"/>
      <c r="AH1020" s="2867"/>
      <c r="AI1020" s="2867"/>
      <c r="AJ1020" s="2867"/>
      <c r="AK1020" s="2867"/>
      <c r="AL1020" s="2867"/>
      <c r="AM1020" s="2867"/>
      <c r="AN1020" s="2867"/>
      <c r="AO1020" s="2867"/>
      <c r="AP1020" s="2867"/>
      <c r="AQ1020" s="2867"/>
      <c r="AR1020" s="2867"/>
      <c r="AS1020" s="2867"/>
      <c r="AT1020" s="2867"/>
      <c r="AU1020" s="2867"/>
      <c r="AV1020" s="2867"/>
      <c r="AW1020" s="2867"/>
      <c r="AX1020" s="2867"/>
      <c r="AY1020" s="2867"/>
      <c r="AZ1020" s="2867"/>
      <c r="BA1020" s="2867"/>
      <c r="BB1020" s="2867"/>
      <c r="BC1020" s="2867"/>
      <c r="BD1020" s="2867"/>
      <c r="BE1020" s="2867"/>
      <c r="BF1020" s="2867"/>
      <c r="BG1020" s="2867"/>
      <c r="BH1020" s="2867"/>
      <c r="BI1020" s="2867"/>
      <c r="BJ1020" s="2867"/>
      <c r="BK1020" s="2867"/>
      <c r="BL1020" s="2867"/>
      <c r="BM1020" s="2867"/>
      <c r="BN1020" s="2867"/>
      <c r="BO1020" s="2867"/>
      <c r="BP1020" s="2867"/>
      <c r="BQ1020" s="2867"/>
      <c r="BR1020" s="2867"/>
      <c r="BS1020" s="2867"/>
      <c r="BT1020" s="2867"/>
      <c r="BU1020" s="2867"/>
      <c r="BV1020" s="2867"/>
      <c r="BW1020" s="2867"/>
      <c r="BX1020" s="2867"/>
      <c r="BY1020" s="2867"/>
      <c r="BZ1020" s="2867"/>
      <c r="CA1020" s="2867"/>
      <c r="CB1020" s="2867"/>
      <c r="CC1020" s="2867"/>
      <c r="CD1020" s="2867"/>
      <c r="CE1020" s="2867"/>
      <c r="CF1020" s="2867"/>
      <c r="CG1020" s="2867"/>
      <c r="CH1020" s="2867"/>
      <c r="CI1020" s="2867"/>
      <c r="CJ1020" s="2867"/>
      <c r="CK1020" s="2867"/>
      <c r="CL1020" s="2867"/>
      <c r="CM1020" s="2867"/>
      <c r="CN1020" s="2867"/>
      <c r="CO1020" s="2867"/>
      <c r="CP1020" s="2867"/>
      <c r="CQ1020" s="2867"/>
      <c r="CR1020" s="2867"/>
      <c r="CS1020" s="2867"/>
      <c r="CT1020" s="2867"/>
      <c r="CU1020" s="2867"/>
      <c r="CV1020" s="2867"/>
      <c r="CW1020" s="2867"/>
    </row>
    <row r="1021" spans="1:101">
      <c r="A1021" s="2867"/>
      <c r="B1021" s="2867"/>
      <c r="C1021" s="2867"/>
      <c r="D1021" s="2867"/>
      <c r="E1021" s="2867"/>
      <c r="F1021" s="2867"/>
      <c r="G1021" s="2867"/>
      <c r="H1021" s="2867"/>
      <c r="I1021" s="2867"/>
      <c r="J1021" s="2867"/>
      <c r="K1021" s="2867"/>
      <c r="L1021" s="2867"/>
      <c r="M1021" s="2867"/>
      <c r="O1021" s="2867"/>
      <c r="P1021" s="2867"/>
      <c r="Q1021" s="2867"/>
      <c r="R1021" s="2867"/>
      <c r="S1021" s="2867"/>
      <c r="T1021" s="2867"/>
      <c r="U1021" s="2867"/>
      <c r="V1021" s="2867"/>
      <c r="W1021" s="2867"/>
      <c r="X1021" s="2867"/>
      <c r="Y1021" s="2867"/>
      <c r="Z1021" s="2867"/>
      <c r="AA1021" s="2867"/>
      <c r="AB1021" s="2867"/>
      <c r="AC1021" s="2867"/>
      <c r="AD1021" s="2867"/>
      <c r="AE1021" s="2867"/>
      <c r="AF1021" s="2867"/>
      <c r="AG1021" s="2867"/>
      <c r="AH1021" s="2867"/>
      <c r="AI1021" s="2867"/>
      <c r="AJ1021" s="2867"/>
      <c r="AK1021" s="2867"/>
      <c r="AL1021" s="2867"/>
      <c r="AM1021" s="2867"/>
      <c r="AN1021" s="2867"/>
      <c r="AO1021" s="2867"/>
      <c r="AP1021" s="2867"/>
      <c r="AQ1021" s="2867"/>
      <c r="AR1021" s="2867"/>
      <c r="AS1021" s="2867"/>
      <c r="AT1021" s="2867"/>
      <c r="AU1021" s="2867"/>
      <c r="AV1021" s="2867"/>
      <c r="AW1021" s="2867"/>
      <c r="AX1021" s="2867"/>
      <c r="AY1021" s="2867"/>
      <c r="AZ1021" s="2867"/>
      <c r="BA1021" s="2867"/>
      <c r="BB1021" s="2867"/>
      <c r="BC1021" s="2867"/>
      <c r="BD1021" s="2867"/>
      <c r="BE1021" s="2867"/>
      <c r="BF1021" s="2867"/>
      <c r="BG1021" s="2867"/>
      <c r="BH1021" s="2867"/>
      <c r="BI1021" s="2867"/>
      <c r="BJ1021" s="2867"/>
      <c r="BK1021" s="2867"/>
      <c r="BL1021" s="2867"/>
      <c r="BM1021" s="2867"/>
      <c r="BN1021" s="2867"/>
      <c r="BO1021" s="2867"/>
      <c r="BP1021" s="2867"/>
      <c r="BQ1021" s="2867"/>
      <c r="BR1021" s="2867"/>
      <c r="BS1021" s="2867"/>
      <c r="BT1021" s="2867"/>
      <c r="BU1021" s="2867"/>
      <c r="BV1021" s="2867"/>
      <c r="BW1021" s="2867"/>
      <c r="BX1021" s="2867"/>
      <c r="BY1021" s="2867"/>
      <c r="BZ1021" s="2867"/>
      <c r="CA1021" s="2867"/>
      <c r="CB1021" s="2867"/>
      <c r="CC1021" s="2867"/>
      <c r="CD1021" s="2867"/>
      <c r="CE1021" s="2867"/>
      <c r="CF1021" s="2867"/>
      <c r="CG1021" s="2867"/>
      <c r="CH1021" s="2867"/>
      <c r="CI1021" s="2867"/>
      <c r="CJ1021" s="2867"/>
      <c r="CK1021" s="2867"/>
      <c r="CL1021" s="2867"/>
      <c r="CM1021" s="2867"/>
      <c r="CN1021" s="2867"/>
      <c r="CO1021" s="2867"/>
      <c r="CP1021" s="2867"/>
      <c r="CQ1021" s="2867"/>
      <c r="CR1021" s="2867"/>
      <c r="CS1021" s="2867"/>
      <c r="CT1021" s="2867"/>
      <c r="CU1021" s="2867"/>
      <c r="CV1021" s="2867"/>
      <c r="CW1021" s="2867"/>
    </row>
    <row r="1022" spans="1:101">
      <c r="A1022" s="2867"/>
      <c r="B1022" s="2867"/>
      <c r="C1022" s="2867"/>
      <c r="D1022" s="2867"/>
      <c r="E1022" s="2867"/>
      <c r="F1022" s="2867"/>
      <c r="G1022" s="2867"/>
      <c r="H1022" s="2867"/>
      <c r="I1022" s="2867"/>
      <c r="J1022" s="2867"/>
      <c r="K1022" s="2867"/>
      <c r="L1022" s="2867"/>
      <c r="M1022" s="2867"/>
      <c r="O1022" s="2867"/>
      <c r="P1022" s="2867"/>
      <c r="Q1022" s="2867"/>
      <c r="R1022" s="2867"/>
      <c r="S1022" s="2867"/>
      <c r="T1022" s="2867"/>
      <c r="U1022" s="2867"/>
      <c r="V1022" s="2867"/>
      <c r="W1022" s="2867"/>
      <c r="X1022" s="2867"/>
      <c r="Y1022" s="2867"/>
      <c r="Z1022" s="2867"/>
      <c r="AA1022" s="2867"/>
      <c r="AB1022" s="2867"/>
      <c r="AC1022" s="2867"/>
      <c r="AD1022" s="2867"/>
      <c r="AE1022" s="2867"/>
      <c r="AF1022" s="2867"/>
      <c r="AG1022" s="2867"/>
      <c r="AH1022" s="2867"/>
      <c r="AI1022" s="2867"/>
      <c r="AJ1022" s="2867"/>
      <c r="AK1022" s="2867"/>
      <c r="AL1022" s="2867"/>
      <c r="AM1022" s="2867"/>
      <c r="AN1022" s="2867"/>
      <c r="AO1022" s="2867"/>
      <c r="AP1022" s="2867"/>
      <c r="AQ1022" s="2867"/>
      <c r="AR1022" s="2867"/>
      <c r="AS1022" s="2867"/>
      <c r="AT1022" s="2867"/>
      <c r="AU1022" s="2867"/>
      <c r="AV1022" s="2867"/>
      <c r="AW1022" s="2867"/>
      <c r="AX1022" s="2867"/>
      <c r="AY1022" s="2867"/>
      <c r="AZ1022" s="2867"/>
      <c r="BA1022" s="2867"/>
      <c r="BB1022" s="2867"/>
      <c r="BC1022" s="2867"/>
      <c r="BD1022" s="2867"/>
      <c r="BE1022" s="2867"/>
      <c r="BF1022" s="2867"/>
      <c r="BG1022" s="2867"/>
      <c r="BH1022" s="2867"/>
      <c r="BI1022" s="2867"/>
      <c r="BJ1022" s="2867"/>
      <c r="BK1022" s="2867"/>
      <c r="BL1022" s="2867"/>
      <c r="BM1022" s="2867"/>
      <c r="BN1022" s="2867"/>
      <c r="BO1022" s="2867"/>
      <c r="BP1022" s="2867"/>
      <c r="BQ1022" s="2867"/>
      <c r="BR1022" s="2867"/>
      <c r="BS1022" s="2867"/>
      <c r="BT1022" s="2867"/>
      <c r="BU1022" s="2867"/>
      <c r="BV1022" s="2867"/>
      <c r="BW1022" s="2867"/>
      <c r="BX1022" s="2867"/>
      <c r="BY1022" s="2867"/>
      <c r="BZ1022" s="2867"/>
      <c r="CA1022" s="2867"/>
      <c r="CB1022" s="2867"/>
      <c r="CC1022" s="2867"/>
      <c r="CD1022" s="2867"/>
      <c r="CE1022" s="2867"/>
      <c r="CF1022" s="2867"/>
      <c r="CG1022" s="2867"/>
      <c r="CH1022" s="2867"/>
      <c r="CI1022" s="2867"/>
      <c r="CJ1022" s="2867"/>
      <c r="CK1022" s="2867"/>
      <c r="CL1022" s="2867"/>
      <c r="CM1022" s="2867"/>
      <c r="CN1022" s="2867"/>
      <c r="CO1022" s="2867"/>
      <c r="CP1022" s="2867"/>
      <c r="CQ1022" s="2867"/>
      <c r="CR1022" s="2867"/>
      <c r="CS1022" s="2867"/>
      <c r="CT1022" s="2867"/>
      <c r="CU1022" s="2867"/>
      <c r="CV1022" s="2867"/>
      <c r="CW1022" s="2867"/>
    </row>
    <row r="1023" spans="1:101">
      <c r="A1023" s="2867"/>
      <c r="B1023" s="2867"/>
      <c r="C1023" s="2867"/>
      <c r="D1023" s="2867"/>
      <c r="E1023" s="2867"/>
      <c r="F1023" s="2867"/>
      <c r="G1023" s="2867"/>
      <c r="H1023" s="2867"/>
      <c r="I1023" s="2867"/>
      <c r="J1023" s="2867"/>
      <c r="K1023" s="2867"/>
      <c r="L1023" s="2867"/>
      <c r="M1023" s="2867"/>
      <c r="O1023" s="2867"/>
      <c r="P1023" s="2867"/>
      <c r="Q1023" s="2867"/>
      <c r="R1023" s="2867"/>
      <c r="S1023" s="2867"/>
      <c r="T1023" s="2867"/>
      <c r="U1023" s="2867"/>
      <c r="V1023" s="2867"/>
      <c r="W1023" s="2867"/>
      <c r="X1023" s="2867"/>
      <c r="Y1023" s="2867"/>
      <c r="Z1023" s="2867"/>
      <c r="AA1023" s="2867"/>
      <c r="AB1023" s="2867"/>
      <c r="AC1023" s="2867"/>
      <c r="AD1023" s="2867"/>
      <c r="AE1023" s="2867"/>
      <c r="AF1023" s="2867"/>
      <c r="AG1023" s="2867"/>
      <c r="AH1023" s="2867"/>
      <c r="AI1023" s="2867"/>
      <c r="AJ1023" s="2867"/>
      <c r="AK1023" s="2867"/>
      <c r="AL1023" s="2867"/>
      <c r="AM1023" s="2867"/>
      <c r="AN1023" s="2867"/>
      <c r="AO1023" s="2867"/>
      <c r="AP1023" s="2867"/>
      <c r="AQ1023" s="2867"/>
      <c r="AR1023" s="2867"/>
      <c r="AS1023" s="2867"/>
      <c r="AT1023" s="2867"/>
      <c r="AU1023" s="2867"/>
      <c r="AV1023" s="2867"/>
      <c r="AW1023" s="2867"/>
      <c r="AX1023" s="2867"/>
      <c r="AY1023" s="2867"/>
      <c r="AZ1023" s="2867"/>
      <c r="BA1023" s="2867"/>
      <c r="BB1023" s="2867"/>
      <c r="BC1023" s="2867"/>
      <c r="BD1023" s="2867"/>
      <c r="BE1023" s="2867"/>
      <c r="BF1023" s="2867"/>
      <c r="BG1023" s="2867"/>
      <c r="BH1023" s="2867"/>
      <c r="BI1023" s="2867"/>
      <c r="BJ1023" s="2867"/>
      <c r="BK1023" s="2867"/>
      <c r="BL1023" s="2867"/>
      <c r="BM1023" s="2867"/>
      <c r="BN1023" s="2867"/>
      <c r="BO1023" s="2867"/>
      <c r="BP1023" s="2867"/>
      <c r="BQ1023" s="2867"/>
      <c r="BR1023" s="2867"/>
      <c r="BS1023" s="2867"/>
      <c r="BT1023" s="2867"/>
      <c r="BU1023" s="2867"/>
      <c r="BV1023" s="2867"/>
      <c r="BW1023" s="2867"/>
      <c r="BX1023" s="2867"/>
      <c r="BY1023" s="2867"/>
      <c r="BZ1023" s="2867"/>
      <c r="CA1023" s="2867"/>
      <c r="CB1023" s="2867"/>
      <c r="CC1023" s="2867"/>
      <c r="CD1023" s="2867"/>
      <c r="CE1023" s="2867"/>
      <c r="CF1023" s="2867"/>
      <c r="CG1023" s="2867"/>
      <c r="CH1023" s="2867"/>
      <c r="CI1023" s="2867"/>
      <c r="CJ1023" s="2867"/>
      <c r="CK1023" s="2867"/>
      <c r="CL1023" s="2867"/>
      <c r="CM1023" s="2867"/>
      <c r="CN1023" s="2867"/>
      <c r="CO1023" s="2867"/>
      <c r="CP1023" s="2867"/>
      <c r="CQ1023" s="2867"/>
      <c r="CR1023" s="2867"/>
      <c r="CS1023" s="2867"/>
      <c r="CT1023" s="2867"/>
      <c r="CU1023" s="2867"/>
      <c r="CV1023" s="2867"/>
      <c r="CW1023" s="2867"/>
    </row>
    <row r="1024" spans="1:101">
      <c r="A1024" s="2867"/>
      <c r="B1024" s="2867"/>
      <c r="C1024" s="2867"/>
      <c r="D1024" s="2867"/>
      <c r="E1024" s="2867"/>
      <c r="F1024" s="2867"/>
      <c r="G1024" s="2867"/>
      <c r="H1024" s="2867"/>
      <c r="I1024" s="2867"/>
      <c r="J1024" s="2867"/>
      <c r="K1024" s="2867"/>
      <c r="L1024" s="2867"/>
      <c r="M1024" s="2867"/>
      <c r="O1024" s="2867"/>
      <c r="P1024" s="2867"/>
      <c r="Q1024" s="2867"/>
      <c r="R1024" s="2867"/>
      <c r="S1024" s="2867"/>
      <c r="T1024" s="2867"/>
      <c r="U1024" s="2867"/>
      <c r="V1024" s="2867"/>
      <c r="W1024" s="2867"/>
      <c r="X1024" s="2867"/>
      <c r="Y1024" s="2867"/>
      <c r="Z1024" s="2867"/>
      <c r="AA1024" s="2867"/>
      <c r="AB1024" s="2867"/>
      <c r="AC1024" s="2867"/>
      <c r="AD1024" s="2867"/>
      <c r="AE1024" s="2867"/>
      <c r="AF1024" s="2867"/>
      <c r="AG1024" s="2867"/>
      <c r="AH1024" s="2867"/>
      <c r="AI1024" s="2867"/>
      <c r="AJ1024" s="2867"/>
      <c r="AK1024" s="2867"/>
      <c r="AL1024" s="2867"/>
      <c r="AM1024" s="2867"/>
      <c r="AN1024" s="2867"/>
      <c r="AO1024" s="2867"/>
      <c r="AP1024" s="2867"/>
      <c r="AQ1024" s="2867"/>
      <c r="AR1024" s="2867"/>
      <c r="AS1024" s="2867"/>
      <c r="AT1024" s="2867"/>
      <c r="AU1024" s="2867"/>
      <c r="AV1024" s="2867"/>
      <c r="AW1024" s="2867"/>
      <c r="AX1024" s="2867"/>
      <c r="AY1024" s="2867"/>
      <c r="AZ1024" s="2867"/>
      <c r="BA1024" s="2867"/>
      <c r="BB1024" s="2867"/>
      <c r="BC1024" s="2867"/>
      <c r="BD1024" s="2867"/>
      <c r="BE1024" s="2867"/>
      <c r="BF1024" s="2867"/>
      <c r="BG1024" s="2867"/>
      <c r="BH1024" s="2867"/>
      <c r="BI1024" s="2867"/>
      <c r="BJ1024" s="2867"/>
      <c r="BK1024" s="2867"/>
      <c r="BL1024" s="2867"/>
      <c r="BM1024" s="2867"/>
      <c r="BN1024" s="2867"/>
      <c r="BO1024" s="2867"/>
      <c r="BP1024" s="2867"/>
      <c r="BQ1024" s="2867"/>
      <c r="BR1024" s="2867"/>
      <c r="BS1024" s="2867"/>
      <c r="BT1024" s="2867"/>
      <c r="BU1024" s="2867"/>
      <c r="BV1024" s="2867"/>
      <c r="BW1024" s="2867"/>
      <c r="BX1024" s="2867"/>
      <c r="BY1024" s="2867"/>
      <c r="BZ1024" s="2867"/>
      <c r="CA1024" s="2867"/>
      <c r="CB1024" s="2867"/>
      <c r="CC1024" s="2867"/>
      <c r="CD1024" s="2867"/>
      <c r="CE1024" s="2867"/>
      <c r="CF1024" s="2867"/>
      <c r="CG1024" s="2867"/>
      <c r="CH1024" s="2867"/>
      <c r="CI1024" s="2867"/>
      <c r="CJ1024" s="2867"/>
      <c r="CK1024" s="2867"/>
      <c r="CL1024" s="2867"/>
      <c r="CM1024" s="2867"/>
      <c r="CN1024" s="2867"/>
      <c r="CO1024" s="2867"/>
      <c r="CP1024" s="2867"/>
      <c r="CQ1024" s="2867"/>
      <c r="CR1024" s="2867"/>
      <c r="CS1024" s="2867"/>
      <c r="CT1024" s="2867"/>
      <c r="CU1024" s="2867"/>
      <c r="CV1024" s="2867"/>
      <c r="CW1024" s="2867"/>
    </row>
    <row r="1025" spans="1:101">
      <c r="A1025" s="2867"/>
      <c r="B1025" s="2867"/>
      <c r="C1025" s="2867"/>
      <c r="D1025" s="2867"/>
      <c r="E1025" s="2867"/>
      <c r="F1025" s="2867"/>
      <c r="G1025" s="2867"/>
      <c r="H1025" s="2867"/>
      <c r="I1025" s="2867"/>
      <c r="J1025" s="2867"/>
      <c r="K1025" s="2867"/>
      <c r="L1025" s="2867"/>
      <c r="M1025" s="2867"/>
      <c r="O1025" s="2867"/>
      <c r="P1025" s="2867"/>
      <c r="Q1025" s="2867"/>
      <c r="R1025" s="2867"/>
      <c r="S1025" s="2867"/>
      <c r="T1025" s="2867"/>
      <c r="U1025" s="2867"/>
      <c r="V1025" s="2867"/>
      <c r="W1025" s="2867"/>
      <c r="X1025" s="2867"/>
      <c r="Y1025" s="2867"/>
      <c r="Z1025" s="2867"/>
      <c r="AA1025" s="2867"/>
      <c r="AB1025" s="2867"/>
      <c r="AC1025" s="2867"/>
      <c r="AD1025" s="2867"/>
      <c r="AE1025" s="2867"/>
      <c r="AF1025" s="2867"/>
      <c r="AG1025" s="2867"/>
      <c r="AH1025" s="2867"/>
      <c r="AI1025" s="2867"/>
      <c r="AJ1025" s="2867"/>
      <c r="AK1025" s="2867"/>
      <c r="AL1025" s="2867"/>
      <c r="AM1025" s="2867"/>
      <c r="AN1025" s="2867"/>
      <c r="AO1025" s="2867"/>
      <c r="AP1025" s="2867"/>
      <c r="AQ1025" s="2867"/>
      <c r="AR1025" s="2867"/>
      <c r="AS1025" s="2867"/>
      <c r="AT1025" s="2867"/>
      <c r="AU1025" s="2867"/>
      <c r="AV1025" s="2867"/>
      <c r="AW1025" s="2867"/>
      <c r="AX1025" s="2867"/>
      <c r="AY1025" s="2867"/>
      <c r="AZ1025" s="2867"/>
      <c r="BA1025" s="2867"/>
      <c r="BB1025" s="2867"/>
      <c r="BC1025" s="2867"/>
      <c r="BD1025" s="2867"/>
      <c r="BE1025" s="2867"/>
      <c r="BF1025" s="2867"/>
      <c r="BG1025" s="2867"/>
      <c r="BH1025" s="2867"/>
      <c r="BI1025" s="2867"/>
      <c r="BJ1025" s="2867"/>
      <c r="BK1025" s="2867"/>
      <c r="BL1025" s="2867"/>
      <c r="BM1025" s="2867"/>
      <c r="BN1025" s="2867"/>
      <c r="BO1025" s="2867"/>
      <c r="BP1025" s="2867"/>
      <c r="BQ1025" s="2867"/>
      <c r="BR1025" s="2867"/>
      <c r="BS1025" s="2867"/>
      <c r="BT1025" s="2867"/>
      <c r="BU1025" s="2867"/>
      <c r="BV1025" s="2867"/>
      <c r="BW1025" s="2867"/>
      <c r="BX1025" s="2867"/>
      <c r="BY1025" s="2867"/>
      <c r="BZ1025" s="2867"/>
      <c r="CA1025" s="2867"/>
      <c r="CB1025" s="2867"/>
      <c r="CC1025" s="2867"/>
      <c r="CD1025" s="2867"/>
      <c r="CE1025" s="2867"/>
      <c r="CF1025" s="2867"/>
      <c r="CG1025" s="2867"/>
      <c r="CH1025" s="2867"/>
      <c r="CI1025" s="2867"/>
      <c r="CJ1025" s="2867"/>
      <c r="CK1025" s="2867"/>
      <c r="CL1025" s="2867"/>
      <c r="CM1025" s="2867"/>
      <c r="CN1025" s="2867"/>
      <c r="CO1025" s="2867"/>
      <c r="CP1025" s="2867"/>
      <c r="CQ1025" s="2867"/>
      <c r="CR1025" s="2867"/>
      <c r="CS1025" s="2867"/>
      <c r="CT1025" s="2867"/>
      <c r="CU1025" s="2867"/>
      <c r="CV1025" s="2867"/>
      <c r="CW1025" s="2867"/>
    </row>
    <row r="1026" spans="1:101">
      <c r="A1026" s="2867"/>
      <c r="B1026" s="2867"/>
      <c r="C1026" s="2867"/>
      <c r="D1026" s="2867"/>
      <c r="E1026" s="2867"/>
      <c r="F1026" s="2867"/>
      <c r="G1026" s="2867"/>
      <c r="H1026" s="2867"/>
      <c r="I1026" s="2867"/>
      <c r="J1026" s="2867"/>
      <c r="K1026" s="2867"/>
      <c r="L1026" s="2867"/>
      <c r="M1026" s="2867"/>
      <c r="O1026" s="2867"/>
      <c r="P1026" s="2867"/>
      <c r="Q1026" s="2867"/>
      <c r="R1026" s="2867"/>
      <c r="S1026" s="2867"/>
      <c r="T1026" s="2867"/>
      <c r="U1026" s="2867"/>
      <c r="V1026" s="2867"/>
      <c r="W1026" s="2867"/>
      <c r="X1026" s="2867"/>
      <c r="Y1026" s="2867"/>
      <c r="Z1026" s="2867"/>
      <c r="AA1026" s="2867"/>
      <c r="AB1026" s="2867"/>
      <c r="AC1026" s="2867"/>
      <c r="AD1026" s="2867"/>
      <c r="AE1026" s="2867"/>
      <c r="AF1026" s="2867"/>
      <c r="AG1026" s="2867"/>
      <c r="AH1026" s="2867"/>
      <c r="AI1026" s="2867"/>
      <c r="AJ1026" s="2867"/>
      <c r="AK1026" s="2867"/>
      <c r="AL1026" s="2867"/>
      <c r="AM1026" s="2867"/>
      <c r="AN1026" s="2867"/>
      <c r="AO1026" s="2867"/>
      <c r="AP1026" s="2867"/>
      <c r="AQ1026" s="2867"/>
      <c r="AR1026" s="2867"/>
      <c r="AS1026" s="2867"/>
      <c r="AT1026" s="2867"/>
      <c r="AU1026" s="2867"/>
      <c r="AV1026" s="2867"/>
      <c r="AW1026" s="2867"/>
      <c r="AX1026" s="2867"/>
      <c r="AY1026" s="2867"/>
      <c r="AZ1026" s="2867"/>
      <c r="BA1026" s="2867"/>
      <c r="BB1026" s="2867"/>
      <c r="BC1026" s="2867"/>
      <c r="BD1026" s="2867"/>
      <c r="BE1026" s="2867"/>
      <c r="BF1026" s="2867"/>
      <c r="BG1026" s="2867"/>
      <c r="BH1026" s="2867"/>
      <c r="BI1026" s="2867"/>
      <c r="BJ1026" s="2867"/>
      <c r="BK1026" s="2867"/>
      <c r="BL1026" s="2867"/>
      <c r="BM1026" s="2867"/>
      <c r="BN1026" s="2867"/>
      <c r="BO1026" s="2867"/>
      <c r="BP1026" s="2867"/>
      <c r="BQ1026" s="2867"/>
      <c r="BR1026" s="2867"/>
      <c r="BS1026" s="2867"/>
      <c r="BT1026" s="2867"/>
      <c r="BU1026" s="2867"/>
      <c r="BV1026" s="2867"/>
      <c r="BW1026" s="2867"/>
      <c r="BX1026" s="2867"/>
      <c r="BY1026" s="2867"/>
      <c r="BZ1026" s="2867"/>
      <c r="CA1026" s="2867"/>
      <c r="CB1026" s="2867"/>
      <c r="CC1026" s="2867"/>
      <c r="CD1026" s="2867"/>
      <c r="CE1026" s="2867"/>
      <c r="CF1026" s="2867"/>
      <c r="CG1026" s="2867"/>
      <c r="CH1026" s="2867"/>
      <c r="CI1026" s="2867"/>
      <c r="CJ1026" s="2867"/>
      <c r="CK1026" s="2867"/>
      <c r="CL1026" s="2867"/>
      <c r="CM1026" s="2867"/>
      <c r="CN1026" s="2867"/>
      <c r="CO1026" s="2867"/>
      <c r="CP1026" s="2867"/>
      <c r="CQ1026" s="2867"/>
      <c r="CR1026" s="2867"/>
      <c r="CS1026" s="2867"/>
      <c r="CT1026" s="2867"/>
      <c r="CU1026" s="2867"/>
      <c r="CV1026" s="2867"/>
      <c r="CW1026" s="2867"/>
    </row>
    <row r="1027" spans="1:101">
      <c r="A1027" s="2867"/>
      <c r="B1027" s="2867"/>
      <c r="C1027" s="2867"/>
      <c r="D1027" s="2867"/>
      <c r="E1027" s="2867"/>
      <c r="F1027" s="2867"/>
      <c r="G1027" s="2867"/>
      <c r="H1027" s="2867"/>
      <c r="I1027" s="2867"/>
      <c r="J1027" s="2867"/>
      <c r="K1027" s="2867"/>
      <c r="L1027" s="2867"/>
      <c r="M1027" s="2867"/>
      <c r="O1027" s="2867"/>
      <c r="P1027" s="2867"/>
      <c r="Q1027" s="2867"/>
      <c r="R1027" s="2867"/>
      <c r="S1027" s="2867"/>
      <c r="T1027" s="2867"/>
      <c r="U1027" s="2867"/>
      <c r="V1027" s="2867"/>
      <c r="W1027" s="2867"/>
      <c r="X1027" s="2867"/>
      <c r="Y1027" s="2867"/>
      <c r="Z1027" s="2867"/>
      <c r="AA1027" s="2867"/>
      <c r="AB1027" s="2867"/>
      <c r="AC1027" s="2867"/>
      <c r="AD1027" s="2867"/>
      <c r="AE1027" s="2867"/>
      <c r="AF1027" s="2867"/>
      <c r="AG1027" s="2867"/>
      <c r="AH1027" s="2867"/>
      <c r="AI1027" s="2867"/>
      <c r="AJ1027" s="2867"/>
      <c r="AK1027" s="2867"/>
      <c r="AL1027" s="2867"/>
      <c r="AM1027" s="2867"/>
      <c r="AN1027" s="2867"/>
      <c r="AO1027" s="2867"/>
      <c r="AP1027" s="2867"/>
      <c r="AQ1027" s="2867"/>
      <c r="AR1027" s="2867"/>
      <c r="AS1027" s="2867"/>
      <c r="AT1027" s="2867"/>
      <c r="AU1027" s="2867"/>
      <c r="AV1027" s="2867"/>
      <c r="AW1027" s="2867"/>
      <c r="AX1027" s="2867"/>
      <c r="AY1027" s="2867"/>
      <c r="AZ1027" s="2867"/>
      <c r="BA1027" s="2867"/>
      <c r="BB1027" s="2867"/>
      <c r="BC1027" s="2867"/>
      <c r="BD1027" s="2867"/>
      <c r="BE1027" s="2867"/>
      <c r="BF1027" s="2867"/>
      <c r="BG1027" s="2867"/>
      <c r="BH1027" s="2867"/>
      <c r="BI1027" s="2867"/>
      <c r="BJ1027" s="2867"/>
      <c r="BK1027" s="2867"/>
      <c r="BL1027" s="2867"/>
      <c r="BM1027" s="2867"/>
      <c r="BN1027" s="2867"/>
      <c r="BO1027" s="2867"/>
      <c r="BP1027" s="2867"/>
      <c r="BQ1027" s="2867"/>
      <c r="BR1027" s="2867"/>
      <c r="BS1027" s="2867"/>
      <c r="BT1027" s="2867"/>
      <c r="BU1027" s="2867"/>
      <c r="BV1027" s="2867"/>
      <c r="BW1027" s="2867"/>
      <c r="BX1027" s="2867"/>
      <c r="BY1027" s="2867"/>
      <c r="BZ1027" s="2867"/>
      <c r="CA1027" s="2867"/>
      <c r="CB1027" s="2867"/>
      <c r="CC1027" s="2867"/>
      <c r="CD1027" s="2867"/>
      <c r="CE1027" s="2867"/>
      <c r="CF1027" s="2867"/>
      <c r="CG1027" s="2867"/>
      <c r="CH1027" s="2867"/>
      <c r="CI1027" s="2867"/>
      <c r="CJ1027" s="2867"/>
      <c r="CK1027" s="2867"/>
      <c r="CL1027" s="2867"/>
      <c r="CM1027" s="2867"/>
      <c r="CN1027" s="2867"/>
      <c r="CO1027" s="2867"/>
      <c r="CP1027" s="2867"/>
      <c r="CQ1027" s="2867"/>
      <c r="CR1027" s="2867"/>
      <c r="CS1027" s="2867"/>
      <c r="CT1027" s="2867"/>
      <c r="CU1027" s="2867"/>
      <c r="CV1027" s="2867"/>
      <c r="CW1027" s="2867"/>
    </row>
    <row r="1028" spans="1:101">
      <c r="A1028" s="2867"/>
      <c r="B1028" s="2867"/>
      <c r="C1028" s="2867"/>
      <c r="D1028" s="2867"/>
      <c r="E1028" s="2867"/>
      <c r="F1028" s="2867"/>
      <c r="G1028" s="2867"/>
      <c r="H1028" s="2867"/>
      <c r="I1028" s="2867"/>
      <c r="J1028" s="2867"/>
      <c r="K1028" s="2867"/>
      <c r="L1028" s="2867"/>
      <c r="M1028" s="2867"/>
      <c r="O1028" s="2867"/>
      <c r="P1028" s="2867"/>
      <c r="Q1028" s="2867"/>
      <c r="R1028" s="2867"/>
      <c r="S1028" s="2867"/>
      <c r="T1028" s="2867"/>
      <c r="U1028" s="2867"/>
      <c r="V1028" s="2867"/>
      <c r="W1028" s="2867"/>
      <c r="X1028" s="2867"/>
      <c r="Y1028" s="2867"/>
      <c r="Z1028" s="2867"/>
      <c r="AA1028" s="2867"/>
      <c r="AB1028" s="2867"/>
      <c r="AC1028" s="2867"/>
      <c r="AD1028" s="2867"/>
      <c r="AE1028" s="2867"/>
      <c r="AF1028" s="2867"/>
      <c r="AG1028" s="2867"/>
      <c r="AH1028" s="2867"/>
      <c r="AI1028" s="2867"/>
      <c r="AJ1028" s="2867"/>
      <c r="AK1028" s="2867"/>
      <c r="AL1028" s="2867"/>
      <c r="AM1028" s="2867"/>
      <c r="AN1028" s="2867"/>
      <c r="AO1028" s="2867"/>
      <c r="AP1028" s="2867"/>
      <c r="AQ1028" s="2867"/>
      <c r="AR1028" s="2867"/>
      <c r="AS1028" s="2867"/>
      <c r="AT1028" s="2867"/>
      <c r="AU1028" s="2867"/>
      <c r="AV1028" s="2867"/>
      <c r="AW1028" s="2867"/>
      <c r="AX1028" s="2867"/>
      <c r="AY1028" s="2867"/>
      <c r="AZ1028" s="2867"/>
      <c r="BA1028" s="2867"/>
      <c r="BB1028" s="2867"/>
      <c r="BC1028" s="2867"/>
      <c r="BD1028" s="2867"/>
      <c r="BE1028" s="2867"/>
      <c r="BF1028" s="2867"/>
      <c r="BG1028" s="2867"/>
      <c r="BH1028" s="2867"/>
      <c r="BI1028" s="2867"/>
      <c r="BJ1028" s="2867"/>
      <c r="BK1028" s="2867"/>
      <c r="BL1028" s="2867"/>
      <c r="BM1028" s="2867"/>
      <c r="BN1028" s="2867"/>
      <c r="BO1028" s="2867"/>
      <c r="BP1028" s="2867"/>
      <c r="BQ1028" s="2867"/>
      <c r="BR1028" s="2867"/>
      <c r="BS1028" s="2867"/>
      <c r="BT1028" s="2867"/>
      <c r="BU1028" s="2867"/>
      <c r="BV1028" s="2867"/>
      <c r="BW1028" s="2867"/>
      <c r="BX1028" s="2867"/>
      <c r="BY1028" s="2867"/>
      <c r="BZ1028" s="2867"/>
      <c r="CA1028" s="2867"/>
      <c r="CB1028" s="2867"/>
      <c r="CC1028" s="2867"/>
      <c r="CD1028" s="2867"/>
      <c r="CE1028" s="2867"/>
      <c r="CF1028" s="2867"/>
      <c r="CG1028" s="2867"/>
      <c r="CH1028" s="2867"/>
      <c r="CI1028" s="2867"/>
      <c r="CJ1028" s="2867"/>
      <c r="CK1028" s="2867"/>
      <c r="CL1028" s="2867"/>
      <c r="CM1028" s="2867"/>
      <c r="CN1028" s="2867"/>
      <c r="CO1028" s="2867"/>
      <c r="CP1028" s="2867"/>
      <c r="CQ1028" s="2867"/>
      <c r="CR1028" s="2867"/>
      <c r="CS1028" s="2867"/>
      <c r="CT1028" s="2867"/>
      <c r="CU1028" s="2867"/>
      <c r="CV1028" s="2867"/>
      <c r="CW1028" s="2867"/>
    </row>
    <row r="1029" spans="1:101">
      <c r="A1029" s="2867"/>
      <c r="B1029" s="2867"/>
      <c r="C1029" s="2867"/>
      <c r="D1029" s="2867"/>
      <c r="E1029" s="2867"/>
      <c r="F1029" s="2867"/>
      <c r="G1029" s="2867"/>
      <c r="H1029" s="2867"/>
      <c r="I1029" s="2867"/>
      <c r="J1029" s="2867"/>
      <c r="K1029" s="2867"/>
      <c r="L1029" s="2867"/>
      <c r="M1029" s="2867"/>
      <c r="O1029" s="2867"/>
      <c r="P1029" s="2867"/>
      <c r="Q1029" s="2867"/>
      <c r="R1029" s="2867"/>
      <c r="S1029" s="2867"/>
      <c r="T1029" s="2867"/>
      <c r="U1029" s="2867"/>
      <c r="V1029" s="2867"/>
      <c r="W1029" s="2867"/>
      <c r="X1029" s="2867"/>
      <c r="Y1029" s="2867"/>
      <c r="Z1029" s="2867"/>
      <c r="AA1029" s="2867"/>
      <c r="AB1029" s="2867"/>
      <c r="AC1029" s="2867"/>
      <c r="AD1029" s="2867"/>
      <c r="AE1029" s="2867"/>
      <c r="AF1029" s="2867"/>
      <c r="AG1029" s="2867"/>
      <c r="AH1029" s="2867"/>
      <c r="AI1029" s="2867"/>
      <c r="AJ1029" s="2867"/>
      <c r="AK1029" s="2867"/>
      <c r="AL1029" s="2867"/>
      <c r="AM1029" s="2867"/>
      <c r="AN1029" s="2867"/>
      <c r="AO1029" s="2867"/>
      <c r="AP1029" s="2867"/>
      <c r="AQ1029" s="2867"/>
      <c r="AR1029" s="2867"/>
      <c r="AS1029" s="2867"/>
      <c r="AT1029" s="2867"/>
      <c r="AU1029" s="2867"/>
      <c r="AV1029" s="2867"/>
      <c r="AW1029" s="2867"/>
      <c r="AX1029" s="2867"/>
      <c r="AY1029" s="2867"/>
      <c r="AZ1029" s="2867"/>
      <c r="BA1029" s="2867"/>
      <c r="BB1029" s="2867"/>
      <c r="BC1029" s="2867"/>
      <c r="BD1029" s="2867"/>
      <c r="BE1029" s="2867"/>
      <c r="BF1029" s="2867"/>
      <c r="BG1029" s="2867"/>
      <c r="BH1029" s="2867"/>
      <c r="BI1029" s="2867"/>
      <c r="BJ1029" s="2867"/>
      <c r="BK1029" s="2867"/>
      <c r="BL1029" s="2867"/>
      <c r="BM1029" s="2867"/>
      <c r="BN1029" s="2867"/>
      <c r="BO1029" s="2867"/>
      <c r="BP1029" s="2867"/>
      <c r="BQ1029" s="2867"/>
      <c r="BR1029" s="2867"/>
      <c r="BS1029" s="2867"/>
      <c r="BT1029" s="2867"/>
      <c r="BU1029" s="2867"/>
      <c r="BV1029" s="2867"/>
      <c r="BW1029" s="2867"/>
      <c r="BX1029" s="2867"/>
      <c r="BY1029" s="2867"/>
      <c r="BZ1029" s="2867"/>
      <c r="CA1029" s="2867"/>
      <c r="CB1029" s="2867"/>
      <c r="CC1029" s="2867"/>
      <c r="CD1029" s="2867"/>
      <c r="CE1029" s="2867"/>
      <c r="CF1029" s="2867"/>
      <c r="CG1029" s="2867"/>
      <c r="CH1029" s="2867"/>
      <c r="CI1029" s="2867"/>
      <c r="CJ1029" s="2867"/>
      <c r="CK1029" s="2867"/>
      <c r="CL1029" s="2867"/>
      <c r="CM1029" s="2867"/>
      <c r="CN1029" s="2867"/>
      <c r="CO1029" s="2867"/>
      <c r="CP1029" s="2867"/>
      <c r="CQ1029" s="2867"/>
      <c r="CR1029" s="2867"/>
      <c r="CS1029" s="2867"/>
      <c r="CT1029" s="2867"/>
      <c r="CU1029" s="2867"/>
      <c r="CV1029" s="2867"/>
      <c r="CW1029" s="2867"/>
    </row>
    <row r="1030" spans="1:101">
      <c r="A1030" s="2867"/>
      <c r="B1030" s="2867"/>
      <c r="C1030" s="2867"/>
      <c r="D1030" s="2867"/>
      <c r="E1030" s="2867"/>
      <c r="F1030" s="2867"/>
      <c r="G1030" s="2867"/>
      <c r="H1030" s="2867"/>
      <c r="I1030" s="2867"/>
      <c r="J1030" s="2867"/>
      <c r="K1030" s="2867"/>
      <c r="L1030" s="2867"/>
      <c r="M1030" s="2867"/>
      <c r="O1030" s="2867"/>
      <c r="P1030" s="2867"/>
      <c r="Q1030" s="2867"/>
      <c r="R1030" s="2867"/>
      <c r="S1030" s="2867"/>
      <c r="T1030" s="2867"/>
      <c r="U1030" s="2867"/>
      <c r="V1030" s="2867"/>
      <c r="W1030" s="2867"/>
      <c r="X1030" s="2867"/>
      <c r="Y1030" s="2867"/>
      <c r="Z1030" s="2867"/>
      <c r="AA1030" s="2867"/>
      <c r="AB1030" s="2867"/>
      <c r="AC1030" s="2867"/>
      <c r="AD1030" s="2867"/>
      <c r="AE1030" s="2867"/>
      <c r="AF1030" s="2867"/>
      <c r="AG1030" s="2867"/>
      <c r="AH1030" s="2867"/>
      <c r="AI1030" s="2867"/>
      <c r="AJ1030" s="2867"/>
      <c r="AK1030" s="2867"/>
      <c r="AL1030" s="2867"/>
      <c r="AM1030" s="2867"/>
      <c r="AN1030" s="2867"/>
      <c r="AO1030" s="2867"/>
      <c r="AP1030" s="2867"/>
      <c r="AQ1030" s="2867"/>
      <c r="AR1030" s="2867"/>
      <c r="AS1030" s="2867"/>
      <c r="AT1030" s="2867"/>
      <c r="AU1030" s="2867"/>
      <c r="AV1030" s="2867"/>
      <c r="AW1030" s="2867"/>
      <c r="AX1030" s="2867"/>
      <c r="AY1030" s="2867"/>
      <c r="AZ1030" s="2867"/>
      <c r="BA1030" s="2867"/>
      <c r="BB1030" s="2867"/>
      <c r="BC1030" s="2867"/>
      <c r="BD1030" s="2867"/>
      <c r="BE1030" s="2867"/>
      <c r="BF1030" s="2867"/>
      <c r="BG1030" s="2867"/>
      <c r="BH1030" s="2867"/>
      <c r="BI1030" s="2867"/>
      <c r="BJ1030" s="2867"/>
      <c r="BK1030" s="2867"/>
      <c r="BL1030" s="2867"/>
      <c r="BM1030" s="2867"/>
      <c r="BN1030" s="2867"/>
      <c r="BO1030" s="2867"/>
      <c r="BP1030" s="2867"/>
      <c r="BQ1030" s="2867"/>
      <c r="BR1030" s="2867"/>
      <c r="BS1030" s="2867"/>
      <c r="BT1030" s="2867"/>
      <c r="BU1030" s="2867"/>
      <c r="BV1030" s="2867"/>
      <c r="BW1030" s="2867"/>
      <c r="BX1030" s="2867"/>
      <c r="BY1030" s="2867"/>
      <c r="BZ1030" s="2867"/>
      <c r="CA1030" s="2867"/>
      <c r="CB1030" s="2867"/>
      <c r="CC1030" s="2867"/>
      <c r="CD1030" s="2867"/>
      <c r="CE1030" s="2867"/>
      <c r="CF1030" s="2867"/>
      <c r="CG1030" s="2867"/>
      <c r="CH1030" s="2867"/>
      <c r="CI1030" s="2867"/>
      <c r="CJ1030" s="2867"/>
      <c r="CK1030" s="2867"/>
      <c r="CL1030" s="2867"/>
      <c r="CM1030" s="2867"/>
      <c r="CN1030" s="2867"/>
      <c r="CO1030" s="2867"/>
      <c r="CP1030" s="2867"/>
      <c r="CQ1030" s="2867"/>
      <c r="CR1030" s="2867"/>
      <c r="CS1030" s="2867"/>
      <c r="CT1030" s="2867"/>
      <c r="CU1030" s="2867"/>
      <c r="CV1030" s="2867"/>
      <c r="CW1030" s="2867"/>
    </row>
    <row r="1031" spans="1:101">
      <c r="A1031" s="2867"/>
      <c r="B1031" s="2867"/>
      <c r="C1031" s="2867"/>
      <c r="D1031" s="2867"/>
      <c r="E1031" s="2867"/>
      <c r="F1031" s="2867"/>
      <c r="G1031" s="2867"/>
      <c r="H1031" s="2867"/>
      <c r="I1031" s="2867"/>
      <c r="J1031" s="2867"/>
      <c r="K1031" s="2867"/>
      <c r="L1031" s="2867"/>
      <c r="M1031" s="2867"/>
      <c r="O1031" s="2867"/>
      <c r="P1031" s="2867"/>
      <c r="Q1031" s="2867"/>
      <c r="R1031" s="2867"/>
      <c r="S1031" s="2867"/>
      <c r="T1031" s="2867"/>
      <c r="U1031" s="2867"/>
      <c r="V1031" s="2867"/>
      <c r="W1031" s="2867"/>
      <c r="X1031" s="2867"/>
      <c r="Y1031" s="2867"/>
      <c r="Z1031" s="2867"/>
      <c r="AA1031" s="2867"/>
      <c r="AB1031" s="2867"/>
      <c r="AC1031" s="2867"/>
      <c r="AD1031" s="2867"/>
      <c r="AE1031" s="2867"/>
      <c r="AF1031" s="2867"/>
      <c r="AG1031" s="2867"/>
      <c r="AH1031" s="2867"/>
      <c r="AI1031" s="2867"/>
      <c r="AJ1031" s="2867"/>
      <c r="AK1031" s="2867"/>
      <c r="AL1031" s="2867"/>
      <c r="AM1031" s="2867"/>
      <c r="AN1031" s="2867"/>
      <c r="AO1031" s="2867"/>
      <c r="AP1031" s="2867"/>
      <c r="AQ1031" s="2867"/>
      <c r="AR1031" s="2867"/>
      <c r="AS1031" s="2867"/>
      <c r="AT1031" s="2867"/>
      <c r="AU1031" s="2867"/>
      <c r="AV1031" s="2867"/>
      <c r="AW1031" s="2867"/>
      <c r="AX1031" s="2867"/>
      <c r="AY1031" s="2867"/>
      <c r="AZ1031" s="2867"/>
      <c r="BA1031" s="2867"/>
      <c r="BB1031" s="2867"/>
      <c r="BC1031" s="2867"/>
      <c r="BD1031" s="2867"/>
      <c r="BE1031" s="2867"/>
      <c r="BF1031" s="2867"/>
      <c r="BG1031" s="2867"/>
      <c r="BH1031" s="2867"/>
      <c r="BI1031" s="2867"/>
      <c r="BJ1031" s="2867"/>
      <c r="BK1031" s="2867"/>
      <c r="BL1031" s="2867"/>
      <c r="BM1031" s="2867"/>
      <c r="BN1031" s="2867"/>
      <c r="BO1031" s="2867"/>
      <c r="BP1031" s="2867"/>
      <c r="BQ1031" s="2867"/>
      <c r="BR1031" s="2867"/>
      <c r="BS1031" s="2867"/>
      <c r="BT1031" s="2867"/>
      <c r="BU1031" s="2867"/>
      <c r="BV1031" s="2867"/>
      <c r="BW1031" s="2867"/>
      <c r="BX1031" s="2867"/>
      <c r="BY1031" s="2867"/>
      <c r="BZ1031" s="2867"/>
      <c r="CA1031" s="2867"/>
      <c r="CB1031" s="2867"/>
      <c r="CC1031" s="2867"/>
      <c r="CD1031" s="2867"/>
      <c r="CE1031" s="2867"/>
      <c r="CF1031" s="2867"/>
      <c r="CG1031" s="2867"/>
      <c r="CH1031" s="2867"/>
      <c r="CI1031" s="2867"/>
      <c r="CJ1031" s="2867"/>
      <c r="CK1031" s="2867"/>
      <c r="CL1031" s="2867"/>
      <c r="CM1031" s="2867"/>
      <c r="CN1031" s="2867"/>
      <c r="CO1031" s="2867"/>
      <c r="CP1031" s="2867"/>
      <c r="CQ1031" s="2867"/>
      <c r="CR1031" s="2867"/>
      <c r="CS1031" s="2867"/>
      <c r="CT1031" s="2867"/>
      <c r="CU1031" s="2867"/>
      <c r="CV1031" s="2867"/>
      <c r="CW1031" s="2867"/>
    </row>
    <row r="1032" spans="1:101">
      <c r="A1032" s="2867"/>
      <c r="B1032" s="2867"/>
      <c r="C1032" s="2867"/>
      <c r="D1032" s="2867"/>
      <c r="E1032" s="2867"/>
      <c r="F1032" s="2867"/>
      <c r="G1032" s="2867"/>
      <c r="H1032" s="2867"/>
      <c r="I1032" s="2867"/>
      <c r="J1032" s="2867"/>
      <c r="K1032" s="2867"/>
      <c r="L1032" s="2867"/>
      <c r="M1032" s="2867"/>
      <c r="O1032" s="2867"/>
      <c r="P1032" s="2867"/>
      <c r="Q1032" s="2867"/>
      <c r="R1032" s="2867"/>
      <c r="S1032" s="2867"/>
      <c r="T1032" s="2867"/>
      <c r="U1032" s="2867"/>
      <c r="V1032" s="2867"/>
      <c r="W1032" s="2867"/>
      <c r="X1032" s="2867"/>
      <c r="Y1032" s="2867"/>
      <c r="Z1032" s="2867"/>
      <c r="AA1032" s="2867"/>
      <c r="AB1032" s="2867"/>
      <c r="AC1032" s="2867"/>
      <c r="AD1032" s="2867"/>
      <c r="AE1032" s="2867"/>
      <c r="AF1032" s="2867"/>
      <c r="AG1032" s="2867"/>
      <c r="AH1032" s="2867"/>
      <c r="AI1032" s="2867"/>
      <c r="AJ1032" s="2867"/>
      <c r="AK1032" s="2867"/>
      <c r="AL1032" s="2867"/>
      <c r="AM1032" s="2867"/>
      <c r="AN1032" s="2867"/>
      <c r="AO1032" s="2867"/>
      <c r="AP1032" s="2867"/>
      <c r="AQ1032" s="2867"/>
      <c r="AR1032" s="2867"/>
      <c r="AS1032" s="2867"/>
      <c r="AT1032" s="2867"/>
      <c r="AU1032" s="2867"/>
      <c r="AV1032" s="2867"/>
      <c r="AW1032" s="2867"/>
      <c r="AX1032" s="2867"/>
      <c r="AY1032" s="2867"/>
      <c r="AZ1032" s="2867"/>
      <c r="BA1032" s="2867"/>
      <c r="BB1032" s="2867"/>
      <c r="BC1032" s="2867"/>
      <c r="BD1032" s="2867"/>
      <c r="BE1032" s="2867"/>
      <c r="BF1032" s="2867"/>
      <c r="BG1032" s="2867"/>
      <c r="BH1032" s="2867"/>
      <c r="BI1032" s="2867"/>
      <c r="BJ1032" s="2867"/>
      <c r="BK1032" s="2867"/>
      <c r="BL1032" s="2867"/>
      <c r="BM1032" s="2867"/>
      <c r="BN1032" s="2867"/>
      <c r="BO1032" s="2867"/>
      <c r="BP1032" s="2867"/>
      <c r="BQ1032" s="2867"/>
      <c r="BR1032" s="2867"/>
      <c r="BS1032" s="2867"/>
      <c r="BT1032" s="2867"/>
      <c r="BU1032" s="2867"/>
      <c r="BV1032" s="2867"/>
      <c r="BW1032" s="2867"/>
      <c r="BX1032" s="2867"/>
      <c r="BY1032" s="2867"/>
      <c r="BZ1032" s="2867"/>
      <c r="CA1032" s="2867"/>
      <c r="CB1032" s="2867"/>
      <c r="CC1032" s="2867"/>
      <c r="CD1032" s="2867"/>
      <c r="CE1032" s="2867"/>
      <c r="CF1032" s="2867"/>
      <c r="CG1032" s="2867"/>
      <c r="CH1032" s="2867"/>
      <c r="CI1032" s="2867"/>
      <c r="CJ1032" s="2867"/>
      <c r="CK1032" s="2867"/>
      <c r="CL1032" s="2867"/>
      <c r="CM1032" s="2867"/>
      <c r="CN1032" s="2867"/>
      <c r="CO1032" s="2867"/>
      <c r="CP1032" s="2867"/>
      <c r="CQ1032" s="2867"/>
      <c r="CR1032" s="2867"/>
      <c r="CS1032" s="2867"/>
      <c r="CT1032" s="2867"/>
      <c r="CU1032" s="2867"/>
      <c r="CV1032" s="2867"/>
      <c r="CW1032" s="2867"/>
    </row>
    <row r="1033" spans="1:101">
      <c r="A1033" s="2867"/>
      <c r="B1033" s="2867"/>
      <c r="C1033" s="2867"/>
      <c r="D1033" s="2867"/>
      <c r="E1033" s="2867"/>
      <c r="F1033" s="2867"/>
      <c r="G1033" s="2867"/>
      <c r="H1033" s="2867"/>
      <c r="I1033" s="2867"/>
      <c r="J1033" s="2867"/>
      <c r="K1033" s="2867"/>
      <c r="L1033" s="2867"/>
      <c r="M1033" s="2867"/>
      <c r="O1033" s="2867"/>
      <c r="P1033" s="2867"/>
      <c r="Q1033" s="2867"/>
      <c r="R1033" s="2867"/>
      <c r="S1033" s="2867"/>
      <c r="T1033" s="2867"/>
      <c r="U1033" s="2867"/>
      <c r="V1033" s="2867"/>
      <c r="W1033" s="2867"/>
      <c r="X1033" s="2867"/>
      <c r="Y1033" s="2867"/>
      <c r="Z1033" s="2867"/>
      <c r="AA1033" s="2867"/>
      <c r="AB1033" s="2867"/>
      <c r="AC1033" s="2867"/>
      <c r="AD1033" s="2867"/>
      <c r="AE1033" s="2867"/>
      <c r="AF1033" s="2867"/>
      <c r="AG1033" s="2867"/>
      <c r="AH1033" s="2867"/>
      <c r="AI1033" s="2867"/>
      <c r="AJ1033" s="2867"/>
      <c r="AK1033" s="2867"/>
      <c r="AL1033" s="2867"/>
      <c r="AM1033" s="2867"/>
      <c r="AN1033" s="2867"/>
      <c r="AO1033" s="2867"/>
      <c r="AP1033" s="2867"/>
      <c r="AQ1033" s="2867"/>
      <c r="AR1033" s="2867"/>
      <c r="AS1033" s="2867"/>
      <c r="AT1033" s="2867"/>
      <c r="AU1033" s="2867"/>
      <c r="AV1033" s="2867"/>
      <c r="AW1033" s="2867"/>
      <c r="AX1033" s="2867"/>
      <c r="AY1033" s="2867"/>
      <c r="AZ1033" s="2867"/>
      <c r="BA1033" s="2867"/>
      <c r="BB1033" s="2867"/>
      <c r="BC1033" s="2867"/>
      <c r="BD1033" s="2867"/>
      <c r="BE1033" s="2867"/>
      <c r="BF1033" s="2867"/>
      <c r="BG1033" s="2867"/>
      <c r="BH1033" s="2867"/>
      <c r="BI1033" s="2867"/>
      <c r="BJ1033" s="2867"/>
      <c r="BK1033" s="2867"/>
      <c r="BL1033" s="2867"/>
      <c r="BM1033" s="2867"/>
      <c r="BN1033" s="2867"/>
      <c r="BO1033" s="2867"/>
      <c r="BP1033" s="2867"/>
      <c r="BQ1033" s="2867"/>
      <c r="BR1033" s="2867"/>
      <c r="BS1033" s="2867"/>
      <c r="BT1033" s="2867"/>
      <c r="BU1033" s="2867"/>
      <c r="BV1033" s="2867"/>
      <c r="BW1033" s="2867"/>
      <c r="BX1033" s="2867"/>
      <c r="BY1033" s="2867"/>
      <c r="BZ1033" s="2867"/>
      <c r="CA1033" s="2867"/>
      <c r="CB1033" s="2867"/>
      <c r="CC1033" s="2867"/>
      <c r="CD1033" s="2867"/>
      <c r="CE1033" s="2867"/>
      <c r="CF1033" s="2867"/>
      <c r="CG1033" s="2867"/>
      <c r="CH1033" s="2867"/>
      <c r="CI1033" s="2867"/>
      <c r="CJ1033" s="2867"/>
      <c r="CK1033" s="2867"/>
      <c r="CL1033" s="2867"/>
      <c r="CM1033" s="2867"/>
      <c r="CN1033" s="2867"/>
      <c r="CO1033" s="2867"/>
      <c r="CP1033" s="2867"/>
      <c r="CQ1033" s="2867"/>
      <c r="CR1033" s="2867"/>
      <c r="CS1033" s="2867"/>
      <c r="CT1033" s="2867"/>
      <c r="CU1033" s="2867"/>
      <c r="CV1033" s="2867"/>
      <c r="CW1033" s="2867"/>
    </row>
    <row r="1034" spans="1:101">
      <c r="A1034" s="2867"/>
      <c r="B1034" s="2867"/>
      <c r="C1034" s="2867"/>
      <c r="D1034" s="2867"/>
      <c r="E1034" s="2867"/>
      <c r="F1034" s="2867"/>
      <c r="G1034" s="2867"/>
      <c r="H1034" s="2867"/>
      <c r="I1034" s="2867"/>
      <c r="J1034" s="2867"/>
      <c r="K1034" s="2867"/>
      <c r="L1034" s="2867"/>
      <c r="M1034" s="2867"/>
      <c r="O1034" s="2867"/>
      <c r="P1034" s="2867"/>
      <c r="Q1034" s="2867"/>
      <c r="R1034" s="2867"/>
      <c r="S1034" s="2867"/>
      <c r="T1034" s="2867"/>
      <c r="U1034" s="2867"/>
      <c r="V1034" s="2867"/>
      <c r="W1034" s="2867"/>
      <c r="X1034" s="2867"/>
      <c r="Y1034" s="2867"/>
      <c r="Z1034" s="2867"/>
      <c r="AA1034" s="2867"/>
      <c r="AB1034" s="2867"/>
      <c r="AC1034" s="2867"/>
      <c r="AD1034" s="2867"/>
      <c r="AE1034" s="2867"/>
      <c r="AF1034" s="2867"/>
      <c r="AG1034" s="2867"/>
      <c r="AH1034" s="2867"/>
      <c r="AI1034" s="2867"/>
      <c r="AJ1034" s="2867"/>
      <c r="AK1034" s="2867"/>
      <c r="AL1034" s="2867"/>
      <c r="AM1034" s="2867"/>
      <c r="AN1034" s="2867"/>
      <c r="AO1034" s="2867"/>
      <c r="AP1034" s="2867"/>
      <c r="AQ1034" s="2867"/>
      <c r="AR1034" s="2867"/>
      <c r="AS1034" s="2867"/>
      <c r="AT1034" s="2867"/>
      <c r="AU1034" s="2867"/>
      <c r="AV1034" s="2867"/>
      <c r="AW1034" s="2867"/>
      <c r="AX1034" s="2867"/>
      <c r="AY1034" s="2867"/>
      <c r="AZ1034" s="2867"/>
      <c r="BA1034" s="2867"/>
      <c r="BB1034" s="2867"/>
      <c r="BC1034" s="2867"/>
      <c r="BD1034" s="2867"/>
      <c r="BE1034" s="2867"/>
      <c r="BF1034" s="2867"/>
      <c r="BG1034" s="2867"/>
      <c r="BH1034" s="2867"/>
      <c r="BI1034" s="2867"/>
      <c r="BJ1034" s="2867"/>
      <c r="BK1034" s="2867"/>
      <c r="BL1034" s="2867"/>
      <c r="BM1034" s="2867"/>
      <c r="BN1034" s="2867"/>
      <c r="BO1034" s="2867"/>
      <c r="BP1034" s="2867"/>
      <c r="BQ1034" s="2867"/>
      <c r="BR1034" s="2867"/>
      <c r="BS1034" s="2867"/>
      <c r="BT1034" s="2867"/>
      <c r="BU1034" s="2867"/>
      <c r="BV1034" s="2867"/>
      <c r="BW1034" s="2867"/>
      <c r="BX1034" s="2867"/>
      <c r="BY1034" s="2867"/>
      <c r="BZ1034" s="2867"/>
      <c r="CA1034" s="2867"/>
      <c r="CB1034" s="2867"/>
      <c r="CC1034" s="2867"/>
      <c r="CD1034" s="2867"/>
      <c r="CE1034" s="2867"/>
      <c r="CF1034" s="2867"/>
      <c r="CG1034" s="2867"/>
      <c r="CH1034" s="2867"/>
      <c r="CI1034" s="2867"/>
      <c r="CJ1034" s="2867"/>
      <c r="CK1034" s="2867"/>
      <c r="CL1034" s="2867"/>
      <c r="CM1034" s="2867"/>
      <c r="CN1034" s="2867"/>
      <c r="CO1034" s="2867"/>
      <c r="CP1034" s="2867"/>
      <c r="CQ1034" s="2867"/>
      <c r="CR1034" s="2867"/>
      <c r="CS1034" s="2867"/>
      <c r="CT1034" s="2867"/>
      <c r="CU1034" s="2867"/>
      <c r="CV1034" s="2867"/>
      <c r="CW1034" s="2867"/>
    </row>
    <row r="1035" spans="1:101">
      <c r="A1035" s="2867"/>
      <c r="B1035" s="2867"/>
      <c r="C1035" s="2867"/>
      <c r="D1035" s="2867"/>
      <c r="E1035" s="2867"/>
      <c r="F1035" s="2867"/>
      <c r="G1035" s="2867"/>
      <c r="H1035" s="2867"/>
      <c r="I1035" s="2867"/>
      <c r="J1035" s="2867"/>
      <c r="K1035" s="2867"/>
      <c r="L1035" s="2867"/>
      <c r="M1035" s="2867"/>
      <c r="O1035" s="2867"/>
      <c r="P1035" s="2867"/>
      <c r="Q1035" s="2867"/>
      <c r="R1035" s="2867"/>
      <c r="S1035" s="2867"/>
      <c r="T1035" s="2867"/>
      <c r="U1035" s="2867"/>
      <c r="V1035" s="2867"/>
      <c r="W1035" s="2867"/>
      <c r="X1035" s="2867"/>
      <c r="Y1035" s="2867"/>
      <c r="Z1035" s="2867"/>
      <c r="AA1035" s="2867"/>
      <c r="AB1035" s="2867"/>
      <c r="AC1035" s="2867"/>
      <c r="AD1035" s="2867"/>
      <c r="AE1035" s="2867"/>
      <c r="AF1035" s="2867"/>
      <c r="AG1035" s="2867"/>
      <c r="AH1035" s="2867"/>
      <c r="AI1035" s="2867"/>
      <c r="AJ1035" s="2867"/>
      <c r="AK1035" s="2867"/>
      <c r="AL1035" s="2867"/>
      <c r="AM1035" s="2867"/>
      <c r="AN1035" s="2867"/>
      <c r="AO1035" s="2867"/>
      <c r="AP1035" s="2867"/>
      <c r="AQ1035" s="2867"/>
      <c r="AR1035" s="2867"/>
      <c r="AS1035" s="2867"/>
      <c r="AT1035" s="2867"/>
      <c r="AU1035" s="2867"/>
      <c r="AV1035" s="2867"/>
      <c r="AW1035" s="2867"/>
      <c r="AX1035" s="2867"/>
      <c r="AY1035" s="2867"/>
      <c r="AZ1035" s="2867"/>
      <c r="BA1035" s="2867"/>
      <c r="BB1035" s="2867"/>
      <c r="BC1035" s="2867"/>
      <c r="BD1035" s="2867"/>
      <c r="BE1035" s="2867"/>
      <c r="BF1035" s="2867"/>
      <c r="BG1035" s="2867"/>
      <c r="BH1035" s="2867"/>
      <c r="BI1035" s="2867"/>
      <c r="BJ1035" s="2867"/>
      <c r="BK1035" s="2867"/>
      <c r="BL1035" s="2867"/>
      <c r="BM1035" s="2867"/>
      <c r="BN1035" s="2867"/>
      <c r="BO1035" s="2867"/>
      <c r="BP1035" s="2867"/>
      <c r="BQ1035" s="2867"/>
      <c r="BR1035" s="2867"/>
      <c r="BS1035" s="2867"/>
      <c r="BT1035" s="2867"/>
      <c r="BU1035" s="2867"/>
      <c r="BV1035" s="2867"/>
      <c r="BW1035" s="2867"/>
      <c r="BX1035" s="2867"/>
      <c r="BY1035" s="2867"/>
      <c r="BZ1035" s="2867"/>
      <c r="CA1035" s="2867"/>
      <c r="CB1035" s="2867"/>
      <c r="CC1035" s="2867"/>
      <c r="CD1035" s="2867"/>
      <c r="CE1035" s="2867"/>
      <c r="CF1035" s="2867"/>
      <c r="CG1035" s="2867"/>
      <c r="CH1035" s="2867"/>
      <c r="CI1035" s="2867"/>
      <c r="CJ1035" s="2867"/>
      <c r="CK1035" s="2867"/>
      <c r="CL1035" s="2867"/>
      <c r="CM1035" s="2867"/>
      <c r="CN1035" s="2867"/>
      <c r="CO1035" s="2867"/>
      <c r="CP1035" s="2867"/>
      <c r="CQ1035" s="2867"/>
      <c r="CR1035" s="2867"/>
      <c r="CS1035" s="2867"/>
      <c r="CT1035" s="2867"/>
      <c r="CU1035" s="2867"/>
      <c r="CV1035" s="2867"/>
      <c r="CW1035" s="2867"/>
    </row>
    <row r="1036" spans="1:101">
      <c r="A1036" s="2867"/>
      <c r="B1036" s="2867"/>
      <c r="C1036" s="2867"/>
      <c r="D1036" s="2867"/>
      <c r="E1036" s="2867"/>
      <c r="F1036" s="2867"/>
      <c r="G1036" s="2867"/>
      <c r="H1036" s="2867"/>
      <c r="I1036" s="2867"/>
      <c r="J1036" s="2867"/>
      <c r="K1036" s="2867"/>
      <c r="L1036" s="2867"/>
      <c r="M1036" s="2867"/>
      <c r="O1036" s="2867"/>
      <c r="P1036" s="2867"/>
      <c r="Q1036" s="2867"/>
      <c r="R1036" s="2867"/>
      <c r="S1036" s="2867"/>
      <c r="T1036" s="2867"/>
      <c r="U1036" s="2867"/>
      <c r="V1036" s="2867"/>
      <c r="W1036" s="2867"/>
      <c r="X1036" s="2867"/>
      <c r="Y1036" s="2867"/>
      <c r="Z1036" s="2867"/>
      <c r="AA1036" s="2867"/>
      <c r="AB1036" s="2867"/>
      <c r="AC1036" s="2867"/>
      <c r="AD1036" s="2867"/>
      <c r="AE1036" s="2867"/>
      <c r="AF1036" s="2867"/>
      <c r="AG1036" s="2867"/>
      <c r="AH1036" s="2867"/>
      <c r="AI1036" s="2867"/>
      <c r="AJ1036" s="2867"/>
      <c r="AK1036" s="2867"/>
      <c r="AL1036" s="2867"/>
      <c r="AM1036" s="2867"/>
      <c r="AN1036" s="2867"/>
      <c r="AO1036" s="2867"/>
      <c r="AP1036" s="2867"/>
      <c r="AQ1036" s="2867"/>
      <c r="AR1036" s="2867"/>
      <c r="AS1036" s="2867"/>
      <c r="AT1036" s="2867"/>
      <c r="AU1036" s="2867"/>
      <c r="AV1036" s="2867"/>
      <c r="AW1036" s="2867"/>
      <c r="AX1036" s="2867"/>
      <c r="AY1036" s="2867"/>
      <c r="AZ1036" s="2867"/>
      <c r="BA1036" s="2867"/>
      <c r="BB1036" s="2867"/>
      <c r="BC1036" s="2867"/>
      <c r="BD1036" s="2867"/>
      <c r="BE1036" s="2867"/>
      <c r="BF1036" s="2867"/>
      <c r="BG1036" s="2867"/>
      <c r="BH1036" s="2867"/>
      <c r="BI1036" s="2867"/>
      <c r="BJ1036" s="2867"/>
      <c r="BK1036" s="2867"/>
      <c r="BL1036" s="2867"/>
      <c r="BM1036" s="2867"/>
      <c r="BN1036" s="2867"/>
      <c r="BO1036" s="2867"/>
      <c r="BP1036" s="2867"/>
      <c r="BQ1036" s="2867"/>
      <c r="BR1036" s="2867"/>
      <c r="BS1036" s="2867"/>
      <c r="BT1036" s="2867"/>
      <c r="BU1036" s="2867"/>
      <c r="BV1036" s="2867"/>
      <c r="BW1036" s="2867"/>
      <c r="BX1036" s="2867"/>
      <c r="BY1036" s="2867"/>
      <c r="BZ1036" s="2867"/>
      <c r="CA1036" s="2867"/>
      <c r="CB1036" s="2867"/>
      <c r="CC1036" s="2867"/>
      <c r="CD1036" s="2867"/>
      <c r="CE1036" s="2867"/>
      <c r="CF1036" s="2867"/>
      <c r="CG1036" s="2867"/>
      <c r="CH1036" s="2867"/>
      <c r="CI1036" s="2867"/>
      <c r="CJ1036" s="2867"/>
      <c r="CK1036" s="2867"/>
      <c r="CL1036" s="2867"/>
      <c r="CM1036" s="2867"/>
      <c r="CN1036" s="2867"/>
      <c r="CO1036" s="2867"/>
      <c r="CP1036" s="2867"/>
      <c r="CQ1036" s="2867"/>
      <c r="CR1036" s="2867"/>
      <c r="CS1036" s="2867"/>
      <c r="CT1036" s="2867"/>
      <c r="CU1036" s="2867"/>
      <c r="CV1036" s="2867"/>
      <c r="CW1036" s="2867"/>
    </row>
    <row r="1037" spans="1:101">
      <c r="A1037" s="2867"/>
      <c r="B1037" s="2867"/>
      <c r="C1037" s="2867"/>
      <c r="D1037" s="2867"/>
      <c r="E1037" s="2867"/>
      <c r="F1037" s="2867"/>
      <c r="G1037" s="2867"/>
      <c r="H1037" s="2867"/>
      <c r="I1037" s="2867"/>
      <c r="J1037" s="2867"/>
      <c r="K1037" s="2867"/>
      <c r="L1037" s="2867"/>
      <c r="M1037" s="2867"/>
      <c r="O1037" s="2867"/>
      <c r="P1037" s="2867"/>
      <c r="Q1037" s="2867"/>
      <c r="R1037" s="2867"/>
      <c r="S1037" s="2867"/>
      <c r="T1037" s="2867"/>
      <c r="U1037" s="2867"/>
      <c r="V1037" s="2867"/>
      <c r="W1037" s="2867"/>
      <c r="X1037" s="2867"/>
      <c r="Y1037" s="2867"/>
      <c r="Z1037" s="2867"/>
      <c r="AA1037" s="2867"/>
      <c r="AB1037" s="2867"/>
      <c r="AC1037" s="2867"/>
      <c r="AD1037" s="2867"/>
      <c r="AE1037" s="2867"/>
      <c r="AF1037" s="2867"/>
      <c r="AG1037" s="2867"/>
      <c r="AH1037" s="2867"/>
      <c r="AI1037" s="2867"/>
      <c r="AJ1037" s="2867"/>
      <c r="AK1037" s="2867"/>
      <c r="AL1037" s="2867"/>
      <c r="AM1037" s="2867"/>
      <c r="AN1037" s="2867"/>
      <c r="AO1037" s="2867"/>
      <c r="AP1037" s="2867"/>
      <c r="AQ1037" s="2867"/>
      <c r="AR1037" s="2867"/>
      <c r="AS1037" s="2867"/>
      <c r="AT1037" s="2867"/>
      <c r="AU1037" s="2867"/>
      <c r="AV1037" s="2867"/>
      <c r="AW1037" s="2867"/>
      <c r="AX1037" s="2867"/>
      <c r="AY1037" s="2867"/>
      <c r="AZ1037" s="2867"/>
      <c r="BA1037" s="2867"/>
      <c r="BB1037" s="2867"/>
      <c r="BC1037" s="2867"/>
      <c r="BD1037" s="2867"/>
      <c r="BE1037" s="2867"/>
      <c r="BF1037" s="2867"/>
      <c r="BG1037" s="2867"/>
      <c r="BH1037" s="2867"/>
      <c r="BI1037" s="2867"/>
      <c r="BJ1037" s="2867"/>
      <c r="BK1037" s="2867"/>
      <c r="BL1037" s="2867"/>
      <c r="BM1037" s="2867"/>
      <c r="BN1037" s="2867"/>
      <c r="BO1037" s="2867"/>
      <c r="BP1037" s="2867"/>
      <c r="BQ1037" s="2867"/>
      <c r="BR1037" s="2867"/>
      <c r="BS1037" s="2867"/>
      <c r="BT1037" s="2867"/>
      <c r="BU1037" s="2867"/>
      <c r="BV1037" s="2867"/>
      <c r="BW1037" s="2867"/>
      <c r="BX1037" s="2867"/>
      <c r="BY1037" s="2867"/>
      <c r="BZ1037" s="2867"/>
      <c r="CA1037" s="2867"/>
      <c r="CB1037" s="2867"/>
      <c r="CC1037" s="2867"/>
      <c r="CD1037" s="2867"/>
      <c r="CE1037" s="2867"/>
      <c r="CF1037" s="2867"/>
      <c r="CG1037" s="2867"/>
      <c r="CH1037" s="2867"/>
      <c r="CI1037" s="2867"/>
      <c r="CJ1037" s="2867"/>
      <c r="CK1037" s="2867"/>
      <c r="CL1037" s="2867"/>
      <c r="CM1037" s="2867"/>
      <c r="CN1037" s="2867"/>
      <c r="CO1037" s="2867"/>
      <c r="CP1037" s="2867"/>
      <c r="CQ1037" s="2867"/>
      <c r="CR1037" s="2867"/>
      <c r="CS1037" s="2867"/>
      <c r="CT1037" s="2867"/>
      <c r="CU1037" s="2867"/>
      <c r="CV1037" s="2867"/>
      <c r="CW1037" s="2867"/>
    </row>
    <row r="1038" spans="1:101">
      <c r="A1038" s="2867"/>
      <c r="B1038" s="2867"/>
      <c r="C1038" s="2867"/>
      <c r="D1038" s="2867"/>
      <c r="E1038" s="2867"/>
      <c r="F1038" s="2867"/>
      <c r="G1038" s="2867"/>
      <c r="H1038" s="2867"/>
      <c r="I1038" s="2867"/>
      <c r="J1038" s="2867"/>
      <c r="K1038" s="2867"/>
      <c r="L1038" s="2867"/>
      <c r="M1038" s="2867"/>
      <c r="O1038" s="2867"/>
      <c r="P1038" s="2867"/>
      <c r="Q1038" s="2867"/>
      <c r="R1038" s="2867"/>
      <c r="S1038" s="2867"/>
      <c r="T1038" s="2867"/>
      <c r="U1038" s="2867"/>
      <c r="V1038" s="2867"/>
      <c r="W1038" s="2867"/>
      <c r="X1038" s="2867"/>
      <c r="Y1038" s="2867"/>
      <c r="Z1038" s="2867"/>
      <c r="AA1038" s="2867"/>
      <c r="AB1038" s="2867"/>
      <c r="AC1038" s="2867"/>
      <c r="AD1038" s="2867"/>
      <c r="AE1038" s="2867"/>
      <c r="AF1038" s="2867"/>
      <c r="AG1038" s="2867"/>
      <c r="AH1038" s="2867"/>
      <c r="AI1038" s="2867"/>
      <c r="AJ1038" s="2867"/>
      <c r="AK1038" s="2867"/>
      <c r="AL1038" s="2867"/>
      <c r="AM1038" s="2867"/>
      <c r="AN1038" s="2867"/>
      <c r="AO1038" s="2867"/>
      <c r="AP1038" s="2867"/>
      <c r="AQ1038" s="2867"/>
      <c r="AR1038" s="2867"/>
      <c r="AS1038" s="2867"/>
      <c r="AT1038" s="2867"/>
      <c r="AU1038" s="2867"/>
      <c r="AV1038" s="2867"/>
      <c r="AW1038" s="2867"/>
      <c r="AX1038" s="2867"/>
      <c r="AY1038" s="2867"/>
      <c r="AZ1038" s="2867"/>
      <c r="BA1038" s="2867"/>
      <c r="BB1038" s="2867"/>
      <c r="BC1038" s="2867"/>
      <c r="BD1038" s="2867"/>
      <c r="BE1038" s="2867"/>
      <c r="BF1038" s="2867"/>
      <c r="BG1038" s="2867"/>
      <c r="BH1038" s="2867"/>
      <c r="BI1038" s="2867"/>
      <c r="BJ1038" s="2867"/>
      <c r="BK1038" s="2867"/>
      <c r="BL1038" s="2867"/>
      <c r="BM1038" s="2867"/>
      <c r="BN1038" s="2867"/>
      <c r="BO1038" s="2867"/>
      <c r="BP1038" s="2867"/>
      <c r="BQ1038" s="2867"/>
      <c r="BR1038" s="2867"/>
      <c r="BS1038" s="2867"/>
      <c r="BT1038" s="2867"/>
      <c r="BU1038" s="2867"/>
      <c r="BV1038" s="2867"/>
      <c r="BW1038" s="2867"/>
      <c r="BX1038" s="2867"/>
      <c r="BY1038" s="2867"/>
      <c r="BZ1038" s="2867"/>
      <c r="CA1038" s="2867"/>
      <c r="CB1038" s="2867"/>
      <c r="CC1038" s="2867"/>
      <c r="CD1038" s="2867"/>
      <c r="CE1038" s="2867"/>
      <c r="CF1038" s="2867"/>
      <c r="CG1038" s="2867"/>
      <c r="CH1038" s="2867"/>
      <c r="CI1038" s="2867"/>
      <c r="CJ1038" s="2867"/>
      <c r="CK1038" s="2867"/>
      <c r="CL1038" s="2867"/>
      <c r="CM1038" s="2867"/>
      <c r="CN1038" s="2867"/>
      <c r="CO1038" s="2867"/>
      <c r="CP1038" s="2867"/>
      <c r="CQ1038" s="2867"/>
      <c r="CR1038" s="2867"/>
      <c r="CS1038" s="2867"/>
      <c r="CT1038" s="2867"/>
      <c r="CU1038" s="2867"/>
      <c r="CV1038" s="2867"/>
      <c r="CW1038" s="2867"/>
    </row>
    <row r="1039" spans="1:101">
      <c r="A1039" s="2867"/>
      <c r="B1039" s="2867"/>
      <c r="C1039" s="2867"/>
      <c r="D1039" s="2867"/>
      <c r="E1039" s="2867"/>
      <c r="F1039" s="2867"/>
      <c r="G1039" s="2867"/>
      <c r="H1039" s="2867"/>
      <c r="I1039" s="2867"/>
      <c r="J1039" s="2867"/>
      <c r="K1039" s="2867"/>
      <c r="L1039" s="2867"/>
      <c r="M1039" s="2867"/>
      <c r="O1039" s="2867"/>
      <c r="P1039" s="2867"/>
      <c r="Q1039" s="2867"/>
      <c r="R1039" s="2867"/>
      <c r="S1039" s="2867"/>
      <c r="T1039" s="2867"/>
      <c r="U1039" s="2867"/>
      <c r="V1039" s="2867"/>
      <c r="W1039" s="2867"/>
      <c r="X1039" s="2867"/>
      <c r="Y1039" s="2867"/>
      <c r="Z1039" s="2867"/>
      <c r="AA1039" s="2867"/>
      <c r="AB1039" s="2867"/>
      <c r="AC1039" s="2867"/>
      <c r="AD1039" s="2867"/>
      <c r="AE1039" s="2867"/>
      <c r="AF1039" s="2867"/>
      <c r="AG1039" s="2867"/>
      <c r="AH1039" s="2867"/>
      <c r="AI1039" s="2867"/>
      <c r="AJ1039" s="2867"/>
      <c r="AK1039" s="2867"/>
      <c r="AL1039" s="2867"/>
      <c r="AM1039" s="2867"/>
      <c r="AN1039" s="2867"/>
      <c r="AO1039" s="2867"/>
      <c r="AP1039" s="2867"/>
      <c r="AQ1039" s="2867"/>
      <c r="AR1039" s="2867"/>
      <c r="AS1039" s="2867"/>
      <c r="AT1039" s="2867"/>
      <c r="AU1039" s="2867"/>
      <c r="AV1039" s="2867"/>
      <c r="AW1039" s="2867"/>
      <c r="AX1039" s="2867"/>
      <c r="AY1039" s="2867"/>
      <c r="AZ1039" s="2867"/>
      <c r="BA1039" s="2867"/>
      <c r="BB1039" s="2867"/>
      <c r="BC1039" s="2867"/>
      <c r="BD1039" s="2867"/>
      <c r="BE1039" s="2867"/>
      <c r="BF1039" s="2867"/>
      <c r="BG1039" s="2867"/>
      <c r="BH1039" s="2867"/>
      <c r="BI1039" s="2867"/>
      <c r="BJ1039" s="2867"/>
      <c r="BK1039" s="2867"/>
      <c r="BL1039" s="2867"/>
      <c r="BM1039" s="2867"/>
      <c r="BN1039" s="2867"/>
      <c r="BO1039" s="2867"/>
      <c r="BP1039" s="2867"/>
      <c r="BQ1039" s="2867"/>
      <c r="BR1039" s="2867"/>
      <c r="BS1039" s="2867"/>
      <c r="BT1039" s="2867"/>
      <c r="BU1039" s="2867"/>
      <c r="BV1039" s="2867"/>
      <c r="BW1039" s="2867"/>
      <c r="BX1039" s="2867"/>
      <c r="BY1039" s="2867"/>
      <c r="BZ1039" s="2867"/>
      <c r="CA1039" s="2867"/>
      <c r="CB1039" s="2867"/>
      <c r="CC1039" s="2867"/>
      <c r="CD1039" s="2867"/>
      <c r="CE1039" s="2867"/>
      <c r="CF1039" s="2867"/>
      <c r="CG1039" s="2867"/>
      <c r="CH1039" s="2867"/>
      <c r="CI1039" s="2867"/>
      <c r="CJ1039" s="2867"/>
      <c r="CK1039" s="2867"/>
      <c r="CL1039" s="2867"/>
      <c r="CM1039" s="2867"/>
      <c r="CN1039" s="2867"/>
      <c r="CO1039" s="2867"/>
      <c r="CP1039" s="2867"/>
      <c r="CQ1039" s="2867"/>
      <c r="CR1039" s="2867"/>
      <c r="CS1039" s="2867"/>
      <c r="CT1039" s="2867"/>
      <c r="CU1039" s="2867"/>
      <c r="CV1039" s="2867"/>
      <c r="CW1039" s="2867"/>
    </row>
    <row r="1040" spans="1:101">
      <c r="A1040" s="2867"/>
      <c r="B1040" s="2867"/>
      <c r="C1040" s="2867"/>
      <c r="D1040" s="2867"/>
      <c r="E1040" s="2867"/>
      <c r="F1040" s="2867"/>
      <c r="G1040" s="2867"/>
      <c r="H1040" s="2867"/>
      <c r="I1040" s="2867"/>
      <c r="J1040" s="2867"/>
      <c r="K1040" s="2867"/>
      <c r="L1040" s="2867"/>
      <c r="M1040" s="2867"/>
      <c r="O1040" s="2867"/>
      <c r="P1040" s="2867"/>
      <c r="Q1040" s="2867"/>
      <c r="R1040" s="2867"/>
      <c r="S1040" s="2867"/>
      <c r="T1040" s="2867"/>
      <c r="U1040" s="2867"/>
      <c r="V1040" s="2867"/>
      <c r="W1040" s="2867"/>
      <c r="X1040" s="2867"/>
      <c r="Y1040" s="2867"/>
      <c r="Z1040" s="2867"/>
      <c r="AA1040" s="2867"/>
      <c r="AB1040" s="2867"/>
      <c r="AC1040" s="2867"/>
      <c r="AD1040" s="2867"/>
      <c r="AE1040" s="2867"/>
      <c r="AF1040" s="2867"/>
      <c r="AG1040" s="2867"/>
      <c r="AH1040" s="2867"/>
      <c r="AI1040" s="2867"/>
      <c r="AJ1040" s="2867"/>
      <c r="AK1040" s="2867"/>
      <c r="AL1040" s="2867"/>
      <c r="AM1040" s="2867"/>
      <c r="AN1040" s="2867"/>
      <c r="AO1040" s="2867"/>
      <c r="AP1040" s="2867"/>
      <c r="AQ1040" s="2867"/>
      <c r="AR1040" s="2867"/>
      <c r="AS1040" s="2867"/>
      <c r="AT1040" s="2867"/>
      <c r="AU1040" s="2867"/>
      <c r="AV1040" s="2867"/>
      <c r="AW1040" s="2867"/>
      <c r="AX1040" s="2867"/>
      <c r="AY1040" s="2867"/>
      <c r="AZ1040" s="2867"/>
      <c r="BA1040" s="2867"/>
      <c r="BB1040" s="2867"/>
      <c r="BC1040" s="2867"/>
      <c r="BD1040" s="2867"/>
      <c r="BE1040" s="2867"/>
      <c r="BF1040" s="2867"/>
      <c r="BG1040" s="2867"/>
      <c r="BH1040" s="2867"/>
      <c r="BI1040" s="2867"/>
      <c r="BJ1040" s="2867"/>
      <c r="BK1040" s="2867"/>
      <c r="BL1040" s="2867"/>
      <c r="BM1040" s="2867"/>
      <c r="BN1040" s="2867"/>
      <c r="BO1040" s="2867"/>
      <c r="BP1040" s="2867"/>
      <c r="BQ1040" s="2867"/>
      <c r="BR1040" s="2867"/>
      <c r="BS1040" s="2867"/>
      <c r="BT1040" s="2867"/>
      <c r="BU1040" s="2867"/>
      <c r="BV1040" s="2867"/>
      <c r="BW1040" s="2867"/>
      <c r="BX1040" s="2867"/>
      <c r="BY1040" s="2867"/>
      <c r="BZ1040" s="2867"/>
      <c r="CA1040" s="2867"/>
      <c r="CB1040" s="2867"/>
      <c r="CC1040" s="2867"/>
      <c r="CD1040" s="2867"/>
      <c r="CE1040" s="2867"/>
      <c r="CF1040" s="2867"/>
      <c r="CG1040" s="2867"/>
      <c r="CH1040" s="2867"/>
      <c r="CI1040" s="2867"/>
      <c r="CJ1040" s="2867"/>
      <c r="CK1040" s="2867"/>
      <c r="CL1040" s="2867"/>
      <c r="CM1040" s="2867"/>
      <c r="CN1040" s="2867"/>
      <c r="CO1040" s="2867"/>
      <c r="CP1040" s="2867"/>
      <c r="CQ1040" s="2867"/>
      <c r="CR1040" s="2867"/>
      <c r="CS1040" s="2867"/>
      <c r="CT1040" s="2867"/>
      <c r="CU1040" s="2867"/>
      <c r="CV1040" s="2867"/>
      <c r="CW1040" s="2867"/>
    </row>
    <row r="1041" spans="1:101">
      <c r="A1041" s="2867"/>
      <c r="B1041" s="2867"/>
      <c r="C1041" s="2867"/>
      <c r="D1041" s="2867"/>
      <c r="E1041" s="2867"/>
      <c r="F1041" s="2867"/>
      <c r="G1041" s="2867"/>
      <c r="H1041" s="2867"/>
      <c r="I1041" s="2867"/>
      <c r="J1041" s="2867"/>
      <c r="K1041" s="2867"/>
      <c r="L1041" s="2867"/>
      <c r="M1041" s="2867"/>
      <c r="O1041" s="2867"/>
      <c r="P1041" s="2867"/>
      <c r="Q1041" s="2867"/>
      <c r="R1041" s="2867"/>
      <c r="S1041" s="2867"/>
      <c r="T1041" s="2867"/>
      <c r="U1041" s="2867"/>
      <c r="V1041" s="2867"/>
      <c r="W1041" s="2867"/>
      <c r="X1041" s="2867"/>
      <c r="Y1041" s="2867"/>
      <c r="Z1041" s="2867"/>
      <c r="AA1041" s="2867"/>
      <c r="AB1041" s="2867"/>
      <c r="AC1041" s="2867"/>
      <c r="AD1041" s="2867"/>
      <c r="AE1041" s="2867"/>
      <c r="AF1041" s="2867"/>
      <c r="AG1041" s="2867"/>
      <c r="AH1041" s="2867"/>
      <c r="AI1041" s="2867"/>
      <c r="AJ1041" s="2867"/>
      <c r="AK1041" s="2867"/>
      <c r="AL1041" s="2867"/>
      <c r="AM1041" s="2867"/>
      <c r="AN1041" s="2867"/>
      <c r="AO1041" s="2867"/>
      <c r="AP1041" s="2867"/>
      <c r="AQ1041" s="2867"/>
      <c r="AR1041" s="2867"/>
      <c r="AS1041" s="2867"/>
      <c r="AT1041" s="2867"/>
      <c r="AU1041" s="2867"/>
      <c r="AV1041" s="2867"/>
      <c r="AW1041" s="2867"/>
      <c r="AX1041" s="2867"/>
      <c r="AY1041" s="2867"/>
      <c r="AZ1041" s="2867"/>
      <c r="BA1041" s="2867"/>
      <c r="BB1041" s="2867"/>
      <c r="BC1041" s="2867"/>
      <c r="BD1041" s="2867"/>
      <c r="BE1041" s="2867"/>
      <c r="BF1041" s="2867"/>
      <c r="BG1041" s="2867"/>
      <c r="BH1041" s="2867"/>
      <c r="BI1041" s="2867"/>
      <c r="BJ1041" s="2867"/>
      <c r="BK1041" s="2867"/>
      <c r="BL1041" s="2867"/>
      <c r="BM1041" s="2867"/>
      <c r="BN1041" s="2867"/>
      <c r="BO1041" s="2867"/>
      <c r="BP1041" s="2867"/>
      <c r="BQ1041" s="2867"/>
      <c r="BR1041" s="2867"/>
      <c r="BS1041" s="2867"/>
      <c r="BT1041" s="2867"/>
      <c r="BU1041" s="2867"/>
      <c r="BV1041" s="2867"/>
      <c r="BW1041" s="2867"/>
      <c r="BX1041" s="2867"/>
      <c r="BY1041" s="2867"/>
      <c r="BZ1041" s="2867"/>
      <c r="CA1041" s="2867"/>
      <c r="CB1041" s="2867"/>
      <c r="CC1041" s="2867"/>
      <c r="CD1041" s="2867"/>
      <c r="CE1041" s="2867"/>
      <c r="CF1041" s="2867"/>
      <c r="CG1041" s="2867"/>
      <c r="CH1041" s="2867"/>
      <c r="CI1041" s="2867"/>
      <c r="CJ1041" s="2867"/>
      <c r="CK1041" s="2867"/>
      <c r="CL1041" s="2867"/>
      <c r="CM1041" s="2867"/>
      <c r="CN1041" s="2867"/>
      <c r="CO1041" s="2867"/>
      <c r="CP1041" s="2867"/>
      <c r="CQ1041" s="2867"/>
      <c r="CR1041" s="2867"/>
      <c r="CS1041" s="2867"/>
      <c r="CT1041" s="2867"/>
      <c r="CU1041" s="2867"/>
      <c r="CV1041" s="2867"/>
      <c r="CW1041" s="2867"/>
    </row>
    <row r="1042" spans="1:101">
      <c r="A1042" s="2867"/>
      <c r="B1042" s="2867"/>
      <c r="C1042" s="2867"/>
      <c r="D1042" s="2867"/>
      <c r="E1042" s="2867"/>
      <c r="F1042" s="2867"/>
      <c r="G1042" s="2867"/>
      <c r="H1042" s="2867"/>
      <c r="I1042" s="2867"/>
      <c r="J1042" s="2867"/>
      <c r="K1042" s="2867"/>
      <c r="L1042" s="2867"/>
      <c r="M1042" s="2867"/>
      <c r="O1042" s="2867"/>
      <c r="P1042" s="2867"/>
      <c r="Q1042" s="2867"/>
      <c r="R1042" s="2867"/>
      <c r="S1042" s="2867"/>
      <c r="T1042" s="2867"/>
      <c r="U1042" s="2867"/>
      <c r="V1042" s="2867"/>
      <c r="W1042" s="2867"/>
      <c r="X1042" s="2867"/>
      <c r="Y1042" s="2867"/>
      <c r="Z1042" s="2867"/>
      <c r="AA1042" s="2867"/>
      <c r="AB1042" s="2867"/>
      <c r="AC1042" s="2867"/>
      <c r="AD1042" s="2867"/>
      <c r="AE1042" s="2867"/>
      <c r="AF1042" s="2867"/>
      <c r="AG1042" s="2867"/>
      <c r="AH1042" s="2867"/>
      <c r="AI1042" s="2867"/>
      <c r="AJ1042" s="2867"/>
      <c r="AK1042" s="2867"/>
      <c r="AL1042" s="2867"/>
      <c r="AM1042" s="2867"/>
      <c r="AN1042" s="2867"/>
      <c r="AO1042" s="2867"/>
      <c r="AP1042" s="2867"/>
      <c r="AQ1042" s="2867"/>
      <c r="AR1042" s="2867"/>
      <c r="AS1042" s="2867"/>
      <c r="AT1042" s="2867"/>
      <c r="AU1042" s="2867"/>
      <c r="AV1042" s="2867"/>
      <c r="AW1042" s="2867"/>
      <c r="AX1042" s="2867"/>
      <c r="AY1042" s="2867"/>
      <c r="AZ1042" s="2867"/>
      <c r="BA1042" s="2867"/>
      <c r="BB1042" s="2867"/>
      <c r="BC1042" s="2867"/>
      <c r="BD1042" s="2867"/>
      <c r="BE1042" s="2867"/>
      <c r="BF1042" s="2867"/>
      <c r="BG1042" s="2867"/>
      <c r="BH1042" s="2867"/>
      <c r="BI1042" s="2867"/>
      <c r="BJ1042" s="2867"/>
      <c r="BK1042" s="2867"/>
      <c r="BL1042" s="2867"/>
      <c r="BM1042" s="2867"/>
      <c r="BN1042" s="2867"/>
      <c r="BO1042" s="2867"/>
      <c r="BP1042" s="2867"/>
      <c r="BQ1042" s="2867"/>
      <c r="BR1042" s="2867"/>
      <c r="BS1042" s="2867"/>
      <c r="BT1042" s="2867"/>
      <c r="BU1042" s="2867"/>
      <c r="BV1042" s="2867"/>
      <c r="BW1042" s="2867"/>
      <c r="BX1042" s="2867"/>
      <c r="BY1042" s="2867"/>
      <c r="BZ1042" s="2867"/>
      <c r="CA1042" s="2867"/>
      <c r="CB1042" s="2867"/>
      <c r="CC1042" s="2867"/>
      <c r="CD1042" s="2867"/>
      <c r="CE1042" s="2867"/>
      <c r="CF1042" s="2867"/>
      <c r="CG1042" s="2867"/>
      <c r="CH1042" s="2867"/>
      <c r="CI1042" s="2867"/>
      <c r="CJ1042" s="2867"/>
      <c r="CK1042" s="2867"/>
      <c r="CL1042" s="2867"/>
      <c r="CM1042" s="2867"/>
      <c r="CN1042" s="2867"/>
      <c r="CO1042" s="2867"/>
      <c r="CP1042" s="2867"/>
      <c r="CQ1042" s="2867"/>
      <c r="CR1042" s="2867"/>
      <c r="CS1042" s="2867"/>
      <c r="CT1042" s="2867"/>
      <c r="CU1042" s="2867"/>
      <c r="CV1042" s="2867"/>
      <c r="CW1042" s="2867"/>
    </row>
    <row r="1043" spans="1:101">
      <c r="A1043" s="2867"/>
      <c r="B1043" s="2867"/>
      <c r="C1043" s="2867"/>
      <c r="D1043" s="2867"/>
      <c r="E1043" s="2867"/>
      <c r="F1043" s="2867"/>
      <c r="G1043" s="2867"/>
      <c r="H1043" s="2867"/>
      <c r="I1043" s="2867"/>
      <c r="J1043" s="2867"/>
      <c r="K1043" s="2867"/>
      <c r="L1043" s="2867"/>
      <c r="M1043" s="2867"/>
      <c r="O1043" s="2867"/>
      <c r="P1043" s="2867"/>
      <c r="Q1043" s="2867"/>
      <c r="R1043" s="2867"/>
      <c r="S1043" s="2867"/>
      <c r="T1043" s="2867"/>
      <c r="U1043" s="2867"/>
      <c r="V1043" s="2867"/>
      <c r="W1043" s="2867"/>
      <c r="X1043" s="2867"/>
      <c r="Y1043" s="2867"/>
      <c r="Z1043" s="2867"/>
      <c r="AA1043" s="2867"/>
      <c r="AB1043" s="2867"/>
      <c r="AC1043" s="2867"/>
      <c r="AD1043" s="2867"/>
      <c r="AE1043" s="2867"/>
      <c r="AF1043" s="2867"/>
      <c r="AG1043" s="2867"/>
      <c r="AH1043" s="2867"/>
      <c r="AI1043" s="2867"/>
      <c r="AJ1043" s="2867"/>
      <c r="AK1043" s="2867"/>
      <c r="AL1043" s="2867"/>
      <c r="AM1043" s="2867"/>
      <c r="AN1043" s="2867"/>
      <c r="AO1043" s="2867"/>
      <c r="AP1043" s="2867"/>
      <c r="AQ1043" s="2867"/>
      <c r="AR1043" s="2867"/>
      <c r="AS1043" s="2867"/>
      <c r="AT1043" s="2867"/>
      <c r="AU1043" s="2867"/>
      <c r="AV1043" s="2867"/>
      <c r="AW1043" s="2867"/>
      <c r="AX1043" s="2867"/>
      <c r="AY1043" s="2867"/>
      <c r="AZ1043" s="2867"/>
      <c r="BA1043" s="2867"/>
      <c r="BB1043" s="2867"/>
      <c r="BC1043" s="2867"/>
      <c r="BD1043" s="2867"/>
      <c r="BE1043" s="2867"/>
      <c r="BF1043" s="2867"/>
      <c r="BG1043" s="2867"/>
      <c r="BH1043" s="2867"/>
      <c r="BI1043" s="2867"/>
      <c r="BJ1043" s="2867"/>
      <c r="BK1043" s="2867"/>
      <c r="BL1043" s="2867"/>
      <c r="BM1043" s="2867"/>
      <c r="BN1043" s="2867"/>
      <c r="BO1043" s="2867"/>
      <c r="BP1043" s="2867"/>
      <c r="BQ1043" s="2867"/>
      <c r="BR1043" s="2867"/>
      <c r="BS1043" s="2867"/>
      <c r="BT1043" s="2867"/>
      <c r="BU1043" s="2867"/>
      <c r="BV1043" s="2867"/>
      <c r="BW1043" s="2867"/>
      <c r="BX1043" s="2867"/>
      <c r="BY1043" s="2867"/>
      <c r="BZ1043" s="2867"/>
      <c r="CA1043" s="2867"/>
      <c r="CB1043" s="2867"/>
      <c r="CC1043" s="2867"/>
      <c r="CD1043" s="2867"/>
      <c r="CE1043" s="2867"/>
      <c r="CF1043" s="2867"/>
      <c r="CG1043" s="2867"/>
      <c r="CH1043" s="2867"/>
      <c r="CI1043" s="2867"/>
      <c r="CJ1043" s="2867"/>
      <c r="CK1043" s="2867"/>
      <c r="CL1043" s="2867"/>
      <c r="CM1043" s="2867"/>
      <c r="CN1043" s="2867"/>
      <c r="CO1043" s="2867"/>
      <c r="CP1043" s="2867"/>
      <c r="CQ1043" s="2867"/>
      <c r="CR1043" s="2867"/>
      <c r="CS1043" s="2867"/>
      <c r="CT1043" s="2867"/>
      <c r="CU1043" s="2867"/>
      <c r="CV1043" s="2867"/>
      <c r="CW1043" s="2867"/>
    </row>
    <row r="1044" spans="1:101">
      <c r="A1044" s="2867"/>
      <c r="B1044" s="2867"/>
      <c r="C1044" s="2867"/>
      <c r="D1044" s="2867"/>
      <c r="E1044" s="2867"/>
      <c r="F1044" s="2867"/>
      <c r="G1044" s="2867"/>
      <c r="H1044" s="2867"/>
      <c r="I1044" s="2867"/>
      <c r="J1044" s="2867"/>
      <c r="K1044" s="2867"/>
      <c r="L1044" s="2867"/>
      <c r="M1044" s="2867"/>
      <c r="O1044" s="2867"/>
      <c r="P1044" s="2867"/>
      <c r="Q1044" s="2867"/>
      <c r="R1044" s="2867"/>
      <c r="S1044" s="2867"/>
      <c r="T1044" s="2867"/>
      <c r="U1044" s="2867"/>
      <c r="V1044" s="2867"/>
      <c r="W1044" s="2867"/>
      <c r="X1044" s="2867"/>
      <c r="Y1044" s="2867"/>
      <c r="Z1044" s="2867"/>
      <c r="AA1044" s="2867"/>
      <c r="AB1044" s="2867"/>
      <c r="AC1044" s="2867"/>
      <c r="AD1044" s="2867"/>
      <c r="AE1044" s="2867"/>
      <c r="AF1044" s="2867"/>
      <c r="AG1044" s="2867"/>
      <c r="AH1044" s="2867"/>
      <c r="AI1044" s="2867"/>
      <c r="AJ1044" s="2867"/>
      <c r="AK1044" s="2867"/>
      <c r="AL1044" s="2867"/>
      <c r="AM1044" s="2867"/>
      <c r="AN1044" s="2867"/>
      <c r="AO1044" s="2867"/>
      <c r="AP1044" s="2867"/>
      <c r="AQ1044" s="2867"/>
      <c r="AR1044" s="2867"/>
      <c r="AS1044" s="2867"/>
      <c r="AT1044" s="2867"/>
      <c r="AU1044" s="2867"/>
      <c r="AV1044" s="2867"/>
      <c r="AW1044" s="2867"/>
      <c r="AX1044" s="2867"/>
      <c r="AY1044" s="2867"/>
      <c r="AZ1044" s="2867"/>
      <c r="BA1044" s="2867"/>
      <c r="BB1044" s="2867"/>
      <c r="BC1044" s="2867"/>
      <c r="BD1044" s="2867"/>
      <c r="BE1044" s="2867"/>
      <c r="BF1044" s="2867"/>
      <c r="BG1044" s="2867"/>
      <c r="BH1044" s="2867"/>
      <c r="BI1044" s="2867"/>
      <c r="BJ1044" s="2867"/>
      <c r="BK1044" s="2867"/>
      <c r="BL1044" s="2867"/>
      <c r="BM1044" s="2867"/>
      <c r="BN1044" s="2867"/>
      <c r="BO1044" s="2867"/>
      <c r="BP1044" s="2867"/>
      <c r="BQ1044" s="2867"/>
      <c r="BR1044" s="2867"/>
      <c r="BS1044" s="2867"/>
      <c r="BT1044" s="2867"/>
      <c r="BU1044" s="2867"/>
      <c r="BV1044" s="2867"/>
      <c r="BW1044" s="2867"/>
      <c r="BX1044" s="2867"/>
      <c r="BY1044" s="2867"/>
      <c r="BZ1044" s="2867"/>
      <c r="CA1044" s="2867"/>
      <c r="CB1044" s="2867"/>
      <c r="CC1044" s="2867"/>
      <c r="CD1044" s="2867"/>
      <c r="CE1044" s="2867"/>
      <c r="CF1044" s="2867"/>
      <c r="CG1044" s="2867"/>
      <c r="CH1044" s="2867"/>
      <c r="CI1044" s="2867"/>
      <c r="CJ1044" s="2867"/>
      <c r="CK1044" s="2867"/>
      <c r="CL1044" s="2867"/>
      <c r="CM1044" s="2867"/>
      <c r="CN1044" s="2867"/>
      <c r="CO1044" s="2867"/>
      <c r="CP1044" s="2867"/>
      <c r="CQ1044" s="2867"/>
      <c r="CR1044" s="2867"/>
      <c r="CS1044" s="2867"/>
      <c r="CT1044" s="2867"/>
      <c r="CU1044" s="2867"/>
      <c r="CV1044" s="2867"/>
      <c r="CW1044" s="2867"/>
    </row>
    <row r="1045" spans="1:101">
      <c r="A1045" s="2867"/>
      <c r="B1045" s="2867"/>
      <c r="C1045" s="2867"/>
      <c r="D1045" s="2867"/>
      <c r="E1045" s="2867"/>
      <c r="F1045" s="2867"/>
      <c r="G1045" s="2867"/>
      <c r="H1045" s="2867"/>
      <c r="I1045" s="2867"/>
      <c r="J1045" s="2867"/>
      <c r="K1045" s="2867"/>
      <c r="L1045" s="2867"/>
      <c r="M1045" s="2867"/>
      <c r="O1045" s="2867"/>
      <c r="P1045" s="2867"/>
      <c r="Q1045" s="2867"/>
      <c r="R1045" s="2867"/>
      <c r="S1045" s="2867"/>
      <c r="T1045" s="2867"/>
      <c r="U1045" s="2867"/>
      <c r="V1045" s="2867"/>
      <c r="W1045" s="2867"/>
      <c r="X1045" s="2867"/>
      <c r="Y1045" s="2867"/>
      <c r="Z1045" s="2867"/>
      <c r="AA1045" s="2867"/>
      <c r="AB1045" s="2867"/>
      <c r="AC1045" s="2867"/>
      <c r="AD1045" s="2867"/>
      <c r="AE1045" s="2867"/>
      <c r="AF1045" s="2867"/>
      <c r="AG1045" s="2867"/>
      <c r="AH1045" s="2867"/>
      <c r="AI1045" s="2867"/>
      <c r="AJ1045" s="2867"/>
      <c r="AK1045" s="2867"/>
      <c r="AL1045" s="2867"/>
      <c r="AM1045" s="2867"/>
      <c r="AN1045" s="2867"/>
      <c r="AO1045" s="2867"/>
      <c r="AP1045" s="2867"/>
      <c r="AQ1045" s="2867"/>
      <c r="AR1045" s="2867"/>
      <c r="AS1045" s="2867"/>
      <c r="AT1045" s="2867"/>
      <c r="AU1045" s="2867"/>
      <c r="AV1045" s="2867"/>
      <c r="AW1045" s="2867"/>
      <c r="AX1045" s="2867"/>
      <c r="AY1045" s="2867"/>
      <c r="AZ1045" s="2867"/>
      <c r="BA1045" s="2867"/>
      <c r="BB1045" s="2867"/>
      <c r="BC1045" s="2867"/>
      <c r="BD1045" s="2867"/>
      <c r="BE1045" s="2867"/>
      <c r="BF1045" s="2867"/>
      <c r="BG1045" s="2867"/>
      <c r="BH1045" s="2867"/>
      <c r="BI1045" s="2867"/>
      <c r="BJ1045" s="2867"/>
      <c r="BK1045" s="2867"/>
      <c r="BL1045" s="2867"/>
      <c r="BM1045" s="2867"/>
      <c r="BN1045" s="2867"/>
      <c r="BO1045" s="2867"/>
      <c r="BP1045" s="2867"/>
      <c r="BQ1045" s="2867"/>
      <c r="BR1045" s="2867"/>
      <c r="BS1045" s="2867"/>
      <c r="BT1045" s="2867"/>
      <c r="BU1045" s="2867"/>
      <c r="BV1045" s="2867"/>
      <c r="BW1045" s="2867"/>
      <c r="BX1045" s="2867"/>
      <c r="BY1045" s="2867"/>
      <c r="BZ1045" s="2867"/>
      <c r="CA1045" s="2867"/>
      <c r="CB1045" s="2867"/>
      <c r="CC1045" s="2867"/>
      <c r="CD1045" s="2867"/>
      <c r="CE1045" s="2867"/>
      <c r="CF1045" s="2867"/>
      <c r="CG1045" s="2867"/>
      <c r="CH1045" s="2867"/>
      <c r="CI1045" s="2867"/>
      <c r="CJ1045" s="2867"/>
      <c r="CK1045" s="2867"/>
      <c r="CL1045" s="2867"/>
      <c r="CM1045" s="2867"/>
      <c r="CN1045" s="2867"/>
      <c r="CO1045" s="2867"/>
      <c r="CP1045" s="2867"/>
      <c r="CQ1045" s="2867"/>
      <c r="CR1045" s="2867"/>
      <c r="CS1045" s="2867"/>
      <c r="CT1045" s="2867"/>
      <c r="CU1045" s="2867"/>
      <c r="CV1045" s="2867"/>
      <c r="CW1045" s="2867"/>
    </row>
    <row r="1046" spans="1:101">
      <c r="A1046" s="2867"/>
      <c r="B1046" s="2867"/>
      <c r="C1046" s="2867"/>
      <c r="D1046" s="2867"/>
      <c r="E1046" s="2867"/>
      <c r="F1046" s="2867"/>
      <c r="G1046" s="2867"/>
      <c r="H1046" s="2867"/>
      <c r="I1046" s="2867"/>
      <c r="J1046" s="2867"/>
      <c r="K1046" s="2867"/>
      <c r="L1046" s="2867"/>
      <c r="M1046" s="2867"/>
      <c r="O1046" s="2867"/>
      <c r="P1046" s="2867"/>
      <c r="Q1046" s="2867"/>
      <c r="R1046" s="2867"/>
      <c r="S1046" s="2867"/>
      <c r="T1046" s="2867"/>
      <c r="U1046" s="2867"/>
      <c r="V1046" s="2867"/>
      <c r="W1046" s="2867"/>
      <c r="X1046" s="2867"/>
      <c r="Y1046" s="2867"/>
      <c r="Z1046" s="2867"/>
      <c r="AA1046" s="2867"/>
      <c r="AB1046" s="2867"/>
      <c r="AC1046" s="2867"/>
      <c r="AD1046" s="2867"/>
      <c r="AE1046" s="2867"/>
      <c r="AF1046" s="2867"/>
      <c r="AG1046" s="2867"/>
      <c r="AH1046" s="2867"/>
      <c r="AI1046" s="2867"/>
      <c r="AJ1046" s="2867"/>
      <c r="AK1046" s="2867"/>
      <c r="AL1046" s="2867"/>
      <c r="AM1046" s="2867"/>
      <c r="AN1046" s="2867"/>
      <c r="AO1046" s="2867"/>
      <c r="AP1046" s="2867"/>
      <c r="AQ1046" s="2867"/>
      <c r="AR1046" s="2867"/>
      <c r="AS1046" s="2867"/>
      <c r="AT1046" s="2867"/>
      <c r="AU1046" s="2867"/>
      <c r="AV1046" s="2867"/>
      <c r="AW1046" s="2867"/>
      <c r="AX1046" s="2867"/>
      <c r="AY1046" s="2867"/>
      <c r="AZ1046" s="2867"/>
      <c r="BA1046" s="2867"/>
      <c r="BB1046" s="2867"/>
      <c r="BC1046" s="2867"/>
      <c r="BD1046" s="2867"/>
      <c r="BE1046" s="2867"/>
      <c r="BF1046" s="2867"/>
      <c r="BG1046" s="2867"/>
      <c r="BH1046" s="2867"/>
      <c r="BI1046" s="2867"/>
      <c r="BJ1046" s="2867"/>
      <c r="BK1046" s="2867"/>
      <c r="BL1046" s="2867"/>
      <c r="BM1046" s="2867"/>
      <c r="BN1046" s="2867"/>
      <c r="BO1046" s="2867"/>
      <c r="BP1046" s="2867"/>
      <c r="BQ1046" s="2867"/>
      <c r="BR1046" s="2867"/>
      <c r="BS1046" s="2867"/>
      <c r="BT1046" s="2867"/>
      <c r="BU1046" s="2867"/>
      <c r="BV1046" s="2867"/>
      <c r="BW1046" s="2867"/>
      <c r="BX1046" s="2867"/>
      <c r="BY1046" s="2867"/>
      <c r="BZ1046" s="2867"/>
      <c r="CA1046" s="2867"/>
      <c r="CB1046" s="2867"/>
      <c r="CC1046" s="2867"/>
      <c r="CD1046" s="2867"/>
      <c r="CE1046" s="2867"/>
      <c r="CF1046" s="2867"/>
      <c r="CG1046" s="2867"/>
      <c r="CH1046" s="2867"/>
      <c r="CI1046" s="2867"/>
      <c r="CJ1046" s="2867"/>
      <c r="CK1046" s="2867"/>
      <c r="CL1046" s="2867"/>
      <c r="CM1046" s="2867"/>
      <c r="CN1046" s="2867"/>
      <c r="CO1046" s="2867"/>
      <c r="CP1046" s="2867"/>
      <c r="CQ1046" s="2867"/>
      <c r="CR1046" s="2867"/>
      <c r="CS1046" s="2867"/>
      <c r="CT1046" s="2867"/>
      <c r="CU1046" s="2867"/>
      <c r="CV1046" s="2867"/>
      <c r="CW1046" s="2867"/>
    </row>
    <row r="1047" spans="1:101">
      <c r="A1047" s="2867"/>
      <c r="B1047" s="2867"/>
      <c r="C1047" s="2867"/>
      <c r="D1047" s="2867"/>
      <c r="E1047" s="2867"/>
      <c r="F1047" s="2867"/>
      <c r="G1047" s="2867"/>
      <c r="H1047" s="2867"/>
      <c r="I1047" s="2867"/>
      <c r="J1047" s="2867"/>
      <c r="K1047" s="2867"/>
      <c r="L1047" s="2867"/>
      <c r="M1047" s="2867"/>
      <c r="O1047" s="2867"/>
      <c r="P1047" s="2867"/>
      <c r="Q1047" s="2867"/>
      <c r="R1047" s="2867"/>
      <c r="S1047" s="2867"/>
      <c r="T1047" s="2867"/>
      <c r="U1047" s="2867"/>
      <c r="V1047" s="2867"/>
      <c r="W1047" s="2867"/>
      <c r="X1047" s="2867"/>
      <c r="Y1047" s="2867"/>
      <c r="Z1047" s="2867"/>
      <c r="AA1047" s="2867"/>
      <c r="AB1047" s="2867"/>
      <c r="AC1047" s="2867"/>
      <c r="AD1047" s="2867"/>
      <c r="AE1047" s="2867"/>
      <c r="AF1047" s="2867"/>
      <c r="AG1047" s="2867"/>
      <c r="AH1047" s="2867"/>
      <c r="AI1047" s="2867"/>
      <c r="AJ1047" s="2867"/>
      <c r="AK1047" s="2867"/>
      <c r="AL1047" s="2867"/>
      <c r="AM1047" s="2867"/>
      <c r="AN1047" s="2867"/>
      <c r="AO1047" s="2867"/>
      <c r="AP1047" s="2867"/>
      <c r="AQ1047" s="2867"/>
      <c r="AR1047" s="2867"/>
      <c r="AS1047" s="2867"/>
      <c r="AT1047" s="2867"/>
      <c r="AU1047" s="2867"/>
      <c r="AV1047" s="2867"/>
      <c r="AW1047" s="2867"/>
      <c r="AX1047" s="2867"/>
      <c r="AY1047" s="2867"/>
      <c r="AZ1047" s="2867"/>
      <c r="BA1047" s="2867"/>
      <c r="BB1047" s="2867"/>
      <c r="BC1047" s="2867"/>
      <c r="BD1047" s="2867"/>
      <c r="BE1047" s="2867"/>
      <c r="BF1047" s="2867"/>
      <c r="BG1047" s="2867"/>
      <c r="BH1047" s="2867"/>
      <c r="BI1047" s="2867"/>
      <c r="BJ1047" s="2867"/>
      <c r="BK1047" s="2867"/>
      <c r="BL1047" s="2867"/>
      <c r="BM1047" s="2867"/>
      <c r="BN1047" s="2867"/>
      <c r="BO1047" s="2867"/>
      <c r="BP1047" s="2867"/>
      <c r="BQ1047" s="2867"/>
      <c r="BR1047" s="2867"/>
      <c r="BS1047" s="2867"/>
      <c r="BT1047" s="2867"/>
      <c r="BU1047" s="2867"/>
      <c r="BV1047" s="2867"/>
      <c r="BW1047" s="2867"/>
      <c r="BX1047" s="2867"/>
      <c r="BY1047" s="2867"/>
      <c r="BZ1047" s="2867"/>
      <c r="CA1047" s="2867"/>
      <c r="CB1047" s="2867"/>
      <c r="CC1047" s="2867"/>
      <c r="CD1047" s="2867"/>
      <c r="CE1047" s="2867"/>
      <c r="CF1047" s="2867"/>
      <c r="CG1047" s="2867"/>
      <c r="CH1047" s="2867"/>
      <c r="CI1047" s="2867"/>
      <c r="CJ1047" s="2867"/>
      <c r="CK1047" s="2867"/>
      <c r="CL1047" s="2867"/>
      <c r="CM1047" s="2867"/>
      <c r="CN1047" s="2867"/>
      <c r="CO1047" s="2867"/>
      <c r="CP1047" s="2867"/>
      <c r="CQ1047" s="2867"/>
      <c r="CR1047" s="2867"/>
      <c r="CS1047" s="2867"/>
      <c r="CT1047" s="2867"/>
      <c r="CU1047" s="2867"/>
      <c r="CV1047" s="2867"/>
      <c r="CW1047" s="2867"/>
    </row>
    <row r="1048" spans="1:101">
      <c r="A1048" s="2867"/>
      <c r="B1048" s="2867"/>
      <c r="C1048" s="2867"/>
      <c r="D1048" s="2867"/>
      <c r="E1048" s="2867"/>
      <c r="F1048" s="2867"/>
      <c r="G1048" s="2867"/>
      <c r="H1048" s="2867"/>
      <c r="I1048" s="2867"/>
      <c r="J1048" s="2867"/>
      <c r="K1048" s="2867"/>
      <c r="L1048" s="2867"/>
      <c r="M1048" s="2867"/>
      <c r="O1048" s="2867"/>
      <c r="P1048" s="2867"/>
      <c r="Q1048" s="2867"/>
      <c r="R1048" s="2867"/>
      <c r="S1048" s="2867"/>
      <c r="T1048" s="2867"/>
      <c r="U1048" s="2867"/>
      <c r="V1048" s="2867"/>
      <c r="W1048" s="2867"/>
      <c r="X1048" s="2867"/>
      <c r="Y1048" s="2867"/>
      <c r="Z1048" s="2867"/>
      <c r="AA1048" s="2867"/>
      <c r="AB1048" s="2867"/>
      <c r="AC1048" s="2867"/>
      <c r="AD1048" s="2867"/>
      <c r="AE1048" s="2867"/>
      <c r="AF1048" s="2867"/>
      <c r="AG1048" s="2867"/>
      <c r="AH1048" s="2867"/>
      <c r="AI1048" s="2867"/>
      <c r="AJ1048" s="2867"/>
      <c r="AK1048" s="2867"/>
      <c r="AL1048" s="2867"/>
      <c r="AM1048" s="2867"/>
      <c r="AN1048" s="2867"/>
      <c r="AO1048" s="2867"/>
      <c r="AP1048" s="2867"/>
      <c r="AQ1048" s="2867"/>
      <c r="AR1048" s="2867"/>
      <c r="AS1048" s="2867"/>
      <c r="AT1048" s="2867"/>
      <c r="AU1048" s="2867"/>
      <c r="AV1048" s="2867"/>
      <c r="AW1048" s="2867"/>
      <c r="AX1048" s="2867"/>
      <c r="AY1048" s="2867"/>
      <c r="AZ1048" s="2867"/>
      <c r="BA1048" s="2867"/>
      <c r="BB1048" s="2867"/>
      <c r="BC1048" s="2867"/>
      <c r="BD1048" s="2867"/>
      <c r="BE1048" s="2867"/>
      <c r="BF1048" s="2867"/>
      <c r="BG1048" s="2867"/>
      <c r="BH1048" s="2867"/>
      <c r="BI1048" s="2867"/>
      <c r="BJ1048" s="2867"/>
      <c r="BK1048" s="2867"/>
      <c r="BL1048" s="2867"/>
      <c r="BM1048" s="2867"/>
      <c r="BN1048" s="2867"/>
      <c r="BO1048" s="2867"/>
      <c r="BP1048" s="2867"/>
      <c r="BQ1048" s="2867"/>
      <c r="BR1048" s="2867"/>
      <c r="BS1048" s="2867"/>
      <c r="BT1048" s="2867"/>
      <c r="BU1048" s="2867"/>
      <c r="BV1048" s="2867"/>
      <c r="BW1048" s="2867"/>
      <c r="BX1048" s="2867"/>
      <c r="BY1048" s="2867"/>
      <c r="BZ1048" s="2867"/>
      <c r="CA1048" s="2867"/>
      <c r="CB1048" s="2867"/>
      <c r="CC1048" s="2867"/>
      <c r="CD1048" s="2867"/>
      <c r="CE1048" s="2867"/>
      <c r="CF1048" s="2867"/>
      <c r="CG1048" s="2867"/>
      <c r="CH1048" s="2867"/>
      <c r="CI1048" s="2867"/>
      <c r="CJ1048" s="2867"/>
      <c r="CK1048" s="2867"/>
      <c r="CL1048" s="2867"/>
      <c r="CM1048" s="2867"/>
      <c r="CN1048" s="2867"/>
      <c r="CO1048" s="2867"/>
      <c r="CP1048" s="2867"/>
      <c r="CQ1048" s="2867"/>
      <c r="CR1048" s="2867"/>
      <c r="CS1048" s="2867"/>
      <c r="CT1048" s="2867"/>
      <c r="CU1048" s="2867"/>
      <c r="CV1048" s="2867"/>
      <c r="CW1048" s="2867"/>
    </row>
    <row r="1049" spans="1:101">
      <c r="A1049" s="2867"/>
      <c r="B1049" s="2867"/>
      <c r="C1049" s="2867"/>
      <c r="D1049" s="2867"/>
      <c r="E1049" s="2867"/>
      <c r="F1049" s="2867"/>
      <c r="G1049" s="2867"/>
      <c r="H1049" s="2867"/>
      <c r="I1049" s="2867"/>
      <c r="J1049" s="2867"/>
      <c r="K1049" s="2867"/>
      <c r="L1049" s="2867"/>
      <c r="M1049" s="2867"/>
      <c r="O1049" s="2867"/>
      <c r="P1049" s="2867"/>
      <c r="Q1049" s="2867"/>
      <c r="R1049" s="2867"/>
      <c r="S1049" s="2867"/>
      <c r="T1049" s="2867"/>
      <c r="U1049" s="2867"/>
      <c r="V1049" s="2867"/>
      <c r="W1049" s="2867"/>
      <c r="X1049" s="2867"/>
      <c r="Y1049" s="2867"/>
      <c r="Z1049" s="2867"/>
      <c r="AA1049" s="2867"/>
      <c r="AB1049" s="2867"/>
      <c r="AC1049" s="2867"/>
      <c r="AD1049" s="2867"/>
      <c r="AE1049" s="2867"/>
      <c r="AF1049" s="2867"/>
      <c r="AG1049" s="2867"/>
      <c r="AH1049" s="2867"/>
      <c r="AI1049" s="2867"/>
      <c r="AJ1049" s="2867"/>
      <c r="AK1049" s="2867"/>
      <c r="AL1049" s="2867"/>
      <c r="AM1049" s="2867"/>
      <c r="AN1049" s="2867"/>
      <c r="AO1049" s="2867"/>
      <c r="AP1049" s="2867"/>
      <c r="AQ1049" s="2867"/>
      <c r="AR1049" s="2867"/>
      <c r="AS1049" s="2867"/>
      <c r="AT1049" s="2867"/>
      <c r="AU1049" s="2867"/>
      <c r="AV1049" s="2867"/>
      <c r="AW1049" s="2867"/>
      <c r="AX1049" s="2867"/>
      <c r="AY1049" s="2867"/>
      <c r="AZ1049" s="2867"/>
      <c r="BA1049" s="2867"/>
      <c r="BB1049" s="2867"/>
      <c r="BC1049" s="2867"/>
      <c r="BD1049" s="2867"/>
      <c r="BE1049" s="2867"/>
      <c r="BF1049" s="2867"/>
      <c r="BG1049" s="2867"/>
      <c r="BH1049" s="2867"/>
      <c r="BI1049" s="2867"/>
      <c r="BJ1049" s="2867"/>
      <c r="BK1049" s="2867"/>
      <c r="BL1049" s="2867"/>
      <c r="BM1049" s="2867"/>
      <c r="BN1049" s="2867"/>
      <c r="BO1049" s="2867"/>
      <c r="BP1049" s="2867"/>
      <c r="BQ1049" s="2867"/>
      <c r="BR1049" s="2867"/>
      <c r="BS1049" s="2867"/>
      <c r="BT1049" s="2867"/>
      <c r="BU1049" s="2867"/>
      <c r="BV1049" s="2867"/>
      <c r="BW1049" s="2867"/>
      <c r="BX1049" s="2867"/>
      <c r="BY1049" s="2867"/>
      <c r="BZ1049" s="2867"/>
      <c r="CA1049" s="2867"/>
      <c r="CB1049" s="2867"/>
      <c r="CC1049" s="2867"/>
      <c r="CD1049" s="2867"/>
      <c r="CE1049" s="2867"/>
      <c r="CF1049" s="2867"/>
      <c r="CG1049" s="2867"/>
      <c r="CH1049" s="2867"/>
      <c r="CI1049" s="2867"/>
      <c r="CJ1049" s="2867"/>
      <c r="CK1049" s="2867"/>
      <c r="CL1049" s="2867"/>
      <c r="CM1049" s="2867"/>
      <c r="CN1049" s="2867"/>
      <c r="CO1049" s="2867"/>
      <c r="CP1049" s="2867"/>
      <c r="CQ1049" s="2867"/>
      <c r="CR1049" s="2867"/>
      <c r="CS1049" s="2867"/>
      <c r="CT1049" s="2867"/>
      <c r="CU1049" s="2867"/>
      <c r="CV1049" s="2867"/>
      <c r="CW1049" s="2867"/>
    </row>
    <row r="1050" spans="1:101">
      <c r="A1050" s="2867"/>
      <c r="B1050" s="2867"/>
      <c r="C1050" s="2867"/>
      <c r="D1050" s="2867"/>
      <c r="E1050" s="2867"/>
      <c r="F1050" s="2867"/>
      <c r="G1050" s="2867"/>
      <c r="H1050" s="2867"/>
      <c r="I1050" s="2867"/>
      <c r="J1050" s="2867"/>
      <c r="K1050" s="2867"/>
      <c r="L1050" s="2867"/>
      <c r="M1050" s="2867"/>
      <c r="O1050" s="2867"/>
      <c r="P1050" s="2867"/>
      <c r="Q1050" s="2867"/>
      <c r="R1050" s="2867"/>
      <c r="S1050" s="2867"/>
      <c r="T1050" s="2867"/>
      <c r="U1050" s="2867"/>
      <c r="V1050" s="2867"/>
      <c r="W1050" s="2867"/>
      <c r="X1050" s="2867"/>
      <c r="Y1050" s="2867"/>
      <c r="Z1050" s="2867"/>
      <c r="AA1050" s="2867"/>
      <c r="AB1050" s="2867"/>
      <c r="AC1050" s="2867"/>
      <c r="AD1050" s="2867"/>
      <c r="AE1050" s="2867"/>
      <c r="AF1050" s="2867"/>
      <c r="AG1050" s="2867"/>
      <c r="AH1050" s="2867"/>
      <c r="AI1050" s="2867"/>
      <c r="AJ1050" s="2867"/>
      <c r="AK1050" s="2867"/>
      <c r="AL1050" s="2867"/>
      <c r="AM1050" s="2867"/>
      <c r="AN1050" s="2867"/>
      <c r="AO1050" s="2867"/>
      <c r="AP1050" s="2867"/>
      <c r="AQ1050" s="2867"/>
      <c r="AR1050" s="2867"/>
      <c r="AS1050" s="2867"/>
      <c r="AT1050" s="2867"/>
      <c r="AU1050" s="2867"/>
      <c r="AV1050" s="2867"/>
      <c r="AW1050" s="2867"/>
      <c r="AX1050" s="2867"/>
      <c r="AY1050" s="2867"/>
      <c r="AZ1050" s="2867"/>
      <c r="BA1050" s="2867"/>
      <c r="BB1050" s="2867"/>
      <c r="BC1050" s="2867"/>
      <c r="BD1050" s="2867"/>
      <c r="BE1050" s="2867"/>
      <c r="BF1050" s="2867"/>
      <c r="BG1050" s="2867"/>
      <c r="BH1050" s="2867"/>
      <c r="BI1050" s="2867"/>
      <c r="BJ1050" s="2867"/>
      <c r="BK1050" s="2867"/>
      <c r="BL1050" s="2867"/>
      <c r="BM1050" s="2867"/>
      <c r="BN1050" s="2867"/>
      <c r="BO1050" s="2867"/>
      <c r="BP1050" s="2867"/>
      <c r="BQ1050" s="2867"/>
      <c r="BR1050" s="2867"/>
      <c r="BS1050" s="2867"/>
      <c r="BT1050" s="2867"/>
      <c r="BU1050" s="2867"/>
      <c r="BV1050" s="2867"/>
      <c r="BW1050" s="2867"/>
      <c r="BX1050" s="2867"/>
      <c r="BY1050" s="2867"/>
      <c r="BZ1050" s="2867"/>
      <c r="CA1050" s="2867"/>
      <c r="CB1050" s="2867"/>
      <c r="CC1050" s="2867"/>
      <c r="CD1050" s="2867"/>
      <c r="CE1050" s="2867"/>
      <c r="CF1050" s="2867"/>
      <c r="CG1050" s="2867"/>
      <c r="CH1050" s="2867"/>
      <c r="CI1050" s="2867"/>
      <c r="CJ1050" s="2867"/>
      <c r="CK1050" s="2867"/>
      <c r="CL1050" s="2867"/>
      <c r="CM1050" s="2867"/>
      <c r="CN1050" s="2867"/>
      <c r="CO1050" s="2867"/>
      <c r="CP1050" s="2867"/>
      <c r="CQ1050" s="2867"/>
      <c r="CR1050" s="2867"/>
      <c r="CS1050" s="2867"/>
      <c r="CT1050" s="2867"/>
      <c r="CU1050" s="2867"/>
      <c r="CV1050" s="2867"/>
      <c r="CW1050" s="2867"/>
    </row>
    <row r="1051" spans="1:101">
      <c r="A1051" s="2867"/>
      <c r="B1051" s="2867"/>
      <c r="C1051" s="2867"/>
      <c r="D1051" s="2867"/>
      <c r="E1051" s="2867"/>
      <c r="F1051" s="2867"/>
      <c r="G1051" s="2867"/>
      <c r="H1051" s="2867"/>
      <c r="I1051" s="2867"/>
      <c r="J1051" s="2867"/>
      <c r="K1051" s="2867"/>
      <c r="L1051" s="2867"/>
      <c r="M1051" s="2867"/>
      <c r="O1051" s="2867"/>
      <c r="P1051" s="2867"/>
      <c r="Q1051" s="2867"/>
      <c r="R1051" s="2867"/>
      <c r="S1051" s="2867"/>
      <c r="T1051" s="2867"/>
      <c r="U1051" s="2867"/>
      <c r="V1051" s="2867"/>
      <c r="W1051" s="2867"/>
      <c r="X1051" s="2867"/>
      <c r="Y1051" s="2867"/>
      <c r="Z1051" s="2867"/>
      <c r="AA1051" s="2867"/>
      <c r="AB1051" s="2867"/>
      <c r="AC1051" s="2867"/>
      <c r="AD1051" s="2867"/>
      <c r="AE1051" s="2867"/>
      <c r="AF1051" s="2867"/>
      <c r="AG1051" s="2867"/>
      <c r="AH1051" s="2867"/>
      <c r="AI1051" s="2867"/>
      <c r="AJ1051" s="2867"/>
      <c r="AK1051" s="2867"/>
      <c r="AL1051" s="2867"/>
      <c r="AM1051" s="2867"/>
      <c r="AN1051" s="2867"/>
      <c r="AO1051" s="2867"/>
      <c r="AP1051" s="2867"/>
      <c r="AQ1051" s="2867"/>
      <c r="AR1051" s="2867"/>
      <c r="AS1051" s="2867"/>
      <c r="AT1051" s="2867"/>
      <c r="AU1051" s="2867"/>
      <c r="AV1051" s="2867"/>
      <c r="AW1051" s="2867"/>
      <c r="AX1051" s="2867"/>
      <c r="AY1051" s="2867"/>
      <c r="AZ1051" s="2867"/>
      <c r="BA1051" s="2867"/>
      <c r="BB1051" s="2867"/>
      <c r="BC1051" s="2867"/>
      <c r="BD1051" s="2867"/>
      <c r="BE1051" s="2867"/>
      <c r="BF1051" s="2867"/>
      <c r="BG1051" s="2867"/>
      <c r="BH1051" s="2867"/>
      <c r="BI1051" s="2867"/>
      <c r="BJ1051" s="2867"/>
      <c r="BK1051" s="2867"/>
      <c r="BL1051" s="2867"/>
      <c r="BM1051" s="2867"/>
      <c r="BN1051" s="2867"/>
      <c r="BO1051" s="2867"/>
      <c r="BP1051" s="2867"/>
      <c r="BQ1051" s="2867"/>
      <c r="BR1051" s="2867"/>
      <c r="BS1051" s="2867"/>
      <c r="BT1051" s="2867"/>
      <c r="BU1051" s="2867"/>
      <c r="BV1051" s="2867"/>
      <c r="BW1051" s="2867"/>
      <c r="BX1051" s="2867"/>
      <c r="BY1051" s="2867"/>
      <c r="BZ1051" s="2867"/>
      <c r="CA1051" s="2867"/>
      <c r="CB1051" s="2867"/>
      <c r="CC1051" s="2867"/>
      <c r="CD1051" s="2867"/>
      <c r="CE1051" s="2867"/>
      <c r="CF1051" s="2867"/>
      <c r="CG1051" s="2867"/>
      <c r="CH1051" s="2867"/>
      <c r="CI1051" s="2867"/>
      <c r="CJ1051" s="2867"/>
      <c r="CK1051" s="2867"/>
      <c r="CL1051" s="2867"/>
      <c r="CM1051" s="2867"/>
      <c r="CN1051" s="2867"/>
      <c r="CO1051" s="2867"/>
      <c r="CP1051" s="2867"/>
      <c r="CQ1051" s="2867"/>
      <c r="CR1051" s="2867"/>
      <c r="CS1051" s="2867"/>
      <c r="CT1051" s="2867"/>
      <c r="CU1051" s="2867"/>
      <c r="CV1051" s="2867"/>
      <c r="CW1051" s="2867"/>
    </row>
    <row r="1052" spans="1:101">
      <c r="A1052" s="2867"/>
      <c r="B1052" s="2867"/>
      <c r="C1052" s="2867"/>
      <c r="D1052" s="2867"/>
      <c r="E1052" s="2867"/>
      <c r="F1052" s="2867"/>
      <c r="G1052" s="2867"/>
      <c r="H1052" s="2867"/>
      <c r="I1052" s="2867"/>
      <c r="J1052" s="2867"/>
      <c r="K1052" s="2867"/>
      <c r="L1052" s="2867"/>
      <c r="M1052" s="2867"/>
      <c r="O1052" s="2867"/>
      <c r="P1052" s="2867"/>
      <c r="Q1052" s="2867"/>
      <c r="R1052" s="2867"/>
      <c r="S1052" s="2867"/>
      <c r="T1052" s="2867"/>
      <c r="U1052" s="2867"/>
      <c r="V1052" s="2867"/>
      <c r="W1052" s="2867"/>
      <c r="X1052" s="2867"/>
      <c r="Y1052" s="2867"/>
      <c r="Z1052" s="2867"/>
      <c r="AA1052" s="2867"/>
      <c r="AB1052" s="2867"/>
      <c r="AC1052" s="2867"/>
      <c r="AD1052" s="2867"/>
      <c r="AE1052" s="2867"/>
      <c r="AF1052" s="2867"/>
      <c r="AG1052" s="2867"/>
      <c r="AH1052" s="2867"/>
      <c r="AI1052" s="2867"/>
      <c r="AJ1052" s="2867"/>
      <c r="AK1052" s="2867"/>
      <c r="AL1052" s="2867"/>
      <c r="AM1052" s="2867"/>
      <c r="AN1052" s="2867"/>
      <c r="AO1052" s="2867"/>
      <c r="AP1052" s="2867"/>
      <c r="AQ1052" s="2867"/>
      <c r="AR1052" s="2867"/>
      <c r="AS1052" s="2867"/>
      <c r="AT1052" s="2867"/>
      <c r="AU1052" s="2867"/>
      <c r="AV1052" s="2867"/>
      <c r="AW1052" s="2867"/>
      <c r="AX1052" s="2867"/>
      <c r="AY1052" s="2867"/>
      <c r="AZ1052" s="2867"/>
      <c r="BA1052" s="2867"/>
      <c r="BB1052" s="2867"/>
      <c r="BC1052" s="2867"/>
      <c r="BD1052" s="2867"/>
      <c r="BE1052" s="2867"/>
      <c r="BF1052" s="2867"/>
      <c r="BG1052" s="2867"/>
      <c r="BH1052" s="2867"/>
      <c r="BI1052" s="2867"/>
      <c r="BJ1052" s="2867"/>
      <c r="BK1052" s="2867"/>
      <c r="BL1052" s="2867"/>
      <c r="BM1052" s="2867"/>
      <c r="BN1052" s="2867"/>
      <c r="BO1052" s="2867"/>
      <c r="BP1052" s="2867"/>
      <c r="BQ1052" s="2867"/>
      <c r="BR1052" s="2867"/>
      <c r="BS1052" s="2867"/>
      <c r="BT1052" s="2867"/>
      <c r="BU1052" s="2867"/>
      <c r="BV1052" s="2867"/>
      <c r="BW1052" s="2867"/>
      <c r="BX1052" s="2867"/>
      <c r="BY1052" s="2867"/>
      <c r="BZ1052" s="2867"/>
      <c r="CA1052" s="2867"/>
      <c r="CB1052" s="2867"/>
      <c r="CC1052" s="2867"/>
      <c r="CD1052" s="2867"/>
      <c r="CE1052" s="2867"/>
      <c r="CF1052" s="2867"/>
      <c r="CG1052" s="2867"/>
      <c r="CH1052" s="2867"/>
      <c r="CI1052" s="2867"/>
      <c r="CJ1052" s="2867"/>
      <c r="CK1052" s="2867"/>
      <c r="CL1052" s="2867"/>
      <c r="CM1052" s="2867"/>
      <c r="CN1052" s="2867"/>
      <c r="CO1052" s="2867"/>
      <c r="CP1052" s="2867"/>
      <c r="CQ1052" s="2867"/>
      <c r="CR1052" s="2867"/>
      <c r="CS1052" s="2867"/>
      <c r="CT1052" s="2867"/>
      <c r="CU1052" s="2867"/>
      <c r="CV1052" s="2867"/>
      <c r="CW1052" s="2867"/>
    </row>
    <row r="1053" spans="1:101">
      <c r="A1053" s="2867"/>
      <c r="B1053" s="2867"/>
      <c r="C1053" s="2867"/>
      <c r="D1053" s="2867"/>
      <c r="E1053" s="2867"/>
      <c r="F1053" s="2867"/>
      <c r="G1053" s="2867"/>
      <c r="H1053" s="2867"/>
      <c r="I1053" s="2867"/>
      <c r="J1053" s="2867"/>
      <c r="K1053" s="2867"/>
      <c r="L1053" s="2867"/>
      <c r="M1053" s="2867"/>
      <c r="O1053" s="2867"/>
      <c r="P1053" s="2867"/>
      <c r="Q1053" s="2867"/>
      <c r="R1053" s="2867"/>
      <c r="S1053" s="2867"/>
      <c r="T1053" s="2867"/>
      <c r="U1053" s="2867"/>
      <c r="V1053" s="2867"/>
      <c r="W1053" s="2867"/>
      <c r="X1053" s="2867"/>
      <c r="Y1053" s="2867"/>
      <c r="Z1053" s="2867"/>
      <c r="AA1053" s="2867"/>
      <c r="AB1053" s="2867"/>
      <c r="AC1053" s="2867"/>
      <c r="AD1053" s="2867"/>
      <c r="AE1053" s="2867"/>
      <c r="AF1053" s="2867"/>
      <c r="AG1053" s="2867"/>
      <c r="AH1053" s="2867"/>
      <c r="AI1053" s="2867"/>
      <c r="AJ1053" s="2867"/>
      <c r="AK1053" s="2867"/>
      <c r="AL1053" s="2867"/>
      <c r="AM1053" s="2867"/>
      <c r="AN1053" s="2867"/>
      <c r="AO1053" s="2867"/>
      <c r="AP1053" s="2867"/>
      <c r="AQ1053" s="2867"/>
      <c r="AR1053" s="2867"/>
      <c r="AS1053" s="2867"/>
      <c r="AT1053" s="2867"/>
      <c r="AU1053" s="2867"/>
      <c r="AV1053" s="2867"/>
      <c r="AW1053" s="2867"/>
      <c r="AX1053" s="2867"/>
      <c r="AY1053" s="2867"/>
      <c r="AZ1053" s="2867"/>
      <c r="BA1053" s="2867"/>
      <c r="BB1053" s="2867"/>
      <c r="BC1053" s="2867"/>
      <c r="BD1053" s="2867"/>
      <c r="BE1053" s="2867"/>
      <c r="BF1053" s="2867"/>
      <c r="BG1053" s="2867"/>
      <c r="BH1053" s="2867"/>
      <c r="BI1053" s="2867"/>
      <c r="BJ1053" s="2867"/>
      <c r="BK1053" s="2867"/>
      <c r="BL1053" s="2867"/>
      <c r="BM1053" s="2867"/>
      <c r="BN1053" s="2867"/>
      <c r="BO1053" s="2867"/>
      <c r="BP1053" s="2867"/>
      <c r="BQ1053" s="2867"/>
      <c r="BR1053" s="2867"/>
      <c r="BS1053" s="2867"/>
      <c r="BT1053" s="2867"/>
      <c r="BU1053" s="2867"/>
      <c r="BV1053" s="2867"/>
      <c r="BW1053" s="2867"/>
      <c r="BX1053" s="2867"/>
      <c r="BY1053" s="2867"/>
      <c r="BZ1053" s="2867"/>
      <c r="CA1053" s="2867"/>
      <c r="CB1053" s="2867"/>
      <c r="CC1053" s="2867"/>
      <c r="CD1053" s="2867"/>
      <c r="CE1053" s="2867"/>
      <c r="CF1053" s="2867"/>
      <c r="CG1053" s="2867"/>
      <c r="CH1053" s="2867"/>
      <c r="CI1053" s="2867"/>
      <c r="CJ1053" s="2867"/>
      <c r="CK1053" s="2867"/>
      <c r="CL1053" s="2867"/>
      <c r="CM1053" s="2867"/>
      <c r="CN1053" s="2867"/>
      <c r="CO1053" s="2867"/>
      <c r="CP1053" s="2867"/>
      <c r="CQ1053" s="2867"/>
      <c r="CR1053" s="2867"/>
      <c r="CS1053" s="2867"/>
      <c r="CT1053" s="2867"/>
      <c r="CU1053" s="2867"/>
      <c r="CV1053" s="2867"/>
      <c r="CW1053" s="2867"/>
    </row>
    <row r="1054" spans="1:101">
      <c r="A1054" s="2867"/>
      <c r="B1054" s="2867"/>
      <c r="C1054" s="2867"/>
      <c r="D1054" s="2867"/>
      <c r="E1054" s="2867"/>
      <c r="F1054" s="2867"/>
      <c r="G1054" s="2867"/>
      <c r="H1054" s="2867"/>
      <c r="I1054" s="2867"/>
      <c r="J1054" s="2867"/>
      <c r="K1054" s="2867"/>
      <c r="L1054" s="2867"/>
      <c r="M1054" s="2867"/>
      <c r="O1054" s="2867"/>
      <c r="P1054" s="2867"/>
      <c r="Q1054" s="2867"/>
      <c r="R1054" s="2867"/>
      <c r="S1054" s="2867"/>
      <c r="T1054" s="2867"/>
      <c r="U1054" s="2867"/>
      <c r="V1054" s="2867"/>
      <c r="W1054" s="2867"/>
      <c r="X1054" s="2867"/>
      <c r="Y1054" s="2867"/>
      <c r="Z1054" s="2867"/>
      <c r="AA1054" s="2867"/>
      <c r="AB1054" s="2867"/>
      <c r="AC1054" s="2867"/>
      <c r="AD1054" s="2867"/>
      <c r="AE1054" s="2867"/>
      <c r="AF1054" s="2867"/>
      <c r="AG1054" s="2867"/>
      <c r="AH1054" s="2867"/>
      <c r="AI1054" s="2867"/>
      <c r="AJ1054" s="2867"/>
      <c r="AK1054" s="2867"/>
      <c r="AL1054" s="2867"/>
      <c r="AM1054" s="2867"/>
      <c r="AN1054" s="2867"/>
      <c r="AO1054" s="2867"/>
      <c r="AP1054" s="2867"/>
      <c r="AQ1054" s="2867"/>
      <c r="AR1054" s="2867"/>
      <c r="AS1054" s="2867"/>
      <c r="AT1054" s="2867"/>
      <c r="AU1054" s="2867"/>
      <c r="AV1054" s="2867"/>
      <c r="AW1054" s="2867"/>
      <c r="AX1054" s="2867"/>
      <c r="AY1054" s="2867"/>
      <c r="AZ1054" s="2867"/>
      <c r="BA1054" s="2867"/>
      <c r="BB1054" s="2867"/>
      <c r="BC1054" s="2867"/>
      <c r="BD1054" s="2867"/>
      <c r="BE1054" s="2867"/>
      <c r="BF1054" s="2867"/>
      <c r="BG1054" s="2867"/>
      <c r="BH1054" s="2867"/>
      <c r="BI1054" s="2867"/>
      <c r="BJ1054" s="2867"/>
      <c r="BK1054" s="2867"/>
      <c r="BL1054" s="2867"/>
      <c r="BM1054" s="2867"/>
      <c r="BN1054" s="2867"/>
      <c r="BO1054" s="2867"/>
      <c r="BP1054" s="2867"/>
      <c r="BQ1054" s="2867"/>
      <c r="BR1054" s="2867"/>
      <c r="BS1054" s="2867"/>
      <c r="BT1054" s="2867"/>
      <c r="BU1054" s="2867"/>
      <c r="BV1054" s="2867"/>
      <c r="BW1054" s="2867"/>
      <c r="BX1054" s="2867"/>
      <c r="BY1054" s="2867"/>
      <c r="BZ1054" s="2867"/>
      <c r="CA1054" s="2867"/>
      <c r="CB1054" s="2867"/>
      <c r="CC1054" s="2867"/>
      <c r="CD1054" s="2867"/>
      <c r="CE1054" s="2867"/>
      <c r="CF1054" s="2867"/>
      <c r="CG1054" s="2867"/>
      <c r="CH1054" s="2867"/>
      <c r="CI1054" s="2867"/>
      <c r="CJ1054" s="2867"/>
      <c r="CK1054" s="2867"/>
      <c r="CL1054" s="2867"/>
      <c r="CM1054" s="2867"/>
      <c r="CN1054" s="2867"/>
      <c r="CO1054" s="2867"/>
      <c r="CP1054" s="2867"/>
      <c r="CQ1054" s="2867"/>
      <c r="CR1054" s="2867"/>
      <c r="CS1054" s="2867"/>
      <c r="CT1054" s="2867"/>
      <c r="CU1054" s="2867"/>
      <c r="CV1054" s="2867"/>
      <c r="CW1054" s="2867"/>
    </row>
    <row r="1055" spans="1:101">
      <c r="A1055" s="2867"/>
      <c r="B1055" s="2867"/>
      <c r="C1055" s="2867"/>
      <c r="D1055" s="2867"/>
      <c r="E1055" s="2867"/>
      <c r="F1055" s="2867"/>
      <c r="G1055" s="2867"/>
      <c r="H1055" s="2867"/>
      <c r="I1055" s="2867"/>
      <c r="J1055" s="2867"/>
      <c r="K1055" s="2867"/>
      <c r="L1055" s="2867"/>
      <c r="M1055" s="2867"/>
      <c r="O1055" s="2867"/>
      <c r="P1055" s="2867"/>
      <c r="Q1055" s="2867"/>
      <c r="R1055" s="2867"/>
      <c r="S1055" s="2867"/>
      <c r="T1055" s="2867"/>
      <c r="U1055" s="2867"/>
      <c r="V1055" s="2867"/>
      <c r="W1055" s="2867"/>
      <c r="X1055" s="2867"/>
      <c r="Y1055" s="2867"/>
      <c r="Z1055" s="2867"/>
      <c r="AA1055" s="2867"/>
      <c r="AB1055" s="2867"/>
      <c r="AC1055" s="2867"/>
      <c r="AD1055" s="2867"/>
      <c r="AE1055" s="2867"/>
      <c r="AF1055" s="2867"/>
      <c r="AG1055" s="2867"/>
      <c r="AH1055" s="2867"/>
      <c r="AI1055" s="2867"/>
      <c r="AJ1055" s="2867"/>
      <c r="AK1055" s="2867"/>
      <c r="AL1055" s="2867"/>
      <c r="AM1055" s="2867"/>
      <c r="AN1055" s="2867"/>
      <c r="AO1055" s="2867"/>
      <c r="AP1055" s="2867"/>
      <c r="AQ1055" s="2867"/>
      <c r="AR1055" s="2867"/>
      <c r="AS1055" s="2867"/>
      <c r="AT1055" s="2867"/>
      <c r="AU1055" s="2867"/>
      <c r="AV1055" s="2867"/>
      <c r="AW1055" s="2867"/>
      <c r="AX1055" s="2867"/>
      <c r="AY1055" s="2867"/>
      <c r="AZ1055" s="2867"/>
      <c r="BA1055" s="2867"/>
      <c r="BB1055" s="2867"/>
      <c r="BC1055" s="2867"/>
      <c r="BD1055" s="2867"/>
      <c r="BE1055" s="2867"/>
      <c r="BF1055" s="2867"/>
      <c r="BG1055" s="2867"/>
      <c r="BH1055" s="2867"/>
      <c r="BI1055" s="2867"/>
      <c r="BJ1055" s="2867"/>
      <c r="BK1055" s="2867"/>
      <c r="BL1055" s="2867"/>
      <c r="BM1055" s="2867"/>
      <c r="BN1055" s="2867"/>
      <c r="BO1055" s="2867"/>
      <c r="BP1055" s="2867"/>
      <c r="BQ1055" s="2867"/>
      <c r="BR1055" s="2867"/>
      <c r="BS1055" s="2867"/>
      <c r="BT1055" s="2867"/>
      <c r="BU1055" s="2867"/>
      <c r="BV1055" s="2867"/>
      <c r="BW1055" s="2867"/>
      <c r="BX1055" s="2867"/>
      <c r="BY1055" s="2867"/>
      <c r="BZ1055" s="2867"/>
      <c r="CA1055" s="2867"/>
      <c r="CB1055" s="2867"/>
      <c r="CC1055" s="2867"/>
      <c r="CD1055" s="2867"/>
      <c r="CE1055" s="2867"/>
      <c r="CF1055" s="2867"/>
      <c r="CG1055" s="2867"/>
      <c r="CH1055" s="2867"/>
      <c r="CI1055" s="2867"/>
      <c r="CJ1055" s="2867"/>
      <c r="CK1055" s="2867"/>
      <c r="CL1055" s="2867"/>
      <c r="CM1055" s="2867"/>
      <c r="CN1055" s="2867"/>
      <c r="CO1055" s="2867"/>
      <c r="CP1055" s="2867"/>
      <c r="CQ1055" s="2867"/>
      <c r="CR1055" s="2867"/>
      <c r="CS1055" s="2867"/>
      <c r="CT1055" s="2867"/>
      <c r="CU1055" s="2867"/>
      <c r="CV1055" s="2867"/>
      <c r="CW1055" s="2867"/>
    </row>
    <row r="1056" spans="1:101">
      <c r="A1056" s="2867"/>
      <c r="B1056" s="2867"/>
      <c r="C1056" s="2867"/>
      <c r="D1056" s="2867"/>
      <c r="E1056" s="2867"/>
      <c r="F1056" s="2867"/>
      <c r="G1056" s="2867"/>
      <c r="H1056" s="2867"/>
      <c r="I1056" s="2867"/>
      <c r="J1056" s="2867"/>
      <c r="K1056" s="2867"/>
      <c r="L1056" s="2867"/>
      <c r="M1056" s="2867"/>
      <c r="O1056" s="2867"/>
      <c r="P1056" s="2867"/>
      <c r="Q1056" s="2867"/>
      <c r="R1056" s="2867"/>
      <c r="S1056" s="2867"/>
      <c r="T1056" s="2867"/>
      <c r="U1056" s="2867"/>
      <c r="V1056" s="2867"/>
      <c r="W1056" s="2867"/>
      <c r="X1056" s="2867"/>
      <c r="Y1056" s="2867"/>
      <c r="Z1056" s="2867"/>
      <c r="AA1056" s="2867"/>
      <c r="AB1056" s="2867"/>
      <c r="AC1056" s="2867"/>
      <c r="AD1056" s="2867"/>
      <c r="AE1056" s="2867"/>
      <c r="AF1056" s="2867"/>
      <c r="AG1056" s="2867"/>
      <c r="AH1056" s="2867"/>
      <c r="AI1056" s="2867"/>
      <c r="AJ1056" s="2867"/>
      <c r="AK1056" s="2867"/>
      <c r="AL1056" s="2867"/>
      <c r="AM1056" s="2867"/>
      <c r="AN1056" s="2867"/>
      <c r="AO1056" s="2867"/>
      <c r="AP1056" s="2867"/>
      <c r="AQ1056" s="2867"/>
      <c r="AR1056" s="2867"/>
      <c r="AS1056" s="2867"/>
      <c r="AT1056" s="2867"/>
      <c r="AU1056" s="2867"/>
      <c r="AV1056" s="2867"/>
      <c r="AW1056" s="2867"/>
      <c r="AX1056" s="2867"/>
      <c r="AY1056" s="2867"/>
      <c r="AZ1056" s="2867"/>
      <c r="BA1056" s="2867"/>
      <c r="BB1056" s="2867"/>
      <c r="BC1056" s="2867"/>
      <c r="BD1056" s="2867"/>
      <c r="BE1056" s="2867"/>
      <c r="BF1056" s="2867"/>
      <c r="BG1056" s="2867"/>
      <c r="BH1056" s="2867"/>
      <c r="BI1056" s="2867"/>
      <c r="BJ1056" s="2867"/>
      <c r="BK1056" s="2867"/>
      <c r="BL1056" s="2867"/>
      <c r="BM1056" s="2867"/>
      <c r="BN1056" s="2867"/>
      <c r="BO1056" s="2867"/>
      <c r="BP1056" s="2867"/>
      <c r="BQ1056" s="2867"/>
      <c r="BR1056" s="2867"/>
      <c r="BS1056" s="2867"/>
      <c r="BT1056" s="2867"/>
      <c r="BU1056" s="2867"/>
      <c r="BV1056" s="2867"/>
      <c r="BW1056" s="2867"/>
      <c r="BX1056" s="2867"/>
      <c r="BY1056" s="2867"/>
      <c r="BZ1056" s="2867"/>
      <c r="CA1056" s="2867"/>
      <c r="CB1056" s="2867"/>
      <c r="CC1056" s="2867"/>
      <c r="CD1056" s="2867"/>
      <c r="CE1056" s="2867"/>
      <c r="CF1056" s="2867"/>
      <c r="CG1056" s="2867"/>
      <c r="CH1056" s="2867"/>
      <c r="CI1056" s="2867"/>
      <c r="CJ1056" s="2867"/>
      <c r="CK1056" s="2867"/>
      <c r="CL1056" s="2867"/>
      <c r="CM1056" s="2867"/>
      <c r="CN1056" s="2867"/>
      <c r="CO1056" s="2867"/>
      <c r="CP1056" s="2867"/>
      <c r="CQ1056" s="2867"/>
      <c r="CR1056" s="2867"/>
      <c r="CS1056" s="2867"/>
      <c r="CT1056" s="2867"/>
      <c r="CU1056" s="2867"/>
      <c r="CV1056" s="2867"/>
      <c r="CW1056" s="2867"/>
    </row>
    <row r="1057" spans="1:101">
      <c r="A1057" s="2867"/>
      <c r="B1057" s="2867"/>
      <c r="C1057" s="2867"/>
      <c r="D1057" s="2867"/>
      <c r="E1057" s="2867"/>
      <c r="F1057" s="2867"/>
      <c r="G1057" s="2867"/>
      <c r="H1057" s="2867"/>
      <c r="I1057" s="2867"/>
      <c r="J1057" s="2867"/>
      <c r="K1057" s="2867"/>
      <c r="L1057" s="2867"/>
      <c r="M1057" s="2867"/>
      <c r="O1057" s="2867"/>
      <c r="P1057" s="2867"/>
      <c r="Q1057" s="2867"/>
      <c r="R1057" s="2867"/>
      <c r="S1057" s="2867"/>
      <c r="T1057" s="2867"/>
      <c r="U1057" s="2867"/>
      <c r="V1057" s="2867"/>
      <c r="W1057" s="2867"/>
      <c r="X1057" s="2867"/>
      <c r="Y1057" s="2867"/>
      <c r="Z1057" s="2867"/>
      <c r="AA1057" s="2867"/>
      <c r="AB1057" s="2867"/>
      <c r="AC1057" s="2867"/>
      <c r="AD1057" s="2867"/>
      <c r="AE1057" s="2867"/>
      <c r="AF1057" s="2867"/>
      <c r="AG1057" s="2867"/>
      <c r="AH1057" s="2867"/>
      <c r="AI1057" s="2867"/>
      <c r="AJ1057" s="2867"/>
      <c r="AK1057" s="2867"/>
      <c r="AL1057" s="2867"/>
      <c r="AM1057" s="2867"/>
      <c r="AN1057" s="2867"/>
      <c r="AO1057" s="2867"/>
      <c r="AP1057" s="2867"/>
      <c r="AQ1057" s="2867"/>
      <c r="AR1057" s="2867"/>
      <c r="AS1057" s="2867"/>
      <c r="AT1057" s="2867"/>
      <c r="AU1057" s="2867"/>
      <c r="AV1057" s="2867"/>
      <c r="AW1057" s="2867"/>
      <c r="AX1057" s="2867"/>
      <c r="AY1057" s="2867"/>
      <c r="AZ1057" s="2867"/>
      <c r="BA1057" s="2867"/>
      <c r="BB1057" s="2867"/>
      <c r="BC1057" s="2867"/>
      <c r="BD1057" s="2867"/>
      <c r="BE1057" s="2867"/>
      <c r="BF1057" s="2867"/>
      <c r="BG1057" s="2867"/>
      <c r="BH1057" s="2867"/>
      <c r="BI1057" s="2867"/>
      <c r="BJ1057" s="2867"/>
      <c r="BK1057" s="2867"/>
      <c r="BL1057" s="2867"/>
      <c r="BM1057" s="2867"/>
      <c r="BN1057" s="2867"/>
      <c r="BO1057" s="2867"/>
      <c r="BP1057" s="2867"/>
      <c r="BQ1057" s="2867"/>
      <c r="BR1057" s="2867"/>
      <c r="BS1057" s="2867"/>
      <c r="BT1057" s="2867"/>
      <c r="BU1057" s="2867"/>
      <c r="BV1057" s="2867"/>
      <c r="BW1057" s="2867"/>
      <c r="BX1057" s="2867"/>
      <c r="BY1057" s="2867"/>
      <c r="BZ1057" s="2867"/>
      <c r="CA1057" s="2867"/>
      <c r="CB1057" s="2867"/>
      <c r="CC1057" s="2867"/>
      <c r="CD1057" s="2867"/>
      <c r="CE1057" s="2867"/>
      <c r="CF1057" s="2867"/>
      <c r="CG1057" s="2867"/>
      <c r="CH1057" s="2867"/>
      <c r="CI1057" s="2867"/>
      <c r="CJ1057" s="2867"/>
      <c r="CK1057" s="2867"/>
      <c r="CL1057" s="2867"/>
      <c r="CM1057" s="2867"/>
      <c r="CN1057" s="2867"/>
      <c r="CO1057" s="2867"/>
      <c r="CP1057" s="2867"/>
      <c r="CQ1057" s="2867"/>
      <c r="CR1057" s="2867"/>
      <c r="CS1057" s="2867"/>
      <c r="CT1057" s="2867"/>
      <c r="CU1057" s="2867"/>
      <c r="CV1057" s="2867"/>
      <c r="CW1057" s="2867"/>
    </row>
    <row r="1058" spans="1:101">
      <c r="A1058" s="2867"/>
      <c r="B1058" s="2867"/>
      <c r="C1058" s="2867"/>
      <c r="D1058" s="2867"/>
      <c r="E1058" s="2867"/>
      <c r="F1058" s="2867"/>
      <c r="G1058" s="2867"/>
      <c r="H1058" s="2867"/>
      <c r="I1058" s="2867"/>
      <c r="J1058" s="2867"/>
      <c r="K1058" s="2867"/>
      <c r="L1058" s="2867"/>
      <c r="M1058" s="2867"/>
      <c r="O1058" s="2867"/>
      <c r="P1058" s="2867"/>
      <c r="Q1058" s="2867"/>
      <c r="R1058" s="2867"/>
      <c r="S1058" s="2867"/>
      <c r="T1058" s="2867"/>
      <c r="U1058" s="2867"/>
      <c r="V1058" s="2867"/>
      <c r="W1058" s="2867"/>
      <c r="X1058" s="2867"/>
      <c r="Y1058" s="2867"/>
      <c r="Z1058" s="2867"/>
      <c r="AA1058" s="2867"/>
      <c r="AB1058" s="2867"/>
      <c r="AC1058" s="2867"/>
      <c r="AD1058" s="2867"/>
      <c r="AE1058" s="2867"/>
      <c r="AF1058" s="2867"/>
      <c r="AG1058" s="2867"/>
      <c r="AH1058" s="2867"/>
      <c r="AI1058" s="2867"/>
      <c r="AJ1058" s="2867"/>
      <c r="AK1058" s="2867"/>
      <c r="AL1058" s="2867"/>
      <c r="AM1058" s="2867"/>
      <c r="AN1058" s="2867"/>
      <c r="AO1058" s="2867"/>
      <c r="AP1058" s="2867"/>
      <c r="AQ1058" s="2867"/>
      <c r="AR1058" s="2867"/>
      <c r="AS1058" s="2867"/>
      <c r="AT1058" s="2867"/>
      <c r="AU1058" s="2867"/>
      <c r="AV1058" s="2867"/>
      <c r="AW1058" s="2867"/>
      <c r="AX1058" s="2867"/>
      <c r="AY1058" s="2867"/>
      <c r="AZ1058" s="2867"/>
      <c r="BA1058" s="2867"/>
      <c r="BB1058" s="2867"/>
      <c r="BC1058" s="2867"/>
      <c r="BD1058" s="2867"/>
      <c r="BE1058" s="2867"/>
      <c r="BF1058" s="2867"/>
      <c r="BG1058" s="2867"/>
      <c r="BH1058" s="2867"/>
      <c r="BI1058" s="2867"/>
      <c r="BJ1058" s="2867"/>
      <c r="BK1058" s="2867"/>
      <c r="BL1058" s="2867"/>
      <c r="BM1058" s="2867"/>
      <c r="BN1058" s="2867"/>
      <c r="BO1058" s="2867"/>
      <c r="BP1058" s="2867"/>
      <c r="BQ1058" s="2867"/>
      <c r="BR1058" s="2867"/>
      <c r="BS1058" s="2867"/>
      <c r="BT1058" s="2867"/>
      <c r="BU1058" s="2867"/>
      <c r="BV1058" s="2867"/>
      <c r="BW1058" s="2867"/>
      <c r="BX1058" s="2867"/>
      <c r="BY1058" s="2867"/>
      <c r="BZ1058" s="2867"/>
      <c r="CA1058" s="2867"/>
      <c r="CB1058" s="2867"/>
      <c r="CC1058" s="2867"/>
      <c r="CD1058" s="2867"/>
      <c r="CE1058" s="2867"/>
      <c r="CF1058" s="2867"/>
      <c r="CG1058" s="2867"/>
      <c r="CH1058" s="2867"/>
      <c r="CI1058" s="2867"/>
      <c r="CJ1058" s="2867"/>
      <c r="CK1058" s="2867"/>
      <c r="CL1058" s="2867"/>
      <c r="CM1058" s="2867"/>
      <c r="CN1058" s="2867"/>
      <c r="CO1058" s="2867"/>
      <c r="CP1058" s="2867"/>
      <c r="CQ1058" s="2867"/>
      <c r="CR1058" s="2867"/>
      <c r="CS1058" s="2867"/>
      <c r="CT1058" s="2867"/>
      <c r="CU1058" s="2867"/>
      <c r="CV1058" s="2867"/>
      <c r="CW1058" s="2867"/>
    </row>
    <row r="1059" spans="1:101">
      <c r="A1059" s="2867"/>
      <c r="B1059" s="2867"/>
      <c r="C1059" s="2867"/>
      <c r="D1059" s="2867"/>
      <c r="E1059" s="2867"/>
      <c r="F1059" s="2867"/>
      <c r="G1059" s="2867"/>
      <c r="H1059" s="2867"/>
      <c r="I1059" s="2867"/>
      <c r="J1059" s="2867"/>
      <c r="K1059" s="2867"/>
      <c r="L1059" s="2867"/>
      <c r="M1059" s="2867"/>
      <c r="O1059" s="2867"/>
      <c r="P1059" s="2867"/>
      <c r="Q1059" s="2867"/>
      <c r="R1059" s="2867"/>
      <c r="S1059" s="2867"/>
      <c r="T1059" s="2867"/>
      <c r="U1059" s="2867"/>
      <c r="V1059" s="2867"/>
      <c r="W1059" s="2867"/>
      <c r="X1059" s="2867"/>
      <c r="Y1059" s="2867"/>
      <c r="Z1059" s="2867"/>
      <c r="AA1059" s="2867"/>
      <c r="AB1059" s="2867"/>
      <c r="AC1059" s="2867"/>
      <c r="AD1059" s="2867"/>
      <c r="AE1059" s="2867"/>
      <c r="AF1059" s="2867"/>
      <c r="AG1059" s="2867"/>
      <c r="AH1059" s="2867"/>
      <c r="AI1059" s="2867"/>
      <c r="AJ1059" s="2867"/>
      <c r="AK1059" s="2867"/>
      <c r="AL1059" s="2867"/>
      <c r="AM1059" s="2867"/>
      <c r="AN1059" s="2867"/>
      <c r="AO1059" s="2867"/>
      <c r="AP1059" s="2867"/>
      <c r="AQ1059" s="2867"/>
      <c r="AR1059" s="2867"/>
      <c r="AS1059" s="2867"/>
      <c r="AT1059" s="2867"/>
      <c r="AU1059" s="2867"/>
      <c r="AV1059" s="2867"/>
      <c r="AW1059" s="2867"/>
      <c r="AX1059" s="2867"/>
      <c r="AY1059" s="2867"/>
      <c r="AZ1059" s="2867"/>
      <c r="BA1059" s="2867"/>
      <c r="BB1059" s="2867"/>
      <c r="BC1059" s="2867"/>
      <c r="BD1059" s="2867"/>
      <c r="BE1059" s="2867"/>
      <c r="BF1059" s="2867"/>
      <c r="BG1059" s="2867"/>
      <c r="BH1059" s="2867"/>
      <c r="BI1059" s="2867"/>
      <c r="BJ1059" s="2867"/>
      <c r="BK1059" s="2867"/>
      <c r="BL1059" s="2867"/>
      <c r="BM1059" s="2867"/>
      <c r="BN1059" s="2867"/>
      <c r="BO1059" s="2867"/>
      <c r="BP1059" s="2867"/>
      <c r="BQ1059" s="2867"/>
      <c r="BR1059" s="2867"/>
      <c r="BS1059" s="2867"/>
      <c r="BT1059" s="2867"/>
      <c r="BU1059" s="2867"/>
      <c r="BV1059" s="2867"/>
      <c r="BW1059" s="2867"/>
      <c r="BX1059" s="2867"/>
      <c r="BY1059" s="2867"/>
      <c r="BZ1059" s="2867"/>
      <c r="CA1059" s="2867"/>
      <c r="CB1059" s="2867"/>
      <c r="CC1059" s="2867"/>
      <c r="CD1059" s="2867"/>
      <c r="CE1059" s="2867"/>
      <c r="CF1059" s="2867"/>
      <c r="CG1059" s="2867"/>
      <c r="CH1059" s="2867"/>
      <c r="CI1059" s="2867"/>
      <c r="CJ1059" s="2867"/>
      <c r="CK1059" s="2867"/>
      <c r="CL1059" s="2867"/>
      <c r="CM1059" s="2867"/>
      <c r="CN1059" s="2867"/>
      <c r="CO1059" s="2867"/>
      <c r="CP1059" s="2867"/>
      <c r="CQ1059" s="2867"/>
      <c r="CR1059" s="2867"/>
      <c r="CS1059" s="2867"/>
      <c r="CT1059" s="2867"/>
      <c r="CU1059" s="2867"/>
      <c r="CV1059" s="2867"/>
      <c r="CW1059" s="2867"/>
    </row>
    <row r="1060" spans="1:101">
      <c r="A1060" s="2867"/>
      <c r="B1060" s="2867"/>
      <c r="C1060" s="2867"/>
      <c r="D1060" s="2867"/>
      <c r="E1060" s="2867"/>
      <c r="F1060" s="2867"/>
      <c r="G1060" s="2867"/>
      <c r="H1060" s="2867"/>
      <c r="I1060" s="2867"/>
      <c r="J1060" s="2867"/>
      <c r="K1060" s="2867"/>
      <c r="L1060" s="2867"/>
      <c r="M1060" s="2867"/>
      <c r="O1060" s="2867"/>
      <c r="P1060" s="2867"/>
      <c r="Q1060" s="2867"/>
      <c r="R1060" s="2867"/>
      <c r="S1060" s="2867"/>
      <c r="T1060" s="2867"/>
      <c r="U1060" s="2867"/>
      <c r="V1060" s="2867"/>
      <c r="W1060" s="2867"/>
      <c r="X1060" s="2867"/>
      <c r="Y1060" s="2867"/>
      <c r="Z1060" s="2867"/>
      <c r="AA1060" s="2867"/>
      <c r="AB1060" s="2867"/>
      <c r="AC1060" s="2867"/>
      <c r="AD1060" s="2867"/>
      <c r="AE1060" s="2867"/>
      <c r="AF1060" s="2867"/>
      <c r="AG1060" s="2867"/>
      <c r="AH1060" s="2867"/>
      <c r="AI1060" s="2867"/>
      <c r="AJ1060" s="2867"/>
      <c r="AK1060" s="2867"/>
      <c r="AL1060" s="2867"/>
      <c r="AM1060" s="2867"/>
      <c r="AN1060" s="2867"/>
      <c r="AO1060" s="2867"/>
      <c r="AP1060" s="2867"/>
      <c r="AQ1060" s="2867"/>
      <c r="AR1060" s="2867"/>
      <c r="AS1060" s="2867"/>
      <c r="AT1060" s="2867"/>
      <c r="AU1060" s="2867"/>
      <c r="AV1060" s="2867"/>
      <c r="AW1060" s="2867"/>
      <c r="AX1060" s="2867"/>
      <c r="AY1060" s="2867"/>
      <c r="AZ1060" s="2867"/>
      <c r="BA1060" s="2867"/>
      <c r="BB1060" s="2867"/>
      <c r="BC1060" s="2867"/>
      <c r="BD1060" s="2867"/>
      <c r="BE1060" s="2867"/>
      <c r="BF1060" s="2867"/>
      <c r="BG1060" s="2867"/>
      <c r="BH1060" s="2867"/>
      <c r="BI1060" s="2867"/>
      <c r="BJ1060" s="2867"/>
      <c r="BK1060" s="2867"/>
      <c r="BL1060" s="2867"/>
      <c r="BM1060" s="2867"/>
      <c r="BN1060" s="2867"/>
      <c r="BO1060" s="2867"/>
      <c r="BP1060" s="2867"/>
      <c r="BQ1060" s="2867"/>
      <c r="BR1060" s="2867"/>
      <c r="BS1060" s="2867"/>
      <c r="BT1060" s="2867"/>
      <c r="BU1060" s="2867"/>
      <c r="BV1060" s="2867"/>
      <c r="BW1060" s="2867"/>
      <c r="BX1060" s="2867"/>
      <c r="BY1060" s="2867"/>
      <c r="BZ1060" s="2867"/>
      <c r="CA1060" s="2867"/>
      <c r="CB1060" s="2867"/>
      <c r="CC1060" s="2867"/>
      <c r="CD1060" s="2867"/>
      <c r="CE1060" s="2867"/>
      <c r="CF1060" s="2867"/>
      <c r="CG1060" s="2867"/>
      <c r="CH1060" s="2867"/>
      <c r="CI1060" s="2867"/>
      <c r="CJ1060" s="2867"/>
      <c r="CK1060" s="2867"/>
      <c r="CL1060" s="2867"/>
      <c r="CM1060" s="2867"/>
      <c r="CN1060" s="2867"/>
      <c r="CO1060" s="2867"/>
      <c r="CP1060" s="2867"/>
      <c r="CQ1060" s="2867"/>
      <c r="CR1060" s="2867"/>
      <c r="CS1060" s="2867"/>
      <c r="CT1060" s="2867"/>
      <c r="CU1060" s="2867"/>
      <c r="CV1060" s="2867"/>
      <c r="CW1060" s="2867"/>
    </row>
    <row r="1061" spans="1:101">
      <c r="A1061" s="2867"/>
      <c r="B1061" s="2867"/>
      <c r="C1061" s="2867"/>
      <c r="D1061" s="2867"/>
      <c r="E1061" s="2867"/>
      <c r="F1061" s="2867"/>
      <c r="G1061" s="2867"/>
      <c r="H1061" s="2867"/>
      <c r="I1061" s="2867"/>
      <c r="J1061" s="2867"/>
      <c r="K1061" s="2867"/>
      <c r="L1061" s="2867"/>
      <c r="M1061" s="2867"/>
      <c r="O1061" s="2867"/>
      <c r="P1061" s="2867"/>
      <c r="Q1061" s="2867"/>
      <c r="R1061" s="2867"/>
      <c r="S1061" s="2867"/>
      <c r="T1061" s="2867"/>
      <c r="U1061" s="2867"/>
      <c r="V1061" s="2867"/>
      <c r="W1061" s="2867"/>
      <c r="X1061" s="2867"/>
      <c r="Y1061" s="2867"/>
      <c r="Z1061" s="2867"/>
      <c r="AA1061" s="2867"/>
      <c r="AB1061" s="2867"/>
      <c r="AC1061" s="2867"/>
      <c r="AD1061" s="2867"/>
      <c r="AE1061" s="2867"/>
      <c r="AF1061" s="2867"/>
      <c r="AG1061" s="2867"/>
      <c r="AH1061" s="2867"/>
      <c r="AI1061" s="2867"/>
      <c r="AJ1061" s="2867"/>
      <c r="AK1061" s="2867"/>
      <c r="AL1061" s="2867"/>
      <c r="AM1061" s="2867"/>
      <c r="AN1061" s="2867"/>
      <c r="AO1061" s="2867"/>
      <c r="AP1061" s="2867"/>
      <c r="AQ1061" s="2867"/>
      <c r="AR1061" s="2867"/>
      <c r="AS1061" s="2867"/>
      <c r="AT1061" s="2867"/>
      <c r="AU1061" s="2867"/>
      <c r="AV1061" s="2867"/>
      <c r="AW1061" s="2867"/>
      <c r="AX1061" s="2867"/>
      <c r="AY1061" s="2867"/>
      <c r="AZ1061" s="2867"/>
      <c r="BA1061" s="2867"/>
      <c r="BB1061" s="2867"/>
      <c r="BC1061" s="2867"/>
      <c r="BD1061" s="2867"/>
      <c r="BE1061" s="2867"/>
      <c r="BF1061" s="2867"/>
      <c r="BG1061" s="2867"/>
      <c r="BH1061" s="2867"/>
      <c r="BI1061" s="2867"/>
      <c r="BJ1061" s="2867"/>
      <c r="BK1061" s="2867"/>
      <c r="BL1061" s="2867"/>
      <c r="BM1061" s="2867"/>
      <c r="BN1061" s="2867"/>
      <c r="BO1061" s="2867"/>
      <c r="BP1061" s="2867"/>
      <c r="BQ1061" s="2867"/>
      <c r="BR1061" s="2867"/>
      <c r="BS1061" s="2867"/>
      <c r="BT1061" s="2867"/>
      <c r="BU1061" s="2867"/>
      <c r="BV1061" s="2867"/>
      <c r="BW1061" s="2867"/>
      <c r="BX1061" s="2867"/>
      <c r="BY1061" s="2867"/>
      <c r="BZ1061" s="2867"/>
      <c r="CA1061" s="2867"/>
      <c r="CB1061" s="2867"/>
      <c r="CC1061" s="2867"/>
      <c r="CD1061" s="2867"/>
      <c r="CE1061" s="2867"/>
      <c r="CF1061" s="2867"/>
      <c r="CG1061" s="2867"/>
      <c r="CH1061" s="2867"/>
      <c r="CI1061" s="2867"/>
      <c r="CJ1061" s="2867"/>
      <c r="CK1061" s="2867"/>
      <c r="CL1061" s="2867"/>
      <c r="CM1061" s="2867"/>
      <c r="CN1061" s="2867"/>
      <c r="CO1061" s="2867"/>
      <c r="CP1061" s="2867"/>
      <c r="CQ1061" s="2867"/>
      <c r="CR1061" s="2867"/>
      <c r="CS1061" s="2867"/>
      <c r="CT1061" s="2867"/>
      <c r="CU1061" s="2867"/>
      <c r="CV1061" s="2867"/>
      <c r="CW1061" s="2867"/>
    </row>
    <row r="1062" spans="1:101">
      <c r="A1062" s="2867"/>
      <c r="B1062" s="2867"/>
      <c r="C1062" s="2867"/>
      <c r="D1062" s="2867"/>
      <c r="E1062" s="2867"/>
      <c r="F1062" s="2867"/>
      <c r="G1062" s="2867"/>
      <c r="H1062" s="2867"/>
      <c r="I1062" s="2867"/>
      <c r="J1062" s="2867"/>
      <c r="K1062" s="2867"/>
      <c r="L1062" s="2867"/>
      <c r="M1062" s="2867"/>
      <c r="O1062" s="2867"/>
      <c r="P1062" s="2867"/>
      <c r="Q1062" s="2867"/>
      <c r="R1062" s="2867"/>
      <c r="S1062" s="2867"/>
      <c r="T1062" s="2867"/>
      <c r="U1062" s="2867"/>
      <c r="V1062" s="2867"/>
      <c r="W1062" s="2867"/>
      <c r="X1062" s="2867"/>
      <c r="Y1062" s="2867"/>
      <c r="Z1062" s="2867"/>
      <c r="AA1062" s="2867"/>
      <c r="AB1062" s="2867"/>
      <c r="AC1062" s="2867"/>
      <c r="AD1062" s="2867"/>
      <c r="AE1062" s="2867"/>
      <c r="AF1062" s="2867"/>
      <c r="AG1062" s="2867"/>
      <c r="AH1062" s="2867"/>
      <c r="AI1062" s="2867"/>
      <c r="AJ1062" s="2867"/>
      <c r="AK1062" s="2867"/>
      <c r="AL1062" s="2867"/>
      <c r="AM1062" s="2867"/>
      <c r="AN1062" s="2867"/>
      <c r="AO1062" s="2867"/>
      <c r="AP1062" s="2867"/>
      <c r="AQ1062" s="2867"/>
      <c r="AR1062" s="2867"/>
      <c r="AS1062" s="2867"/>
      <c r="AT1062" s="2867"/>
      <c r="AU1062" s="2867"/>
      <c r="AV1062" s="2867"/>
      <c r="AW1062" s="2867"/>
      <c r="AX1062" s="2867"/>
      <c r="AY1062" s="2867"/>
      <c r="AZ1062" s="2867"/>
      <c r="BA1062" s="2867"/>
      <c r="BB1062" s="2867"/>
      <c r="BC1062" s="2867"/>
      <c r="BD1062" s="2867"/>
      <c r="BE1062" s="2867"/>
      <c r="BF1062" s="2867"/>
      <c r="BG1062" s="2867"/>
      <c r="BH1062" s="2867"/>
      <c r="BI1062" s="2867"/>
      <c r="BJ1062" s="2867"/>
      <c r="BK1062" s="2867"/>
      <c r="BL1062" s="2867"/>
      <c r="BM1062" s="2867"/>
      <c r="BN1062" s="2867"/>
      <c r="BO1062" s="2867"/>
      <c r="BP1062" s="2867"/>
      <c r="BQ1062" s="2867"/>
      <c r="BR1062" s="2867"/>
      <c r="BS1062" s="2867"/>
      <c r="BT1062" s="2867"/>
      <c r="BU1062" s="2867"/>
      <c r="BV1062" s="2867"/>
      <c r="BW1062" s="2867"/>
      <c r="BX1062" s="2867"/>
      <c r="BY1062" s="2867"/>
      <c r="BZ1062" s="2867"/>
      <c r="CA1062" s="2867"/>
      <c r="CB1062" s="2867"/>
      <c r="CC1062" s="2867"/>
      <c r="CD1062" s="2867"/>
      <c r="CE1062" s="2867"/>
      <c r="CF1062" s="2867"/>
      <c r="CG1062" s="2867"/>
      <c r="CH1062" s="2867"/>
      <c r="CI1062" s="2867"/>
      <c r="CJ1062" s="2867"/>
      <c r="CK1062" s="2867"/>
      <c r="CL1062" s="2867"/>
      <c r="CM1062" s="2867"/>
      <c r="CN1062" s="2867"/>
      <c r="CO1062" s="2867"/>
      <c r="CP1062" s="2867"/>
      <c r="CQ1062" s="2867"/>
      <c r="CR1062" s="2867"/>
      <c r="CS1062" s="2867"/>
      <c r="CT1062" s="2867"/>
      <c r="CU1062" s="2867"/>
      <c r="CV1062" s="2867"/>
      <c r="CW1062" s="2867"/>
    </row>
    <row r="1063" spans="1:101">
      <c r="A1063" s="2867"/>
      <c r="B1063" s="2867"/>
      <c r="C1063" s="2867"/>
      <c r="D1063" s="2867"/>
      <c r="E1063" s="2867"/>
      <c r="F1063" s="2867"/>
      <c r="G1063" s="2867"/>
      <c r="H1063" s="2867"/>
      <c r="I1063" s="2867"/>
      <c r="J1063" s="2867"/>
      <c r="K1063" s="2867"/>
      <c r="L1063" s="2867"/>
      <c r="M1063" s="2867"/>
      <c r="O1063" s="2867"/>
      <c r="P1063" s="2867"/>
      <c r="Q1063" s="2867"/>
      <c r="R1063" s="2867"/>
      <c r="S1063" s="2867"/>
      <c r="T1063" s="2867"/>
      <c r="U1063" s="2867"/>
      <c r="V1063" s="2867"/>
      <c r="W1063" s="2867"/>
      <c r="X1063" s="2867"/>
      <c r="Y1063" s="2867"/>
      <c r="Z1063" s="2867"/>
      <c r="AA1063" s="2867"/>
      <c r="AB1063" s="2867"/>
      <c r="AC1063" s="2867"/>
      <c r="AD1063" s="2867"/>
      <c r="AE1063" s="2867"/>
      <c r="AF1063" s="2867"/>
      <c r="AG1063" s="2867"/>
      <c r="AH1063" s="2867"/>
      <c r="AI1063" s="2867"/>
      <c r="AJ1063" s="2867"/>
      <c r="AK1063" s="2867"/>
      <c r="AL1063" s="2867"/>
      <c r="AM1063" s="2867"/>
      <c r="AN1063" s="2867"/>
      <c r="AO1063" s="2867"/>
      <c r="AP1063" s="2867"/>
      <c r="AQ1063" s="2867"/>
      <c r="AR1063" s="2867"/>
      <c r="AS1063" s="2867"/>
      <c r="AT1063" s="2867"/>
      <c r="AU1063" s="2867"/>
      <c r="AV1063" s="2867"/>
      <c r="AW1063" s="2867"/>
      <c r="AX1063" s="2867"/>
      <c r="AY1063" s="2867"/>
      <c r="AZ1063" s="2867"/>
      <c r="BA1063" s="2867"/>
      <c r="BB1063" s="2867"/>
      <c r="BC1063" s="2867"/>
      <c r="BD1063" s="2867"/>
      <c r="BE1063" s="2867"/>
      <c r="BF1063" s="2867"/>
      <c r="BG1063" s="2867"/>
      <c r="BH1063" s="2867"/>
      <c r="BI1063" s="2867"/>
      <c r="BJ1063" s="2867"/>
      <c r="BK1063" s="2867"/>
      <c r="BL1063" s="2867"/>
      <c r="BM1063" s="2867"/>
      <c r="BN1063" s="2867"/>
      <c r="BO1063" s="2867"/>
      <c r="BP1063" s="2867"/>
      <c r="BQ1063" s="2867"/>
      <c r="BR1063" s="2867"/>
      <c r="BS1063" s="2867"/>
      <c r="BT1063" s="2867"/>
      <c r="BU1063" s="2867"/>
      <c r="BV1063" s="2867"/>
      <c r="BW1063" s="2867"/>
      <c r="BX1063" s="2867"/>
      <c r="BY1063" s="2867"/>
      <c r="BZ1063" s="2867"/>
      <c r="CA1063" s="2867"/>
      <c r="CB1063" s="2867"/>
      <c r="CC1063" s="2867"/>
      <c r="CD1063" s="2867"/>
      <c r="CE1063" s="2867"/>
      <c r="CF1063" s="2867"/>
      <c r="CG1063" s="2867"/>
      <c r="CH1063" s="2867"/>
      <c r="CI1063" s="2867"/>
      <c r="CJ1063" s="2867"/>
      <c r="CK1063" s="2867"/>
      <c r="CL1063" s="2867"/>
      <c r="CM1063" s="2867"/>
      <c r="CN1063" s="2867"/>
      <c r="CO1063" s="2867"/>
      <c r="CP1063" s="2867"/>
      <c r="CQ1063" s="2867"/>
      <c r="CR1063" s="2867"/>
      <c r="CS1063" s="2867"/>
      <c r="CT1063" s="2867"/>
      <c r="CU1063" s="2867"/>
      <c r="CV1063" s="2867"/>
      <c r="CW1063" s="2867"/>
    </row>
    <row r="1064" spans="1:101">
      <c r="A1064" s="2867"/>
      <c r="B1064" s="2867"/>
      <c r="C1064" s="2867"/>
      <c r="D1064" s="2867"/>
      <c r="E1064" s="2867"/>
      <c r="F1064" s="2867"/>
      <c r="G1064" s="2867"/>
      <c r="H1064" s="2867"/>
      <c r="I1064" s="2867"/>
      <c r="J1064" s="2867"/>
      <c r="K1064" s="2867"/>
      <c r="L1064" s="2867"/>
      <c r="M1064" s="2867"/>
      <c r="O1064" s="2867"/>
      <c r="P1064" s="2867"/>
      <c r="Q1064" s="2867"/>
      <c r="R1064" s="2867"/>
      <c r="S1064" s="2867"/>
      <c r="T1064" s="2867"/>
      <c r="U1064" s="2867"/>
      <c r="V1064" s="2867"/>
      <c r="W1064" s="2867"/>
      <c r="X1064" s="2867"/>
      <c r="Y1064" s="2867"/>
      <c r="Z1064" s="2867"/>
      <c r="AA1064" s="2867"/>
      <c r="AB1064" s="2867"/>
      <c r="AC1064" s="2867"/>
      <c r="AD1064" s="2867"/>
      <c r="AE1064" s="2867"/>
      <c r="AF1064" s="2867"/>
      <c r="AG1064" s="2867"/>
      <c r="AH1064" s="2867"/>
      <c r="AI1064" s="2867"/>
      <c r="AJ1064" s="2867"/>
      <c r="AK1064" s="2867"/>
      <c r="AL1064" s="2867"/>
      <c r="AM1064" s="2867"/>
      <c r="AN1064" s="2867"/>
      <c r="AO1064" s="2867"/>
      <c r="AP1064" s="2867"/>
      <c r="AQ1064" s="2867"/>
      <c r="AR1064" s="2867"/>
      <c r="AS1064" s="2867"/>
      <c r="AT1064" s="2867"/>
      <c r="AU1064" s="2867"/>
      <c r="AV1064" s="2867"/>
      <c r="AW1064" s="2867"/>
      <c r="AX1064" s="2867"/>
      <c r="AY1064" s="2867"/>
      <c r="AZ1064" s="2867"/>
      <c r="BA1064" s="2867"/>
      <c r="BB1064" s="2867"/>
      <c r="BC1064" s="2867"/>
      <c r="BD1064" s="2867"/>
      <c r="BE1064" s="2867"/>
      <c r="BF1064" s="2867"/>
      <c r="BG1064" s="2867"/>
      <c r="BH1064" s="2867"/>
      <c r="BI1064" s="2867"/>
      <c r="BJ1064" s="2867"/>
      <c r="BK1064" s="2867"/>
      <c r="BL1064" s="2867"/>
      <c r="BM1064" s="2867"/>
      <c r="BN1064" s="2867"/>
      <c r="BO1064" s="2867"/>
      <c r="BP1064" s="2867"/>
      <c r="BQ1064" s="2867"/>
      <c r="BR1064" s="2867"/>
      <c r="BS1064" s="2867"/>
      <c r="BT1064" s="2867"/>
      <c r="BU1064" s="2867"/>
      <c r="BV1064" s="2867"/>
      <c r="BW1064" s="2867"/>
      <c r="BX1064" s="2867"/>
      <c r="BY1064" s="2867"/>
      <c r="BZ1064" s="2867"/>
      <c r="CA1064" s="2867"/>
      <c r="CB1064" s="2867"/>
      <c r="CC1064" s="2867"/>
      <c r="CD1064" s="2867"/>
      <c r="CE1064" s="2867"/>
      <c r="CF1064" s="2867"/>
      <c r="CG1064" s="2867"/>
      <c r="CH1064" s="2867"/>
      <c r="CI1064" s="2867"/>
      <c r="CJ1064" s="2867"/>
      <c r="CK1064" s="2867"/>
      <c r="CL1064" s="2867"/>
      <c r="CM1064" s="2867"/>
      <c r="CN1064" s="2867"/>
      <c r="CO1064" s="2867"/>
      <c r="CP1064" s="2867"/>
      <c r="CQ1064" s="2867"/>
      <c r="CR1064" s="2867"/>
      <c r="CS1064" s="2867"/>
      <c r="CT1064" s="2867"/>
      <c r="CU1064" s="2867"/>
      <c r="CV1064" s="2867"/>
      <c r="CW1064" s="2867"/>
    </row>
    <row r="1065" spans="1:101">
      <c r="A1065" s="2867"/>
      <c r="B1065" s="2867"/>
      <c r="C1065" s="2867"/>
      <c r="D1065" s="2867"/>
      <c r="E1065" s="2867"/>
      <c r="F1065" s="2867"/>
      <c r="G1065" s="2867"/>
      <c r="H1065" s="2867"/>
      <c r="I1065" s="2867"/>
      <c r="J1065" s="2867"/>
      <c r="K1065" s="2867"/>
      <c r="L1065" s="2867"/>
      <c r="M1065" s="2867"/>
      <c r="O1065" s="2867"/>
      <c r="P1065" s="2867"/>
      <c r="Q1065" s="2867"/>
      <c r="R1065" s="2867"/>
      <c r="S1065" s="2867"/>
      <c r="T1065" s="2867"/>
      <c r="U1065" s="2867"/>
      <c r="V1065" s="2867"/>
      <c r="W1065" s="2867"/>
      <c r="X1065" s="2867"/>
      <c r="Y1065" s="2867"/>
      <c r="Z1065" s="2867"/>
      <c r="AA1065" s="2867"/>
      <c r="AB1065" s="2867"/>
      <c r="AC1065" s="2867"/>
      <c r="AD1065" s="2867"/>
      <c r="AE1065" s="2867"/>
      <c r="AF1065" s="2867"/>
      <c r="AG1065" s="2867"/>
      <c r="AH1065" s="2867"/>
      <c r="AI1065" s="2867"/>
      <c r="AJ1065" s="2867"/>
      <c r="AK1065" s="2867"/>
      <c r="AL1065" s="2867"/>
      <c r="AM1065" s="2867"/>
      <c r="AN1065" s="2867"/>
      <c r="AO1065" s="2867"/>
      <c r="AP1065" s="2867"/>
      <c r="AQ1065" s="2867"/>
      <c r="AR1065" s="2867"/>
      <c r="AS1065" s="2867"/>
      <c r="AT1065" s="2867"/>
      <c r="AU1065" s="2867"/>
      <c r="AV1065" s="2867"/>
      <c r="AW1065" s="2867"/>
      <c r="AX1065" s="2867"/>
      <c r="AY1065" s="2867"/>
      <c r="AZ1065" s="2867"/>
      <c r="BA1065" s="2867"/>
      <c r="BB1065" s="2867"/>
      <c r="BC1065" s="2867"/>
      <c r="BD1065" s="2867"/>
      <c r="BE1065" s="2867"/>
      <c r="BF1065" s="2867"/>
      <c r="BG1065" s="2867"/>
      <c r="BH1065" s="2867"/>
      <c r="BI1065" s="2867"/>
      <c r="BJ1065" s="2867"/>
      <c r="BK1065" s="2867"/>
      <c r="BL1065" s="2867"/>
      <c r="BM1065" s="2867"/>
      <c r="BN1065" s="2867"/>
      <c r="BO1065" s="2867"/>
      <c r="BP1065" s="2867"/>
      <c r="BQ1065" s="2867"/>
      <c r="BR1065" s="2867"/>
      <c r="BS1065" s="2867"/>
      <c r="BT1065" s="2867"/>
      <c r="BU1065" s="2867"/>
      <c r="BV1065" s="2867"/>
      <c r="BW1065" s="2867"/>
      <c r="BX1065" s="2867"/>
      <c r="BY1065" s="2867"/>
      <c r="BZ1065" s="2867"/>
      <c r="CA1065" s="2867"/>
      <c r="CB1065" s="2867"/>
      <c r="CC1065" s="2867"/>
      <c r="CD1065" s="2867"/>
      <c r="CE1065" s="2867"/>
      <c r="CF1065" s="2867"/>
      <c r="CG1065" s="2867"/>
      <c r="CH1065" s="2867"/>
      <c r="CI1065" s="2867"/>
      <c r="CJ1065" s="2867"/>
      <c r="CK1065" s="2867"/>
      <c r="CL1065" s="2867"/>
      <c r="CM1065" s="2867"/>
      <c r="CN1065" s="2867"/>
      <c r="CO1065" s="2867"/>
      <c r="CP1065" s="2867"/>
      <c r="CQ1065" s="2867"/>
      <c r="CR1065" s="2867"/>
      <c r="CS1065" s="2867"/>
      <c r="CT1065" s="2867"/>
      <c r="CU1065" s="2867"/>
      <c r="CV1065" s="2867"/>
      <c r="CW1065" s="2867"/>
    </row>
    <row r="1066" spans="1:101">
      <c r="A1066" s="2867"/>
      <c r="B1066" s="2867"/>
      <c r="C1066" s="2867"/>
      <c r="D1066" s="2867"/>
      <c r="E1066" s="2867"/>
      <c r="F1066" s="2867"/>
      <c r="G1066" s="2867"/>
      <c r="H1066" s="2867"/>
      <c r="I1066" s="2867"/>
      <c r="J1066" s="2867"/>
      <c r="K1066" s="2867"/>
      <c r="L1066" s="2867"/>
      <c r="M1066" s="2867"/>
      <c r="O1066" s="2867"/>
      <c r="P1066" s="2867"/>
      <c r="Q1066" s="2867"/>
      <c r="R1066" s="2867"/>
      <c r="S1066" s="2867"/>
      <c r="T1066" s="2867"/>
      <c r="U1066" s="2867"/>
      <c r="V1066" s="2867"/>
      <c r="W1066" s="2867"/>
      <c r="X1066" s="2867"/>
      <c r="Y1066" s="2867"/>
      <c r="Z1066" s="2867"/>
      <c r="AA1066" s="2867"/>
      <c r="AB1066" s="2867"/>
      <c r="AC1066" s="2867"/>
      <c r="AD1066" s="2867"/>
      <c r="AE1066" s="2867"/>
      <c r="AF1066" s="2867"/>
      <c r="AG1066" s="2867"/>
      <c r="AH1066" s="2867"/>
      <c r="AI1066" s="2867"/>
      <c r="AJ1066" s="2867"/>
      <c r="AK1066" s="2867"/>
      <c r="AL1066" s="2867"/>
      <c r="AM1066" s="2867"/>
      <c r="AN1066" s="2867"/>
      <c r="AO1066" s="2867"/>
      <c r="AP1066" s="2867"/>
      <c r="AQ1066" s="2867"/>
      <c r="AR1066" s="2867"/>
      <c r="AS1066" s="2867"/>
      <c r="AT1066" s="2867"/>
      <c r="AU1066" s="2867"/>
      <c r="AV1066" s="2867"/>
      <c r="AW1066" s="2867"/>
      <c r="AX1066" s="2867"/>
      <c r="AY1066" s="2867"/>
      <c r="AZ1066" s="2867"/>
      <c r="BA1066" s="2867"/>
      <c r="BB1066" s="2867"/>
      <c r="BC1066" s="2867"/>
      <c r="BD1066" s="2867"/>
      <c r="BE1066" s="2867"/>
      <c r="BF1066" s="2867"/>
      <c r="BG1066" s="2867"/>
      <c r="BH1066" s="2867"/>
      <c r="BI1066" s="2867"/>
      <c r="BJ1066" s="2867"/>
      <c r="BK1066" s="2867"/>
      <c r="BL1066" s="2867"/>
      <c r="BM1066" s="2867"/>
      <c r="BN1066" s="2867"/>
      <c r="BO1066" s="2867"/>
      <c r="BP1066" s="2867"/>
      <c r="BQ1066" s="2867"/>
      <c r="BR1066" s="2867"/>
      <c r="BS1066" s="2867"/>
      <c r="BT1066" s="2867"/>
      <c r="BU1066" s="2867"/>
      <c r="BV1066" s="2867"/>
      <c r="BW1066" s="2867"/>
      <c r="BX1066" s="2867"/>
      <c r="BY1066" s="2867"/>
      <c r="BZ1066" s="2867"/>
      <c r="CA1066" s="2867"/>
      <c r="CB1066" s="2867"/>
      <c r="CC1066" s="2867"/>
      <c r="CD1066" s="2867"/>
      <c r="CE1066" s="2867"/>
      <c r="CF1066" s="2867"/>
      <c r="CG1066" s="2867"/>
      <c r="CH1066" s="2867"/>
      <c r="CI1066" s="2867"/>
      <c r="CJ1066" s="2867"/>
      <c r="CK1066" s="2867"/>
      <c r="CL1066" s="2867"/>
      <c r="CM1066" s="2867"/>
      <c r="CN1066" s="2867"/>
      <c r="CO1066" s="2867"/>
      <c r="CP1066" s="2867"/>
      <c r="CQ1066" s="2867"/>
      <c r="CR1066" s="2867"/>
      <c r="CS1066" s="2867"/>
      <c r="CT1066" s="2867"/>
      <c r="CU1066" s="2867"/>
      <c r="CV1066" s="2867"/>
      <c r="CW1066" s="2867"/>
    </row>
    <row r="1067" spans="1:101">
      <c r="A1067" s="2867"/>
      <c r="B1067" s="2867"/>
      <c r="C1067" s="2867"/>
      <c r="D1067" s="2867"/>
      <c r="E1067" s="2867"/>
      <c r="F1067" s="2867"/>
      <c r="G1067" s="2867"/>
      <c r="H1067" s="2867"/>
      <c r="I1067" s="2867"/>
      <c r="J1067" s="2867"/>
      <c r="K1067" s="2867"/>
      <c r="L1067" s="2867"/>
      <c r="M1067" s="2867"/>
      <c r="O1067" s="2867"/>
      <c r="P1067" s="2867"/>
      <c r="Q1067" s="2867"/>
      <c r="R1067" s="2867"/>
      <c r="S1067" s="2867"/>
      <c r="T1067" s="2867"/>
      <c r="U1067" s="2867"/>
      <c r="V1067" s="2867"/>
      <c r="W1067" s="2867"/>
      <c r="X1067" s="2867"/>
      <c r="Y1067" s="2867"/>
      <c r="Z1067" s="2867"/>
      <c r="AA1067" s="2867"/>
      <c r="AB1067" s="2867"/>
      <c r="AC1067" s="2867"/>
      <c r="AD1067" s="2867"/>
      <c r="AE1067" s="2867"/>
      <c r="AF1067" s="2867"/>
      <c r="AG1067" s="2867"/>
      <c r="AH1067" s="2867"/>
      <c r="AI1067" s="2867"/>
      <c r="AJ1067" s="2867"/>
      <c r="AK1067" s="2867"/>
      <c r="AL1067" s="2867"/>
      <c r="AM1067" s="2867"/>
      <c r="AN1067" s="2867"/>
      <c r="AO1067" s="2867"/>
      <c r="AP1067" s="2867"/>
      <c r="AQ1067" s="2867"/>
      <c r="AR1067" s="2867"/>
      <c r="AS1067" s="2867"/>
      <c r="AT1067" s="2867"/>
      <c r="AU1067" s="2867"/>
      <c r="AV1067" s="2867"/>
      <c r="AW1067" s="2867"/>
      <c r="AX1067" s="2867"/>
      <c r="AY1067" s="2867"/>
      <c r="AZ1067" s="2867"/>
      <c r="BA1067" s="2867"/>
      <c r="BB1067" s="2867"/>
      <c r="BC1067" s="2867"/>
      <c r="BD1067" s="2867"/>
      <c r="BE1067" s="2867"/>
      <c r="BF1067" s="2867"/>
      <c r="BG1067" s="2867"/>
      <c r="BH1067" s="2867"/>
      <c r="BI1067" s="2867"/>
      <c r="BJ1067" s="2867"/>
      <c r="BK1067" s="2867"/>
      <c r="BL1067" s="2867"/>
      <c r="BM1067" s="2867"/>
      <c r="BN1067" s="2867"/>
      <c r="BO1067" s="2867"/>
      <c r="BP1067" s="2867"/>
      <c r="BQ1067" s="2867"/>
      <c r="BR1067" s="2867"/>
      <c r="BS1067" s="2867"/>
      <c r="BT1067" s="2867"/>
      <c r="BU1067" s="2867"/>
      <c r="BV1067" s="2867"/>
      <c r="BW1067" s="2867"/>
      <c r="BX1067" s="2867"/>
      <c r="BY1067" s="2867"/>
      <c r="BZ1067" s="2867"/>
      <c r="CA1067" s="2867"/>
      <c r="CB1067" s="2867"/>
      <c r="CC1067" s="2867"/>
      <c r="CD1067" s="2867"/>
      <c r="CE1067" s="2867"/>
      <c r="CF1067" s="2867"/>
      <c r="CG1067" s="2867"/>
      <c r="CH1067" s="2867"/>
      <c r="CI1067" s="2867"/>
      <c r="CJ1067" s="2867"/>
      <c r="CK1067" s="2867"/>
      <c r="CL1067" s="2867"/>
      <c r="CM1067" s="2867"/>
      <c r="CN1067" s="2867"/>
      <c r="CO1067" s="2867"/>
      <c r="CP1067" s="2867"/>
      <c r="CQ1067" s="2867"/>
      <c r="CR1067" s="2867"/>
      <c r="CS1067" s="2867"/>
      <c r="CT1067" s="2867"/>
      <c r="CU1067" s="2867"/>
      <c r="CV1067" s="2867"/>
      <c r="CW1067" s="2867"/>
    </row>
    <row r="1068" spans="1:101">
      <c r="A1068" s="2867"/>
      <c r="B1068" s="2867"/>
      <c r="C1068" s="2867"/>
      <c r="D1068" s="2867"/>
      <c r="E1068" s="2867"/>
      <c r="F1068" s="2867"/>
      <c r="G1068" s="2867"/>
      <c r="H1068" s="2867"/>
      <c r="I1068" s="2867"/>
      <c r="J1068" s="2867"/>
      <c r="K1068" s="2867"/>
      <c r="L1068" s="2867"/>
      <c r="M1068" s="2867"/>
      <c r="O1068" s="2867"/>
      <c r="P1068" s="2867"/>
      <c r="Q1068" s="2867"/>
      <c r="R1068" s="2867"/>
      <c r="S1068" s="2867"/>
      <c r="T1068" s="2867"/>
      <c r="U1068" s="2867"/>
      <c r="V1068" s="2867"/>
      <c r="W1068" s="2867"/>
      <c r="X1068" s="2867"/>
      <c r="Y1068" s="2867"/>
      <c r="Z1068" s="2867"/>
      <c r="AA1068" s="2867"/>
      <c r="AB1068" s="2867"/>
      <c r="AC1068" s="2867"/>
      <c r="AD1068" s="2867"/>
      <c r="AE1068" s="2867"/>
      <c r="AF1068" s="2867"/>
      <c r="AG1068" s="2867"/>
      <c r="AH1068" s="2867"/>
      <c r="AI1068" s="2867"/>
      <c r="AJ1068" s="2867"/>
      <c r="AK1068" s="2867"/>
      <c r="AL1068" s="2867"/>
      <c r="AM1068" s="2867"/>
      <c r="AN1068" s="2867"/>
      <c r="AO1068" s="2867"/>
      <c r="AP1068" s="2867"/>
      <c r="AQ1068" s="2867"/>
      <c r="AR1068" s="2867"/>
      <c r="AS1068" s="2867"/>
      <c r="AT1068" s="2867"/>
      <c r="AU1068" s="2867"/>
      <c r="AV1068" s="2867"/>
      <c r="AW1068" s="2867"/>
      <c r="AX1068" s="2867"/>
      <c r="AY1068" s="2867"/>
      <c r="AZ1068" s="2867"/>
      <c r="BA1068" s="2867"/>
      <c r="BB1068" s="2867"/>
      <c r="BC1068" s="2867"/>
      <c r="BD1068" s="2867"/>
      <c r="BE1068" s="2867"/>
      <c r="BF1068" s="2867"/>
      <c r="BG1068" s="2867"/>
      <c r="BH1068" s="2867"/>
      <c r="BI1068" s="2867"/>
      <c r="BJ1068" s="2867"/>
      <c r="BK1068" s="2867"/>
      <c r="BL1068" s="2867"/>
      <c r="BM1068" s="2867"/>
      <c r="BN1068" s="2867"/>
      <c r="BO1068" s="2867"/>
      <c r="BP1068" s="2867"/>
      <c r="BQ1068" s="2867"/>
      <c r="BR1068" s="2867"/>
      <c r="BS1068" s="2867"/>
      <c r="BT1068" s="2867"/>
      <c r="BU1068" s="2867"/>
      <c r="BV1068" s="2867"/>
      <c r="BW1068" s="2867"/>
      <c r="BX1068" s="2867"/>
      <c r="BY1068" s="2867"/>
      <c r="BZ1068" s="2867"/>
      <c r="CA1068" s="2867"/>
      <c r="CB1068" s="2867"/>
      <c r="CC1068" s="2867"/>
      <c r="CD1068" s="2867"/>
      <c r="CE1068" s="2867"/>
      <c r="CF1068" s="2867"/>
      <c r="CG1068" s="2867"/>
      <c r="CH1068" s="2867"/>
      <c r="CI1068" s="2867"/>
      <c r="CJ1068" s="2867"/>
      <c r="CK1068" s="2867"/>
      <c r="CL1068" s="2867"/>
      <c r="CM1068" s="2867"/>
      <c r="CN1068" s="2867"/>
      <c r="CO1068" s="2867"/>
      <c r="CP1068" s="2867"/>
      <c r="CQ1068" s="2867"/>
      <c r="CR1068" s="2867"/>
      <c r="CS1068" s="2867"/>
      <c r="CT1068" s="2867"/>
      <c r="CU1068" s="2867"/>
      <c r="CV1068" s="2867"/>
      <c r="CW1068" s="2867"/>
    </row>
    <row r="1069" spans="1:101">
      <c r="A1069" s="2867"/>
      <c r="B1069" s="2867"/>
      <c r="C1069" s="2867"/>
      <c r="D1069" s="2867"/>
      <c r="E1069" s="2867"/>
      <c r="F1069" s="2867"/>
      <c r="G1069" s="2867"/>
      <c r="H1069" s="2867"/>
      <c r="I1069" s="2867"/>
      <c r="J1069" s="2867"/>
      <c r="K1069" s="2867"/>
      <c r="L1069" s="2867"/>
      <c r="M1069" s="2867"/>
      <c r="O1069" s="2867"/>
      <c r="P1069" s="2867"/>
      <c r="Q1069" s="2867"/>
      <c r="R1069" s="2867"/>
      <c r="S1069" s="2867"/>
      <c r="T1069" s="2867"/>
      <c r="U1069" s="2867"/>
      <c r="V1069" s="2867"/>
      <c r="W1069" s="2867"/>
      <c r="X1069" s="2867"/>
      <c r="Y1069" s="2867"/>
      <c r="Z1069" s="2867"/>
      <c r="AA1069" s="2867"/>
      <c r="AB1069" s="2867"/>
      <c r="AC1069" s="2867"/>
      <c r="AD1069" s="2867"/>
      <c r="AE1069" s="2867"/>
      <c r="AF1069" s="2867"/>
      <c r="AG1069" s="2867"/>
      <c r="AH1069" s="2867"/>
      <c r="AI1069" s="2867"/>
      <c r="AJ1069" s="2867"/>
      <c r="AK1069" s="2867"/>
      <c r="AL1069" s="2867"/>
      <c r="AM1069" s="2867"/>
      <c r="AN1069" s="2867"/>
      <c r="AO1069" s="2867"/>
      <c r="AP1069" s="2867"/>
      <c r="AQ1069" s="2867"/>
      <c r="AR1069" s="2867"/>
      <c r="AS1069" s="2867"/>
      <c r="AT1069" s="2867"/>
      <c r="AU1069" s="2867"/>
      <c r="AV1069" s="2867"/>
      <c r="AW1069" s="2867"/>
      <c r="AX1069" s="2867"/>
      <c r="AY1069" s="2867"/>
      <c r="AZ1069" s="2867"/>
      <c r="BA1069" s="2867"/>
      <c r="BB1069" s="2867"/>
      <c r="BC1069" s="2867"/>
      <c r="BD1069" s="2867"/>
      <c r="BE1069" s="2867"/>
      <c r="BF1069" s="2867"/>
      <c r="BG1069" s="2867"/>
      <c r="BH1069" s="2867"/>
      <c r="BI1069" s="2867"/>
      <c r="BJ1069" s="2867"/>
      <c r="BK1069" s="2867"/>
      <c r="BL1069" s="2867"/>
      <c r="BM1069" s="2867"/>
      <c r="BN1069" s="2867"/>
      <c r="BO1069" s="2867"/>
      <c r="BP1069" s="2867"/>
      <c r="BQ1069" s="2867"/>
      <c r="BR1069" s="2867"/>
      <c r="BS1069" s="2867"/>
      <c r="BT1069" s="2867"/>
      <c r="BU1069" s="2867"/>
      <c r="BV1069" s="2867"/>
      <c r="BW1069" s="2867"/>
      <c r="BX1069" s="2867"/>
      <c r="BY1069" s="2867"/>
      <c r="BZ1069" s="2867"/>
      <c r="CA1069" s="2867"/>
      <c r="CB1069" s="2867"/>
      <c r="CC1069" s="2867"/>
      <c r="CD1069" s="2867"/>
      <c r="CE1069" s="2867"/>
      <c r="CF1069" s="2867"/>
      <c r="CG1069" s="2867"/>
      <c r="CH1069" s="2867"/>
      <c r="CI1069" s="2867"/>
      <c r="CJ1069" s="2867"/>
      <c r="CK1069" s="2867"/>
      <c r="CL1069" s="2867"/>
      <c r="CM1069" s="2867"/>
      <c r="CN1069" s="2867"/>
      <c r="CO1069" s="2867"/>
      <c r="CP1069" s="2867"/>
      <c r="CQ1069" s="2867"/>
      <c r="CR1069" s="2867"/>
      <c r="CS1069" s="2867"/>
      <c r="CT1069" s="2867"/>
      <c r="CU1069" s="2867"/>
      <c r="CV1069" s="2867"/>
      <c r="CW1069" s="2867"/>
    </row>
    <row r="1070" spans="1:101">
      <c r="A1070" s="2867"/>
      <c r="B1070" s="2867"/>
      <c r="C1070" s="2867"/>
      <c r="D1070" s="2867"/>
      <c r="E1070" s="2867"/>
      <c r="F1070" s="2867"/>
      <c r="G1070" s="2867"/>
      <c r="H1070" s="2867"/>
      <c r="I1070" s="2867"/>
      <c r="J1070" s="2867"/>
      <c r="K1070" s="2867"/>
      <c r="L1070" s="2867"/>
      <c r="M1070" s="2867"/>
      <c r="O1070" s="2867"/>
      <c r="P1070" s="2867"/>
      <c r="Q1070" s="2867"/>
      <c r="R1070" s="2867"/>
      <c r="S1070" s="2867"/>
      <c r="T1070" s="2867"/>
      <c r="U1070" s="2867"/>
      <c r="V1070" s="2867"/>
      <c r="W1070" s="2867"/>
      <c r="X1070" s="2867"/>
      <c r="Y1070" s="2867"/>
      <c r="Z1070" s="2867"/>
      <c r="AA1070" s="2867"/>
      <c r="AB1070" s="2867"/>
      <c r="AC1070" s="2867"/>
      <c r="AD1070" s="2867"/>
      <c r="AE1070" s="2867"/>
      <c r="AF1070" s="2867"/>
      <c r="AG1070" s="2867"/>
      <c r="AH1070" s="2867"/>
      <c r="AI1070" s="2867"/>
      <c r="AJ1070" s="2867"/>
      <c r="AK1070" s="2867"/>
      <c r="AL1070" s="2867"/>
      <c r="AM1070" s="2867"/>
      <c r="AN1070" s="2867"/>
      <c r="AO1070" s="2867"/>
      <c r="AP1070" s="2867"/>
      <c r="AQ1070" s="2867"/>
      <c r="AR1070" s="2867"/>
      <c r="AS1070" s="2867"/>
      <c r="AT1070" s="2867"/>
      <c r="AU1070" s="2867"/>
      <c r="AV1070" s="2867"/>
      <c r="AW1070" s="2867"/>
      <c r="AX1070" s="2867"/>
      <c r="AY1070" s="2867"/>
      <c r="AZ1070" s="2867"/>
      <c r="BA1070" s="2867"/>
      <c r="BB1070" s="2867"/>
      <c r="BC1070" s="2867"/>
      <c r="BD1070" s="2867"/>
      <c r="BE1070" s="2867"/>
      <c r="BF1070" s="2867"/>
      <c r="BG1070" s="2867"/>
      <c r="BH1070" s="2867"/>
      <c r="BI1070" s="2867"/>
      <c r="BJ1070" s="2867"/>
      <c r="BK1070" s="2867"/>
      <c r="BL1070" s="2867"/>
      <c r="BM1070" s="2867"/>
      <c r="BN1070" s="2867"/>
      <c r="BO1070" s="2867"/>
      <c r="BP1070" s="2867"/>
      <c r="BQ1070" s="2867"/>
      <c r="BR1070" s="2867"/>
      <c r="BS1070" s="2867"/>
      <c r="BT1070" s="2867"/>
      <c r="BU1070" s="2867"/>
      <c r="BV1070" s="2867"/>
      <c r="BW1070" s="2867"/>
      <c r="BX1070" s="2867"/>
      <c r="BY1070" s="2867"/>
      <c r="BZ1070" s="2867"/>
      <c r="CA1070" s="2867"/>
      <c r="CB1070" s="2867"/>
      <c r="CC1070" s="2867"/>
      <c r="CD1070" s="2867"/>
      <c r="CE1070" s="2867"/>
      <c r="CF1070" s="2867"/>
      <c r="CG1070" s="2867"/>
      <c r="CH1070" s="2867"/>
      <c r="CI1070" s="2867"/>
      <c r="CJ1070" s="2867"/>
      <c r="CK1070" s="2867"/>
      <c r="CL1070" s="2867"/>
      <c r="CM1070" s="2867"/>
      <c r="CN1070" s="2867"/>
      <c r="CO1070" s="2867"/>
      <c r="CP1070" s="2867"/>
      <c r="CQ1070" s="2867"/>
      <c r="CR1070" s="2867"/>
      <c r="CS1070" s="2867"/>
      <c r="CT1070" s="2867"/>
      <c r="CU1070" s="2867"/>
      <c r="CV1070" s="2867"/>
      <c r="CW1070" s="2867"/>
    </row>
    <row r="1071" spans="1:101">
      <c r="A1071" s="2867"/>
      <c r="B1071" s="2867"/>
      <c r="C1071" s="2867"/>
      <c r="D1071" s="2867"/>
      <c r="E1071" s="2867"/>
      <c r="F1071" s="2867"/>
      <c r="G1071" s="2867"/>
      <c r="H1071" s="2867"/>
      <c r="I1071" s="2867"/>
      <c r="J1071" s="2867"/>
      <c r="K1071" s="2867"/>
      <c r="L1071" s="2867"/>
      <c r="M1071" s="2867"/>
      <c r="O1071" s="2867"/>
      <c r="P1071" s="2867"/>
      <c r="Q1071" s="2867"/>
      <c r="R1071" s="2867"/>
      <c r="S1071" s="2867"/>
      <c r="T1071" s="2867"/>
      <c r="U1071" s="2867"/>
      <c r="V1071" s="2867"/>
      <c r="W1071" s="2867"/>
      <c r="X1071" s="2867"/>
      <c r="Y1071" s="2867"/>
      <c r="Z1071" s="2867"/>
      <c r="AA1071" s="2867"/>
      <c r="AB1071" s="2867"/>
      <c r="AC1071" s="2867"/>
      <c r="AD1071" s="2867"/>
      <c r="AE1071" s="2867"/>
      <c r="AF1071" s="2867"/>
      <c r="AG1071" s="2867"/>
      <c r="AH1071" s="2867"/>
      <c r="AI1071" s="2867"/>
      <c r="AJ1071" s="2867"/>
      <c r="AK1071" s="2867"/>
      <c r="AL1071" s="2867"/>
      <c r="AM1071" s="2867"/>
      <c r="AN1071" s="2867"/>
      <c r="AO1071" s="2867"/>
      <c r="AP1071" s="2867"/>
      <c r="AQ1071" s="2867"/>
      <c r="AR1071" s="2867"/>
      <c r="AS1071" s="2867"/>
      <c r="AT1071" s="2867"/>
      <c r="AU1071" s="2867"/>
      <c r="AV1071" s="2867"/>
      <c r="AW1071" s="2867"/>
      <c r="AX1071" s="2867"/>
      <c r="AY1071" s="2867"/>
      <c r="AZ1071" s="2867"/>
      <c r="BA1071" s="2867"/>
      <c r="BB1071" s="2867"/>
      <c r="BC1071" s="2867"/>
      <c r="BD1071" s="2867"/>
      <c r="BE1071" s="2867"/>
      <c r="BF1071" s="2867"/>
      <c r="BG1071" s="2867"/>
      <c r="BH1071" s="2867"/>
      <c r="BI1071" s="2867"/>
      <c r="BJ1071" s="2867"/>
      <c r="BK1071" s="2867"/>
      <c r="BL1071" s="2867"/>
      <c r="BM1071" s="2867"/>
      <c r="BN1071" s="2867"/>
      <c r="BO1071" s="2867"/>
      <c r="BP1071" s="2867"/>
      <c r="BQ1071" s="2867"/>
      <c r="BR1071" s="2867"/>
      <c r="BS1071" s="2867"/>
      <c r="BT1071" s="2867"/>
      <c r="BU1071" s="2867"/>
      <c r="BV1071" s="2867"/>
      <c r="BW1071" s="2867"/>
      <c r="BX1071" s="2867"/>
      <c r="BY1071" s="2867"/>
      <c r="BZ1071" s="2867"/>
      <c r="CA1071" s="2867"/>
      <c r="CB1071" s="2867"/>
      <c r="CC1071" s="2867"/>
      <c r="CD1071" s="2867"/>
      <c r="CE1071" s="2867"/>
      <c r="CF1071" s="2867"/>
      <c r="CG1071" s="2867"/>
      <c r="CH1071" s="2867"/>
      <c r="CI1071" s="2867"/>
      <c r="CJ1071" s="2867"/>
      <c r="CK1071" s="2867"/>
      <c r="CL1071" s="2867"/>
      <c r="CM1071" s="2867"/>
      <c r="CN1071" s="2867"/>
      <c r="CO1071" s="2867"/>
      <c r="CP1071" s="2867"/>
      <c r="CQ1071" s="2867"/>
      <c r="CR1071" s="2867"/>
      <c r="CS1071" s="2867"/>
      <c r="CT1071" s="2867"/>
      <c r="CU1071" s="2867"/>
      <c r="CV1071" s="2867"/>
      <c r="CW1071" s="2867"/>
    </row>
    <row r="1072" spans="1:101">
      <c r="A1072" s="2867"/>
      <c r="B1072" s="2867"/>
      <c r="C1072" s="2867"/>
      <c r="D1072" s="2867"/>
      <c r="E1072" s="2867"/>
      <c r="F1072" s="2867"/>
      <c r="G1072" s="2867"/>
      <c r="H1072" s="2867"/>
      <c r="I1072" s="2867"/>
      <c r="J1072" s="2867"/>
      <c r="K1072" s="2867"/>
      <c r="L1072" s="2867"/>
      <c r="M1072" s="2867"/>
      <c r="O1072" s="2867"/>
      <c r="P1072" s="2867"/>
      <c r="Q1072" s="2867"/>
      <c r="R1072" s="2867"/>
      <c r="S1072" s="2867"/>
      <c r="T1072" s="2867"/>
      <c r="U1072" s="2867"/>
      <c r="V1072" s="2867"/>
      <c r="W1072" s="2867"/>
      <c r="X1072" s="2867"/>
      <c r="Y1072" s="2867"/>
      <c r="Z1072" s="2867"/>
      <c r="AA1072" s="2867"/>
      <c r="AB1072" s="2867"/>
      <c r="AC1072" s="2867"/>
      <c r="AD1072" s="2867"/>
      <c r="AE1072" s="2867"/>
      <c r="AF1072" s="2867"/>
      <c r="AG1072" s="2867"/>
      <c r="AH1072" s="2867"/>
      <c r="AI1072" s="2867"/>
      <c r="AJ1072" s="2867"/>
      <c r="AK1072" s="2867"/>
      <c r="AL1072" s="2867"/>
      <c r="AM1072" s="2867"/>
      <c r="AN1072" s="2867"/>
      <c r="AO1072" s="2867"/>
      <c r="AP1072" s="2867"/>
      <c r="AQ1072" s="2867"/>
      <c r="AR1072" s="2867"/>
      <c r="AS1072" s="2867"/>
      <c r="AT1072" s="2867"/>
      <c r="AU1072" s="2867"/>
      <c r="AV1072" s="2867"/>
      <c r="AW1072" s="2867"/>
      <c r="AX1072" s="2867"/>
      <c r="AY1072" s="2867"/>
      <c r="AZ1072" s="2867"/>
      <c r="BA1072" s="2867"/>
      <c r="BB1072" s="2867"/>
      <c r="BC1072" s="2867"/>
      <c r="BD1072" s="2867"/>
      <c r="BE1072" s="2867"/>
      <c r="BF1072" s="2867"/>
      <c r="BG1072" s="2867"/>
      <c r="BH1072" s="2867"/>
      <c r="BI1072" s="2867"/>
      <c r="BJ1072" s="2867"/>
      <c r="BK1072" s="2867"/>
      <c r="BL1072" s="2867"/>
      <c r="BM1072" s="2867"/>
      <c r="BN1072" s="2867"/>
      <c r="BO1072" s="2867"/>
      <c r="BP1072" s="2867"/>
      <c r="BQ1072" s="2867"/>
      <c r="BR1072" s="2867"/>
      <c r="BS1072" s="2867"/>
      <c r="BT1072" s="2867"/>
      <c r="BU1072" s="2867"/>
      <c r="BV1072" s="2867"/>
      <c r="BW1072" s="2867"/>
      <c r="BX1072" s="2867"/>
      <c r="BY1072" s="2867"/>
      <c r="BZ1072" s="2867"/>
      <c r="CA1072" s="2867"/>
      <c r="CB1072" s="2867"/>
      <c r="CC1072" s="2867"/>
      <c r="CD1072" s="2867"/>
      <c r="CE1072" s="2867"/>
      <c r="CF1072" s="2867"/>
      <c r="CG1072" s="2867"/>
      <c r="CH1072" s="2867"/>
      <c r="CI1072" s="2867"/>
      <c r="CJ1072" s="2867"/>
      <c r="CK1072" s="2867"/>
      <c r="CL1072" s="2867"/>
      <c r="CM1072" s="2867"/>
      <c r="CN1072" s="2867"/>
      <c r="CO1072" s="2867"/>
      <c r="CP1072" s="2867"/>
      <c r="CQ1072" s="2867"/>
      <c r="CR1072" s="2867"/>
      <c r="CS1072" s="2867"/>
      <c r="CT1072" s="2867"/>
      <c r="CU1072" s="2867"/>
      <c r="CV1072" s="2867"/>
      <c r="CW1072" s="2867"/>
    </row>
    <row r="1073" spans="1:101">
      <c r="A1073" s="2867"/>
      <c r="B1073" s="2867"/>
      <c r="C1073" s="2867"/>
      <c r="D1073" s="2867"/>
      <c r="E1073" s="2867"/>
      <c r="F1073" s="2867"/>
      <c r="G1073" s="2867"/>
      <c r="H1073" s="2867"/>
      <c r="I1073" s="2867"/>
      <c r="J1073" s="2867"/>
      <c r="K1073" s="2867"/>
      <c r="L1073" s="2867"/>
      <c r="M1073" s="2867"/>
      <c r="O1073" s="2867"/>
      <c r="P1073" s="2867"/>
      <c r="Q1073" s="2867"/>
      <c r="R1073" s="2867"/>
      <c r="S1073" s="2867"/>
      <c r="T1073" s="2867"/>
      <c r="U1073" s="2867"/>
      <c r="V1073" s="2867"/>
      <c r="W1073" s="2867"/>
      <c r="X1073" s="2867"/>
      <c r="Y1073" s="2867"/>
      <c r="Z1073" s="2867"/>
      <c r="AA1073" s="2867"/>
      <c r="AB1073" s="2867"/>
      <c r="AC1073" s="2867"/>
      <c r="AD1073" s="2867"/>
      <c r="AE1073" s="2867"/>
      <c r="AF1073" s="2867"/>
      <c r="AG1073" s="2867"/>
      <c r="AH1073" s="2867"/>
      <c r="AI1073" s="2867"/>
      <c r="AJ1073" s="2867"/>
      <c r="AK1073" s="2867"/>
      <c r="AL1073" s="2867"/>
      <c r="AM1073" s="2867"/>
      <c r="AN1073" s="2867"/>
      <c r="AO1073" s="2867"/>
      <c r="AP1073" s="2867"/>
      <c r="AQ1073" s="2867"/>
      <c r="AR1073" s="2867"/>
      <c r="AS1073" s="2867"/>
      <c r="AT1073" s="2867"/>
      <c r="AU1073" s="2867"/>
      <c r="AV1073" s="2867"/>
      <c r="AW1073" s="2867"/>
      <c r="AX1073" s="2867"/>
      <c r="AY1073" s="2867"/>
      <c r="AZ1073" s="2867"/>
      <c r="BA1073" s="2867"/>
      <c r="BB1073" s="2867"/>
      <c r="BC1073" s="2867"/>
      <c r="BD1073" s="2867"/>
      <c r="BE1073" s="2867"/>
      <c r="BF1073" s="2867"/>
      <c r="BG1073" s="2867"/>
      <c r="BH1073" s="2867"/>
      <c r="BI1073" s="2867"/>
      <c r="BJ1073" s="2867"/>
      <c r="BK1073" s="2867"/>
      <c r="BL1073" s="2867"/>
      <c r="BM1073" s="2867"/>
      <c r="BN1073" s="2867"/>
      <c r="BO1073" s="2867"/>
      <c r="BP1073" s="2867"/>
      <c r="BQ1073" s="2867"/>
      <c r="BR1073" s="2867"/>
      <c r="BS1073" s="2867"/>
      <c r="BT1073" s="2867"/>
      <c r="BU1073" s="2867"/>
      <c r="BV1073" s="2867"/>
      <c r="BW1073" s="2867"/>
      <c r="BX1073" s="2867"/>
      <c r="BY1073" s="2867"/>
      <c r="BZ1073" s="2867"/>
      <c r="CA1073" s="2867"/>
      <c r="CB1073" s="2867"/>
      <c r="CC1073" s="2867"/>
      <c r="CD1073" s="2867"/>
      <c r="CE1073" s="2867"/>
      <c r="CF1073" s="2867"/>
      <c r="CG1073" s="2867"/>
      <c r="CH1073" s="2867"/>
      <c r="CI1073" s="2867"/>
      <c r="CJ1073" s="2867"/>
      <c r="CK1073" s="2867"/>
      <c r="CL1073" s="2867"/>
      <c r="CM1073" s="2867"/>
      <c r="CN1073" s="2867"/>
      <c r="CO1073" s="2867"/>
      <c r="CP1073" s="2867"/>
      <c r="CQ1073" s="2867"/>
      <c r="CR1073" s="2867"/>
      <c r="CS1073" s="2867"/>
      <c r="CT1073" s="2867"/>
      <c r="CU1073" s="2867"/>
      <c r="CV1073" s="2867"/>
      <c r="CW1073" s="2867"/>
    </row>
    <row r="1074" spans="1:101">
      <c r="A1074" s="2867"/>
      <c r="B1074" s="2867"/>
      <c r="C1074" s="2867"/>
      <c r="D1074" s="2867"/>
      <c r="E1074" s="2867"/>
      <c r="F1074" s="2867"/>
      <c r="G1074" s="2867"/>
      <c r="H1074" s="2867"/>
      <c r="I1074" s="2867"/>
      <c r="J1074" s="2867"/>
      <c r="K1074" s="2867"/>
      <c r="L1074" s="2867"/>
      <c r="M1074" s="2867"/>
      <c r="O1074" s="2867"/>
      <c r="P1074" s="2867"/>
      <c r="Q1074" s="2867"/>
      <c r="R1074" s="2867"/>
      <c r="S1074" s="2867"/>
      <c r="T1074" s="2867"/>
      <c r="U1074" s="2867"/>
      <c r="V1074" s="2867"/>
      <c r="W1074" s="2867"/>
      <c r="X1074" s="2867"/>
      <c r="Y1074" s="2867"/>
      <c r="Z1074" s="2867"/>
      <c r="AA1074" s="2867"/>
      <c r="AB1074" s="2867"/>
      <c r="AC1074" s="2867"/>
      <c r="AD1074" s="2867"/>
      <c r="AE1074" s="2867"/>
      <c r="AF1074" s="2867"/>
      <c r="AG1074" s="2867"/>
      <c r="AH1074" s="2867"/>
      <c r="AI1074" s="2867"/>
      <c r="AJ1074" s="2867"/>
      <c r="AK1074" s="2867"/>
      <c r="AL1074" s="2867"/>
      <c r="AM1074" s="2867"/>
      <c r="AN1074" s="2867"/>
      <c r="AO1074" s="2867"/>
      <c r="AP1074" s="2867"/>
      <c r="AQ1074" s="2867"/>
      <c r="AR1074" s="2867"/>
      <c r="AS1074" s="2867"/>
      <c r="AT1074" s="2867"/>
      <c r="AU1074" s="2867"/>
      <c r="AV1074" s="2867"/>
      <c r="AW1074" s="2867"/>
      <c r="AX1074" s="2867"/>
      <c r="AY1074" s="2867"/>
      <c r="AZ1074" s="2867"/>
      <c r="BA1074" s="2867"/>
      <c r="BB1074" s="2867"/>
      <c r="BC1074" s="2867"/>
      <c r="BD1074" s="2867"/>
      <c r="BE1074" s="2867"/>
      <c r="BF1074" s="2867"/>
      <c r="BG1074" s="2867"/>
      <c r="BH1074" s="2867"/>
      <c r="BI1074" s="2867"/>
      <c r="BJ1074" s="2867"/>
      <c r="BK1074" s="2867"/>
      <c r="BL1074" s="2867"/>
      <c r="BM1074" s="2867"/>
      <c r="BN1074" s="2867"/>
      <c r="BO1074" s="2867"/>
      <c r="BP1074" s="2867"/>
      <c r="BQ1074" s="2867"/>
      <c r="BR1074" s="2867"/>
      <c r="BS1074" s="2867"/>
      <c r="BT1074" s="2867"/>
      <c r="BU1074" s="2867"/>
      <c r="BV1074" s="2867"/>
      <c r="BW1074" s="2867"/>
      <c r="BX1074" s="2867"/>
      <c r="BY1074" s="2867"/>
      <c r="BZ1074" s="2867"/>
      <c r="CA1074" s="2867"/>
      <c r="CB1074" s="2867"/>
      <c r="CC1074" s="2867"/>
      <c r="CD1074" s="2867"/>
      <c r="CE1074" s="2867"/>
      <c r="CF1074" s="2867"/>
      <c r="CG1074" s="2867"/>
      <c r="CH1074" s="2867"/>
      <c r="CI1074" s="2867"/>
      <c r="CJ1074" s="2867"/>
      <c r="CK1074" s="2867"/>
      <c r="CL1074" s="2867"/>
      <c r="CM1074" s="2867"/>
      <c r="CN1074" s="2867"/>
      <c r="CO1074" s="2867"/>
      <c r="CP1074" s="2867"/>
      <c r="CQ1074" s="2867"/>
      <c r="CR1074" s="2867"/>
      <c r="CS1074" s="2867"/>
      <c r="CT1074" s="2867"/>
      <c r="CU1074" s="2867"/>
      <c r="CV1074" s="2867"/>
      <c r="CW1074" s="2867"/>
    </row>
    <row r="1075" spans="1:101">
      <c r="A1075" s="2867"/>
      <c r="B1075" s="2867"/>
      <c r="C1075" s="2867"/>
      <c r="D1075" s="2867"/>
      <c r="E1075" s="2867"/>
      <c r="F1075" s="2867"/>
      <c r="G1075" s="2867"/>
      <c r="H1075" s="2867"/>
      <c r="I1075" s="2867"/>
      <c r="J1075" s="2867"/>
      <c r="K1075" s="2867"/>
      <c r="L1075" s="2867"/>
      <c r="M1075" s="2867"/>
      <c r="O1075" s="2867"/>
      <c r="P1075" s="2867"/>
      <c r="Q1075" s="2867"/>
      <c r="R1075" s="2867"/>
      <c r="S1075" s="2867"/>
      <c r="T1075" s="2867"/>
      <c r="U1075" s="2867"/>
      <c r="V1075" s="2867"/>
      <c r="W1075" s="2867"/>
      <c r="X1075" s="2867"/>
      <c r="Y1075" s="2867"/>
      <c r="Z1075" s="2867"/>
      <c r="AA1075" s="2867"/>
      <c r="AB1075" s="2867"/>
      <c r="AC1075" s="2867"/>
      <c r="AD1075" s="2867"/>
      <c r="AE1075" s="2867"/>
      <c r="AF1075" s="2867"/>
      <c r="AG1075" s="2867"/>
      <c r="AH1075" s="2867"/>
      <c r="AI1075" s="2867"/>
      <c r="AJ1075" s="2867"/>
      <c r="AK1075" s="2867"/>
      <c r="AL1075" s="2867"/>
      <c r="AM1075" s="2867"/>
      <c r="AN1075" s="2867"/>
      <c r="AO1075" s="2867"/>
      <c r="AP1075" s="2867"/>
      <c r="AQ1075" s="2867"/>
      <c r="AR1075" s="2867"/>
      <c r="AS1075" s="2867"/>
      <c r="AT1075" s="2867"/>
      <c r="AU1075" s="2867"/>
      <c r="AV1075" s="2867"/>
      <c r="AW1075" s="2867"/>
      <c r="AX1075" s="2867"/>
      <c r="AY1075" s="2867"/>
      <c r="AZ1075" s="2867"/>
      <c r="BA1075" s="2867"/>
      <c r="BB1075" s="2867"/>
      <c r="BC1075" s="2867"/>
      <c r="BD1075" s="2867"/>
      <c r="BE1075" s="2867"/>
      <c r="BF1075" s="2867"/>
      <c r="BG1075" s="2867"/>
      <c r="BH1075" s="2867"/>
      <c r="BI1075" s="2867"/>
      <c r="BJ1075" s="2867"/>
      <c r="BK1075" s="2867"/>
      <c r="BL1075" s="2867"/>
      <c r="BM1075" s="2867"/>
      <c r="BN1075" s="2867"/>
      <c r="BO1075" s="2867"/>
      <c r="BP1075" s="2867"/>
      <c r="BQ1075" s="2867"/>
      <c r="BR1075" s="2867"/>
      <c r="BS1075" s="2867"/>
      <c r="BT1075" s="2867"/>
      <c r="BU1075" s="2867"/>
      <c r="BV1075" s="2867"/>
      <c r="BW1075" s="2867"/>
      <c r="BX1075" s="2867"/>
      <c r="BY1075" s="2867"/>
      <c r="BZ1075" s="2867"/>
      <c r="CA1075" s="2867"/>
      <c r="CB1075" s="2867"/>
      <c r="CC1075" s="2867"/>
      <c r="CD1075" s="2867"/>
      <c r="CE1075" s="2867"/>
      <c r="CF1075" s="2867"/>
      <c r="CG1075" s="2867"/>
      <c r="CH1075" s="2867"/>
      <c r="CI1075" s="2867"/>
      <c r="CJ1075" s="2867"/>
      <c r="CK1075" s="2867"/>
      <c r="CL1075" s="2867"/>
      <c r="CM1075" s="2867"/>
      <c r="CN1075" s="2867"/>
      <c r="CO1075" s="2867"/>
      <c r="CP1075" s="2867"/>
      <c r="CQ1075" s="2867"/>
      <c r="CR1075" s="2867"/>
      <c r="CS1075" s="2867"/>
      <c r="CT1075" s="2867"/>
      <c r="CU1075" s="2867"/>
      <c r="CV1075" s="2867"/>
      <c r="CW1075" s="2867"/>
    </row>
    <row r="1076" spans="1:101">
      <c r="A1076" s="2867"/>
      <c r="B1076" s="2867"/>
      <c r="C1076" s="2867"/>
      <c r="D1076" s="2867"/>
      <c r="E1076" s="2867"/>
      <c r="F1076" s="2867"/>
      <c r="G1076" s="2867"/>
      <c r="H1076" s="2867"/>
      <c r="I1076" s="2867"/>
      <c r="J1076" s="2867"/>
      <c r="K1076" s="2867"/>
      <c r="L1076" s="2867"/>
      <c r="M1076" s="2867"/>
      <c r="O1076" s="2867"/>
      <c r="P1076" s="2867"/>
      <c r="Q1076" s="2867"/>
      <c r="R1076" s="2867"/>
      <c r="S1076" s="2867"/>
      <c r="T1076" s="2867"/>
      <c r="U1076" s="2867"/>
      <c r="V1076" s="2867"/>
      <c r="W1076" s="2867"/>
      <c r="X1076" s="2867"/>
      <c r="Y1076" s="2867"/>
      <c r="Z1076" s="2867"/>
      <c r="AA1076" s="2867"/>
      <c r="AB1076" s="2867"/>
      <c r="AC1076" s="2867"/>
      <c r="AD1076" s="2867"/>
      <c r="AE1076" s="2867"/>
      <c r="AF1076" s="2867"/>
      <c r="AG1076" s="2867"/>
      <c r="AH1076" s="2867"/>
      <c r="AI1076" s="2867"/>
      <c r="AJ1076" s="2867"/>
      <c r="AK1076" s="2867"/>
      <c r="AL1076" s="2867"/>
      <c r="AM1076" s="2867"/>
      <c r="AN1076" s="2867"/>
      <c r="AO1076" s="2867"/>
      <c r="AP1076" s="2867"/>
      <c r="AQ1076" s="2867"/>
      <c r="AR1076" s="2867"/>
      <c r="AS1076" s="2867"/>
      <c r="AT1076" s="2867"/>
      <c r="AU1076" s="2867"/>
      <c r="AV1076" s="2867"/>
      <c r="AW1076" s="2867"/>
      <c r="AX1076" s="2867"/>
      <c r="AY1076" s="2867"/>
      <c r="AZ1076" s="2867"/>
      <c r="BA1076" s="2867"/>
      <c r="BB1076" s="2867"/>
      <c r="BC1076" s="2867"/>
      <c r="BD1076" s="2867"/>
      <c r="BE1076" s="2867"/>
      <c r="BF1076" s="2867"/>
      <c r="BG1076" s="2867"/>
      <c r="BH1076" s="2867"/>
      <c r="BI1076" s="2867"/>
      <c r="BJ1076" s="2867"/>
      <c r="BK1076" s="2867"/>
      <c r="BL1076" s="2867"/>
      <c r="BM1076" s="2867"/>
      <c r="BN1076" s="2867"/>
      <c r="BO1076" s="2867"/>
      <c r="BP1076" s="2867"/>
      <c r="BQ1076" s="2867"/>
      <c r="BR1076" s="2867"/>
      <c r="BS1076" s="2867"/>
      <c r="BT1076" s="2867"/>
      <c r="BU1076" s="2867"/>
      <c r="BV1076" s="2867"/>
      <c r="BW1076" s="2867"/>
      <c r="BX1076" s="2867"/>
      <c r="BY1076" s="2867"/>
      <c r="BZ1076" s="2867"/>
      <c r="CA1076" s="2867"/>
      <c r="CB1076" s="2867"/>
      <c r="CC1076" s="2867"/>
      <c r="CD1076" s="2867"/>
      <c r="CE1076" s="2867"/>
      <c r="CF1076" s="2867"/>
      <c r="CG1076" s="2867"/>
      <c r="CH1076" s="2867"/>
      <c r="CI1076" s="2867"/>
      <c r="CJ1076" s="2867"/>
      <c r="CK1076" s="2867"/>
      <c r="CL1076" s="2867"/>
      <c r="CM1076" s="2867"/>
      <c r="CN1076" s="2867"/>
      <c r="CO1076" s="2867"/>
      <c r="CP1076" s="2867"/>
      <c r="CQ1076" s="2867"/>
      <c r="CR1076" s="2867"/>
      <c r="CS1076" s="2867"/>
      <c r="CT1076" s="2867"/>
      <c r="CU1076" s="2867"/>
      <c r="CV1076" s="2867"/>
      <c r="CW1076" s="2867"/>
    </row>
    <row r="1077" spans="1:101">
      <c r="A1077" s="2867"/>
      <c r="B1077" s="2867"/>
      <c r="C1077" s="2867"/>
      <c r="D1077" s="2867"/>
      <c r="E1077" s="2867"/>
      <c r="F1077" s="2867"/>
      <c r="G1077" s="2867"/>
      <c r="H1077" s="2867"/>
      <c r="I1077" s="2867"/>
      <c r="J1077" s="2867"/>
      <c r="K1077" s="2867"/>
      <c r="L1077" s="2867"/>
      <c r="M1077" s="2867"/>
      <c r="O1077" s="2867"/>
      <c r="P1077" s="2867"/>
      <c r="Q1077" s="2867"/>
      <c r="R1077" s="2867"/>
      <c r="S1077" s="2867"/>
      <c r="T1077" s="2867"/>
      <c r="U1077" s="2867"/>
      <c r="V1077" s="2867"/>
      <c r="W1077" s="2867"/>
      <c r="X1077" s="2867"/>
      <c r="Y1077" s="2867"/>
      <c r="Z1077" s="2867"/>
      <c r="AA1077" s="2867"/>
      <c r="AB1077" s="2867"/>
      <c r="AC1077" s="2867"/>
      <c r="AD1077" s="2867"/>
      <c r="AE1077" s="2867"/>
      <c r="AF1077" s="2867"/>
      <c r="AG1077" s="2867"/>
      <c r="AH1077" s="2867"/>
      <c r="AI1077" s="2867"/>
      <c r="AJ1077" s="2867"/>
      <c r="AK1077" s="2867"/>
      <c r="AL1077" s="2867"/>
      <c r="AM1077" s="2867"/>
      <c r="AN1077" s="2867"/>
      <c r="AO1077" s="2867"/>
      <c r="AP1077" s="2867"/>
      <c r="AQ1077" s="2867"/>
      <c r="AR1077" s="2867"/>
      <c r="AS1077" s="2867"/>
      <c r="AT1077" s="2867"/>
      <c r="AU1077" s="2867"/>
      <c r="AV1077" s="2867"/>
      <c r="AW1077" s="2867"/>
      <c r="AX1077" s="2867"/>
      <c r="AY1077" s="2867"/>
      <c r="AZ1077" s="2867"/>
      <c r="BA1077" s="2867"/>
      <c r="BB1077" s="2867"/>
      <c r="BC1077" s="2867"/>
      <c r="BD1077" s="2867"/>
      <c r="BE1077" s="2867"/>
      <c r="BF1077" s="2867"/>
      <c r="BG1077" s="2867"/>
      <c r="BH1077" s="2867"/>
      <c r="BI1077" s="2867"/>
      <c r="BJ1077" s="2867"/>
      <c r="BK1077" s="2867"/>
      <c r="BL1077" s="2867"/>
      <c r="BM1077" s="2867"/>
      <c r="BN1077" s="2867"/>
      <c r="BO1077" s="2867"/>
      <c r="BP1077" s="2867"/>
      <c r="BQ1077" s="2867"/>
      <c r="BR1077" s="2867"/>
      <c r="BS1077" s="2867"/>
      <c r="BT1077" s="2867"/>
      <c r="BU1077" s="2867"/>
      <c r="BV1077" s="2867"/>
      <c r="BW1077" s="2867"/>
      <c r="BX1077" s="2867"/>
      <c r="BY1077" s="2867"/>
      <c r="BZ1077" s="2867"/>
      <c r="CA1077" s="2867"/>
      <c r="CB1077" s="2867"/>
      <c r="CC1077" s="2867"/>
      <c r="CD1077" s="2867"/>
      <c r="CE1077" s="2867"/>
      <c r="CF1077" s="2867"/>
      <c r="CG1077" s="2867"/>
      <c r="CH1077" s="2867"/>
      <c r="CI1077" s="2867"/>
      <c r="CJ1077" s="2867"/>
      <c r="CK1077" s="2867"/>
      <c r="CL1077" s="2867"/>
      <c r="CM1077" s="2867"/>
      <c r="CN1077" s="2867"/>
      <c r="CO1077" s="2867"/>
      <c r="CP1077" s="2867"/>
      <c r="CQ1077" s="2867"/>
      <c r="CR1077" s="2867"/>
      <c r="CS1077" s="2867"/>
      <c r="CT1077" s="2867"/>
      <c r="CU1077" s="2867"/>
      <c r="CV1077" s="2867"/>
      <c r="CW1077" s="2867"/>
    </row>
    <row r="1078" spans="1:101">
      <c r="A1078" s="2867"/>
      <c r="B1078" s="2867"/>
      <c r="C1078" s="2867"/>
      <c r="D1078" s="2867"/>
      <c r="E1078" s="2867"/>
      <c r="F1078" s="2867"/>
      <c r="G1078" s="2867"/>
      <c r="H1078" s="2867"/>
      <c r="I1078" s="2867"/>
      <c r="J1078" s="2867"/>
      <c r="K1078" s="2867"/>
      <c r="L1078" s="2867"/>
      <c r="M1078" s="2867"/>
      <c r="O1078" s="2867"/>
      <c r="P1078" s="2867"/>
      <c r="Q1078" s="2867"/>
      <c r="R1078" s="2867"/>
      <c r="S1078" s="2867"/>
      <c r="T1078" s="2867"/>
      <c r="U1078" s="2867"/>
      <c r="V1078" s="2867"/>
      <c r="W1078" s="2867"/>
      <c r="X1078" s="2867"/>
      <c r="Y1078" s="2867"/>
      <c r="Z1078" s="2867"/>
      <c r="AA1078" s="2867"/>
      <c r="AB1078" s="2867"/>
      <c r="AC1078" s="2867"/>
      <c r="AD1078" s="2867"/>
      <c r="AE1078" s="2867"/>
      <c r="AF1078" s="2867"/>
      <c r="AG1078" s="2867"/>
      <c r="AH1078" s="2867"/>
      <c r="AI1078" s="2867"/>
      <c r="AJ1078" s="2867"/>
      <c r="AK1078" s="2867"/>
      <c r="AL1078" s="2867"/>
      <c r="AM1078" s="2867"/>
      <c r="AN1078" s="2867"/>
      <c r="AO1078" s="2867"/>
      <c r="AP1078" s="2867"/>
      <c r="AQ1078" s="2867"/>
      <c r="AR1078" s="2867"/>
      <c r="AS1078" s="2867"/>
      <c r="AT1078" s="2867"/>
      <c r="AU1078" s="2867"/>
      <c r="AV1078" s="2867"/>
      <c r="AW1078" s="2867"/>
      <c r="AX1078" s="2867"/>
      <c r="AY1078" s="2867"/>
      <c r="AZ1078" s="2867"/>
      <c r="BA1078" s="2867"/>
      <c r="BB1078" s="2867"/>
      <c r="BC1078" s="2867"/>
      <c r="BD1078" s="2867"/>
      <c r="BE1078" s="2867"/>
      <c r="BF1078" s="2867"/>
      <c r="BG1078" s="2867"/>
      <c r="BH1078" s="2867"/>
      <c r="BI1078" s="2867"/>
      <c r="BJ1078" s="2867"/>
      <c r="BK1078" s="2867"/>
      <c r="BL1078" s="2867"/>
      <c r="BM1078" s="2867"/>
      <c r="BN1078" s="2867"/>
      <c r="BO1078" s="2867"/>
      <c r="BP1078" s="2867"/>
      <c r="BQ1078" s="2867"/>
      <c r="BR1078" s="2867"/>
      <c r="BS1078" s="2867"/>
      <c r="BT1078" s="2867"/>
      <c r="BU1078" s="2867"/>
      <c r="BV1078" s="2867"/>
      <c r="BW1078" s="2867"/>
      <c r="BX1078" s="2867"/>
      <c r="BY1078" s="2867"/>
      <c r="BZ1078" s="2867"/>
      <c r="CA1078" s="2867"/>
      <c r="CB1078" s="2867"/>
      <c r="CC1078" s="2867"/>
      <c r="CD1078" s="2867"/>
      <c r="CE1078" s="2867"/>
      <c r="CF1078" s="2867"/>
      <c r="CG1078" s="2867"/>
      <c r="CH1078" s="2867"/>
      <c r="CI1078" s="2867"/>
      <c r="CJ1078" s="2867"/>
      <c r="CK1078" s="2867"/>
      <c r="CL1078" s="2867"/>
      <c r="CM1078" s="2867"/>
      <c r="CN1078" s="2867"/>
      <c r="CO1078" s="2867"/>
      <c r="CP1078" s="2867"/>
      <c r="CQ1078" s="2867"/>
      <c r="CR1078" s="2867"/>
      <c r="CS1078" s="2867"/>
      <c r="CT1078" s="2867"/>
      <c r="CU1078" s="2867"/>
      <c r="CV1078" s="2867"/>
      <c r="CW1078" s="2867"/>
    </row>
    <row r="1079" spans="1:101">
      <c r="A1079" s="2867"/>
      <c r="B1079" s="2867"/>
      <c r="C1079" s="2867"/>
      <c r="D1079" s="2867"/>
      <c r="E1079" s="2867"/>
      <c r="F1079" s="2867"/>
      <c r="G1079" s="2867"/>
      <c r="H1079" s="2867"/>
      <c r="I1079" s="2867"/>
      <c r="J1079" s="2867"/>
      <c r="K1079" s="2867"/>
      <c r="L1079" s="2867"/>
      <c r="M1079" s="2867"/>
      <c r="O1079" s="2867"/>
      <c r="P1079" s="2867"/>
      <c r="Q1079" s="2867"/>
      <c r="R1079" s="2867"/>
      <c r="S1079" s="2867"/>
      <c r="T1079" s="2867"/>
      <c r="U1079" s="2867"/>
      <c r="V1079" s="2867"/>
      <c r="W1079" s="2867"/>
      <c r="X1079" s="2867"/>
      <c r="Y1079" s="2867"/>
      <c r="Z1079" s="2867"/>
      <c r="AA1079" s="2867"/>
      <c r="AB1079" s="2867"/>
      <c r="AC1079" s="2867"/>
      <c r="AD1079" s="2867"/>
      <c r="AE1079" s="2867"/>
      <c r="AF1079" s="2867"/>
      <c r="AG1079" s="2867"/>
      <c r="AH1079" s="2867"/>
      <c r="AI1079" s="2867"/>
      <c r="AJ1079" s="2867"/>
      <c r="AK1079" s="2867"/>
      <c r="AL1079" s="2867"/>
      <c r="AM1079" s="2867"/>
      <c r="AN1079" s="2867"/>
      <c r="AO1079" s="2867"/>
      <c r="AP1079" s="2867"/>
      <c r="AQ1079" s="2867"/>
      <c r="AR1079" s="2867"/>
      <c r="AS1079" s="2867"/>
      <c r="AT1079" s="2867"/>
      <c r="AU1079" s="2867"/>
      <c r="AV1079" s="2867"/>
      <c r="AW1079" s="2867"/>
      <c r="AX1079" s="2867"/>
      <c r="AY1079" s="2867"/>
      <c r="AZ1079" s="2867"/>
      <c r="BA1079" s="2867"/>
      <c r="BB1079" s="2867"/>
      <c r="BC1079" s="2867"/>
      <c r="BD1079" s="2867"/>
      <c r="BE1079" s="2867"/>
      <c r="BF1079" s="2867"/>
      <c r="BG1079" s="2867"/>
      <c r="BH1079" s="2867"/>
      <c r="BI1079" s="2867"/>
      <c r="BJ1079" s="2867"/>
      <c r="BK1079" s="2867"/>
      <c r="BL1079" s="2867"/>
      <c r="BM1079" s="2867"/>
      <c r="BN1079" s="2867"/>
      <c r="BO1079" s="2867"/>
      <c r="BP1079" s="2867"/>
      <c r="BQ1079" s="2867"/>
      <c r="BR1079" s="2867"/>
      <c r="BS1079" s="2867"/>
      <c r="BT1079" s="2867"/>
      <c r="BU1079" s="2867"/>
      <c r="BV1079" s="2867"/>
      <c r="BW1079" s="2867"/>
      <c r="BX1079" s="2867"/>
      <c r="BY1079" s="2867"/>
      <c r="BZ1079" s="2867"/>
      <c r="CA1079" s="2867"/>
      <c r="CB1079" s="2867"/>
      <c r="CC1079" s="2867"/>
      <c r="CD1079" s="2867"/>
      <c r="CE1079" s="2867"/>
      <c r="CF1079" s="2867"/>
      <c r="CG1079" s="2867"/>
      <c r="CH1079" s="2867"/>
      <c r="CI1079" s="2867"/>
      <c r="CJ1079" s="2867"/>
      <c r="CK1079" s="2867"/>
      <c r="CL1079" s="2867"/>
      <c r="CM1079" s="2867"/>
      <c r="CN1079" s="2867"/>
      <c r="CO1079" s="2867"/>
      <c r="CP1079" s="2867"/>
      <c r="CQ1079" s="2867"/>
      <c r="CR1079" s="2867"/>
      <c r="CS1079" s="2867"/>
      <c r="CT1079" s="2867"/>
      <c r="CU1079" s="2867"/>
      <c r="CV1079" s="2867"/>
      <c r="CW1079" s="2867"/>
    </row>
    <row r="1080" spans="1:101">
      <c r="A1080" s="2867"/>
      <c r="B1080" s="2867"/>
      <c r="C1080" s="2867"/>
      <c r="D1080" s="2867"/>
      <c r="E1080" s="2867"/>
      <c r="F1080" s="2867"/>
      <c r="G1080" s="2867"/>
      <c r="H1080" s="2867"/>
      <c r="I1080" s="2867"/>
      <c r="J1080" s="2867"/>
      <c r="K1080" s="2867"/>
      <c r="L1080" s="2867"/>
      <c r="M1080" s="2867"/>
      <c r="O1080" s="2867"/>
      <c r="P1080" s="2867"/>
      <c r="Q1080" s="2867"/>
      <c r="R1080" s="2867"/>
      <c r="S1080" s="2867"/>
      <c r="T1080" s="2867"/>
      <c r="U1080" s="2867"/>
      <c r="V1080" s="2867"/>
      <c r="W1080" s="2867"/>
      <c r="X1080" s="2867"/>
      <c r="Y1080" s="2867"/>
      <c r="Z1080" s="2867"/>
      <c r="AA1080" s="2867"/>
      <c r="AB1080" s="2867"/>
      <c r="AC1080" s="2867"/>
      <c r="AD1080" s="2867"/>
      <c r="AE1080" s="2867"/>
      <c r="AF1080" s="2867"/>
      <c r="AG1080" s="2867"/>
      <c r="AH1080" s="2867"/>
      <c r="AI1080" s="2867"/>
      <c r="AJ1080" s="2867"/>
      <c r="AK1080" s="2867"/>
      <c r="AL1080" s="2867"/>
      <c r="AM1080" s="2867"/>
      <c r="AN1080" s="2867"/>
      <c r="AO1080" s="2867"/>
      <c r="AP1080" s="2867"/>
      <c r="AQ1080" s="2867"/>
      <c r="AR1080" s="2867"/>
      <c r="AS1080" s="2867"/>
      <c r="AT1080" s="2867"/>
      <c r="AU1080" s="2867"/>
      <c r="AV1080" s="2867"/>
      <c r="AW1080" s="2867"/>
      <c r="AX1080" s="2867"/>
      <c r="AY1080" s="2867"/>
      <c r="AZ1080" s="2867"/>
      <c r="BA1080" s="2867"/>
      <c r="BB1080" s="2867"/>
      <c r="BC1080" s="2867"/>
      <c r="BD1080" s="2867"/>
      <c r="BE1080" s="2867"/>
      <c r="BF1080" s="2867"/>
      <c r="BG1080" s="2867"/>
      <c r="BH1080" s="2867"/>
      <c r="BI1080" s="2867"/>
      <c r="BJ1080" s="2867"/>
      <c r="BK1080" s="2867"/>
      <c r="BL1080" s="2867"/>
      <c r="BM1080" s="2867"/>
      <c r="BN1080" s="2867"/>
      <c r="BO1080" s="2867"/>
      <c r="BP1080" s="2867"/>
      <c r="BQ1080" s="2867"/>
      <c r="BR1080" s="2867"/>
      <c r="BS1080" s="2867"/>
      <c r="BT1080" s="2867"/>
      <c r="BU1080" s="2867"/>
      <c r="BV1080" s="2867"/>
      <c r="BW1080" s="2867"/>
      <c r="BX1080" s="2867"/>
      <c r="BY1080" s="2867"/>
      <c r="BZ1080" s="2867"/>
      <c r="CA1080" s="2867"/>
      <c r="CB1080" s="2867"/>
      <c r="CC1080" s="2867"/>
      <c r="CD1080" s="2867"/>
      <c r="CE1080" s="2867"/>
      <c r="CF1080" s="2867"/>
      <c r="CG1080" s="2867"/>
      <c r="CH1080" s="2867"/>
      <c r="CI1080" s="2867"/>
      <c r="CJ1080" s="2867"/>
      <c r="CK1080" s="2867"/>
      <c r="CL1080" s="2867"/>
      <c r="CM1080" s="2867"/>
      <c r="CN1080" s="2867"/>
      <c r="CO1080" s="2867"/>
      <c r="CP1080" s="2867"/>
      <c r="CQ1080" s="2867"/>
      <c r="CR1080" s="2867"/>
      <c r="CS1080" s="2867"/>
      <c r="CT1080" s="2867"/>
      <c r="CU1080" s="2867"/>
      <c r="CV1080" s="2867"/>
      <c r="CW1080" s="2867"/>
    </row>
    <row r="1081" spans="1:101">
      <c r="A1081" s="2867"/>
      <c r="B1081" s="2867"/>
      <c r="C1081" s="2867"/>
      <c r="D1081" s="2867"/>
      <c r="E1081" s="2867"/>
      <c r="F1081" s="2867"/>
      <c r="G1081" s="2867"/>
      <c r="H1081" s="2867"/>
      <c r="I1081" s="2867"/>
      <c r="J1081" s="2867"/>
      <c r="K1081" s="2867"/>
      <c r="L1081" s="2867"/>
      <c r="M1081" s="2867"/>
      <c r="O1081" s="2867"/>
      <c r="P1081" s="2867"/>
      <c r="Q1081" s="2867"/>
      <c r="R1081" s="2867"/>
      <c r="S1081" s="2867"/>
      <c r="T1081" s="2867"/>
      <c r="U1081" s="2867"/>
      <c r="V1081" s="2867"/>
      <c r="W1081" s="2867"/>
      <c r="X1081" s="2867"/>
      <c r="Y1081" s="2867"/>
      <c r="Z1081" s="2867"/>
      <c r="AA1081" s="2867"/>
      <c r="AB1081" s="2867"/>
      <c r="AC1081" s="2867"/>
      <c r="AD1081" s="2867"/>
      <c r="AE1081" s="2867"/>
      <c r="AF1081" s="2867"/>
      <c r="AG1081" s="2867"/>
      <c r="AH1081" s="2867"/>
      <c r="AI1081" s="2867"/>
      <c r="AJ1081" s="2867"/>
      <c r="AK1081" s="2867"/>
      <c r="AL1081" s="2867"/>
      <c r="AM1081" s="2867"/>
      <c r="AN1081" s="2867"/>
      <c r="AO1081" s="2867"/>
      <c r="AP1081" s="2867"/>
      <c r="AQ1081" s="2867"/>
      <c r="AR1081" s="2867"/>
      <c r="AS1081" s="2867"/>
      <c r="AT1081" s="2867"/>
      <c r="AU1081" s="2867"/>
      <c r="AV1081" s="2867"/>
      <c r="AW1081" s="2867"/>
      <c r="AX1081" s="2867"/>
      <c r="AY1081" s="2867"/>
      <c r="AZ1081" s="2867"/>
      <c r="BA1081" s="2867"/>
      <c r="BB1081" s="2867"/>
      <c r="BC1081" s="2867"/>
      <c r="BD1081" s="2867"/>
      <c r="BE1081" s="2867"/>
      <c r="BF1081" s="2867"/>
      <c r="BG1081" s="2867"/>
      <c r="BH1081" s="2867"/>
      <c r="BI1081" s="2867"/>
      <c r="BJ1081" s="2867"/>
      <c r="BK1081" s="2867"/>
      <c r="BL1081" s="2867"/>
      <c r="BM1081" s="2867"/>
      <c r="BN1081" s="2867"/>
      <c r="BO1081" s="2867"/>
      <c r="BP1081" s="2867"/>
      <c r="BQ1081" s="2867"/>
      <c r="BR1081" s="2867"/>
      <c r="BS1081" s="2867"/>
      <c r="BT1081" s="2867"/>
      <c r="BU1081" s="2867"/>
      <c r="BV1081" s="2867"/>
      <c r="BW1081" s="2867"/>
      <c r="BX1081" s="2867"/>
      <c r="BY1081" s="2867"/>
      <c r="BZ1081" s="2867"/>
      <c r="CA1081" s="2867"/>
      <c r="CB1081" s="2867"/>
      <c r="CC1081" s="2867"/>
      <c r="CD1081" s="2867"/>
      <c r="CE1081" s="2867"/>
      <c r="CF1081" s="2867"/>
      <c r="CG1081" s="2867"/>
      <c r="CH1081" s="2867"/>
      <c r="CI1081" s="2867"/>
      <c r="CJ1081" s="2867"/>
      <c r="CK1081" s="2867"/>
      <c r="CL1081" s="2867"/>
      <c r="CM1081" s="2867"/>
      <c r="CN1081" s="2867"/>
      <c r="CO1081" s="2867"/>
      <c r="CP1081" s="2867"/>
      <c r="CQ1081" s="2867"/>
      <c r="CR1081" s="2867"/>
      <c r="CS1081" s="2867"/>
      <c r="CT1081" s="2867"/>
      <c r="CU1081" s="2867"/>
      <c r="CV1081" s="2867"/>
      <c r="CW1081" s="2867"/>
    </row>
    <row r="1082" spans="1:101">
      <c r="A1082" s="2867"/>
      <c r="B1082" s="2867"/>
      <c r="C1082" s="2867"/>
      <c r="D1082" s="2867"/>
      <c r="E1082" s="2867"/>
      <c r="F1082" s="2867"/>
      <c r="G1082" s="2867"/>
      <c r="H1082" s="2867"/>
      <c r="I1082" s="2867"/>
      <c r="J1082" s="2867"/>
      <c r="K1082" s="2867"/>
      <c r="L1082" s="2867"/>
      <c r="M1082" s="2867"/>
      <c r="O1082" s="2867"/>
      <c r="P1082" s="2867"/>
      <c r="Q1082" s="2867"/>
      <c r="R1082" s="2867"/>
      <c r="S1082" s="2867"/>
      <c r="T1082" s="2867"/>
      <c r="U1082" s="2867"/>
      <c r="V1082" s="2867"/>
      <c r="W1082" s="2867"/>
      <c r="X1082" s="2867"/>
      <c r="Y1082" s="2867"/>
      <c r="Z1082" s="2867"/>
      <c r="AA1082" s="2867"/>
      <c r="AB1082" s="2867"/>
      <c r="AC1082" s="2867"/>
      <c r="AD1082" s="2867"/>
      <c r="AE1082" s="2867"/>
      <c r="AF1082" s="2867"/>
      <c r="AG1082" s="2867"/>
      <c r="AH1082" s="2867"/>
      <c r="AI1082" s="2867"/>
      <c r="AJ1082" s="2867"/>
      <c r="AK1082" s="2867"/>
      <c r="AL1082" s="2867"/>
      <c r="AM1082" s="2867"/>
      <c r="AN1082" s="2867"/>
      <c r="AO1082" s="2867"/>
      <c r="AP1082" s="2867"/>
      <c r="AQ1082" s="2867"/>
      <c r="AR1082" s="2867"/>
      <c r="AS1082" s="2867"/>
      <c r="AT1082" s="2867"/>
      <c r="AU1082" s="2867"/>
      <c r="AV1082" s="2867"/>
      <c r="AW1082" s="2867"/>
      <c r="AX1082" s="2867"/>
      <c r="AY1082" s="2867"/>
      <c r="AZ1082" s="2867"/>
      <c r="BA1082" s="2867"/>
      <c r="BB1082" s="2867"/>
      <c r="BC1082" s="2867"/>
      <c r="BD1082" s="2867"/>
      <c r="BE1082" s="2867"/>
      <c r="BF1082" s="2867"/>
      <c r="BG1082" s="2867"/>
      <c r="BH1082" s="2867"/>
      <c r="BI1082" s="2867"/>
      <c r="BJ1082" s="2867"/>
      <c r="BK1082" s="2867"/>
      <c r="BL1082" s="2867"/>
      <c r="BM1082" s="2867"/>
      <c r="BN1082" s="2867"/>
      <c r="BO1082" s="2867"/>
      <c r="BP1082" s="2867"/>
      <c r="BQ1082" s="2867"/>
      <c r="BR1082" s="2867"/>
      <c r="BS1082" s="2867"/>
      <c r="BT1082" s="2867"/>
      <c r="BU1082" s="2867"/>
      <c r="BV1082" s="2867"/>
      <c r="BW1082" s="2867"/>
      <c r="BX1082" s="2867"/>
      <c r="BY1082" s="2867"/>
      <c r="BZ1082" s="2867"/>
      <c r="CA1082" s="2867"/>
      <c r="CB1082" s="2867"/>
      <c r="CC1082" s="2867"/>
      <c r="CD1082" s="2867"/>
      <c r="CE1082" s="2867"/>
      <c r="CF1082" s="2867"/>
      <c r="CG1082" s="2867"/>
      <c r="CH1082" s="2867"/>
      <c r="CI1082" s="2867"/>
      <c r="CJ1082" s="2867"/>
      <c r="CK1082" s="2867"/>
      <c r="CL1082" s="2867"/>
      <c r="CM1082" s="2867"/>
      <c r="CN1082" s="2867"/>
      <c r="CO1082" s="2867"/>
      <c r="CP1082" s="2867"/>
      <c r="CQ1082" s="2867"/>
      <c r="CR1082" s="2867"/>
      <c r="CS1082" s="2867"/>
      <c r="CT1082" s="2867"/>
      <c r="CU1082" s="2867"/>
      <c r="CV1082" s="2867"/>
      <c r="CW1082" s="2867"/>
    </row>
    <row r="1083" spans="1:101">
      <c r="A1083" s="2867"/>
      <c r="B1083" s="2867"/>
      <c r="C1083" s="2867"/>
      <c r="D1083" s="2867"/>
      <c r="E1083" s="2867"/>
      <c r="F1083" s="2867"/>
      <c r="G1083" s="2867"/>
      <c r="H1083" s="2867"/>
      <c r="I1083" s="2867"/>
      <c r="J1083" s="2867"/>
      <c r="K1083" s="2867"/>
      <c r="L1083" s="2867"/>
      <c r="M1083" s="2867"/>
      <c r="O1083" s="2867"/>
      <c r="P1083" s="2867"/>
      <c r="Q1083" s="2867"/>
      <c r="R1083" s="2867"/>
      <c r="S1083" s="2867"/>
      <c r="T1083" s="2867"/>
      <c r="U1083" s="2867"/>
      <c r="V1083" s="2867"/>
      <c r="W1083" s="2867"/>
      <c r="X1083" s="2867"/>
      <c r="Y1083" s="2867"/>
      <c r="Z1083" s="2867"/>
      <c r="AA1083" s="2867"/>
      <c r="AB1083" s="2867"/>
      <c r="AC1083" s="2867"/>
      <c r="AD1083" s="2867"/>
      <c r="AE1083" s="2867"/>
      <c r="AF1083" s="2867"/>
      <c r="AG1083" s="2867"/>
      <c r="AH1083" s="2867"/>
      <c r="AI1083" s="2867"/>
      <c r="AJ1083" s="2867"/>
      <c r="AK1083" s="2867"/>
      <c r="AL1083" s="2867"/>
      <c r="AM1083" s="2867"/>
      <c r="AN1083" s="2867"/>
      <c r="AO1083" s="2867"/>
      <c r="AP1083" s="2867"/>
      <c r="AQ1083" s="2867"/>
      <c r="AR1083" s="2867"/>
      <c r="AS1083" s="2867"/>
      <c r="AT1083" s="2867"/>
      <c r="AU1083" s="2867"/>
      <c r="AV1083" s="2867"/>
      <c r="AW1083" s="2867"/>
      <c r="AX1083" s="2867"/>
      <c r="AY1083" s="2867"/>
      <c r="AZ1083" s="2867"/>
      <c r="BA1083" s="2867"/>
      <c r="BB1083" s="2867"/>
      <c r="BC1083" s="2867"/>
      <c r="BD1083" s="2867"/>
      <c r="BE1083" s="2867"/>
      <c r="BF1083" s="2867"/>
      <c r="BG1083" s="2867"/>
      <c r="BH1083" s="2867"/>
      <c r="BI1083" s="2867"/>
      <c r="BJ1083" s="2867"/>
      <c r="BK1083" s="2867"/>
      <c r="BL1083" s="2867"/>
      <c r="BM1083" s="2867"/>
      <c r="BN1083" s="2867"/>
      <c r="BO1083" s="2867"/>
      <c r="BP1083" s="2867"/>
      <c r="BQ1083" s="2867"/>
      <c r="BR1083" s="2867"/>
      <c r="BS1083" s="2867"/>
      <c r="BT1083" s="2867"/>
      <c r="BU1083" s="2867"/>
      <c r="BV1083" s="2867"/>
      <c r="BW1083" s="2867"/>
      <c r="BX1083" s="2867"/>
      <c r="BY1083" s="2867"/>
      <c r="BZ1083" s="2867"/>
      <c r="CA1083" s="2867"/>
      <c r="CB1083" s="2867"/>
      <c r="CC1083" s="2867"/>
      <c r="CD1083" s="2867"/>
      <c r="CE1083" s="2867"/>
      <c r="CF1083" s="2867"/>
      <c r="CG1083" s="2867"/>
      <c r="CH1083" s="2867"/>
      <c r="CI1083" s="2867"/>
      <c r="CJ1083" s="2867"/>
      <c r="CK1083" s="2867"/>
      <c r="CL1083" s="2867"/>
      <c r="CM1083" s="2867"/>
      <c r="CN1083" s="2867"/>
      <c r="CO1083" s="2867"/>
      <c r="CP1083" s="2867"/>
      <c r="CQ1083" s="2867"/>
      <c r="CR1083" s="2867"/>
      <c r="CS1083" s="2867"/>
      <c r="CT1083" s="2867"/>
      <c r="CU1083" s="2867"/>
      <c r="CV1083" s="2867"/>
      <c r="CW1083" s="2867"/>
    </row>
    <row r="1084" spans="1:101">
      <c r="A1084" s="2867"/>
      <c r="B1084" s="2867"/>
      <c r="C1084" s="2867"/>
      <c r="D1084" s="2867"/>
      <c r="E1084" s="2867"/>
      <c r="F1084" s="2867"/>
      <c r="G1084" s="2867"/>
      <c r="H1084" s="2867"/>
      <c r="I1084" s="2867"/>
      <c r="J1084" s="2867"/>
      <c r="K1084" s="2867"/>
      <c r="L1084" s="2867"/>
      <c r="M1084" s="2867"/>
      <c r="O1084" s="2867"/>
      <c r="P1084" s="2867"/>
      <c r="Q1084" s="2867"/>
      <c r="R1084" s="2867"/>
      <c r="S1084" s="2867"/>
      <c r="T1084" s="2867"/>
      <c r="U1084" s="2867"/>
      <c r="V1084" s="2867"/>
      <c r="W1084" s="2867"/>
      <c r="X1084" s="2867"/>
      <c r="Y1084" s="2867"/>
      <c r="Z1084" s="2867"/>
      <c r="AA1084" s="2867"/>
      <c r="AB1084" s="2867"/>
      <c r="AC1084" s="2867"/>
      <c r="AD1084" s="2867"/>
      <c r="AE1084" s="2867"/>
      <c r="AF1084" s="2867"/>
      <c r="AG1084" s="2867"/>
      <c r="AH1084" s="2867"/>
      <c r="AI1084" s="2867"/>
      <c r="AJ1084" s="2867"/>
      <c r="AK1084" s="2867"/>
      <c r="AL1084" s="2867"/>
      <c r="AM1084" s="2867"/>
      <c r="AN1084" s="2867"/>
      <c r="AO1084" s="2867"/>
      <c r="AP1084" s="2867"/>
      <c r="AQ1084" s="2867"/>
      <c r="AR1084" s="2867"/>
      <c r="AS1084" s="2867"/>
      <c r="AT1084" s="2867"/>
      <c r="AU1084" s="2867"/>
      <c r="AV1084" s="2867"/>
      <c r="AW1084" s="2867"/>
      <c r="AX1084" s="2867"/>
      <c r="AY1084" s="2867"/>
      <c r="AZ1084" s="2867"/>
      <c r="BA1084" s="2867"/>
      <c r="BB1084" s="2867"/>
      <c r="BC1084" s="2867"/>
      <c r="BD1084" s="2867"/>
      <c r="BE1084" s="2867"/>
      <c r="BF1084" s="2867"/>
      <c r="BG1084" s="2867"/>
      <c r="BH1084" s="2867"/>
      <c r="BI1084" s="2867"/>
      <c r="BJ1084" s="2867"/>
      <c r="BK1084" s="2867"/>
      <c r="BL1084" s="2867"/>
      <c r="BM1084" s="2867"/>
      <c r="BN1084" s="2867"/>
      <c r="BO1084" s="2867"/>
      <c r="BP1084" s="2867"/>
      <c r="BQ1084" s="2867"/>
      <c r="BR1084" s="2867"/>
      <c r="BS1084" s="2867"/>
      <c r="BT1084" s="2867"/>
      <c r="BU1084" s="2867"/>
      <c r="BV1084" s="2867"/>
      <c r="BW1084" s="2867"/>
      <c r="BX1084" s="2867"/>
      <c r="BY1084" s="2867"/>
      <c r="BZ1084" s="2867"/>
      <c r="CA1084" s="2867"/>
      <c r="CB1084" s="2867"/>
      <c r="CC1084" s="2867"/>
      <c r="CD1084" s="2867"/>
      <c r="CE1084" s="2867"/>
      <c r="CF1084" s="2867"/>
      <c r="CG1084" s="2867"/>
      <c r="CH1084" s="2867"/>
      <c r="CI1084" s="2867"/>
      <c r="CJ1084" s="2867"/>
      <c r="CK1084" s="2867"/>
      <c r="CL1084" s="2867"/>
      <c r="CM1084" s="2867"/>
      <c r="CN1084" s="2867"/>
      <c r="CO1084" s="2867"/>
      <c r="CP1084" s="2867"/>
      <c r="CQ1084" s="2867"/>
      <c r="CR1084" s="2867"/>
      <c r="CS1084" s="2867"/>
      <c r="CT1084" s="2867"/>
      <c r="CU1084" s="2867"/>
      <c r="CV1084" s="2867"/>
      <c r="CW1084" s="2867"/>
    </row>
    <row r="1085" spans="1:101">
      <c r="A1085" s="2867"/>
      <c r="B1085" s="2867"/>
      <c r="C1085" s="2867"/>
      <c r="D1085" s="2867"/>
      <c r="E1085" s="2867"/>
      <c r="F1085" s="2867"/>
      <c r="G1085" s="2867"/>
      <c r="H1085" s="2867"/>
      <c r="I1085" s="2867"/>
      <c r="J1085" s="2867"/>
      <c r="K1085" s="2867"/>
      <c r="L1085" s="2867"/>
      <c r="M1085" s="2867"/>
      <c r="O1085" s="2867"/>
      <c r="P1085" s="2867"/>
      <c r="Q1085" s="2867"/>
      <c r="R1085" s="2867"/>
      <c r="S1085" s="2867"/>
      <c r="T1085" s="2867"/>
      <c r="U1085" s="2867"/>
      <c r="V1085" s="2867"/>
      <c r="W1085" s="2867"/>
      <c r="X1085" s="2867"/>
      <c r="Y1085" s="2867"/>
      <c r="Z1085" s="2867"/>
      <c r="AA1085" s="2867"/>
      <c r="AB1085" s="2867"/>
      <c r="AC1085" s="2867"/>
      <c r="AD1085" s="2867"/>
      <c r="AE1085" s="2867"/>
      <c r="AF1085" s="2867"/>
      <c r="AG1085" s="2867"/>
      <c r="AH1085" s="2867"/>
      <c r="AI1085" s="2867"/>
      <c r="AJ1085" s="2867"/>
      <c r="AK1085" s="2867"/>
      <c r="AL1085" s="2867"/>
      <c r="AM1085" s="2867"/>
      <c r="AN1085" s="2867"/>
      <c r="AO1085" s="2867"/>
      <c r="AP1085" s="2867"/>
      <c r="AQ1085" s="2867"/>
      <c r="AR1085" s="2867"/>
      <c r="AS1085" s="2867"/>
      <c r="AT1085" s="2867"/>
      <c r="AU1085" s="2867"/>
      <c r="AV1085" s="2867"/>
      <c r="AW1085" s="2867"/>
      <c r="AX1085" s="2867"/>
      <c r="AY1085" s="2867"/>
      <c r="AZ1085" s="2867"/>
      <c r="BA1085" s="2867"/>
      <c r="BB1085" s="2867"/>
      <c r="BC1085" s="2867"/>
      <c r="BD1085" s="2867"/>
      <c r="BE1085" s="2867"/>
      <c r="BF1085" s="2867"/>
      <c r="BG1085" s="2867"/>
      <c r="BH1085" s="2867"/>
      <c r="BI1085" s="2867"/>
      <c r="BJ1085" s="2867"/>
      <c r="BK1085" s="2867"/>
      <c r="BL1085" s="2867"/>
      <c r="BM1085" s="2867"/>
      <c r="BN1085" s="2867"/>
      <c r="BO1085" s="2867"/>
      <c r="BP1085" s="2867"/>
      <c r="BQ1085" s="2867"/>
      <c r="BR1085" s="2867"/>
      <c r="BS1085" s="2867"/>
      <c r="BT1085" s="2867"/>
      <c r="BU1085" s="2867"/>
      <c r="BV1085" s="2867"/>
      <c r="BW1085" s="2867"/>
      <c r="BX1085" s="2867"/>
      <c r="BY1085" s="2867"/>
      <c r="BZ1085" s="2867"/>
      <c r="CA1085" s="2867"/>
      <c r="CB1085" s="2867"/>
      <c r="CC1085" s="2867"/>
      <c r="CD1085" s="2867"/>
      <c r="CE1085" s="2867"/>
      <c r="CF1085" s="2867"/>
      <c r="CG1085" s="2867"/>
      <c r="CH1085" s="2867"/>
      <c r="CI1085" s="2867"/>
      <c r="CJ1085" s="2867"/>
      <c r="CK1085" s="2867"/>
      <c r="CL1085" s="2867"/>
      <c r="CM1085" s="2867"/>
      <c r="CN1085" s="2867"/>
      <c r="CO1085" s="2867"/>
      <c r="CP1085" s="2867"/>
      <c r="CQ1085" s="2867"/>
      <c r="CR1085" s="2867"/>
      <c r="CS1085" s="2867"/>
      <c r="CT1085" s="2867"/>
      <c r="CU1085" s="2867"/>
      <c r="CV1085" s="2867"/>
      <c r="CW1085" s="2867"/>
    </row>
    <row r="1086" spans="1:101">
      <c r="A1086" s="2867"/>
      <c r="B1086" s="2867"/>
      <c r="C1086" s="2867"/>
      <c r="D1086" s="2867"/>
      <c r="E1086" s="2867"/>
      <c r="F1086" s="2867"/>
      <c r="G1086" s="2867"/>
      <c r="H1086" s="2867"/>
      <c r="I1086" s="2867"/>
      <c r="J1086" s="2867"/>
      <c r="K1086" s="2867"/>
      <c r="L1086" s="2867"/>
      <c r="M1086" s="2867"/>
      <c r="O1086" s="2867"/>
      <c r="P1086" s="2867"/>
      <c r="Q1086" s="2867"/>
      <c r="R1086" s="2867"/>
      <c r="S1086" s="2867"/>
      <c r="T1086" s="2867"/>
      <c r="U1086" s="2867"/>
      <c r="V1086" s="2867"/>
      <c r="W1086" s="2867"/>
      <c r="X1086" s="2867"/>
      <c r="Y1086" s="2867"/>
      <c r="Z1086" s="2867"/>
      <c r="AA1086" s="2867"/>
      <c r="AB1086" s="2867"/>
      <c r="AC1086" s="2867"/>
      <c r="AD1086" s="2867"/>
      <c r="AE1086" s="2867"/>
      <c r="AF1086" s="2867"/>
      <c r="AG1086" s="2867"/>
      <c r="AH1086" s="2867"/>
      <c r="AI1086" s="2867"/>
      <c r="AJ1086" s="2867"/>
      <c r="AK1086" s="2867"/>
      <c r="AL1086" s="2867"/>
      <c r="AM1086" s="2867"/>
      <c r="AN1086" s="2867"/>
      <c r="AO1086" s="2867"/>
      <c r="AP1086" s="2867"/>
      <c r="AQ1086" s="2867"/>
      <c r="AR1086" s="2867"/>
      <c r="AS1086" s="2867"/>
      <c r="AT1086" s="2867"/>
      <c r="AU1086" s="2867"/>
      <c r="AV1086" s="2867"/>
      <c r="AW1086" s="2867"/>
      <c r="AX1086" s="2867"/>
      <c r="AY1086" s="2867"/>
      <c r="AZ1086" s="2867"/>
      <c r="BA1086" s="2867"/>
      <c r="BB1086" s="2867"/>
      <c r="BC1086" s="2867"/>
      <c r="BD1086" s="2867"/>
      <c r="BE1086" s="2867"/>
      <c r="BF1086" s="2867"/>
      <c r="BG1086" s="2867"/>
      <c r="BH1086" s="2867"/>
      <c r="BI1086" s="2867"/>
      <c r="BJ1086" s="2867"/>
      <c r="BK1086" s="2867"/>
      <c r="BL1086" s="2867"/>
      <c r="BM1086" s="2867"/>
      <c r="BN1086" s="2867"/>
      <c r="BO1086" s="2867"/>
      <c r="BP1086" s="2867"/>
      <c r="BQ1086" s="2867"/>
      <c r="BR1086" s="2867"/>
      <c r="BS1086" s="2867"/>
      <c r="BT1086" s="2867"/>
      <c r="BU1086" s="2867"/>
      <c r="BV1086" s="2867"/>
      <c r="BW1086" s="2867"/>
      <c r="BX1086" s="2867"/>
      <c r="BY1086" s="2867"/>
      <c r="BZ1086" s="2867"/>
      <c r="CA1086" s="2867"/>
      <c r="CB1086" s="2867"/>
      <c r="CC1086" s="2867"/>
      <c r="CD1086" s="2867"/>
      <c r="CE1086" s="2867"/>
      <c r="CF1086" s="2867"/>
      <c r="CG1086" s="2867"/>
      <c r="CH1086" s="2867"/>
      <c r="CI1086" s="2867"/>
      <c r="CJ1086" s="2867"/>
      <c r="CK1086" s="2867"/>
      <c r="CL1086" s="2867"/>
      <c r="CM1086" s="2867"/>
      <c r="CN1086" s="2867"/>
      <c r="CO1086" s="2867"/>
      <c r="CP1086" s="2867"/>
      <c r="CQ1086" s="2867"/>
      <c r="CR1086" s="2867"/>
      <c r="CS1086" s="2867"/>
      <c r="CT1086" s="2867"/>
      <c r="CU1086" s="2867"/>
      <c r="CV1086" s="2867"/>
      <c r="CW1086" s="2867"/>
    </row>
    <row r="1087" spans="1:101">
      <c r="A1087" s="2867"/>
      <c r="B1087" s="2867"/>
      <c r="C1087" s="2867"/>
      <c r="D1087" s="2867"/>
      <c r="E1087" s="2867"/>
      <c r="F1087" s="2867"/>
      <c r="G1087" s="2867"/>
      <c r="H1087" s="2867"/>
      <c r="I1087" s="2867"/>
      <c r="J1087" s="2867"/>
      <c r="K1087" s="2867"/>
      <c r="L1087" s="2867"/>
      <c r="M1087" s="2867"/>
      <c r="O1087" s="2867"/>
      <c r="P1087" s="2867"/>
      <c r="Q1087" s="2867"/>
      <c r="R1087" s="2867"/>
      <c r="S1087" s="2867"/>
      <c r="T1087" s="2867"/>
      <c r="U1087" s="2867"/>
      <c r="V1087" s="2867"/>
      <c r="W1087" s="2867"/>
      <c r="X1087" s="2867"/>
      <c r="Y1087" s="2867"/>
      <c r="Z1087" s="2867"/>
      <c r="AA1087" s="2867"/>
      <c r="AB1087" s="2867"/>
      <c r="AC1087" s="2867"/>
      <c r="AD1087" s="2867"/>
      <c r="AE1087" s="2867"/>
      <c r="AF1087" s="2867"/>
      <c r="AG1087" s="2867"/>
      <c r="AH1087" s="2867"/>
      <c r="AI1087" s="2867"/>
      <c r="AJ1087" s="2867"/>
      <c r="AK1087" s="2867"/>
      <c r="AL1087" s="2867"/>
      <c r="AM1087" s="2867"/>
      <c r="AN1087" s="2867"/>
      <c r="AO1087" s="2867"/>
      <c r="AP1087" s="2867"/>
      <c r="AQ1087" s="2867"/>
      <c r="AR1087" s="2867"/>
      <c r="AS1087" s="2867"/>
      <c r="AT1087" s="2867"/>
      <c r="AU1087" s="2867"/>
      <c r="AV1087" s="2867"/>
      <c r="AW1087" s="2867"/>
      <c r="AX1087" s="2867"/>
      <c r="AY1087" s="2867"/>
      <c r="AZ1087" s="2867"/>
      <c r="BA1087" s="2867"/>
      <c r="BB1087" s="2867"/>
      <c r="BC1087" s="2867"/>
      <c r="BD1087" s="2867"/>
      <c r="BE1087" s="2867"/>
      <c r="BF1087" s="2867"/>
      <c r="BG1087" s="2867"/>
      <c r="BH1087" s="2867"/>
      <c r="BI1087" s="2867"/>
      <c r="BJ1087" s="2867"/>
      <c r="BK1087" s="2867"/>
      <c r="BL1087" s="2867"/>
      <c r="BM1087" s="2867"/>
      <c r="BN1087" s="2867"/>
      <c r="BO1087" s="2867"/>
      <c r="BP1087" s="2867"/>
      <c r="BQ1087" s="2867"/>
      <c r="BR1087" s="2867"/>
      <c r="BS1087" s="2867"/>
      <c r="BT1087" s="2867"/>
      <c r="BU1087" s="2867"/>
      <c r="BV1087" s="2867"/>
      <c r="BW1087" s="2867"/>
      <c r="BX1087" s="2867"/>
      <c r="BY1087" s="2867"/>
      <c r="BZ1087" s="2867"/>
      <c r="CA1087" s="2867"/>
      <c r="CB1087" s="2867"/>
      <c r="CC1087" s="2867"/>
      <c r="CD1087" s="2867"/>
      <c r="CE1087" s="2867"/>
      <c r="CF1087" s="2867"/>
      <c r="CG1087" s="2867"/>
      <c r="CH1087" s="2867"/>
      <c r="CI1087" s="2867"/>
      <c r="CJ1087" s="2867"/>
      <c r="CK1087" s="2867"/>
      <c r="CL1087" s="2867"/>
      <c r="CM1087" s="2867"/>
      <c r="CN1087" s="2867"/>
      <c r="CO1087" s="2867"/>
      <c r="CP1087" s="2867"/>
      <c r="CQ1087" s="2867"/>
      <c r="CR1087" s="2867"/>
      <c r="CS1087" s="2867"/>
      <c r="CT1087" s="2867"/>
      <c r="CU1087" s="2867"/>
      <c r="CV1087" s="2867"/>
      <c r="CW1087" s="2867"/>
    </row>
    <row r="1088" spans="1:101">
      <c r="A1088" s="2867"/>
      <c r="B1088" s="2867"/>
      <c r="C1088" s="2867"/>
      <c r="D1088" s="2867"/>
      <c r="E1088" s="2867"/>
      <c r="F1088" s="2867"/>
      <c r="G1088" s="2867"/>
      <c r="H1088" s="2867"/>
      <c r="I1088" s="2867"/>
      <c r="J1088" s="2867"/>
      <c r="K1088" s="2867"/>
      <c r="L1088" s="2867"/>
      <c r="M1088" s="2867"/>
      <c r="O1088" s="2867"/>
      <c r="P1088" s="2867"/>
      <c r="Q1088" s="2867"/>
      <c r="R1088" s="2867"/>
      <c r="S1088" s="2867"/>
      <c r="T1088" s="2867"/>
      <c r="U1088" s="2867"/>
      <c r="V1088" s="2867"/>
      <c r="W1088" s="2867"/>
      <c r="X1088" s="2867"/>
      <c r="Y1088" s="2867"/>
      <c r="Z1088" s="2867"/>
      <c r="AA1088" s="2867"/>
      <c r="AB1088" s="2867"/>
      <c r="AC1088" s="2867"/>
      <c r="AD1088" s="2867"/>
      <c r="AE1088" s="2867"/>
      <c r="AF1088" s="2867"/>
      <c r="AG1088" s="2867"/>
      <c r="AH1088" s="2867"/>
      <c r="AI1088" s="2867"/>
      <c r="AJ1088" s="2867"/>
      <c r="AK1088" s="2867"/>
      <c r="AL1088" s="2867"/>
      <c r="AM1088" s="2867"/>
      <c r="AN1088" s="2867"/>
      <c r="AO1088" s="2867"/>
      <c r="AP1088" s="2867"/>
      <c r="AQ1088" s="2867"/>
      <c r="AR1088" s="2867"/>
      <c r="AS1088" s="2867"/>
      <c r="AT1088" s="2867"/>
      <c r="AU1088" s="2867"/>
      <c r="AV1088" s="2867"/>
      <c r="AW1088" s="2867"/>
      <c r="AX1088" s="2867"/>
      <c r="AY1088" s="2867"/>
      <c r="AZ1088" s="2867"/>
      <c r="BA1088" s="2867"/>
      <c r="BB1088" s="2867"/>
      <c r="BC1088" s="2867"/>
      <c r="BD1088" s="2867"/>
      <c r="BE1088" s="2867"/>
      <c r="BF1088" s="2867"/>
      <c r="BG1088" s="2867"/>
      <c r="BH1088" s="2867"/>
      <c r="BI1088" s="2867"/>
      <c r="BJ1088" s="2867"/>
      <c r="BK1088" s="2867"/>
      <c r="BL1088" s="2867"/>
      <c r="BM1088" s="2867"/>
      <c r="BN1088" s="2867"/>
      <c r="BO1088" s="2867"/>
      <c r="BP1088" s="2867"/>
      <c r="BQ1088" s="2867"/>
      <c r="BR1088" s="2867"/>
      <c r="BS1088" s="2867"/>
      <c r="BT1088" s="2867"/>
      <c r="BU1088" s="2867"/>
      <c r="BV1088" s="2867"/>
      <c r="BW1088" s="2867"/>
      <c r="BX1088" s="2867"/>
      <c r="BY1088" s="2867"/>
      <c r="BZ1088" s="2867"/>
      <c r="CA1088" s="2867"/>
      <c r="CB1088" s="2867"/>
      <c r="CC1088" s="2867"/>
      <c r="CD1088" s="2867"/>
      <c r="CE1088" s="2867"/>
      <c r="CF1088" s="2867"/>
      <c r="CG1088" s="2867"/>
      <c r="CH1088" s="2867"/>
      <c r="CI1088" s="2867"/>
      <c r="CJ1088" s="2867"/>
      <c r="CK1088" s="2867"/>
      <c r="CL1088" s="2867"/>
      <c r="CM1088" s="2867"/>
      <c r="CN1088" s="2867"/>
      <c r="CO1088" s="2867"/>
      <c r="CP1088" s="2867"/>
      <c r="CQ1088" s="2867"/>
      <c r="CR1088" s="2867"/>
      <c r="CS1088" s="2867"/>
      <c r="CT1088" s="2867"/>
      <c r="CU1088" s="2867"/>
      <c r="CV1088" s="2867"/>
      <c r="CW1088" s="2867"/>
    </row>
    <row r="1089" spans="1:101">
      <c r="A1089" s="2867"/>
      <c r="B1089" s="2867"/>
      <c r="C1089" s="2867"/>
      <c r="D1089" s="2867"/>
      <c r="E1089" s="2867"/>
      <c r="F1089" s="2867"/>
      <c r="G1089" s="2867"/>
      <c r="H1089" s="2867"/>
      <c r="I1089" s="2867"/>
      <c r="J1089" s="2867"/>
      <c r="K1089" s="2867"/>
      <c r="L1089" s="2867"/>
      <c r="M1089" s="2867"/>
      <c r="O1089" s="2867"/>
      <c r="P1089" s="2867"/>
      <c r="Q1089" s="2867"/>
      <c r="R1089" s="2867"/>
      <c r="S1089" s="2867"/>
      <c r="T1089" s="2867"/>
      <c r="U1089" s="2867"/>
      <c r="V1089" s="2867"/>
      <c r="W1089" s="2867"/>
      <c r="X1089" s="2867"/>
      <c r="Y1089" s="2867"/>
      <c r="Z1089" s="2867"/>
      <c r="AA1089" s="2867"/>
      <c r="AB1089" s="2867"/>
      <c r="AC1089" s="2867"/>
      <c r="AD1089" s="2867"/>
      <c r="AE1089" s="2867"/>
      <c r="AF1089" s="2867"/>
      <c r="AG1089" s="2867"/>
      <c r="AH1089" s="2867"/>
      <c r="AI1089" s="2867"/>
      <c r="AJ1089" s="2867"/>
      <c r="AK1089" s="2867"/>
      <c r="AL1089" s="2867"/>
      <c r="AM1089" s="2867"/>
      <c r="AN1089" s="2867"/>
      <c r="AO1089" s="2867"/>
      <c r="AP1089" s="2867"/>
      <c r="AQ1089" s="2867"/>
      <c r="AR1089" s="2867"/>
      <c r="AS1089" s="2867"/>
      <c r="AT1089" s="2867"/>
      <c r="AU1089" s="2867"/>
      <c r="AV1089" s="2867"/>
      <c r="AW1089" s="2867"/>
      <c r="AX1089" s="2867"/>
      <c r="AY1089" s="2867"/>
      <c r="AZ1089" s="2867"/>
      <c r="BA1089" s="2867"/>
      <c r="BB1089" s="2867"/>
      <c r="BC1089" s="2867"/>
      <c r="BD1089" s="2867"/>
      <c r="BE1089" s="2867"/>
      <c r="BF1089" s="2867"/>
      <c r="BG1089" s="2867"/>
      <c r="BH1089" s="2867"/>
      <c r="BI1089" s="2867"/>
      <c r="BJ1089" s="2867"/>
      <c r="BK1089" s="2867"/>
      <c r="BL1089" s="2867"/>
      <c r="BM1089" s="2867"/>
      <c r="BN1089" s="2867"/>
      <c r="BO1089" s="2867"/>
      <c r="BP1089" s="2867"/>
      <c r="BQ1089" s="2867"/>
      <c r="BR1089" s="2867"/>
      <c r="BS1089" s="2867"/>
      <c r="BT1089" s="2867"/>
      <c r="BU1089" s="2867"/>
      <c r="BV1089" s="2867"/>
      <c r="BW1089" s="2867"/>
      <c r="BX1089" s="2867"/>
      <c r="BY1089" s="2867"/>
      <c r="BZ1089" s="2867"/>
      <c r="CA1089" s="2867"/>
      <c r="CB1089" s="2867"/>
      <c r="CC1089" s="2867"/>
      <c r="CD1089" s="2867"/>
      <c r="CE1089" s="2867"/>
      <c r="CF1089" s="2867"/>
      <c r="CG1089" s="2867"/>
      <c r="CH1089" s="2867"/>
      <c r="CI1089" s="2867"/>
      <c r="CJ1089" s="2867"/>
      <c r="CK1089" s="2867"/>
      <c r="CL1089" s="2867"/>
      <c r="CM1089" s="2867"/>
      <c r="CN1089" s="2867"/>
      <c r="CO1089" s="2867"/>
      <c r="CP1089" s="2867"/>
      <c r="CQ1089" s="2867"/>
      <c r="CR1089" s="2867"/>
      <c r="CS1089" s="2867"/>
      <c r="CT1089" s="2867"/>
      <c r="CU1089" s="2867"/>
      <c r="CV1089" s="2867"/>
      <c r="CW1089" s="2867"/>
    </row>
    <row r="1090" spans="1:101">
      <c r="A1090" s="2867"/>
      <c r="B1090" s="2867"/>
      <c r="C1090" s="2867"/>
      <c r="D1090" s="2867"/>
      <c r="E1090" s="2867"/>
      <c r="F1090" s="2867"/>
      <c r="G1090" s="2867"/>
      <c r="H1090" s="2867"/>
      <c r="I1090" s="2867"/>
      <c r="J1090" s="2867"/>
      <c r="K1090" s="2867"/>
      <c r="L1090" s="2867"/>
      <c r="M1090" s="2867"/>
      <c r="O1090" s="2867"/>
      <c r="P1090" s="2867"/>
      <c r="Q1090" s="2867"/>
      <c r="R1090" s="2867"/>
      <c r="S1090" s="2867"/>
      <c r="T1090" s="2867"/>
      <c r="U1090" s="2867"/>
      <c r="V1090" s="2867"/>
      <c r="W1090" s="2867"/>
      <c r="X1090" s="2867"/>
      <c r="Y1090" s="2867"/>
      <c r="Z1090" s="2867"/>
      <c r="AA1090" s="2867"/>
      <c r="AB1090" s="2867"/>
      <c r="AC1090" s="2867"/>
      <c r="AD1090" s="2867"/>
      <c r="AE1090" s="2867"/>
      <c r="AF1090" s="2867"/>
      <c r="AG1090" s="2867"/>
      <c r="AH1090" s="2867"/>
      <c r="AI1090" s="2867"/>
      <c r="AJ1090" s="2867"/>
      <c r="AK1090" s="2867"/>
      <c r="AL1090" s="2867"/>
      <c r="AM1090" s="2867"/>
      <c r="AN1090" s="2867"/>
      <c r="AO1090" s="2867"/>
      <c r="AP1090" s="2867"/>
      <c r="AQ1090" s="2867"/>
      <c r="AR1090" s="2867"/>
      <c r="AS1090" s="2867"/>
      <c r="AT1090" s="2867"/>
      <c r="AU1090" s="2867"/>
      <c r="AV1090" s="2867"/>
      <c r="AW1090" s="2867"/>
      <c r="AX1090" s="2867"/>
      <c r="AY1090" s="2867"/>
      <c r="AZ1090" s="2867"/>
      <c r="BA1090" s="2867"/>
      <c r="BB1090" s="2867"/>
      <c r="BC1090" s="2867"/>
      <c r="BD1090" s="2867"/>
      <c r="BE1090" s="2867"/>
      <c r="BF1090" s="2867"/>
      <c r="BG1090" s="2867"/>
      <c r="BH1090" s="2867"/>
      <c r="BI1090" s="2867"/>
      <c r="BJ1090" s="2867"/>
      <c r="BK1090" s="2867"/>
      <c r="BL1090" s="2867"/>
      <c r="BM1090" s="2867"/>
      <c r="BN1090" s="2867"/>
      <c r="BO1090" s="2867"/>
      <c r="BP1090" s="2867"/>
      <c r="BQ1090" s="2867"/>
      <c r="BR1090" s="2867"/>
      <c r="BS1090" s="2867"/>
      <c r="BT1090" s="2867"/>
      <c r="BU1090" s="2867"/>
      <c r="BV1090" s="2867"/>
      <c r="BW1090" s="2867"/>
      <c r="BX1090" s="2867"/>
      <c r="BY1090" s="2867"/>
      <c r="BZ1090" s="2867"/>
      <c r="CA1090" s="2867"/>
      <c r="CB1090" s="2867"/>
      <c r="CC1090" s="2867"/>
      <c r="CD1090" s="2867"/>
      <c r="CE1090" s="2867"/>
      <c r="CF1090" s="2867"/>
      <c r="CG1090" s="2867"/>
      <c r="CH1090" s="2867"/>
      <c r="CI1090" s="2867"/>
      <c r="CJ1090" s="2867"/>
      <c r="CK1090" s="2867"/>
      <c r="CL1090" s="2867"/>
      <c r="CM1090" s="2867"/>
      <c r="CN1090" s="2867"/>
      <c r="CO1090" s="2867"/>
      <c r="CP1090" s="2867"/>
      <c r="CQ1090" s="2867"/>
      <c r="CR1090" s="2867"/>
      <c r="CS1090" s="2867"/>
      <c r="CT1090" s="2867"/>
      <c r="CU1090" s="2867"/>
      <c r="CV1090" s="2867"/>
      <c r="CW1090" s="2867"/>
    </row>
    <row r="1091" spans="1:101">
      <c r="A1091" s="2867"/>
      <c r="B1091" s="2867"/>
      <c r="C1091" s="2867"/>
      <c r="D1091" s="2867"/>
      <c r="E1091" s="2867"/>
      <c r="F1091" s="2867"/>
      <c r="G1091" s="2867"/>
      <c r="H1091" s="2867"/>
      <c r="I1091" s="2867"/>
      <c r="J1091" s="2867"/>
      <c r="K1091" s="2867"/>
      <c r="L1091" s="2867"/>
      <c r="M1091" s="2867"/>
      <c r="O1091" s="2867"/>
      <c r="P1091" s="2867"/>
      <c r="Q1091" s="2867"/>
      <c r="R1091" s="2867"/>
      <c r="S1091" s="2867"/>
      <c r="T1091" s="2867"/>
      <c r="U1091" s="2867"/>
      <c r="V1091" s="2867"/>
      <c r="W1091" s="2867"/>
      <c r="X1091" s="2867"/>
      <c r="Y1091" s="2867"/>
      <c r="Z1091" s="2867"/>
      <c r="AA1091" s="2867"/>
      <c r="AB1091" s="2867"/>
      <c r="AC1091" s="2867"/>
      <c r="AD1091" s="2867"/>
      <c r="AE1091" s="2867"/>
      <c r="AF1091" s="2867"/>
      <c r="AG1091" s="2867"/>
      <c r="AH1091" s="2867"/>
      <c r="AI1091" s="2867"/>
      <c r="AJ1091" s="2867"/>
      <c r="AK1091" s="2867"/>
      <c r="AL1091" s="2867"/>
      <c r="AM1091" s="2867"/>
      <c r="AN1091" s="2867"/>
      <c r="AO1091" s="2867"/>
      <c r="AP1091" s="2867"/>
      <c r="AQ1091" s="2867"/>
      <c r="AR1091" s="2867"/>
      <c r="AS1091" s="2867"/>
      <c r="AT1091" s="2867"/>
      <c r="AU1091" s="2867"/>
      <c r="AV1091" s="2867"/>
      <c r="AW1091" s="2867"/>
      <c r="AX1091" s="2867"/>
      <c r="AY1091" s="2867"/>
      <c r="AZ1091" s="2867"/>
      <c r="BA1091" s="2867"/>
      <c r="BB1091" s="2867"/>
      <c r="BC1091" s="2867"/>
      <c r="BD1091" s="2867"/>
      <c r="BE1091" s="2867"/>
      <c r="BF1091" s="2867"/>
      <c r="BG1091" s="2867"/>
      <c r="BH1091" s="2867"/>
      <c r="BI1091" s="2867"/>
      <c r="BJ1091" s="2867"/>
      <c r="BK1091" s="2867"/>
      <c r="BL1091" s="2867"/>
      <c r="BM1091" s="2867"/>
      <c r="BN1091" s="2867"/>
      <c r="BO1091" s="2867"/>
      <c r="BP1091" s="2867"/>
      <c r="BQ1091" s="2867"/>
      <c r="BR1091" s="2867"/>
      <c r="BS1091" s="2867"/>
      <c r="BT1091" s="2867"/>
      <c r="BU1091" s="2867"/>
      <c r="BV1091" s="2867"/>
      <c r="BW1091" s="2867"/>
      <c r="BX1091" s="2867"/>
      <c r="BY1091" s="2867"/>
      <c r="BZ1091" s="2867"/>
      <c r="CA1091" s="2867"/>
      <c r="CB1091" s="2867"/>
      <c r="CC1091" s="2867"/>
      <c r="CD1091" s="2867"/>
      <c r="CE1091" s="2867"/>
      <c r="CF1091" s="2867"/>
      <c r="CG1091" s="2867"/>
      <c r="CH1091" s="2867"/>
      <c r="CI1091" s="2867"/>
      <c r="CJ1091" s="2867"/>
      <c r="CK1091" s="2867"/>
      <c r="CL1091" s="2867"/>
      <c r="CM1091" s="2867"/>
      <c r="CN1091" s="2867"/>
      <c r="CO1091" s="2867"/>
      <c r="CP1091" s="2867"/>
      <c r="CQ1091" s="2867"/>
      <c r="CR1091" s="2867"/>
      <c r="CS1091" s="2867"/>
      <c r="CT1091" s="2867"/>
      <c r="CU1091" s="2867"/>
      <c r="CV1091" s="2867"/>
      <c r="CW1091" s="2867"/>
    </row>
    <row r="1092" spans="1:101">
      <c r="A1092" s="2867"/>
      <c r="B1092" s="2867"/>
      <c r="C1092" s="2867"/>
      <c r="D1092" s="2867"/>
      <c r="E1092" s="2867"/>
      <c r="F1092" s="2867"/>
      <c r="G1092" s="2867"/>
      <c r="H1092" s="2867"/>
      <c r="I1092" s="2867"/>
      <c r="J1092" s="2867"/>
      <c r="K1092" s="2867"/>
      <c r="L1092" s="2867"/>
      <c r="M1092" s="2867"/>
      <c r="O1092" s="2867"/>
      <c r="P1092" s="2867"/>
      <c r="Q1092" s="2867"/>
      <c r="R1092" s="2867"/>
      <c r="S1092" s="2867"/>
      <c r="T1092" s="2867"/>
      <c r="U1092" s="2867"/>
      <c r="V1092" s="2867"/>
      <c r="W1092" s="2867"/>
      <c r="X1092" s="2867"/>
      <c r="Y1092" s="2867"/>
      <c r="Z1092" s="2867"/>
      <c r="AA1092" s="2867"/>
      <c r="AB1092" s="2867"/>
      <c r="AC1092" s="2867"/>
      <c r="AD1092" s="2867"/>
      <c r="AE1092" s="2867"/>
      <c r="AF1092" s="2867"/>
      <c r="AG1092" s="2867"/>
      <c r="AH1092" s="2867"/>
      <c r="AI1092" s="2867"/>
      <c r="AJ1092" s="2867"/>
      <c r="AK1092" s="2867"/>
      <c r="AL1092" s="2867"/>
      <c r="AM1092" s="2867"/>
      <c r="AN1092" s="2867"/>
      <c r="AO1092" s="2867"/>
      <c r="AP1092" s="2867"/>
      <c r="AQ1092" s="2867"/>
      <c r="AR1092" s="2867"/>
      <c r="AS1092" s="2867"/>
      <c r="AT1092" s="2867"/>
      <c r="AU1092" s="2867"/>
      <c r="AV1092" s="2867"/>
      <c r="AW1092" s="2867"/>
      <c r="AX1092" s="2867"/>
      <c r="AY1092" s="2867"/>
      <c r="AZ1092" s="2867"/>
      <c r="BA1092" s="2867"/>
      <c r="BB1092" s="2867"/>
      <c r="BC1092" s="2867"/>
      <c r="BD1092" s="2867"/>
      <c r="BE1092" s="2867"/>
      <c r="BF1092" s="2867"/>
      <c r="BG1092" s="2867"/>
      <c r="BH1092" s="2867"/>
      <c r="BI1092" s="2867"/>
      <c r="BJ1092" s="2867"/>
      <c r="BK1092" s="2867"/>
      <c r="BL1092" s="2867"/>
      <c r="BM1092" s="2867"/>
      <c r="BN1092" s="2867"/>
      <c r="BO1092" s="2867"/>
      <c r="BP1092" s="2867"/>
      <c r="BQ1092" s="2867"/>
      <c r="BR1092" s="2867"/>
      <c r="BS1092" s="2867"/>
      <c r="BT1092" s="2867"/>
      <c r="BU1092" s="2867"/>
      <c r="BV1092" s="2867"/>
      <c r="BW1092" s="2867"/>
      <c r="BX1092" s="2867"/>
      <c r="BY1092" s="2867"/>
      <c r="BZ1092" s="2867"/>
      <c r="CA1092" s="2867"/>
      <c r="CB1092" s="2867"/>
      <c r="CC1092" s="2867"/>
      <c r="CD1092" s="2867"/>
      <c r="CE1092" s="2867"/>
      <c r="CF1092" s="2867"/>
      <c r="CG1092" s="2867"/>
      <c r="CH1092" s="2867"/>
      <c r="CI1092" s="2867"/>
      <c r="CJ1092" s="2867"/>
      <c r="CK1092" s="2867"/>
      <c r="CL1092" s="2867"/>
      <c r="CM1092" s="2867"/>
      <c r="CN1092" s="2867"/>
      <c r="CO1092" s="2867"/>
      <c r="CP1092" s="2867"/>
      <c r="CQ1092" s="2867"/>
      <c r="CR1092" s="2867"/>
      <c r="CS1092" s="2867"/>
      <c r="CT1092" s="2867"/>
      <c r="CU1092" s="2867"/>
      <c r="CV1092" s="2867"/>
      <c r="CW1092" s="2867"/>
    </row>
    <row r="1093" spans="1:101">
      <c r="A1093" s="2867"/>
      <c r="B1093" s="2867"/>
      <c r="C1093" s="2867"/>
      <c r="D1093" s="2867"/>
      <c r="E1093" s="2867"/>
      <c r="F1093" s="2867"/>
      <c r="G1093" s="2867"/>
      <c r="H1093" s="2867"/>
      <c r="I1093" s="2867"/>
      <c r="J1093" s="2867"/>
      <c r="K1093" s="2867"/>
      <c r="L1093" s="2867"/>
      <c r="M1093" s="2867"/>
      <c r="O1093" s="2867"/>
      <c r="P1093" s="2867"/>
      <c r="Q1093" s="2867"/>
      <c r="R1093" s="2867"/>
      <c r="S1093" s="2867"/>
      <c r="T1093" s="2867"/>
      <c r="U1093" s="2867"/>
      <c r="V1093" s="2867"/>
      <c r="W1093" s="2867"/>
      <c r="X1093" s="2867"/>
      <c r="Y1093" s="2867"/>
      <c r="Z1093" s="2867"/>
      <c r="AA1093" s="2867"/>
      <c r="AB1093" s="2867"/>
      <c r="AC1093" s="2867"/>
      <c r="AD1093" s="2867"/>
      <c r="AE1093" s="2867"/>
      <c r="AF1093" s="2867"/>
      <c r="AG1093" s="2867"/>
      <c r="AH1093" s="2867"/>
      <c r="AI1093" s="2867"/>
      <c r="AJ1093" s="2867"/>
      <c r="AK1093" s="2867"/>
      <c r="AL1093" s="2867"/>
      <c r="AM1093" s="2867"/>
      <c r="AN1093" s="2867"/>
      <c r="AO1093" s="2867"/>
      <c r="AP1093" s="2867"/>
      <c r="AQ1093" s="2867"/>
      <c r="AR1093" s="2867"/>
      <c r="AS1093" s="2867"/>
      <c r="AT1093" s="2867"/>
      <c r="AU1093" s="2867"/>
      <c r="AV1093" s="2867"/>
      <c r="AW1093" s="2867"/>
      <c r="AX1093" s="2867"/>
      <c r="AY1093" s="2867"/>
      <c r="AZ1093" s="2867"/>
      <c r="BA1093" s="2867"/>
      <c r="BB1093" s="2867"/>
      <c r="BC1093" s="2867"/>
      <c r="BD1093" s="2867"/>
      <c r="BE1093" s="2867"/>
      <c r="BF1093" s="2867"/>
      <c r="BG1093" s="2867"/>
      <c r="BH1093" s="2867"/>
      <c r="BI1093" s="2867"/>
      <c r="BJ1093" s="2867"/>
      <c r="BK1093" s="2867"/>
      <c r="BL1093" s="2867"/>
      <c r="BM1093" s="2867"/>
      <c r="BN1093" s="2867"/>
      <c r="BO1093" s="2867"/>
      <c r="BP1093" s="2867"/>
      <c r="BQ1093" s="2867"/>
      <c r="BR1093" s="2867"/>
      <c r="BS1093" s="2867"/>
      <c r="BT1093" s="2867"/>
      <c r="BU1093" s="2867"/>
      <c r="BV1093" s="2867"/>
      <c r="BW1093" s="2867"/>
      <c r="BX1093" s="2867"/>
      <c r="BY1093" s="2867"/>
      <c r="BZ1093" s="2867"/>
      <c r="CA1093" s="2867"/>
      <c r="CB1093" s="2867"/>
      <c r="CC1093" s="2867"/>
      <c r="CD1093" s="2867"/>
      <c r="CE1093" s="2867"/>
      <c r="CF1093" s="2867"/>
      <c r="CG1093" s="2867"/>
      <c r="CH1093" s="2867"/>
      <c r="CI1093" s="2867"/>
      <c r="CJ1093" s="2867"/>
      <c r="CK1093" s="2867"/>
      <c r="CL1093" s="2867"/>
      <c r="CM1093" s="2867"/>
      <c r="CN1093" s="2867"/>
      <c r="CO1093" s="2867"/>
      <c r="CP1093" s="2867"/>
      <c r="CQ1093" s="2867"/>
      <c r="CR1093" s="2867"/>
      <c r="CS1093" s="2867"/>
      <c r="CT1093" s="2867"/>
      <c r="CU1093" s="2867"/>
      <c r="CV1093" s="2867"/>
      <c r="CW1093" s="2867"/>
    </row>
    <row r="1094" spans="1:101">
      <c r="A1094" s="2867"/>
      <c r="B1094" s="2867"/>
      <c r="C1094" s="2867"/>
      <c r="D1094" s="2867"/>
      <c r="E1094" s="2867"/>
      <c r="F1094" s="2867"/>
      <c r="G1094" s="2867"/>
      <c r="H1094" s="2867"/>
      <c r="I1094" s="2867"/>
      <c r="J1094" s="2867"/>
      <c r="K1094" s="2867"/>
      <c r="L1094" s="2867"/>
      <c r="M1094" s="2867"/>
      <c r="O1094" s="2867"/>
      <c r="P1094" s="2867"/>
      <c r="Q1094" s="2867"/>
      <c r="R1094" s="2867"/>
      <c r="S1094" s="2867"/>
      <c r="T1094" s="2867"/>
      <c r="U1094" s="2867"/>
      <c r="V1094" s="2867"/>
      <c r="W1094" s="2867"/>
      <c r="X1094" s="2867"/>
      <c r="Y1094" s="2867"/>
      <c r="Z1094" s="2867"/>
      <c r="AA1094" s="2867"/>
      <c r="AB1094" s="2867"/>
      <c r="AC1094" s="2867"/>
      <c r="AD1094" s="2867"/>
      <c r="AE1094" s="2867"/>
      <c r="AF1094" s="2867"/>
      <c r="AG1094" s="2867"/>
      <c r="AH1094" s="2867"/>
      <c r="AI1094" s="2867"/>
      <c r="AJ1094" s="2867"/>
      <c r="AK1094" s="2867"/>
      <c r="AL1094" s="2867"/>
      <c r="AM1094" s="2867"/>
      <c r="AN1094" s="2867"/>
      <c r="AO1094" s="2867"/>
      <c r="AP1094" s="2867"/>
      <c r="AQ1094" s="2867"/>
      <c r="AR1094" s="2867"/>
      <c r="AS1094" s="2867"/>
      <c r="AT1094" s="2867"/>
      <c r="AU1094" s="2867"/>
      <c r="AV1094" s="2867"/>
      <c r="AW1094" s="2867"/>
      <c r="AX1094" s="2867"/>
      <c r="AY1094" s="2867"/>
      <c r="AZ1094" s="2867"/>
      <c r="BA1094" s="2867"/>
      <c r="BB1094" s="2867"/>
      <c r="BC1094" s="2867"/>
      <c r="BD1094" s="2867"/>
      <c r="BE1094" s="2867"/>
      <c r="BF1094" s="2867"/>
      <c r="BG1094" s="2867"/>
      <c r="BH1094" s="2867"/>
      <c r="BI1094" s="2867"/>
      <c r="BJ1094" s="2867"/>
      <c r="BK1094" s="2867"/>
      <c r="BL1094" s="2867"/>
      <c r="BM1094" s="2867"/>
      <c r="BN1094" s="2867"/>
      <c r="BO1094" s="2867"/>
      <c r="BP1094" s="2867"/>
      <c r="BQ1094" s="2867"/>
      <c r="BR1094" s="2867"/>
      <c r="BS1094" s="2867"/>
      <c r="BT1094" s="2867"/>
      <c r="BU1094" s="2867"/>
      <c r="BV1094" s="2867"/>
      <c r="BW1094" s="2867"/>
      <c r="BX1094" s="2867"/>
      <c r="BY1094" s="2867"/>
      <c r="BZ1094" s="2867"/>
      <c r="CA1094" s="2867"/>
      <c r="CB1094" s="2867"/>
      <c r="CC1094" s="2867"/>
      <c r="CD1094" s="2867"/>
      <c r="CE1094" s="2867"/>
      <c r="CF1094" s="2867"/>
      <c r="CG1094" s="2867"/>
      <c r="CH1094" s="2867"/>
      <c r="CI1094" s="2867"/>
      <c r="CJ1094" s="2867"/>
      <c r="CK1094" s="2867"/>
      <c r="CL1094" s="2867"/>
      <c r="CM1094" s="2867"/>
      <c r="CN1094" s="2867"/>
      <c r="CO1094" s="2867"/>
      <c r="CP1094" s="2867"/>
      <c r="CQ1094" s="2867"/>
      <c r="CR1094" s="2867"/>
      <c r="CS1094" s="2867"/>
      <c r="CT1094" s="2867"/>
      <c r="CU1094" s="2867"/>
      <c r="CV1094" s="2867"/>
      <c r="CW1094" s="2867"/>
    </row>
    <row r="1095" spans="1:101">
      <c r="A1095" s="2867"/>
      <c r="B1095" s="2867"/>
      <c r="C1095" s="2867"/>
      <c r="D1095" s="2867"/>
      <c r="E1095" s="2867"/>
      <c r="F1095" s="2867"/>
      <c r="G1095" s="2867"/>
      <c r="H1095" s="2867"/>
      <c r="I1095" s="2867"/>
      <c r="J1095" s="2867"/>
      <c r="K1095" s="2867"/>
      <c r="L1095" s="2867"/>
      <c r="M1095" s="2867"/>
      <c r="O1095" s="2867"/>
      <c r="P1095" s="2867"/>
      <c r="Q1095" s="2867"/>
      <c r="R1095" s="2867"/>
      <c r="S1095" s="2867"/>
      <c r="T1095" s="2867"/>
      <c r="U1095" s="2867"/>
      <c r="V1095" s="2867"/>
      <c r="W1095" s="2867"/>
      <c r="X1095" s="2867"/>
      <c r="Y1095" s="2867"/>
      <c r="Z1095" s="2867"/>
      <c r="AA1095" s="2867"/>
      <c r="AB1095" s="2867"/>
      <c r="AC1095" s="2867"/>
      <c r="AD1095" s="2867"/>
      <c r="AE1095" s="2867"/>
      <c r="AF1095" s="2867"/>
      <c r="AG1095" s="2867"/>
      <c r="AH1095" s="2867"/>
      <c r="AI1095" s="2867"/>
      <c r="AJ1095" s="2867"/>
      <c r="AK1095" s="2867"/>
      <c r="AL1095" s="2867"/>
      <c r="AM1095" s="2867"/>
      <c r="AN1095" s="2867"/>
      <c r="AO1095" s="2867"/>
      <c r="AP1095" s="2867"/>
      <c r="AQ1095" s="2867"/>
      <c r="AR1095" s="2867"/>
      <c r="AS1095" s="2867"/>
      <c r="AT1095" s="2867"/>
      <c r="AU1095" s="2867"/>
      <c r="AV1095" s="2867"/>
      <c r="AW1095" s="2867"/>
      <c r="AX1095" s="2867"/>
      <c r="AY1095" s="2867"/>
      <c r="AZ1095" s="2867"/>
      <c r="BA1095" s="2867"/>
      <c r="BB1095" s="2867"/>
      <c r="BC1095" s="2867"/>
      <c r="BD1095" s="2867"/>
      <c r="BE1095" s="2867"/>
      <c r="BF1095" s="2867"/>
      <c r="BG1095" s="2867"/>
      <c r="BH1095" s="2867"/>
      <c r="BI1095" s="2867"/>
      <c r="BJ1095" s="2867"/>
      <c r="BK1095" s="2867"/>
      <c r="BL1095" s="2867"/>
      <c r="BM1095" s="2867"/>
      <c r="BN1095" s="2867"/>
      <c r="BO1095" s="2867"/>
      <c r="BP1095" s="2867"/>
      <c r="BQ1095" s="2867"/>
      <c r="BR1095" s="2867"/>
      <c r="BS1095" s="2867"/>
      <c r="BT1095" s="2867"/>
      <c r="BU1095" s="2867"/>
      <c r="BV1095" s="2867"/>
      <c r="BW1095" s="2867"/>
      <c r="BX1095" s="2867"/>
      <c r="BY1095" s="2867"/>
      <c r="BZ1095" s="2867"/>
      <c r="CA1095" s="2867"/>
      <c r="CB1095" s="2867"/>
      <c r="CC1095" s="2867"/>
      <c r="CD1095" s="2867"/>
      <c r="CE1095" s="2867"/>
      <c r="CF1095" s="2867"/>
      <c r="CG1095" s="2867"/>
      <c r="CH1095" s="2867"/>
      <c r="CI1095" s="2867"/>
      <c r="CJ1095" s="2867"/>
      <c r="CK1095" s="2867"/>
      <c r="CL1095" s="2867"/>
      <c r="CM1095" s="2867"/>
      <c r="CN1095" s="2867"/>
      <c r="CO1095" s="2867"/>
      <c r="CP1095" s="2867"/>
      <c r="CQ1095" s="2867"/>
      <c r="CR1095" s="2867"/>
      <c r="CS1095" s="2867"/>
      <c r="CT1095" s="2867"/>
      <c r="CU1095" s="2867"/>
      <c r="CV1095" s="2867"/>
      <c r="CW1095" s="2867"/>
    </row>
    <row r="1096" spans="1:101">
      <c r="A1096" s="2867"/>
      <c r="B1096" s="2867"/>
      <c r="C1096" s="2867"/>
      <c r="D1096" s="2867"/>
      <c r="E1096" s="2867"/>
      <c r="F1096" s="2867"/>
      <c r="G1096" s="2867"/>
      <c r="H1096" s="2867"/>
      <c r="I1096" s="2867"/>
      <c r="J1096" s="2867"/>
      <c r="K1096" s="2867"/>
      <c r="L1096" s="2867"/>
      <c r="M1096" s="2867"/>
      <c r="O1096" s="2867"/>
      <c r="P1096" s="2867"/>
      <c r="Q1096" s="2867"/>
      <c r="R1096" s="2867"/>
      <c r="S1096" s="2867"/>
      <c r="T1096" s="2867"/>
      <c r="U1096" s="2867"/>
      <c r="V1096" s="2867"/>
      <c r="W1096" s="2867"/>
      <c r="X1096" s="2867"/>
      <c r="Y1096" s="2867"/>
      <c r="Z1096" s="2867"/>
      <c r="AA1096" s="2867"/>
      <c r="AB1096" s="2867"/>
      <c r="AC1096" s="2867"/>
      <c r="AD1096" s="2867"/>
      <c r="AE1096" s="2867"/>
      <c r="AF1096" s="2867"/>
      <c r="AG1096" s="2867"/>
      <c r="AH1096" s="2867"/>
      <c r="AI1096" s="2867"/>
      <c r="AJ1096" s="2867"/>
      <c r="AK1096" s="2867"/>
      <c r="AL1096" s="2867"/>
      <c r="AM1096" s="2867"/>
      <c r="AN1096" s="2867"/>
      <c r="AO1096" s="2867"/>
      <c r="AP1096" s="2867"/>
      <c r="AQ1096" s="2867"/>
      <c r="AR1096" s="2867"/>
      <c r="AS1096" s="2867"/>
      <c r="AT1096" s="2867"/>
      <c r="AU1096" s="2867"/>
      <c r="AV1096" s="2867"/>
      <c r="AW1096" s="2867"/>
      <c r="AX1096" s="2867"/>
      <c r="AY1096" s="2867"/>
      <c r="AZ1096" s="2867"/>
      <c r="BA1096" s="2867"/>
      <c r="BB1096" s="2867"/>
      <c r="BC1096" s="2867"/>
      <c r="BD1096" s="2867"/>
      <c r="BE1096" s="2867"/>
      <c r="BF1096" s="2867"/>
      <c r="BG1096" s="2867"/>
      <c r="BH1096" s="2867"/>
      <c r="BI1096" s="2867"/>
      <c r="BJ1096" s="2867"/>
      <c r="BK1096" s="2867"/>
      <c r="BL1096" s="2867"/>
      <c r="BM1096" s="2867"/>
      <c r="BN1096" s="2867"/>
      <c r="BO1096" s="2867"/>
      <c r="BP1096" s="2867"/>
      <c r="BQ1096" s="2867"/>
      <c r="BR1096" s="2867"/>
      <c r="BS1096" s="2867"/>
      <c r="BT1096" s="2867"/>
      <c r="BU1096" s="2867"/>
      <c r="BV1096" s="2867"/>
      <c r="BW1096" s="2867"/>
      <c r="BX1096" s="2867"/>
      <c r="BY1096" s="2867"/>
      <c r="BZ1096" s="2867"/>
      <c r="CA1096" s="2867"/>
      <c r="CB1096" s="2867"/>
      <c r="CC1096" s="2867"/>
      <c r="CD1096" s="2867"/>
      <c r="CE1096" s="2867"/>
      <c r="CF1096" s="2867"/>
      <c r="CG1096" s="2867"/>
      <c r="CH1096" s="2867"/>
      <c r="CI1096" s="2867"/>
      <c r="CJ1096" s="2867"/>
      <c r="CK1096" s="2867"/>
      <c r="CL1096" s="2867"/>
      <c r="CM1096" s="2867"/>
      <c r="CN1096" s="2867"/>
      <c r="CO1096" s="2867"/>
      <c r="CP1096" s="2867"/>
      <c r="CQ1096" s="2867"/>
      <c r="CR1096" s="2867"/>
      <c r="CS1096" s="2867"/>
      <c r="CT1096" s="2867"/>
      <c r="CU1096" s="2867"/>
      <c r="CV1096" s="2867"/>
      <c r="CW1096" s="2867"/>
    </row>
    <row r="1097" spans="1:101">
      <c r="A1097" s="2867"/>
      <c r="B1097" s="2867"/>
      <c r="C1097" s="2867"/>
      <c r="D1097" s="2867"/>
      <c r="E1097" s="2867"/>
      <c r="F1097" s="2867"/>
      <c r="G1097" s="2867"/>
      <c r="H1097" s="2867"/>
      <c r="I1097" s="2867"/>
      <c r="J1097" s="2867"/>
      <c r="K1097" s="2867"/>
      <c r="L1097" s="2867"/>
      <c r="M1097" s="2867"/>
      <c r="O1097" s="2867"/>
      <c r="P1097" s="2867"/>
      <c r="Q1097" s="2867"/>
      <c r="R1097" s="2867"/>
      <c r="S1097" s="2867"/>
      <c r="T1097" s="2867"/>
      <c r="U1097" s="2867"/>
      <c r="V1097" s="2867"/>
      <c r="W1097" s="2867"/>
      <c r="X1097" s="2867"/>
      <c r="Y1097" s="2867"/>
      <c r="Z1097" s="2867"/>
      <c r="AA1097" s="2867"/>
      <c r="AB1097" s="2867"/>
      <c r="AC1097" s="2867"/>
      <c r="AD1097" s="2867"/>
      <c r="AE1097" s="2867"/>
      <c r="AF1097" s="2867"/>
      <c r="AG1097" s="2867"/>
      <c r="AH1097" s="2867"/>
      <c r="AI1097" s="2867"/>
      <c r="AJ1097" s="2867"/>
      <c r="AK1097" s="2867"/>
      <c r="AL1097" s="2867"/>
      <c r="AM1097" s="2867"/>
      <c r="AN1097" s="2867"/>
      <c r="AO1097" s="2867"/>
      <c r="AP1097" s="2867"/>
      <c r="AQ1097" s="2867"/>
      <c r="AR1097" s="2867"/>
      <c r="AS1097" s="2867"/>
      <c r="AT1097" s="2867"/>
      <c r="AU1097" s="2867"/>
      <c r="AV1097" s="2867"/>
      <c r="AW1097" s="2867"/>
      <c r="AX1097" s="2867"/>
      <c r="AY1097" s="2867"/>
      <c r="AZ1097" s="2867"/>
      <c r="BA1097" s="2867"/>
      <c r="BB1097" s="2867"/>
      <c r="BC1097" s="2867"/>
      <c r="BD1097" s="2867"/>
      <c r="BE1097" s="2867"/>
      <c r="BF1097" s="2867"/>
      <c r="BG1097" s="2867"/>
      <c r="BH1097" s="2867"/>
      <c r="BI1097" s="2867"/>
      <c r="BJ1097" s="2867"/>
      <c r="BK1097" s="2867"/>
      <c r="BL1097" s="2867"/>
      <c r="BM1097" s="2867"/>
      <c r="BN1097" s="2867"/>
      <c r="BO1097" s="2867"/>
      <c r="BP1097" s="2867"/>
      <c r="BQ1097" s="2867"/>
      <c r="BR1097" s="2867"/>
      <c r="BS1097" s="2867"/>
      <c r="BT1097" s="2867"/>
      <c r="BU1097" s="2867"/>
      <c r="BV1097" s="2867"/>
      <c r="BW1097" s="2867"/>
      <c r="BX1097" s="2867"/>
      <c r="BY1097" s="2867"/>
      <c r="BZ1097" s="2867"/>
      <c r="CA1097" s="2867"/>
      <c r="CB1097" s="2867"/>
      <c r="CC1097" s="2867"/>
      <c r="CD1097" s="2867"/>
      <c r="CE1097" s="2867"/>
      <c r="CF1097" s="2867"/>
      <c r="CG1097" s="2867"/>
      <c r="CH1097" s="2867"/>
      <c r="CI1097" s="2867"/>
      <c r="CJ1097" s="2867"/>
      <c r="CK1097" s="2867"/>
      <c r="CL1097" s="2867"/>
      <c r="CM1097" s="2867"/>
      <c r="CN1097" s="2867"/>
      <c r="CO1097" s="2867"/>
      <c r="CP1097" s="2867"/>
      <c r="CQ1097" s="2867"/>
      <c r="CR1097" s="2867"/>
      <c r="CS1097" s="2867"/>
      <c r="CT1097" s="2867"/>
      <c r="CU1097" s="2867"/>
      <c r="CV1097" s="2867"/>
      <c r="CW1097" s="2867"/>
    </row>
    <row r="1098" spans="1:101">
      <c r="A1098" s="2867"/>
      <c r="B1098" s="2867"/>
      <c r="C1098" s="2867"/>
      <c r="D1098" s="2867"/>
      <c r="E1098" s="2867"/>
      <c r="F1098" s="2867"/>
      <c r="G1098" s="2867"/>
      <c r="H1098" s="2867"/>
      <c r="I1098" s="2867"/>
      <c r="J1098" s="2867"/>
      <c r="K1098" s="2867"/>
      <c r="L1098" s="2867"/>
      <c r="M1098" s="2867"/>
      <c r="O1098" s="2867"/>
      <c r="P1098" s="2867"/>
      <c r="Q1098" s="2867"/>
      <c r="R1098" s="2867"/>
      <c r="S1098" s="2867"/>
      <c r="T1098" s="2867"/>
      <c r="U1098" s="2867"/>
      <c r="V1098" s="2867"/>
      <c r="W1098" s="2867"/>
      <c r="X1098" s="2867"/>
      <c r="Y1098" s="2867"/>
      <c r="Z1098" s="2867"/>
      <c r="AA1098" s="2867"/>
      <c r="AB1098" s="2867"/>
      <c r="AC1098" s="2867"/>
      <c r="AD1098" s="2867"/>
      <c r="AE1098" s="2867"/>
      <c r="AF1098" s="2867"/>
      <c r="AG1098" s="2867"/>
      <c r="AH1098" s="2867"/>
      <c r="AI1098" s="2867"/>
      <c r="AJ1098" s="2867"/>
      <c r="AK1098" s="2867"/>
      <c r="AL1098" s="2867"/>
      <c r="AM1098" s="2867"/>
      <c r="AN1098" s="2867"/>
      <c r="AO1098" s="2867"/>
      <c r="AP1098" s="2867"/>
      <c r="AQ1098" s="2867"/>
      <c r="AR1098" s="2867"/>
      <c r="AS1098" s="2867"/>
      <c r="AT1098" s="2867"/>
      <c r="AU1098" s="2867"/>
      <c r="AV1098" s="2867"/>
      <c r="AW1098" s="2867"/>
      <c r="AX1098" s="2867"/>
      <c r="AY1098" s="2867"/>
      <c r="AZ1098" s="2867"/>
      <c r="BA1098" s="2867"/>
      <c r="BB1098" s="2867"/>
      <c r="BC1098" s="2867"/>
      <c r="BD1098" s="2867"/>
      <c r="BE1098" s="2867"/>
      <c r="BF1098" s="2867"/>
      <c r="BG1098" s="2867"/>
      <c r="BH1098" s="2867"/>
      <c r="BI1098" s="2867"/>
      <c r="BJ1098" s="2867"/>
      <c r="BK1098" s="2867"/>
      <c r="BL1098" s="2867"/>
      <c r="BM1098" s="2867"/>
      <c r="BN1098" s="2867"/>
      <c r="BO1098" s="2867"/>
      <c r="BP1098" s="2867"/>
      <c r="BQ1098" s="2867"/>
      <c r="BR1098" s="2867"/>
      <c r="BS1098" s="2867"/>
      <c r="BT1098" s="2867"/>
      <c r="BU1098" s="2867"/>
      <c r="BV1098" s="2867"/>
      <c r="BW1098" s="2867"/>
      <c r="BX1098" s="2867"/>
      <c r="BY1098" s="2867"/>
      <c r="BZ1098" s="2867"/>
      <c r="CA1098" s="2867"/>
      <c r="CB1098" s="2867"/>
      <c r="CC1098" s="2867"/>
      <c r="CD1098" s="2867"/>
      <c r="CE1098" s="2867"/>
      <c r="CF1098" s="2867"/>
      <c r="CG1098" s="2867"/>
      <c r="CH1098" s="2867"/>
      <c r="CI1098" s="2867"/>
      <c r="CJ1098" s="2867"/>
      <c r="CK1098" s="2867"/>
      <c r="CL1098" s="2867"/>
      <c r="CM1098" s="2867"/>
      <c r="CN1098" s="2867"/>
      <c r="CO1098" s="2867"/>
      <c r="CP1098" s="2867"/>
      <c r="CQ1098" s="2867"/>
      <c r="CR1098" s="2867"/>
      <c r="CS1098" s="2867"/>
      <c r="CT1098" s="2867"/>
      <c r="CU1098" s="2867"/>
      <c r="CV1098" s="2867"/>
      <c r="CW1098" s="2867"/>
    </row>
    <row r="1099" spans="1:101">
      <c r="A1099" s="2867"/>
      <c r="B1099" s="2867"/>
      <c r="C1099" s="2867"/>
      <c r="D1099" s="2867"/>
      <c r="E1099" s="2867"/>
      <c r="F1099" s="2867"/>
      <c r="G1099" s="2867"/>
      <c r="H1099" s="2867"/>
      <c r="I1099" s="2867"/>
      <c r="J1099" s="2867"/>
      <c r="K1099" s="2867"/>
      <c r="L1099" s="2867"/>
      <c r="M1099" s="2867"/>
      <c r="O1099" s="2867"/>
      <c r="P1099" s="2867"/>
      <c r="Q1099" s="2867"/>
      <c r="R1099" s="2867"/>
      <c r="S1099" s="2867"/>
      <c r="T1099" s="2867"/>
      <c r="U1099" s="2867"/>
      <c r="V1099" s="2867"/>
      <c r="W1099" s="2867"/>
      <c r="X1099" s="2867"/>
      <c r="Y1099" s="2867"/>
      <c r="Z1099" s="2867"/>
      <c r="AA1099" s="2867"/>
      <c r="AB1099" s="2867"/>
      <c r="AC1099" s="2867"/>
      <c r="AD1099" s="2867"/>
      <c r="AE1099" s="2867"/>
      <c r="AF1099" s="2867"/>
      <c r="AG1099" s="2867"/>
      <c r="AH1099" s="2867"/>
      <c r="AI1099" s="2867"/>
      <c r="AJ1099" s="2867"/>
      <c r="AK1099" s="2867"/>
      <c r="AL1099" s="2867"/>
      <c r="AM1099" s="2867"/>
      <c r="AN1099" s="2867"/>
      <c r="AO1099" s="2867"/>
      <c r="AP1099" s="2867"/>
      <c r="AQ1099" s="2867"/>
      <c r="AR1099" s="2867"/>
      <c r="AS1099" s="2867"/>
      <c r="AT1099" s="2867"/>
      <c r="AU1099" s="2867"/>
      <c r="AV1099" s="2867"/>
      <c r="AW1099" s="2867"/>
      <c r="AX1099" s="2867"/>
      <c r="AY1099" s="2867"/>
      <c r="AZ1099" s="2867"/>
      <c r="BA1099" s="2867"/>
      <c r="BB1099" s="2867"/>
      <c r="BC1099" s="2867"/>
      <c r="BD1099" s="2867"/>
      <c r="BE1099" s="2867"/>
      <c r="BF1099" s="2867"/>
      <c r="BG1099" s="2867"/>
      <c r="BH1099" s="2867"/>
      <c r="BI1099" s="2867"/>
      <c r="BJ1099" s="2867"/>
      <c r="BK1099" s="2867"/>
      <c r="BL1099" s="2867"/>
      <c r="BM1099" s="2867"/>
      <c r="BN1099" s="2867"/>
      <c r="BO1099" s="2867"/>
      <c r="BP1099" s="2867"/>
      <c r="BQ1099" s="2867"/>
      <c r="BR1099" s="2867"/>
      <c r="BS1099" s="2867"/>
      <c r="BT1099" s="2867"/>
      <c r="BU1099" s="2867"/>
      <c r="BV1099" s="2867"/>
      <c r="BW1099" s="2867"/>
      <c r="BX1099" s="2867"/>
      <c r="BY1099" s="2867"/>
      <c r="BZ1099" s="2867"/>
      <c r="CA1099" s="2867"/>
      <c r="CB1099" s="2867"/>
      <c r="CC1099" s="2867"/>
      <c r="CD1099" s="2867"/>
      <c r="CE1099" s="2867"/>
      <c r="CF1099" s="2867"/>
      <c r="CG1099" s="2867"/>
      <c r="CH1099" s="2867"/>
      <c r="CI1099" s="2867"/>
      <c r="CJ1099" s="2867"/>
      <c r="CK1099" s="2867"/>
      <c r="CL1099" s="2867"/>
      <c r="CM1099" s="2867"/>
      <c r="CN1099" s="2867"/>
      <c r="CO1099" s="2867"/>
      <c r="CP1099" s="2867"/>
      <c r="CQ1099" s="2867"/>
      <c r="CR1099" s="2867"/>
      <c r="CS1099" s="2867"/>
      <c r="CT1099" s="2867"/>
      <c r="CU1099" s="2867"/>
      <c r="CV1099" s="2867"/>
      <c r="CW1099" s="2867"/>
    </row>
    <row r="1100" spans="1:101">
      <c r="A1100" s="2867"/>
      <c r="B1100" s="2867"/>
      <c r="C1100" s="2867"/>
      <c r="D1100" s="2867"/>
      <c r="E1100" s="2867"/>
      <c r="F1100" s="2867"/>
      <c r="G1100" s="2867"/>
      <c r="H1100" s="2867"/>
      <c r="I1100" s="2867"/>
      <c r="J1100" s="2867"/>
      <c r="K1100" s="2867"/>
      <c r="L1100" s="2867"/>
      <c r="M1100" s="2867"/>
      <c r="O1100" s="2867"/>
      <c r="P1100" s="2867"/>
      <c r="Q1100" s="2867"/>
      <c r="R1100" s="2867"/>
      <c r="S1100" s="2867"/>
      <c r="T1100" s="2867"/>
      <c r="U1100" s="2867"/>
      <c r="V1100" s="2867"/>
      <c r="W1100" s="2867"/>
      <c r="X1100" s="2867"/>
      <c r="Y1100" s="2867"/>
      <c r="Z1100" s="2867"/>
      <c r="AA1100" s="2867"/>
      <c r="AB1100" s="2867"/>
      <c r="AC1100" s="2867"/>
      <c r="AD1100" s="2867"/>
      <c r="AE1100" s="2867"/>
      <c r="AF1100" s="2867"/>
      <c r="AG1100" s="2867"/>
      <c r="AH1100" s="2867"/>
      <c r="AI1100" s="2867"/>
      <c r="AJ1100" s="2867"/>
      <c r="AK1100" s="2867"/>
      <c r="AL1100" s="2867"/>
      <c r="AM1100" s="2867"/>
      <c r="AN1100" s="2867"/>
      <c r="AO1100" s="2867"/>
      <c r="AP1100" s="2867"/>
      <c r="AQ1100" s="2867"/>
      <c r="AR1100" s="2867"/>
      <c r="AS1100" s="2867"/>
      <c r="AT1100" s="2867"/>
      <c r="AU1100" s="2867"/>
      <c r="AV1100" s="2867"/>
      <c r="AW1100" s="2867"/>
      <c r="AX1100" s="2867"/>
      <c r="AY1100" s="2867"/>
      <c r="AZ1100" s="2867"/>
      <c r="BA1100" s="2867"/>
      <c r="BB1100" s="2867"/>
      <c r="BC1100" s="2867"/>
      <c r="BD1100" s="2867"/>
      <c r="BE1100" s="2867"/>
      <c r="BF1100" s="2867"/>
      <c r="BG1100" s="2867"/>
      <c r="BH1100" s="2867"/>
      <c r="BI1100" s="2867"/>
      <c r="BJ1100" s="2867"/>
      <c r="BK1100" s="2867"/>
      <c r="BL1100" s="2867"/>
      <c r="BM1100" s="2867"/>
      <c r="BN1100" s="2867"/>
      <c r="BO1100" s="2867"/>
      <c r="BP1100" s="2867"/>
      <c r="BQ1100" s="2867"/>
      <c r="BR1100" s="2867"/>
      <c r="BS1100" s="2867"/>
      <c r="BT1100" s="2867"/>
      <c r="BU1100" s="2867"/>
      <c r="BV1100" s="2867"/>
      <c r="BW1100" s="2867"/>
      <c r="BX1100" s="2867"/>
      <c r="BY1100" s="2867"/>
      <c r="BZ1100" s="2867"/>
      <c r="CA1100" s="2867"/>
      <c r="CB1100" s="2867"/>
      <c r="CC1100" s="2867"/>
      <c r="CD1100" s="2867"/>
      <c r="CE1100" s="2867"/>
      <c r="CF1100" s="2867"/>
      <c r="CG1100" s="2867"/>
      <c r="CH1100" s="2867"/>
      <c r="CI1100" s="2867"/>
      <c r="CJ1100" s="2867"/>
      <c r="CK1100" s="2867"/>
      <c r="CL1100" s="2867"/>
      <c r="CM1100" s="2867"/>
      <c r="CN1100" s="2867"/>
      <c r="CO1100" s="2867"/>
      <c r="CP1100" s="2867"/>
      <c r="CQ1100" s="2867"/>
      <c r="CR1100" s="2867"/>
      <c r="CS1100" s="2867"/>
      <c r="CT1100" s="2867"/>
      <c r="CU1100" s="2867"/>
      <c r="CV1100" s="2867"/>
      <c r="CW1100" s="2867"/>
    </row>
    <row r="1101" spans="1:101">
      <c r="A1101" s="2867"/>
      <c r="B1101" s="2867"/>
      <c r="C1101" s="2867"/>
      <c r="D1101" s="2867"/>
      <c r="E1101" s="2867"/>
      <c r="F1101" s="2867"/>
      <c r="G1101" s="2867"/>
      <c r="H1101" s="2867"/>
      <c r="I1101" s="2867"/>
      <c r="J1101" s="2867"/>
      <c r="K1101" s="2867"/>
      <c r="L1101" s="2867"/>
      <c r="M1101" s="2867"/>
      <c r="O1101" s="2867"/>
      <c r="P1101" s="2867"/>
      <c r="Q1101" s="2867"/>
      <c r="R1101" s="2867"/>
      <c r="S1101" s="2867"/>
      <c r="T1101" s="2867"/>
      <c r="U1101" s="2867"/>
      <c r="V1101" s="2867"/>
      <c r="W1101" s="2867"/>
      <c r="X1101" s="2867"/>
      <c r="Y1101" s="2867"/>
      <c r="Z1101" s="2867"/>
      <c r="AA1101" s="2867"/>
      <c r="AB1101" s="2867"/>
      <c r="AC1101" s="2867"/>
      <c r="AD1101" s="2867"/>
      <c r="AE1101" s="2867"/>
      <c r="AF1101" s="2867"/>
      <c r="AG1101" s="2867"/>
      <c r="AH1101" s="2867"/>
      <c r="AI1101" s="2867"/>
      <c r="AJ1101" s="2867"/>
      <c r="AK1101" s="2867"/>
      <c r="AL1101" s="2867"/>
      <c r="AM1101" s="2867"/>
      <c r="AN1101" s="2867"/>
      <c r="AO1101" s="2867"/>
      <c r="AP1101" s="2867"/>
      <c r="AQ1101" s="2867"/>
      <c r="AR1101" s="2867"/>
      <c r="AS1101" s="2867"/>
      <c r="AT1101" s="2867"/>
      <c r="AU1101" s="2867"/>
      <c r="AV1101" s="2867"/>
      <c r="AW1101" s="2867"/>
      <c r="AX1101" s="2867"/>
      <c r="AY1101" s="2867"/>
      <c r="AZ1101" s="2867"/>
      <c r="BA1101" s="2867"/>
      <c r="BB1101" s="2867"/>
      <c r="BC1101" s="2867"/>
      <c r="BD1101" s="2867"/>
      <c r="BE1101" s="2867"/>
      <c r="BF1101" s="2867"/>
      <c r="BG1101" s="2867"/>
      <c r="BH1101" s="2867"/>
      <c r="BI1101" s="2867"/>
      <c r="BJ1101" s="2867"/>
      <c r="BK1101" s="2867"/>
      <c r="BL1101" s="2867"/>
      <c r="BM1101" s="2867"/>
      <c r="BN1101" s="2867"/>
      <c r="BO1101" s="2867"/>
      <c r="BP1101" s="2867"/>
      <c r="BQ1101" s="2867"/>
      <c r="BR1101" s="2867"/>
      <c r="BS1101" s="2867"/>
      <c r="BT1101" s="2867"/>
      <c r="BU1101" s="2867"/>
      <c r="BV1101" s="2867"/>
      <c r="BW1101" s="2867"/>
      <c r="BX1101" s="2867"/>
      <c r="BY1101" s="2867"/>
      <c r="BZ1101" s="2867"/>
      <c r="CA1101" s="2867"/>
      <c r="CB1101" s="2867"/>
      <c r="CC1101" s="2867"/>
      <c r="CD1101" s="2867"/>
      <c r="CE1101" s="2867"/>
      <c r="CF1101" s="2867"/>
      <c r="CG1101" s="2867"/>
      <c r="CH1101" s="2867"/>
      <c r="CI1101" s="2867"/>
      <c r="CJ1101" s="2867"/>
      <c r="CK1101" s="2867"/>
      <c r="CL1101" s="2867"/>
      <c r="CM1101" s="2867"/>
      <c r="CN1101" s="2867"/>
      <c r="CO1101" s="2867"/>
      <c r="CP1101" s="2867"/>
      <c r="CQ1101" s="2867"/>
      <c r="CR1101" s="2867"/>
      <c r="CS1101" s="2867"/>
      <c r="CT1101" s="2867"/>
      <c r="CU1101" s="2867"/>
      <c r="CV1101" s="2867"/>
      <c r="CW1101" s="2867"/>
    </row>
    <row r="1102" spans="1:101">
      <c r="A1102" s="2867"/>
      <c r="B1102" s="2867"/>
      <c r="C1102" s="2867"/>
      <c r="D1102" s="2867"/>
      <c r="E1102" s="2867"/>
      <c r="F1102" s="2867"/>
      <c r="G1102" s="2867"/>
      <c r="H1102" s="2867"/>
      <c r="I1102" s="2867"/>
      <c r="J1102" s="2867"/>
      <c r="K1102" s="2867"/>
      <c r="L1102" s="2867"/>
      <c r="M1102" s="2867"/>
      <c r="O1102" s="2867"/>
      <c r="P1102" s="2867"/>
      <c r="Q1102" s="2867"/>
      <c r="R1102" s="2867"/>
      <c r="S1102" s="2867"/>
      <c r="T1102" s="2867"/>
      <c r="U1102" s="2867"/>
      <c r="V1102" s="2867"/>
      <c r="W1102" s="2867"/>
      <c r="X1102" s="2867"/>
      <c r="Y1102" s="2867"/>
      <c r="Z1102" s="2867"/>
      <c r="AA1102" s="2867"/>
      <c r="AB1102" s="2867"/>
      <c r="AC1102" s="2867"/>
      <c r="AD1102" s="2867"/>
      <c r="AE1102" s="2867"/>
      <c r="AF1102" s="2867"/>
      <c r="AG1102" s="2867"/>
      <c r="AH1102" s="2867"/>
      <c r="AI1102" s="2867"/>
      <c r="AJ1102" s="2867"/>
      <c r="AK1102" s="2867"/>
      <c r="AL1102" s="2867"/>
      <c r="AM1102" s="2867"/>
      <c r="AN1102" s="2867"/>
      <c r="AO1102" s="2867"/>
      <c r="AP1102" s="2867"/>
      <c r="AQ1102" s="2867"/>
      <c r="AR1102" s="2867"/>
      <c r="AS1102" s="2867"/>
      <c r="AT1102" s="2867"/>
      <c r="AU1102" s="2867"/>
      <c r="AV1102" s="2867"/>
      <c r="AW1102" s="2867"/>
      <c r="AX1102" s="2867"/>
      <c r="AY1102" s="2867"/>
      <c r="AZ1102" s="2867"/>
      <c r="BA1102" s="2867"/>
      <c r="BB1102" s="2867"/>
      <c r="BC1102" s="2867"/>
      <c r="BD1102" s="2867"/>
      <c r="BE1102" s="2867"/>
      <c r="BF1102" s="2867"/>
      <c r="BG1102" s="2867"/>
      <c r="BH1102" s="2867"/>
      <c r="BI1102" s="2867"/>
      <c r="BJ1102" s="2867"/>
      <c r="BK1102" s="2867"/>
      <c r="BL1102" s="2867"/>
      <c r="BM1102" s="2867"/>
      <c r="BN1102" s="2867"/>
      <c r="BO1102" s="2867"/>
      <c r="BP1102" s="2867"/>
      <c r="BQ1102" s="2867"/>
      <c r="BR1102" s="2867"/>
      <c r="BS1102" s="2867"/>
      <c r="BT1102" s="2867"/>
      <c r="BU1102" s="2867"/>
      <c r="BV1102" s="2867"/>
      <c r="BW1102" s="2867"/>
      <c r="BX1102" s="2867"/>
      <c r="BY1102" s="2867"/>
      <c r="BZ1102" s="2867"/>
      <c r="CA1102" s="2867"/>
      <c r="CB1102" s="2867"/>
      <c r="CC1102" s="2867"/>
      <c r="CD1102" s="2867"/>
      <c r="CE1102" s="2867"/>
      <c r="CF1102" s="2867"/>
      <c r="CG1102" s="2867"/>
      <c r="CH1102" s="2867"/>
      <c r="CI1102" s="2867"/>
      <c r="CJ1102" s="2867"/>
      <c r="CK1102" s="2867"/>
      <c r="CL1102" s="2867"/>
      <c r="CM1102" s="2867"/>
      <c r="CN1102" s="2867"/>
      <c r="CO1102" s="2867"/>
      <c r="CP1102" s="2867"/>
      <c r="CQ1102" s="2867"/>
      <c r="CR1102" s="2867"/>
      <c r="CS1102" s="2867"/>
      <c r="CT1102" s="2867"/>
      <c r="CU1102" s="2867"/>
      <c r="CV1102" s="2867"/>
      <c r="CW1102" s="2867"/>
    </row>
    <row r="1103" spans="1:101">
      <c r="A1103" s="2867"/>
      <c r="B1103" s="2867"/>
      <c r="C1103" s="2867"/>
      <c r="D1103" s="2867"/>
      <c r="E1103" s="2867"/>
      <c r="F1103" s="2867"/>
      <c r="G1103" s="2867"/>
      <c r="H1103" s="2867"/>
      <c r="I1103" s="2867"/>
      <c r="J1103" s="2867"/>
      <c r="K1103" s="2867"/>
      <c r="L1103" s="2867"/>
      <c r="M1103" s="2867"/>
      <c r="O1103" s="2867"/>
      <c r="P1103" s="2867"/>
      <c r="Q1103" s="2867"/>
      <c r="R1103" s="2867"/>
      <c r="S1103" s="2867"/>
      <c r="T1103" s="2867"/>
      <c r="U1103" s="2867"/>
      <c r="V1103" s="2867"/>
      <c r="W1103" s="2867"/>
      <c r="X1103" s="2867"/>
      <c r="Y1103" s="2867"/>
      <c r="Z1103" s="2867"/>
      <c r="AA1103" s="2867"/>
      <c r="AB1103" s="2867"/>
      <c r="AC1103" s="2867"/>
      <c r="AD1103" s="2867"/>
      <c r="AE1103" s="2867"/>
      <c r="AF1103" s="2867"/>
      <c r="AG1103" s="2867"/>
      <c r="AH1103" s="2867"/>
      <c r="AI1103" s="2867"/>
      <c r="AJ1103" s="2867"/>
      <c r="AK1103" s="2867"/>
      <c r="AL1103" s="2867"/>
      <c r="AM1103" s="2867"/>
      <c r="AN1103" s="2867"/>
      <c r="AO1103" s="2867"/>
      <c r="AP1103" s="2867"/>
      <c r="AQ1103" s="2867"/>
      <c r="AR1103" s="2867"/>
      <c r="AS1103" s="2867"/>
      <c r="AT1103" s="2867"/>
      <c r="AU1103" s="2867"/>
      <c r="AV1103" s="2867"/>
      <c r="AW1103" s="2867"/>
      <c r="AX1103" s="2867"/>
      <c r="AY1103" s="2867"/>
      <c r="AZ1103" s="2867"/>
      <c r="BA1103" s="2867"/>
      <c r="BB1103" s="2867"/>
      <c r="BC1103" s="2867"/>
      <c r="BD1103" s="2867"/>
      <c r="BE1103" s="2867"/>
      <c r="BF1103" s="2867"/>
      <c r="BG1103" s="2867"/>
      <c r="BH1103" s="2867"/>
      <c r="BI1103" s="2867"/>
      <c r="BJ1103" s="2867"/>
      <c r="BK1103" s="2867"/>
      <c r="BL1103" s="2867"/>
      <c r="BM1103" s="2867"/>
      <c r="BN1103" s="2867"/>
      <c r="BO1103" s="2867"/>
      <c r="BP1103" s="2867"/>
      <c r="BQ1103" s="2867"/>
      <c r="BR1103" s="2867"/>
      <c r="BS1103" s="2867"/>
      <c r="BT1103" s="2867"/>
      <c r="BU1103" s="2867"/>
      <c r="BV1103" s="2867"/>
      <c r="BW1103" s="2867"/>
      <c r="BX1103" s="2867"/>
      <c r="BY1103" s="2867"/>
      <c r="BZ1103" s="2867"/>
      <c r="CA1103" s="2867"/>
      <c r="CB1103" s="2867"/>
      <c r="CC1103" s="2867"/>
      <c r="CD1103" s="2867"/>
      <c r="CE1103" s="2867"/>
      <c r="CF1103" s="2867"/>
      <c r="CG1103" s="2867"/>
      <c r="CH1103" s="2867"/>
      <c r="CI1103" s="2867"/>
      <c r="CJ1103" s="2867"/>
      <c r="CK1103" s="2867"/>
      <c r="CL1103" s="2867"/>
      <c r="CM1103" s="2867"/>
      <c r="CN1103" s="2867"/>
      <c r="CO1103" s="2867"/>
      <c r="CP1103" s="2867"/>
      <c r="CQ1103" s="2867"/>
      <c r="CR1103" s="2867"/>
      <c r="CS1103" s="2867"/>
      <c r="CT1103" s="2867"/>
      <c r="CU1103" s="2867"/>
      <c r="CV1103" s="2867"/>
      <c r="CW1103" s="2867"/>
    </row>
    <row r="1104" spans="1:101">
      <c r="A1104" s="2867"/>
      <c r="B1104" s="2867"/>
      <c r="C1104" s="2867"/>
      <c r="D1104" s="2867"/>
      <c r="E1104" s="2867"/>
      <c r="F1104" s="2867"/>
      <c r="G1104" s="2867"/>
      <c r="H1104" s="2867"/>
      <c r="I1104" s="2867"/>
      <c r="J1104" s="2867"/>
      <c r="K1104" s="2867"/>
      <c r="L1104" s="2867"/>
      <c r="M1104" s="2867"/>
      <c r="O1104" s="2867"/>
      <c r="P1104" s="2867"/>
      <c r="Q1104" s="2867"/>
      <c r="R1104" s="2867"/>
      <c r="S1104" s="2867"/>
      <c r="T1104" s="2867"/>
      <c r="U1104" s="2867"/>
      <c r="V1104" s="2867"/>
      <c r="W1104" s="2867"/>
      <c r="X1104" s="2867"/>
      <c r="Y1104" s="2867"/>
      <c r="Z1104" s="2867"/>
      <c r="AA1104" s="2867"/>
      <c r="AB1104" s="2867"/>
      <c r="AC1104" s="2867"/>
      <c r="AD1104" s="2867"/>
      <c r="AE1104" s="2867"/>
      <c r="AF1104" s="2867"/>
      <c r="AG1104" s="2867"/>
      <c r="AH1104" s="2867"/>
      <c r="AI1104" s="2867"/>
      <c r="AJ1104" s="2867"/>
      <c r="AK1104" s="2867"/>
      <c r="AL1104" s="2867"/>
      <c r="AM1104" s="2867"/>
      <c r="AN1104" s="2867"/>
      <c r="AO1104" s="2867"/>
      <c r="AP1104" s="2867"/>
      <c r="AQ1104" s="2867"/>
      <c r="AR1104" s="2867"/>
      <c r="AS1104" s="2867"/>
      <c r="AT1104" s="2867"/>
      <c r="AU1104" s="2867"/>
      <c r="AV1104" s="2867"/>
      <c r="AW1104" s="2867"/>
      <c r="AX1104" s="2867"/>
      <c r="AY1104" s="2867"/>
      <c r="AZ1104" s="2867"/>
      <c r="BA1104" s="2867"/>
      <c r="BB1104" s="2867"/>
      <c r="BC1104" s="2867"/>
      <c r="BD1104" s="2867"/>
      <c r="BE1104" s="2867"/>
      <c r="BF1104" s="2867"/>
      <c r="BG1104" s="2867"/>
      <c r="BH1104" s="2867"/>
      <c r="BI1104" s="2867"/>
      <c r="BJ1104" s="2867"/>
      <c r="BK1104" s="2867"/>
      <c r="BL1104" s="2867"/>
      <c r="BM1104" s="2867"/>
      <c r="BN1104" s="2867"/>
      <c r="BO1104" s="2867"/>
      <c r="BP1104" s="2867"/>
      <c r="BQ1104" s="2867"/>
      <c r="BR1104" s="2867"/>
      <c r="BS1104" s="2867"/>
      <c r="BT1104" s="2867"/>
      <c r="BU1104" s="2867"/>
      <c r="BV1104" s="2867"/>
      <c r="BW1104" s="2867"/>
      <c r="BX1104" s="2867"/>
      <c r="BY1104" s="2867"/>
      <c r="BZ1104" s="2867"/>
      <c r="CA1104" s="2867"/>
      <c r="CB1104" s="2867"/>
      <c r="CC1104" s="2867"/>
      <c r="CD1104" s="2867"/>
      <c r="CE1104" s="2867"/>
      <c r="CF1104" s="2867"/>
      <c r="CG1104" s="2867"/>
      <c r="CH1104" s="2867"/>
      <c r="CI1104" s="2867"/>
      <c r="CJ1104" s="2867"/>
      <c r="CK1104" s="2867"/>
      <c r="CL1104" s="2867"/>
      <c r="CM1104" s="2867"/>
      <c r="CN1104" s="2867"/>
      <c r="CO1104" s="2867"/>
      <c r="CP1104" s="2867"/>
      <c r="CQ1104" s="2867"/>
      <c r="CR1104" s="2867"/>
      <c r="CS1104" s="2867"/>
      <c r="CT1104" s="2867"/>
      <c r="CU1104" s="2867"/>
      <c r="CV1104" s="2867"/>
      <c r="CW1104" s="2867"/>
    </row>
    <row r="1105" spans="1:101">
      <c r="A1105" s="2867"/>
      <c r="B1105" s="2867"/>
      <c r="C1105" s="2867"/>
      <c r="D1105" s="2867"/>
      <c r="E1105" s="2867"/>
      <c r="F1105" s="2867"/>
      <c r="G1105" s="2867"/>
      <c r="H1105" s="2867"/>
      <c r="I1105" s="2867"/>
      <c r="J1105" s="2867"/>
      <c r="K1105" s="2867"/>
      <c r="L1105" s="2867"/>
      <c r="M1105" s="2867"/>
      <c r="O1105" s="2867"/>
      <c r="P1105" s="2867"/>
      <c r="Q1105" s="2867"/>
      <c r="R1105" s="2867"/>
      <c r="S1105" s="2867"/>
      <c r="T1105" s="2867"/>
      <c r="U1105" s="2867"/>
      <c r="V1105" s="2867"/>
      <c r="W1105" s="2867"/>
      <c r="X1105" s="2867"/>
      <c r="Y1105" s="2867"/>
      <c r="Z1105" s="2867"/>
      <c r="AA1105" s="2867"/>
      <c r="AB1105" s="2867"/>
      <c r="AC1105" s="2867"/>
      <c r="AD1105" s="2867"/>
      <c r="AE1105" s="2867"/>
      <c r="AF1105" s="2867"/>
      <c r="AG1105" s="2867"/>
      <c r="AH1105" s="2867"/>
      <c r="AI1105" s="2867"/>
      <c r="AJ1105" s="2867"/>
      <c r="AK1105" s="2867"/>
      <c r="AL1105" s="2867"/>
      <c r="AM1105" s="2867"/>
      <c r="AN1105" s="2867"/>
      <c r="AO1105" s="2867"/>
      <c r="AP1105" s="2867"/>
      <c r="AQ1105" s="2867"/>
      <c r="AR1105" s="2867"/>
      <c r="AS1105" s="2867"/>
      <c r="AT1105" s="2867"/>
      <c r="AU1105" s="2867"/>
      <c r="AV1105" s="2867"/>
      <c r="AW1105" s="2867"/>
      <c r="AX1105" s="2867"/>
      <c r="AY1105" s="2867"/>
      <c r="AZ1105" s="2867"/>
      <c r="BA1105" s="2867"/>
      <c r="BB1105" s="2867"/>
      <c r="BC1105" s="2867"/>
      <c r="BD1105" s="2867"/>
      <c r="BE1105" s="2867"/>
      <c r="BF1105" s="2867"/>
      <c r="BG1105" s="2867"/>
      <c r="BH1105" s="2867"/>
      <c r="BI1105" s="2867"/>
      <c r="BJ1105" s="2867"/>
      <c r="BK1105" s="2867"/>
      <c r="BL1105" s="2867"/>
      <c r="BM1105" s="2867"/>
      <c r="BN1105" s="2867"/>
      <c r="BO1105" s="2867"/>
      <c r="BP1105" s="2867"/>
      <c r="BQ1105" s="2867"/>
      <c r="BR1105" s="2867"/>
      <c r="BS1105" s="2867"/>
      <c r="BT1105" s="2867"/>
      <c r="BU1105" s="2867"/>
      <c r="BV1105" s="2867"/>
      <c r="BW1105" s="2867"/>
      <c r="BX1105" s="2867"/>
      <c r="BY1105" s="2867"/>
      <c r="BZ1105" s="2867"/>
      <c r="CA1105" s="2867"/>
      <c r="CB1105" s="2867"/>
      <c r="CC1105" s="2867"/>
      <c r="CD1105" s="2867"/>
      <c r="CE1105" s="2867"/>
      <c r="CF1105" s="2867"/>
      <c r="CG1105" s="2867"/>
      <c r="CH1105" s="2867"/>
      <c r="CI1105" s="2867"/>
      <c r="CJ1105" s="2867"/>
      <c r="CK1105" s="2867"/>
      <c r="CL1105" s="2867"/>
      <c r="CM1105" s="2867"/>
      <c r="CN1105" s="2867"/>
      <c r="CO1105" s="2867"/>
      <c r="CP1105" s="2867"/>
      <c r="CQ1105" s="2867"/>
      <c r="CR1105" s="2867"/>
      <c r="CS1105" s="2867"/>
      <c r="CT1105" s="2867"/>
      <c r="CU1105" s="2867"/>
      <c r="CV1105" s="2867"/>
      <c r="CW1105" s="2867"/>
    </row>
    <row r="1106" spans="1:101">
      <c r="A1106" s="2867"/>
      <c r="B1106" s="2867"/>
      <c r="C1106" s="2867"/>
      <c r="D1106" s="2867"/>
      <c r="E1106" s="2867"/>
      <c r="F1106" s="2867"/>
      <c r="G1106" s="2867"/>
      <c r="H1106" s="2867"/>
      <c r="I1106" s="2867"/>
      <c r="J1106" s="2867"/>
      <c r="K1106" s="2867"/>
      <c r="L1106" s="2867"/>
      <c r="M1106" s="2867"/>
      <c r="O1106" s="2867"/>
      <c r="P1106" s="2867"/>
      <c r="Q1106" s="2867"/>
      <c r="R1106" s="2867"/>
      <c r="S1106" s="2867"/>
      <c r="T1106" s="2867"/>
      <c r="U1106" s="2867"/>
      <c r="V1106" s="2867"/>
      <c r="W1106" s="2867"/>
      <c r="X1106" s="2867"/>
      <c r="Y1106" s="2867"/>
      <c r="Z1106" s="2867"/>
      <c r="AA1106" s="2867"/>
      <c r="AB1106" s="2867"/>
      <c r="AC1106" s="2867"/>
      <c r="AD1106" s="2867"/>
      <c r="AE1106" s="2867"/>
      <c r="AF1106" s="2867"/>
      <c r="AG1106" s="2867"/>
      <c r="AH1106" s="2867"/>
      <c r="AI1106" s="2867"/>
      <c r="AJ1106" s="2867"/>
      <c r="AK1106" s="2867"/>
      <c r="AL1106" s="2867"/>
      <c r="AM1106" s="2867"/>
      <c r="AN1106" s="2867"/>
      <c r="AO1106" s="2867"/>
      <c r="AP1106" s="2867"/>
      <c r="AQ1106" s="2867"/>
      <c r="AR1106" s="2867"/>
      <c r="AS1106" s="2867"/>
      <c r="AT1106" s="2867"/>
      <c r="AU1106" s="2867"/>
      <c r="AV1106" s="2867"/>
      <c r="AW1106" s="2867"/>
      <c r="AX1106" s="2867"/>
      <c r="AY1106" s="2867"/>
      <c r="AZ1106" s="2867"/>
      <c r="BA1106" s="2867"/>
      <c r="BB1106" s="2867"/>
      <c r="BC1106" s="2867"/>
      <c r="BD1106" s="2867"/>
      <c r="BE1106" s="2867"/>
      <c r="BF1106" s="2867"/>
      <c r="BG1106" s="2867"/>
      <c r="BH1106" s="2867"/>
      <c r="BI1106" s="2867"/>
      <c r="BJ1106" s="2867"/>
      <c r="BK1106" s="2867"/>
      <c r="BL1106" s="2867"/>
      <c r="BM1106" s="2867"/>
      <c r="BN1106" s="2867"/>
      <c r="BO1106" s="2867"/>
      <c r="BP1106" s="2867"/>
      <c r="BQ1106" s="2867"/>
      <c r="BR1106" s="2867"/>
      <c r="BS1106" s="2867"/>
      <c r="BT1106" s="2867"/>
      <c r="BU1106" s="2867"/>
      <c r="BV1106" s="2867"/>
      <c r="BW1106" s="2867"/>
      <c r="BX1106" s="2867"/>
      <c r="BY1106" s="2867"/>
      <c r="BZ1106" s="2867"/>
      <c r="CA1106" s="2867"/>
      <c r="CB1106" s="2867"/>
      <c r="CC1106" s="2867"/>
      <c r="CD1106" s="2867"/>
      <c r="CE1106" s="2867"/>
      <c r="CF1106" s="2867"/>
      <c r="CG1106" s="2867"/>
      <c r="CH1106" s="2867"/>
      <c r="CI1106" s="2867"/>
      <c r="CJ1106" s="2867"/>
      <c r="CK1106" s="2867"/>
      <c r="CL1106" s="2867"/>
      <c r="CM1106" s="2867"/>
      <c r="CN1106" s="2867"/>
      <c r="CO1106" s="2867"/>
      <c r="CP1106" s="2867"/>
      <c r="CQ1106" s="2867"/>
      <c r="CR1106" s="2867"/>
      <c r="CS1106" s="2867"/>
      <c r="CT1106" s="2867"/>
      <c r="CU1106" s="2867"/>
      <c r="CV1106" s="2867"/>
      <c r="CW1106" s="2867"/>
    </row>
    <row r="1107" spans="1:101">
      <c r="A1107" s="2867"/>
      <c r="B1107" s="2867"/>
      <c r="C1107" s="2867"/>
      <c r="D1107" s="2867"/>
      <c r="E1107" s="2867"/>
      <c r="F1107" s="2867"/>
      <c r="G1107" s="2867"/>
      <c r="H1107" s="2867"/>
      <c r="I1107" s="2867"/>
      <c r="J1107" s="2867"/>
      <c r="K1107" s="2867"/>
      <c r="L1107" s="2867"/>
      <c r="M1107" s="2867"/>
      <c r="O1107" s="2867"/>
      <c r="P1107" s="2867"/>
      <c r="Q1107" s="2867"/>
      <c r="R1107" s="2867"/>
      <c r="S1107" s="2867"/>
      <c r="T1107" s="2867"/>
      <c r="U1107" s="2867"/>
      <c r="V1107" s="2867"/>
      <c r="W1107" s="2867"/>
      <c r="X1107" s="2867"/>
      <c r="Y1107" s="2867"/>
      <c r="Z1107" s="2867"/>
      <c r="AA1107" s="2867"/>
      <c r="AB1107" s="2867"/>
      <c r="AC1107" s="2867"/>
      <c r="AD1107" s="2867"/>
      <c r="AE1107" s="2867"/>
      <c r="AF1107" s="2867"/>
      <c r="AG1107" s="2867"/>
      <c r="AH1107" s="2867"/>
      <c r="AI1107" s="2867"/>
      <c r="AJ1107" s="2867"/>
      <c r="AK1107" s="2867"/>
      <c r="AL1107" s="2867"/>
      <c r="AM1107" s="2867"/>
      <c r="AN1107" s="2867"/>
      <c r="AO1107" s="2867"/>
      <c r="AP1107" s="2867"/>
      <c r="AQ1107" s="2867"/>
      <c r="AR1107" s="2867"/>
      <c r="AS1107" s="2867"/>
      <c r="AT1107" s="2867"/>
      <c r="AU1107" s="2867"/>
      <c r="AV1107" s="2867"/>
      <c r="AW1107" s="2867"/>
      <c r="AX1107" s="2867"/>
      <c r="AY1107" s="2867"/>
      <c r="AZ1107" s="2867"/>
      <c r="BA1107" s="2867"/>
      <c r="BB1107" s="2867"/>
      <c r="BC1107" s="2867"/>
      <c r="BD1107" s="2867"/>
      <c r="BE1107" s="2867"/>
      <c r="BF1107" s="2867"/>
      <c r="BG1107" s="2867"/>
      <c r="BH1107" s="2867"/>
      <c r="BI1107" s="2867"/>
      <c r="BJ1107" s="2867"/>
      <c r="BK1107" s="2867"/>
      <c r="BL1107" s="2867"/>
      <c r="BM1107" s="2867"/>
      <c r="BN1107" s="2867"/>
      <c r="BO1107" s="2867"/>
      <c r="BP1107" s="2867"/>
      <c r="BQ1107" s="2867"/>
      <c r="BR1107" s="2867"/>
      <c r="BS1107" s="2867"/>
      <c r="BT1107" s="2867"/>
      <c r="BU1107" s="2867"/>
      <c r="BV1107" s="2867"/>
      <c r="BW1107" s="2867"/>
      <c r="BX1107" s="2867"/>
      <c r="BY1107" s="2867"/>
      <c r="BZ1107" s="2867"/>
      <c r="CA1107" s="2867"/>
      <c r="CB1107" s="2867"/>
      <c r="CC1107" s="2867"/>
      <c r="CD1107" s="2867"/>
      <c r="CE1107" s="2867"/>
      <c r="CF1107" s="2867"/>
      <c r="CG1107" s="2867"/>
      <c r="CH1107" s="2867"/>
      <c r="CI1107" s="2867"/>
      <c r="CJ1107" s="2867"/>
      <c r="CK1107" s="2867"/>
      <c r="CL1107" s="2867"/>
      <c r="CM1107" s="2867"/>
      <c r="CN1107" s="2867"/>
      <c r="CO1107" s="2867"/>
      <c r="CP1107" s="2867"/>
      <c r="CQ1107" s="2867"/>
      <c r="CR1107" s="2867"/>
      <c r="CS1107" s="2867"/>
      <c r="CT1107" s="2867"/>
      <c r="CU1107" s="2867"/>
      <c r="CV1107" s="2867"/>
      <c r="CW1107" s="2867"/>
    </row>
    <row r="1108" spans="1:101">
      <c r="A1108" s="2867"/>
      <c r="B1108" s="2867"/>
      <c r="C1108" s="2867"/>
      <c r="D1108" s="2867"/>
      <c r="E1108" s="2867"/>
      <c r="F1108" s="2867"/>
      <c r="G1108" s="2867"/>
      <c r="H1108" s="2867"/>
      <c r="I1108" s="2867"/>
      <c r="J1108" s="2867"/>
      <c r="K1108" s="2867"/>
      <c r="L1108" s="2867"/>
      <c r="M1108" s="2867"/>
      <c r="O1108" s="2867"/>
      <c r="P1108" s="2867"/>
      <c r="Q1108" s="2867"/>
      <c r="R1108" s="2867"/>
      <c r="S1108" s="2867"/>
      <c r="T1108" s="2867"/>
      <c r="U1108" s="2867"/>
      <c r="V1108" s="2867"/>
      <c r="W1108" s="2867"/>
      <c r="X1108" s="2867"/>
      <c r="Y1108" s="2867"/>
      <c r="Z1108" s="2867"/>
      <c r="AA1108" s="2867"/>
      <c r="AB1108" s="2867"/>
      <c r="AC1108" s="2867"/>
      <c r="AD1108" s="2867"/>
      <c r="AE1108" s="2867"/>
      <c r="AF1108" s="2867"/>
      <c r="AG1108" s="2867"/>
      <c r="AH1108" s="2867"/>
      <c r="AI1108" s="2867"/>
      <c r="AJ1108" s="2867"/>
      <c r="AK1108" s="2867"/>
      <c r="AL1108" s="2867"/>
      <c r="AM1108" s="2867"/>
      <c r="AN1108" s="2867"/>
      <c r="AO1108" s="2867"/>
      <c r="AP1108" s="2867"/>
      <c r="AQ1108" s="2867"/>
      <c r="AR1108" s="2867"/>
      <c r="AS1108" s="2867"/>
      <c r="AT1108" s="2867"/>
      <c r="AU1108" s="2867"/>
      <c r="AV1108" s="2867"/>
      <c r="AW1108" s="2867"/>
      <c r="AX1108" s="2867"/>
      <c r="AY1108" s="2867"/>
      <c r="AZ1108" s="2867"/>
      <c r="BA1108" s="2867"/>
      <c r="BB1108" s="2867"/>
      <c r="BC1108" s="2867"/>
      <c r="BD1108" s="2867"/>
      <c r="BE1108" s="2867"/>
      <c r="BF1108" s="2867"/>
      <c r="BG1108" s="2867"/>
      <c r="BH1108" s="2867"/>
      <c r="BI1108" s="2867"/>
      <c r="BJ1108" s="2867"/>
      <c r="BK1108" s="2867"/>
      <c r="BL1108" s="2867"/>
      <c r="BM1108" s="2867"/>
      <c r="BN1108" s="2867"/>
      <c r="BO1108" s="2867"/>
      <c r="BP1108" s="2867"/>
      <c r="BQ1108" s="2867"/>
      <c r="BR1108" s="2867"/>
      <c r="BS1108" s="2867"/>
      <c r="BT1108" s="2867"/>
      <c r="BU1108" s="2867"/>
      <c r="BV1108" s="2867"/>
      <c r="BW1108" s="2867"/>
      <c r="BX1108" s="2867"/>
      <c r="BY1108" s="2867"/>
      <c r="BZ1108" s="2867"/>
      <c r="CA1108" s="2867"/>
      <c r="CB1108" s="2867"/>
      <c r="CC1108" s="2867"/>
      <c r="CD1108" s="2867"/>
      <c r="CE1108" s="2867"/>
      <c r="CF1108" s="2867"/>
      <c r="CG1108" s="2867"/>
      <c r="CH1108" s="2867"/>
      <c r="CI1108" s="2867"/>
      <c r="CJ1108" s="2867"/>
      <c r="CK1108" s="2867"/>
      <c r="CL1108" s="2867"/>
      <c r="CM1108" s="2867"/>
      <c r="CN1108" s="2867"/>
      <c r="CO1108" s="2867"/>
      <c r="CP1108" s="2867"/>
      <c r="CQ1108" s="2867"/>
      <c r="CR1108" s="2867"/>
      <c r="CS1108" s="2867"/>
      <c r="CT1108" s="2867"/>
      <c r="CU1108" s="2867"/>
      <c r="CV1108" s="2867"/>
      <c r="CW1108" s="2867"/>
    </row>
    <row r="1109" spans="1:101">
      <c r="A1109" s="2867"/>
      <c r="B1109" s="2867"/>
      <c r="C1109" s="2867"/>
      <c r="D1109" s="2867"/>
      <c r="E1109" s="2867"/>
      <c r="F1109" s="2867"/>
      <c r="G1109" s="2867"/>
      <c r="H1109" s="2867"/>
      <c r="I1109" s="2867"/>
      <c r="J1109" s="2867"/>
      <c r="K1109" s="2867"/>
      <c r="L1109" s="2867"/>
      <c r="M1109" s="2867"/>
      <c r="O1109" s="2867"/>
      <c r="P1109" s="2867"/>
      <c r="Q1109" s="2867"/>
      <c r="R1109" s="2867"/>
      <c r="S1109" s="2867"/>
      <c r="T1109" s="2867"/>
      <c r="U1109" s="2867"/>
      <c r="V1109" s="2867"/>
      <c r="W1109" s="2867"/>
      <c r="X1109" s="2867"/>
      <c r="Y1109" s="2867"/>
      <c r="Z1109" s="2867"/>
      <c r="AA1109" s="2867"/>
      <c r="AB1109" s="2867"/>
      <c r="AC1109" s="2867"/>
      <c r="AD1109" s="2867"/>
      <c r="AE1109" s="2867"/>
      <c r="AF1109" s="2867"/>
      <c r="AG1109" s="2867"/>
      <c r="AH1109" s="2867"/>
      <c r="AI1109" s="2867"/>
      <c r="AJ1109" s="2867"/>
      <c r="AK1109" s="2867"/>
      <c r="AL1109" s="2867"/>
      <c r="AM1109" s="2867"/>
      <c r="AN1109" s="2867"/>
      <c r="AO1109" s="2867"/>
      <c r="AP1109" s="2867"/>
      <c r="AQ1109" s="2867"/>
      <c r="AR1109" s="2867"/>
      <c r="AS1109" s="2867"/>
      <c r="AT1109" s="2867"/>
      <c r="AU1109" s="2867"/>
      <c r="AV1109" s="2867"/>
      <c r="AW1109" s="2867"/>
      <c r="AX1109" s="2867"/>
      <c r="AY1109" s="2867"/>
      <c r="AZ1109" s="2867"/>
      <c r="BA1109" s="2867"/>
      <c r="BB1109" s="2867"/>
      <c r="BC1109" s="2867"/>
      <c r="BD1109" s="2867"/>
      <c r="BE1109" s="2867"/>
      <c r="BF1109" s="2867"/>
      <c r="BG1109" s="2867"/>
      <c r="BH1109" s="2867"/>
      <c r="BI1109" s="2867"/>
      <c r="BJ1109" s="2867"/>
      <c r="BK1109" s="2867"/>
      <c r="BL1109" s="2867"/>
      <c r="BM1109" s="2867"/>
      <c r="BN1109" s="2867"/>
      <c r="BO1109" s="2867"/>
      <c r="BP1109" s="2867"/>
      <c r="BQ1109" s="2867"/>
      <c r="BR1109" s="2867"/>
      <c r="BS1109" s="2867"/>
      <c r="BT1109" s="2867"/>
      <c r="BU1109" s="2867"/>
      <c r="BV1109" s="2867"/>
      <c r="BW1109" s="2867"/>
      <c r="BX1109" s="2867"/>
      <c r="BY1109" s="2867"/>
      <c r="BZ1109" s="2867"/>
      <c r="CA1109" s="2867"/>
      <c r="CB1109" s="2867"/>
      <c r="CC1109" s="2867"/>
      <c r="CD1109" s="2867"/>
      <c r="CE1109" s="2867"/>
      <c r="CF1109" s="2867"/>
      <c r="CG1109" s="2867"/>
      <c r="CH1109" s="2867"/>
      <c r="CI1109" s="2867"/>
      <c r="CJ1109" s="2867"/>
      <c r="CK1109" s="2867"/>
      <c r="CL1109" s="2867"/>
      <c r="CM1109" s="2867"/>
      <c r="CN1109" s="2867"/>
      <c r="CO1109" s="2867"/>
      <c r="CP1109" s="2867"/>
      <c r="CQ1109" s="2867"/>
      <c r="CR1109" s="2867"/>
      <c r="CS1109" s="2867"/>
      <c r="CT1109" s="2867"/>
      <c r="CU1109" s="2867"/>
      <c r="CV1109" s="2867"/>
      <c r="CW1109" s="2867"/>
    </row>
    <row r="1110" spans="1:101">
      <c r="A1110" s="2867"/>
      <c r="B1110" s="2867"/>
      <c r="C1110" s="2867"/>
      <c r="D1110" s="2867"/>
      <c r="E1110" s="2867"/>
      <c r="F1110" s="2867"/>
      <c r="G1110" s="2867"/>
      <c r="H1110" s="2867"/>
      <c r="I1110" s="2867"/>
      <c r="J1110" s="2867"/>
      <c r="K1110" s="2867"/>
      <c r="L1110" s="2867"/>
      <c r="M1110" s="2867"/>
      <c r="O1110" s="2867"/>
      <c r="P1110" s="2867"/>
      <c r="Q1110" s="2867"/>
      <c r="R1110" s="2867"/>
      <c r="S1110" s="2867"/>
      <c r="T1110" s="2867"/>
      <c r="U1110" s="2867"/>
      <c r="V1110" s="2867"/>
      <c r="W1110" s="2867"/>
      <c r="X1110" s="2867"/>
      <c r="Y1110" s="2867"/>
      <c r="Z1110" s="2867"/>
      <c r="AA1110" s="2867"/>
      <c r="AB1110" s="2867"/>
      <c r="AC1110" s="2867"/>
      <c r="AD1110" s="2867"/>
      <c r="AE1110" s="2867"/>
      <c r="AF1110" s="2867"/>
      <c r="AG1110" s="2867"/>
      <c r="AH1110" s="2867"/>
      <c r="AI1110" s="2867"/>
      <c r="AJ1110" s="2867"/>
      <c r="AK1110" s="2867"/>
      <c r="AL1110" s="2867"/>
      <c r="AM1110" s="2867"/>
      <c r="AN1110" s="2867"/>
      <c r="AO1110" s="2867"/>
      <c r="AP1110" s="2867"/>
      <c r="AQ1110" s="2867"/>
      <c r="AR1110" s="2867"/>
      <c r="AS1110" s="2867"/>
      <c r="AT1110" s="2867"/>
      <c r="AU1110" s="2867"/>
      <c r="AV1110" s="2867"/>
      <c r="AW1110" s="2867"/>
      <c r="AX1110" s="2867"/>
      <c r="AY1110" s="2867"/>
      <c r="AZ1110" s="2867"/>
      <c r="BA1110" s="2867"/>
      <c r="BB1110" s="2867"/>
      <c r="BC1110" s="2867"/>
      <c r="BD1110" s="2867"/>
      <c r="BE1110" s="2867"/>
      <c r="BF1110" s="2867"/>
      <c r="BG1110" s="2867"/>
      <c r="BH1110" s="2867"/>
      <c r="BI1110" s="2867"/>
      <c r="BJ1110" s="2867"/>
      <c r="BK1110" s="2867"/>
      <c r="BL1110" s="2867"/>
      <c r="BM1110" s="2867"/>
      <c r="BN1110" s="2867"/>
      <c r="BO1110" s="2867"/>
      <c r="BP1110" s="2867"/>
      <c r="BQ1110" s="2867"/>
      <c r="BR1110" s="2867"/>
      <c r="BS1110" s="2867"/>
      <c r="BT1110" s="2867"/>
      <c r="BU1110" s="2867"/>
      <c r="BV1110" s="2867"/>
      <c r="BW1110" s="2867"/>
      <c r="BX1110" s="2867"/>
      <c r="BY1110" s="2867"/>
      <c r="BZ1110" s="2867"/>
      <c r="CA1110" s="2867"/>
      <c r="CB1110" s="2867"/>
      <c r="CC1110" s="2867"/>
      <c r="CD1110" s="2867"/>
      <c r="CE1110" s="2867"/>
      <c r="CF1110" s="2867"/>
      <c r="CG1110" s="2867"/>
      <c r="CH1110" s="2867"/>
      <c r="CI1110" s="2867"/>
      <c r="CJ1110" s="2867"/>
      <c r="CK1110" s="2867"/>
      <c r="CL1110" s="2867"/>
      <c r="CM1110" s="2867"/>
      <c r="CN1110" s="2867"/>
      <c r="CO1110" s="2867"/>
      <c r="CP1110" s="2867"/>
      <c r="CQ1110" s="2867"/>
      <c r="CR1110" s="2867"/>
      <c r="CS1110" s="2867"/>
      <c r="CT1110" s="2867"/>
      <c r="CU1110" s="2867"/>
      <c r="CV1110" s="2867"/>
      <c r="CW1110" s="2867"/>
    </row>
    <row r="1111" spans="1:101">
      <c r="A1111" s="2867"/>
      <c r="B1111" s="2867"/>
      <c r="C1111" s="2867"/>
      <c r="D1111" s="2867"/>
      <c r="E1111" s="2867"/>
      <c r="F1111" s="2867"/>
      <c r="G1111" s="2867"/>
      <c r="H1111" s="2867"/>
      <c r="I1111" s="2867"/>
      <c r="J1111" s="2867"/>
      <c r="K1111" s="2867"/>
      <c r="L1111" s="2867"/>
      <c r="M1111" s="2867"/>
      <c r="O1111" s="2867"/>
      <c r="P1111" s="2867"/>
      <c r="Q1111" s="2867"/>
      <c r="R1111" s="2867"/>
      <c r="S1111" s="2867"/>
      <c r="T1111" s="2867"/>
      <c r="U1111" s="2867"/>
      <c r="V1111" s="2867"/>
      <c r="W1111" s="2867"/>
      <c r="X1111" s="2867"/>
      <c r="Y1111" s="2867"/>
      <c r="Z1111" s="2867"/>
      <c r="AA1111" s="2867"/>
      <c r="AB1111" s="2867"/>
      <c r="AC1111" s="2867"/>
      <c r="AD1111" s="2867"/>
      <c r="AE1111" s="2867"/>
      <c r="AF1111" s="2867"/>
      <c r="AG1111" s="2867"/>
      <c r="AH1111" s="2867"/>
      <c r="AI1111" s="2867"/>
      <c r="AJ1111" s="2867"/>
      <c r="AK1111" s="2867"/>
      <c r="AL1111" s="2867"/>
      <c r="AM1111" s="2867"/>
      <c r="AN1111" s="2867"/>
      <c r="AO1111" s="2867"/>
      <c r="AP1111" s="2867"/>
      <c r="AQ1111" s="2867"/>
      <c r="AR1111" s="2867"/>
      <c r="AS1111" s="2867"/>
      <c r="AT1111" s="2867"/>
      <c r="AU1111" s="2867"/>
      <c r="AV1111" s="2867"/>
      <c r="AW1111" s="2867"/>
      <c r="AX1111" s="2867"/>
      <c r="AY1111" s="2867"/>
      <c r="AZ1111" s="2867"/>
      <c r="BA1111" s="2867"/>
      <c r="BB1111" s="2867"/>
      <c r="BC1111" s="2867"/>
      <c r="BD1111" s="2867"/>
      <c r="BE1111" s="2867"/>
      <c r="BF1111" s="2867"/>
      <c r="BG1111" s="2867"/>
      <c r="BH1111" s="2867"/>
      <c r="BI1111" s="2867"/>
      <c r="BJ1111" s="2867"/>
      <c r="BK1111" s="2867"/>
      <c r="BL1111" s="2867"/>
      <c r="BM1111" s="2867"/>
      <c r="BN1111" s="2867"/>
      <c r="BO1111" s="2867"/>
      <c r="BP1111" s="2867"/>
      <c r="BQ1111" s="2867"/>
      <c r="BR1111" s="2867"/>
      <c r="BS1111" s="2867"/>
      <c r="BT1111" s="2867"/>
      <c r="BU1111" s="2867"/>
      <c r="BV1111" s="2867"/>
      <c r="BW1111" s="2867"/>
      <c r="BX1111" s="2867"/>
      <c r="BY1111" s="2867"/>
      <c r="BZ1111" s="2867"/>
      <c r="CA1111" s="2867"/>
      <c r="CB1111" s="2867"/>
      <c r="CC1111" s="2867"/>
      <c r="CD1111" s="2867"/>
      <c r="CE1111" s="2867"/>
      <c r="CF1111" s="2867"/>
      <c r="CG1111" s="2867"/>
      <c r="CH1111" s="2867"/>
      <c r="CI1111" s="2867"/>
      <c r="CJ1111" s="2867"/>
      <c r="CK1111" s="2867"/>
      <c r="CL1111" s="2867"/>
      <c r="CM1111" s="2867"/>
      <c r="CN1111" s="2867"/>
      <c r="CO1111" s="2867"/>
      <c r="CP1111" s="2867"/>
      <c r="CQ1111" s="2867"/>
      <c r="CR1111" s="2867"/>
      <c r="CS1111" s="2867"/>
      <c r="CT1111" s="2867"/>
      <c r="CU1111" s="2867"/>
      <c r="CV1111" s="2867"/>
      <c r="CW1111" s="2867"/>
    </row>
    <row r="1112" spans="1:101">
      <c r="A1112" s="2867"/>
      <c r="B1112" s="2867"/>
      <c r="C1112" s="2867"/>
      <c r="D1112" s="2867"/>
      <c r="E1112" s="2867"/>
      <c r="F1112" s="2867"/>
      <c r="G1112" s="2867"/>
      <c r="H1112" s="2867"/>
      <c r="I1112" s="2867"/>
      <c r="J1112" s="2867"/>
      <c r="K1112" s="2867"/>
      <c r="L1112" s="2867"/>
      <c r="M1112" s="2867"/>
      <c r="O1112" s="2867"/>
      <c r="P1112" s="2867"/>
      <c r="Q1112" s="2867"/>
      <c r="R1112" s="2867"/>
      <c r="S1112" s="2867"/>
      <c r="T1112" s="2867"/>
      <c r="U1112" s="2867"/>
      <c r="V1112" s="2867"/>
      <c r="W1112" s="2867"/>
      <c r="X1112" s="2867"/>
      <c r="Y1112" s="2867"/>
      <c r="Z1112" s="2867"/>
      <c r="AA1112" s="2867"/>
      <c r="AB1112" s="2867"/>
      <c r="AC1112" s="2867"/>
      <c r="AD1112" s="2867"/>
      <c r="AE1112" s="2867"/>
      <c r="AF1112" s="2867"/>
      <c r="AG1112" s="2867"/>
      <c r="AH1112" s="2867"/>
      <c r="AI1112" s="2867"/>
      <c r="AJ1112" s="2867"/>
      <c r="AK1112" s="2867"/>
      <c r="AL1112" s="2867"/>
      <c r="AM1112" s="2867"/>
      <c r="AN1112" s="2867"/>
      <c r="AO1112" s="2867"/>
      <c r="AP1112" s="2867"/>
      <c r="AQ1112" s="2867"/>
      <c r="AR1112" s="2867"/>
      <c r="AS1112" s="2867"/>
      <c r="AT1112" s="2867"/>
      <c r="AU1112" s="2867"/>
      <c r="AV1112" s="2867"/>
      <c r="AW1112" s="2867"/>
      <c r="AX1112" s="2867"/>
      <c r="AY1112" s="2867"/>
      <c r="AZ1112" s="2867"/>
      <c r="BA1112" s="2867"/>
      <c r="BB1112" s="2867"/>
      <c r="BC1112" s="2867"/>
      <c r="BD1112" s="2867"/>
      <c r="BE1112" s="2867"/>
      <c r="BF1112" s="2867"/>
      <c r="BG1112" s="2867"/>
      <c r="BH1112" s="2867"/>
      <c r="BI1112" s="2867"/>
      <c r="BJ1112" s="2867"/>
      <c r="BK1112" s="2867"/>
      <c r="BL1112" s="2867"/>
      <c r="BM1112" s="2867"/>
      <c r="BN1112" s="2867"/>
      <c r="BO1112" s="2867"/>
      <c r="BP1112" s="2867"/>
      <c r="BQ1112" s="2867"/>
      <c r="BR1112" s="2867"/>
      <c r="BS1112" s="2867"/>
      <c r="BT1112" s="2867"/>
      <c r="BU1112" s="2867"/>
      <c r="BV1112" s="2867"/>
      <c r="BW1112" s="2867"/>
      <c r="BX1112" s="2867"/>
      <c r="BY1112" s="2867"/>
      <c r="BZ1112" s="2867"/>
      <c r="CA1112" s="2867"/>
      <c r="CB1112" s="2867"/>
      <c r="CC1112" s="2867"/>
      <c r="CD1112" s="2867"/>
      <c r="CE1112" s="2867"/>
      <c r="CF1112" s="2867"/>
      <c r="CG1112" s="2867"/>
      <c r="CH1112" s="2867"/>
      <c r="CI1112" s="2867"/>
      <c r="CJ1112" s="2867"/>
      <c r="CK1112" s="2867"/>
      <c r="CL1112" s="2867"/>
      <c r="CM1112" s="2867"/>
      <c r="CN1112" s="2867"/>
      <c r="CO1112" s="2867"/>
      <c r="CP1112" s="2867"/>
      <c r="CQ1112" s="2867"/>
      <c r="CR1112" s="2867"/>
      <c r="CS1112" s="2867"/>
      <c r="CT1112" s="2867"/>
      <c r="CU1112" s="2867"/>
      <c r="CV1112" s="2867"/>
      <c r="CW1112" s="2867"/>
    </row>
    <row r="1113" spans="1:101">
      <c r="A1113" s="2867"/>
      <c r="B1113" s="2867"/>
      <c r="C1113" s="2867"/>
      <c r="D1113" s="2867"/>
      <c r="E1113" s="2867"/>
      <c r="F1113" s="2867"/>
      <c r="G1113" s="2867"/>
      <c r="H1113" s="2867"/>
      <c r="I1113" s="2867"/>
      <c r="J1113" s="2867"/>
      <c r="K1113" s="2867"/>
      <c r="L1113" s="2867"/>
      <c r="M1113" s="2867"/>
      <c r="O1113" s="2867"/>
      <c r="P1113" s="2867"/>
      <c r="Q1113" s="2867"/>
      <c r="R1113" s="2867"/>
      <c r="S1113" s="2867"/>
      <c r="T1113" s="2867"/>
      <c r="U1113" s="2867"/>
      <c r="V1113" s="2867"/>
      <c r="W1113" s="2867"/>
      <c r="X1113" s="2867"/>
      <c r="Y1113" s="2867"/>
      <c r="Z1113" s="2867"/>
      <c r="AA1113" s="2867"/>
      <c r="AB1113" s="2867"/>
      <c r="AC1113" s="2867"/>
      <c r="AD1113" s="2867"/>
      <c r="AE1113" s="2867"/>
      <c r="AF1113" s="2867"/>
      <c r="AG1113" s="2867"/>
      <c r="AH1113" s="2867"/>
      <c r="AI1113" s="2867"/>
      <c r="AJ1113" s="2867"/>
      <c r="AK1113" s="2867"/>
      <c r="AL1113" s="2867"/>
      <c r="AM1113" s="2867"/>
      <c r="AN1113" s="2867"/>
      <c r="AO1113" s="2867"/>
      <c r="AP1113" s="2867"/>
      <c r="AQ1113" s="2867"/>
      <c r="AR1113" s="2867"/>
      <c r="AS1113" s="2867"/>
      <c r="AT1113" s="2867"/>
      <c r="AU1113" s="2867"/>
      <c r="AV1113" s="2867"/>
      <c r="AW1113" s="2867"/>
      <c r="AX1113" s="2867"/>
      <c r="AY1113" s="2867"/>
      <c r="AZ1113" s="2867"/>
      <c r="BA1113" s="2867"/>
      <c r="BB1113" s="2867"/>
      <c r="BC1113" s="2867"/>
      <c r="BD1113" s="2867"/>
      <c r="BE1113" s="2867"/>
      <c r="BF1113" s="2867"/>
      <c r="BG1113" s="2867"/>
      <c r="BH1113" s="2867"/>
      <c r="BI1113" s="2867"/>
      <c r="BJ1113" s="2867"/>
      <c r="BK1113" s="2867"/>
      <c r="BL1113" s="2867"/>
      <c r="BM1113" s="2867"/>
      <c r="BN1113" s="2867"/>
      <c r="BO1113" s="2867"/>
      <c r="BP1113" s="2867"/>
      <c r="BQ1113" s="2867"/>
      <c r="BR1113" s="2867"/>
      <c r="BS1113" s="2867"/>
      <c r="BT1113" s="2867"/>
      <c r="BU1113" s="2867"/>
      <c r="BV1113" s="2867"/>
      <c r="BW1113" s="2867"/>
      <c r="BX1113" s="2867"/>
      <c r="BY1113" s="2867"/>
      <c r="BZ1113" s="2867"/>
      <c r="CA1113" s="2867"/>
      <c r="CB1113" s="2867"/>
      <c r="CC1113" s="2867"/>
      <c r="CD1113" s="2867"/>
      <c r="CE1113" s="2867"/>
      <c r="CF1113" s="2867"/>
      <c r="CG1113" s="2867"/>
      <c r="CH1113" s="2867"/>
      <c r="CI1113" s="2867"/>
      <c r="CJ1113" s="2867"/>
      <c r="CK1113" s="2867"/>
      <c r="CL1113" s="2867"/>
      <c r="CM1113" s="2867"/>
      <c r="CN1113" s="2867"/>
      <c r="CO1113" s="2867"/>
      <c r="CP1113" s="2867"/>
      <c r="CQ1113" s="2867"/>
      <c r="CR1113" s="2867"/>
      <c r="CS1113" s="2867"/>
      <c r="CT1113" s="2867"/>
      <c r="CU1113" s="2867"/>
      <c r="CV1113" s="2867"/>
      <c r="CW1113" s="2867"/>
    </row>
    <row r="1114" spans="1:101">
      <c r="A1114" s="2867"/>
      <c r="B1114" s="2867"/>
      <c r="C1114" s="2867"/>
      <c r="D1114" s="2867"/>
      <c r="E1114" s="2867"/>
      <c r="F1114" s="2867"/>
      <c r="G1114" s="2867"/>
      <c r="H1114" s="2867"/>
      <c r="I1114" s="2867"/>
      <c r="J1114" s="2867"/>
      <c r="K1114" s="2867"/>
      <c r="L1114" s="2867"/>
      <c r="M1114" s="2867"/>
      <c r="O1114" s="2867"/>
      <c r="P1114" s="2867"/>
      <c r="Q1114" s="2867"/>
      <c r="R1114" s="2867"/>
      <c r="S1114" s="2867"/>
      <c r="T1114" s="2867"/>
      <c r="U1114" s="2867"/>
      <c r="V1114" s="2867"/>
      <c r="W1114" s="2867"/>
      <c r="X1114" s="2867"/>
      <c r="Y1114" s="2867"/>
      <c r="Z1114" s="2867"/>
      <c r="AA1114" s="2867"/>
      <c r="AB1114" s="2867"/>
      <c r="AC1114" s="2867"/>
      <c r="AD1114" s="2867"/>
      <c r="AE1114" s="2867"/>
      <c r="AF1114" s="2867"/>
      <c r="AG1114" s="2867"/>
      <c r="AH1114" s="2867"/>
      <c r="AI1114" s="2867"/>
      <c r="AJ1114" s="2867"/>
      <c r="AK1114" s="2867"/>
      <c r="AL1114" s="2867"/>
      <c r="AM1114" s="2867"/>
      <c r="AN1114" s="2867"/>
      <c r="AO1114" s="2867"/>
      <c r="AP1114" s="2867"/>
      <c r="AQ1114" s="2867"/>
      <c r="AR1114" s="2867"/>
      <c r="AS1114" s="2867"/>
      <c r="AT1114" s="2867"/>
      <c r="AU1114" s="2867"/>
      <c r="AV1114" s="2867"/>
      <c r="AW1114" s="2867"/>
      <c r="AX1114" s="2867"/>
      <c r="AY1114" s="2867"/>
      <c r="AZ1114" s="2867"/>
      <c r="BA1114" s="2867"/>
      <c r="BB1114" s="2867"/>
      <c r="BC1114" s="2867"/>
      <c r="BD1114" s="2867"/>
      <c r="BE1114" s="2867"/>
      <c r="BF1114" s="2867"/>
      <c r="BG1114" s="2867"/>
      <c r="BH1114" s="2867"/>
      <c r="BI1114" s="2867"/>
      <c r="BJ1114" s="2867"/>
      <c r="BK1114" s="2867"/>
      <c r="BL1114" s="2867"/>
      <c r="BM1114" s="2867"/>
      <c r="BN1114" s="2867"/>
      <c r="BO1114" s="2867"/>
      <c r="BP1114" s="2867"/>
      <c r="BQ1114" s="2867"/>
      <c r="BR1114" s="2867"/>
      <c r="BS1114" s="2867"/>
      <c r="BT1114" s="2867"/>
      <c r="BU1114" s="2867"/>
      <c r="BV1114" s="2867"/>
      <c r="BW1114" s="2867"/>
      <c r="BX1114" s="2867"/>
      <c r="BY1114" s="2867"/>
      <c r="BZ1114" s="2867"/>
      <c r="CA1114" s="2867"/>
      <c r="CB1114" s="2867"/>
      <c r="CC1114" s="2867"/>
      <c r="CD1114" s="2867"/>
      <c r="CE1114" s="2867"/>
      <c r="CF1114" s="2867"/>
      <c r="CG1114" s="2867"/>
      <c r="CH1114" s="2867"/>
      <c r="CI1114" s="2867"/>
      <c r="CJ1114" s="2867"/>
      <c r="CK1114" s="2867"/>
      <c r="CL1114" s="2867"/>
      <c r="CM1114" s="2867"/>
      <c r="CN1114" s="2867"/>
      <c r="CO1114" s="2867"/>
      <c r="CP1114" s="2867"/>
      <c r="CQ1114" s="2867"/>
      <c r="CR1114" s="2867"/>
      <c r="CS1114" s="2867"/>
      <c r="CT1114" s="2867"/>
      <c r="CU1114" s="2867"/>
      <c r="CV1114" s="2867"/>
      <c r="CW1114" s="2867"/>
    </row>
    <row r="1115" spans="1:101">
      <c r="A1115" s="2867"/>
      <c r="B1115" s="2867"/>
      <c r="C1115" s="2867"/>
      <c r="D1115" s="2867"/>
      <c r="E1115" s="2867"/>
      <c r="F1115" s="2867"/>
      <c r="G1115" s="2867"/>
      <c r="H1115" s="2867"/>
      <c r="I1115" s="2867"/>
      <c r="J1115" s="2867"/>
      <c r="K1115" s="2867"/>
      <c r="L1115" s="2867"/>
      <c r="M1115" s="2867"/>
      <c r="O1115" s="2867"/>
      <c r="P1115" s="2867"/>
      <c r="Q1115" s="2867"/>
      <c r="R1115" s="2867"/>
      <c r="S1115" s="2867"/>
      <c r="T1115" s="2867"/>
      <c r="U1115" s="2867"/>
      <c r="V1115" s="2867"/>
      <c r="W1115" s="2867"/>
      <c r="X1115" s="2867"/>
      <c r="Y1115" s="2867"/>
      <c r="Z1115" s="2867"/>
      <c r="AA1115" s="2867"/>
      <c r="AB1115" s="2867"/>
      <c r="AC1115" s="2867"/>
      <c r="AD1115" s="2867"/>
      <c r="AE1115" s="2867"/>
      <c r="AF1115" s="2867"/>
      <c r="AG1115" s="2867"/>
      <c r="AH1115" s="2867"/>
      <c r="AI1115" s="2867"/>
      <c r="AJ1115" s="2867"/>
      <c r="AK1115" s="2867"/>
      <c r="AL1115" s="2867"/>
      <c r="AM1115" s="2867"/>
      <c r="AN1115" s="2867"/>
      <c r="AO1115" s="2867"/>
      <c r="AP1115" s="2867"/>
      <c r="AQ1115" s="2867"/>
      <c r="AR1115" s="2867"/>
      <c r="AS1115" s="2867"/>
      <c r="AT1115" s="2867"/>
      <c r="AU1115" s="2867"/>
      <c r="AV1115" s="2867"/>
      <c r="AW1115" s="2867"/>
      <c r="AX1115" s="2867"/>
      <c r="AY1115" s="2867"/>
      <c r="AZ1115" s="2867"/>
      <c r="BA1115" s="2867"/>
      <c r="BB1115" s="2867"/>
      <c r="BC1115" s="2867"/>
      <c r="BD1115" s="2867"/>
      <c r="BE1115" s="2867"/>
      <c r="BF1115" s="2867"/>
      <c r="BG1115" s="2867"/>
      <c r="BH1115" s="2867"/>
      <c r="BI1115" s="2867"/>
      <c r="BJ1115" s="2867"/>
      <c r="BK1115" s="2867"/>
      <c r="BL1115" s="2867"/>
      <c r="BM1115" s="2867"/>
      <c r="BN1115" s="2867"/>
      <c r="BO1115" s="2867"/>
      <c r="BP1115" s="2867"/>
      <c r="BQ1115" s="2867"/>
      <c r="BR1115" s="2867"/>
      <c r="BS1115" s="2867"/>
      <c r="BT1115" s="2867"/>
      <c r="BU1115" s="2867"/>
      <c r="BV1115" s="2867"/>
      <c r="BW1115" s="2867"/>
      <c r="BX1115" s="2867"/>
      <c r="BY1115" s="2867"/>
      <c r="BZ1115" s="2867"/>
      <c r="CA1115" s="2867"/>
      <c r="CB1115" s="2867"/>
      <c r="CC1115" s="2867"/>
      <c r="CD1115" s="2867"/>
      <c r="CE1115" s="2867"/>
      <c r="CF1115" s="2867"/>
      <c r="CG1115" s="2867"/>
      <c r="CH1115" s="2867"/>
      <c r="CI1115" s="2867"/>
      <c r="CJ1115" s="2867"/>
      <c r="CK1115" s="2867"/>
      <c r="CL1115" s="2867"/>
      <c r="CM1115" s="2867"/>
      <c r="CN1115" s="2867"/>
      <c r="CO1115" s="2867"/>
      <c r="CP1115" s="2867"/>
      <c r="CQ1115" s="2867"/>
      <c r="CR1115" s="2867"/>
      <c r="CS1115" s="2867"/>
      <c r="CT1115" s="2867"/>
      <c r="CU1115" s="2867"/>
      <c r="CV1115" s="2867"/>
      <c r="CW1115" s="2867"/>
    </row>
    <row r="1116" spans="1:101">
      <c r="A1116" s="2867"/>
      <c r="B1116" s="2867"/>
      <c r="C1116" s="2867"/>
      <c r="D1116" s="2867"/>
      <c r="E1116" s="2867"/>
      <c r="F1116" s="2867"/>
      <c r="G1116" s="2867"/>
      <c r="H1116" s="2867"/>
      <c r="I1116" s="2867"/>
      <c r="J1116" s="2867"/>
      <c r="K1116" s="2867"/>
      <c r="L1116" s="2867"/>
      <c r="M1116" s="2867"/>
      <c r="O1116" s="2867"/>
      <c r="P1116" s="2867"/>
      <c r="Q1116" s="2867"/>
      <c r="R1116" s="2867"/>
      <c r="S1116" s="2867"/>
      <c r="T1116" s="2867"/>
      <c r="U1116" s="2867"/>
      <c r="V1116" s="2867"/>
      <c r="W1116" s="2867"/>
      <c r="X1116" s="2867"/>
      <c r="Y1116" s="2867"/>
      <c r="Z1116" s="2867"/>
      <c r="AA1116" s="2867"/>
      <c r="AB1116" s="2867"/>
      <c r="AC1116" s="2867"/>
      <c r="AD1116" s="2867"/>
      <c r="AE1116" s="2867"/>
      <c r="AF1116" s="2867"/>
      <c r="AG1116" s="2867"/>
      <c r="AH1116" s="2867"/>
      <c r="AI1116" s="2867"/>
      <c r="AJ1116" s="2867"/>
      <c r="AK1116" s="2867"/>
      <c r="AL1116" s="2867"/>
      <c r="AM1116" s="2867"/>
      <c r="AN1116" s="2867"/>
      <c r="AO1116" s="2867"/>
      <c r="AP1116" s="2867"/>
      <c r="AQ1116" s="2867"/>
      <c r="AR1116" s="2867"/>
      <c r="AS1116" s="2867"/>
      <c r="AT1116" s="2867"/>
      <c r="AU1116" s="2867"/>
      <c r="AV1116" s="2867"/>
      <c r="AW1116" s="2867"/>
      <c r="AX1116" s="2867"/>
      <c r="AY1116" s="2867"/>
      <c r="AZ1116" s="2867"/>
      <c r="BA1116" s="2867"/>
      <c r="BB1116" s="2867"/>
      <c r="BC1116" s="2867"/>
      <c r="BD1116" s="2867"/>
      <c r="BE1116" s="2867"/>
      <c r="BF1116" s="2867"/>
      <c r="BG1116" s="2867"/>
      <c r="BH1116" s="2867"/>
      <c r="BI1116" s="2867"/>
      <c r="BJ1116" s="2867"/>
      <c r="BK1116" s="2867"/>
      <c r="BL1116" s="2867"/>
      <c r="BM1116" s="2867"/>
      <c r="BN1116" s="2867"/>
      <c r="BO1116" s="2867"/>
      <c r="BP1116" s="2867"/>
      <c r="BQ1116" s="2867"/>
      <c r="BR1116" s="2867"/>
      <c r="BS1116" s="2867"/>
      <c r="BT1116" s="2867"/>
      <c r="BU1116" s="2867"/>
      <c r="BV1116" s="2867"/>
      <c r="BW1116" s="2867"/>
      <c r="BX1116" s="2867"/>
      <c r="BY1116" s="2867"/>
      <c r="BZ1116" s="2867"/>
      <c r="CA1116" s="2867"/>
      <c r="CB1116" s="2867"/>
      <c r="CC1116" s="2867"/>
      <c r="CD1116" s="2867"/>
      <c r="CE1116" s="2867"/>
      <c r="CF1116" s="2867"/>
      <c r="CG1116" s="2867"/>
      <c r="CH1116" s="2867"/>
      <c r="CI1116" s="2867"/>
      <c r="CJ1116" s="2867"/>
      <c r="CK1116" s="2867"/>
      <c r="CL1116" s="2867"/>
      <c r="CM1116" s="2867"/>
      <c r="CN1116" s="2867"/>
      <c r="CO1116" s="2867"/>
      <c r="CP1116" s="2867"/>
      <c r="CQ1116" s="2867"/>
      <c r="CR1116" s="2867"/>
      <c r="CS1116" s="2867"/>
      <c r="CT1116" s="2867"/>
      <c r="CU1116" s="2867"/>
      <c r="CV1116" s="2867"/>
      <c r="CW1116" s="2867"/>
    </row>
    <row r="1117" spans="1:101">
      <c r="A1117" s="2867"/>
      <c r="B1117" s="2867"/>
      <c r="C1117" s="2867"/>
      <c r="D1117" s="2867"/>
      <c r="E1117" s="2867"/>
      <c r="F1117" s="2867"/>
      <c r="G1117" s="2867"/>
      <c r="H1117" s="2867"/>
      <c r="I1117" s="2867"/>
      <c r="J1117" s="2867"/>
      <c r="K1117" s="2867"/>
      <c r="L1117" s="2867"/>
      <c r="M1117" s="2867"/>
      <c r="O1117" s="2867"/>
      <c r="P1117" s="2867"/>
      <c r="Q1117" s="2867"/>
      <c r="R1117" s="2867"/>
      <c r="S1117" s="2867"/>
      <c r="T1117" s="2867"/>
      <c r="U1117" s="2867"/>
      <c r="V1117" s="2867"/>
      <c r="W1117" s="2867"/>
      <c r="X1117" s="2867"/>
      <c r="Y1117" s="2867"/>
      <c r="Z1117" s="2867"/>
      <c r="AA1117" s="2867"/>
      <c r="AB1117" s="2867"/>
      <c r="AC1117" s="2867"/>
      <c r="AD1117" s="2867"/>
      <c r="AE1117" s="2867"/>
      <c r="AF1117" s="2867"/>
      <c r="AG1117" s="2867"/>
      <c r="AH1117" s="2867"/>
      <c r="AI1117" s="2867"/>
      <c r="AJ1117" s="2867"/>
      <c r="AK1117" s="2867"/>
      <c r="AL1117" s="2867"/>
      <c r="AM1117" s="2867"/>
      <c r="AN1117" s="2867"/>
      <c r="AO1117" s="2867"/>
      <c r="AP1117" s="2867"/>
      <c r="AQ1117" s="2867"/>
      <c r="AR1117" s="2867"/>
      <c r="AS1117" s="2867"/>
      <c r="AT1117" s="2867"/>
      <c r="AU1117" s="2867"/>
      <c r="AV1117" s="2867"/>
      <c r="AW1117" s="2867"/>
      <c r="AX1117" s="2867"/>
      <c r="AY1117" s="2867"/>
      <c r="AZ1117" s="2867"/>
      <c r="BA1117" s="2867"/>
      <c r="BB1117" s="2867"/>
      <c r="BC1117" s="2867"/>
      <c r="BD1117" s="2867"/>
      <c r="BE1117" s="2867"/>
      <c r="BF1117" s="2867"/>
      <c r="BG1117" s="2867"/>
      <c r="BH1117" s="2867"/>
      <c r="BI1117" s="2867"/>
      <c r="BJ1117" s="2867"/>
      <c r="BK1117" s="2867"/>
      <c r="BL1117" s="2867"/>
      <c r="BM1117" s="2867"/>
      <c r="BN1117" s="2867"/>
      <c r="BO1117" s="2867"/>
      <c r="BP1117" s="2867"/>
      <c r="BQ1117" s="2867"/>
      <c r="BR1117" s="2867"/>
      <c r="BS1117" s="2867"/>
      <c r="BT1117" s="2867"/>
      <c r="BU1117" s="2867"/>
      <c r="BV1117" s="2867"/>
      <c r="BW1117" s="2867"/>
      <c r="BX1117" s="2867"/>
      <c r="BY1117" s="2867"/>
      <c r="BZ1117" s="2867"/>
      <c r="CA1117" s="2867"/>
      <c r="CB1117" s="2867"/>
      <c r="CC1117" s="2867"/>
      <c r="CD1117" s="2867"/>
      <c r="CE1117" s="2867"/>
      <c r="CF1117" s="2867"/>
      <c r="CG1117" s="2867"/>
      <c r="CH1117" s="2867"/>
      <c r="CI1117" s="2867"/>
      <c r="CJ1117" s="2867"/>
      <c r="CK1117" s="2867"/>
      <c r="CL1117" s="2867"/>
      <c r="CM1117" s="2867"/>
      <c r="CN1117" s="2867"/>
      <c r="CO1117" s="2867"/>
      <c r="CP1117" s="2867"/>
      <c r="CQ1117" s="2867"/>
      <c r="CR1117" s="2867"/>
      <c r="CS1117" s="2867"/>
      <c r="CT1117" s="2867"/>
      <c r="CU1117" s="2867"/>
      <c r="CV1117" s="2867"/>
      <c r="CW1117" s="2867"/>
    </row>
    <row r="1118" spans="1:101">
      <c r="A1118" s="2867"/>
      <c r="B1118" s="2867"/>
      <c r="C1118" s="2867"/>
      <c r="D1118" s="2867"/>
      <c r="E1118" s="2867"/>
      <c r="F1118" s="2867"/>
      <c r="G1118" s="2867"/>
      <c r="H1118" s="2867"/>
      <c r="I1118" s="2867"/>
      <c r="J1118" s="2867"/>
      <c r="K1118" s="2867"/>
      <c r="L1118" s="2867"/>
      <c r="M1118" s="2867"/>
      <c r="O1118" s="2867"/>
      <c r="P1118" s="2867"/>
      <c r="Q1118" s="2867"/>
      <c r="R1118" s="2867"/>
      <c r="S1118" s="2867"/>
      <c r="T1118" s="2867"/>
      <c r="U1118" s="2867"/>
      <c r="V1118" s="2867"/>
      <c r="W1118" s="2867"/>
      <c r="X1118" s="2867"/>
      <c r="Y1118" s="2867"/>
      <c r="Z1118" s="2867"/>
      <c r="AA1118" s="2867"/>
      <c r="AB1118" s="2867"/>
      <c r="AC1118" s="2867"/>
      <c r="AD1118" s="2867"/>
      <c r="AE1118" s="2867"/>
      <c r="AF1118" s="2867"/>
      <c r="AG1118" s="2867"/>
      <c r="AH1118" s="2867"/>
      <c r="AI1118" s="2867"/>
      <c r="AJ1118" s="2867"/>
      <c r="AK1118" s="2867"/>
      <c r="AL1118" s="2867"/>
      <c r="AM1118" s="2867"/>
      <c r="AN1118" s="2867"/>
      <c r="AO1118" s="2867"/>
      <c r="AP1118" s="2867"/>
      <c r="AQ1118" s="2867"/>
      <c r="AR1118" s="2867"/>
      <c r="AS1118" s="2867"/>
      <c r="AT1118" s="2867"/>
      <c r="AU1118" s="2867"/>
      <c r="AV1118" s="2867"/>
      <c r="AW1118" s="2867"/>
      <c r="AX1118" s="2867"/>
      <c r="AY1118" s="2867"/>
      <c r="AZ1118" s="2867"/>
      <c r="BA1118" s="2867"/>
      <c r="BB1118" s="2867"/>
      <c r="BC1118" s="2867"/>
      <c r="BD1118" s="2867"/>
      <c r="BE1118" s="2867"/>
      <c r="BF1118" s="2867"/>
      <c r="BG1118" s="2867"/>
      <c r="BH1118" s="2867"/>
      <c r="BI1118" s="2867"/>
      <c r="BJ1118" s="2867"/>
      <c r="BK1118" s="2867"/>
      <c r="BL1118" s="2867"/>
      <c r="BM1118" s="2867"/>
      <c r="BN1118" s="2867"/>
      <c r="BO1118" s="2867"/>
      <c r="BP1118" s="2867"/>
      <c r="BQ1118" s="2867"/>
      <c r="BR1118" s="2867"/>
      <c r="BS1118" s="2867"/>
      <c r="BT1118" s="2867"/>
      <c r="BU1118" s="2867"/>
      <c r="BV1118" s="2867"/>
      <c r="BW1118" s="2867"/>
      <c r="BX1118" s="2867"/>
      <c r="BY1118" s="2867"/>
      <c r="BZ1118" s="2867"/>
      <c r="CA1118" s="2867"/>
      <c r="CB1118" s="2867"/>
      <c r="CC1118" s="2867"/>
      <c r="CD1118" s="2867"/>
      <c r="CE1118" s="2867"/>
      <c r="CF1118" s="2867"/>
      <c r="CG1118" s="2867"/>
      <c r="CH1118" s="2867"/>
      <c r="CI1118" s="2867"/>
      <c r="CJ1118" s="2867"/>
      <c r="CK1118" s="2867"/>
      <c r="CL1118" s="2867"/>
      <c r="CM1118" s="2867"/>
      <c r="CN1118" s="2867"/>
      <c r="CO1118" s="2867"/>
      <c r="CP1118" s="2867"/>
      <c r="CQ1118" s="2867"/>
      <c r="CR1118" s="2867"/>
      <c r="CS1118" s="2867"/>
      <c r="CT1118" s="2867"/>
      <c r="CU1118" s="2867"/>
      <c r="CV1118" s="2867"/>
      <c r="CW1118" s="2867"/>
    </row>
    <row r="1119" spans="1:101">
      <c r="A1119" s="2867"/>
      <c r="B1119" s="2867"/>
      <c r="C1119" s="2867"/>
      <c r="D1119" s="2867"/>
      <c r="E1119" s="2867"/>
      <c r="F1119" s="2867"/>
      <c r="G1119" s="2867"/>
      <c r="H1119" s="2867"/>
      <c r="I1119" s="2867"/>
      <c r="J1119" s="2867"/>
      <c r="K1119" s="2867"/>
      <c r="L1119" s="2867"/>
      <c r="M1119" s="2867"/>
      <c r="O1119" s="2867"/>
      <c r="P1119" s="2867"/>
      <c r="Q1119" s="2867"/>
      <c r="R1119" s="2867"/>
      <c r="S1119" s="2867"/>
      <c r="T1119" s="2867"/>
      <c r="U1119" s="2867"/>
      <c r="V1119" s="2867"/>
      <c r="W1119" s="2867"/>
      <c r="X1119" s="2867"/>
      <c r="Y1119" s="2867"/>
      <c r="Z1119" s="2867"/>
      <c r="AA1119" s="2867"/>
      <c r="AB1119" s="2867"/>
      <c r="AC1119" s="2867"/>
      <c r="AD1119" s="2867"/>
      <c r="AE1119" s="2867"/>
      <c r="AF1119" s="2867"/>
      <c r="AG1119" s="2867"/>
      <c r="AH1119" s="2867"/>
      <c r="AI1119" s="2867"/>
      <c r="AJ1119" s="2867"/>
      <c r="AK1119" s="2867"/>
      <c r="AL1119" s="2867"/>
      <c r="AM1119" s="2867"/>
      <c r="AN1119" s="2867"/>
      <c r="AO1119" s="2867"/>
      <c r="AP1119" s="2867"/>
      <c r="AQ1119" s="2867"/>
      <c r="AR1119" s="2867"/>
      <c r="AS1119" s="2867"/>
      <c r="AT1119" s="2867"/>
      <c r="AU1119" s="2867"/>
      <c r="AV1119" s="2867"/>
      <c r="AW1119" s="2867"/>
      <c r="AX1119" s="2867"/>
      <c r="AY1119" s="2867"/>
      <c r="AZ1119" s="2867"/>
      <c r="BA1119" s="2867"/>
      <c r="BB1119" s="2867"/>
      <c r="BC1119" s="2867"/>
      <c r="BD1119" s="2867"/>
      <c r="BE1119" s="2867"/>
      <c r="BF1119" s="2867"/>
      <c r="BG1119" s="2867"/>
      <c r="BH1119" s="2867"/>
      <c r="BI1119" s="2867"/>
      <c r="BJ1119" s="2867"/>
      <c r="BK1119" s="2867"/>
      <c r="BL1119" s="2867"/>
      <c r="BM1119" s="2867"/>
      <c r="BN1119" s="2867"/>
      <c r="BO1119" s="2867"/>
      <c r="BP1119" s="2867"/>
      <c r="BQ1119" s="2867"/>
      <c r="BR1119" s="2867"/>
      <c r="BS1119" s="2867"/>
      <c r="BT1119" s="2867"/>
      <c r="BU1119" s="2867"/>
      <c r="BV1119" s="2867"/>
      <c r="BW1119" s="2867"/>
      <c r="BX1119" s="2867"/>
      <c r="BY1119" s="2867"/>
      <c r="BZ1119" s="2867"/>
      <c r="CA1119" s="2867"/>
      <c r="CB1119" s="2867"/>
      <c r="CC1119" s="2867"/>
      <c r="CD1119" s="2867"/>
      <c r="CE1119" s="2867"/>
      <c r="CF1119" s="2867"/>
      <c r="CG1119" s="2867"/>
      <c r="CH1119" s="2867"/>
      <c r="CI1119" s="2867"/>
      <c r="CJ1119" s="2867"/>
      <c r="CK1119" s="2867"/>
      <c r="CL1119" s="2867"/>
      <c r="CM1119" s="2867"/>
      <c r="CN1119" s="2867"/>
      <c r="CO1119" s="2867"/>
      <c r="CP1119" s="2867"/>
      <c r="CQ1119" s="2867"/>
      <c r="CR1119" s="2867"/>
      <c r="CS1119" s="2867"/>
      <c r="CT1119" s="2867"/>
      <c r="CU1119" s="2867"/>
      <c r="CV1119" s="2867"/>
      <c r="CW1119" s="2867"/>
    </row>
    <row r="1120" spans="1:101">
      <c r="A1120" s="2867"/>
      <c r="B1120" s="2867"/>
      <c r="C1120" s="2867"/>
      <c r="D1120" s="2867"/>
      <c r="E1120" s="2867"/>
      <c r="F1120" s="2867"/>
      <c r="G1120" s="2867"/>
      <c r="H1120" s="2867"/>
      <c r="I1120" s="2867"/>
      <c r="J1120" s="2867"/>
      <c r="K1120" s="2867"/>
      <c r="L1120" s="2867"/>
      <c r="M1120" s="2867"/>
      <c r="O1120" s="2867"/>
      <c r="P1120" s="2867"/>
      <c r="Q1120" s="2867"/>
      <c r="R1120" s="2867"/>
      <c r="S1120" s="2867"/>
      <c r="T1120" s="2867"/>
      <c r="U1120" s="2867"/>
      <c r="V1120" s="2867"/>
      <c r="W1120" s="2867"/>
      <c r="X1120" s="2867"/>
      <c r="Y1120" s="2867"/>
      <c r="Z1120" s="2867"/>
      <c r="AA1120" s="2867"/>
      <c r="AB1120" s="2867"/>
      <c r="AC1120" s="2867"/>
      <c r="AD1120" s="2867"/>
      <c r="AE1120" s="2867"/>
      <c r="AF1120" s="2867"/>
      <c r="AG1120" s="2867"/>
      <c r="AH1120" s="2867"/>
      <c r="AI1120" s="2867"/>
      <c r="AJ1120" s="2867"/>
      <c r="AK1120" s="2867"/>
      <c r="AL1120" s="2867"/>
      <c r="AM1120" s="2867"/>
      <c r="AN1120" s="2867"/>
      <c r="AO1120" s="2867"/>
      <c r="AP1120" s="2867"/>
      <c r="AQ1120" s="2867"/>
      <c r="AR1120" s="2867"/>
      <c r="AS1120" s="2867"/>
      <c r="AT1120" s="2867"/>
      <c r="AU1120" s="2867"/>
      <c r="AV1120" s="2867"/>
      <c r="AW1120" s="2867"/>
      <c r="AX1120" s="2867"/>
      <c r="AY1120" s="2867"/>
      <c r="AZ1120" s="2867"/>
      <c r="BA1120" s="2867"/>
      <c r="BB1120" s="2867"/>
      <c r="BC1120" s="2867"/>
      <c r="BD1120" s="2867"/>
      <c r="BE1120" s="2867"/>
      <c r="BF1120" s="2867"/>
      <c r="BG1120" s="2867"/>
      <c r="BH1120" s="2867"/>
      <c r="BI1120" s="2867"/>
      <c r="BJ1120" s="2867"/>
      <c r="BK1120" s="2867"/>
      <c r="BL1120" s="2867"/>
      <c r="BM1120" s="2867"/>
      <c r="BN1120" s="2867"/>
      <c r="BO1120" s="2867"/>
      <c r="BP1120" s="2867"/>
      <c r="BQ1120" s="2867"/>
      <c r="BR1120" s="2867"/>
      <c r="BS1120" s="2867"/>
      <c r="BT1120" s="2867"/>
      <c r="BU1120" s="2867"/>
      <c r="BV1120" s="2867"/>
      <c r="BW1120" s="2867"/>
      <c r="BX1120" s="2867"/>
      <c r="BY1120" s="2867"/>
      <c r="BZ1120" s="2867"/>
      <c r="CA1120" s="2867"/>
      <c r="CB1120" s="2867"/>
      <c r="CC1120" s="2867"/>
      <c r="CD1120" s="2867"/>
      <c r="CE1120" s="2867"/>
      <c r="CF1120" s="2867"/>
      <c r="CG1120" s="2867"/>
      <c r="CH1120" s="2867"/>
      <c r="CI1120" s="2867"/>
      <c r="CJ1120" s="2867"/>
      <c r="CK1120" s="2867"/>
      <c r="CL1120" s="2867"/>
      <c r="CM1120" s="2867"/>
      <c r="CN1120" s="2867"/>
      <c r="CO1120" s="2867"/>
      <c r="CP1120" s="2867"/>
      <c r="CQ1120" s="2867"/>
      <c r="CR1120" s="2867"/>
      <c r="CS1120" s="2867"/>
      <c r="CT1120" s="2867"/>
      <c r="CU1120" s="2867"/>
      <c r="CV1120" s="2867"/>
      <c r="CW1120" s="2867"/>
    </row>
    <row r="1121" spans="1:101">
      <c r="A1121" s="2867"/>
      <c r="B1121" s="2867"/>
      <c r="C1121" s="2867"/>
      <c r="D1121" s="2867"/>
      <c r="E1121" s="2867"/>
      <c r="F1121" s="2867"/>
      <c r="G1121" s="2867"/>
      <c r="H1121" s="2867"/>
      <c r="I1121" s="2867"/>
      <c r="J1121" s="2867"/>
      <c r="K1121" s="2867"/>
      <c r="L1121" s="2867"/>
      <c r="M1121" s="2867"/>
      <c r="O1121" s="2867"/>
      <c r="P1121" s="2867"/>
      <c r="Q1121" s="2867"/>
      <c r="R1121" s="2867"/>
      <c r="S1121" s="2867"/>
      <c r="T1121" s="2867"/>
      <c r="U1121" s="2867"/>
      <c r="V1121" s="2867"/>
      <c r="W1121" s="2867"/>
      <c r="X1121" s="2867"/>
      <c r="Y1121" s="2867"/>
      <c r="Z1121" s="2867"/>
      <c r="AA1121" s="2867"/>
      <c r="AB1121" s="2867"/>
      <c r="AC1121" s="2867"/>
      <c r="AD1121" s="2867"/>
      <c r="AE1121" s="2867"/>
      <c r="AF1121" s="2867"/>
      <c r="AG1121" s="2867"/>
      <c r="AH1121" s="2867"/>
      <c r="AI1121" s="2867"/>
      <c r="AJ1121" s="2867"/>
      <c r="AK1121" s="2867"/>
      <c r="AL1121" s="2867"/>
      <c r="AM1121" s="2867"/>
      <c r="AN1121" s="2867"/>
      <c r="AO1121" s="2867"/>
      <c r="AP1121" s="2867"/>
      <c r="AQ1121" s="2867"/>
      <c r="AR1121" s="2867"/>
      <c r="AS1121" s="2867"/>
      <c r="AT1121" s="2867"/>
      <c r="AU1121" s="2867"/>
      <c r="AV1121" s="2867"/>
      <c r="AW1121" s="2867"/>
      <c r="AX1121" s="2867"/>
      <c r="AY1121" s="2867"/>
      <c r="AZ1121" s="2867"/>
      <c r="BA1121" s="2867"/>
      <c r="BB1121" s="2867"/>
      <c r="BC1121" s="2867"/>
      <c r="BD1121" s="2867"/>
      <c r="BE1121" s="2867"/>
      <c r="BF1121" s="2867"/>
      <c r="BG1121" s="2867"/>
      <c r="BH1121" s="2867"/>
      <c r="BI1121" s="2867"/>
      <c r="BJ1121" s="2867"/>
      <c r="BK1121" s="2867"/>
      <c r="BL1121" s="2867"/>
      <c r="BM1121" s="2867"/>
      <c r="BN1121" s="2867"/>
      <c r="BO1121" s="2867"/>
      <c r="BP1121" s="2867"/>
      <c r="BQ1121" s="2867"/>
      <c r="BR1121" s="2867"/>
      <c r="BS1121" s="2867"/>
      <c r="BT1121" s="2867"/>
      <c r="BU1121" s="2867"/>
      <c r="BV1121" s="2867"/>
      <c r="BW1121" s="2867"/>
      <c r="BX1121" s="2867"/>
      <c r="BY1121" s="2867"/>
      <c r="BZ1121" s="2867"/>
      <c r="CA1121" s="2867"/>
      <c r="CB1121" s="2867"/>
      <c r="CC1121" s="2867"/>
      <c r="CD1121" s="2867"/>
      <c r="CE1121" s="2867"/>
      <c r="CF1121" s="2867"/>
      <c r="CG1121" s="2867"/>
      <c r="CH1121" s="2867"/>
      <c r="CI1121" s="2867"/>
      <c r="CJ1121" s="2867"/>
      <c r="CK1121" s="2867"/>
      <c r="CL1121" s="2867"/>
      <c r="CM1121" s="2867"/>
      <c r="CN1121" s="2867"/>
      <c r="CO1121" s="2867"/>
      <c r="CP1121" s="2867"/>
      <c r="CQ1121" s="2867"/>
      <c r="CR1121" s="2867"/>
      <c r="CS1121" s="2867"/>
      <c r="CT1121" s="2867"/>
      <c r="CU1121" s="2867"/>
      <c r="CV1121" s="2867"/>
      <c r="CW1121" s="2867"/>
    </row>
    <row r="1122" spans="1:101">
      <c r="A1122" s="2867"/>
      <c r="B1122" s="2867"/>
      <c r="C1122" s="2867"/>
      <c r="D1122" s="2867"/>
      <c r="E1122" s="2867"/>
      <c r="F1122" s="2867"/>
      <c r="G1122" s="2867"/>
      <c r="H1122" s="2867"/>
      <c r="I1122" s="2867"/>
      <c r="J1122" s="2867"/>
      <c r="K1122" s="2867"/>
      <c r="L1122" s="2867"/>
      <c r="M1122" s="2867"/>
      <c r="O1122" s="2867"/>
      <c r="P1122" s="2867"/>
      <c r="Q1122" s="2867"/>
      <c r="R1122" s="2867"/>
      <c r="S1122" s="2867"/>
      <c r="T1122" s="2867"/>
      <c r="U1122" s="2867"/>
      <c r="V1122" s="2867"/>
      <c r="W1122" s="2867"/>
      <c r="X1122" s="2867"/>
      <c r="Y1122" s="2867"/>
      <c r="Z1122" s="2867"/>
      <c r="AA1122" s="2867"/>
      <c r="AB1122" s="2867"/>
      <c r="AC1122" s="2867"/>
      <c r="AD1122" s="2867"/>
      <c r="AE1122" s="2867"/>
      <c r="AF1122" s="2867"/>
      <c r="AG1122" s="2867"/>
      <c r="AH1122" s="2867"/>
      <c r="AI1122" s="2867"/>
      <c r="AJ1122" s="2867"/>
      <c r="AK1122" s="2867"/>
      <c r="AL1122" s="2867"/>
      <c r="AM1122" s="2867"/>
      <c r="AN1122" s="2867"/>
      <c r="AO1122" s="2867"/>
      <c r="AP1122" s="2867"/>
      <c r="AQ1122" s="2867"/>
      <c r="AR1122" s="2867"/>
      <c r="AS1122" s="2867"/>
      <c r="AT1122" s="2867"/>
      <c r="AU1122" s="2867"/>
      <c r="AV1122" s="2867"/>
      <c r="AW1122" s="2867"/>
      <c r="AX1122" s="2867"/>
      <c r="AY1122" s="2867"/>
      <c r="AZ1122" s="2867"/>
      <c r="BA1122" s="2867"/>
      <c r="BB1122" s="2867"/>
      <c r="BC1122" s="2867"/>
      <c r="BD1122" s="2867"/>
      <c r="BE1122" s="2867"/>
      <c r="BF1122" s="2867"/>
      <c r="BG1122" s="2867"/>
      <c r="BH1122" s="2867"/>
      <c r="BI1122" s="2867"/>
      <c r="BJ1122" s="2867"/>
      <c r="BK1122" s="2867"/>
      <c r="BL1122" s="2867"/>
      <c r="BM1122" s="2867"/>
      <c r="BN1122" s="2867"/>
      <c r="BO1122" s="2867"/>
      <c r="BP1122" s="2867"/>
      <c r="BQ1122" s="2867"/>
      <c r="BR1122" s="2867"/>
      <c r="BS1122" s="2867"/>
      <c r="BT1122" s="2867"/>
      <c r="BU1122" s="2867"/>
      <c r="BV1122" s="2867"/>
      <c r="BW1122" s="2867"/>
      <c r="BX1122" s="2867"/>
      <c r="BY1122" s="2867"/>
      <c r="BZ1122" s="2867"/>
      <c r="CA1122" s="2867"/>
      <c r="CB1122" s="2867"/>
      <c r="CC1122" s="2867"/>
      <c r="CD1122" s="2867"/>
      <c r="CE1122" s="2867"/>
      <c r="CF1122" s="2867"/>
      <c r="CG1122" s="2867"/>
      <c r="CH1122" s="2867"/>
      <c r="CI1122" s="2867"/>
      <c r="CJ1122" s="2867"/>
      <c r="CK1122" s="2867"/>
      <c r="CL1122" s="2867"/>
      <c r="CM1122" s="2867"/>
      <c r="CN1122" s="2867"/>
      <c r="CO1122" s="2867"/>
      <c r="CP1122" s="2867"/>
      <c r="CQ1122" s="2867"/>
      <c r="CR1122" s="2867"/>
      <c r="CS1122" s="2867"/>
      <c r="CT1122" s="2867"/>
      <c r="CU1122" s="2867"/>
      <c r="CV1122" s="2867"/>
      <c r="CW1122" s="2867"/>
    </row>
    <row r="1123" spans="1:101">
      <c r="A1123" s="2867"/>
      <c r="B1123" s="2867"/>
      <c r="C1123" s="2867"/>
      <c r="D1123" s="2867"/>
      <c r="E1123" s="2867"/>
      <c r="F1123" s="2867"/>
      <c r="G1123" s="2867"/>
      <c r="H1123" s="2867"/>
      <c r="I1123" s="2867"/>
      <c r="J1123" s="2867"/>
      <c r="K1123" s="2867"/>
      <c r="L1123" s="2867"/>
      <c r="M1123" s="2867"/>
      <c r="O1123" s="2867"/>
      <c r="P1123" s="2867"/>
      <c r="Q1123" s="2867"/>
      <c r="R1123" s="2867"/>
      <c r="S1123" s="2867"/>
      <c r="T1123" s="2867"/>
      <c r="U1123" s="2867"/>
      <c r="V1123" s="2867"/>
      <c r="W1123" s="2867"/>
      <c r="X1123" s="2867"/>
      <c r="Y1123" s="2867"/>
      <c r="Z1123" s="2867"/>
      <c r="AA1123" s="2867"/>
      <c r="AB1123" s="2867"/>
      <c r="AC1123" s="2867"/>
      <c r="AD1123" s="2867"/>
      <c r="AE1123" s="2867"/>
      <c r="AF1123" s="2867"/>
      <c r="AG1123" s="2867"/>
      <c r="AH1123" s="2867"/>
      <c r="AI1123" s="2867"/>
      <c r="AJ1123" s="2867"/>
      <c r="AK1123" s="2867"/>
      <c r="AL1123" s="2867"/>
      <c r="AM1123" s="2867"/>
      <c r="AN1123" s="2867"/>
      <c r="AO1123" s="2867"/>
      <c r="AP1123" s="2867"/>
      <c r="AQ1123" s="2867"/>
      <c r="AR1123" s="2867"/>
      <c r="AS1123" s="2867"/>
      <c r="AT1123" s="2867"/>
      <c r="AU1123" s="2867"/>
      <c r="AV1123" s="2867"/>
      <c r="AW1123" s="2867"/>
      <c r="AX1123" s="2867"/>
      <c r="AY1123" s="2867"/>
      <c r="AZ1123" s="2867"/>
      <c r="BA1123" s="2867"/>
      <c r="BB1123" s="2867"/>
      <c r="BC1123" s="2867"/>
      <c r="BD1123" s="2867"/>
      <c r="BE1123" s="2867"/>
      <c r="BF1123" s="2867"/>
      <c r="BG1123" s="2867"/>
      <c r="BH1123" s="2867"/>
      <c r="BI1123" s="2867"/>
      <c r="BJ1123" s="2867"/>
      <c r="BK1123" s="2867"/>
      <c r="BL1123" s="2867"/>
      <c r="BM1123" s="2867"/>
      <c r="BN1123" s="2867"/>
      <c r="BO1123" s="2867"/>
      <c r="BP1123" s="2867"/>
      <c r="BQ1123" s="2867"/>
      <c r="BR1123" s="2867"/>
      <c r="BS1123" s="2867"/>
      <c r="BT1123" s="2867"/>
      <c r="BU1123" s="2867"/>
      <c r="BV1123" s="2867"/>
      <c r="BW1123" s="2867"/>
      <c r="BX1123" s="2867"/>
      <c r="BY1123" s="2867"/>
      <c r="BZ1123" s="2867"/>
      <c r="CA1123" s="2867"/>
      <c r="CB1123" s="2867"/>
      <c r="CC1123" s="2867"/>
      <c r="CD1123" s="2867"/>
      <c r="CE1123" s="2867"/>
      <c r="CF1123" s="2867"/>
      <c r="CG1123" s="2867"/>
      <c r="CH1123" s="2867"/>
      <c r="CI1123" s="2867"/>
      <c r="CJ1123" s="2867"/>
      <c r="CK1123" s="2867"/>
      <c r="CL1123" s="2867"/>
      <c r="CM1123" s="2867"/>
      <c r="CN1123" s="2867"/>
      <c r="CO1123" s="2867"/>
      <c r="CP1123" s="2867"/>
      <c r="CQ1123" s="2867"/>
      <c r="CR1123" s="2867"/>
      <c r="CS1123" s="2867"/>
      <c r="CT1123" s="2867"/>
      <c r="CU1123" s="2867"/>
      <c r="CV1123" s="2867"/>
      <c r="CW1123" s="2867"/>
    </row>
    <row r="1124" spans="1:101">
      <c r="A1124" s="2867"/>
      <c r="B1124" s="2867"/>
      <c r="C1124" s="2867"/>
      <c r="D1124" s="2867"/>
      <c r="E1124" s="2867"/>
      <c r="F1124" s="2867"/>
      <c r="G1124" s="2867"/>
      <c r="H1124" s="2867"/>
      <c r="I1124" s="2867"/>
      <c r="J1124" s="2867"/>
      <c r="K1124" s="2867"/>
      <c r="L1124" s="2867"/>
      <c r="M1124" s="2867"/>
      <c r="O1124" s="2867"/>
      <c r="P1124" s="2867"/>
      <c r="Q1124" s="2867"/>
      <c r="R1124" s="2867"/>
      <c r="S1124" s="2867"/>
      <c r="T1124" s="2867"/>
      <c r="U1124" s="2867"/>
      <c r="V1124" s="2867"/>
      <c r="W1124" s="2867"/>
      <c r="X1124" s="2867"/>
      <c r="Y1124" s="2867"/>
      <c r="Z1124" s="2867"/>
      <c r="AA1124" s="2867"/>
      <c r="AB1124" s="2867"/>
      <c r="AC1124" s="2867"/>
      <c r="AD1124" s="2867"/>
      <c r="AE1124" s="2867"/>
      <c r="AF1124" s="2867"/>
      <c r="AG1124" s="2867"/>
      <c r="AH1124" s="2867"/>
      <c r="AI1124" s="2867"/>
      <c r="AJ1124" s="2867"/>
      <c r="AK1124" s="2867"/>
      <c r="AL1124" s="2867"/>
      <c r="AM1124" s="2867"/>
      <c r="AN1124" s="2867"/>
      <c r="AO1124" s="2867"/>
      <c r="AP1124" s="2867"/>
      <c r="AQ1124" s="2867"/>
      <c r="AR1124" s="2867"/>
      <c r="AS1124" s="2867"/>
      <c r="AT1124" s="2867"/>
      <c r="AU1124" s="2867"/>
      <c r="AV1124" s="2867"/>
      <c r="AW1124" s="2867"/>
      <c r="AX1124" s="2867"/>
      <c r="AY1124" s="2867"/>
      <c r="AZ1124" s="2867"/>
      <c r="BA1124" s="2867"/>
      <c r="BB1124" s="2867"/>
      <c r="BC1124" s="2867"/>
      <c r="BD1124" s="2867"/>
      <c r="BE1124" s="2867"/>
      <c r="BF1124" s="2867"/>
      <c r="BG1124" s="2867"/>
      <c r="BH1124" s="2867"/>
      <c r="BI1124" s="2867"/>
      <c r="BJ1124" s="2867"/>
      <c r="BK1124" s="2867"/>
      <c r="BL1124" s="2867"/>
      <c r="BM1124" s="2867"/>
      <c r="BN1124" s="2867"/>
      <c r="BO1124" s="2867"/>
      <c r="BP1124" s="2867"/>
      <c r="BQ1124" s="2867"/>
      <c r="BR1124" s="2867"/>
      <c r="BS1124" s="2867"/>
      <c r="BT1124" s="2867"/>
      <c r="BU1124" s="2867"/>
      <c r="BV1124" s="2867"/>
      <c r="BW1124" s="2867"/>
      <c r="BX1124" s="2867"/>
      <c r="BY1124" s="2867"/>
      <c r="BZ1124" s="2867"/>
      <c r="CA1124" s="2867"/>
      <c r="CB1124" s="2867"/>
      <c r="CC1124" s="2867"/>
      <c r="CD1124" s="2867"/>
      <c r="CE1124" s="2867"/>
      <c r="CF1124" s="2867"/>
      <c r="CG1124" s="2867"/>
      <c r="CH1124" s="2867"/>
      <c r="CI1124" s="2867"/>
      <c r="CJ1124" s="2867"/>
      <c r="CK1124" s="2867"/>
      <c r="CL1124" s="2867"/>
      <c r="CM1124" s="2867"/>
      <c r="CN1124" s="2867"/>
      <c r="CO1124" s="2867"/>
      <c r="CP1124" s="2867"/>
      <c r="CQ1124" s="2867"/>
      <c r="CR1124" s="2867"/>
      <c r="CS1124" s="2867"/>
      <c r="CT1124" s="2867"/>
      <c r="CU1124" s="2867"/>
      <c r="CV1124" s="2867"/>
      <c r="CW1124" s="2867"/>
    </row>
    <row r="1125" spans="1:101">
      <c r="A1125" s="2867"/>
      <c r="B1125" s="2867"/>
      <c r="C1125" s="2867"/>
      <c r="D1125" s="2867"/>
      <c r="E1125" s="2867"/>
      <c r="F1125" s="2867"/>
      <c r="G1125" s="2867"/>
      <c r="H1125" s="2867"/>
      <c r="I1125" s="2867"/>
      <c r="J1125" s="2867"/>
      <c r="K1125" s="2867"/>
      <c r="L1125" s="2867"/>
      <c r="M1125" s="2867"/>
      <c r="O1125" s="2867"/>
      <c r="P1125" s="2867"/>
      <c r="Q1125" s="2867"/>
      <c r="R1125" s="2867"/>
      <c r="S1125" s="2867"/>
      <c r="T1125" s="2867"/>
      <c r="U1125" s="2867"/>
      <c r="V1125" s="2867"/>
      <c r="W1125" s="2867"/>
      <c r="X1125" s="2867"/>
      <c r="Y1125" s="2867"/>
      <c r="Z1125" s="2867"/>
      <c r="AA1125" s="2867"/>
      <c r="AB1125" s="2867"/>
      <c r="AC1125" s="2867"/>
      <c r="AD1125" s="2867"/>
      <c r="AE1125" s="2867"/>
      <c r="AF1125" s="2867"/>
      <c r="AG1125" s="2867"/>
      <c r="AH1125" s="2867"/>
      <c r="AI1125" s="2867"/>
      <c r="AJ1125" s="2867"/>
      <c r="AK1125" s="2867"/>
      <c r="AL1125" s="2867"/>
      <c r="AM1125" s="2867"/>
      <c r="AN1125" s="2867"/>
      <c r="AO1125" s="2867"/>
      <c r="AP1125" s="2867"/>
      <c r="AQ1125" s="2867"/>
      <c r="AR1125" s="2867"/>
      <c r="AS1125" s="2867"/>
      <c r="AT1125" s="2867"/>
      <c r="AU1125" s="2867"/>
      <c r="AV1125" s="2867"/>
      <c r="AW1125" s="2867"/>
      <c r="AX1125" s="2867"/>
      <c r="AY1125" s="2867"/>
      <c r="AZ1125" s="2867"/>
      <c r="BA1125" s="2867"/>
      <c r="BB1125" s="2867"/>
      <c r="BC1125" s="2867"/>
      <c r="BD1125" s="2867"/>
      <c r="BE1125" s="2867"/>
      <c r="BF1125" s="2867"/>
      <c r="BG1125" s="2867"/>
      <c r="BH1125" s="2867"/>
      <c r="BI1125" s="2867"/>
      <c r="BJ1125" s="2867"/>
      <c r="BK1125" s="2867"/>
      <c r="BL1125" s="2867"/>
      <c r="BM1125" s="2867"/>
      <c r="BN1125" s="2867"/>
      <c r="BO1125" s="2867"/>
      <c r="BP1125" s="2867"/>
      <c r="BQ1125" s="2867"/>
      <c r="BR1125" s="2867"/>
      <c r="BS1125" s="2867"/>
      <c r="BT1125" s="2867"/>
      <c r="BU1125" s="2867"/>
      <c r="BV1125" s="2867"/>
      <c r="BW1125" s="2867"/>
      <c r="BX1125" s="2867"/>
      <c r="BY1125" s="2867"/>
      <c r="BZ1125" s="2867"/>
      <c r="CA1125" s="2867"/>
      <c r="CB1125" s="2867"/>
      <c r="CC1125" s="2867"/>
      <c r="CD1125" s="2867"/>
      <c r="CE1125" s="2867"/>
      <c r="CF1125" s="2867"/>
      <c r="CG1125" s="2867"/>
      <c r="CH1125" s="2867"/>
      <c r="CI1125" s="2867"/>
      <c r="CJ1125" s="2867"/>
      <c r="CK1125" s="2867"/>
      <c r="CL1125" s="2867"/>
      <c r="CM1125" s="2867"/>
      <c r="CN1125" s="2867"/>
      <c r="CO1125" s="2867"/>
      <c r="CP1125" s="2867"/>
      <c r="CQ1125" s="2867"/>
      <c r="CR1125" s="2867"/>
      <c r="CS1125" s="2867"/>
      <c r="CT1125" s="2867"/>
      <c r="CU1125" s="2867"/>
      <c r="CV1125" s="2867"/>
      <c r="CW1125" s="2867"/>
    </row>
    <row r="1126" spans="1:101">
      <c r="A1126" s="2867"/>
      <c r="B1126" s="2867"/>
      <c r="C1126" s="2867"/>
      <c r="D1126" s="2867"/>
      <c r="E1126" s="2867"/>
      <c r="F1126" s="2867"/>
      <c r="G1126" s="2867"/>
      <c r="H1126" s="2867"/>
      <c r="I1126" s="2867"/>
      <c r="J1126" s="2867"/>
      <c r="K1126" s="2867"/>
      <c r="L1126" s="2867"/>
      <c r="M1126" s="2867"/>
      <c r="O1126" s="2867"/>
      <c r="P1126" s="2867"/>
      <c r="Q1126" s="2867"/>
      <c r="R1126" s="2867"/>
      <c r="S1126" s="2867"/>
      <c r="T1126" s="2867"/>
      <c r="U1126" s="2867"/>
      <c r="V1126" s="2867"/>
      <c r="W1126" s="2867"/>
      <c r="X1126" s="2867"/>
      <c r="Y1126" s="2867"/>
      <c r="Z1126" s="2867"/>
      <c r="AA1126" s="2867"/>
      <c r="AB1126" s="2867"/>
      <c r="AC1126" s="2867"/>
      <c r="AD1126" s="2867"/>
      <c r="AE1126" s="2867"/>
      <c r="AF1126" s="2867"/>
      <c r="AG1126" s="2867"/>
      <c r="AH1126" s="2867"/>
      <c r="AI1126" s="2867"/>
      <c r="AJ1126" s="2867"/>
      <c r="AK1126" s="2867"/>
      <c r="AL1126" s="2867"/>
      <c r="AM1126" s="2867"/>
      <c r="AN1126" s="2867"/>
      <c r="AO1126" s="2867"/>
      <c r="AP1126" s="2867"/>
      <c r="AQ1126" s="2867"/>
      <c r="AR1126" s="2867"/>
      <c r="AS1126" s="2867"/>
      <c r="AT1126" s="2867"/>
      <c r="AU1126" s="2867"/>
      <c r="AV1126" s="2867"/>
      <c r="AW1126" s="2867"/>
      <c r="AX1126" s="2867"/>
      <c r="AY1126" s="2867"/>
      <c r="AZ1126" s="2867"/>
      <c r="BA1126" s="2867"/>
      <c r="BB1126" s="2867"/>
      <c r="BC1126" s="2867"/>
      <c r="BD1126" s="2867"/>
      <c r="BE1126" s="2867"/>
      <c r="BF1126" s="2867"/>
      <c r="BG1126" s="2867"/>
      <c r="BH1126" s="2867"/>
      <c r="BI1126" s="2867"/>
      <c r="BJ1126" s="2867"/>
      <c r="BK1126" s="2867"/>
      <c r="BL1126" s="2867"/>
      <c r="BM1126" s="2867"/>
      <c r="BN1126" s="2867"/>
      <c r="BO1126" s="2867"/>
      <c r="BP1126" s="2867"/>
      <c r="BQ1126" s="2867"/>
      <c r="BR1126" s="2867"/>
      <c r="BS1126" s="2867"/>
      <c r="BT1126" s="2867"/>
      <c r="BU1126" s="2867"/>
      <c r="BV1126" s="2867"/>
      <c r="BW1126" s="2867"/>
      <c r="BX1126" s="2867"/>
      <c r="BY1126" s="2867"/>
      <c r="BZ1126" s="2867"/>
      <c r="CA1126" s="2867"/>
      <c r="CB1126" s="2867"/>
      <c r="CC1126" s="2867"/>
      <c r="CD1126" s="2867"/>
      <c r="CE1126" s="2867"/>
      <c r="CF1126" s="2867"/>
      <c r="CG1126" s="2867"/>
      <c r="CH1126" s="2867"/>
      <c r="CI1126" s="2867"/>
      <c r="CJ1126" s="2867"/>
      <c r="CK1126" s="2867"/>
      <c r="CL1126" s="2867"/>
      <c r="CM1126" s="2867"/>
      <c r="CN1126" s="2867"/>
      <c r="CO1126" s="2867"/>
      <c r="CP1126" s="2867"/>
      <c r="CQ1126" s="2867"/>
      <c r="CR1126" s="2867"/>
      <c r="CS1126" s="2867"/>
      <c r="CT1126" s="2867"/>
      <c r="CU1126" s="2867"/>
      <c r="CV1126" s="2867"/>
      <c r="CW1126" s="2867"/>
    </row>
    <row r="1127" spans="1:101">
      <c r="A1127" s="2867"/>
      <c r="B1127" s="2867"/>
      <c r="C1127" s="2867"/>
      <c r="D1127" s="2867"/>
      <c r="E1127" s="2867"/>
      <c r="F1127" s="2867"/>
      <c r="G1127" s="2867"/>
      <c r="H1127" s="2867"/>
      <c r="I1127" s="2867"/>
      <c r="J1127" s="2867"/>
      <c r="K1127" s="2867"/>
      <c r="L1127" s="2867"/>
      <c r="M1127" s="2867"/>
      <c r="O1127" s="2867"/>
      <c r="P1127" s="2867"/>
      <c r="Q1127" s="2867"/>
      <c r="R1127" s="2867"/>
      <c r="S1127" s="2867"/>
      <c r="T1127" s="2867"/>
      <c r="U1127" s="2867"/>
      <c r="V1127" s="2867"/>
      <c r="W1127" s="2867"/>
      <c r="X1127" s="2867"/>
      <c r="Y1127" s="2867"/>
      <c r="Z1127" s="2867"/>
      <c r="AA1127" s="2867"/>
      <c r="AB1127" s="2867"/>
      <c r="AC1127" s="2867"/>
      <c r="AD1127" s="2867"/>
      <c r="AE1127" s="2867"/>
      <c r="AF1127" s="2867"/>
      <c r="AG1127" s="2867"/>
      <c r="AH1127" s="2867"/>
      <c r="AI1127" s="2867"/>
      <c r="AJ1127" s="2867"/>
      <c r="AK1127" s="2867"/>
      <c r="AL1127" s="2867"/>
      <c r="AM1127" s="2867"/>
      <c r="AN1127" s="2867"/>
      <c r="AO1127" s="2867"/>
      <c r="AP1127" s="2867"/>
      <c r="AQ1127" s="2867"/>
      <c r="AR1127" s="2867"/>
      <c r="AS1127" s="2867"/>
      <c r="AT1127" s="2867"/>
      <c r="AU1127" s="2867"/>
      <c r="AV1127" s="2867"/>
      <c r="AW1127" s="2867"/>
      <c r="AX1127" s="2867"/>
      <c r="AY1127" s="2867"/>
      <c r="AZ1127" s="2867"/>
      <c r="BA1127" s="2867"/>
      <c r="BB1127" s="2867"/>
      <c r="BC1127" s="2867"/>
      <c r="BD1127" s="2867"/>
      <c r="BE1127" s="2867"/>
      <c r="BF1127" s="2867"/>
      <c r="BG1127" s="2867"/>
      <c r="BH1127" s="2867"/>
      <c r="BI1127" s="2867"/>
      <c r="BJ1127" s="2867"/>
      <c r="BK1127" s="2867"/>
      <c r="BL1127" s="2867"/>
      <c r="BM1127" s="2867"/>
      <c r="BN1127" s="2867"/>
      <c r="BO1127" s="2867"/>
      <c r="BP1127" s="2867"/>
      <c r="BQ1127" s="2867"/>
      <c r="BR1127" s="2867"/>
      <c r="BS1127" s="2867"/>
      <c r="BT1127" s="2867"/>
      <c r="BU1127" s="2867"/>
      <c r="BV1127" s="2867"/>
      <c r="BW1127" s="2867"/>
      <c r="BX1127" s="2867"/>
      <c r="BY1127" s="2867"/>
      <c r="BZ1127" s="2867"/>
      <c r="CA1127" s="2867"/>
      <c r="CB1127" s="2867"/>
      <c r="CC1127" s="2867"/>
      <c r="CD1127" s="2867"/>
      <c r="CE1127" s="2867"/>
      <c r="CF1127" s="2867"/>
      <c r="CG1127" s="2867"/>
      <c r="CH1127" s="2867"/>
      <c r="CI1127" s="2867"/>
      <c r="CJ1127" s="2867"/>
      <c r="CK1127" s="2867"/>
      <c r="CL1127" s="2867"/>
      <c r="CM1127" s="2867"/>
      <c r="CN1127" s="2867"/>
      <c r="CO1127" s="2867"/>
      <c r="CP1127" s="2867"/>
      <c r="CQ1127" s="2867"/>
      <c r="CR1127" s="2867"/>
      <c r="CS1127" s="2867"/>
      <c r="CT1127" s="2867"/>
      <c r="CU1127" s="2867"/>
      <c r="CV1127" s="2867"/>
      <c r="CW1127" s="2867"/>
    </row>
    <row r="1128" spans="1:101">
      <c r="A1128" s="2867"/>
      <c r="B1128" s="2867"/>
      <c r="C1128" s="2867"/>
      <c r="D1128" s="2867"/>
      <c r="E1128" s="2867"/>
      <c r="F1128" s="2867"/>
      <c r="G1128" s="2867"/>
      <c r="H1128" s="2867"/>
      <c r="I1128" s="2867"/>
      <c r="J1128" s="2867"/>
      <c r="K1128" s="2867"/>
      <c r="L1128" s="2867"/>
      <c r="M1128" s="2867"/>
      <c r="O1128" s="2867"/>
      <c r="P1128" s="2867"/>
      <c r="Q1128" s="2867"/>
      <c r="R1128" s="2867"/>
      <c r="S1128" s="2867"/>
      <c r="T1128" s="2867"/>
      <c r="U1128" s="2867"/>
      <c r="V1128" s="2867"/>
      <c r="W1128" s="2867"/>
      <c r="X1128" s="2867"/>
      <c r="Y1128" s="2867"/>
      <c r="Z1128" s="2867"/>
      <c r="AA1128" s="2867"/>
      <c r="AB1128" s="2867"/>
      <c r="AC1128" s="2867"/>
      <c r="AD1128" s="2867"/>
      <c r="AE1128" s="2867"/>
      <c r="AF1128" s="2867"/>
      <c r="AG1128" s="2867"/>
      <c r="AH1128" s="2867"/>
      <c r="AI1128" s="2867"/>
      <c r="AJ1128" s="2867"/>
      <c r="AK1128" s="2867"/>
      <c r="AL1128" s="2867"/>
      <c r="AM1128" s="2867"/>
      <c r="AN1128" s="2867"/>
      <c r="AO1128" s="2867"/>
      <c r="AP1128" s="2867"/>
      <c r="AQ1128" s="2867"/>
      <c r="AR1128" s="2867"/>
      <c r="AS1128" s="2867"/>
      <c r="AT1128" s="2867"/>
      <c r="AU1128" s="2867"/>
      <c r="AV1128" s="2867"/>
      <c r="AW1128" s="2867"/>
      <c r="AX1128" s="2867"/>
      <c r="AY1128" s="2867"/>
      <c r="AZ1128" s="2867"/>
      <c r="BA1128" s="2867"/>
      <c r="BB1128" s="2867"/>
      <c r="BC1128" s="2867"/>
      <c r="BD1128" s="2867"/>
      <c r="BE1128" s="2867"/>
      <c r="BF1128" s="2867"/>
      <c r="BG1128" s="2867"/>
      <c r="BH1128" s="2867"/>
      <c r="BI1128" s="2867"/>
      <c r="BJ1128" s="2867"/>
      <c r="BK1128" s="2867"/>
      <c r="BL1128" s="2867"/>
      <c r="BM1128" s="2867"/>
      <c r="BN1128" s="2867"/>
      <c r="BO1128" s="2867"/>
      <c r="BP1128" s="2867"/>
      <c r="BQ1128" s="2867"/>
      <c r="BR1128" s="2867"/>
      <c r="BS1128" s="2867"/>
      <c r="BT1128" s="2867"/>
      <c r="BU1128" s="2867"/>
      <c r="BV1128" s="2867"/>
      <c r="BW1128" s="2867"/>
      <c r="BX1128" s="2867"/>
      <c r="BY1128" s="2867"/>
      <c r="BZ1128" s="2867"/>
      <c r="CA1128" s="2867"/>
      <c r="CB1128" s="2867"/>
      <c r="CC1128" s="2867"/>
      <c r="CD1128" s="2867"/>
      <c r="CE1128" s="2867"/>
      <c r="CF1128" s="2867"/>
      <c r="CG1128" s="2867"/>
      <c r="CH1128" s="2867"/>
      <c r="CI1128" s="2867"/>
      <c r="CJ1128" s="2867"/>
      <c r="CK1128" s="2867"/>
      <c r="CL1128" s="2867"/>
      <c r="CM1128" s="2867"/>
      <c r="CN1128" s="2867"/>
      <c r="CO1128" s="2867"/>
      <c r="CP1128" s="2867"/>
      <c r="CQ1128" s="2867"/>
      <c r="CR1128" s="2867"/>
      <c r="CS1128" s="2867"/>
      <c r="CT1128" s="2867"/>
      <c r="CU1128" s="2867"/>
      <c r="CV1128" s="2867"/>
      <c r="CW1128" s="2867"/>
    </row>
    <row r="1129" spans="1:101">
      <c r="A1129" s="2867"/>
      <c r="B1129" s="2867"/>
      <c r="C1129" s="2867"/>
      <c r="D1129" s="2867"/>
      <c r="E1129" s="2867"/>
      <c r="F1129" s="2867"/>
      <c r="G1129" s="2867"/>
      <c r="H1129" s="2867"/>
      <c r="I1129" s="2867"/>
      <c r="J1129" s="2867"/>
      <c r="K1129" s="2867"/>
      <c r="L1129" s="2867"/>
      <c r="M1129" s="2867"/>
      <c r="O1129" s="2867"/>
      <c r="P1129" s="2867"/>
      <c r="Q1129" s="2867"/>
      <c r="R1129" s="2867"/>
      <c r="S1129" s="2867"/>
      <c r="T1129" s="2867"/>
      <c r="U1129" s="2867"/>
      <c r="V1129" s="2867"/>
      <c r="W1129" s="2867"/>
      <c r="X1129" s="2867"/>
      <c r="Y1129" s="2867"/>
      <c r="Z1129" s="2867"/>
      <c r="AA1129" s="2867"/>
      <c r="AB1129" s="2867"/>
      <c r="AC1129" s="2867"/>
      <c r="AD1129" s="2867"/>
      <c r="AE1129" s="2867"/>
      <c r="AF1129" s="2867"/>
      <c r="AG1129" s="2867"/>
      <c r="AH1129" s="2867"/>
      <c r="AI1129" s="2867"/>
      <c r="AJ1129" s="2867"/>
      <c r="AK1129" s="2867"/>
      <c r="AL1129" s="2867"/>
      <c r="AM1129" s="2867"/>
      <c r="AN1129" s="2867"/>
      <c r="AO1129" s="2867"/>
      <c r="AP1129" s="2867"/>
      <c r="AQ1129" s="2867"/>
      <c r="AR1129" s="2867"/>
      <c r="AS1129" s="2867"/>
      <c r="AT1129" s="2867"/>
      <c r="AU1129" s="2867"/>
      <c r="AV1129" s="2867"/>
      <c r="AW1129" s="2867"/>
      <c r="AX1129" s="2867"/>
      <c r="AY1129" s="2867"/>
      <c r="AZ1129" s="2867"/>
      <c r="BA1129" s="2867"/>
      <c r="BB1129" s="2867"/>
      <c r="BC1129" s="2867"/>
      <c r="BD1129" s="2867"/>
      <c r="BE1129" s="2867"/>
      <c r="BF1129" s="2867"/>
      <c r="BG1129" s="2867"/>
      <c r="BH1129" s="2867"/>
      <c r="BI1129" s="2867"/>
      <c r="BJ1129" s="2867"/>
      <c r="BK1129" s="2867"/>
      <c r="BL1129" s="2867"/>
      <c r="BM1129" s="2867"/>
      <c r="BN1129" s="2867"/>
      <c r="BO1129" s="2867"/>
      <c r="BP1129" s="2867"/>
      <c r="BQ1129" s="2867"/>
      <c r="BR1129" s="2867"/>
      <c r="BS1129" s="2867"/>
      <c r="BT1129" s="2867"/>
      <c r="BU1129" s="2867"/>
      <c r="BV1129" s="2867"/>
      <c r="BW1129" s="2867"/>
      <c r="BX1129" s="2867"/>
      <c r="BY1129" s="2867"/>
      <c r="BZ1129" s="2867"/>
      <c r="CA1129" s="2867"/>
      <c r="CB1129" s="2867"/>
      <c r="CC1129" s="2867"/>
      <c r="CD1129" s="2867"/>
      <c r="CE1129" s="2867"/>
      <c r="CF1129" s="2867"/>
      <c r="CG1129" s="2867"/>
      <c r="CH1129" s="2867"/>
      <c r="CI1129" s="2867"/>
      <c r="CJ1129" s="2867"/>
      <c r="CK1129" s="2867"/>
      <c r="CL1129" s="2867"/>
      <c r="CM1129" s="2867"/>
      <c r="CN1129" s="2867"/>
      <c r="CO1129" s="2867"/>
      <c r="CP1129" s="2867"/>
      <c r="CQ1129" s="2867"/>
      <c r="CR1129" s="2867"/>
      <c r="CS1129" s="2867"/>
      <c r="CT1129" s="2867"/>
      <c r="CU1129" s="2867"/>
      <c r="CV1129" s="2867"/>
      <c r="CW1129" s="2867"/>
    </row>
    <row r="1130" spans="1:101">
      <c r="A1130" s="2867"/>
      <c r="B1130" s="2867"/>
      <c r="C1130" s="2867"/>
      <c r="D1130" s="2867"/>
      <c r="E1130" s="2867"/>
      <c r="F1130" s="2867"/>
      <c r="G1130" s="2867"/>
      <c r="H1130" s="2867"/>
      <c r="I1130" s="2867"/>
      <c r="J1130" s="2867"/>
      <c r="K1130" s="2867"/>
      <c r="L1130" s="2867"/>
      <c r="M1130" s="2867"/>
      <c r="O1130" s="2867"/>
      <c r="P1130" s="2867"/>
      <c r="Q1130" s="2867"/>
      <c r="R1130" s="2867"/>
      <c r="S1130" s="2867"/>
      <c r="T1130" s="2867"/>
      <c r="U1130" s="2867"/>
      <c r="V1130" s="2867"/>
      <c r="W1130" s="2867"/>
      <c r="X1130" s="2867"/>
      <c r="Y1130" s="2867"/>
      <c r="Z1130" s="2867"/>
      <c r="AA1130" s="2867"/>
      <c r="AB1130" s="2867"/>
      <c r="AC1130" s="2867"/>
      <c r="AD1130" s="2867"/>
      <c r="AE1130" s="2867"/>
      <c r="AF1130" s="2867"/>
      <c r="AG1130" s="2867"/>
      <c r="AH1130" s="2867"/>
      <c r="AI1130" s="2867"/>
      <c r="AJ1130" s="2867"/>
      <c r="AK1130" s="2867"/>
      <c r="AL1130" s="2867"/>
      <c r="AM1130" s="2867"/>
      <c r="AN1130" s="2867"/>
      <c r="AO1130" s="2867"/>
      <c r="AP1130" s="2867"/>
      <c r="AQ1130" s="2867"/>
      <c r="AR1130" s="2867"/>
      <c r="AS1130" s="2867"/>
      <c r="AT1130" s="2867"/>
      <c r="AU1130" s="2867"/>
      <c r="AV1130" s="2867"/>
      <c r="AW1130" s="2867"/>
      <c r="AX1130" s="2867"/>
      <c r="AY1130" s="2867"/>
      <c r="AZ1130" s="2867"/>
      <c r="BA1130" s="2867"/>
      <c r="BB1130" s="2867"/>
      <c r="BC1130" s="2867"/>
      <c r="BD1130" s="2867"/>
      <c r="BE1130" s="2867"/>
      <c r="BF1130" s="2867"/>
      <c r="BG1130" s="2867"/>
      <c r="BH1130" s="2867"/>
      <c r="BI1130" s="2867"/>
      <c r="BJ1130" s="2867"/>
      <c r="BK1130" s="2867"/>
      <c r="BL1130" s="2867"/>
      <c r="BM1130" s="2867"/>
      <c r="BN1130" s="2867"/>
      <c r="BO1130" s="2867"/>
      <c r="BP1130" s="2867"/>
      <c r="BQ1130" s="2867"/>
      <c r="BR1130" s="2867"/>
      <c r="BS1130" s="2867"/>
      <c r="BT1130" s="2867"/>
      <c r="BU1130" s="2867"/>
      <c r="BV1130" s="2867"/>
      <c r="BW1130" s="2867"/>
      <c r="BX1130" s="2867"/>
      <c r="BY1130" s="2867"/>
      <c r="BZ1130" s="2867"/>
      <c r="CA1130" s="2867"/>
      <c r="CB1130" s="2867"/>
      <c r="CC1130" s="2867"/>
      <c r="CD1130" s="2867"/>
      <c r="CE1130" s="2867"/>
      <c r="CF1130" s="2867"/>
      <c r="CG1130" s="2867"/>
      <c r="CH1130" s="2867"/>
      <c r="CI1130" s="2867"/>
      <c r="CJ1130" s="2867"/>
      <c r="CK1130" s="2867"/>
      <c r="CL1130" s="2867"/>
      <c r="CM1130" s="2867"/>
      <c r="CN1130" s="2867"/>
      <c r="CO1130" s="2867"/>
      <c r="CP1130" s="2867"/>
      <c r="CQ1130" s="2867"/>
      <c r="CR1130" s="2867"/>
      <c r="CS1130" s="2867"/>
      <c r="CT1130" s="2867"/>
      <c r="CU1130" s="2867"/>
      <c r="CV1130" s="2867"/>
      <c r="CW1130" s="2867"/>
    </row>
    <row r="1131" spans="1:101">
      <c r="A1131" s="2867"/>
      <c r="B1131" s="2867"/>
      <c r="C1131" s="2867"/>
      <c r="D1131" s="2867"/>
      <c r="E1131" s="2867"/>
      <c r="F1131" s="2867"/>
      <c r="G1131" s="2867"/>
      <c r="H1131" s="2867"/>
      <c r="I1131" s="2867"/>
      <c r="J1131" s="2867"/>
      <c r="K1131" s="2867"/>
      <c r="L1131" s="2867"/>
      <c r="M1131" s="2867"/>
      <c r="O1131" s="2867"/>
      <c r="P1131" s="2867"/>
      <c r="Q1131" s="2867"/>
      <c r="R1131" s="2867"/>
      <c r="S1131" s="2867"/>
      <c r="T1131" s="2867"/>
      <c r="U1131" s="2867"/>
      <c r="V1131" s="2867"/>
      <c r="W1131" s="2867"/>
      <c r="X1131" s="2867"/>
      <c r="Y1131" s="2867"/>
      <c r="Z1131" s="2867"/>
      <c r="AA1131" s="2867"/>
      <c r="AB1131" s="2867"/>
      <c r="AC1131" s="2867"/>
      <c r="AD1131" s="2867"/>
      <c r="AE1131" s="2867"/>
      <c r="AF1131" s="2867"/>
      <c r="AG1131" s="2867"/>
      <c r="AH1131" s="2867"/>
      <c r="AI1131" s="2867"/>
      <c r="AJ1131" s="2867"/>
      <c r="AK1131" s="2867"/>
      <c r="AL1131" s="2867"/>
      <c r="AM1131" s="2867"/>
      <c r="AN1131" s="2867"/>
      <c r="AO1131" s="2867"/>
      <c r="AP1131" s="2867"/>
      <c r="AQ1131" s="2867"/>
      <c r="AR1131" s="2867"/>
      <c r="AS1131" s="2867"/>
      <c r="AT1131" s="2867"/>
      <c r="AU1131" s="2867"/>
      <c r="AV1131" s="2867"/>
      <c r="AW1131" s="2867"/>
      <c r="AX1131" s="2867"/>
      <c r="AY1131" s="2867"/>
      <c r="AZ1131" s="2867"/>
      <c r="BA1131" s="2867"/>
      <c r="BB1131" s="2867"/>
      <c r="BC1131" s="2867"/>
      <c r="BD1131" s="2867"/>
      <c r="BE1131" s="2867"/>
      <c r="BF1131" s="2867"/>
      <c r="BG1131" s="2867"/>
      <c r="BH1131" s="2867"/>
      <c r="BI1131" s="2867"/>
      <c r="BJ1131" s="2867"/>
      <c r="BK1131" s="2867"/>
      <c r="BL1131" s="2867"/>
      <c r="BM1131" s="2867"/>
      <c r="BN1131" s="2867"/>
      <c r="BO1131" s="2867"/>
      <c r="BP1131" s="2867"/>
      <c r="BQ1131" s="2867"/>
      <c r="BR1131" s="2867"/>
      <c r="BS1131" s="2867"/>
      <c r="BT1131" s="2867"/>
      <c r="BU1131" s="2867"/>
      <c r="BV1131" s="2867"/>
      <c r="BW1131" s="2867"/>
      <c r="BX1131" s="2867"/>
      <c r="BY1131" s="2867"/>
      <c r="BZ1131" s="2867"/>
      <c r="CA1131" s="2867"/>
      <c r="CB1131" s="2867"/>
      <c r="CC1131" s="2867"/>
      <c r="CD1131" s="2867"/>
      <c r="CE1131" s="2867"/>
      <c r="CF1131" s="2867"/>
      <c r="CG1131" s="2867"/>
      <c r="CH1131" s="2867"/>
      <c r="CI1131" s="2867"/>
      <c r="CJ1131" s="2867"/>
      <c r="CK1131" s="2867"/>
      <c r="CL1131" s="2867"/>
      <c r="CM1131" s="2867"/>
      <c r="CN1131" s="2867"/>
      <c r="CO1131" s="2867"/>
      <c r="CP1131" s="2867"/>
      <c r="CQ1131" s="2867"/>
      <c r="CR1131" s="2867"/>
      <c r="CS1131" s="2867"/>
      <c r="CT1131" s="2867"/>
      <c r="CU1131" s="2867"/>
      <c r="CV1131" s="2867"/>
      <c r="CW1131" s="2867"/>
    </row>
    <row r="1132" spans="1:101">
      <c r="A1132" s="2867"/>
      <c r="B1132" s="2867"/>
      <c r="C1132" s="2867"/>
      <c r="D1132" s="2867"/>
      <c r="E1132" s="2867"/>
      <c r="F1132" s="2867"/>
      <c r="G1132" s="2867"/>
      <c r="H1132" s="2867"/>
      <c r="I1132" s="2867"/>
      <c r="J1132" s="2867"/>
      <c r="K1132" s="2867"/>
      <c r="L1132" s="2867"/>
      <c r="M1132" s="2867"/>
      <c r="O1132" s="2867"/>
      <c r="P1132" s="2867"/>
      <c r="Q1132" s="2867"/>
      <c r="R1132" s="2867"/>
      <c r="S1132" s="2867"/>
      <c r="T1132" s="2867"/>
      <c r="U1132" s="2867"/>
      <c r="V1132" s="2867"/>
      <c r="W1132" s="2867"/>
      <c r="X1132" s="2867"/>
      <c r="Y1132" s="2867"/>
      <c r="Z1132" s="2867"/>
      <c r="AA1132" s="2867"/>
      <c r="AB1132" s="2867"/>
      <c r="AC1132" s="2867"/>
      <c r="AD1132" s="2867"/>
      <c r="AE1132" s="2867"/>
      <c r="AF1132" s="2867"/>
      <c r="AG1132" s="2867"/>
      <c r="AH1132" s="2867"/>
      <c r="AI1132" s="2867"/>
      <c r="AJ1132" s="2867"/>
      <c r="AK1132" s="2867"/>
      <c r="AL1132" s="2867"/>
      <c r="AM1132" s="2867"/>
      <c r="AN1132" s="2867"/>
      <c r="AO1132" s="2867"/>
      <c r="AP1132" s="2867"/>
      <c r="AQ1132" s="2867"/>
      <c r="AR1132" s="2867"/>
      <c r="AS1132" s="2867"/>
      <c r="AT1132" s="2867"/>
      <c r="AU1132" s="2867"/>
      <c r="AV1132" s="2867"/>
      <c r="AW1132" s="2867"/>
      <c r="AX1132" s="2867"/>
      <c r="AY1132" s="2867"/>
      <c r="AZ1132" s="2867"/>
      <c r="BA1132" s="2867"/>
      <c r="BB1132" s="2867"/>
      <c r="BC1132" s="2867"/>
      <c r="BD1132" s="2867"/>
      <c r="BE1132" s="2867"/>
      <c r="BF1132" s="2867"/>
      <c r="BG1132" s="2867"/>
      <c r="BH1132" s="2867"/>
      <c r="BI1132" s="2867"/>
      <c r="BJ1132" s="2867"/>
      <c r="BK1132" s="2867"/>
      <c r="BL1132" s="2867"/>
      <c r="BM1132" s="2867"/>
      <c r="BN1132" s="2867"/>
      <c r="BO1132" s="2867"/>
      <c r="BP1132" s="2867"/>
      <c r="BQ1132" s="2867"/>
      <c r="BR1132" s="2867"/>
      <c r="BS1132" s="2867"/>
      <c r="BT1132" s="2867"/>
      <c r="BU1132" s="2867"/>
      <c r="BV1132" s="2867"/>
      <c r="BW1132" s="2867"/>
      <c r="BX1132" s="2867"/>
      <c r="BY1132" s="2867"/>
      <c r="BZ1132" s="2867"/>
      <c r="CA1132" s="2867"/>
      <c r="CB1132" s="2867"/>
      <c r="CC1132" s="2867"/>
      <c r="CD1132" s="2867"/>
      <c r="CE1132" s="2867"/>
      <c r="CF1132" s="2867"/>
      <c r="CG1132" s="2867"/>
      <c r="CH1132" s="2867"/>
      <c r="CI1132" s="2867"/>
      <c r="CJ1132" s="2867"/>
      <c r="CK1132" s="2867"/>
      <c r="CL1132" s="2867"/>
      <c r="CM1132" s="2867"/>
      <c r="CN1132" s="2867"/>
      <c r="CO1132" s="2867"/>
      <c r="CP1132" s="2867"/>
      <c r="CQ1132" s="2867"/>
      <c r="CR1132" s="2867"/>
      <c r="CS1132" s="2867"/>
      <c r="CT1132" s="2867"/>
      <c r="CU1132" s="2867"/>
      <c r="CV1132" s="2867"/>
      <c r="CW1132" s="2867"/>
    </row>
    <row r="1133" spans="1:101">
      <c r="A1133" s="2867"/>
      <c r="B1133" s="2867"/>
      <c r="C1133" s="2867"/>
      <c r="D1133" s="2867"/>
      <c r="E1133" s="2867"/>
      <c r="F1133" s="2867"/>
      <c r="G1133" s="2867"/>
      <c r="H1133" s="2867"/>
      <c r="I1133" s="2867"/>
      <c r="J1133" s="2867"/>
      <c r="K1133" s="2867"/>
      <c r="L1133" s="2867"/>
      <c r="M1133" s="2867"/>
      <c r="O1133" s="2867"/>
      <c r="P1133" s="2867"/>
      <c r="Q1133" s="2867"/>
      <c r="R1133" s="2867"/>
      <c r="S1133" s="2867"/>
      <c r="T1133" s="2867"/>
      <c r="U1133" s="2867"/>
      <c r="V1133" s="2867"/>
      <c r="W1133" s="2867"/>
      <c r="X1133" s="2867"/>
      <c r="Y1133" s="2867"/>
      <c r="Z1133" s="2867"/>
      <c r="AA1133" s="2867"/>
      <c r="AB1133" s="2867"/>
      <c r="AC1133" s="2867"/>
      <c r="AD1133" s="2867"/>
      <c r="AE1133" s="2867"/>
      <c r="AF1133" s="2867"/>
      <c r="AG1133" s="2867"/>
      <c r="AH1133" s="2867"/>
      <c r="AI1133" s="2867"/>
      <c r="AJ1133" s="2867"/>
      <c r="AK1133" s="2867"/>
      <c r="AL1133" s="2867"/>
      <c r="AM1133" s="2867"/>
      <c r="AN1133" s="2867"/>
      <c r="AO1133" s="2867"/>
      <c r="AP1133" s="2867"/>
      <c r="AQ1133" s="2867"/>
      <c r="AR1133" s="2867"/>
      <c r="AS1133" s="2867"/>
      <c r="AT1133" s="2867"/>
      <c r="AU1133" s="2867"/>
      <c r="AV1133" s="2867"/>
      <c r="AW1133" s="2867"/>
      <c r="AX1133" s="2867"/>
      <c r="AY1133" s="2867"/>
      <c r="AZ1133" s="2867"/>
      <c r="BA1133" s="2867"/>
      <c r="BB1133" s="2867"/>
      <c r="BC1133" s="2867"/>
      <c r="BD1133" s="2867"/>
      <c r="BE1133" s="2867"/>
      <c r="BF1133" s="2867"/>
      <c r="BG1133" s="2867"/>
      <c r="BH1133" s="2867"/>
      <c r="BI1133" s="2867"/>
      <c r="BJ1133" s="2867"/>
      <c r="BK1133" s="2867"/>
      <c r="BL1133" s="2867"/>
      <c r="BM1133" s="2867"/>
      <c r="BN1133" s="2867"/>
      <c r="BO1133" s="2867"/>
      <c r="BP1133" s="2867"/>
      <c r="BQ1133" s="2867"/>
      <c r="BR1133" s="2867"/>
      <c r="BS1133" s="2867"/>
      <c r="BT1133" s="2867"/>
      <c r="BU1133" s="2867"/>
      <c r="BV1133" s="2867"/>
      <c r="BW1133" s="2867"/>
      <c r="BX1133" s="2867"/>
      <c r="BY1133" s="2867"/>
      <c r="BZ1133" s="2867"/>
      <c r="CA1133" s="2867"/>
      <c r="CB1133" s="2867"/>
      <c r="CC1133" s="2867"/>
      <c r="CD1133" s="2867"/>
      <c r="CE1133" s="2867"/>
      <c r="CF1133" s="2867"/>
      <c r="CG1133" s="2867"/>
      <c r="CH1133" s="2867"/>
      <c r="CI1133" s="2867"/>
      <c r="CJ1133" s="2867"/>
      <c r="CK1133" s="2867"/>
      <c r="CL1133" s="2867"/>
      <c r="CM1133" s="2867"/>
      <c r="CN1133" s="2867"/>
      <c r="CO1133" s="2867"/>
      <c r="CP1133" s="2867"/>
      <c r="CQ1133" s="2867"/>
      <c r="CR1133" s="2867"/>
      <c r="CS1133" s="2867"/>
      <c r="CT1133" s="2867"/>
      <c r="CU1133" s="2867"/>
      <c r="CV1133" s="2867"/>
      <c r="CW1133" s="2867"/>
    </row>
    <row r="1134" spans="1:101">
      <c r="A1134" s="2867"/>
      <c r="B1134" s="2867"/>
      <c r="C1134" s="2867"/>
      <c r="D1134" s="2867"/>
      <c r="E1134" s="2867"/>
      <c r="F1134" s="2867"/>
      <c r="G1134" s="2867"/>
      <c r="H1134" s="2867"/>
      <c r="I1134" s="2867"/>
      <c r="J1134" s="2867"/>
      <c r="K1134" s="2867"/>
      <c r="L1134" s="2867"/>
      <c r="M1134" s="2867"/>
      <c r="O1134" s="2867"/>
      <c r="P1134" s="2867"/>
      <c r="Q1134" s="2867"/>
      <c r="R1134" s="2867"/>
      <c r="S1134" s="2867"/>
      <c r="T1134" s="2867"/>
      <c r="U1134" s="2867"/>
      <c r="V1134" s="2867"/>
      <c r="W1134" s="2867"/>
      <c r="X1134" s="2867"/>
      <c r="Y1134" s="2867"/>
      <c r="Z1134" s="2867"/>
      <c r="AA1134" s="2867"/>
      <c r="AB1134" s="2867"/>
      <c r="AC1134" s="2867"/>
      <c r="AD1134" s="2867"/>
      <c r="AE1134" s="2867"/>
      <c r="AF1134" s="2867"/>
      <c r="AG1134" s="2867"/>
      <c r="AH1134" s="2867"/>
      <c r="AI1134" s="2867"/>
      <c r="AJ1134" s="2867"/>
      <c r="AK1134" s="2867"/>
      <c r="AL1134" s="2867"/>
      <c r="AM1134" s="2867"/>
      <c r="AN1134" s="2867"/>
      <c r="AO1134" s="2867"/>
      <c r="AP1134" s="2867"/>
      <c r="AQ1134" s="2867"/>
      <c r="AR1134" s="2867"/>
      <c r="AS1134" s="2867"/>
      <c r="AT1134" s="2867"/>
      <c r="AU1134" s="2867"/>
      <c r="AV1134" s="2867"/>
      <c r="AW1134" s="2867"/>
      <c r="AX1134" s="2867"/>
      <c r="AY1134" s="2867"/>
      <c r="AZ1134" s="2867"/>
      <c r="BA1134" s="2867"/>
      <c r="BB1134" s="2867"/>
      <c r="BC1134" s="2867"/>
      <c r="BD1134" s="2867"/>
      <c r="BE1134" s="2867"/>
      <c r="BF1134" s="2867"/>
      <c r="BG1134" s="2867"/>
      <c r="BH1134" s="2867"/>
      <c r="BI1134" s="2867"/>
      <c r="BJ1134" s="2867"/>
      <c r="BK1134" s="2867"/>
      <c r="BL1134" s="2867"/>
      <c r="BM1134" s="2867"/>
      <c r="BN1134" s="2867"/>
      <c r="BO1134" s="2867"/>
      <c r="BP1134" s="2867"/>
      <c r="BQ1134" s="2867"/>
      <c r="BR1134" s="2867"/>
      <c r="BS1134" s="2867"/>
      <c r="BT1134" s="2867"/>
      <c r="BU1134" s="2867"/>
      <c r="BV1134" s="2867"/>
      <c r="BW1134" s="2867"/>
      <c r="BX1134" s="2867"/>
      <c r="BY1134" s="2867"/>
      <c r="BZ1134" s="2867"/>
      <c r="CA1134" s="2867"/>
      <c r="CB1134" s="2867"/>
      <c r="CC1134" s="2867"/>
      <c r="CD1134" s="2867"/>
      <c r="CE1134" s="2867"/>
      <c r="CF1134" s="2867"/>
      <c r="CG1134" s="2867"/>
      <c r="CH1134" s="2867"/>
      <c r="CI1134" s="2867"/>
      <c r="CJ1134" s="2867"/>
      <c r="CK1134" s="2867"/>
      <c r="CL1134" s="2867"/>
      <c r="CM1134" s="2867"/>
      <c r="CN1134" s="2867"/>
      <c r="CO1134" s="2867"/>
      <c r="CP1134" s="2867"/>
      <c r="CQ1134" s="2867"/>
      <c r="CR1134" s="2867"/>
      <c r="CS1134" s="2867"/>
      <c r="CT1134" s="2867"/>
      <c r="CU1134" s="2867"/>
      <c r="CV1134" s="2867"/>
      <c r="CW1134" s="2867"/>
    </row>
    <row r="1135" spans="1:101">
      <c r="A1135" s="2867"/>
      <c r="B1135" s="2867"/>
      <c r="C1135" s="2867"/>
      <c r="D1135" s="2867"/>
      <c r="E1135" s="2867"/>
      <c r="F1135" s="2867"/>
      <c r="G1135" s="2867"/>
      <c r="H1135" s="2867"/>
      <c r="I1135" s="2867"/>
      <c r="J1135" s="2867"/>
      <c r="K1135" s="2867"/>
      <c r="L1135" s="2867"/>
      <c r="M1135" s="2867"/>
      <c r="O1135" s="2867"/>
      <c r="P1135" s="2867"/>
      <c r="Q1135" s="2867"/>
      <c r="R1135" s="2867"/>
      <c r="S1135" s="2867"/>
      <c r="T1135" s="2867"/>
      <c r="U1135" s="2867"/>
      <c r="V1135" s="2867"/>
      <c r="W1135" s="2867"/>
      <c r="X1135" s="2867"/>
      <c r="Y1135" s="2867"/>
      <c r="Z1135" s="2867"/>
      <c r="AA1135" s="2867"/>
      <c r="AB1135" s="2867"/>
      <c r="AC1135" s="2867"/>
      <c r="AD1135" s="2867"/>
      <c r="AE1135" s="2867"/>
      <c r="AF1135" s="2867"/>
      <c r="AG1135" s="2867"/>
      <c r="AH1135" s="2867"/>
      <c r="AI1135" s="2867"/>
      <c r="AJ1135" s="2867"/>
      <c r="AK1135" s="2867"/>
      <c r="AL1135" s="2867"/>
      <c r="AM1135" s="2867"/>
      <c r="AN1135" s="2867"/>
      <c r="AO1135" s="2867"/>
      <c r="AP1135" s="2867"/>
      <c r="AQ1135" s="2867"/>
      <c r="AR1135" s="2867"/>
      <c r="AS1135" s="2867"/>
      <c r="AT1135" s="2867"/>
      <c r="AU1135" s="2867"/>
      <c r="AV1135" s="2867"/>
      <c r="AW1135" s="2867"/>
      <c r="AX1135" s="2867"/>
      <c r="AY1135" s="2867"/>
      <c r="AZ1135" s="2867"/>
      <c r="BA1135" s="2867"/>
      <c r="BB1135" s="2867"/>
      <c r="BC1135" s="2867"/>
      <c r="BD1135" s="2867"/>
      <c r="BE1135" s="2867"/>
      <c r="BF1135" s="2867"/>
      <c r="BG1135" s="2867"/>
      <c r="BH1135" s="2867"/>
      <c r="BI1135" s="2867"/>
      <c r="BJ1135" s="2867"/>
      <c r="BK1135" s="2867"/>
      <c r="BL1135" s="2867"/>
      <c r="BM1135" s="2867"/>
      <c r="BN1135" s="2867"/>
      <c r="BO1135" s="2867"/>
      <c r="BP1135" s="2867"/>
      <c r="BQ1135" s="2867"/>
      <c r="BR1135" s="2867"/>
      <c r="BS1135" s="2867"/>
      <c r="BT1135" s="2867"/>
      <c r="BU1135" s="2867"/>
      <c r="BV1135" s="2867"/>
      <c r="BW1135" s="2867"/>
      <c r="BX1135" s="2867"/>
      <c r="BY1135" s="2867"/>
      <c r="BZ1135" s="2867"/>
      <c r="CA1135" s="2867"/>
      <c r="CB1135" s="2867"/>
      <c r="CC1135" s="2867"/>
      <c r="CD1135" s="2867"/>
      <c r="CE1135" s="2867"/>
      <c r="CF1135" s="2867"/>
      <c r="CG1135" s="2867"/>
      <c r="CH1135" s="2867"/>
      <c r="CI1135" s="2867"/>
      <c r="CJ1135" s="2867"/>
      <c r="CK1135" s="2867"/>
      <c r="CL1135" s="2867"/>
      <c r="CM1135" s="2867"/>
      <c r="CN1135" s="2867"/>
      <c r="CO1135" s="2867"/>
      <c r="CP1135" s="2867"/>
      <c r="CQ1135" s="2867"/>
      <c r="CR1135" s="2867"/>
      <c r="CS1135" s="2867"/>
      <c r="CT1135" s="2867"/>
      <c r="CU1135" s="2867"/>
      <c r="CV1135" s="2867"/>
      <c r="CW1135" s="2867"/>
    </row>
    <row r="1136" spans="1:101">
      <c r="A1136" s="2867"/>
      <c r="B1136" s="2867"/>
      <c r="C1136" s="2867"/>
      <c r="D1136" s="2867"/>
      <c r="E1136" s="2867"/>
      <c r="F1136" s="2867"/>
      <c r="G1136" s="2867"/>
      <c r="H1136" s="2867"/>
      <c r="I1136" s="2867"/>
      <c r="J1136" s="2867"/>
      <c r="K1136" s="2867"/>
      <c r="L1136" s="2867"/>
      <c r="M1136" s="2867"/>
      <c r="O1136" s="2867"/>
      <c r="P1136" s="2867"/>
      <c r="Q1136" s="2867"/>
      <c r="R1136" s="2867"/>
      <c r="S1136" s="2867"/>
      <c r="T1136" s="2867"/>
      <c r="U1136" s="2867"/>
      <c r="V1136" s="2867"/>
      <c r="W1136" s="2867"/>
      <c r="X1136" s="2867"/>
      <c r="Y1136" s="2867"/>
      <c r="Z1136" s="2867"/>
      <c r="AA1136" s="2867"/>
      <c r="AB1136" s="2867"/>
      <c r="AC1136" s="2867"/>
      <c r="AD1136" s="2867"/>
      <c r="AE1136" s="2867"/>
      <c r="AF1136" s="2867"/>
      <c r="AG1136" s="2867"/>
      <c r="AH1136" s="2867"/>
      <c r="AI1136" s="2867"/>
      <c r="AJ1136" s="2867"/>
      <c r="AK1136" s="2867"/>
      <c r="AL1136" s="2867"/>
      <c r="AM1136" s="2867"/>
      <c r="AN1136" s="2867"/>
      <c r="AO1136" s="2867"/>
      <c r="AP1136" s="2867"/>
      <c r="AQ1136" s="2867"/>
      <c r="AR1136" s="2867"/>
      <c r="AS1136" s="2867"/>
      <c r="AT1136" s="2867"/>
      <c r="AU1136" s="2867"/>
      <c r="AV1136" s="2867"/>
      <c r="AW1136" s="2867"/>
      <c r="AX1136" s="2867"/>
      <c r="AY1136" s="2867"/>
      <c r="AZ1136" s="2867"/>
      <c r="BA1136" s="2867"/>
      <c r="BB1136" s="2867"/>
      <c r="BC1136" s="2867"/>
      <c r="BD1136" s="2867"/>
      <c r="BE1136" s="2867"/>
      <c r="BF1136" s="2867"/>
      <c r="BG1136" s="2867"/>
      <c r="BH1136" s="2867"/>
      <c r="BI1136" s="2867"/>
      <c r="BJ1136" s="2867"/>
      <c r="BK1136" s="2867"/>
      <c r="BL1136" s="2867"/>
      <c r="BM1136" s="2867"/>
      <c r="BN1136" s="2867"/>
      <c r="BO1136" s="2867"/>
      <c r="BP1136" s="2867"/>
      <c r="BQ1136" s="2867"/>
      <c r="BR1136" s="2867"/>
      <c r="BS1136" s="2867"/>
      <c r="BT1136" s="2867"/>
      <c r="BU1136" s="2867"/>
      <c r="BV1136" s="2867"/>
      <c r="BW1136" s="2867"/>
      <c r="BX1136" s="2867"/>
      <c r="BY1136" s="2867"/>
      <c r="BZ1136" s="2867"/>
      <c r="CA1136" s="2867"/>
      <c r="CB1136" s="2867"/>
      <c r="CC1136" s="2867"/>
      <c r="CD1136" s="2867"/>
      <c r="CE1136" s="2867"/>
      <c r="CF1136" s="2867"/>
      <c r="CG1136" s="2867"/>
      <c r="CH1136" s="2867"/>
      <c r="CI1136" s="2867"/>
      <c r="CJ1136" s="2867"/>
      <c r="CK1136" s="2867"/>
      <c r="CL1136" s="2867"/>
      <c r="CM1136" s="2867"/>
      <c r="CN1136" s="2867"/>
      <c r="CO1136" s="2867"/>
      <c r="CP1136" s="2867"/>
      <c r="CQ1136" s="2867"/>
      <c r="CR1136" s="2867"/>
      <c r="CS1136" s="2867"/>
      <c r="CT1136" s="2867"/>
      <c r="CU1136" s="2867"/>
      <c r="CV1136" s="2867"/>
      <c r="CW1136" s="2867"/>
    </row>
    <row r="1137" spans="1:101">
      <c r="A1137" s="2867"/>
      <c r="B1137" s="2867"/>
      <c r="C1137" s="2867"/>
      <c r="D1137" s="2867"/>
      <c r="E1137" s="2867"/>
      <c r="F1137" s="2867"/>
      <c r="G1137" s="2867"/>
      <c r="H1137" s="2867"/>
      <c r="I1137" s="2867"/>
      <c r="J1137" s="2867"/>
      <c r="K1137" s="2867"/>
      <c r="L1137" s="2867"/>
      <c r="M1137" s="2867"/>
      <c r="O1137" s="2867"/>
      <c r="P1137" s="2867"/>
      <c r="Q1137" s="2867"/>
      <c r="R1137" s="2867"/>
      <c r="S1137" s="2867"/>
      <c r="T1137" s="2867"/>
      <c r="U1137" s="2867"/>
      <c r="V1137" s="2867"/>
      <c r="W1137" s="2867"/>
      <c r="X1137" s="2867"/>
      <c r="Y1137" s="2867"/>
      <c r="Z1137" s="2867"/>
      <c r="AA1137" s="2867"/>
      <c r="AB1137" s="2867"/>
      <c r="AC1137" s="2867"/>
      <c r="AD1137" s="2867"/>
      <c r="AE1137" s="2867"/>
      <c r="AF1137" s="2867"/>
      <c r="AG1137" s="2867"/>
      <c r="AH1137" s="2867"/>
      <c r="AI1137" s="2867"/>
      <c r="AJ1137" s="2867"/>
      <c r="AK1137" s="2867"/>
      <c r="AL1137" s="2867"/>
      <c r="AM1137" s="2867"/>
      <c r="AN1137" s="2867"/>
      <c r="AO1137" s="2867"/>
      <c r="AP1137" s="2867"/>
      <c r="AQ1137" s="2867"/>
      <c r="AR1137" s="2867"/>
      <c r="AS1137" s="2867"/>
      <c r="AT1137" s="2867"/>
      <c r="AU1137" s="2867"/>
      <c r="AV1137" s="2867"/>
      <c r="AW1137" s="2867"/>
      <c r="AX1137" s="2867"/>
      <c r="AY1137" s="2867"/>
      <c r="AZ1137" s="2867"/>
      <c r="BA1137" s="2867"/>
      <c r="BB1137" s="2867"/>
      <c r="BC1137" s="2867"/>
      <c r="BD1137" s="2867"/>
      <c r="BE1137" s="2867"/>
      <c r="BF1137" s="2867"/>
      <c r="BG1137" s="2867"/>
      <c r="BH1137" s="2867"/>
      <c r="BI1137" s="2867"/>
      <c r="BJ1137" s="2867"/>
      <c r="BK1137" s="2867"/>
      <c r="BL1137" s="2867"/>
      <c r="BM1137" s="2867"/>
      <c r="BN1137" s="2867"/>
      <c r="BO1137" s="2867"/>
      <c r="BP1137" s="2867"/>
      <c r="BQ1137" s="2867"/>
      <c r="BR1137" s="2867"/>
      <c r="BS1137" s="2867"/>
      <c r="BT1137" s="2867"/>
      <c r="BU1137" s="2867"/>
      <c r="BV1137" s="2867"/>
      <c r="BW1137" s="2867"/>
      <c r="BX1137" s="2867"/>
      <c r="BY1137" s="2867"/>
      <c r="BZ1137" s="2867"/>
      <c r="CA1137" s="2867"/>
      <c r="CB1137" s="2867"/>
      <c r="CC1137" s="2867"/>
      <c r="CD1137" s="2867"/>
      <c r="CE1137" s="2867"/>
      <c r="CF1137" s="2867"/>
      <c r="CG1137" s="2867"/>
      <c r="CH1137" s="2867"/>
      <c r="CI1137" s="2867"/>
      <c r="CJ1137" s="2867"/>
      <c r="CK1137" s="2867"/>
      <c r="CL1137" s="2867"/>
      <c r="CM1137" s="2867"/>
      <c r="CN1137" s="2867"/>
      <c r="CO1137" s="2867"/>
      <c r="CP1137" s="2867"/>
      <c r="CQ1137" s="2867"/>
      <c r="CR1137" s="2867"/>
      <c r="CS1137" s="2867"/>
      <c r="CT1137" s="2867"/>
      <c r="CU1137" s="2867"/>
      <c r="CV1137" s="2867"/>
      <c r="CW1137" s="2867"/>
    </row>
    <row r="1138" spans="1:101">
      <c r="A1138" s="2867"/>
      <c r="B1138" s="2867"/>
      <c r="C1138" s="2867"/>
      <c r="D1138" s="2867"/>
      <c r="E1138" s="2867"/>
      <c r="F1138" s="2867"/>
      <c r="G1138" s="2867"/>
      <c r="H1138" s="2867"/>
      <c r="I1138" s="2867"/>
      <c r="J1138" s="2867"/>
      <c r="K1138" s="2867"/>
      <c r="L1138" s="2867"/>
      <c r="M1138" s="2867"/>
      <c r="O1138" s="2867"/>
      <c r="P1138" s="2867"/>
      <c r="Q1138" s="2867"/>
      <c r="R1138" s="2867"/>
      <c r="S1138" s="2867"/>
      <c r="T1138" s="2867"/>
      <c r="U1138" s="2867"/>
      <c r="V1138" s="2867"/>
      <c r="W1138" s="2867"/>
      <c r="X1138" s="2867"/>
      <c r="Y1138" s="2867"/>
      <c r="Z1138" s="2867"/>
      <c r="AA1138" s="2867"/>
      <c r="AB1138" s="2867"/>
      <c r="AC1138" s="2867"/>
      <c r="AD1138" s="2867"/>
      <c r="AE1138" s="2867"/>
      <c r="AF1138" s="2867"/>
      <c r="AG1138" s="2867"/>
      <c r="AH1138" s="2867"/>
      <c r="AI1138" s="2867"/>
      <c r="AJ1138" s="2867"/>
      <c r="AK1138" s="2867"/>
      <c r="AL1138" s="2867"/>
      <c r="AM1138" s="2867"/>
      <c r="AN1138" s="2867"/>
      <c r="AO1138" s="2867"/>
      <c r="AP1138" s="2867"/>
      <c r="AQ1138" s="2867"/>
      <c r="AR1138" s="2867"/>
      <c r="AS1138" s="2867"/>
      <c r="AT1138" s="2867"/>
      <c r="AU1138" s="2867"/>
      <c r="AV1138" s="2867"/>
      <c r="AW1138" s="2867"/>
      <c r="AX1138" s="2867"/>
      <c r="AY1138" s="2867"/>
      <c r="AZ1138" s="2867"/>
      <c r="BA1138" s="2867"/>
      <c r="BB1138" s="2867"/>
      <c r="BC1138" s="2867"/>
      <c r="BD1138" s="2867"/>
      <c r="BE1138" s="2867"/>
      <c r="BF1138" s="2867"/>
      <c r="BG1138" s="2867"/>
      <c r="BH1138" s="2867"/>
      <c r="BI1138" s="2867"/>
      <c r="BJ1138" s="2867"/>
      <c r="BK1138" s="2867"/>
      <c r="BL1138" s="2867"/>
      <c r="BM1138" s="2867"/>
      <c r="BN1138" s="2867"/>
      <c r="BO1138" s="2867"/>
      <c r="BP1138" s="2867"/>
      <c r="BQ1138" s="2867"/>
      <c r="BR1138" s="2867"/>
      <c r="BS1138" s="2867"/>
      <c r="BT1138" s="2867"/>
      <c r="BU1138" s="2867"/>
      <c r="BV1138" s="2867"/>
      <c r="BW1138" s="2867"/>
      <c r="BX1138" s="2867"/>
      <c r="BY1138" s="2867"/>
      <c r="BZ1138" s="2867"/>
      <c r="CA1138" s="2867"/>
      <c r="CB1138" s="2867"/>
      <c r="CC1138" s="2867"/>
      <c r="CD1138" s="2867"/>
      <c r="CE1138" s="2867"/>
      <c r="CF1138" s="2867"/>
      <c r="CG1138" s="2867"/>
      <c r="CH1138" s="2867"/>
      <c r="CI1138" s="2867"/>
      <c r="CJ1138" s="2867"/>
      <c r="CK1138" s="2867"/>
      <c r="CL1138" s="2867"/>
      <c r="CM1138" s="2867"/>
      <c r="CN1138" s="2867"/>
      <c r="CO1138" s="2867"/>
      <c r="CP1138" s="2867"/>
      <c r="CQ1138" s="2867"/>
      <c r="CR1138" s="2867"/>
      <c r="CS1138" s="2867"/>
      <c r="CT1138" s="2867"/>
      <c r="CU1138" s="2867"/>
      <c r="CV1138" s="2867"/>
      <c r="CW1138" s="2867"/>
    </row>
    <row r="1139" spans="1:101">
      <c r="A1139" s="2867"/>
      <c r="B1139" s="2867"/>
      <c r="C1139" s="2867"/>
      <c r="D1139" s="2867"/>
      <c r="E1139" s="2867"/>
      <c r="F1139" s="2867"/>
      <c r="G1139" s="2867"/>
      <c r="H1139" s="2867"/>
      <c r="I1139" s="2867"/>
      <c r="J1139" s="2867"/>
      <c r="K1139" s="2867"/>
      <c r="L1139" s="2867"/>
      <c r="M1139" s="2867"/>
      <c r="O1139" s="2867"/>
      <c r="P1139" s="2867"/>
      <c r="Q1139" s="2867"/>
      <c r="R1139" s="2867"/>
      <c r="S1139" s="2867"/>
      <c r="T1139" s="2867"/>
      <c r="U1139" s="2867"/>
      <c r="V1139" s="2867"/>
      <c r="W1139" s="2867"/>
      <c r="X1139" s="2867"/>
      <c r="Y1139" s="2867"/>
      <c r="Z1139" s="2867"/>
      <c r="AA1139" s="2867"/>
      <c r="AB1139" s="2867"/>
      <c r="AC1139" s="2867"/>
      <c r="AD1139" s="2867"/>
      <c r="AE1139" s="2867"/>
      <c r="AF1139" s="2867"/>
      <c r="AG1139" s="2867"/>
      <c r="AH1139" s="2867"/>
      <c r="AI1139" s="2867"/>
      <c r="AJ1139" s="2867"/>
      <c r="AK1139" s="2867"/>
      <c r="AL1139" s="2867"/>
      <c r="AM1139" s="2867"/>
      <c r="AN1139" s="2867"/>
      <c r="AO1139" s="2867"/>
      <c r="AP1139" s="2867"/>
      <c r="AQ1139" s="2867"/>
      <c r="AR1139" s="2867"/>
      <c r="AS1139" s="2867"/>
      <c r="AT1139" s="2867"/>
      <c r="AU1139" s="2867"/>
      <c r="AV1139" s="2867"/>
      <c r="AW1139" s="2867"/>
      <c r="AX1139" s="2867"/>
      <c r="AY1139" s="2867"/>
      <c r="AZ1139" s="2867"/>
      <c r="BA1139" s="2867"/>
      <c r="BB1139" s="2867"/>
      <c r="BC1139" s="2867"/>
      <c r="BD1139" s="2867"/>
      <c r="BE1139" s="2867"/>
      <c r="BF1139" s="2867"/>
      <c r="BG1139" s="2867"/>
      <c r="BH1139" s="2867"/>
      <c r="BI1139" s="2867"/>
      <c r="BJ1139" s="2867"/>
      <c r="BK1139" s="2867"/>
      <c r="BL1139" s="2867"/>
      <c r="BM1139" s="2867"/>
      <c r="BN1139" s="2867"/>
      <c r="BO1139" s="2867"/>
      <c r="BP1139" s="2867"/>
      <c r="BQ1139" s="2867"/>
      <c r="BR1139" s="2867"/>
      <c r="BS1139" s="2867"/>
      <c r="BT1139" s="2867"/>
      <c r="BU1139" s="2867"/>
      <c r="BV1139" s="2867"/>
      <c r="BW1139" s="2867"/>
      <c r="BX1139" s="2867"/>
      <c r="BY1139" s="2867"/>
      <c r="BZ1139" s="2867"/>
      <c r="CA1139" s="2867"/>
      <c r="CB1139" s="2867"/>
      <c r="CC1139" s="2867"/>
      <c r="CD1139" s="2867"/>
      <c r="CE1139" s="2867"/>
      <c r="CF1139" s="2867"/>
      <c r="CG1139" s="2867"/>
      <c r="CH1139" s="2867"/>
      <c r="CI1139" s="2867"/>
      <c r="CJ1139" s="2867"/>
      <c r="CK1139" s="2867"/>
      <c r="CL1139" s="2867"/>
      <c r="CM1139" s="2867"/>
      <c r="CN1139" s="2867"/>
      <c r="CO1139" s="2867"/>
      <c r="CP1139" s="2867"/>
      <c r="CQ1139" s="2867"/>
      <c r="CR1139" s="2867"/>
      <c r="CS1139" s="2867"/>
      <c r="CT1139" s="2867"/>
      <c r="CU1139" s="2867"/>
      <c r="CV1139" s="2867"/>
      <c r="CW1139" s="2867"/>
    </row>
    <row r="1140" spans="1:101">
      <c r="A1140" s="2867"/>
      <c r="B1140" s="2867"/>
      <c r="C1140" s="2867"/>
      <c r="D1140" s="2867"/>
      <c r="E1140" s="2867"/>
      <c r="F1140" s="2867"/>
      <c r="G1140" s="2867"/>
      <c r="H1140" s="2867"/>
      <c r="I1140" s="2867"/>
      <c r="J1140" s="2867"/>
      <c r="K1140" s="2867"/>
      <c r="L1140" s="2867"/>
      <c r="M1140" s="2867"/>
      <c r="O1140" s="2867"/>
      <c r="P1140" s="2867"/>
      <c r="Q1140" s="2867"/>
      <c r="R1140" s="2867"/>
      <c r="S1140" s="2867"/>
      <c r="T1140" s="2867"/>
      <c r="U1140" s="2867"/>
      <c r="V1140" s="2867"/>
      <c r="W1140" s="2867"/>
      <c r="X1140" s="2867"/>
      <c r="Y1140" s="2867"/>
      <c r="Z1140" s="2867"/>
      <c r="AA1140" s="2867"/>
      <c r="AB1140" s="2867"/>
      <c r="AC1140" s="2867"/>
      <c r="AD1140" s="2867"/>
      <c r="AE1140" s="2867"/>
      <c r="AF1140" s="2867"/>
      <c r="AG1140" s="2867"/>
      <c r="AH1140" s="2867"/>
      <c r="AI1140" s="2867"/>
      <c r="AJ1140" s="2867"/>
      <c r="AK1140" s="2867"/>
      <c r="AL1140" s="2867"/>
      <c r="AM1140" s="2867"/>
      <c r="AN1140" s="2867"/>
      <c r="AO1140" s="2867"/>
      <c r="AP1140" s="2867"/>
      <c r="AQ1140" s="2867"/>
      <c r="AR1140" s="2867"/>
      <c r="AS1140" s="2867"/>
      <c r="AT1140" s="2867"/>
      <c r="AU1140" s="2867"/>
      <c r="AV1140" s="2867"/>
      <c r="AW1140" s="2867"/>
      <c r="AX1140" s="2867"/>
      <c r="AY1140" s="2867"/>
      <c r="AZ1140" s="2867"/>
      <c r="BA1140" s="2867"/>
      <c r="BB1140" s="2867"/>
      <c r="BC1140" s="2867"/>
      <c r="BD1140" s="2867"/>
      <c r="BE1140" s="2867"/>
      <c r="BF1140" s="2867"/>
      <c r="BG1140" s="2867"/>
      <c r="BH1140" s="2867"/>
      <c r="BI1140" s="2867"/>
      <c r="BJ1140" s="2867"/>
      <c r="BK1140" s="2867"/>
      <c r="BL1140" s="2867"/>
      <c r="BM1140" s="2867"/>
      <c r="BN1140" s="2867"/>
      <c r="BO1140" s="2867"/>
      <c r="BP1140" s="2867"/>
      <c r="BQ1140" s="2867"/>
      <c r="BR1140" s="2867"/>
      <c r="BS1140" s="2867"/>
      <c r="BT1140" s="2867"/>
      <c r="BU1140" s="2867"/>
      <c r="BV1140" s="2867"/>
      <c r="BW1140" s="2867"/>
      <c r="BX1140" s="2867"/>
      <c r="BY1140" s="2867"/>
      <c r="BZ1140" s="2867"/>
      <c r="CA1140" s="2867"/>
      <c r="CB1140" s="2867"/>
      <c r="CC1140" s="2867"/>
      <c r="CD1140" s="2867"/>
      <c r="CE1140" s="2867"/>
      <c r="CF1140" s="2867"/>
      <c r="CG1140" s="2867"/>
      <c r="CH1140" s="2867"/>
      <c r="CI1140" s="2867"/>
      <c r="CJ1140" s="2867"/>
      <c r="CK1140" s="2867"/>
      <c r="CL1140" s="2867"/>
      <c r="CM1140" s="2867"/>
      <c r="CN1140" s="2867"/>
      <c r="CO1140" s="2867"/>
      <c r="CP1140" s="2867"/>
      <c r="CQ1140" s="2867"/>
      <c r="CR1140" s="2867"/>
      <c r="CS1140" s="2867"/>
      <c r="CT1140" s="2867"/>
      <c r="CU1140" s="2867"/>
      <c r="CV1140" s="2867"/>
      <c r="CW1140" s="2867"/>
    </row>
    <row r="1141" spans="1:101">
      <c r="A1141" s="2867"/>
      <c r="B1141" s="2867"/>
      <c r="C1141" s="2867"/>
      <c r="D1141" s="2867"/>
      <c r="E1141" s="2867"/>
      <c r="F1141" s="2867"/>
      <c r="G1141" s="2867"/>
      <c r="H1141" s="2867"/>
      <c r="I1141" s="2867"/>
      <c r="J1141" s="2867"/>
      <c r="K1141" s="2867"/>
      <c r="L1141" s="2867"/>
      <c r="M1141" s="2867"/>
      <c r="O1141" s="2867"/>
      <c r="P1141" s="2867"/>
      <c r="Q1141" s="2867"/>
      <c r="R1141" s="2867"/>
      <c r="S1141" s="2867"/>
      <c r="T1141" s="2867"/>
      <c r="U1141" s="2867"/>
      <c r="V1141" s="2867"/>
      <c r="W1141" s="2867"/>
      <c r="X1141" s="2867"/>
      <c r="Y1141" s="2867"/>
      <c r="Z1141" s="2867"/>
      <c r="AA1141" s="2867"/>
      <c r="AB1141" s="2867"/>
      <c r="AC1141" s="2867"/>
      <c r="AD1141" s="2867"/>
      <c r="AE1141" s="2867"/>
      <c r="AF1141" s="2867"/>
      <c r="AG1141" s="2867"/>
      <c r="AH1141" s="2867"/>
      <c r="AI1141" s="2867"/>
      <c r="AJ1141" s="2867"/>
      <c r="AK1141" s="2867"/>
      <c r="AL1141" s="2867"/>
      <c r="AM1141" s="2867"/>
      <c r="AN1141" s="2867"/>
      <c r="AO1141" s="2867"/>
      <c r="AP1141" s="2867"/>
      <c r="AQ1141" s="2867"/>
      <c r="AR1141" s="2867"/>
      <c r="AS1141" s="2867"/>
      <c r="AT1141" s="2867"/>
      <c r="AU1141" s="2867"/>
      <c r="AV1141" s="2867"/>
      <c r="AW1141" s="2867"/>
      <c r="AX1141" s="2867"/>
      <c r="AY1141" s="2867"/>
      <c r="AZ1141" s="2867"/>
      <c r="BA1141" s="2867"/>
      <c r="BB1141" s="2867"/>
      <c r="BC1141" s="2867"/>
      <c r="BD1141" s="2867"/>
      <c r="BE1141" s="2867"/>
      <c r="BF1141" s="2867"/>
      <c r="BG1141" s="2867"/>
      <c r="BH1141" s="2867"/>
      <c r="BI1141" s="2867"/>
      <c r="BJ1141" s="2867"/>
      <c r="BK1141" s="2867"/>
      <c r="BL1141" s="2867"/>
      <c r="BM1141" s="2867"/>
      <c r="BN1141" s="2867"/>
      <c r="BO1141" s="2867"/>
      <c r="BP1141" s="2867"/>
      <c r="BQ1141" s="2867"/>
      <c r="BR1141" s="2867"/>
      <c r="BS1141" s="2867"/>
      <c r="BT1141" s="2867"/>
      <c r="BU1141" s="2867"/>
      <c r="BV1141" s="2867"/>
      <c r="BW1141" s="2867"/>
      <c r="BX1141" s="2867"/>
      <c r="BY1141" s="2867"/>
      <c r="BZ1141" s="2867"/>
      <c r="CA1141" s="2867"/>
      <c r="CB1141" s="2867"/>
      <c r="CC1141" s="2867"/>
      <c r="CD1141" s="2867"/>
      <c r="CE1141" s="2867"/>
      <c r="CF1141" s="2867"/>
      <c r="CG1141" s="2867"/>
      <c r="CH1141" s="2867"/>
      <c r="CI1141" s="2867"/>
      <c r="CJ1141" s="2867"/>
      <c r="CK1141" s="2867"/>
      <c r="CL1141" s="2867"/>
      <c r="CM1141" s="2867"/>
      <c r="CN1141" s="2867"/>
      <c r="CO1141" s="2867"/>
      <c r="CP1141" s="2867"/>
      <c r="CQ1141" s="2867"/>
      <c r="CR1141" s="2867"/>
      <c r="CS1141" s="2867"/>
      <c r="CT1141" s="2867"/>
      <c r="CU1141" s="2867"/>
      <c r="CV1141" s="2867"/>
      <c r="CW1141" s="2867"/>
    </row>
    <row r="1142" spans="1:101">
      <c r="A1142" s="2867"/>
      <c r="B1142" s="2867"/>
      <c r="C1142" s="2867"/>
      <c r="D1142" s="2867"/>
      <c r="E1142" s="2867"/>
      <c r="F1142" s="2867"/>
      <c r="G1142" s="2867"/>
      <c r="H1142" s="2867"/>
      <c r="I1142" s="2867"/>
      <c r="J1142" s="2867"/>
      <c r="K1142" s="2867"/>
      <c r="L1142" s="2867"/>
      <c r="M1142" s="2867"/>
      <c r="O1142" s="2867"/>
      <c r="P1142" s="2867"/>
      <c r="Q1142" s="2867"/>
      <c r="R1142" s="2867"/>
      <c r="S1142" s="2867"/>
      <c r="T1142" s="2867"/>
      <c r="U1142" s="2867"/>
      <c r="V1142" s="2867"/>
      <c r="W1142" s="2867"/>
      <c r="X1142" s="2867"/>
      <c r="Y1142" s="2867"/>
      <c r="Z1142" s="2867"/>
      <c r="AA1142" s="2867"/>
      <c r="AB1142" s="2867"/>
      <c r="AC1142" s="2867"/>
      <c r="AD1142" s="2867"/>
      <c r="AE1142" s="2867"/>
      <c r="AF1142" s="2867"/>
      <c r="AG1142" s="2867"/>
      <c r="AH1142" s="2867"/>
      <c r="AI1142" s="2867"/>
      <c r="AJ1142" s="2867"/>
      <c r="AK1142" s="2867"/>
      <c r="AL1142" s="2867"/>
      <c r="AM1142" s="2867"/>
      <c r="AN1142" s="2867"/>
      <c r="AO1142" s="2867"/>
      <c r="AP1142" s="2867"/>
      <c r="AQ1142" s="2867"/>
      <c r="AR1142" s="2867"/>
      <c r="AS1142" s="2867"/>
      <c r="AT1142" s="2867"/>
      <c r="AU1142" s="2867"/>
      <c r="AV1142" s="2867"/>
      <c r="AW1142" s="2867"/>
      <c r="AX1142" s="2867"/>
      <c r="AY1142" s="2867"/>
      <c r="AZ1142" s="2867"/>
      <c r="BA1142" s="2867"/>
      <c r="BB1142" s="2867"/>
      <c r="BC1142" s="2867"/>
      <c r="BD1142" s="2867"/>
      <c r="BE1142" s="2867"/>
      <c r="BF1142" s="2867"/>
      <c r="BG1142" s="2867"/>
      <c r="BH1142" s="2867"/>
      <c r="BI1142" s="2867"/>
      <c r="BJ1142" s="2867"/>
      <c r="BK1142" s="2867"/>
      <c r="BL1142" s="2867"/>
      <c r="BM1142" s="2867"/>
      <c r="BN1142" s="2867"/>
      <c r="BO1142" s="2867"/>
      <c r="BP1142" s="2867"/>
      <c r="BQ1142" s="2867"/>
      <c r="BR1142" s="2867"/>
      <c r="BS1142" s="2867"/>
      <c r="BT1142" s="2867"/>
      <c r="BU1142" s="2867"/>
      <c r="BV1142" s="2867"/>
      <c r="BW1142" s="2867"/>
      <c r="BX1142" s="2867"/>
      <c r="BY1142" s="2867"/>
      <c r="BZ1142" s="2867"/>
      <c r="CA1142" s="2867"/>
      <c r="CB1142" s="2867"/>
      <c r="CC1142" s="2867"/>
      <c r="CD1142" s="2867"/>
      <c r="CE1142" s="2867"/>
      <c r="CF1142" s="2867"/>
      <c r="CG1142" s="2867"/>
      <c r="CH1142" s="2867"/>
      <c r="CI1142" s="2867"/>
      <c r="CJ1142" s="2867"/>
      <c r="CK1142" s="2867"/>
      <c r="CL1142" s="2867"/>
      <c r="CM1142" s="2867"/>
      <c r="CN1142" s="2867"/>
      <c r="CO1142" s="2867"/>
      <c r="CP1142" s="2867"/>
      <c r="CQ1142" s="2867"/>
      <c r="CR1142" s="2867"/>
      <c r="CS1142" s="2867"/>
      <c r="CT1142" s="2867"/>
      <c r="CU1142" s="2867"/>
      <c r="CV1142" s="2867"/>
      <c r="CW1142" s="2867"/>
    </row>
    <row r="1143" spans="1:101">
      <c r="A1143" s="2867"/>
      <c r="B1143" s="2867"/>
      <c r="C1143" s="2867"/>
      <c r="D1143" s="2867"/>
      <c r="E1143" s="2867"/>
      <c r="F1143" s="2867"/>
      <c r="G1143" s="2867"/>
      <c r="H1143" s="2867"/>
      <c r="I1143" s="2867"/>
      <c r="J1143" s="2867"/>
      <c r="K1143" s="2867"/>
      <c r="L1143" s="2867"/>
      <c r="M1143" s="2867"/>
      <c r="O1143" s="2867"/>
      <c r="P1143" s="2867"/>
      <c r="Q1143" s="2867"/>
      <c r="R1143" s="2867"/>
      <c r="S1143" s="2867"/>
      <c r="T1143" s="2867"/>
      <c r="U1143" s="2867"/>
      <c r="V1143" s="2867"/>
      <c r="W1143" s="2867"/>
      <c r="X1143" s="2867"/>
      <c r="Y1143" s="2867"/>
      <c r="Z1143" s="2867"/>
      <c r="AA1143" s="2867"/>
      <c r="AB1143" s="2867"/>
      <c r="AC1143" s="2867"/>
      <c r="AD1143" s="2867"/>
      <c r="AE1143" s="2867"/>
      <c r="AF1143" s="2867"/>
      <c r="AG1143" s="2867"/>
      <c r="AH1143" s="2867"/>
      <c r="AI1143" s="2867"/>
      <c r="AJ1143" s="2867"/>
      <c r="AK1143" s="2867"/>
      <c r="AL1143" s="2867"/>
      <c r="AM1143" s="2867"/>
      <c r="AN1143" s="2867"/>
      <c r="AO1143" s="2867"/>
      <c r="AP1143" s="2867"/>
      <c r="AQ1143" s="2867"/>
      <c r="AR1143" s="2867"/>
      <c r="AS1143" s="2867"/>
      <c r="AT1143" s="2867"/>
      <c r="AU1143" s="2867"/>
      <c r="AV1143" s="2867"/>
      <c r="AW1143" s="2867"/>
      <c r="AX1143" s="2867"/>
      <c r="AY1143" s="2867"/>
      <c r="AZ1143" s="2867"/>
      <c r="BA1143" s="2867"/>
      <c r="BB1143" s="2867"/>
      <c r="BC1143" s="2867"/>
      <c r="BD1143" s="2867"/>
      <c r="BE1143" s="2867"/>
      <c r="BF1143" s="2867"/>
      <c r="BG1143" s="2867"/>
      <c r="BH1143" s="2867"/>
      <c r="BI1143" s="2867"/>
      <c r="BJ1143" s="2867"/>
      <c r="BK1143" s="2867"/>
      <c r="BL1143" s="2867"/>
      <c r="BM1143" s="2867"/>
      <c r="BN1143" s="2867"/>
      <c r="BO1143" s="2867"/>
      <c r="BP1143" s="2867"/>
      <c r="BQ1143" s="2867"/>
      <c r="BR1143" s="2867"/>
      <c r="BS1143" s="2867"/>
      <c r="BT1143" s="2867"/>
      <c r="BU1143" s="2867"/>
      <c r="BV1143" s="2867"/>
      <c r="BW1143" s="2867"/>
      <c r="BX1143" s="2867"/>
      <c r="BY1143" s="2867"/>
      <c r="BZ1143" s="2867"/>
      <c r="CA1143" s="2867"/>
      <c r="CB1143" s="2867"/>
      <c r="CC1143" s="2867"/>
      <c r="CD1143" s="2867"/>
      <c r="CE1143" s="2867"/>
      <c r="CF1143" s="2867"/>
      <c r="CG1143" s="2867"/>
      <c r="CH1143" s="2867"/>
      <c r="CI1143" s="2867"/>
      <c r="CJ1143" s="2867"/>
      <c r="CK1143" s="2867"/>
      <c r="CL1143" s="2867"/>
      <c r="CM1143" s="2867"/>
      <c r="CN1143" s="2867"/>
      <c r="CO1143" s="2867"/>
      <c r="CP1143" s="2867"/>
      <c r="CQ1143" s="2867"/>
      <c r="CR1143" s="2867"/>
      <c r="CS1143" s="2867"/>
      <c r="CT1143" s="2867"/>
      <c r="CU1143" s="2867"/>
      <c r="CV1143" s="2867"/>
      <c r="CW1143" s="2867"/>
    </row>
    <row r="1144" spans="1:101">
      <c r="A1144" s="2867"/>
      <c r="B1144" s="2867"/>
      <c r="C1144" s="2867"/>
      <c r="D1144" s="2867"/>
      <c r="E1144" s="2867"/>
      <c r="F1144" s="2867"/>
      <c r="G1144" s="2867"/>
      <c r="H1144" s="2867"/>
      <c r="I1144" s="2867"/>
      <c r="J1144" s="2867"/>
      <c r="K1144" s="2867"/>
      <c r="L1144" s="2867"/>
      <c r="M1144" s="2867"/>
      <c r="O1144" s="2867"/>
      <c r="P1144" s="2867"/>
      <c r="Q1144" s="2867"/>
      <c r="R1144" s="2867"/>
      <c r="S1144" s="2867"/>
      <c r="T1144" s="2867"/>
      <c r="U1144" s="2867"/>
      <c r="V1144" s="2867"/>
      <c r="W1144" s="2867"/>
      <c r="X1144" s="2867"/>
      <c r="Y1144" s="2867"/>
      <c r="Z1144" s="2867"/>
      <c r="AA1144" s="2867"/>
      <c r="AB1144" s="2867"/>
      <c r="AC1144" s="2867"/>
      <c r="AD1144" s="2867"/>
      <c r="AE1144" s="2867"/>
      <c r="AF1144" s="2867"/>
      <c r="AG1144" s="2867"/>
      <c r="AH1144" s="2867"/>
      <c r="AI1144" s="2867"/>
      <c r="AJ1144" s="2867"/>
      <c r="AK1144" s="2867"/>
      <c r="AL1144" s="2867"/>
      <c r="AM1144" s="2867"/>
      <c r="AN1144" s="2867"/>
      <c r="AO1144" s="2867"/>
      <c r="AP1144" s="2867"/>
      <c r="AQ1144" s="2867"/>
      <c r="AR1144" s="2867"/>
      <c r="AS1144" s="2867"/>
      <c r="AT1144" s="2867"/>
      <c r="AU1144" s="2867"/>
      <c r="AV1144" s="2867"/>
      <c r="AW1144" s="2867"/>
      <c r="AX1144" s="2867"/>
      <c r="AY1144" s="2867"/>
      <c r="AZ1144" s="2867"/>
      <c r="BA1144" s="2867"/>
      <c r="BB1144" s="2867"/>
      <c r="BC1144" s="2867"/>
      <c r="BD1144" s="2867"/>
      <c r="BE1144" s="2867"/>
      <c r="BF1144" s="2867"/>
      <c r="BG1144" s="2867"/>
      <c r="BH1144" s="2867"/>
      <c r="BI1144" s="2867"/>
      <c r="BJ1144" s="2867"/>
      <c r="BK1144" s="2867"/>
      <c r="BL1144" s="2867"/>
      <c r="BM1144" s="2867"/>
      <c r="BN1144" s="2867"/>
      <c r="BO1144" s="2867"/>
      <c r="BP1144" s="2867"/>
      <c r="BQ1144" s="2867"/>
      <c r="BR1144" s="2867"/>
      <c r="BS1144" s="2867"/>
      <c r="BT1144" s="2867"/>
      <c r="BU1144" s="2867"/>
      <c r="BV1144" s="2867"/>
      <c r="BW1144" s="2867"/>
      <c r="BX1144" s="2867"/>
      <c r="BY1144" s="2867"/>
      <c r="BZ1144" s="2867"/>
      <c r="CA1144" s="2867"/>
      <c r="CB1144" s="2867"/>
      <c r="CC1144" s="2867"/>
      <c r="CD1144" s="2867"/>
      <c r="CE1144" s="2867"/>
      <c r="CF1144" s="2867"/>
      <c r="CG1144" s="2867"/>
      <c r="CH1144" s="2867"/>
      <c r="CI1144" s="2867"/>
      <c r="CJ1144" s="2867"/>
      <c r="CK1144" s="2867"/>
      <c r="CL1144" s="2867"/>
      <c r="CM1144" s="2867"/>
      <c r="CN1144" s="2867"/>
      <c r="CO1144" s="2867"/>
      <c r="CP1144" s="2867"/>
      <c r="CQ1144" s="2867"/>
      <c r="CR1144" s="2867"/>
      <c r="CS1144" s="2867"/>
      <c r="CT1144" s="2867"/>
      <c r="CU1144" s="2867"/>
      <c r="CV1144" s="2867"/>
      <c r="CW1144" s="2867"/>
    </row>
    <row r="1145" spans="1:101">
      <c r="A1145" s="2867"/>
      <c r="B1145" s="2867"/>
      <c r="C1145" s="2867"/>
      <c r="D1145" s="2867"/>
      <c r="E1145" s="2867"/>
      <c r="F1145" s="2867"/>
      <c r="G1145" s="2867"/>
      <c r="H1145" s="2867"/>
      <c r="I1145" s="2867"/>
      <c r="J1145" s="2867"/>
      <c r="K1145" s="2867"/>
      <c r="L1145" s="2867"/>
      <c r="M1145" s="2867"/>
      <c r="O1145" s="2867"/>
      <c r="P1145" s="2867"/>
      <c r="Q1145" s="2867"/>
      <c r="R1145" s="2867"/>
      <c r="S1145" s="2867"/>
      <c r="T1145" s="2867"/>
      <c r="U1145" s="2867"/>
      <c r="V1145" s="2867"/>
      <c r="W1145" s="2867"/>
      <c r="X1145" s="2867"/>
      <c r="Y1145" s="2867"/>
      <c r="Z1145" s="2867"/>
      <c r="AA1145" s="2867"/>
      <c r="AB1145" s="2867"/>
      <c r="AC1145" s="2867"/>
      <c r="AD1145" s="2867"/>
      <c r="AE1145" s="2867"/>
      <c r="AF1145" s="2867"/>
      <c r="AG1145" s="2867"/>
      <c r="AH1145" s="2867"/>
      <c r="AI1145" s="2867"/>
      <c r="AJ1145" s="2867"/>
      <c r="AK1145" s="2867"/>
      <c r="AL1145" s="2867"/>
      <c r="AM1145" s="2867"/>
      <c r="AN1145" s="2867"/>
      <c r="AO1145" s="2867"/>
      <c r="AP1145" s="2867"/>
      <c r="AQ1145" s="2867"/>
      <c r="AR1145" s="2867"/>
      <c r="AS1145" s="2867"/>
      <c r="AT1145" s="2867"/>
      <c r="AU1145" s="2867"/>
      <c r="AV1145" s="2867"/>
      <c r="AW1145" s="2867"/>
      <c r="AX1145" s="2867"/>
      <c r="AY1145" s="2867"/>
      <c r="AZ1145" s="2867"/>
      <c r="BA1145" s="2867"/>
      <c r="BB1145" s="2867"/>
      <c r="BC1145" s="2867"/>
      <c r="BD1145" s="2867"/>
      <c r="BE1145" s="2867"/>
      <c r="BF1145" s="2867"/>
      <c r="BG1145" s="2867"/>
      <c r="BH1145" s="2867"/>
      <c r="BI1145" s="2867"/>
      <c r="BJ1145" s="2867"/>
      <c r="BK1145" s="2867"/>
      <c r="BL1145" s="2867"/>
      <c r="BM1145" s="2867"/>
      <c r="BN1145" s="2867"/>
      <c r="BO1145" s="2867"/>
      <c r="BP1145" s="2867"/>
      <c r="BQ1145" s="2867"/>
      <c r="BR1145" s="2867"/>
      <c r="BS1145" s="2867"/>
      <c r="BT1145" s="2867"/>
      <c r="BU1145" s="2867"/>
      <c r="BV1145" s="2867"/>
      <c r="BW1145" s="2867"/>
      <c r="BX1145" s="2867"/>
      <c r="BY1145" s="2867"/>
      <c r="BZ1145" s="2867"/>
      <c r="CA1145" s="2867"/>
      <c r="CB1145" s="2867"/>
      <c r="CC1145" s="2867"/>
      <c r="CD1145" s="2867"/>
      <c r="CE1145" s="2867"/>
      <c r="CF1145" s="2867"/>
      <c r="CG1145" s="2867"/>
      <c r="CH1145" s="2867"/>
      <c r="CI1145" s="2867"/>
      <c r="CJ1145" s="2867"/>
      <c r="CK1145" s="2867"/>
      <c r="CL1145" s="2867"/>
      <c r="CM1145" s="2867"/>
      <c r="CN1145" s="2867"/>
      <c r="CO1145" s="2867"/>
      <c r="CP1145" s="2867"/>
      <c r="CQ1145" s="2867"/>
      <c r="CR1145" s="2867"/>
      <c r="CS1145" s="2867"/>
      <c r="CT1145" s="2867"/>
      <c r="CU1145" s="2867"/>
      <c r="CV1145" s="2867"/>
      <c r="CW1145" s="2867"/>
    </row>
    <row r="1146" spans="1:101">
      <c r="A1146" s="2867"/>
      <c r="B1146" s="2867"/>
      <c r="C1146" s="2867"/>
      <c r="D1146" s="2867"/>
      <c r="E1146" s="2867"/>
      <c r="F1146" s="2867"/>
      <c r="G1146" s="2867"/>
      <c r="H1146" s="2867"/>
      <c r="I1146" s="2867"/>
      <c r="J1146" s="2867"/>
      <c r="K1146" s="2867"/>
      <c r="L1146" s="2867"/>
      <c r="M1146" s="2867"/>
      <c r="O1146" s="2867"/>
      <c r="P1146" s="2867"/>
      <c r="Q1146" s="2867"/>
      <c r="R1146" s="2867"/>
      <c r="S1146" s="2867"/>
      <c r="T1146" s="2867"/>
      <c r="U1146" s="2867"/>
      <c r="V1146" s="2867"/>
      <c r="W1146" s="2867"/>
      <c r="X1146" s="2867"/>
      <c r="Y1146" s="2867"/>
      <c r="Z1146" s="2867"/>
      <c r="AA1146" s="2867"/>
      <c r="AB1146" s="2867"/>
      <c r="AC1146" s="2867"/>
      <c r="AD1146" s="2867"/>
      <c r="AE1146" s="2867"/>
      <c r="AF1146" s="2867"/>
      <c r="AG1146" s="2867"/>
      <c r="AH1146" s="2867"/>
      <c r="AI1146" s="2867"/>
      <c r="AJ1146" s="2867"/>
      <c r="AK1146" s="2867"/>
      <c r="AL1146" s="2867"/>
      <c r="AM1146" s="2867"/>
      <c r="AN1146" s="2867"/>
      <c r="AO1146" s="2867"/>
      <c r="AP1146" s="2867"/>
      <c r="AQ1146" s="2867"/>
      <c r="AR1146" s="2867"/>
      <c r="AS1146" s="2867"/>
      <c r="AT1146" s="2867"/>
      <c r="AU1146" s="2867"/>
      <c r="AV1146" s="2867"/>
      <c r="AW1146" s="2867"/>
      <c r="AX1146" s="2867"/>
      <c r="AY1146" s="2867"/>
      <c r="AZ1146" s="2867"/>
      <c r="BA1146" s="2867"/>
      <c r="BB1146" s="2867"/>
      <c r="BC1146" s="2867"/>
      <c r="BD1146" s="2867"/>
      <c r="BE1146" s="2867"/>
      <c r="BF1146" s="2867"/>
      <c r="BG1146" s="2867"/>
      <c r="BH1146" s="2867"/>
      <c r="BI1146" s="2867"/>
      <c r="BJ1146" s="2867"/>
      <c r="BK1146" s="2867"/>
      <c r="BL1146" s="2867"/>
      <c r="BM1146" s="2867"/>
      <c r="BN1146" s="2867"/>
      <c r="BO1146" s="2867"/>
      <c r="BP1146" s="2867"/>
      <c r="BQ1146" s="2867"/>
      <c r="BR1146" s="2867"/>
      <c r="BS1146" s="2867"/>
      <c r="BT1146" s="2867"/>
      <c r="BU1146" s="2867"/>
      <c r="BV1146" s="2867"/>
      <c r="BW1146" s="2867"/>
      <c r="BX1146" s="2867"/>
      <c r="BY1146" s="2867"/>
      <c r="BZ1146" s="2867"/>
      <c r="CA1146" s="2867"/>
      <c r="CB1146" s="2867"/>
      <c r="CC1146" s="2867"/>
      <c r="CD1146" s="2867"/>
      <c r="CE1146" s="2867"/>
      <c r="CF1146" s="2867"/>
      <c r="CG1146" s="2867"/>
      <c r="CH1146" s="2867"/>
      <c r="CI1146" s="2867"/>
      <c r="CJ1146" s="2867"/>
      <c r="CK1146" s="2867"/>
      <c r="CL1146" s="2867"/>
      <c r="CM1146" s="2867"/>
      <c r="CN1146" s="2867"/>
      <c r="CO1146" s="2867"/>
      <c r="CP1146" s="2867"/>
      <c r="CQ1146" s="2867"/>
      <c r="CR1146" s="2867"/>
      <c r="CS1146" s="2867"/>
      <c r="CT1146" s="2867"/>
      <c r="CU1146" s="2867"/>
      <c r="CV1146" s="2867"/>
      <c r="CW1146" s="2867"/>
    </row>
    <row r="1147" spans="1:101">
      <c r="A1147" s="2867"/>
      <c r="B1147" s="2867"/>
      <c r="C1147" s="2867"/>
      <c r="D1147" s="2867"/>
      <c r="E1147" s="2867"/>
      <c r="F1147" s="2867"/>
      <c r="G1147" s="2867"/>
      <c r="H1147" s="2867"/>
      <c r="I1147" s="2867"/>
      <c r="J1147" s="2867"/>
      <c r="K1147" s="2867"/>
      <c r="L1147" s="2867"/>
      <c r="M1147" s="2867"/>
      <c r="O1147" s="2867"/>
      <c r="P1147" s="2867"/>
      <c r="Q1147" s="2867"/>
      <c r="R1147" s="2867"/>
      <c r="S1147" s="2867"/>
      <c r="T1147" s="2867"/>
      <c r="U1147" s="2867"/>
      <c r="V1147" s="2867"/>
      <c r="W1147" s="2867"/>
      <c r="X1147" s="2867"/>
      <c r="Y1147" s="2867"/>
      <c r="Z1147" s="2867"/>
      <c r="AA1147" s="2867"/>
      <c r="AB1147" s="2867"/>
      <c r="AC1147" s="2867"/>
      <c r="AD1147" s="2867"/>
      <c r="AE1147" s="2867"/>
      <c r="AF1147" s="2867"/>
      <c r="AG1147" s="2867"/>
      <c r="AH1147" s="2867"/>
      <c r="AI1147" s="2867"/>
      <c r="AJ1147" s="2867"/>
      <c r="AK1147" s="2867"/>
      <c r="AL1147" s="2867"/>
      <c r="AM1147" s="2867"/>
      <c r="AN1147" s="2867"/>
      <c r="AO1147" s="2867"/>
      <c r="AP1147" s="2867"/>
      <c r="AQ1147" s="2867"/>
      <c r="AR1147" s="2867"/>
      <c r="AS1147" s="2867"/>
      <c r="AT1147" s="2867"/>
      <c r="AU1147" s="2867"/>
      <c r="AV1147" s="2867"/>
      <c r="AW1147" s="2867"/>
      <c r="AX1147" s="2867"/>
      <c r="AY1147" s="2867"/>
      <c r="AZ1147" s="2867"/>
      <c r="BA1147" s="2867"/>
      <c r="BB1147" s="2867"/>
      <c r="BC1147" s="2867"/>
      <c r="BD1147" s="2867"/>
      <c r="BE1147" s="2867"/>
      <c r="BF1147" s="2867"/>
      <c r="BG1147" s="2867"/>
      <c r="BH1147" s="2867"/>
      <c r="BI1147" s="2867"/>
      <c r="BJ1147" s="2867"/>
      <c r="BK1147" s="2867"/>
      <c r="BL1147" s="2867"/>
      <c r="BM1147" s="2867"/>
      <c r="BN1147" s="2867"/>
      <c r="BO1147" s="2867"/>
      <c r="BP1147" s="2867"/>
      <c r="BQ1147" s="2867"/>
      <c r="BR1147" s="2867"/>
      <c r="BS1147" s="2867"/>
      <c r="BT1147" s="2867"/>
      <c r="BU1147" s="2867"/>
      <c r="BV1147" s="2867"/>
      <c r="BW1147" s="2867"/>
      <c r="BX1147" s="2867"/>
      <c r="BY1147" s="2867"/>
      <c r="BZ1147" s="2867"/>
      <c r="CA1147" s="2867"/>
      <c r="CB1147" s="2867"/>
      <c r="CC1147" s="2867"/>
      <c r="CD1147" s="2867"/>
      <c r="CE1147" s="2867"/>
      <c r="CF1147" s="2867"/>
      <c r="CG1147" s="2867"/>
      <c r="CH1147" s="2867"/>
      <c r="CI1147" s="2867"/>
      <c r="CJ1147" s="2867"/>
      <c r="CK1147" s="2867"/>
      <c r="CL1147" s="2867"/>
      <c r="CM1147" s="2867"/>
      <c r="CN1147" s="2867"/>
      <c r="CO1147" s="2867"/>
      <c r="CP1147" s="2867"/>
      <c r="CQ1147" s="2867"/>
      <c r="CR1147" s="2867"/>
      <c r="CS1147" s="2867"/>
      <c r="CT1147" s="2867"/>
      <c r="CU1147" s="2867"/>
      <c r="CV1147" s="2867"/>
      <c r="CW1147" s="2867"/>
    </row>
    <row r="1148" spans="1:101">
      <c r="A1148" s="2867"/>
      <c r="B1148" s="2867"/>
      <c r="C1148" s="2867"/>
      <c r="D1148" s="2867"/>
      <c r="E1148" s="2867"/>
      <c r="F1148" s="2867"/>
      <c r="G1148" s="2867"/>
      <c r="H1148" s="2867"/>
      <c r="I1148" s="2867"/>
      <c r="J1148" s="2867"/>
      <c r="K1148" s="2867"/>
      <c r="L1148" s="2867"/>
      <c r="M1148" s="2867"/>
      <c r="O1148" s="2867"/>
      <c r="P1148" s="2867"/>
      <c r="Q1148" s="2867"/>
      <c r="R1148" s="2867"/>
      <c r="S1148" s="2867"/>
      <c r="T1148" s="2867"/>
      <c r="U1148" s="2867"/>
      <c r="V1148" s="2867"/>
      <c r="W1148" s="2867"/>
      <c r="X1148" s="2867"/>
      <c r="Y1148" s="2867"/>
      <c r="Z1148" s="2867"/>
      <c r="AA1148" s="2867"/>
      <c r="AB1148" s="2867"/>
      <c r="AC1148" s="2867"/>
      <c r="AD1148" s="2867"/>
      <c r="AE1148" s="2867"/>
      <c r="AF1148" s="2867"/>
      <c r="AG1148" s="2867"/>
      <c r="AH1148" s="2867"/>
      <c r="AI1148" s="2867"/>
      <c r="AJ1148" s="2867"/>
      <c r="AK1148" s="2867"/>
      <c r="AL1148" s="2867"/>
      <c r="AM1148" s="2867"/>
      <c r="AN1148" s="2867"/>
      <c r="AO1148" s="2867"/>
      <c r="AP1148" s="2867"/>
      <c r="AQ1148" s="2867"/>
      <c r="AR1148" s="2867"/>
      <c r="AS1148" s="2867"/>
      <c r="AT1148" s="2867"/>
      <c r="AU1148" s="2867"/>
      <c r="AV1148" s="2867"/>
      <c r="AW1148" s="2867"/>
      <c r="AX1148" s="2867"/>
      <c r="AY1148" s="2867"/>
      <c r="AZ1148" s="2867"/>
      <c r="BA1148" s="2867"/>
      <c r="BB1148" s="2867"/>
      <c r="BC1148" s="2867"/>
      <c r="BD1148" s="2867"/>
      <c r="BE1148" s="2867"/>
      <c r="BF1148" s="2867"/>
      <c r="BG1148" s="2867"/>
      <c r="BH1148" s="2867"/>
      <c r="BI1148" s="2867"/>
      <c r="BJ1148" s="2867"/>
      <c r="BK1148" s="2867"/>
      <c r="BL1148" s="2867"/>
      <c r="BM1148" s="2867"/>
      <c r="BN1148" s="2867"/>
      <c r="BO1148" s="2867"/>
      <c r="BP1148" s="2867"/>
      <c r="BQ1148" s="2867"/>
      <c r="BR1148" s="2867"/>
      <c r="BS1148" s="2867"/>
      <c r="BT1148" s="2867"/>
      <c r="BU1148" s="2867"/>
      <c r="BV1148" s="2867"/>
      <c r="BW1148" s="2867"/>
      <c r="BX1148" s="2867"/>
      <c r="BY1148" s="2867"/>
      <c r="BZ1148" s="2867"/>
      <c r="CA1148" s="2867"/>
      <c r="CB1148" s="2867"/>
      <c r="CC1148" s="2867"/>
      <c r="CD1148" s="2867"/>
      <c r="CE1148" s="2867"/>
      <c r="CF1148" s="2867"/>
      <c r="CG1148" s="2867"/>
      <c r="CH1148" s="2867"/>
      <c r="CI1148" s="2867"/>
      <c r="CJ1148" s="2867"/>
      <c r="CK1148" s="2867"/>
      <c r="CL1148" s="2867"/>
      <c r="CM1148" s="2867"/>
      <c r="CN1148" s="2867"/>
      <c r="CO1148" s="2867"/>
      <c r="CP1148" s="2867"/>
      <c r="CQ1148" s="2867"/>
      <c r="CR1148" s="2867"/>
      <c r="CS1148" s="2867"/>
      <c r="CT1148" s="2867"/>
      <c r="CU1148" s="2867"/>
      <c r="CV1148" s="2867"/>
      <c r="CW1148" s="2867"/>
    </row>
    <row r="1149" spans="1:101">
      <c r="A1149" s="2867"/>
      <c r="B1149" s="2867"/>
      <c r="C1149" s="2867"/>
      <c r="D1149" s="2867"/>
      <c r="E1149" s="2867"/>
      <c r="F1149" s="2867"/>
      <c r="G1149" s="2867"/>
      <c r="H1149" s="2867"/>
      <c r="I1149" s="2867"/>
      <c r="J1149" s="2867"/>
      <c r="K1149" s="2867"/>
      <c r="L1149" s="2867"/>
      <c r="M1149" s="2867"/>
      <c r="O1149" s="2867"/>
      <c r="P1149" s="2867"/>
      <c r="Q1149" s="2867"/>
      <c r="R1149" s="2867"/>
      <c r="S1149" s="2867"/>
      <c r="T1149" s="2867"/>
      <c r="U1149" s="2867"/>
      <c r="V1149" s="2867"/>
      <c r="W1149" s="2867"/>
      <c r="X1149" s="2867"/>
      <c r="Y1149" s="2867"/>
      <c r="Z1149" s="2867"/>
      <c r="AA1149" s="2867"/>
      <c r="AB1149" s="2867"/>
      <c r="AC1149" s="2867"/>
      <c r="AD1149" s="2867"/>
      <c r="AE1149" s="2867"/>
      <c r="AF1149" s="2867"/>
      <c r="AG1149" s="2867"/>
      <c r="AH1149" s="2867"/>
      <c r="AI1149" s="2867"/>
      <c r="AJ1149" s="2867"/>
      <c r="AK1149" s="2867"/>
      <c r="AL1149" s="2867"/>
      <c r="AM1149" s="2867"/>
      <c r="AN1149" s="2867"/>
      <c r="AO1149" s="2867"/>
      <c r="AP1149" s="2867"/>
      <c r="AQ1149" s="2867"/>
      <c r="AR1149" s="2867"/>
      <c r="AS1149" s="2867"/>
      <c r="AT1149" s="2867"/>
      <c r="AU1149" s="2867"/>
      <c r="AV1149" s="2867"/>
      <c r="AW1149" s="2867"/>
      <c r="AX1149" s="2867"/>
      <c r="AY1149" s="2867"/>
      <c r="AZ1149" s="2867"/>
      <c r="BA1149" s="2867"/>
      <c r="BB1149" s="2867"/>
      <c r="BC1149" s="2867"/>
      <c r="BD1149" s="2867"/>
      <c r="BE1149" s="2867"/>
      <c r="BF1149" s="2867"/>
      <c r="BG1149" s="2867"/>
      <c r="BH1149" s="2867"/>
      <c r="BI1149" s="2867"/>
      <c r="BJ1149" s="2867"/>
      <c r="BK1149" s="2867"/>
      <c r="BL1149" s="2867"/>
      <c r="BM1149" s="2867"/>
      <c r="BN1149" s="2867"/>
      <c r="BO1149" s="2867"/>
      <c r="BP1149" s="2867"/>
      <c r="BQ1149" s="2867"/>
      <c r="BR1149" s="2867"/>
      <c r="BS1149" s="2867"/>
      <c r="BT1149" s="2867"/>
      <c r="BU1149" s="2867"/>
      <c r="BV1149" s="2867"/>
      <c r="BW1149" s="2867"/>
      <c r="BX1149" s="2867"/>
      <c r="BY1149" s="2867"/>
      <c r="BZ1149" s="2867"/>
      <c r="CA1149" s="2867"/>
      <c r="CB1149" s="2867"/>
      <c r="CC1149" s="2867"/>
      <c r="CD1149" s="2867"/>
      <c r="CE1149" s="2867"/>
      <c r="CF1149" s="2867"/>
      <c r="CG1149" s="2867"/>
      <c r="CH1149" s="2867"/>
      <c r="CI1149" s="2867"/>
      <c r="CJ1149" s="2867"/>
      <c r="CK1149" s="2867"/>
      <c r="CL1149" s="2867"/>
      <c r="CM1149" s="2867"/>
      <c r="CN1149" s="2867"/>
      <c r="CO1149" s="2867"/>
      <c r="CP1149" s="2867"/>
      <c r="CQ1149" s="2867"/>
      <c r="CR1149" s="2867"/>
      <c r="CS1149" s="2867"/>
      <c r="CT1149" s="2867"/>
      <c r="CU1149" s="2867"/>
      <c r="CV1149" s="2867"/>
      <c r="CW1149" s="2867"/>
    </row>
    <row r="1150" spans="1:101">
      <c r="A1150" s="2867"/>
      <c r="B1150" s="2867"/>
      <c r="C1150" s="2867"/>
      <c r="D1150" s="2867"/>
      <c r="E1150" s="2867"/>
      <c r="F1150" s="2867"/>
      <c r="G1150" s="2867"/>
      <c r="H1150" s="2867"/>
      <c r="I1150" s="2867"/>
      <c r="J1150" s="2867"/>
      <c r="K1150" s="2867"/>
      <c r="L1150" s="2867"/>
      <c r="M1150" s="2867"/>
      <c r="O1150" s="2867"/>
      <c r="P1150" s="2867"/>
      <c r="Q1150" s="2867"/>
      <c r="R1150" s="2867"/>
      <c r="S1150" s="2867"/>
      <c r="T1150" s="2867"/>
      <c r="U1150" s="2867"/>
      <c r="V1150" s="2867"/>
      <c r="W1150" s="2867"/>
      <c r="X1150" s="2867"/>
      <c r="Y1150" s="2867"/>
      <c r="Z1150" s="2867"/>
      <c r="AA1150" s="2867"/>
      <c r="AB1150" s="2867"/>
      <c r="AC1150" s="2867"/>
      <c r="AD1150" s="2867"/>
      <c r="AE1150" s="2867"/>
      <c r="AF1150" s="2867"/>
      <c r="AG1150" s="2867"/>
      <c r="AH1150" s="2867"/>
      <c r="AI1150" s="2867"/>
      <c r="AJ1150" s="2867"/>
      <c r="AK1150" s="2867"/>
      <c r="AL1150" s="2867"/>
      <c r="AM1150" s="2867"/>
      <c r="AN1150" s="2867"/>
      <c r="AO1150" s="2867"/>
      <c r="AP1150" s="2867"/>
      <c r="AQ1150" s="2867"/>
      <c r="AR1150" s="2867"/>
      <c r="AS1150" s="2867"/>
      <c r="AT1150" s="2867"/>
      <c r="AU1150" s="2867"/>
      <c r="AV1150" s="2867"/>
      <c r="AW1150" s="2867"/>
      <c r="AX1150" s="2867"/>
      <c r="AY1150" s="2867"/>
      <c r="AZ1150" s="2867"/>
      <c r="BA1150" s="2867"/>
      <c r="BB1150" s="2867"/>
      <c r="BC1150" s="2867"/>
      <c r="BD1150" s="2867"/>
      <c r="BE1150" s="2867"/>
      <c r="BF1150" s="2867"/>
      <c r="BG1150" s="2867"/>
      <c r="BH1150" s="2867"/>
      <c r="BI1150" s="2867"/>
      <c r="BJ1150" s="2867"/>
      <c r="BK1150" s="2867"/>
      <c r="BL1150" s="2867"/>
      <c r="BM1150" s="2867"/>
      <c r="BN1150" s="2867"/>
      <c r="BO1150" s="2867"/>
      <c r="BP1150" s="2867"/>
      <c r="BQ1150" s="2867"/>
      <c r="BR1150" s="2867"/>
      <c r="BS1150" s="2867"/>
      <c r="BT1150" s="2867"/>
      <c r="BU1150" s="2867"/>
      <c r="BV1150" s="2867"/>
      <c r="BW1150" s="2867"/>
      <c r="BX1150" s="2867"/>
      <c r="BY1150" s="2867"/>
      <c r="BZ1150" s="2867"/>
      <c r="CA1150" s="2867"/>
      <c r="CB1150" s="2867"/>
      <c r="CC1150" s="2867"/>
      <c r="CD1150" s="2867"/>
      <c r="CE1150" s="2867"/>
      <c r="CF1150" s="2867"/>
      <c r="CG1150" s="2867"/>
      <c r="CH1150" s="2867"/>
      <c r="CI1150" s="2867"/>
      <c r="CJ1150" s="2867"/>
      <c r="CK1150" s="2867"/>
      <c r="CL1150" s="2867"/>
      <c r="CM1150" s="2867"/>
      <c r="CN1150" s="2867"/>
      <c r="CO1150" s="2867"/>
      <c r="CP1150" s="2867"/>
      <c r="CQ1150" s="2867"/>
      <c r="CR1150" s="2867"/>
      <c r="CS1150" s="2867"/>
      <c r="CT1150" s="2867"/>
      <c r="CU1150" s="2867"/>
      <c r="CV1150" s="2867"/>
      <c r="CW1150" s="2867"/>
    </row>
    <row r="1151" spans="1:101">
      <c r="A1151" s="2867"/>
      <c r="B1151" s="2867"/>
      <c r="C1151" s="2867"/>
      <c r="D1151" s="2867"/>
      <c r="E1151" s="2867"/>
      <c r="F1151" s="2867"/>
      <c r="G1151" s="2867"/>
      <c r="H1151" s="2867"/>
      <c r="I1151" s="2867"/>
      <c r="J1151" s="2867"/>
      <c r="K1151" s="2867"/>
      <c r="L1151" s="2867"/>
      <c r="M1151" s="2867"/>
      <c r="O1151" s="2867"/>
      <c r="P1151" s="2867"/>
      <c r="Q1151" s="2867"/>
      <c r="R1151" s="2867"/>
      <c r="S1151" s="2867"/>
      <c r="T1151" s="2867"/>
      <c r="U1151" s="2867"/>
      <c r="V1151" s="2867"/>
      <c r="W1151" s="2867"/>
      <c r="X1151" s="2867"/>
      <c r="Y1151" s="2867"/>
      <c r="Z1151" s="2867"/>
      <c r="AA1151" s="2867"/>
      <c r="AB1151" s="2867"/>
      <c r="AC1151" s="2867"/>
      <c r="AD1151" s="2867"/>
      <c r="AE1151" s="2867"/>
      <c r="AF1151" s="2867"/>
      <c r="AG1151" s="2867"/>
      <c r="AH1151" s="2867"/>
      <c r="AI1151" s="2867"/>
      <c r="AJ1151" s="2867"/>
      <c r="AK1151" s="2867"/>
      <c r="AL1151" s="2867"/>
      <c r="AM1151" s="2867"/>
      <c r="AN1151" s="2867"/>
      <c r="AO1151" s="2867"/>
      <c r="AP1151" s="2867"/>
      <c r="AQ1151" s="2867"/>
      <c r="AR1151" s="2867"/>
      <c r="AS1151" s="2867"/>
      <c r="AT1151" s="2867"/>
      <c r="AU1151" s="2867"/>
      <c r="AV1151" s="2867"/>
      <c r="AW1151" s="2867"/>
      <c r="AX1151" s="2867"/>
      <c r="AY1151" s="2867"/>
      <c r="AZ1151" s="2867"/>
      <c r="BA1151" s="2867"/>
      <c r="BB1151" s="2867"/>
      <c r="BC1151" s="2867"/>
      <c r="BD1151" s="2867"/>
      <c r="BE1151" s="2867"/>
      <c r="BF1151" s="2867"/>
      <c r="BG1151" s="2867"/>
      <c r="BH1151" s="2867"/>
      <c r="BI1151" s="2867"/>
      <c r="BJ1151" s="2867"/>
      <c r="BK1151" s="2867"/>
      <c r="BL1151" s="2867"/>
      <c r="BM1151" s="2867"/>
      <c r="BN1151" s="2867"/>
      <c r="BO1151" s="2867"/>
      <c r="BP1151" s="2867"/>
      <c r="BQ1151" s="2867"/>
      <c r="BR1151" s="2867"/>
      <c r="BS1151" s="2867"/>
      <c r="BT1151" s="2867"/>
      <c r="BU1151" s="2867"/>
      <c r="BV1151" s="2867"/>
      <c r="BW1151" s="2867"/>
      <c r="BX1151" s="2867"/>
      <c r="BY1151" s="2867"/>
      <c r="BZ1151" s="2867"/>
      <c r="CA1151" s="2867"/>
      <c r="CB1151" s="2867"/>
      <c r="CC1151" s="2867"/>
      <c r="CD1151" s="2867"/>
      <c r="CE1151" s="2867"/>
      <c r="CF1151" s="2867"/>
      <c r="CG1151" s="2867"/>
      <c r="CH1151" s="2867"/>
      <c r="CI1151" s="2867"/>
      <c r="CJ1151" s="2867"/>
      <c r="CK1151" s="2867"/>
      <c r="CL1151" s="2867"/>
      <c r="CM1151" s="2867"/>
      <c r="CN1151" s="2867"/>
      <c r="CO1151" s="2867"/>
      <c r="CP1151" s="2867"/>
      <c r="CQ1151" s="2867"/>
      <c r="CR1151" s="2867"/>
      <c r="CS1151" s="2867"/>
      <c r="CT1151" s="2867"/>
      <c r="CU1151" s="2867"/>
      <c r="CV1151" s="2867"/>
      <c r="CW1151" s="2867"/>
    </row>
    <row r="1152" spans="1:101">
      <c r="A1152" s="2867"/>
      <c r="B1152" s="2867"/>
      <c r="C1152" s="2867"/>
      <c r="D1152" s="2867"/>
      <c r="E1152" s="2867"/>
      <c r="F1152" s="2867"/>
      <c r="G1152" s="2867"/>
      <c r="H1152" s="2867"/>
      <c r="I1152" s="2867"/>
      <c r="J1152" s="2867"/>
      <c r="K1152" s="2867"/>
      <c r="L1152" s="2867"/>
      <c r="M1152" s="2867"/>
      <c r="O1152" s="2867"/>
      <c r="P1152" s="2867"/>
      <c r="Q1152" s="2867"/>
      <c r="R1152" s="2867"/>
      <c r="S1152" s="2867"/>
      <c r="T1152" s="2867"/>
      <c r="U1152" s="2867"/>
      <c r="V1152" s="2867"/>
      <c r="W1152" s="2867"/>
      <c r="X1152" s="2867"/>
      <c r="Y1152" s="2867"/>
      <c r="Z1152" s="2867"/>
      <c r="AA1152" s="2867"/>
      <c r="AB1152" s="2867"/>
      <c r="AC1152" s="2867"/>
      <c r="AD1152" s="2867"/>
      <c r="AE1152" s="2867"/>
      <c r="AF1152" s="2867"/>
      <c r="AG1152" s="2867"/>
      <c r="AH1152" s="2867"/>
      <c r="AI1152" s="2867"/>
      <c r="AJ1152" s="2867"/>
      <c r="AK1152" s="2867"/>
      <c r="AL1152" s="2867"/>
      <c r="AM1152" s="2867"/>
      <c r="AN1152" s="2867"/>
      <c r="AO1152" s="2867"/>
      <c r="AP1152" s="2867"/>
      <c r="AQ1152" s="2867"/>
      <c r="AR1152" s="2867"/>
      <c r="AS1152" s="2867"/>
      <c r="AT1152" s="2867"/>
      <c r="AU1152" s="2867"/>
      <c r="AV1152" s="2867"/>
      <c r="AW1152" s="2867"/>
      <c r="AX1152" s="2867"/>
      <c r="AY1152" s="2867"/>
      <c r="AZ1152" s="2867"/>
      <c r="BA1152" s="2867"/>
      <c r="BB1152" s="2867"/>
      <c r="BC1152" s="2867"/>
      <c r="BD1152" s="2867"/>
      <c r="BE1152" s="2867"/>
      <c r="BF1152" s="2867"/>
      <c r="BG1152" s="2867"/>
      <c r="BH1152" s="2867"/>
      <c r="BI1152" s="2867"/>
      <c r="BJ1152" s="2867"/>
      <c r="BK1152" s="2867"/>
      <c r="BL1152" s="2867"/>
      <c r="BM1152" s="2867"/>
      <c r="BN1152" s="2867"/>
      <c r="BO1152" s="2867"/>
      <c r="BP1152" s="2867"/>
      <c r="BQ1152" s="2867"/>
      <c r="BR1152" s="2867"/>
      <c r="BS1152" s="2867"/>
      <c r="BT1152" s="2867"/>
      <c r="BU1152" s="2867"/>
      <c r="BV1152" s="2867"/>
      <c r="BW1152" s="2867"/>
      <c r="BX1152" s="2867"/>
      <c r="BY1152" s="2867"/>
      <c r="BZ1152" s="2867"/>
      <c r="CA1152" s="2867"/>
      <c r="CB1152" s="2867"/>
      <c r="CC1152" s="2867"/>
      <c r="CD1152" s="2867"/>
      <c r="CE1152" s="2867"/>
      <c r="CF1152" s="2867"/>
      <c r="CG1152" s="2867"/>
      <c r="CH1152" s="2867"/>
      <c r="CI1152" s="2867"/>
      <c r="CJ1152" s="2867"/>
      <c r="CK1152" s="2867"/>
      <c r="CL1152" s="2867"/>
      <c r="CM1152" s="2867"/>
      <c r="CN1152" s="2867"/>
      <c r="CO1152" s="2867"/>
      <c r="CP1152" s="2867"/>
      <c r="CQ1152" s="2867"/>
      <c r="CR1152" s="2867"/>
      <c r="CS1152" s="2867"/>
      <c r="CT1152" s="2867"/>
      <c r="CU1152" s="2867"/>
      <c r="CV1152" s="2867"/>
      <c r="CW1152" s="2867"/>
    </row>
    <row r="1153" spans="1:101">
      <c r="A1153" s="2867"/>
      <c r="B1153" s="2867"/>
      <c r="C1153" s="2867"/>
      <c r="D1153" s="2867"/>
      <c r="E1153" s="2867"/>
      <c r="F1153" s="2867"/>
      <c r="G1153" s="2867"/>
      <c r="H1153" s="2867"/>
      <c r="I1153" s="2867"/>
      <c r="J1153" s="2867"/>
      <c r="K1153" s="2867"/>
      <c r="L1153" s="2867"/>
      <c r="M1153" s="2867"/>
      <c r="O1153" s="2867"/>
      <c r="P1153" s="2867"/>
      <c r="Q1153" s="2867"/>
      <c r="R1153" s="2867"/>
      <c r="S1153" s="2867"/>
      <c r="T1153" s="2867"/>
      <c r="U1153" s="2867"/>
      <c r="V1153" s="2867"/>
      <c r="W1153" s="2867"/>
      <c r="X1153" s="2867"/>
      <c r="Y1153" s="2867"/>
      <c r="Z1153" s="2867"/>
      <c r="AA1153" s="2867"/>
      <c r="AB1153" s="2867"/>
      <c r="AC1153" s="2867"/>
      <c r="AD1153" s="2867"/>
      <c r="AE1153" s="2867"/>
      <c r="AF1153" s="2867"/>
      <c r="AG1153" s="2867"/>
      <c r="AH1153" s="2867"/>
      <c r="AI1153" s="2867"/>
      <c r="AJ1153" s="2867"/>
      <c r="AK1153" s="2867"/>
      <c r="AL1153" s="2867"/>
      <c r="AM1153" s="2867"/>
      <c r="AN1153" s="2867"/>
      <c r="AO1153" s="2867"/>
      <c r="AP1153" s="2867"/>
      <c r="AQ1153" s="2867"/>
      <c r="AR1153" s="2867"/>
      <c r="AS1153" s="2867"/>
      <c r="AT1153" s="2867"/>
      <c r="AU1153" s="2867"/>
      <c r="AV1153" s="2867"/>
      <c r="AW1153" s="2867"/>
      <c r="AX1153" s="2867"/>
      <c r="AY1153" s="2867"/>
      <c r="AZ1153" s="2867"/>
      <c r="BA1153" s="2867"/>
      <c r="BB1153" s="2867"/>
      <c r="BC1153" s="2867"/>
      <c r="BD1153" s="2867"/>
      <c r="BE1153" s="2867"/>
      <c r="BF1153" s="2867"/>
      <c r="BG1153" s="2867"/>
      <c r="BH1153" s="2867"/>
      <c r="BI1153" s="2867"/>
      <c r="BJ1153" s="2867"/>
      <c r="BK1153" s="2867"/>
      <c r="BL1153" s="2867"/>
      <c r="BM1153" s="2867"/>
      <c r="BN1153" s="2867"/>
      <c r="BO1153" s="2867"/>
      <c r="BP1153" s="2867"/>
      <c r="BQ1153" s="2867"/>
      <c r="BR1153" s="2867"/>
      <c r="BS1153" s="2867"/>
      <c r="BT1153" s="2867"/>
      <c r="BU1153" s="2867"/>
      <c r="BV1153" s="2867"/>
      <c r="BW1153" s="2867"/>
      <c r="BX1153" s="2867"/>
      <c r="BY1153" s="2867"/>
      <c r="BZ1153" s="2867"/>
      <c r="CA1153" s="2867"/>
      <c r="CB1153" s="2867"/>
      <c r="CC1153" s="2867"/>
      <c r="CD1153" s="2867"/>
      <c r="CE1153" s="2867"/>
      <c r="CF1153" s="2867"/>
      <c r="CG1153" s="2867"/>
      <c r="CH1153" s="2867"/>
      <c r="CI1153" s="2867"/>
      <c r="CJ1153" s="2867"/>
      <c r="CK1153" s="2867"/>
      <c r="CL1153" s="2867"/>
      <c r="CM1153" s="2867"/>
      <c r="CN1153" s="2867"/>
      <c r="CO1153" s="2867"/>
      <c r="CP1153" s="2867"/>
      <c r="CQ1153" s="2867"/>
      <c r="CR1153" s="2867"/>
      <c r="CS1153" s="2867"/>
      <c r="CT1153" s="2867"/>
      <c r="CU1153" s="2867"/>
      <c r="CV1153" s="2867"/>
      <c r="CW1153" s="2867"/>
    </row>
    <row r="1154" spans="1:101">
      <c r="A1154" s="2867"/>
      <c r="B1154" s="2867"/>
      <c r="C1154" s="2867"/>
      <c r="D1154" s="2867"/>
      <c r="E1154" s="2867"/>
      <c r="F1154" s="2867"/>
      <c r="G1154" s="2867"/>
      <c r="H1154" s="2867"/>
      <c r="I1154" s="2867"/>
      <c r="J1154" s="2867"/>
      <c r="K1154" s="2867"/>
      <c r="L1154" s="2867"/>
      <c r="M1154" s="2867"/>
      <c r="O1154" s="2867"/>
      <c r="P1154" s="2867"/>
      <c r="Q1154" s="2867"/>
      <c r="R1154" s="2867"/>
      <c r="S1154" s="2867"/>
      <c r="T1154" s="2867"/>
      <c r="U1154" s="2867"/>
      <c r="V1154" s="2867"/>
      <c r="W1154" s="2867"/>
      <c r="X1154" s="2867"/>
      <c r="Y1154" s="2867"/>
      <c r="Z1154" s="2867"/>
      <c r="AA1154" s="2867"/>
      <c r="AB1154" s="2867"/>
      <c r="AC1154" s="2867"/>
      <c r="AD1154" s="2867"/>
      <c r="AE1154" s="2867"/>
      <c r="AF1154" s="2867"/>
      <c r="AG1154" s="2867"/>
      <c r="AH1154" s="2867"/>
      <c r="AI1154" s="2867"/>
      <c r="AJ1154" s="2867"/>
      <c r="AK1154" s="2867"/>
      <c r="AL1154" s="2867"/>
      <c r="AM1154" s="2867"/>
      <c r="AN1154" s="2867"/>
      <c r="AO1154" s="2867"/>
      <c r="AP1154" s="2867"/>
      <c r="AQ1154" s="2867"/>
      <c r="AR1154" s="2867"/>
      <c r="AS1154" s="2867"/>
      <c r="AT1154" s="2867"/>
      <c r="AU1154" s="2867"/>
      <c r="AV1154" s="2867"/>
      <c r="AW1154" s="2867"/>
      <c r="AX1154" s="2867"/>
      <c r="AY1154" s="2867"/>
      <c r="AZ1154" s="2867"/>
      <c r="BA1154" s="2867"/>
      <c r="BB1154" s="2867"/>
      <c r="BC1154" s="2867"/>
      <c r="BD1154" s="2867"/>
      <c r="BE1154" s="2867"/>
      <c r="BF1154" s="2867"/>
      <c r="BG1154" s="2867"/>
      <c r="BH1154" s="2867"/>
      <c r="BI1154" s="2867"/>
      <c r="BJ1154" s="2867"/>
      <c r="BK1154" s="2867"/>
      <c r="BL1154" s="2867"/>
      <c r="BM1154" s="2867"/>
      <c r="BN1154" s="2867"/>
      <c r="BO1154" s="2867"/>
      <c r="BP1154" s="2867"/>
      <c r="BQ1154" s="2867"/>
      <c r="BR1154" s="2867"/>
      <c r="BS1154" s="2867"/>
      <c r="BT1154" s="2867"/>
      <c r="BU1154" s="2867"/>
      <c r="BV1154" s="2867"/>
      <c r="BW1154" s="2867"/>
      <c r="BX1154" s="2867"/>
      <c r="BY1154" s="2867"/>
      <c r="BZ1154" s="2867"/>
      <c r="CA1154" s="2867"/>
      <c r="CB1154" s="2867"/>
      <c r="CC1154" s="2867"/>
      <c r="CD1154" s="2867"/>
      <c r="CE1154" s="2867"/>
      <c r="CF1154" s="2867"/>
      <c r="CG1154" s="2867"/>
      <c r="CH1154" s="2867"/>
      <c r="CI1154" s="2867"/>
      <c r="CJ1154" s="2867"/>
      <c r="CK1154" s="2867"/>
      <c r="CL1154" s="2867"/>
      <c r="CM1154" s="2867"/>
      <c r="CN1154" s="2867"/>
      <c r="CO1154" s="2867"/>
      <c r="CP1154" s="2867"/>
      <c r="CQ1154" s="2867"/>
      <c r="CR1154" s="2867"/>
      <c r="CS1154" s="2867"/>
      <c r="CT1154" s="2867"/>
      <c r="CU1154" s="2867"/>
      <c r="CV1154" s="2867"/>
      <c r="CW1154" s="2867"/>
    </row>
    <row r="1155" spans="1:101">
      <c r="A1155" s="2867"/>
      <c r="B1155" s="2867"/>
      <c r="C1155" s="2867"/>
      <c r="D1155" s="2867"/>
      <c r="E1155" s="2867"/>
      <c r="F1155" s="2867"/>
      <c r="G1155" s="2867"/>
      <c r="H1155" s="2867"/>
      <c r="I1155" s="2867"/>
      <c r="J1155" s="2867"/>
      <c r="K1155" s="2867"/>
      <c r="L1155" s="2867"/>
      <c r="M1155" s="2867"/>
      <c r="O1155" s="2867"/>
      <c r="P1155" s="2867"/>
      <c r="Q1155" s="2867"/>
      <c r="R1155" s="2867"/>
      <c r="S1155" s="2867"/>
      <c r="T1155" s="2867"/>
      <c r="U1155" s="2867"/>
      <c r="V1155" s="2867"/>
      <c r="W1155" s="2867"/>
      <c r="X1155" s="2867"/>
      <c r="Y1155" s="2867"/>
      <c r="Z1155" s="2867"/>
      <c r="AA1155" s="2867"/>
      <c r="AB1155" s="2867"/>
      <c r="AC1155" s="2867"/>
      <c r="AD1155" s="2867"/>
      <c r="AE1155" s="2867"/>
      <c r="AF1155" s="2867"/>
      <c r="AG1155" s="2867"/>
      <c r="AH1155" s="2867"/>
      <c r="AI1155" s="2867"/>
      <c r="AJ1155" s="2867"/>
      <c r="AK1155" s="2867"/>
      <c r="AL1155" s="2867"/>
      <c r="AM1155" s="2867"/>
      <c r="AN1155" s="2867"/>
      <c r="AO1155" s="2867"/>
      <c r="AP1155" s="2867"/>
      <c r="AQ1155" s="2867"/>
      <c r="AR1155" s="2867"/>
      <c r="AS1155" s="2867"/>
      <c r="AT1155" s="2867"/>
      <c r="AU1155" s="2867"/>
      <c r="AV1155" s="2867"/>
      <c r="AW1155" s="2867"/>
      <c r="AX1155" s="2867"/>
      <c r="AY1155" s="2867"/>
      <c r="AZ1155" s="2867"/>
      <c r="BA1155" s="2867"/>
      <c r="BB1155" s="2867"/>
      <c r="BC1155" s="2867"/>
      <c r="BD1155" s="2867"/>
      <c r="BE1155" s="2867"/>
      <c r="BF1155" s="2867"/>
      <c r="BG1155" s="2867"/>
      <c r="BH1155" s="2867"/>
      <c r="BI1155" s="2867"/>
      <c r="BJ1155" s="2867"/>
      <c r="BK1155" s="2867"/>
      <c r="BL1155" s="2867"/>
      <c r="BM1155" s="2867"/>
      <c r="BN1155" s="2867"/>
      <c r="BO1155" s="2867"/>
      <c r="BP1155" s="2867"/>
      <c r="BQ1155" s="2867"/>
      <c r="BR1155" s="2867"/>
      <c r="BS1155" s="2867"/>
      <c r="BT1155" s="2867"/>
      <c r="BU1155" s="2867"/>
      <c r="BV1155" s="2867"/>
      <c r="BW1155" s="2867"/>
      <c r="BX1155" s="2867"/>
      <c r="BY1155" s="2867"/>
      <c r="BZ1155" s="2867"/>
      <c r="CA1155" s="2867"/>
      <c r="CB1155" s="2867"/>
      <c r="CC1155" s="2867"/>
      <c r="CD1155" s="2867"/>
      <c r="CE1155" s="2867"/>
      <c r="CF1155" s="2867"/>
      <c r="CG1155" s="2867"/>
      <c r="CH1155" s="2867"/>
      <c r="CI1155" s="2867"/>
      <c r="CJ1155" s="2867"/>
      <c r="CK1155" s="2867"/>
      <c r="CL1155" s="2867"/>
      <c r="CM1155" s="2867"/>
      <c r="CN1155" s="2867"/>
      <c r="CO1155" s="2867"/>
      <c r="CP1155" s="2867"/>
      <c r="CQ1155" s="2867"/>
      <c r="CR1155" s="2867"/>
      <c r="CS1155" s="2867"/>
      <c r="CT1155" s="2867"/>
      <c r="CU1155" s="2867"/>
      <c r="CV1155" s="2867"/>
      <c r="CW1155" s="2867"/>
    </row>
    <row r="1156" spans="1:101">
      <c r="A1156" s="2867"/>
      <c r="B1156" s="2867"/>
      <c r="C1156" s="2867"/>
      <c r="D1156" s="2867"/>
      <c r="E1156" s="2867"/>
      <c r="F1156" s="2867"/>
      <c r="G1156" s="2867"/>
      <c r="H1156" s="2867"/>
      <c r="I1156" s="2867"/>
      <c r="J1156" s="2867"/>
      <c r="K1156" s="2867"/>
      <c r="L1156" s="2867"/>
      <c r="M1156" s="2867"/>
      <c r="O1156" s="2867"/>
      <c r="P1156" s="2867"/>
      <c r="Q1156" s="2867"/>
      <c r="R1156" s="2867"/>
      <c r="S1156" s="2867"/>
      <c r="T1156" s="2867"/>
      <c r="U1156" s="2867"/>
      <c r="V1156" s="2867"/>
      <c r="W1156" s="2867"/>
      <c r="X1156" s="2867"/>
      <c r="Y1156" s="2867"/>
      <c r="Z1156" s="2867"/>
      <c r="AA1156" s="2867"/>
      <c r="AB1156" s="2867"/>
      <c r="AC1156" s="2867"/>
      <c r="AD1156" s="2867"/>
      <c r="AE1156" s="2867"/>
      <c r="AF1156" s="2867"/>
      <c r="AG1156" s="2867"/>
      <c r="AH1156" s="2867"/>
      <c r="AI1156" s="2867"/>
      <c r="AJ1156" s="2867"/>
      <c r="AK1156" s="2867"/>
      <c r="AL1156" s="2867"/>
      <c r="AM1156" s="2867"/>
      <c r="AN1156" s="2867"/>
      <c r="AO1156" s="2867"/>
      <c r="AP1156" s="2867"/>
      <c r="AQ1156" s="2867"/>
      <c r="AR1156" s="2867"/>
      <c r="AS1156" s="2867"/>
      <c r="AT1156" s="2867"/>
      <c r="AU1156" s="2867"/>
      <c r="AV1156" s="2867"/>
      <c r="AW1156" s="2867"/>
      <c r="AX1156" s="2867"/>
      <c r="AY1156" s="2867"/>
      <c r="AZ1156" s="2867"/>
      <c r="BA1156" s="2867"/>
      <c r="BB1156" s="2867"/>
      <c r="BC1156" s="2867"/>
      <c r="BD1156" s="2867"/>
      <c r="BE1156" s="2867"/>
      <c r="BF1156" s="2867"/>
      <c r="BG1156" s="2867"/>
      <c r="BH1156" s="2867"/>
      <c r="BI1156" s="2867"/>
      <c r="BJ1156" s="2867"/>
      <c r="BK1156" s="2867"/>
      <c r="BL1156" s="2867"/>
      <c r="BM1156" s="2867"/>
      <c r="BN1156" s="2867"/>
      <c r="BO1156" s="2867"/>
      <c r="BP1156" s="2867"/>
      <c r="BQ1156" s="2867"/>
      <c r="BR1156" s="2867"/>
      <c r="BS1156" s="2867"/>
      <c r="BT1156" s="2867"/>
      <c r="BU1156" s="2867"/>
      <c r="BV1156" s="2867"/>
      <c r="BW1156" s="2867"/>
      <c r="BX1156" s="2867"/>
      <c r="BY1156" s="2867"/>
      <c r="BZ1156" s="2867"/>
      <c r="CA1156" s="2867"/>
      <c r="CB1156" s="2867"/>
      <c r="CC1156" s="2867"/>
      <c r="CD1156" s="2867"/>
      <c r="CE1156" s="2867"/>
      <c r="CF1156" s="2867"/>
      <c r="CG1156" s="2867"/>
      <c r="CH1156" s="2867"/>
      <c r="CI1156" s="2867"/>
      <c r="CJ1156" s="2867"/>
      <c r="CK1156" s="2867"/>
      <c r="CL1156" s="2867"/>
      <c r="CM1156" s="2867"/>
      <c r="CN1156" s="2867"/>
      <c r="CO1156" s="2867"/>
      <c r="CP1156" s="2867"/>
      <c r="CQ1156" s="2867"/>
      <c r="CR1156" s="2867"/>
      <c r="CS1156" s="2867"/>
      <c r="CT1156" s="2867"/>
      <c r="CU1156" s="2867"/>
      <c r="CV1156" s="2867"/>
      <c r="CW1156" s="2867"/>
    </row>
    <row r="1157" spans="1:101">
      <c r="A1157" s="2867"/>
      <c r="B1157" s="2867"/>
      <c r="C1157" s="2867"/>
      <c r="D1157" s="2867"/>
      <c r="E1157" s="2867"/>
      <c r="F1157" s="2867"/>
      <c r="G1157" s="2867"/>
      <c r="H1157" s="2867"/>
      <c r="I1157" s="2867"/>
      <c r="J1157" s="2867"/>
      <c r="K1157" s="2867"/>
      <c r="L1157" s="2867"/>
      <c r="M1157" s="2867"/>
      <c r="O1157" s="2867"/>
      <c r="P1157" s="2867"/>
      <c r="Q1157" s="2867"/>
      <c r="R1157" s="2867"/>
      <c r="S1157" s="2867"/>
      <c r="T1157" s="2867"/>
      <c r="U1157" s="2867"/>
      <c r="V1157" s="2867"/>
      <c r="W1157" s="2867"/>
      <c r="X1157" s="2867"/>
      <c r="Y1157" s="2867"/>
      <c r="Z1157" s="2867"/>
      <c r="AA1157" s="2867"/>
      <c r="AB1157" s="2867"/>
      <c r="AC1157" s="2867"/>
      <c r="AD1157" s="2867"/>
      <c r="AE1157" s="2867"/>
      <c r="AF1157" s="2867"/>
      <c r="AG1157" s="2867"/>
      <c r="AH1157" s="2867"/>
      <c r="AI1157" s="2867"/>
      <c r="AJ1157" s="2867"/>
      <c r="AK1157" s="2867"/>
      <c r="AL1157" s="2867"/>
      <c r="AM1157" s="2867"/>
      <c r="AN1157" s="2867"/>
      <c r="AO1157" s="2867"/>
      <c r="AP1157" s="2867"/>
      <c r="AQ1157" s="2867"/>
      <c r="AR1157" s="2867"/>
      <c r="AS1157" s="2867"/>
      <c r="AT1157" s="2867"/>
      <c r="AU1157" s="2867"/>
      <c r="AV1157" s="2867"/>
      <c r="AW1157" s="2867"/>
      <c r="AX1157" s="2867"/>
      <c r="AY1157" s="2867"/>
      <c r="AZ1157" s="2867"/>
      <c r="BA1157" s="2867"/>
      <c r="BB1157" s="2867"/>
      <c r="BC1157" s="2867"/>
      <c r="BD1157" s="2867"/>
      <c r="BE1157" s="2867"/>
      <c r="BF1157" s="2867"/>
      <c r="BG1157" s="2867"/>
      <c r="BH1157" s="2867"/>
      <c r="BI1157" s="2867"/>
      <c r="BJ1157" s="2867"/>
      <c r="BK1157" s="2867"/>
      <c r="BL1157" s="2867"/>
      <c r="BM1157" s="2867"/>
      <c r="BN1157" s="2867"/>
      <c r="BO1157" s="2867"/>
      <c r="BP1157" s="2867"/>
      <c r="BQ1157" s="2867"/>
      <c r="BR1157" s="2867"/>
      <c r="BS1157" s="2867"/>
      <c r="BT1157" s="2867"/>
      <c r="BU1157" s="2867"/>
      <c r="BV1157" s="2867"/>
      <c r="BW1157" s="2867"/>
      <c r="BX1157" s="2867"/>
      <c r="BY1157" s="2867"/>
      <c r="BZ1157" s="2867"/>
      <c r="CA1157" s="2867"/>
      <c r="CB1157" s="2867"/>
      <c r="CC1157" s="2867"/>
      <c r="CD1157" s="2867"/>
      <c r="CE1157" s="2867"/>
      <c r="CF1157" s="2867"/>
      <c r="CG1157" s="2867"/>
      <c r="CH1157" s="2867"/>
      <c r="CI1157" s="2867"/>
      <c r="CJ1157" s="2867"/>
      <c r="CK1157" s="2867"/>
      <c r="CL1157" s="2867"/>
      <c r="CM1157" s="2867"/>
      <c r="CN1157" s="2867"/>
      <c r="CO1157" s="2867"/>
      <c r="CP1157" s="2867"/>
      <c r="CQ1157" s="2867"/>
      <c r="CR1157" s="2867"/>
      <c r="CS1157" s="2867"/>
      <c r="CT1157" s="2867"/>
      <c r="CU1157" s="2867"/>
      <c r="CV1157" s="2867"/>
      <c r="CW1157" s="2867"/>
    </row>
    <row r="1158" spans="1:101">
      <c r="A1158" s="2867"/>
      <c r="B1158" s="2867"/>
      <c r="C1158" s="2867"/>
      <c r="D1158" s="2867"/>
      <c r="E1158" s="2867"/>
      <c r="F1158" s="2867"/>
      <c r="G1158" s="2867"/>
      <c r="H1158" s="2867"/>
      <c r="I1158" s="2867"/>
      <c r="J1158" s="2867"/>
      <c r="K1158" s="2867"/>
      <c r="L1158" s="2867"/>
      <c r="M1158" s="2867"/>
      <c r="O1158" s="2867"/>
      <c r="P1158" s="2867"/>
      <c r="Q1158" s="2867"/>
      <c r="R1158" s="2867"/>
      <c r="S1158" s="2867"/>
      <c r="T1158" s="2867"/>
      <c r="U1158" s="2867"/>
      <c r="V1158" s="2867"/>
      <c r="W1158" s="2867"/>
      <c r="X1158" s="2867"/>
      <c r="Y1158" s="2867"/>
      <c r="Z1158" s="2867"/>
      <c r="AA1158" s="2867"/>
      <c r="AB1158" s="2867"/>
      <c r="AC1158" s="2867"/>
      <c r="AD1158" s="2867"/>
      <c r="AE1158" s="2867"/>
      <c r="AF1158" s="2867"/>
      <c r="AG1158" s="2867"/>
      <c r="AH1158" s="2867"/>
      <c r="AI1158" s="2867"/>
      <c r="AJ1158" s="2867"/>
      <c r="AK1158" s="2867"/>
      <c r="AL1158" s="2867"/>
      <c r="AM1158" s="2867"/>
      <c r="AN1158" s="2867"/>
      <c r="AO1158" s="2867"/>
      <c r="AP1158" s="2867"/>
      <c r="AQ1158" s="2867"/>
      <c r="AR1158" s="2867"/>
      <c r="AS1158" s="2867"/>
      <c r="AT1158" s="2867"/>
      <c r="AU1158" s="2867"/>
      <c r="AV1158" s="2867"/>
      <c r="AW1158" s="2867"/>
      <c r="AX1158" s="2867"/>
      <c r="AY1158" s="2867"/>
      <c r="AZ1158" s="2867"/>
      <c r="BA1158" s="2867"/>
      <c r="BB1158" s="2867"/>
      <c r="BC1158" s="2867"/>
      <c r="BD1158" s="2867"/>
      <c r="BE1158" s="2867"/>
      <c r="BF1158" s="2867"/>
      <c r="BG1158" s="2867"/>
      <c r="BH1158" s="2867"/>
      <c r="BI1158" s="2867"/>
      <c r="BJ1158" s="2867"/>
      <c r="BK1158" s="2867"/>
      <c r="BL1158" s="2867"/>
      <c r="BM1158" s="2867"/>
      <c r="BN1158" s="2867"/>
      <c r="BO1158" s="2867"/>
      <c r="BP1158" s="2867"/>
      <c r="BQ1158" s="2867"/>
      <c r="BR1158" s="2867"/>
      <c r="BS1158" s="2867"/>
      <c r="BT1158" s="2867"/>
      <c r="BU1158" s="2867"/>
      <c r="BV1158" s="2867"/>
      <c r="BW1158" s="2867"/>
      <c r="BX1158" s="2867"/>
      <c r="BY1158" s="2867"/>
      <c r="BZ1158" s="2867"/>
      <c r="CA1158" s="2867"/>
      <c r="CB1158" s="2867"/>
      <c r="CC1158" s="2867"/>
      <c r="CD1158" s="2867"/>
      <c r="CE1158" s="2867"/>
      <c r="CF1158" s="2867"/>
      <c r="CG1158" s="2867"/>
      <c r="CH1158" s="2867"/>
      <c r="CI1158" s="2867"/>
      <c r="CJ1158" s="2867"/>
      <c r="CK1158" s="2867"/>
      <c r="CL1158" s="2867"/>
      <c r="CM1158" s="2867"/>
      <c r="CN1158" s="2867"/>
      <c r="CO1158" s="2867"/>
      <c r="CP1158" s="2867"/>
      <c r="CQ1158" s="2867"/>
      <c r="CR1158" s="2867"/>
      <c r="CS1158" s="2867"/>
      <c r="CT1158" s="2867"/>
      <c r="CU1158" s="2867"/>
      <c r="CV1158" s="2867"/>
      <c r="CW1158" s="2867"/>
    </row>
    <row r="1159" spans="1:101">
      <c r="A1159" s="2867"/>
      <c r="B1159" s="2867"/>
      <c r="C1159" s="2867"/>
      <c r="D1159" s="2867"/>
      <c r="E1159" s="2867"/>
      <c r="F1159" s="2867"/>
      <c r="G1159" s="2867"/>
      <c r="H1159" s="2867"/>
      <c r="I1159" s="2867"/>
      <c r="J1159" s="2867"/>
      <c r="K1159" s="2867"/>
      <c r="L1159" s="2867"/>
      <c r="M1159" s="2867"/>
      <c r="O1159" s="2867"/>
      <c r="P1159" s="2867"/>
      <c r="Q1159" s="2867"/>
      <c r="R1159" s="2867"/>
      <c r="S1159" s="2867"/>
      <c r="T1159" s="2867"/>
      <c r="U1159" s="2867"/>
      <c r="V1159" s="2867"/>
      <c r="W1159" s="2867"/>
      <c r="X1159" s="2867"/>
      <c r="Y1159" s="2867"/>
      <c r="Z1159" s="2867"/>
      <c r="AA1159" s="2867"/>
      <c r="AB1159" s="2867"/>
      <c r="AC1159" s="2867"/>
      <c r="AD1159" s="2867"/>
      <c r="AE1159" s="2867"/>
      <c r="AF1159" s="2867"/>
      <c r="AG1159" s="2867"/>
      <c r="AH1159" s="2867"/>
      <c r="AI1159" s="2867"/>
      <c r="AJ1159" s="2867"/>
      <c r="AK1159" s="2867"/>
      <c r="AL1159" s="2867"/>
      <c r="AM1159" s="2867"/>
      <c r="AN1159" s="2867"/>
      <c r="AO1159" s="2867"/>
      <c r="AP1159" s="2867"/>
      <c r="AQ1159" s="2867"/>
      <c r="AR1159" s="2867"/>
      <c r="AS1159" s="2867"/>
      <c r="AT1159" s="2867"/>
      <c r="AU1159" s="2867"/>
      <c r="AV1159" s="2867"/>
      <c r="AW1159" s="2867"/>
      <c r="AX1159" s="2867"/>
      <c r="AY1159" s="2867"/>
      <c r="AZ1159" s="2867"/>
      <c r="BA1159" s="2867"/>
      <c r="BB1159" s="2867"/>
      <c r="BC1159" s="2867"/>
      <c r="BD1159" s="2867"/>
      <c r="BE1159" s="2867"/>
      <c r="BF1159" s="2867"/>
      <c r="BG1159" s="2867"/>
      <c r="BH1159" s="2867"/>
      <c r="BI1159" s="2867"/>
      <c r="BJ1159" s="2867"/>
      <c r="BK1159" s="2867"/>
      <c r="BL1159" s="2867"/>
      <c r="BM1159" s="2867"/>
      <c r="BN1159" s="2867"/>
      <c r="BO1159" s="2867"/>
      <c r="BP1159" s="2867"/>
      <c r="BQ1159" s="2867"/>
      <c r="BR1159" s="2867"/>
      <c r="BS1159" s="2867"/>
      <c r="BT1159" s="2867"/>
      <c r="BU1159" s="2867"/>
      <c r="BV1159" s="2867"/>
      <c r="BW1159" s="2867"/>
      <c r="BX1159" s="2867"/>
      <c r="BY1159" s="2867"/>
      <c r="BZ1159" s="2867"/>
      <c r="CA1159" s="2867"/>
      <c r="CB1159" s="2867"/>
      <c r="CC1159" s="2867"/>
      <c r="CD1159" s="2867"/>
      <c r="CE1159" s="2867"/>
      <c r="CF1159" s="2867"/>
      <c r="CG1159" s="2867"/>
      <c r="CH1159" s="2867"/>
      <c r="CI1159" s="2867"/>
      <c r="CJ1159" s="2867"/>
      <c r="CK1159" s="2867"/>
      <c r="CL1159" s="2867"/>
      <c r="CM1159" s="2867"/>
      <c r="CN1159" s="2867"/>
      <c r="CO1159" s="2867"/>
      <c r="CP1159" s="2867"/>
      <c r="CQ1159" s="2867"/>
      <c r="CR1159" s="2867"/>
      <c r="CS1159" s="2867"/>
      <c r="CT1159" s="2867"/>
      <c r="CU1159" s="2867"/>
      <c r="CV1159" s="2867"/>
      <c r="CW1159" s="2867"/>
    </row>
    <row r="1160" spans="1:101">
      <c r="A1160" s="2867"/>
      <c r="B1160" s="2867"/>
      <c r="C1160" s="2867"/>
      <c r="D1160" s="2867"/>
      <c r="E1160" s="2867"/>
      <c r="F1160" s="2867"/>
      <c r="G1160" s="2867"/>
      <c r="H1160" s="2867"/>
      <c r="I1160" s="2867"/>
      <c r="J1160" s="2867"/>
      <c r="K1160" s="2867"/>
      <c r="L1160" s="2867"/>
      <c r="M1160" s="2867"/>
      <c r="O1160" s="2867"/>
      <c r="P1160" s="2867"/>
      <c r="Q1160" s="2867"/>
      <c r="R1160" s="2867"/>
      <c r="S1160" s="2867"/>
      <c r="T1160" s="2867"/>
      <c r="U1160" s="2867"/>
      <c r="V1160" s="2867"/>
      <c r="W1160" s="2867"/>
      <c r="X1160" s="2867"/>
      <c r="Y1160" s="2867"/>
      <c r="Z1160" s="2867"/>
      <c r="AA1160" s="2867"/>
      <c r="AB1160" s="2867"/>
      <c r="AC1160" s="2867"/>
      <c r="AD1160" s="2867"/>
      <c r="AE1160" s="2867"/>
      <c r="AF1160" s="2867"/>
      <c r="AG1160" s="2867"/>
      <c r="AH1160" s="2867"/>
      <c r="AI1160" s="2867"/>
      <c r="AJ1160" s="2867"/>
      <c r="AK1160" s="2867"/>
      <c r="AL1160" s="2867"/>
      <c r="AM1160" s="2867"/>
      <c r="AN1160" s="2867"/>
      <c r="AO1160" s="2867"/>
      <c r="AP1160" s="2867"/>
      <c r="AQ1160" s="2867"/>
      <c r="AR1160" s="2867"/>
      <c r="AS1160" s="2867"/>
      <c r="AT1160" s="2867"/>
      <c r="AU1160" s="2867"/>
      <c r="AV1160" s="2867"/>
      <c r="AW1160" s="2867"/>
      <c r="AX1160" s="2867"/>
      <c r="AY1160" s="2867"/>
      <c r="AZ1160" s="2867"/>
      <c r="BA1160" s="2867"/>
      <c r="BB1160" s="2867"/>
      <c r="BC1160" s="2867"/>
      <c r="BD1160" s="2867"/>
      <c r="BE1160" s="2867"/>
      <c r="BF1160" s="2867"/>
      <c r="BG1160" s="2867"/>
      <c r="BH1160" s="2867"/>
      <c r="BI1160" s="2867"/>
      <c r="BJ1160" s="2867"/>
      <c r="BK1160" s="2867"/>
      <c r="BL1160" s="2867"/>
      <c r="BM1160" s="2867"/>
      <c r="BN1160" s="2867"/>
      <c r="BO1160" s="2867"/>
      <c r="BP1160" s="2867"/>
      <c r="BQ1160" s="2867"/>
      <c r="BR1160" s="2867"/>
      <c r="BS1160" s="2867"/>
      <c r="BT1160" s="2867"/>
      <c r="BU1160" s="2867"/>
      <c r="BV1160" s="2867"/>
      <c r="BW1160" s="2867"/>
      <c r="BX1160" s="2867"/>
      <c r="BY1160" s="2867"/>
      <c r="BZ1160" s="2867"/>
      <c r="CA1160" s="2867"/>
      <c r="CB1160" s="2867"/>
      <c r="CC1160" s="2867"/>
      <c r="CD1160" s="2867"/>
      <c r="CE1160" s="2867"/>
      <c r="CF1160" s="2867"/>
      <c r="CG1160" s="2867"/>
      <c r="CH1160" s="2867"/>
      <c r="CI1160" s="2867"/>
      <c r="CJ1160" s="2867"/>
      <c r="CK1160" s="2867"/>
      <c r="CL1160" s="2867"/>
      <c r="CM1160" s="2867"/>
      <c r="CN1160" s="2867"/>
      <c r="CO1160" s="2867"/>
      <c r="CP1160" s="2867"/>
      <c r="CQ1160" s="2867"/>
      <c r="CR1160" s="2867"/>
      <c r="CS1160" s="2867"/>
      <c r="CT1160" s="2867"/>
      <c r="CU1160" s="2867"/>
      <c r="CV1160" s="2867"/>
      <c r="CW1160" s="2867"/>
    </row>
    <row r="1161" spans="1:101">
      <c r="A1161" s="2867"/>
      <c r="B1161" s="2867"/>
      <c r="C1161" s="2867"/>
      <c r="D1161" s="2867"/>
      <c r="E1161" s="2867"/>
      <c r="F1161" s="2867"/>
      <c r="G1161" s="2867"/>
      <c r="H1161" s="2867"/>
      <c r="I1161" s="2867"/>
      <c r="J1161" s="2867"/>
      <c r="K1161" s="2867"/>
      <c r="L1161" s="2867"/>
      <c r="M1161" s="2867"/>
      <c r="O1161" s="2867"/>
      <c r="P1161" s="2867"/>
      <c r="Q1161" s="2867"/>
      <c r="R1161" s="2867"/>
      <c r="S1161" s="2867"/>
      <c r="T1161" s="2867"/>
      <c r="U1161" s="2867"/>
      <c r="V1161" s="2867"/>
      <c r="W1161" s="2867"/>
      <c r="X1161" s="2867"/>
      <c r="Y1161" s="2867"/>
      <c r="Z1161" s="2867"/>
      <c r="AA1161" s="2867"/>
      <c r="AB1161" s="2867"/>
      <c r="AC1161" s="2867"/>
      <c r="AD1161" s="2867"/>
      <c r="AE1161" s="2867"/>
      <c r="AF1161" s="2867"/>
      <c r="AG1161" s="2867"/>
      <c r="AH1161" s="2867"/>
      <c r="AI1161" s="2867"/>
      <c r="AJ1161" s="2867"/>
      <c r="AK1161" s="2867"/>
      <c r="AL1161" s="2867"/>
      <c r="AM1161" s="2867"/>
      <c r="AN1161" s="2867"/>
      <c r="AO1161" s="2867"/>
      <c r="AP1161" s="2867"/>
      <c r="AQ1161" s="2867"/>
      <c r="AR1161" s="2867"/>
      <c r="AS1161" s="2867"/>
      <c r="AT1161" s="2867"/>
      <c r="AU1161" s="2867"/>
      <c r="AV1161" s="2867"/>
      <c r="AW1161" s="2867"/>
      <c r="AX1161" s="2867"/>
      <c r="AY1161" s="2867"/>
      <c r="AZ1161" s="2867"/>
      <c r="BA1161" s="2867"/>
      <c r="BB1161" s="2867"/>
      <c r="BC1161" s="2867"/>
      <c r="BD1161" s="2867"/>
      <c r="BE1161" s="2867"/>
      <c r="BF1161" s="2867"/>
      <c r="BG1161" s="2867"/>
      <c r="BH1161" s="2867"/>
      <c r="BI1161" s="2867"/>
      <c r="BJ1161" s="2867"/>
      <c r="BK1161" s="2867"/>
      <c r="BL1161" s="2867"/>
      <c r="BM1161" s="2867"/>
      <c r="BN1161" s="2867"/>
      <c r="BO1161" s="2867"/>
      <c r="BP1161" s="2867"/>
      <c r="BQ1161" s="2867"/>
      <c r="BR1161" s="2867"/>
      <c r="BS1161" s="2867"/>
      <c r="BT1161" s="2867"/>
      <c r="BU1161" s="2867"/>
      <c r="BV1161" s="2867"/>
      <c r="BW1161" s="2867"/>
      <c r="BX1161" s="2867"/>
      <c r="BY1161" s="2867"/>
      <c r="BZ1161" s="2867"/>
      <c r="CA1161" s="2867"/>
      <c r="CB1161" s="2867"/>
      <c r="CC1161" s="2867"/>
      <c r="CD1161" s="2867"/>
      <c r="CE1161" s="2867"/>
      <c r="CF1161" s="2867"/>
      <c r="CG1161" s="2867"/>
      <c r="CH1161" s="2867"/>
      <c r="CI1161" s="2867"/>
      <c r="CJ1161" s="2867"/>
      <c r="CK1161" s="2867"/>
      <c r="CL1161" s="2867"/>
      <c r="CM1161" s="2867"/>
      <c r="CN1161" s="2867"/>
      <c r="CO1161" s="2867"/>
      <c r="CP1161" s="2867"/>
      <c r="CQ1161" s="2867"/>
      <c r="CR1161" s="2867"/>
      <c r="CS1161" s="2867"/>
      <c r="CT1161" s="2867"/>
      <c r="CU1161" s="2867"/>
      <c r="CV1161" s="2867"/>
      <c r="CW1161" s="2867"/>
    </row>
    <row r="1162" spans="1:101">
      <c r="A1162" s="2867"/>
      <c r="B1162" s="2867"/>
      <c r="C1162" s="2867"/>
      <c r="D1162" s="2867"/>
      <c r="E1162" s="2867"/>
      <c r="F1162" s="2867"/>
      <c r="G1162" s="2867"/>
      <c r="H1162" s="2867"/>
      <c r="I1162" s="2867"/>
      <c r="J1162" s="2867"/>
      <c r="K1162" s="2867"/>
      <c r="L1162" s="2867"/>
      <c r="M1162" s="2867"/>
      <c r="O1162" s="2867"/>
      <c r="P1162" s="2867"/>
      <c r="Q1162" s="2867"/>
      <c r="R1162" s="2867"/>
      <c r="S1162" s="2867"/>
      <c r="T1162" s="2867"/>
      <c r="U1162" s="2867"/>
      <c r="V1162" s="2867"/>
      <c r="W1162" s="2867"/>
      <c r="X1162" s="2867"/>
      <c r="Y1162" s="2867"/>
      <c r="Z1162" s="2867"/>
      <c r="AA1162" s="2867"/>
      <c r="AB1162" s="2867"/>
      <c r="AC1162" s="2867"/>
      <c r="AD1162" s="2867"/>
      <c r="AE1162" s="2867"/>
      <c r="AF1162" s="2867"/>
      <c r="AG1162" s="2867"/>
      <c r="AH1162" s="2867"/>
      <c r="AI1162" s="2867"/>
      <c r="AJ1162" s="2867"/>
      <c r="AK1162" s="2867"/>
      <c r="AL1162" s="2867"/>
      <c r="AM1162" s="2867"/>
      <c r="AN1162" s="2867"/>
      <c r="AO1162" s="2867"/>
      <c r="AP1162" s="2867"/>
      <c r="AQ1162" s="2867"/>
      <c r="AR1162" s="2867"/>
      <c r="AS1162" s="2867"/>
      <c r="AT1162" s="2867"/>
      <c r="AU1162" s="2867"/>
      <c r="AV1162" s="2867"/>
      <c r="AW1162" s="2867"/>
      <c r="AX1162" s="2867"/>
      <c r="AY1162" s="2867"/>
      <c r="AZ1162" s="2867"/>
      <c r="BA1162" s="2867"/>
      <c r="BB1162" s="2867"/>
      <c r="BC1162" s="2867"/>
      <c r="BD1162" s="2867"/>
      <c r="BE1162" s="2867"/>
      <c r="BF1162" s="2867"/>
      <c r="BG1162" s="2867"/>
      <c r="BH1162" s="2867"/>
      <c r="BI1162" s="2867"/>
      <c r="BJ1162" s="2867"/>
      <c r="BK1162" s="2867"/>
      <c r="BL1162" s="2867"/>
      <c r="BM1162" s="2867"/>
      <c r="BN1162" s="2867"/>
      <c r="BO1162" s="2867"/>
      <c r="BP1162" s="2867"/>
      <c r="BQ1162" s="2867"/>
      <c r="BR1162" s="2867"/>
      <c r="BS1162" s="2867"/>
      <c r="BT1162" s="2867"/>
      <c r="BU1162" s="2867"/>
      <c r="BV1162" s="2867"/>
      <c r="BW1162" s="2867"/>
      <c r="BX1162" s="2867"/>
      <c r="BY1162" s="2867"/>
      <c r="BZ1162" s="2867"/>
      <c r="CA1162" s="2867"/>
      <c r="CB1162" s="2867"/>
      <c r="CC1162" s="2867"/>
      <c r="CD1162" s="2867"/>
      <c r="CE1162" s="2867"/>
      <c r="CF1162" s="2867"/>
      <c r="CG1162" s="2867"/>
      <c r="CH1162" s="2867"/>
      <c r="CI1162" s="2867"/>
      <c r="CJ1162" s="2867"/>
      <c r="CK1162" s="2867"/>
      <c r="CL1162" s="2867"/>
      <c r="CM1162" s="2867"/>
      <c r="CN1162" s="2867"/>
      <c r="CO1162" s="2867"/>
      <c r="CP1162" s="2867"/>
      <c r="CQ1162" s="2867"/>
      <c r="CR1162" s="2867"/>
      <c r="CS1162" s="2867"/>
      <c r="CT1162" s="2867"/>
      <c r="CU1162" s="2867"/>
      <c r="CV1162" s="2867"/>
      <c r="CW1162" s="2867"/>
    </row>
    <row r="1163" spans="1:101">
      <c r="A1163" s="2867"/>
      <c r="B1163" s="2867"/>
      <c r="C1163" s="2867"/>
      <c r="D1163" s="2867"/>
      <c r="E1163" s="2867"/>
      <c r="F1163" s="2867"/>
      <c r="G1163" s="2867"/>
      <c r="H1163" s="2867"/>
      <c r="I1163" s="2867"/>
      <c r="J1163" s="2867"/>
      <c r="K1163" s="2867"/>
      <c r="L1163" s="2867"/>
      <c r="M1163" s="2867"/>
      <c r="O1163" s="2867"/>
      <c r="P1163" s="2867"/>
      <c r="Q1163" s="2867"/>
      <c r="R1163" s="2867"/>
      <c r="S1163" s="2867"/>
      <c r="T1163" s="2867"/>
      <c r="U1163" s="2867"/>
      <c r="V1163" s="2867"/>
      <c r="W1163" s="2867"/>
      <c r="X1163" s="2867"/>
      <c r="Y1163" s="2867"/>
      <c r="Z1163" s="2867"/>
      <c r="AA1163" s="2867"/>
      <c r="AB1163" s="2867"/>
      <c r="AC1163" s="2867"/>
      <c r="AD1163" s="2867"/>
      <c r="AE1163" s="2867"/>
      <c r="AF1163" s="2867"/>
      <c r="AG1163" s="2867"/>
      <c r="AH1163" s="2867"/>
      <c r="AI1163" s="2867"/>
      <c r="AJ1163" s="2867"/>
      <c r="AK1163" s="2867"/>
      <c r="AL1163" s="2867"/>
      <c r="AM1163" s="2867"/>
      <c r="AN1163" s="2867"/>
      <c r="AO1163" s="2867"/>
      <c r="AP1163" s="2867"/>
      <c r="AQ1163" s="2867"/>
      <c r="AR1163" s="2867"/>
      <c r="AS1163" s="2867"/>
      <c r="AT1163" s="2867"/>
      <c r="AU1163" s="2867"/>
      <c r="AV1163" s="2867"/>
      <c r="AW1163" s="2867"/>
      <c r="AX1163" s="2867"/>
      <c r="AY1163" s="2867"/>
      <c r="AZ1163" s="2867"/>
      <c r="BA1163" s="2867"/>
      <c r="BB1163" s="2867"/>
      <c r="BC1163" s="2867"/>
      <c r="BD1163" s="2867"/>
      <c r="BE1163" s="2867"/>
      <c r="BF1163" s="2867"/>
      <c r="BG1163" s="2867"/>
      <c r="BH1163" s="2867"/>
      <c r="BI1163" s="2867"/>
      <c r="BJ1163" s="2867"/>
      <c r="BK1163" s="2867"/>
      <c r="BL1163" s="2867"/>
      <c r="BM1163" s="2867"/>
      <c r="BN1163" s="2867"/>
      <c r="BO1163" s="2867"/>
      <c r="BP1163" s="2867"/>
      <c r="BQ1163" s="2867"/>
      <c r="BR1163" s="2867"/>
      <c r="BS1163" s="2867"/>
      <c r="BT1163" s="2867"/>
      <c r="BU1163" s="2867"/>
      <c r="BV1163" s="2867"/>
      <c r="BW1163" s="2867"/>
      <c r="BX1163" s="2867"/>
      <c r="BY1163" s="2867"/>
      <c r="BZ1163" s="2867"/>
      <c r="CA1163" s="2867"/>
      <c r="CB1163" s="2867"/>
      <c r="CC1163" s="2867"/>
      <c r="CD1163" s="2867"/>
      <c r="CE1163" s="2867"/>
      <c r="CF1163" s="2867"/>
      <c r="CG1163" s="2867"/>
      <c r="CH1163" s="2867"/>
      <c r="CI1163" s="2867"/>
      <c r="CJ1163" s="2867"/>
      <c r="CK1163" s="2867"/>
      <c r="CL1163" s="2867"/>
      <c r="CM1163" s="2867"/>
      <c r="CN1163" s="2867"/>
      <c r="CO1163" s="2867"/>
      <c r="CP1163" s="2867"/>
      <c r="CQ1163" s="2867"/>
      <c r="CR1163" s="2867"/>
      <c r="CS1163" s="2867"/>
      <c r="CT1163" s="2867"/>
      <c r="CU1163" s="2867"/>
      <c r="CV1163" s="2867"/>
      <c r="CW1163" s="2867"/>
    </row>
    <row r="1164" spans="1:101">
      <c r="A1164" s="2867"/>
      <c r="B1164" s="2867"/>
      <c r="C1164" s="2867"/>
      <c r="D1164" s="2867"/>
      <c r="E1164" s="2867"/>
      <c r="F1164" s="2867"/>
      <c r="G1164" s="2867"/>
      <c r="H1164" s="2867"/>
      <c r="I1164" s="2867"/>
      <c r="J1164" s="2867"/>
      <c r="K1164" s="2867"/>
      <c r="L1164" s="2867"/>
      <c r="M1164" s="2867"/>
      <c r="O1164" s="2867"/>
      <c r="P1164" s="2867"/>
      <c r="Q1164" s="2867"/>
      <c r="R1164" s="2867"/>
      <c r="S1164" s="2867"/>
      <c r="T1164" s="2867"/>
      <c r="U1164" s="2867"/>
      <c r="V1164" s="2867"/>
      <c r="W1164" s="2867"/>
      <c r="X1164" s="2867"/>
      <c r="Y1164" s="2867"/>
      <c r="Z1164" s="2867"/>
      <c r="AA1164" s="2867"/>
      <c r="AB1164" s="2867"/>
      <c r="AC1164" s="2867"/>
      <c r="AD1164" s="2867"/>
      <c r="AE1164" s="2867"/>
      <c r="AF1164" s="2867"/>
      <c r="AG1164" s="2867"/>
      <c r="AH1164" s="2867"/>
      <c r="AI1164" s="2867"/>
      <c r="AJ1164" s="2867"/>
      <c r="AK1164" s="2867"/>
      <c r="AL1164" s="2867"/>
      <c r="AM1164" s="2867"/>
      <c r="AN1164" s="2867"/>
      <c r="AO1164" s="2867"/>
      <c r="AP1164" s="2867"/>
      <c r="AQ1164" s="2867"/>
      <c r="AR1164" s="2867"/>
      <c r="AS1164" s="2867"/>
      <c r="AT1164" s="2867"/>
      <c r="AU1164" s="2867"/>
      <c r="AV1164" s="2867"/>
      <c r="AW1164" s="2867"/>
      <c r="AX1164" s="2867"/>
      <c r="AY1164" s="2867"/>
      <c r="AZ1164" s="2867"/>
      <c r="BA1164" s="2867"/>
      <c r="BB1164" s="2867"/>
      <c r="BC1164" s="2867"/>
      <c r="BD1164" s="2867"/>
      <c r="BE1164" s="2867"/>
      <c r="BF1164" s="2867"/>
      <c r="BG1164" s="2867"/>
      <c r="BH1164" s="2867"/>
      <c r="BI1164" s="2867"/>
      <c r="BJ1164" s="2867"/>
      <c r="BK1164" s="2867"/>
      <c r="BL1164" s="2867"/>
      <c r="BM1164" s="2867"/>
      <c r="BN1164" s="2867"/>
      <c r="BO1164" s="2867"/>
      <c r="BP1164" s="2867"/>
      <c r="BQ1164" s="2867"/>
      <c r="BR1164" s="2867"/>
      <c r="BS1164" s="2867"/>
      <c r="BT1164" s="2867"/>
      <c r="BU1164" s="2867"/>
      <c r="BV1164" s="2867"/>
      <c r="BW1164" s="2867"/>
      <c r="BX1164" s="2867"/>
      <c r="BY1164" s="2867"/>
      <c r="BZ1164" s="2867"/>
      <c r="CA1164" s="2867"/>
      <c r="CB1164" s="2867"/>
      <c r="CC1164" s="2867"/>
      <c r="CD1164" s="2867"/>
      <c r="CE1164" s="2867"/>
      <c r="CF1164" s="2867"/>
      <c r="CG1164" s="2867"/>
      <c r="CH1164" s="2867"/>
      <c r="CI1164" s="2867"/>
      <c r="CJ1164" s="2867"/>
      <c r="CK1164" s="2867"/>
      <c r="CL1164" s="2867"/>
      <c r="CM1164" s="2867"/>
      <c r="CN1164" s="2867"/>
      <c r="CO1164" s="2867"/>
      <c r="CP1164" s="2867"/>
      <c r="CQ1164" s="2867"/>
      <c r="CR1164" s="2867"/>
      <c r="CS1164" s="2867"/>
      <c r="CT1164" s="2867"/>
      <c r="CU1164" s="2867"/>
      <c r="CV1164" s="2867"/>
      <c r="CW1164" s="2867"/>
    </row>
    <row r="1165" spans="1:101">
      <c r="A1165" s="2867"/>
      <c r="B1165" s="2867"/>
      <c r="C1165" s="2867"/>
      <c r="D1165" s="2867"/>
      <c r="E1165" s="2867"/>
      <c r="F1165" s="2867"/>
      <c r="G1165" s="2867"/>
      <c r="H1165" s="2867"/>
      <c r="I1165" s="2867"/>
      <c r="J1165" s="2867"/>
      <c r="K1165" s="2867"/>
      <c r="L1165" s="2867"/>
      <c r="M1165" s="2867"/>
      <c r="O1165" s="2867"/>
      <c r="P1165" s="2867"/>
      <c r="Q1165" s="2867"/>
      <c r="R1165" s="2867"/>
      <c r="S1165" s="2867"/>
      <c r="T1165" s="2867"/>
      <c r="U1165" s="2867"/>
      <c r="V1165" s="2867"/>
      <c r="W1165" s="2867"/>
      <c r="X1165" s="2867"/>
      <c r="Y1165" s="2867"/>
      <c r="Z1165" s="2867"/>
      <c r="AA1165" s="2867"/>
      <c r="AB1165" s="2867"/>
      <c r="AC1165" s="2867"/>
      <c r="AD1165" s="2867"/>
      <c r="AE1165" s="2867"/>
      <c r="AF1165" s="2867"/>
      <c r="AG1165" s="2867"/>
      <c r="AH1165" s="2867"/>
      <c r="AI1165" s="2867"/>
      <c r="AJ1165" s="2867"/>
      <c r="AK1165" s="2867"/>
      <c r="AL1165" s="2867"/>
      <c r="AM1165" s="2867"/>
      <c r="AN1165" s="2867"/>
      <c r="AO1165" s="2867"/>
      <c r="AP1165" s="2867"/>
      <c r="AQ1165" s="2867"/>
      <c r="AR1165" s="2867"/>
      <c r="AS1165" s="2867"/>
      <c r="AT1165" s="2867"/>
      <c r="AU1165" s="2867"/>
      <c r="AV1165" s="2867"/>
      <c r="AW1165" s="2867"/>
      <c r="AX1165" s="2867"/>
      <c r="AY1165" s="2867"/>
      <c r="AZ1165" s="2867"/>
      <c r="BA1165" s="2867"/>
      <c r="BB1165" s="2867"/>
      <c r="BC1165" s="2867"/>
      <c r="BD1165" s="2867"/>
      <c r="BE1165" s="2867"/>
      <c r="BF1165" s="2867"/>
      <c r="BG1165" s="2867"/>
      <c r="BH1165" s="2867"/>
      <c r="BI1165" s="2867"/>
      <c r="BJ1165" s="2867"/>
      <c r="BK1165" s="2867"/>
      <c r="BL1165" s="2867"/>
      <c r="BM1165" s="2867"/>
      <c r="BN1165" s="2867"/>
      <c r="BO1165" s="2867"/>
      <c r="BP1165" s="2867"/>
      <c r="BQ1165" s="2867"/>
      <c r="BR1165" s="2867"/>
      <c r="BS1165" s="2867"/>
      <c r="BT1165" s="2867"/>
      <c r="BU1165" s="2867"/>
      <c r="BV1165" s="2867"/>
      <c r="BW1165" s="2867"/>
      <c r="BX1165" s="2867"/>
      <c r="BY1165" s="2867"/>
      <c r="BZ1165" s="2867"/>
      <c r="CA1165" s="2867"/>
      <c r="CB1165" s="2867"/>
      <c r="CC1165" s="2867"/>
      <c r="CD1165" s="2867"/>
      <c r="CE1165" s="2867"/>
      <c r="CF1165" s="2867"/>
      <c r="CG1165" s="2867"/>
      <c r="CH1165" s="2867"/>
      <c r="CI1165" s="2867"/>
      <c r="CJ1165" s="2867"/>
      <c r="CK1165" s="2867"/>
      <c r="CL1165" s="2867"/>
      <c r="CM1165" s="2867"/>
      <c r="CN1165" s="2867"/>
      <c r="CO1165" s="2867"/>
      <c r="CP1165" s="2867"/>
      <c r="CQ1165" s="2867"/>
      <c r="CR1165" s="2867"/>
      <c r="CS1165" s="2867"/>
      <c r="CT1165" s="2867"/>
      <c r="CU1165" s="2867"/>
      <c r="CV1165" s="2867"/>
      <c r="CW1165" s="2867"/>
    </row>
    <row r="1166" spans="1:101">
      <c r="A1166" s="2867"/>
      <c r="B1166" s="2867"/>
      <c r="C1166" s="2867"/>
      <c r="D1166" s="2867"/>
      <c r="E1166" s="2867"/>
      <c r="F1166" s="2867"/>
      <c r="G1166" s="2867"/>
      <c r="H1166" s="2867"/>
      <c r="I1166" s="2867"/>
      <c r="J1166" s="2867"/>
      <c r="K1166" s="2867"/>
      <c r="L1166" s="2867"/>
      <c r="M1166" s="2867"/>
      <c r="O1166" s="2867"/>
      <c r="P1166" s="2867"/>
      <c r="Q1166" s="2867"/>
      <c r="R1166" s="2867"/>
      <c r="S1166" s="2867"/>
      <c r="T1166" s="2867"/>
      <c r="U1166" s="2867"/>
      <c r="V1166" s="2867"/>
      <c r="W1166" s="2867"/>
      <c r="X1166" s="2867"/>
      <c r="Y1166" s="2867"/>
      <c r="Z1166" s="2867"/>
      <c r="AA1166" s="2867"/>
      <c r="AB1166" s="2867"/>
      <c r="AC1166" s="2867"/>
      <c r="AD1166" s="2867"/>
      <c r="AE1166" s="2867"/>
      <c r="AF1166" s="2867"/>
      <c r="AG1166" s="2867"/>
      <c r="AH1166" s="2867"/>
      <c r="AI1166" s="2867"/>
      <c r="AJ1166" s="2867"/>
      <c r="AK1166" s="2867"/>
      <c r="AL1166" s="2867"/>
      <c r="AM1166" s="2867"/>
      <c r="AN1166" s="2867"/>
      <c r="AO1166" s="2867"/>
      <c r="AP1166" s="2867"/>
      <c r="AQ1166" s="2867"/>
      <c r="AR1166" s="2867"/>
      <c r="AS1166" s="2867"/>
      <c r="AT1166" s="2867"/>
      <c r="AU1166" s="2867"/>
      <c r="AV1166" s="2867"/>
      <c r="AW1166" s="2867"/>
      <c r="AX1166" s="2867"/>
      <c r="AY1166" s="2867"/>
      <c r="AZ1166" s="2867"/>
      <c r="BA1166" s="2867"/>
      <c r="BB1166" s="2867"/>
      <c r="BC1166" s="2867"/>
      <c r="BD1166" s="2867"/>
      <c r="BE1166" s="2867"/>
      <c r="BF1166" s="2867"/>
      <c r="BG1166" s="2867"/>
      <c r="BH1166" s="2867"/>
      <c r="BI1166" s="2867"/>
      <c r="BJ1166" s="2867"/>
      <c r="BK1166" s="2867"/>
      <c r="BL1166" s="2867"/>
      <c r="BM1166" s="2867"/>
      <c r="BN1166" s="2867"/>
      <c r="BO1166" s="2867"/>
      <c r="BP1166" s="2867"/>
      <c r="BQ1166" s="2867"/>
      <c r="BR1166" s="2867"/>
      <c r="BS1166" s="2867"/>
      <c r="BT1166" s="2867"/>
      <c r="BU1166" s="2867"/>
      <c r="BV1166" s="2867"/>
      <c r="BW1166" s="2867"/>
      <c r="BX1166" s="2867"/>
      <c r="BY1166" s="2867"/>
      <c r="BZ1166" s="2867"/>
      <c r="CA1166" s="2867"/>
      <c r="CB1166" s="2867"/>
      <c r="CC1166" s="2867"/>
      <c r="CD1166" s="2867"/>
      <c r="CE1166" s="2867"/>
      <c r="CF1166" s="2867"/>
      <c r="CG1166" s="2867"/>
      <c r="CH1166" s="2867"/>
      <c r="CI1166" s="2867"/>
      <c r="CJ1166" s="2867"/>
      <c r="CK1166" s="2867"/>
      <c r="CL1166" s="2867"/>
      <c r="CM1166" s="2867"/>
      <c r="CN1166" s="2867"/>
      <c r="CO1166" s="2867"/>
      <c r="CP1166" s="2867"/>
      <c r="CQ1166" s="2867"/>
      <c r="CR1166" s="2867"/>
      <c r="CS1166" s="2867"/>
      <c r="CT1166" s="2867"/>
      <c r="CU1166" s="2867"/>
      <c r="CV1166" s="2867"/>
      <c r="CW1166" s="2867"/>
    </row>
    <row r="1167" spans="1:101">
      <c r="A1167" s="2867"/>
      <c r="B1167" s="2867"/>
      <c r="C1167" s="2867"/>
      <c r="D1167" s="2867"/>
      <c r="E1167" s="2867"/>
      <c r="F1167" s="2867"/>
      <c r="G1167" s="2867"/>
      <c r="H1167" s="2867"/>
      <c r="I1167" s="2867"/>
      <c r="J1167" s="2867"/>
      <c r="K1167" s="2867"/>
      <c r="L1167" s="2867"/>
      <c r="M1167" s="2867"/>
      <c r="O1167" s="2867"/>
      <c r="P1167" s="2867"/>
      <c r="Q1167" s="2867"/>
      <c r="R1167" s="2867"/>
      <c r="S1167" s="2867"/>
      <c r="T1167" s="2867"/>
      <c r="U1167" s="2867"/>
      <c r="V1167" s="2867"/>
      <c r="W1167" s="2867"/>
      <c r="X1167" s="2867"/>
      <c r="Y1167" s="2867"/>
      <c r="Z1167" s="2867"/>
      <c r="AA1167" s="2867"/>
      <c r="AB1167" s="2867"/>
      <c r="AC1167" s="2867"/>
      <c r="AD1167" s="2867"/>
      <c r="AE1167" s="2867"/>
      <c r="AF1167" s="2867"/>
      <c r="AG1167" s="2867"/>
      <c r="AH1167" s="2867"/>
      <c r="AI1167" s="2867"/>
      <c r="AJ1167" s="2867"/>
      <c r="AK1167" s="2867"/>
      <c r="AL1167" s="2867"/>
      <c r="AM1167" s="2867"/>
      <c r="AN1167" s="2867"/>
      <c r="AO1167" s="2867"/>
      <c r="AP1167" s="2867"/>
      <c r="AQ1167" s="2867"/>
      <c r="AR1167" s="2867"/>
      <c r="AS1167" s="2867"/>
      <c r="AT1167" s="2867"/>
      <c r="AU1167" s="2867"/>
      <c r="AV1167" s="2867"/>
      <c r="AW1167" s="2867"/>
      <c r="AX1167" s="2867"/>
      <c r="AY1167" s="2867"/>
      <c r="AZ1167" s="2867"/>
      <c r="BA1167" s="2867"/>
      <c r="BB1167" s="2867"/>
      <c r="BC1167" s="2867"/>
      <c r="BD1167" s="2867"/>
      <c r="BE1167" s="2867"/>
      <c r="BF1167" s="2867"/>
      <c r="BG1167" s="2867"/>
      <c r="BH1167" s="2867"/>
      <c r="BI1167" s="2867"/>
      <c r="BJ1167" s="2867"/>
      <c r="BK1167" s="2867"/>
      <c r="BL1167" s="2867"/>
      <c r="BM1167" s="2867"/>
      <c r="BN1167" s="2867"/>
      <c r="BO1167" s="2867"/>
      <c r="BP1167" s="2867"/>
      <c r="BQ1167" s="2867"/>
      <c r="BR1167" s="2867"/>
      <c r="BS1167" s="2867"/>
      <c r="BT1167" s="2867"/>
      <c r="BU1167" s="2867"/>
      <c r="BV1167" s="2867"/>
      <c r="BW1167" s="2867"/>
      <c r="BX1167" s="2867"/>
      <c r="BY1167" s="2867"/>
      <c r="BZ1167" s="2867"/>
      <c r="CA1167" s="2867"/>
      <c r="CB1167" s="2867"/>
      <c r="CC1167" s="2867"/>
      <c r="CD1167" s="2867"/>
      <c r="CE1167" s="2867"/>
      <c r="CF1167" s="2867"/>
      <c r="CG1167" s="2867"/>
      <c r="CH1167" s="2867"/>
      <c r="CI1167" s="2867"/>
      <c r="CJ1167" s="2867"/>
      <c r="CK1167" s="2867"/>
      <c r="CL1167" s="2867"/>
      <c r="CM1167" s="2867"/>
      <c r="CN1167" s="2867"/>
      <c r="CO1167" s="2867"/>
      <c r="CP1167" s="2867"/>
      <c r="CQ1167" s="2867"/>
      <c r="CR1167" s="2867"/>
      <c r="CS1167" s="2867"/>
      <c r="CT1167" s="2867"/>
      <c r="CU1167" s="2867"/>
      <c r="CV1167" s="2867"/>
      <c r="CW1167" s="2867"/>
    </row>
    <row r="1168" spans="1:101">
      <c r="A1168" s="2867"/>
      <c r="B1168" s="2867"/>
      <c r="C1168" s="2867"/>
      <c r="D1168" s="2867"/>
      <c r="E1168" s="2867"/>
      <c r="F1168" s="2867"/>
      <c r="G1168" s="2867"/>
      <c r="H1168" s="2867"/>
      <c r="I1168" s="2867"/>
      <c r="J1168" s="2867"/>
      <c r="K1168" s="2867"/>
      <c r="L1168" s="2867"/>
      <c r="M1168" s="2867"/>
      <c r="O1168" s="2867"/>
      <c r="P1168" s="2867"/>
      <c r="Q1168" s="2867"/>
      <c r="R1168" s="2867"/>
      <c r="S1168" s="2867"/>
      <c r="T1168" s="2867"/>
      <c r="U1168" s="2867"/>
      <c r="V1168" s="2867"/>
      <c r="W1168" s="2867"/>
      <c r="X1168" s="2867"/>
      <c r="Y1168" s="2867"/>
      <c r="Z1168" s="2867"/>
      <c r="AA1168" s="2867"/>
      <c r="AB1168" s="2867"/>
      <c r="AC1168" s="2867"/>
      <c r="AD1168" s="2867"/>
      <c r="AE1168" s="2867"/>
      <c r="AF1168" s="2867"/>
      <c r="AG1168" s="2867"/>
      <c r="AH1168" s="2867"/>
      <c r="AI1168" s="2867"/>
      <c r="AJ1168" s="2867"/>
      <c r="AK1168" s="2867"/>
      <c r="AL1168" s="2867"/>
      <c r="AM1168" s="2867"/>
      <c r="AN1168" s="2867"/>
      <c r="AO1168" s="2867"/>
      <c r="AP1168" s="2867"/>
      <c r="AQ1168" s="2867"/>
      <c r="AR1168" s="2867"/>
      <c r="AS1168" s="2867"/>
      <c r="AT1168" s="2867"/>
      <c r="AU1168" s="2867"/>
      <c r="AV1168" s="2867"/>
      <c r="AW1168" s="2867"/>
      <c r="AX1168" s="2867"/>
      <c r="AY1168" s="2867"/>
      <c r="AZ1168" s="2867"/>
      <c r="BA1168" s="2867"/>
      <c r="BB1168" s="2867"/>
      <c r="BC1168" s="2867"/>
      <c r="BD1168" s="2867"/>
      <c r="BE1168" s="2867"/>
      <c r="BF1168" s="2867"/>
      <c r="BG1168" s="2867"/>
      <c r="BH1168" s="2867"/>
      <c r="BI1168" s="2867"/>
      <c r="BJ1168" s="2867"/>
      <c r="BK1168" s="2867"/>
      <c r="BL1168" s="2867"/>
      <c r="BM1168" s="2867"/>
      <c r="BN1168" s="2867"/>
      <c r="BO1168" s="2867"/>
      <c r="BP1168" s="2867"/>
      <c r="BQ1168" s="2867"/>
      <c r="BR1168" s="2867"/>
      <c r="BS1168" s="2867"/>
      <c r="BT1168" s="2867"/>
      <c r="BU1168" s="2867"/>
      <c r="BV1168" s="2867"/>
      <c r="BW1168" s="2867"/>
      <c r="BX1168" s="2867"/>
      <c r="BY1168" s="2867"/>
      <c r="BZ1168" s="2867"/>
      <c r="CA1168" s="2867"/>
      <c r="CB1168" s="2867"/>
      <c r="CC1168" s="2867"/>
      <c r="CD1168" s="2867"/>
      <c r="CE1168" s="2867"/>
      <c r="CF1168" s="2867"/>
      <c r="CG1168" s="2867"/>
      <c r="CH1168" s="2867"/>
      <c r="CI1168" s="2867"/>
      <c r="CJ1168" s="2867"/>
      <c r="CK1168" s="2867"/>
      <c r="CL1168" s="2867"/>
      <c r="CM1168" s="2867"/>
      <c r="CN1168" s="2867"/>
      <c r="CO1168" s="2867"/>
      <c r="CP1168" s="2867"/>
      <c r="CQ1168" s="2867"/>
      <c r="CR1168" s="2867"/>
      <c r="CS1168" s="2867"/>
      <c r="CT1168" s="2867"/>
      <c r="CU1168" s="2867"/>
      <c r="CV1168" s="2867"/>
      <c r="CW1168" s="2867"/>
    </row>
    <row r="1169" spans="1:101">
      <c r="A1169" s="2867"/>
      <c r="B1169" s="2867"/>
      <c r="C1169" s="2867"/>
      <c r="D1169" s="2867"/>
      <c r="E1169" s="2867"/>
      <c r="F1169" s="2867"/>
      <c r="G1169" s="2867"/>
      <c r="H1169" s="2867"/>
      <c r="I1169" s="2867"/>
      <c r="J1169" s="2867"/>
      <c r="K1169" s="2867"/>
      <c r="L1169" s="2867"/>
      <c r="M1169" s="2867"/>
      <c r="O1169" s="2867"/>
      <c r="P1169" s="2867"/>
      <c r="Q1169" s="2867"/>
      <c r="R1169" s="2867"/>
      <c r="S1169" s="2867"/>
      <c r="T1169" s="2867"/>
      <c r="U1169" s="2867"/>
      <c r="V1169" s="2867"/>
      <c r="W1169" s="2867"/>
      <c r="X1169" s="2867"/>
      <c r="Y1169" s="2867"/>
      <c r="Z1169" s="2867"/>
      <c r="AA1169" s="2867"/>
      <c r="AB1169" s="2867"/>
      <c r="AC1169" s="2867"/>
      <c r="AD1169" s="2867"/>
      <c r="AE1169" s="2867"/>
      <c r="AF1169" s="2867"/>
      <c r="AG1169" s="2867"/>
      <c r="AH1169" s="2867"/>
      <c r="AI1169" s="2867"/>
      <c r="AJ1169" s="2867"/>
      <c r="AK1169" s="2867"/>
      <c r="AL1169" s="2867"/>
      <c r="AM1169" s="2867"/>
      <c r="AN1169" s="2867"/>
      <c r="AO1169" s="2867"/>
      <c r="AP1169" s="2867"/>
      <c r="AQ1169" s="2867"/>
      <c r="AR1169" s="2867"/>
      <c r="AS1169" s="2867"/>
      <c r="AT1169" s="2867"/>
      <c r="AU1169" s="2867"/>
      <c r="AV1169" s="2867"/>
      <c r="AW1169" s="2867"/>
      <c r="AX1169" s="2867"/>
      <c r="AY1169" s="2867"/>
      <c r="AZ1169" s="2867"/>
      <c r="BA1169" s="2867"/>
      <c r="BB1169" s="2867"/>
      <c r="BC1169" s="2867"/>
      <c r="BD1169" s="2867"/>
      <c r="BE1169" s="2867"/>
      <c r="BF1169" s="2867"/>
      <c r="BG1169" s="2867"/>
      <c r="BH1169" s="2867"/>
      <c r="BI1169" s="2867"/>
      <c r="BJ1169" s="2867"/>
      <c r="BK1169" s="2867"/>
      <c r="BL1169" s="2867"/>
      <c r="BM1169" s="2867"/>
      <c r="BN1169" s="2867"/>
      <c r="BO1169" s="2867"/>
      <c r="BP1169" s="2867"/>
      <c r="BQ1169" s="2867"/>
      <c r="BR1169" s="2867"/>
      <c r="BS1169" s="2867"/>
      <c r="BT1169" s="2867"/>
      <c r="BU1169" s="2867"/>
      <c r="BV1169" s="2867"/>
      <c r="BW1169" s="2867"/>
      <c r="BX1169" s="2867"/>
      <c r="BY1169" s="2867"/>
      <c r="BZ1169" s="2867"/>
      <c r="CA1169" s="2867"/>
      <c r="CB1169" s="2867"/>
      <c r="CC1169" s="2867"/>
      <c r="CD1169" s="2867"/>
      <c r="CE1169" s="2867"/>
      <c r="CF1169" s="2867"/>
      <c r="CG1169" s="2867"/>
      <c r="CH1169" s="2867"/>
      <c r="CI1169" s="2867"/>
      <c r="CJ1169" s="2867"/>
      <c r="CK1169" s="2867"/>
      <c r="CL1169" s="2867"/>
      <c r="CM1169" s="2867"/>
      <c r="CN1169" s="2867"/>
      <c r="CO1169" s="2867"/>
      <c r="CP1169" s="2867"/>
      <c r="CQ1169" s="2867"/>
      <c r="CR1169" s="2867"/>
      <c r="CS1169" s="2867"/>
      <c r="CT1169" s="2867"/>
      <c r="CU1169" s="2867"/>
      <c r="CV1169" s="2867"/>
      <c r="CW1169" s="2867"/>
    </row>
    <row r="1170" spans="1:101">
      <c r="A1170" s="2867"/>
      <c r="B1170" s="2867"/>
      <c r="C1170" s="2867"/>
      <c r="D1170" s="2867"/>
      <c r="E1170" s="2867"/>
      <c r="F1170" s="2867"/>
      <c r="G1170" s="2867"/>
      <c r="H1170" s="2867"/>
      <c r="I1170" s="2867"/>
      <c r="J1170" s="2867"/>
      <c r="K1170" s="2867"/>
      <c r="L1170" s="2867"/>
      <c r="M1170" s="2867"/>
      <c r="O1170" s="2867"/>
      <c r="P1170" s="2867"/>
      <c r="Q1170" s="2867"/>
      <c r="R1170" s="2867"/>
      <c r="S1170" s="2867"/>
      <c r="T1170" s="2867"/>
      <c r="U1170" s="2867"/>
      <c r="V1170" s="2867"/>
      <c r="W1170" s="2867"/>
      <c r="X1170" s="2867"/>
      <c r="Y1170" s="2867"/>
      <c r="Z1170" s="2867"/>
      <c r="AA1170" s="2867"/>
      <c r="AB1170" s="2867"/>
      <c r="AC1170" s="2867"/>
      <c r="AD1170" s="2867"/>
      <c r="AE1170" s="2867"/>
      <c r="AF1170" s="2867"/>
      <c r="AG1170" s="2867"/>
      <c r="AH1170" s="2867"/>
      <c r="AI1170" s="2867"/>
      <c r="AJ1170" s="2867"/>
      <c r="AK1170" s="2867"/>
      <c r="AL1170" s="2867"/>
      <c r="AM1170" s="2867"/>
      <c r="AN1170" s="2867"/>
      <c r="AO1170" s="2867"/>
      <c r="AP1170" s="2867"/>
      <c r="AQ1170" s="2867"/>
      <c r="AR1170" s="2867"/>
      <c r="AS1170" s="2867"/>
      <c r="AT1170" s="2867"/>
      <c r="AU1170" s="2867"/>
      <c r="AV1170" s="2867"/>
      <c r="AW1170" s="2867"/>
      <c r="AX1170" s="2867"/>
      <c r="AY1170" s="2867"/>
      <c r="AZ1170" s="2867"/>
      <c r="BA1170" s="2867"/>
      <c r="BB1170" s="2867"/>
      <c r="BC1170" s="2867"/>
      <c r="BD1170" s="2867"/>
      <c r="BE1170" s="2867"/>
      <c r="BF1170" s="2867"/>
      <c r="BG1170" s="2867"/>
      <c r="BH1170" s="2867"/>
      <c r="BI1170" s="2867"/>
      <c r="BJ1170" s="2867"/>
      <c r="BK1170" s="2867"/>
      <c r="BL1170" s="2867"/>
      <c r="BM1170" s="2867"/>
      <c r="BN1170" s="2867"/>
      <c r="BO1170" s="2867"/>
      <c r="BP1170" s="2867"/>
      <c r="BQ1170" s="2867"/>
      <c r="BR1170" s="2867"/>
      <c r="BS1170" s="2867"/>
      <c r="BT1170" s="2867"/>
      <c r="BU1170" s="2867"/>
      <c r="BV1170" s="2867"/>
      <c r="BW1170" s="2867"/>
      <c r="BX1170" s="2867"/>
      <c r="BY1170" s="2867"/>
      <c r="BZ1170" s="2867"/>
      <c r="CA1170" s="2867"/>
      <c r="CB1170" s="2867"/>
      <c r="CC1170" s="2867"/>
      <c r="CD1170" s="2867"/>
      <c r="CE1170" s="2867"/>
      <c r="CF1170" s="2867"/>
      <c r="CG1170" s="2867"/>
      <c r="CH1170" s="2867"/>
      <c r="CI1170" s="2867"/>
      <c r="CJ1170" s="2867"/>
      <c r="CK1170" s="2867"/>
      <c r="CL1170" s="2867"/>
      <c r="CM1170" s="2867"/>
      <c r="CN1170" s="2867"/>
      <c r="CO1170" s="2867"/>
      <c r="CP1170" s="2867"/>
      <c r="CQ1170" s="2867"/>
      <c r="CR1170" s="2867"/>
      <c r="CS1170" s="2867"/>
      <c r="CT1170" s="2867"/>
      <c r="CU1170" s="2867"/>
      <c r="CV1170" s="2867"/>
      <c r="CW1170" s="2867"/>
    </row>
    <row r="1171" spans="1:101">
      <c r="A1171" s="2867"/>
      <c r="B1171" s="2867"/>
      <c r="C1171" s="2867"/>
      <c r="D1171" s="2867"/>
      <c r="E1171" s="2867"/>
      <c r="F1171" s="2867"/>
      <c r="G1171" s="2867"/>
      <c r="H1171" s="2867"/>
      <c r="I1171" s="2867"/>
      <c r="J1171" s="2867"/>
      <c r="K1171" s="2867"/>
      <c r="L1171" s="2867"/>
      <c r="M1171" s="2867"/>
      <c r="O1171" s="2867"/>
      <c r="P1171" s="2867"/>
      <c r="Q1171" s="2867"/>
      <c r="R1171" s="2867"/>
      <c r="S1171" s="2867"/>
      <c r="T1171" s="2867"/>
      <c r="U1171" s="2867"/>
      <c r="V1171" s="2867"/>
      <c r="W1171" s="2867"/>
      <c r="X1171" s="2867"/>
      <c r="Y1171" s="2867"/>
      <c r="Z1171" s="2867"/>
      <c r="AA1171" s="2867"/>
      <c r="AB1171" s="2867"/>
      <c r="AC1171" s="2867"/>
      <c r="AD1171" s="2867"/>
      <c r="AE1171" s="2867"/>
      <c r="AF1171" s="2867"/>
      <c r="AG1171" s="2867"/>
      <c r="AH1171" s="2867"/>
      <c r="AI1171" s="2867"/>
      <c r="AJ1171" s="2867"/>
      <c r="AK1171" s="2867"/>
      <c r="AL1171" s="2867"/>
      <c r="AM1171" s="2867"/>
      <c r="AN1171" s="2867"/>
      <c r="AO1171" s="2867"/>
      <c r="AP1171" s="2867"/>
      <c r="AQ1171" s="2867"/>
      <c r="AR1171" s="2867"/>
      <c r="AS1171" s="2867"/>
      <c r="AT1171" s="2867"/>
      <c r="AU1171" s="2867"/>
      <c r="AV1171" s="2867"/>
      <c r="AW1171" s="2867"/>
      <c r="AX1171" s="2867"/>
      <c r="AY1171" s="2867"/>
      <c r="AZ1171" s="2867"/>
      <c r="BA1171" s="2867"/>
      <c r="BB1171" s="2867"/>
      <c r="BC1171" s="2867"/>
      <c r="BD1171" s="2867"/>
      <c r="BE1171" s="2867"/>
      <c r="BF1171" s="2867"/>
      <c r="BG1171" s="2867"/>
      <c r="BH1171" s="2867"/>
      <c r="BI1171" s="2867"/>
      <c r="BJ1171" s="2867"/>
      <c r="BK1171" s="2867"/>
      <c r="BL1171" s="2867"/>
      <c r="BM1171" s="2867"/>
      <c r="BN1171" s="2867"/>
      <c r="BO1171" s="2867"/>
      <c r="BP1171" s="2867"/>
      <c r="BQ1171" s="2867"/>
      <c r="BR1171" s="2867"/>
      <c r="BS1171" s="2867"/>
      <c r="BT1171" s="2867"/>
      <c r="BU1171" s="2867"/>
      <c r="BV1171" s="2867"/>
      <c r="BW1171" s="2867"/>
      <c r="BX1171" s="2867"/>
      <c r="BY1171" s="2867"/>
      <c r="BZ1171" s="2867"/>
      <c r="CA1171" s="2867"/>
      <c r="CB1171" s="2867"/>
      <c r="CC1171" s="2867"/>
      <c r="CD1171" s="2867"/>
      <c r="CE1171" s="2867"/>
      <c r="CF1171" s="2867"/>
      <c r="CG1171" s="2867"/>
      <c r="CH1171" s="2867"/>
      <c r="CI1171" s="2867"/>
      <c r="CJ1171" s="2867"/>
      <c r="CK1171" s="2867"/>
      <c r="CL1171" s="2867"/>
      <c r="CM1171" s="2867"/>
      <c r="CN1171" s="2867"/>
      <c r="CO1171" s="2867"/>
      <c r="CP1171" s="2867"/>
      <c r="CQ1171" s="2867"/>
      <c r="CR1171" s="2867"/>
      <c r="CS1171" s="2867"/>
      <c r="CT1171" s="2867"/>
      <c r="CU1171" s="2867"/>
      <c r="CV1171" s="2867"/>
      <c r="CW1171" s="2867"/>
    </row>
    <row r="1172" spans="1:101">
      <c r="A1172" s="2867"/>
      <c r="B1172" s="2867"/>
      <c r="C1172" s="2867"/>
      <c r="D1172" s="2867"/>
      <c r="E1172" s="2867"/>
      <c r="F1172" s="2867"/>
      <c r="G1172" s="2867"/>
      <c r="H1172" s="2867"/>
      <c r="I1172" s="2867"/>
      <c r="J1172" s="2867"/>
      <c r="K1172" s="2867"/>
      <c r="L1172" s="2867"/>
      <c r="M1172" s="2867"/>
      <c r="O1172" s="2867"/>
      <c r="P1172" s="2867"/>
      <c r="Q1172" s="2867"/>
      <c r="R1172" s="2867"/>
      <c r="S1172" s="2867"/>
      <c r="T1172" s="2867"/>
      <c r="U1172" s="2867"/>
      <c r="V1172" s="2867"/>
      <c r="W1172" s="2867"/>
      <c r="X1172" s="2867"/>
      <c r="Y1172" s="2867"/>
      <c r="Z1172" s="2867"/>
      <c r="AA1172" s="2867"/>
      <c r="AB1172" s="2867"/>
      <c r="AC1172" s="2867"/>
      <c r="AD1172" s="2867"/>
      <c r="AE1172" s="2867"/>
      <c r="AF1172" s="2867"/>
      <c r="AG1172" s="2867"/>
      <c r="AH1172" s="2867"/>
      <c r="AI1172" s="2867"/>
      <c r="AJ1172" s="2867"/>
      <c r="AK1172" s="2867"/>
      <c r="AL1172" s="2867"/>
      <c r="AM1172" s="2867"/>
      <c r="AN1172" s="2867"/>
      <c r="AO1172" s="2867"/>
      <c r="AP1172" s="2867"/>
      <c r="AQ1172" s="2867"/>
      <c r="AR1172" s="2867"/>
      <c r="AS1172" s="2867"/>
      <c r="AT1172" s="2867"/>
      <c r="AU1172" s="2867"/>
      <c r="AV1172" s="2867"/>
      <c r="AW1172" s="2867"/>
      <c r="AX1172" s="2867"/>
      <c r="AY1172" s="2867"/>
      <c r="AZ1172" s="2867"/>
      <c r="BA1172" s="2867"/>
      <c r="BB1172" s="2867"/>
      <c r="BC1172" s="2867"/>
      <c r="BD1172" s="2867"/>
      <c r="BE1172" s="2867"/>
      <c r="BF1172" s="2867"/>
      <c r="BG1172" s="2867"/>
      <c r="BH1172" s="2867"/>
      <c r="BI1172" s="2867"/>
      <c r="BJ1172" s="2867"/>
      <c r="BK1172" s="2867"/>
      <c r="BL1172" s="2867"/>
      <c r="BM1172" s="2867"/>
      <c r="BN1172" s="2867"/>
      <c r="BO1172" s="2867"/>
      <c r="BP1172" s="2867"/>
      <c r="BQ1172" s="2867"/>
      <c r="BR1172" s="2867"/>
      <c r="BS1172" s="2867"/>
      <c r="BT1172" s="2867"/>
      <c r="BU1172" s="2867"/>
      <c r="BV1172" s="2867"/>
      <c r="BW1172" s="2867"/>
      <c r="BX1172" s="2867"/>
      <c r="BY1172" s="2867"/>
      <c r="BZ1172" s="2867"/>
      <c r="CA1172" s="2867"/>
      <c r="CB1172" s="2867"/>
      <c r="CC1172" s="2867"/>
      <c r="CD1172" s="2867"/>
      <c r="CE1172" s="2867"/>
      <c r="CF1172" s="2867"/>
      <c r="CG1172" s="2867"/>
      <c r="CH1172" s="2867"/>
      <c r="CI1172" s="2867"/>
      <c r="CJ1172" s="2867"/>
      <c r="CK1172" s="2867"/>
      <c r="CL1172" s="2867"/>
      <c r="CM1172" s="2867"/>
      <c r="CN1172" s="2867"/>
      <c r="CO1172" s="2867"/>
      <c r="CP1172" s="2867"/>
      <c r="CQ1172" s="2867"/>
      <c r="CR1172" s="2867"/>
      <c r="CS1172" s="2867"/>
      <c r="CT1172" s="2867"/>
      <c r="CU1172" s="2867"/>
      <c r="CV1172" s="2867"/>
      <c r="CW1172" s="2867"/>
    </row>
    <row r="1173" spans="1:101">
      <c r="A1173" s="2867"/>
      <c r="B1173" s="2867"/>
      <c r="C1173" s="2867"/>
      <c r="D1173" s="2867"/>
      <c r="E1173" s="2867"/>
      <c r="F1173" s="2867"/>
      <c r="G1173" s="2867"/>
      <c r="H1173" s="2867"/>
      <c r="I1173" s="2867"/>
      <c r="J1173" s="2867"/>
      <c r="K1173" s="2867"/>
      <c r="L1173" s="2867"/>
      <c r="M1173" s="2867"/>
      <c r="O1173" s="2867"/>
      <c r="P1173" s="2867"/>
      <c r="Q1173" s="2867"/>
      <c r="R1173" s="2867"/>
      <c r="S1173" s="2867"/>
      <c r="T1173" s="2867"/>
      <c r="U1173" s="2867"/>
      <c r="V1173" s="2867"/>
      <c r="W1173" s="2867"/>
      <c r="X1173" s="2867"/>
      <c r="Y1173" s="2867"/>
      <c r="Z1173" s="2867"/>
      <c r="AA1173" s="2867"/>
      <c r="AB1173" s="2867"/>
      <c r="AC1173" s="2867"/>
      <c r="AD1173" s="2867"/>
      <c r="AE1173" s="2867"/>
      <c r="AF1173" s="2867"/>
      <c r="AG1173" s="2867"/>
      <c r="AH1173" s="2867"/>
      <c r="AI1173" s="2867"/>
      <c r="AJ1173" s="2867"/>
      <c r="AK1173" s="2867"/>
      <c r="AL1173" s="2867"/>
      <c r="AM1173" s="2867"/>
      <c r="AN1173" s="2867"/>
      <c r="AO1173" s="2867"/>
      <c r="AP1173" s="2867"/>
      <c r="AQ1173" s="2867"/>
      <c r="AR1173" s="2867"/>
      <c r="AS1173" s="2867"/>
      <c r="AT1173" s="2867"/>
      <c r="AU1173" s="2867"/>
      <c r="AV1173" s="2867"/>
      <c r="AW1173" s="2867"/>
      <c r="AX1173" s="2867"/>
      <c r="AY1173" s="2867"/>
      <c r="AZ1173" s="2867"/>
      <c r="BA1173" s="2867"/>
      <c r="BB1173" s="2867"/>
      <c r="BC1173" s="2867"/>
      <c r="BD1173" s="2867"/>
      <c r="BE1173" s="2867"/>
      <c r="BF1173" s="2867"/>
      <c r="BG1173" s="2867"/>
      <c r="BH1173" s="2867"/>
      <c r="BI1173" s="2867"/>
      <c r="BJ1173" s="2867"/>
      <c r="BK1173" s="2867"/>
      <c r="BL1173" s="2867"/>
      <c r="BM1173" s="2867"/>
      <c r="BN1173" s="2867"/>
      <c r="BO1173" s="2867"/>
      <c r="BP1173" s="2867"/>
      <c r="BQ1173" s="2867"/>
      <c r="BR1173" s="2867"/>
      <c r="BS1173" s="2867"/>
      <c r="BT1173" s="2867"/>
      <c r="BU1173" s="2867"/>
      <c r="BV1173" s="2867"/>
      <c r="BW1173" s="2867"/>
      <c r="BX1173" s="2867"/>
      <c r="BY1173" s="2867"/>
      <c r="BZ1173" s="2867"/>
      <c r="CA1173" s="2867"/>
      <c r="CB1173" s="2867"/>
      <c r="CC1173" s="2867"/>
      <c r="CD1173" s="2867"/>
      <c r="CE1173" s="2867"/>
      <c r="CF1173" s="2867"/>
      <c r="CG1173" s="2867"/>
      <c r="CH1173" s="2867"/>
      <c r="CI1173" s="2867"/>
      <c r="CJ1173" s="2867"/>
      <c r="CK1173" s="2867"/>
      <c r="CL1173" s="2867"/>
      <c r="CM1173" s="2867"/>
      <c r="CN1173" s="2867"/>
      <c r="CO1173" s="2867"/>
      <c r="CP1173" s="2867"/>
      <c r="CQ1173" s="2867"/>
      <c r="CR1173" s="2867"/>
      <c r="CS1173" s="2867"/>
      <c r="CT1173" s="2867"/>
      <c r="CU1173" s="2867"/>
      <c r="CV1173" s="2867"/>
      <c r="CW1173" s="2867"/>
    </row>
    <row r="1174" spans="1:101">
      <c r="A1174" s="2867"/>
      <c r="B1174" s="2867"/>
      <c r="C1174" s="2867"/>
      <c r="D1174" s="2867"/>
      <c r="E1174" s="2867"/>
      <c r="F1174" s="2867"/>
      <c r="G1174" s="2867"/>
      <c r="H1174" s="2867"/>
      <c r="I1174" s="2867"/>
      <c r="J1174" s="2867"/>
      <c r="K1174" s="2867"/>
      <c r="L1174" s="2867"/>
      <c r="M1174" s="2867"/>
      <c r="O1174" s="2867"/>
      <c r="P1174" s="2867"/>
      <c r="Q1174" s="2867"/>
      <c r="R1174" s="2867"/>
      <c r="S1174" s="2867"/>
      <c r="T1174" s="2867"/>
      <c r="U1174" s="2867"/>
      <c r="V1174" s="2867"/>
      <c r="W1174" s="2867"/>
      <c r="X1174" s="2867"/>
      <c r="Y1174" s="2867"/>
      <c r="Z1174" s="2867"/>
      <c r="AA1174" s="2867"/>
      <c r="AB1174" s="2867"/>
      <c r="AC1174" s="2867"/>
      <c r="AD1174" s="2867"/>
      <c r="AE1174" s="2867"/>
      <c r="AF1174" s="2867"/>
      <c r="AG1174" s="2867"/>
      <c r="AH1174" s="2867"/>
      <c r="AI1174" s="2867"/>
      <c r="AJ1174" s="2867"/>
      <c r="AK1174" s="2867"/>
      <c r="AL1174" s="2867"/>
      <c r="AM1174" s="2867"/>
      <c r="AN1174" s="2867"/>
      <c r="AO1174" s="2867"/>
      <c r="AP1174" s="2867"/>
      <c r="AQ1174" s="2867"/>
      <c r="AR1174" s="2867"/>
      <c r="AS1174" s="2867"/>
      <c r="AT1174" s="2867"/>
      <c r="AU1174" s="2867"/>
      <c r="AV1174" s="2867"/>
      <c r="AW1174" s="2867"/>
      <c r="AX1174" s="2867"/>
      <c r="AY1174" s="2867"/>
      <c r="AZ1174" s="2867"/>
      <c r="BA1174" s="2867"/>
      <c r="BB1174" s="2867"/>
      <c r="BC1174" s="2867"/>
      <c r="BD1174" s="2867"/>
      <c r="BE1174" s="2867"/>
      <c r="BF1174" s="2867"/>
      <c r="BG1174" s="2867"/>
      <c r="BH1174" s="2867"/>
      <c r="BI1174" s="2867"/>
      <c r="BJ1174" s="2867"/>
      <c r="BK1174" s="2867"/>
      <c r="BL1174" s="2867"/>
      <c r="BM1174" s="2867"/>
      <c r="BN1174" s="2867"/>
      <c r="BO1174" s="2867"/>
      <c r="BP1174" s="2867"/>
      <c r="BQ1174" s="2867"/>
      <c r="BR1174" s="2867"/>
      <c r="BS1174" s="2867"/>
      <c r="BT1174" s="2867"/>
      <c r="BU1174" s="2867"/>
      <c r="BV1174" s="2867"/>
      <c r="BW1174" s="2867"/>
      <c r="BX1174" s="2867"/>
      <c r="BY1174" s="2867"/>
      <c r="BZ1174" s="2867"/>
      <c r="CA1174" s="2867"/>
      <c r="CB1174" s="2867"/>
      <c r="CC1174" s="2867"/>
      <c r="CD1174" s="2867"/>
      <c r="CE1174" s="2867"/>
      <c r="CF1174" s="2867"/>
      <c r="CG1174" s="2867"/>
      <c r="CH1174" s="2867"/>
      <c r="CI1174" s="2867"/>
      <c r="CJ1174" s="2867"/>
      <c r="CK1174" s="2867"/>
      <c r="CL1174" s="2867"/>
      <c r="CM1174" s="2867"/>
      <c r="CN1174" s="2867"/>
      <c r="CO1174" s="2867"/>
      <c r="CP1174" s="2867"/>
      <c r="CQ1174" s="2867"/>
      <c r="CR1174" s="2867"/>
      <c r="CS1174" s="2867"/>
      <c r="CT1174" s="2867"/>
      <c r="CU1174" s="2867"/>
      <c r="CV1174" s="2867"/>
      <c r="CW1174" s="2867"/>
    </row>
    <row r="1175" spans="1:101">
      <c r="A1175" s="2867"/>
      <c r="B1175" s="2867"/>
      <c r="C1175" s="2867"/>
      <c r="D1175" s="2867"/>
      <c r="E1175" s="2867"/>
      <c r="F1175" s="2867"/>
      <c r="G1175" s="2867"/>
      <c r="H1175" s="2867"/>
      <c r="I1175" s="2867"/>
      <c r="J1175" s="2867"/>
      <c r="K1175" s="2867"/>
      <c r="L1175" s="2867"/>
      <c r="M1175" s="2867"/>
      <c r="O1175" s="2867"/>
      <c r="P1175" s="2867"/>
      <c r="Q1175" s="2867"/>
      <c r="R1175" s="2867"/>
      <c r="S1175" s="2867"/>
      <c r="T1175" s="2867"/>
      <c r="U1175" s="2867"/>
      <c r="V1175" s="2867"/>
      <c r="W1175" s="2867"/>
      <c r="X1175" s="2867"/>
      <c r="Y1175" s="2867"/>
      <c r="Z1175" s="2867"/>
      <c r="AA1175" s="2867"/>
      <c r="AB1175" s="2867"/>
      <c r="AC1175" s="2867"/>
      <c r="AD1175" s="2867"/>
      <c r="AE1175" s="2867"/>
      <c r="AF1175" s="2867"/>
      <c r="AG1175" s="2867"/>
      <c r="AH1175" s="2867"/>
      <c r="AI1175" s="2867"/>
      <c r="AJ1175" s="2867"/>
      <c r="AK1175" s="2867"/>
      <c r="AL1175" s="2867"/>
      <c r="AM1175" s="2867"/>
      <c r="AN1175" s="2867"/>
      <c r="AO1175" s="2867"/>
      <c r="AP1175" s="2867"/>
      <c r="AQ1175" s="2867"/>
      <c r="AR1175" s="2867"/>
      <c r="AS1175" s="2867"/>
      <c r="AT1175" s="2867"/>
      <c r="AU1175" s="2867"/>
      <c r="AV1175" s="2867"/>
      <c r="AW1175" s="2867"/>
      <c r="AX1175" s="2867"/>
      <c r="AY1175" s="2867"/>
      <c r="AZ1175" s="2867"/>
      <c r="BA1175" s="2867"/>
      <c r="BB1175" s="2867"/>
      <c r="BC1175" s="2867"/>
      <c r="BD1175" s="2867"/>
      <c r="BE1175" s="2867"/>
      <c r="BF1175" s="2867"/>
      <c r="BG1175" s="2867"/>
      <c r="BH1175" s="2867"/>
      <c r="BI1175" s="2867"/>
      <c r="BJ1175" s="2867"/>
      <c r="BK1175" s="2867"/>
      <c r="BL1175" s="2867"/>
      <c r="BM1175" s="2867"/>
      <c r="BN1175" s="2867"/>
      <c r="BO1175" s="2867"/>
      <c r="BP1175" s="2867"/>
      <c r="BQ1175" s="2867"/>
      <c r="BR1175" s="2867"/>
      <c r="BS1175" s="2867"/>
      <c r="BT1175" s="2867"/>
      <c r="BU1175" s="2867"/>
      <c r="BV1175" s="2867"/>
      <c r="BW1175" s="2867"/>
      <c r="BX1175" s="2867"/>
      <c r="BY1175" s="2867"/>
      <c r="BZ1175" s="2867"/>
      <c r="CA1175" s="2867"/>
      <c r="CB1175" s="2867"/>
      <c r="CC1175" s="2867"/>
      <c r="CD1175" s="2867"/>
      <c r="CE1175" s="2867"/>
      <c r="CF1175" s="2867"/>
      <c r="CG1175" s="2867"/>
      <c r="CH1175" s="2867"/>
      <c r="CI1175" s="2867"/>
      <c r="CJ1175" s="2867"/>
      <c r="CK1175" s="2867"/>
      <c r="CL1175" s="2867"/>
      <c r="CM1175" s="2867"/>
      <c r="CN1175" s="2867"/>
      <c r="CO1175" s="2867"/>
      <c r="CP1175" s="2867"/>
      <c r="CQ1175" s="2867"/>
      <c r="CR1175" s="2867"/>
      <c r="CS1175" s="2867"/>
      <c r="CT1175" s="2867"/>
      <c r="CU1175" s="2867"/>
      <c r="CV1175" s="2867"/>
      <c r="CW1175" s="2867"/>
    </row>
    <row r="1176" spans="1:101">
      <c r="A1176" s="2867"/>
      <c r="B1176" s="2867"/>
      <c r="C1176" s="2867"/>
      <c r="D1176" s="2867"/>
      <c r="E1176" s="2867"/>
      <c r="F1176" s="2867"/>
      <c r="G1176" s="2867"/>
      <c r="H1176" s="2867"/>
      <c r="I1176" s="2867"/>
      <c r="J1176" s="2867"/>
      <c r="K1176" s="2867"/>
      <c r="L1176" s="2867"/>
      <c r="M1176" s="2867"/>
      <c r="O1176" s="2867"/>
      <c r="P1176" s="2867"/>
      <c r="Q1176" s="2867"/>
      <c r="R1176" s="2867"/>
      <c r="S1176" s="2867"/>
      <c r="T1176" s="2867"/>
      <c r="U1176" s="2867"/>
      <c r="V1176" s="2867"/>
      <c r="W1176" s="2867"/>
      <c r="X1176" s="2867"/>
      <c r="Y1176" s="2867"/>
      <c r="Z1176" s="2867"/>
      <c r="AA1176" s="2867"/>
      <c r="AB1176" s="2867"/>
      <c r="AC1176" s="2867"/>
      <c r="AD1176" s="2867"/>
      <c r="AE1176" s="2867"/>
      <c r="AF1176" s="2867"/>
      <c r="AG1176" s="2867"/>
      <c r="AH1176" s="2867"/>
      <c r="AI1176" s="2867"/>
      <c r="AJ1176" s="2867"/>
      <c r="AK1176" s="2867"/>
      <c r="AL1176" s="2867"/>
      <c r="AM1176" s="2867"/>
      <c r="AN1176" s="2867"/>
      <c r="AO1176" s="2867"/>
      <c r="AP1176" s="2867"/>
      <c r="AQ1176" s="2867"/>
      <c r="AR1176" s="2867"/>
      <c r="AS1176" s="2867"/>
      <c r="AT1176" s="2867"/>
      <c r="AU1176" s="2867"/>
      <c r="AV1176" s="2867"/>
      <c r="AW1176" s="2867"/>
      <c r="AX1176" s="2867"/>
      <c r="AY1176" s="2867"/>
      <c r="AZ1176" s="2867"/>
      <c r="BA1176" s="2867"/>
      <c r="BB1176" s="2867"/>
      <c r="BC1176" s="2867"/>
      <c r="BD1176" s="2867"/>
      <c r="BE1176" s="2867"/>
      <c r="BF1176" s="2867"/>
      <c r="BG1176" s="2867"/>
      <c r="BH1176" s="2867"/>
      <c r="BI1176" s="2867"/>
      <c r="BJ1176" s="2867"/>
      <c r="BK1176" s="2867"/>
      <c r="BL1176" s="2867"/>
      <c r="BM1176" s="2867"/>
      <c r="BN1176" s="2867"/>
      <c r="BO1176" s="2867"/>
      <c r="BP1176" s="2867"/>
      <c r="BQ1176" s="2867"/>
      <c r="BR1176" s="2867"/>
      <c r="BS1176" s="2867"/>
      <c r="BT1176" s="2867"/>
      <c r="BU1176" s="2867"/>
      <c r="BV1176" s="2867"/>
      <c r="BW1176" s="2867"/>
      <c r="BX1176" s="2867"/>
      <c r="BY1176" s="2867"/>
      <c r="BZ1176" s="2867"/>
      <c r="CA1176" s="2867"/>
      <c r="CB1176" s="2867"/>
      <c r="CC1176" s="2867"/>
      <c r="CD1176" s="2867"/>
      <c r="CE1176" s="2867"/>
      <c r="CF1176" s="2867"/>
      <c r="CG1176" s="2867"/>
      <c r="CH1176" s="2867"/>
      <c r="CI1176" s="2867"/>
      <c r="CJ1176" s="2867"/>
      <c r="CK1176" s="2867"/>
      <c r="CL1176" s="2867"/>
      <c r="CM1176" s="2867"/>
      <c r="CN1176" s="2867"/>
      <c r="CO1176" s="2867"/>
      <c r="CP1176" s="2867"/>
      <c r="CQ1176" s="2867"/>
      <c r="CR1176" s="2867"/>
      <c r="CS1176" s="2867"/>
      <c r="CT1176" s="2867"/>
      <c r="CU1176" s="2867"/>
      <c r="CV1176" s="2867"/>
      <c r="CW1176" s="2867"/>
    </row>
    <row r="1177" spans="1:101">
      <c r="A1177" s="2867"/>
      <c r="B1177" s="2867"/>
      <c r="C1177" s="2867"/>
      <c r="D1177" s="2867"/>
      <c r="E1177" s="2867"/>
      <c r="F1177" s="2867"/>
      <c r="G1177" s="2867"/>
      <c r="H1177" s="2867"/>
      <c r="I1177" s="2867"/>
      <c r="J1177" s="2867"/>
      <c r="K1177" s="2867"/>
      <c r="L1177" s="2867"/>
      <c r="M1177" s="2867"/>
      <c r="O1177" s="2867"/>
      <c r="P1177" s="2867"/>
      <c r="Q1177" s="2867"/>
      <c r="R1177" s="2867"/>
      <c r="S1177" s="2867"/>
      <c r="T1177" s="2867"/>
      <c r="U1177" s="2867"/>
      <c r="V1177" s="2867"/>
      <c r="W1177" s="2867"/>
      <c r="X1177" s="2867"/>
      <c r="Y1177" s="2867"/>
      <c r="Z1177" s="2867"/>
      <c r="AA1177" s="2867"/>
      <c r="AB1177" s="2867"/>
      <c r="AC1177" s="2867"/>
      <c r="AD1177" s="2867"/>
      <c r="AE1177" s="2867"/>
      <c r="AF1177" s="2867"/>
      <c r="AG1177" s="2867"/>
      <c r="AH1177" s="2867"/>
      <c r="AI1177" s="2867"/>
      <c r="AJ1177" s="2867"/>
      <c r="AK1177" s="2867"/>
      <c r="AL1177" s="2867"/>
      <c r="AM1177" s="2867"/>
      <c r="AN1177" s="2867"/>
      <c r="AO1177" s="2867"/>
      <c r="AP1177" s="2867"/>
      <c r="AQ1177" s="2867"/>
      <c r="AR1177" s="2867"/>
      <c r="AS1177" s="2867"/>
      <c r="AT1177" s="2867"/>
      <c r="AU1177" s="2867"/>
      <c r="AV1177" s="2867"/>
      <c r="AW1177" s="2867"/>
      <c r="AX1177" s="2867"/>
      <c r="AY1177" s="2867"/>
      <c r="AZ1177" s="2867"/>
      <c r="BA1177" s="2867"/>
      <c r="BB1177" s="2867"/>
      <c r="BC1177" s="2867"/>
      <c r="BD1177" s="2867"/>
      <c r="BE1177" s="2867"/>
      <c r="BF1177" s="2867"/>
      <c r="BG1177" s="2867"/>
      <c r="BH1177" s="2867"/>
      <c r="BI1177" s="2867"/>
      <c r="BJ1177" s="2867"/>
      <c r="BK1177" s="2867"/>
      <c r="BL1177" s="2867"/>
      <c r="BM1177" s="2867"/>
      <c r="BN1177" s="2867"/>
      <c r="BO1177" s="2867"/>
      <c r="BP1177" s="2867"/>
      <c r="BQ1177" s="2867"/>
      <c r="BR1177" s="2867"/>
      <c r="BS1177" s="2867"/>
      <c r="BT1177" s="2867"/>
      <c r="BU1177" s="2867"/>
      <c r="BV1177" s="2867"/>
      <c r="BW1177" s="2867"/>
      <c r="BX1177" s="2867"/>
      <c r="BY1177" s="2867"/>
      <c r="BZ1177" s="2867"/>
      <c r="CA1177" s="2867"/>
      <c r="CB1177" s="2867"/>
      <c r="CC1177" s="2867"/>
      <c r="CD1177" s="2867"/>
      <c r="CE1177" s="2867"/>
      <c r="CF1177" s="2867"/>
      <c r="CG1177" s="2867"/>
      <c r="CH1177" s="2867"/>
      <c r="CI1177" s="2867"/>
      <c r="CJ1177" s="2867"/>
      <c r="CK1177" s="2867"/>
      <c r="CL1177" s="2867"/>
      <c r="CM1177" s="2867"/>
      <c r="CN1177" s="2867"/>
      <c r="CO1177" s="2867"/>
      <c r="CP1177" s="2867"/>
      <c r="CQ1177" s="2867"/>
      <c r="CR1177" s="2867"/>
      <c r="CS1177" s="2867"/>
      <c r="CT1177" s="2867"/>
      <c r="CU1177" s="2867"/>
      <c r="CV1177" s="2867"/>
      <c r="CW1177" s="2867"/>
    </row>
    <row r="1178" spans="1:101">
      <c r="A1178" s="2867"/>
      <c r="B1178" s="2867"/>
      <c r="C1178" s="2867"/>
      <c r="D1178" s="2867"/>
      <c r="E1178" s="2867"/>
      <c r="F1178" s="2867"/>
      <c r="G1178" s="2867"/>
      <c r="H1178" s="2867"/>
      <c r="I1178" s="2867"/>
      <c r="J1178" s="2867"/>
      <c r="K1178" s="2867"/>
      <c r="L1178" s="2867"/>
      <c r="M1178" s="2867"/>
      <c r="O1178" s="2867"/>
      <c r="P1178" s="2867"/>
      <c r="Q1178" s="2867"/>
      <c r="R1178" s="2867"/>
      <c r="S1178" s="2867"/>
      <c r="T1178" s="2867"/>
      <c r="U1178" s="2867"/>
      <c r="V1178" s="2867"/>
      <c r="W1178" s="2867"/>
      <c r="X1178" s="2867"/>
      <c r="Y1178" s="2867"/>
      <c r="Z1178" s="2867"/>
      <c r="AA1178" s="2867"/>
      <c r="AB1178" s="2867"/>
      <c r="AC1178" s="2867"/>
      <c r="AD1178" s="2867"/>
      <c r="AE1178" s="2867"/>
      <c r="AF1178" s="2867"/>
      <c r="AG1178" s="2867"/>
      <c r="AH1178" s="2867"/>
      <c r="AI1178" s="2867"/>
      <c r="AJ1178" s="2867"/>
      <c r="AK1178" s="2867"/>
      <c r="AL1178" s="2867"/>
      <c r="AM1178" s="2867"/>
      <c r="AN1178" s="2867"/>
      <c r="AO1178" s="2867"/>
      <c r="AP1178" s="2867"/>
      <c r="AQ1178" s="2867"/>
      <c r="AR1178" s="2867"/>
      <c r="AS1178" s="2867"/>
      <c r="AT1178" s="2867"/>
      <c r="AU1178" s="2867"/>
      <c r="AV1178" s="2867"/>
      <c r="AW1178" s="2867"/>
      <c r="AX1178" s="2867"/>
      <c r="AY1178" s="2867"/>
      <c r="AZ1178" s="2867"/>
      <c r="BA1178" s="2867"/>
      <c r="BB1178" s="2867"/>
      <c r="BC1178" s="2867"/>
      <c r="BD1178" s="2867"/>
      <c r="BE1178" s="2867"/>
      <c r="BF1178" s="2867"/>
      <c r="BG1178" s="2867"/>
      <c r="BH1178" s="2867"/>
      <c r="BI1178" s="2867"/>
      <c r="BJ1178" s="2867"/>
      <c r="BK1178" s="2867"/>
      <c r="BL1178" s="2867"/>
      <c r="BM1178" s="2867"/>
      <c r="BN1178" s="2867"/>
      <c r="BO1178" s="2867"/>
      <c r="BP1178" s="2867"/>
      <c r="BQ1178" s="2867"/>
      <c r="BR1178" s="2867"/>
      <c r="BS1178" s="2867"/>
      <c r="BT1178" s="2867"/>
      <c r="BU1178" s="2867"/>
      <c r="BV1178" s="2867"/>
      <c r="BW1178" s="2867"/>
      <c r="BX1178" s="2867"/>
      <c r="BY1178" s="2867"/>
      <c r="BZ1178" s="2867"/>
      <c r="CA1178" s="2867"/>
      <c r="CB1178" s="2867"/>
      <c r="CC1178" s="2867"/>
      <c r="CD1178" s="2867"/>
      <c r="CE1178" s="2867"/>
      <c r="CF1178" s="2867"/>
      <c r="CG1178" s="2867"/>
      <c r="CH1178" s="2867"/>
      <c r="CI1178" s="2867"/>
      <c r="CJ1178" s="2867"/>
      <c r="CK1178" s="2867"/>
      <c r="CL1178" s="2867"/>
      <c r="CM1178" s="2867"/>
      <c r="CN1178" s="2867"/>
      <c r="CO1178" s="2867"/>
      <c r="CP1178" s="2867"/>
      <c r="CQ1178" s="2867"/>
      <c r="CR1178" s="2867"/>
      <c r="CS1178" s="2867"/>
      <c r="CT1178" s="2867"/>
      <c r="CU1178" s="2867"/>
      <c r="CV1178" s="2867"/>
      <c r="CW1178" s="2867"/>
    </row>
    <row r="1179" spans="1:101">
      <c r="A1179" s="2867"/>
      <c r="B1179" s="2867"/>
      <c r="C1179" s="2867"/>
      <c r="D1179" s="2867"/>
      <c r="E1179" s="2867"/>
      <c r="F1179" s="2867"/>
      <c r="G1179" s="2867"/>
      <c r="H1179" s="2867"/>
      <c r="I1179" s="2867"/>
      <c r="J1179" s="2867"/>
      <c r="K1179" s="2867"/>
      <c r="L1179" s="2867"/>
      <c r="M1179" s="2867"/>
      <c r="O1179" s="2867"/>
      <c r="P1179" s="2867"/>
      <c r="Q1179" s="2867"/>
      <c r="R1179" s="2867"/>
      <c r="S1179" s="2867"/>
      <c r="T1179" s="2867"/>
      <c r="U1179" s="2867"/>
      <c r="V1179" s="2867"/>
      <c r="W1179" s="2867"/>
      <c r="X1179" s="2867"/>
      <c r="Y1179" s="2867"/>
      <c r="Z1179" s="2867"/>
      <c r="AA1179" s="2867"/>
      <c r="AB1179" s="2867"/>
      <c r="AC1179" s="2867"/>
      <c r="AD1179" s="2867"/>
      <c r="AE1179" s="2867"/>
      <c r="AF1179" s="2867"/>
      <c r="AG1179" s="2867"/>
      <c r="AH1179" s="2867"/>
      <c r="AI1179" s="2867"/>
      <c r="AJ1179" s="2867"/>
      <c r="AK1179" s="2867"/>
      <c r="AL1179" s="2867"/>
      <c r="AM1179" s="2867"/>
      <c r="AN1179" s="2867"/>
      <c r="AO1179" s="2867"/>
      <c r="AP1179" s="2867"/>
      <c r="AQ1179" s="2867"/>
      <c r="AR1179" s="2867"/>
      <c r="AS1179" s="2867"/>
      <c r="AT1179" s="2867"/>
      <c r="AU1179" s="2867"/>
      <c r="AV1179" s="2867"/>
      <c r="AW1179" s="2867"/>
      <c r="AX1179" s="2867"/>
      <c r="AY1179" s="2867"/>
      <c r="AZ1179" s="2867"/>
      <c r="BA1179" s="2867"/>
      <c r="BB1179" s="2867"/>
      <c r="BC1179" s="2867"/>
      <c r="BD1179" s="2867"/>
      <c r="BE1179" s="2867"/>
      <c r="BF1179" s="2867"/>
      <c r="BG1179" s="2867"/>
      <c r="BH1179" s="2867"/>
      <c r="BI1179" s="2867"/>
      <c r="BJ1179" s="2867"/>
      <c r="BK1179" s="2867"/>
      <c r="BL1179" s="2867"/>
      <c r="BM1179" s="2867"/>
      <c r="BN1179" s="2867"/>
      <c r="BO1179" s="2867"/>
      <c r="BP1179" s="2867"/>
      <c r="BQ1179" s="2867"/>
      <c r="BR1179" s="2867"/>
      <c r="BS1179" s="2867"/>
      <c r="BT1179" s="2867"/>
      <c r="BU1179" s="2867"/>
      <c r="BV1179" s="2867"/>
      <c r="BW1179" s="2867"/>
      <c r="BX1179" s="2867"/>
      <c r="BY1179" s="2867"/>
      <c r="BZ1179" s="2867"/>
      <c r="CA1179" s="2867"/>
      <c r="CB1179" s="2867"/>
      <c r="CC1179" s="2867"/>
      <c r="CD1179" s="2867"/>
      <c r="CE1179" s="2867"/>
      <c r="CF1179" s="2867"/>
      <c r="CG1179" s="2867"/>
      <c r="CH1179" s="2867"/>
      <c r="CI1179" s="2867"/>
      <c r="CJ1179" s="2867"/>
      <c r="CK1179" s="2867"/>
      <c r="CL1179" s="2867"/>
      <c r="CM1179" s="2867"/>
      <c r="CN1179" s="2867"/>
      <c r="CO1179" s="2867"/>
      <c r="CP1179" s="2867"/>
      <c r="CQ1179" s="2867"/>
      <c r="CR1179" s="2867"/>
      <c r="CS1179" s="2867"/>
      <c r="CT1179" s="2867"/>
      <c r="CU1179" s="2867"/>
      <c r="CV1179" s="2867"/>
      <c r="CW1179" s="2867"/>
    </row>
    <row r="1180" spans="1:101">
      <c r="A1180" s="2867"/>
      <c r="B1180" s="2867"/>
      <c r="C1180" s="2867"/>
      <c r="D1180" s="2867"/>
      <c r="E1180" s="2867"/>
      <c r="F1180" s="2867"/>
      <c r="G1180" s="2867"/>
      <c r="H1180" s="2867"/>
      <c r="I1180" s="2867"/>
      <c r="J1180" s="2867"/>
      <c r="K1180" s="2867"/>
      <c r="L1180" s="2867"/>
      <c r="M1180" s="2867"/>
      <c r="O1180" s="2867"/>
      <c r="P1180" s="2867"/>
      <c r="Q1180" s="2867"/>
      <c r="R1180" s="2867"/>
      <c r="S1180" s="2867"/>
      <c r="T1180" s="2867"/>
      <c r="U1180" s="2867"/>
      <c r="V1180" s="2867"/>
      <c r="W1180" s="2867"/>
      <c r="X1180" s="2867"/>
      <c r="Y1180" s="2867"/>
      <c r="Z1180" s="2867"/>
      <c r="AA1180" s="2867"/>
      <c r="AB1180" s="2867"/>
      <c r="AC1180" s="2867"/>
      <c r="AD1180" s="2867"/>
      <c r="AE1180" s="2867"/>
      <c r="AF1180" s="2867"/>
      <c r="AG1180" s="2867"/>
      <c r="AH1180" s="2867"/>
      <c r="AI1180" s="2867"/>
      <c r="AJ1180" s="2867"/>
      <c r="AK1180" s="2867"/>
      <c r="AL1180" s="2867"/>
      <c r="AM1180" s="2867"/>
      <c r="AN1180" s="2867"/>
      <c r="AO1180" s="2867"/>
      <c r="AP1180" s="2867"/>
      <c r="AQ1180" s="2867"/>
      <c r="AR1180" s="2867"/>
      <c r="AS1180" s="2867"/>
      <c r="AT1180" s="2867"/>
      <c r="AU1180" s="2867"/>
      <c r="AV1180" s="2867"/>
      <c r="AW1180" s="2867"/>
      <c r="AX1180" s="2867"/>
      <c r="AY1180" s="2867"/>
      <c r="AZ1180" s="2867"/>
      <c r="BA1180" s="2867"/>
      <c r="BB1180" s="2867"/>
      <c r="BC1180" s="2867"/>
      <c r="BD1180" s="2867"/>
      <c r="BE1180" s="2867"/>
      <c r="BF1180" s="2867"/>
      <c r="BG1180" s="2867"/>
      <c r="BH1180" s="2867"/>
      <c r="BI1180" s="2867"/>
      <c r="BJ1180" s="2867"/>
      <c r="BK1180" s="2867"/>
      <c r="BL1180" s="2867"/>
      <c r="BM1180" s="2867"/>
      <c r="BN1180" s="2867"/>
      <c r="BO1180" s="2867"/>
      <c r="BP1180" s="2867"/>
      <c r="BQ1180" s="2867"/>
      <c r="BR1180" s="2867"/>
      <c r="BS1180" s="2867"/>
      <c r="BT1180" s="2867"/>
      <c r="BU1180" s="2867"/>
      <c r="BV1180" s="2867"/>
      <c r="BW1180" s="2867"/>
      <c r="BX1180" s="2867"/>
      <c r="BY1180" s="2867"/>
      <c r="BZ1180" s="2867"/>
      <c r="CA1180" s="2867"/>
      <c r="CB1180" s="2867"/>
      <c r="CC1180" s="2867"/>
      <c r="CD1180" s="2867"/>
      <c r="CE1180" s="2867"/>
      <c r="CF1180" s="2867"/>
      <c r="CG1180" s="2867"/>
      <c r="CH1180" s="2867"/>
      <c r="CI1180" s="2867"/>
      <c r="CJ1180" s="2867"/>
      <c r="CK1180" s="2867"/>
      <c r="CL1180" s="2867"/>
      <c r="CM1180" s="2867"/>
      <c r="CN1180" s="2867"/>
      <c r="CO1180" s="2867"/>
      <c r="CP1180" s="2867"/>
      <c r="CQ1180" s="2867"/>
      <c r="CR1180" s="2867"/>
      <c r="CS1180" s="2867"/>
      <c r="CT1180" s="2867"/>
      <c r="CU1180" s="2867"/>
      <c r="CV1180" s="2867"/>
      <c r="CW1180" s="2867"/>
    </row>
    <row r="1181" spans="1:101">
      <c r="A1181" s="2867"/>
      <c r="B1181" s="2867"/>
      <c r="C1181" s="2867"/>
      <c r="D1181" s="2867"/>
      <c r="E1181" s="2867"/>
      <c r="F1181" s="2867"/>
      <c r="G1181" s="2867"/>
      <c r="H1181" s="2867"/>
      <c r="I1181" s="2867"/>
      <c r="J1181" s="2867"/>
      <c r="K1181" s="2867"/>
      <c r="L1181" s="2867"/>
      <c r="M1181" s="2867"/>
      <c r="O1181" s="2867"/>
      <c r="P1181" s="2867"/>
      <c r="Q1181" s="2867"/>
      <c r="R1181" s="2867"/>
      <c r="S1181" s="2867"/>
      <c r="T1181" s="2867"/>
      <c r="U1181" s="2867"/>
      <c r="V1181" s="2867"/>
      <c r="W1181" s="2867"/>
      <c r="X1181" s="2867"/>
      <c r="Y1181" s="2867"/>
      <c r="Z1181" s="2867"/>
      <c r="AA1181" s="2867"/>
      <c r="AB1181" s="2867"/>
      <c r="AC1181" s="2867"/>
      <c r="AD1181" s="2867"/>
      <c r="AE1181" s="2867"/>
      <c r="AF1181" s="2867"/>
      <c r="AG1181" s="2867"/>
      <c r="AH1181" s="2867"/>
      <c r="AI1181" s="2867"/>
      <c r="AJ1181" s="2867"/>
      <c r="AK1181" s="2867"/>
      <c r="AL1181" s="2867"/>
      <c r="AM1181" s="2867"/>
      <c r="AN1181" s="2867"/>
      <c r="AO1181" s="2867"/>
      <c r="AP1181" s="2867"/>
      <c r="AQ1181" s="2867"/>
      <c r="AR1181" s="2867"/>
      <c r="AS1181" s="2867"/>
      <c r="AT1181" s="2867"/>
      <c r="AU1181" s="2867"/>
      <c r="AV1181" s="2867"/>
      <c r="AW1181" s="2867"/>
      <c r="AX1181" s="2867"/>
      <c r="AY1181" s="2867"/>
      <c r="AZ1181" s="2867"/>
      <c r="BA1181" s="2867"/>
      <c r="BB1181" s="2867"/>
      <c r="BC1181" s="2867"/>
      <c r="BD1181" s="2867"/>
      <c r="BE1181" s="2867"/>
      <c r="BF1181" s="2867"/>
      <c r="BG1181" s="2867"/>
      <c r="BH1181" s="2867"/>
      <c r="BI1181" s="2867"/>
      <c r="BJ1181" s="2867"/>
      <c r="BK1181" s="2867"/>
      <c r="BL1181" s="2867"/>
      <c r="BM1181" s="2867"/>
      <c r="BN1181" s="2867"/>
      <c r="BO1181" s="2867"/>
      <c r="BP1181" s="2867"/>
      <c r="BQ1181" s="2867"/>
      <c r="BR1181" s="2867"/>
      <c r="BS1181" s="2867"/>
      <c r="BT1181" s="2867"/>
      <c r="BU1181" s="2867"/>
      <c r="BV1181" s="2867"/>
      <c r="BW1181" s="2867"/>
      <c r="BX1181" s="2867"/>
      <c r="BY1181" s="2867"/>
      <c r="BZ1181" s="2867"/>
      <c r="CA1181" s="2867"/>
      <c r="CB1181" s="2867"/>
      <c r="CC1181" s="2867"/>
      <c r="CD1181" s="2867"/>
      <c r="CE1181" s="2867"/>
      <c r="CF1181" s="2867"/>
      <c r="CG1181" s="2867"/>
      <c r="CH1181" s="2867"/>
      <c r="CI1181" s="2867"/>
      <c r="CJ1181" s="2867"/>
      <c r="CK1181" s="2867"/>
      <c r="CL1181" s="2867"/>
      <c r="CM1181" s="2867"/>
      <c r="CN1181" s="2867"/>
      <c r="CO1181" s="2867"/>
      <c r="CP1181" s="2867"/>
      <c r="CQ1181" s="2867"/>
      <c r="CR1181" s="2867"/>
      <c r="CS1181" s="2867"/>
      <c r="CT1181" s="2867"/>
      <c r="CU1181" s="2867"/>
      <c r="CV1181" s="2867"/>
      <c r="CW1181" s="2867"/>
    </row>
    <row r="1182" spans="1:101">
      <c r="A1182" s="2867"/>
      <c r="B1182" s="2867"/>
      <c r="C1182" s="2867"/>
      <c r="D1182" s="2867"/>
      <c r="E1182" s="2867"/>
      <c r="F1182" s="2867"/>
      <c r="G1182" s="2867"/>
      <c r="H1182" s="2867"/>
      <c r="I1182" s="2867"/>
      <c r="J1182" s="2867"/>
      <c r="K1182" s="2867"/>
      <c r="L1182" s="2867"/>
      <c r="M1182" s="2867"/>
      <c r="O1182" s="2867"/>
      <c r="P1182" s="2867"/>
      <c r="Q1182" s="2867"/>
      <c r="R1182" s="2867"/>
      <c r="S1182" s="2867"/>
      <c r="T1182" s="2867"/>
      <c r="U1182" s="2867"/>
      <c r="V1182" s="2867"/>
      <c r="W1182" s="2867"/>
      <c r="X1182" s="2867"/>
      <c r="Y1182" s="2867"/>
      <c r="Z1182" s="2867"/>
      <c r="AA1182" s="2867"/>
      <c r="AB1182" s="2867"/>
      <c r="AC1182" s="2867"/>
      <c r="AD1182" s="2867"/>
      <c r="AE1182" s="2867"/>
      <c r="AF1182" s="2867"/>
      <c r="AG1182" s="2867"/>
      <c r="AH1182" s="2867"/>
      <c r="AI1182" s="2867"/>
      <c r="AJ1182" s="2867"/>
      <c r="AK1182" s="2867"/>
      <c r="AL1182" s="2867"/>
      <c r="AM1182" s="2867"/>
      <c r="AN1182" s="2867"/>
      <c r="AO1182" s="2867"/>
      <c r="AP1182" s="2867"/>
      <c r="AQ1182" s="2867"/>
      <c r="AR1182" s="2867"/>
      <c r="AS1182" s="2867"/>
      <c r="AT1182" s="2867"/>
      <c r="AU1182" s="2867"/>
      <c r="AV1182" s="2867"/>
      <c r="AW1182" s="2867"/>
      <c r="AX1182" s="2867"/>
      <c r="AY1182" s="2867"/>
      <c r="AZ1182" s="2867"/>
      <c r="BA1182" s="2867"/>
      <c r="BB1182" s="2867"/>
      <c r="BC1182" s="2867"/>
      <c r="BD1182" s="2867"/>
      <c r="BE1182" s="2867"/>
      <c r="BF1182" s="2867"/>
      <c r="BG1182" s="2867"/>
      <c r="BH1182" s="2867"/>
      <c r="BI1182" s="2867"/>
      <c r="BJ1182" s="2867"/>
      <c r="BK1182" s="2867"/>
      <c r="BL1182" s="2867"/>
      <c r="BM1182" s="2867"/>
      <c r="BN1182" s="2867"/>
      <c r="BO1182" s="2867"/>
      <c r="BP1182" s="2867"/>
      <c r="BQ1182" s="2867"/>
      <c r="BR1182" s="2867"/>
      <c r="BS1182" s="2867"/>
      <c r="BT1182" s="2867"/>
      <c r="BU1182" s="2867"/>
      <c r="BV1182" s="2867"/>
      <c r="BW1182" s="2867"/>
      <c r="BX1182" s="2867"/>
      <c r="BY1182" s="2867"/>
      <c r="BZ1182" s="2867"/>
      <c r="CA1182" s="2867"/>
      <c r="CB1182" s="2867"/>
      <c r="CC1182" s="2867"/>
      <c r="CD1182" s="2867"/>
      <c r="CE1182" s="2867"/>
      <c r="CF1182" s="2867"/>
      <c r="CG1182" s="2867"/>
      <c r="CH1182" s="2867"/>
      <c r="CI1182" s="2867"/>
      <c r="CJ1182" s="2867"/>
      <c r="CK1182" s="2867"/>
      <c r="CL1182" s="2867"/>
      <c r="CM1182" s="2867"/>
      <c r="CN1182" s="2867"/>
      <c r="CO1182" s="2867"/>
      <c r="CP1182" s="2867"/>
      <c r="CQ1182" s="2867"/>
      <c r="CR1182" s="2867"/>
      <c r="CS1182" s="2867"/>
      <c r="CT1182" s="2867"/>
      <c r="CU1182" s="2867"/>
      <c r="CV1182" s="2867"/>
      <c r="CW1182" s="2867"/>
    </row>
    <row r="1183" spans="1:101">
      <c r="A1183" s="2867"/>
      <c r="B1183" s="2867"/>
      <c r="C1183" s="2867"/>
      <c r="D1183" s="2867"/>
      <c r="E1183" s="2867"/>
      <c r="F1183" s="2867"/>
      <c r="G1183" s="2867"/>
      <c r="H1183" s="2867"/>
      <c r="I1183" s="2867"/>
      <c r="J1183" s="2867"/>
      <c r="K1183" s="2867"/>
      <c r="L1183" s="2867"/>
      <c r="M1183" s="2867"/>
      <c r="O1183" s="2867"/>
      <c r="P1183" s="2867"/>
      <c r="Q1183" s="2867"/>
      <c r="R1183" s="2867"/>
      <c r="S1183" s="2867"/>
      <c r="T1183" s="2867"/>
      <c r="U1183" s="2867"/>
      <c r="V1183" s="2867"/>
      <c r="W1183" s="2867"/>
      <c r="X1183" s="2867"/>
      <c r="Y1183" s="2867"/>
      <c r="Z1183" s="2867"/>
      <c r="AA1183" s="2867"/>
      <c r="AB1183" s="2867"/>
      <c r="AC1183" s="2867"/>
      <c r="AD1183" s="2867"/>
      <c r="AE1183" s="2867"/>
      <c r="AF1183" s="2867"/>
      <c r="AG1183" s="2867"/>
      <c r="AH1183" s="2867"/>
      <c r="AI1183" s="2867"/>
      <c r="AJ1183" s="2867"/>
      <c r="AK1183" s="2867"/>
      <c r="AL1183" s="2867"/>
      <c r="AM1183" s="2867"/>
      <c r="AN1183" s="2867"/>
      <c r="AO1183" s="2867"/>
      <c r="AP1183" s="2867"/>
      <c r="AQ1183" s="2867"/>
      <c r="AR1183" s="2867"/>
      <c r="AS1183" s="2867"/>
      <c r="AT1183" s="2867"/>
      <c r="AU1183" s="2867"/>
      <c r="AV1183" s="2867"/>
      <c r="AW1183" s="2867"/>
      <c r="AX1183" s="2867"/>
      <c r="AY1183" s="2867"/>
      <c r="AZ1183" s="2867"/>
      <c r="BA1183" s="2867"/>
      <c r="BB1183" s="2867"/>
      <c r="BC1183" s="2867"/>
      <c r="BD1183" s="2867"/>
      <c r="BE1183" s="2867"/>
      <c r="BF1183" s="2867"/>
      <c r="BG1183" s="2867"/>
      <c r="BH1183" s="2867"/>
      <c r="BI1183" s="2867"/>
      <c r="BJ1183" s="2867"/>
      <c r="BK1183" s="2867"/>
      <c r="BL1183" s="2867"/>
      <c r="BM1183" s="2867"/>
      <c r="BN1183" s="2867"/>
      <c r="BO1183" s="2867"/>
      <c r="BP1183" s="2867"/>
      <c r="BQ1183" s="2867"/>
      <c r="BR1183" s="2867"/>
      <c r="BS1183" s="2867"/>
      <c r="BT1183" s="2867"/>
      <c r="BU1183" s="2867"/>
      <c r="BV1183" s="2867"/>
      <c r="BW1183" s="2867"/>
      <c r="BX1183" s="2867"/>
      <c r="BY1183" s="2867"/>
      <c r="BZ1183" s="2867"/>
      <c r="CA1183" s="2867"/>
      <c r="CB1183" s="2867"/>
      <c r="CC1183" s="2867"/>
      <c r="CD1183" s="2867"/>
      <c r="CE1183" s="2867"/>
      <c r="CF1183" s="2867"/>
      <c r="CG1183" s="2867"/>
      <c r="CH1183" s="2867"/>
      <c r="CI1183" s="2867"/>
      <c r="CJ1183" s="2867"/>
      <c r="CK1183" s="2867"/>
      <c r="CL1183" s="2867"/>
      <c r="CM1183" s="2867"/>
      <c r="CN1183" s="2867"/>
      <c r="CO1183" s="2867"/>
      <c r="CP1183" s="2867"/>
      <c r="CQ1183" s="2867"/>
      <c r="CR1183" s="2867"/>
      <c r="CS1183" s="2867"/>
      <c r="CT1183" s="2867"/>
      <c r="CU1183" s="2867"/>
      <c r="CV1183" s="2867"/>
      <c r="CW1183" s="2867"/>
    </row>
    <row r="1184" spans="1:101">
      <c r="A1184" s="2867"/>
      <c r="B1184" s="2867"/>
      <c r="C1184" s="2867"/>
      <c r="D1184" s="2867"/>
      <c r="E1184" s="2867"/>
      <c r="F1184" s="2867"/>
      <c r="G1184" s="2867"/>
      <c r="H1184" s="2867"/>
      <c r="I1184" s="2867"/>
      <c r="J1184" s="2867"/>
      <c r="K1184" s="2867"/>
      <c r="L1184" s="2867"/>
      <c r="M1184" s="2867"/>
      <c r="O1184" s="2867"/>
      <c r="P1184" s="2867"/>
      <c r="Q1184" s="2867"/>
      <c r="R1184" s="2867"/>
      <c r="S1184" s="2867"/>
      <c r="T1184" s="2867"/>
      <c r="U1184" s="2867"/>
      <c r="V1184" s="2867"/>
      <c r="W1184" s="2867"/>
      <c r="X1184" s="2867"/>
      <c r="Y1184" s="2867"/>
      <c r="Z1184" s="2867"/>
      <c r="AA1184" s="2867"/>
      <c r="AB1184" s="2867"/>
      <c r="AC1184" s="2867"/>
      <c r="AD1184" s="2867"/>
      <c r="AE1184" s="2867"/>
      <c r="AF1184" s="2867"/>
      <c r="AG1184" s="2867"/>
      <c r="AH1184" s="2867"/>
      <c r="AI1184" s="2867"/>
      <c r="AJ1184" s="2867"/>
      <c r="AK1184" s="2867"/>
      <c r="AL1184" s="2867"/>
      <c r="AM1184" s="2867"/>
      <c r="AN1184" s="2867"/>
      <c r="AO1184" s="2867"/>
      <c r="AP1184" s="2867"/>
      <c r="AQ1184" s="2867"/>
      <c r="AR1184" s="2867"/>
      <c r="AS1184" s="2867"/>
      <c r="AT1184" s="2867"/>
      <c r="AU1184" s="2867"/>
      <c r="AV1184" s="2867"/>
      <c r="AW1184" s="2867"/>
      <c r="AX1184" s="2867"/>
      <c r="AY1184" s="2867"/>
      <c r="AZ1184" s="2867"/>
      <c r="BA1184" s="2867"/>
      <c r="BB1184" s="2867"/>
      <c r="BC1184" s="2867"/>
      <c r="BD1184" s="2867"/>
      <c r="BE1184" s="2867"/>
      <c r="BF1184" s="2867"/>
      <c r="BG1184" s="2867"/>
      <c r="BH1184" s="2867"/>
      <c r="BI1184" s="2867"/>
      <c r="BJ1184" s="2867"/>
      <c r="BK1184" s="2867"/>
      <c r="BL1184" s="2867"/>
      <c r="BM1184" s="2867"/>
      <c r="BN1184" s="2867"/>
      <c r="BO1184" s="2867"/>
      <c r="BP1184" s="2867"/>
      <c r="BQ1184" s="2867"/>
      <c r="BR1184" s="2867"/>
      <c r="BS1184" s="2867"/>
      <c r="BT1184" s="2867"/>
      <c r="BU1184" s="2867"/>
      <c r="BV1184" s="2867"/>
      <c r="BW1184" s="2867"/>
      <c r="BX1184" s="2867"/>
      <c r="BY1184" s="2867"/>
      <c r="BZ1184" s="2867"/>
      <c r="CA1184" s="2867"/>
      <c r="CB1184" s="2867"/>
      <c r="CC1184" s="2867"/>
      <c r="CD1184" s="2867"/>
      <c r="CE1184" s="2867"/>
      <c r="CF1184" s="2867"/>
      <c r="CG1184" s="2867"/>
      <c r="CH1184" s="2867"/>
      <c r="CI1184" s="2867"/>
      <c r="CJ1184" s="2867"/>
      <c r="CK1184" s="2867"/>
      <c r="CL1184" s="2867"/>
      <c r="CM1184" s="2867"/>
      <c r="CN1184" s="2867"/>
      <c r="CO1184" s="2867"/>
      <c r="CP1184" s="2867"/>
      <c r="CQ1184" s="2867"/>
      <c r="CR1184" s="2867"/>
      <c r="CS1184" s="2867"/>
      <c r="CT1184" s="2867"/>
      <c r="CU1184" s="2867"/>
      <c r="CV1184" s="2867"/>
      <c r="CW1184" s="2867"/>
    </row>
    <row r="1185" spans="1:101">
      <c r="A1185" s="2867"/>
      <c r="B1185" s="2867"/>
      <c r="C1185" s="2867"/>
      <c r="D1185" s="2867"/>
      <c r="E1185" s="2867"/>
      <c r="F1185" s="2867"/>
      <c r="G1185" s="2867"/>
      <c r="H1185" s="2867"/>
      <c r="I1185" s="2867"/>
      <c r="J1185" s="2867"/>
      <c r="K1185" s="2867"/>
      <c r="L1185" s="2867"/>
      <c r="M1185" s="2867"/>
      <c r="O1185" s="2867"/>
      <c r="P1185" s="2867"/>
      <c r="Q1185" s="2867"/>
      <c r="R1185" s="2867"/>
      <c r="S1185" s="2867"/>
      <c r="T1185" s="2867"/>
      <c r="U1185" s="2867"/>
      <c r="V1185" s="2867"/>
      <c r="W1185" s="2867"/>
      <c r="X1185" s="2867"/>
      <c r="Y1185" s="2867"/>
      <c r="Z1185" s="2867"/>
      <c r="AA1185" s="2867"/>
      <c r="AB1185" s="2867"/>
      <c r="AC1185" s="2867"/>
      <c r="AD1185" s="2867"/>
      <c r="AE1185" s="2867"/>
      <c r="AF1185" s="2867"/>
      <c r="AG1185" s="2867"/>
      <c r="AH1185" s="2867"/>
      <c r="AI1185" s="2867"/>
      <c r="AJ1185" s="2867"/>
      <c r="AK1185" s="2867"/>
      <c r="AL1185" s="2867"/>
      <c r="AM1185" s="2867"/>
      <c r="AN1185" s="2867"/>
      <c r="AO1185" s="2867"/>
      <c r="AP1185" s="2867"/>
      <c r="AQ1185" s="2867"/>
      <c r="AR1185" s="2867"/>
      <c r="AS1185" s="2867"/>
      <c r="AT1185" s="2867"/>
      <c r="AU1185" s="2867"/>
      <c r="AV1185" s="2867"/>
      <c r="AW1185" s="2867"/>
      <c r="AX1185" s="2867"/>
      <c r="AY1185" s="2867"/>
      <c r="AZ1185" s="2867"/>
      <c r="BA1185" s="2867"/>
      <c r="BB1185" s="2867"/>
      <c r="BC1185" s="2867"/>
      <c r="BD1185" s="2867"/>
      <c r="BE1185" s="2867"/>
      <c r="BF1185" s="2867"/>
      <c r="BG1185" s="2867"/>
      <c r="BH1185" s="2867"/>
      <c r="BI1185" s="2867"/>
      <c r="BJ1185" s="2867"/>
      <c r="BK1185" s="2867"/>
      <c r="BL1185" s="2867"/>
      <c r="BM1185" s="2867"/>
      <c r="BN1185" s="2867"/>
      <c r="BO1185" s="2867"/>
      <c r="BP1185" s="2867"/>
      <c r="BQ1185" s="2867"/>
      <c r="BR1185" s="2867"/>
      <c r="BS1185" s="2867"/>
      <c r="BT1185" s="2867"/>
      <c r="BU1185" s="2867"/>
      <c r="BV1185" s="2867"/>
      <c r="BW1185" s="2867"/>
      <c r="BX1185" s="2867"/>
      <c r="BY1185" s="2867"/>
      <c r="BZ1185" s="2867"/>
      <c r="CA1185" s="2867"/>
      <c r="CB1185" s="2867"/>
      <c r="CC1185" s="2867"/>
      <c r="CD1185" s="2867"/>
      <c r="CE1185" s="2867"/>
      <c r="CF1185" s="2867"/>
      <c r="CG1185" s="2867"/>
      <c r="CH1185" s="2867"/>
      <c r="CI1185" s="2867"/>
      <c r="CJ1185" s="2867"/>
      <c r="CK1185" s="2867"/>
      <c r="CL1185" s="2867"/>
      <c r="CM1185" s="2867"/>
      <c r="CN1185" s="2867"/>
      <c r="CO1185" s="2867"/>
      <c r="CP1185" s="2867"/>
      <c r="CQ1185" s="2867"/>
      <c r="CR1185" s="2867"/>
      <c r="CS1185" s="2867"/>
      <c r="CT1185" s="2867"/>
      <c r="CU1185" s="2867"/>
      <c r="CV1185" s="2867"/>
      <c r="CW1185" s="2867"/>
    </row>
    <row r="1186" spans="1:101">
      <c r="A1186" s="2867"/>
      <c r="B1186" s="2867"/>
      <c r="C1186" s="2867"/>
      <c r="D1186" s="2867"/>
      <c r="E1186" s="2867"/>
      <c r="F1186" s="2867"/>
      <c r="G1186" s="2867"/>
      <c r="H1186" s="2867"/>
      <c r="I1186" s="2867"/>
      <c r="J1186" s="2867"/>
      <c r="K1186" s="2867"/>
      <c r="L1186" s="2867"/>
      <c r="M1186" s="2867"/>
      <c r="O1186" s="2867"/>
      <c r="P1186" s="2867"/>
      <c r="Q1186" s="2867"/>
      <c r="R1186" s="2867"/>
      <c r="S1186" s="2867"/>
      <c r="T1186" s="2867"/>
      <c r="U1186" s="2867"/>
      <c r="V1186" s="2867"/>
      <c r="W1186" s="2867"/>
      <c r="X1186" s="2867"/>
      <c r="Y1186" s="2867"/>
      <c r="Z1186" s="2867"/>
      <c r="AA1186" s="2867"/>
      <c r="AB1186" s="2867"/>
      <c r="AC1186" s="2867"/>
      <c r="AD1186" s="2867"/>
      <c r="AE1186" s="2867"/>
      <c r="AF1186" s="2867"/>
      <c r="AG1186" s="2867"/>
      <c r="AH1186" s="2867"/>
      <c r="AI1186" s="2867"/>
      <c r="AJ1186" s="2867"/>
      <c r="AK1186" s="2867"/>
      <c r="AL1186" s="2867"/>
      <c r="AM1186" s="2867"/>
      <c r="AN1186" s="2867"/>
      <c r="AO1186" s="2867"/>
      <c r="AP1186" s="2867"/>
      <c r="AQ1186" s="2867"/>
      <c r="AR1186" s="2867"/>
      <c r="AS1186" s="2867"/>
      <c r="AT1186" s="2867"/>
      <c r="AU1186" s="2867"/>
      <c r="AV1186" s="2867"/>
      <c r="AW1186" s="2867"/>
      <c r="AX1186" s="2867"/>
      <c r="AY1186" s="2867"/>
      <c r="AZ1186" s="2867"/>
      <c r="BA1186" s="2867"/>
      <c r="BB1186" s="2867"/>
      <c r="BC1186" s="2867"/>
      <c r="BD1186" s="2867"/>
      <c r="BE1186" s="2867"/>
      <c r="BF1186" s="2867"/>
      <c r="BG1186" s="2867"/>
      <c r="BH1186" s="2867"/>
      <c r="BI1186" s="2867"/>
      <c r="BJ1186" s="2867"/>
      <c r="BK1186" s="2867"/>
      <c r="BL1186" s="2867"/>
      <c r="BM1186" s="2867"/>
      <c r="BN1186" s="2867"/>
      <c r="BO1186" s="2867"/>
      <c r="BP1186" s="2867"/>
      <c r="BQ1186" s="2867"/>
      <c r="BR1186" s="2867"/>
      <c r="BS1186" s="2867"/>
      <c r="BT1186" s="2867"/>
      <c r="BU1186" s="2867"/>
      <c r="BV1186" s="2867"/>
      <c r="BW1186" s="2867"/>
      <c r="BX1186" s="2867"/>
      <c r="BY1186" s="2867"/>
      <c r="BZ1186" s="2867"/>
      <c r="CA1186" s="2867"/>
      <c r="CB1186" s="2867"/>
      <c r="CC1186" s="2867"/>
      <c r="CD1186" s="2867"/>
      <c r="CE1186" s="2867"/>
      <c r="CF1186" s="2867"/>
      <c r="CG1186" s="2867"/>
      <c r="CH1186" s="2867"/>
      <c r="CI1186" s="2867"/>
      <c r="CJ1186" s="2867"/>
      <c r="CK1186" s="2867"/>
      <c r="CL1186" s="2867"/>
      <c r="CM1186" s="2867"/>
      <c r="CN1186" s="2867"/>
      <c r="CO1186" s="2867"/>
      <c r="CP1186" s="2867"/>
      <c r="CQ1186" s="2867"/>
      <c r="CR1186" s="2867"/>
      <c r="CS1186" s="2867"/>
      <c r="CT1186" s="2867"/>
      <c r="CU1186" s="2867"/>
      <c r="CV1186" s="2867"/>
      <c r="CW1186" s="2867"/>
    </row>
    <row r="1187" spans="1:101">
      <c r="A1187" s="2867"/>
      <c r="B1187" s="2867"/>
      <c r="C1187" s="2867"/>
      <c r="D1187" s="2867"/>
      <c r="E1187" s="2867"/>
      <c r="F1187" s="2867"/>
      <c r="G1187" s="2867"/>
      <c r="H1187" s="2867"/>
      <c r="I1187" s="2867"/>
      <c r="J1187" s="2867"/>
      <c r="K1187" s="2867"/>
      <c r="L1187" s="2867"/>
      <c r="M1187" s="2867"/>
      <c r="O1187" s="2867"/>
      <c r="P1187" s="2867"/>
      <c r="Q1187" s="2867"/>
      <c r="R1187" s="2867"/>
      <c r="S1187" s="2867"/>
      <c r="T1187" s="2867"/>
      <c r="U1187" s="2867"/>
      <c r="V1187" s="2867"/>
      <c r="W1187" s="2867"/>
      <c r="X1187" s="2867"/>
      <c r="Y1187" s="2867"/>
      <c r="Z1187" s="2867"/>
      <c r="AA1187" s="2867"/>
      <c r="AB1187" s="2867"/>
      <c r="AC1187" s="2867"/>
      <c r="AD1187" s="2867"/>
      <c r="AE1187" s="2867"/>
      <c r="AF1187" s="2867"/>
      <c r="AG1187" s="2867"/>
      <c r="AH1187" s="2867"/>
      <c r="AI1187" s="2867"/>
      <c r="AJ1187" s="2867"/>
      <c r="AK1187" s="2867"/>
      <c r="AL1187" s="2867"/>
      <c r="AM1187" s="2867"/>
      <c r="AN1187" s="2867"/>
      <c r="AO1187" s="2867"/>
      <c r="AP1187" s="2867"/>
      <c r="AQ1187" s="2867"/>
      <c r="AR1187" s="2867"/>
      <c r="AS1187" s="2867"/>
      <c r="AT1187" s="2867"/>
      <c r="AU1187" s="2867"/>
      <c r="AV1187" s="2867"/>
      <c r="AW1187" s="2867"/>
      <c r="AX1187" s="2867"/>
      <c r="AY1187" s="2867"/>
      <c r="AZ1187" s="2867"/>
      <c r="BA1187" s="2867"/>
      <c r="BB1187" s="2867"/>
      <c r="BC1187" s="2867"/>
      <c r="BD1187" s="2867"/>
      <c r="BE1187" s="2867"/>
      <c r="BF1187" s="2867"/>
      <c r="BG1187" s="2867"/>
      <c r="BH1187" s="2867"/>
      <c r="BI1187" s="2867"/>
      <c r="BJ1187" s="2867"/>
      <c r="BK1187" s="2867"/>
      <c r="BL1187" s="2867"/>
      <c r="BM1187" s="2867"/>
      <c r="BN1187" s="2867"/>
      <c r="BO1187" s="2867"/>
      <c r="BP1187" s="2867"/>
      <c r="BQ1187" s="2867"/>
      <c r="BR1187" s="2867"/>
      <c r="BS1187" s="2867"/>
      <c r="BT1187" s="2867"/>
      <c r="BU1187" s="2867"/>
      <c r="BV1187" s="2867"/>
      <c r="BW1187" s="2867"/>
      <c r="BX1187" s="2867"/>
      <c r="BY1187" s="2867"/>
      <c r="BZ1187" s="2867"/>
      <c r="CA1187" s="2867"/>
      <c r="CB1187" s="2867"/>
      <c r="CC1187" s="2867"/>
      <c r="CD1187" s="2867"/>
      <c r="CE1187" s="2867"/>
      <c r="CF1187" s="2867"/>
      <c r="CG1187" s="2867"/>
      <c r="CH1187" s="2867"/>
      <c r="CI1187" s="2867"/>
      <c r="CJ1187" s="2867"/>
      <c r="CK1187" s="2867"/>
      <c r="CL1187" s="2867"/>
      <c r="CM1187" s="2867"/>
      <c r="CN1187" s="2867"/>
      <c r="CO1187" s="2867"/>
      <c r="CP1187" s="2867"/>
      <c r="CQ1187" s="2867"/>
      <c r="CR1187" s="2867"/>
      <c r="CS1187" s="2867"/>
      <c r="CT1187" s="2867"/>
      <c r="CU1187" s="2867"/>
      <c r="CV1187" s="2867"/>
      <c r="CW1187" s="2867"/>
    </row>
    <row r="1188" spans="1:101">
      <c r="A1188" s="2867"/>
      <c r="B1188" s="2867"/>
      <c r="C1188" s="2867"/>
      <c r="D1188" s="2867"/>
      <c r="E1188" s="2867"/>
      <c r="F1188" s="2867"/>
      <c r="G1188" s="2867"/>
      <c r="H1188" s="2867"/>
      <c r="I1188" s="2867"/>
      <c r="J1188" s="2867"/>
      <c r="K1188" s="2867"/>
      <c r="L1188" s="2867"/>
      <c r="M1188" s="2867"/>
      <c r="O1188" s="2867"/>
      <c r="P1188" s="2867"/>
      <c r="Q1188" s="2867"/>
      <c r="R1188" s="2867"/>
      <c r="S1188" s="2867"/>
      <c r="T1188" s="2867"/>
      <c r="U1188" s="2867"/>
      <c r="V1188" s="2867"/>
      <c r="W1188" s="2867"/>
      <c r="X1188" s="2867"/>
      <c r="Y1188" s="2867"/>
      <c r="Z1188" s="2867"/>
      <c r="AA1188" s="2867"/>
      <c r="AB1188" s="2867"/>
      <c r="AC1188" s="2867"/>
      <c r="AD1188" s="2867"/>
      <c r="AE1188" s="2867"/>
      <c r="AF1188" s="2867"/>
      <c r="AG1188" s="2867"/>
      <c r="AH1188" s="2867"/>
      <c r="AI1188" s="2867"/>
      <c r="AJ1188" s="2867"/>
      <c r="AK1188" s="2867"/>
      <c r="AL1188" s="2867"/>
      <c r="AM1188" s="2867"/>
      <c r="AN1188" s="2867"/>
      <c r="AO1188" s="2867"/>
      <c r="AP1188" s="2867"/>
      <c r="AQ1188" s="2867"/>
      <c r="AR1188" s="2867"/>
      <c r="AS1188" s="2867"/>
      <c r="AT1188" s="2867"/>
      <c r="AU1188" s="2867"/>
      <c r="AV1188" s="2867"/>
      <c r="AW1188" s="2867"/>
      <c r="AX1188" s="2867"/>
      <c r="AY1188" s="2867"/>
      <c r="AZ1188" s="2867"/>
      <c r="BA1188" s="2867"/>
      <c r="BB1188" s="2867"/>
      <c r="BC1188" s="2867"/>
      <c r="BD1188" s="2867"/>
      <c r="BE1188" s="2867"/>
      <c r="BF1188" s="2867"/>
      <c r="BG1188" s="2867"/>
      <c r="BH1188" s="2867"/>
      <c r="BI1188" s="2867"/>
      <c r="BJ1188" s="2867"/>
      <c r="BK1188" s="2867"/>
      <c r="BL1188" s="2867"/>
      <c r="BM1188" s="2867"/>
      <c r="BN1188" s="2867"/>
      <c r="BO1188" s="2867"/>
      <c r="BP1188" s="2867"/>
      <c r="BQ1188" s="2867"/>
      <c r="BR1188" s="2867"/>
      <c r="BS1188" s="2867"/>
      <c r="BT1188" s="2867"/>
      <c r="BU1188" s="2867"/>
      <c r="BV1188" s="2867"/>
      <c r="BW1188" s="2867"/>
      <c r="BX1188" s="2867"/>
      <c r="BY1188" s="2867"/>
      <c r="BZ1188" s="2867"/>
      <c r="CA1188" s="2867"/>
      <c r="CB1188" s="2867"/>
      <c r="CC1188" s="2867"/>
      <c r="CD1188" s="2867"/>
      <c r="CE1188" s="2867"/>
      <c r="CF1188" s="2867"/>
      <c r="CG1188" s="2867"/>
      <c r="CH1188" s="2867"/>
      <c r="CI1188" s="2867"/>
      <c r="CJ1188" s="2867"/>
      <c r="CK1188" s="2867"/>
      <c r="CL1188" s="2867"/>
      <c r="CM1188" s="2867"/>
      <c r="CN1188" s="2867"/>
      <c r="CO1188" s="2867"/>
      <c r="CP1188" s="2867"/>
      <c r="CQ1188" s="2867"/>
      <c r="CR1188" s="2867"/>
      <c r="CS1188" s="2867"/>
      <c r="CT1188" s="2867"/>
      <c r="CU1188" s="2867"/>
      <c r="CV1188" s="2867"/>
      <c r="CW1188" s="2867"/>
    </row>
    <row r="1189" spans="1:101">
      <c r="A1189" s="2867"/>
      <c r="B1189" s="2867"/>
      <c r="C1189" s="2867"/>
      <c r="D1189" s="2867"/>
      <c r="E1189" s="2867"/>
      <c r="F1189" s="2867"/>
      <c r="G1189" s="2867"/>
      <c r="H1189" s="2867"/>
      <c r="I1189" s="2867"/>
      <c r="J1189" s="2867"/>
      <c r="K1189" s="2867"/>
      <c r="L1189" s="2867"/>
      <c r="M1189" s="2867"/>
      <c r="O1189" s="2867"/>
      <c r="P1189" s="2867"/>
      <c r="Q1189" s="2867"/>
      <c r="R1189" s="2867"/>
      <c r="S1189" s="2867"/>
      <c r="T1189" s="2867"/>
      <c r="U1189" s="2867"/>
      <c r="V1189" s="2867"/>
      <c r="W1189" s="2867"/>
      <c r="X1189" s="2867"/>
      <c r="Y1189" s="2867"/>
      <c r="Z1189" s="2867"/>
      <c r="AA1189" s="2867"/>
      <c r="AB1189" s="2867"/>
      <c r="AC1189" s="2867"/>
      <c r="AD1189" s="2867"/>
      <c r="AE1189" s="2867"/>
      <c r="AF1189" s="2867"/>
      <c r="AG1189" s="2867"/>
      <c r="AH1189" s="2867"/>
      <c r="AI1189" s="2867"/>
      <c r="AJ1189" s="2867"/>
      <c r="AK1189" s="2867"/>
      <c r="AL1189" s="2867"/>
      <c r="AM1189" s="2867"/>
      <c r="AN1189" s="2867"/>
      <c r="AO1189" s="2867"/>
      <c r="AP1189" s="2867"/>
      <c r="AQ1189" s="2867"/>
      <c r="AR1189" s="2867"/>
      <c r="AS1189" s="2867"/>
      <c r="AT1189" s="2867"/>
      <c r="AU1189" s="2867"/>
      <c r="AV1189" s="2867"/>
      <c r="AW1189" s="2867"/>
      <c r="AX1189" s="2867"/>
      <c r="AY1189" s="2867"/>
      <c r="AZ1189" s="2867"/>
      <c r="BA1189" s="2867"/>
      <c r="BB1189" s="2867"/>
      <c r="BC1189" s="2867"/>
      <c r="BD1189" s="2867"/>
      <c r="BE1189" s="2867"/>
      <c r="BF1189" s="2867"/>
      <c r="BG1189" s="2867"/>
      <c r="BH1189" s="2867"/>
      <c r="BI1189" s="2867"/>
      <c r="BJ1189" s="2867"/>
      <c r="BK1189" s="2867"/>
      <c r="BL1189" s="2867"/>
      <c r="BM1189" s="2867"/>
      <c r="BN1189" s="2867"/>
      <c r="BO1189" s="2867"/>
      <c r="BP1189" s="2867"/>
      <c r="BQ1189" s="2867"/>
      <c r="BR1189" s="2867"/>
      <c r="BS1189" s="2867"/>
      <c r="BT1189" s="2867"/>
      <c r="BU1189" s="2867"/>
      <c r="BV1189" s="2867"/>
      <c r="BW1189" s="2867"/>
      <c r="BX1189" s="2867"/>
      <c r="BY1189" s="2867"/>
      <c r="BZ1189" s="2867"/>
      <c r="CA1189" s="2867"/>
      <c r="CB1189" s="2867"/>
      <c r="CC1189" s="2867"/>
      <c r="CD1189" s="2867"/>
      <c r="CE1189" s="2867"/>
      <c r="CF1189" s="2867"/>
      <c r="CG1189" s="2867"/>
      <c r="CH1189" s="2867"/>
      <c r="CI1189" s="2867"/>
      <c r="CJ1189" s="2867"/>
      <c r="CK1189" s="2867"/>
      <c r="CL1189" s="2867"/>
      <c r="CM1189" s="2867"/>
      <c r="CN1189" s="2867"/>
      <c r="CO1189" s="2867"/>
      <c r="CP1189" s="2867"/>
      <c r="CQ1189" s="2867"/>
      <c r="CR1189" s="2867"/>
      <c r="CS1189" s="2867"/>
      <c r="CT1189" s="2867"/>
      <c r="CU1189" s="2867"/>
      <c r="CV1189" s="2867"/>
      <c r="CW1189" s="2867"/>
    </row>
    <row r="1190" spans="1:101">
      <c r="A1190" s="2867"/>
      <c r="B1190" s="2867"/>
      <c r="C1190" s="2867"/>
      <c r="D1190" s="2867"/>
      <c r="E1190" s="2867"/>
      <c r="F1190" s="2867"/>
      <c r="G1190" s="2867"/>
      <c r="H1190" s="2867"/>
      <c r="I1190" s="2867"/>
      <c r="J1190" s="2867"/>
      <c r="K1190" s="2867"/>
      <c r="L1190" s="2867"/>
      <c r="M1190" s="2867"/>
      <c r="O1190" s="2867"/>
      <c r="P1190" s="2867"/>
      <c r="Q1190" s="2867"/>
      <c r="R1190" s="2867"/>
      <c r="S1190" s="2867"/>
      <c r="T1190" s="2867"/>
      <c r="U1190" s="2867"/>
      <c r="V1190" s="2867"/>
      <c r="W1190" s="2867"/>
      <c r="X1190" s="2867"/>
      <c r="Y1190" s="2867"/>
      <c r="Z1190" s="2867"/>
      <c r="AA1190" s="2867"/>
      <c r="AB1190" s="2867"/>
      <c r="AC1190" s="2867"/>
      <c r="AD1190" s="2867"/>
      <c r="AE1190" s="2867"/>
      <c r="AF1190" s="2867"/>
      <c r="AG1190" s="2867"/>
      <c r="AH1190" s="2867"/>
      <c r="AI1190" s="2867"/>
      <c r="AJ1190" s="2867"/>
      <c r="AK1190" s="2867"/>
      <c r="AL1190" s="2867"/>
      <c r="AM1190" s="2867"/>
      <c r="AN1190" s="2867"/>
      <c r="AO1190" s="2867"/>
      <c r="AP1190" s="2867"/>
      <c r="AQ1190" s="2867"/>
      <c r="AR1190" s="2867"/>
      <c r="AS1190" s="2867"/>
      <c r="AT1190" s="2867"/>
      <c r="AU1190" s="2867"/>
      <c r="AV1190" s="2867"/>
      <c r="AW1190" s="2867"/>
      <c r="AX1190" s="2867"/>
      <c r="AY1190" s="2867"/>
      <c r="AZ1190" s="2867"/>
      <c r="BA1190" s="2867"/>
      <c r="BB1190" s="2867"/>
      <c r="BC1190" s="2867"/>
      <c r="BD1190" s="2867"/>
      <c r="BE1190" s="2867"/>
      <c r="BF1190" s="2867"/>
      <c r="BG1190" s="2867"/>
      <c r="BH1190" s="2867"/>
      <c r="BI1190" s="2867"/>
      <c r="BJ1190" s="2867"/>
      <c r="BK1190" s="2867"/>
      <c r="BL1190" s="2867"/>
      <c r="BM1190" s="2867"/>
      <c r="BN1190" s="2867"/>
      <c r="BO1190" s="2867"/>
      <c r="BP1190" s="2867"/>
      <c r="BQ1190" s="2867"/>
      <c r="BR1190" s="2867"/>
      <c r="BS1190" s="2867"/>
      <c r="BT1190" s="2867"/>
      <c r="BU1190" s="2867"/>
      <c r="BV1190" s="2867"/>
      <c r="BW1190" s="2867"/>
      <c r="BX1190" s="2867"/>
      <c r="BY1190" s="2867"/>
      <c r="BZ1190" s="2867"/>
      <c r="CA1190" s="2867"/>
      <c r="CB1190" s="2867"/>
      <c r="CC1190" s="2867"/>
      <c r="CD1190" s="2867"/>
      <c r="CE1190" s="2867"/>
      <c r="CF1190" s="2867"/>
      <c r="CG1190" s="2867"/>
      <c r="CH1190" s="2867"/>
      <c r="CI1190" s="2867"/>
      <c r="CJ1190" s="2867"/>
      <c r="CK1190" s="2867"/>
      <c r="CL1190" s="2867"/>
      <c r="CM1190" s="2867"/>
      <c r="CN1190" s="2867"/>
      <c r="CO1190" s="2867"/>
      <c r="CP1190" s="2867"/>
      <c r="CQ1190" s="2867"/>
      <c r="CR1190" s="2867"/>
      <c r="CS1190" s="2867"/>
      <c r="CT1190" s="2867"/>
      <c r="CU1190" s="2867"/>
      <c r="CV1190" s="2867"/>
      <c r="CW1190" s="2867"/>
    </row>
    <row r="1191" spans="1:101">
      <c r="A1191" s="2867"/>
      <c r="B1191" s="2867"/>
      <c r="C1191" s="2867"/>
      <c r="D1191" s="2867"/>
      <c r="E1191" s="2867"/>
      <c r="F1191" s="2867"/>
      <c r="G1191" s="2867"/>
      <c r="H1191" s="2867"/>
      <c r="I1191" s="2867"/>
      <c r="J1191" s="2867"/>
      <c r="K1191" s="2867"/>
      <c r="L1191" s="2867"/>
      <c r="M1191" s="2867"/>
      <c r="O1191" s="2867"/>
      <c r="P1191" s="2867"/>
      <c r="Q1191" s="2867"/>
      <c r="R1191" s="2867"/>
      <c r="S1191" s="2867"/>
      <c r="T1191" s="2867"/>
      <c r="U1191" s="2867"/>
      <c r="V1191" s="2867"/>
      <c r="W1191" s="2867"/>
      <c r="X1191" s="2867"/>
      <c r="Y1191" s="2867"/>
      <c r="Z1191" s="2867"/>
      <c r="AA1191" s="2867"/>
      <c r="AB1191" s="2867"/>
      <c r="AC1191" s="2867"/>
      <c r="AD1191" s="2867"/>
      <c r="AE1191" s="2867"/>
      <c r="AF1191" s="2867"/>
      <c r="AG1191" s="2867"/>
      <c r="AH1191" s="2867"/>
      <c r="AI1191" s="2867"/>
      <c r="AJ1191" s="2867"/>
      <c r="AK1191" s="2867"/>
      <c r="AL1191" s="2867"/>
      <c r="AM1191" s="2867"/>
      <c r="AN1191" s="2867"/>
      <c r="AO1191" s="2867"/>
      <c r="AP1191" s="2867"/>
      <c r="AQ1191" s="2867"/>
      <c r="AR1191" s="2867"/>
      <c r="AS1191" s="2867"/>
      <c r="AT1191" s="2867"/>
      <c r="AU1191" s="2867"/>
      <c r="AV1191" s="2867"/>
      <c r="AW1191" s="2867"/>
      <c r="AX1191" s="2867"/>
      <c r="AY1191" s="2867"/>
      <c r="AZ1191" s="2867"/>
      <c r="BA1191" s="2867"/>
      <c r="BB1191" s="2867"/>
      <c r="BC1191" s="2867"/>
      <c r="BD1191" s="2867"/>
      <c r="BE1191" s="2867"/>
      <c r="BF1191" s="2867"/>
      <c r="BG1191" s="2867"/>
      <c r="BH1191" s="2867"/>
      <c r="BI1191" s="2867"/>
      <c r="BJ1191" s="2867"/>
      <c r="BK1191" s="2867"/>
      <c r="BL1191" s="2867"/>
      <c r="BM1191" s="2867"/>
      <c r="BN1191" s="2867"/>
      <c r="BO1191" s="2867"/>
      <c r="BP1191" s="2867"/>
      <c r="BQ1191" s="2867"/>
      <c r="BR1191" s="2867"/>
      <c r="BS1191" s="2867"/>
      <c r="BT1191" s="2867"/>
      <c r="BU1191" s="2867"/>
      <c r="BV1191" s="2867"/>
      <c r="BW1191" s="2867"/>
      <c r="BX1191" s="2867"/>
      <c r="BY1191" s="2867"/>
      <c r="BZ1191" s="2867"/>
      <c r="CA1191" s="2867"/>
      <c r="CB1191" s="2867"/>
      <c r="CC1191" s="2867"/>
      <c r="CD1191" s="2867"/>
      <c r="CE1191" s="2867"/>
      <c r="CF1191" s="2867"/>
      <c r="CG1191" s="2867"/>
      <c r="CH1191" s="2867"/>
      <c r="CI1191" s="2867"/>
      <c r="CJ1191" s="2867"/>
      <c r="CK1191" s="2867"/>
      <c r="CL1191" s="2867"/>
      <c r="CM1191" s="2867"/>
      <c r="CN1191" s="2867"/>
      <c r="CO1191" s="2867"/>
      <c r="CP1191" s="2867"/>
      <c r="CQ1191" s="2867"/>
      <c r="CR1191" s="2867"/>
      <c r="CS1191" s="2867"/>
      <c r="CT1191" s="2867"/>
      <c r="CU1191" s="2867"/>
      <c r="CV1191" s="2867"/>
      <c r="CW1191" s="2867"/>
    </row>
    <row r="1192" spans="1:101">
      <c r="A1192" s="2867"/>
      <c r="B1192" s="2867"/>
      <c r="C1192" s="2867"/>
      <c r="D1192" s="2867"/>
      <c r="E1192" s="2867"/>
      <c r="F1192" s="2867"/>
      <c r="G1192" s="2867"/>
      <c r="H1192" s="2867"/>
      <c r="I1192" s="2867"/>
      <c r="J1192" s="2867"/>
      <c r="K1192" s="2867"/>
      <c r="L1192" s="2867"/>
      <c r="M1192" s="2867"/>
      <c r="O1192" s="2867"/>
      <c r="P1192" s="2867"/>
      <c r="Q1192" s="2867"/>
      <c r="R1192" s="2867"/>
      <c r="S1192" s="2867"/>
      <c r="T1192" s="2867"/>
      <c r="U1192" s="2867"/>
      <c r="V1192" s="2867"/>
      <c r="W1192" s="2867"/>
      <c r="X1192" s="2867"/>
      <c r="Y1192" s="2867"/>
      <c r="Z1192" s="2867"/>
      <c r="AA1192" s="2867"/>
      <c r="AB1192" s="2867"/>
      <c r="AC1192" s="2867"/>
      <c r="AD1192" s="2867"/>
      <c r="AE1192" s="2867"/>
      <c r="AF1192" s="2867"/>
      <c r="AG1192" s="2867"/>
      <c r="AH1192" s="2867"/>
      <c r="AI1192" s="2867"/>
      <c r="AJ1192" s="2867"/>
      <c r="AK1192" s="2867"/>
      <c r="AL1192" s="2867"/>
      <c r="AM1192" s="2867"/>
      <c r="AN1192" s="2867"/>
      <c r="AO1192" s="2867"/>
      <c r="AP1192" s="2867"/>
      <c r="AQ1192" s="2867"/>
      <c r="AR1192" s="2867"/>
      <c r="AS1192" s="2867"/>
      <c r="AT1192" s="2867"/>
      <c r="AU1192" s="2867"/>
      <c r="AV1192" s="2867"/>
      <c r="AW1192" s="2867"/>
      <c r="AX1192" s="2867"/>
      <c r="AY1192" s="2867"/>
      <c r="AZ1192" s="2867"/>
      <c r="BA1192" s="2867"/>
      <c r="BB1192" s="2867"/>
      <c r="BC1192" s="2867"/>
      <c r="BD1192" s="2867"/>
      <c r="BE1192" s="2867"/>
      <c r="BF1192" s="2867"/>
      <c r="BG1192" s="2867"/>
      <c r="BH1192" s="2867"/>
      <c r="BI1192" s="2867"/>
      <c r="BJ1192" s="2867"/>
      <c r="BK1192" s="2867"/>
      <c r="BL1192" s="2867"/>
      <c r="BM1192" s="2867"/>
      <c r="BN1192" s="2867"/>
      <c r="BO1192" s="2867"/>
      <c r="BP1192" s="2867"/>
      <c r="BQ1192" s="2867"/>
      <c r="BR1192" s="2867"/>
      <c r="BS1192" s="2867"/>
      <c r="BT1192" s="2867"/>
      <c r="BU1192" s="2867"/>
      <c r="BV1192" s="2867"/>
      <c r="BW1192" s="2867"/>
      <c r="BX1192" s="2867"/>
      <c r="BY1192" s="2867"/>
      <c r="BZ1192" s="2867"/>
      <c r="CA1192" s="2867"/>
      <c r="CB1192" s="2867"/>
      <c r="CC1192" s="2867"/>
      <c r="CD1192" s="2867"/>
      <c r="CE1192" s="2867"/>
      <c r="CF1192" s="2867"/>
      <c r="CG1192" s="2867"/>
      <c r="CH1192" s="2867"/>
      <c r="CI1192" s="2867"/>
      <c r="CJ1192" s="2867"/>
      <c r="CK1192" s="2867"/>
      <c r="CL1192" s="2867"/>
      <c r="CM1192" s="2867"/>
      <c r="CN1192" s="2867"/>
      <c r="CO1192" s="2867"/>
      <c r="CP1192" s="2867"/>
      <c r="CQ1192" s="2867"/>
      <c r="CR1192" s="2867"/>
      <c r="CS1192" s="2867"/>
      <c r="CT1192" s="2867"/>
      <c r="CU1192" s="2867"/>
      <c r="CV1192" s="2867"/>
      <c r="CW1192" s="2867"/>
    </row>
    <row r="1193" spans="1:101">
      <c r="A1193" s="2867"/>
      <c r="B1193" s="2867"/>
      <c r="C1193" s="2867"/>
      <c r="D1193" s="2867"/>
      <c r="E1193" s="2867"/>
      <c r="F1193" s="2867"/>
      <c r="G1193" s="2867"/>
      <c r="H1193" s="2867"/>
      <c r="I1193" s="2867"/>
      <c r="J1193" s="2867"/>
      <c r="K1193" s="2867"/>
      <c r="L1193" s="2867"/>
      <c r="M1193" s="2867"/>
      <c r="O1193" s="2867"/>
      <c r="P1193" s="2867"/>
      <c r="Q1193" s="2867"/>
      <c r="R1193" s="2867"/>
      <c r="S1193" s="2867"/>
      <c r="T1193" s="2867"/>
      <c r="U1193" s="2867"/>
      <c r="V1193" s="2867"/>
      <c r="W1193" s="2867"/>
      <c r="X1193" s="2867"/>
      <c r="Y1193" s="2867"/>
      <c r="Z1193" s="2867"/>
      <c r="AA1193" s="2867"/>
      <c r="AB1193" s="2867"/>
      <c r="AC1193" s="2867"/>
      <c r="AD1193" s="2867"/>
      <c r="AE1193" s="2867"/>
      <c r="AF1193" s="2867"/>
      <c r="AG1193" s="2867"/>
      <c r="AH1193" s="2867"/>
      <c r="AI1193" s="2867"/>
      <c r="AJ1193" s="2867"/>
      <c r="AK1193" s="2867"/>
      <c r="AL1193" s="2867"/>
      <c r="AM1193" s="2867"/>
      <c r="AN1193" s="2867"/>
      <c r="AO1193" s="2867"/>
      <c r="AP1193" s="2867"/>
      <c r="AQ1193" s="2867"/>
      <c r="AR1193" s="2867"/>
      <c r="AS1193" s="2867"/>
      <c r="AT1193" s="2867"/>
      <c r="AU1193" s="2867"/>
      <c r="AV1193" s="2867"/>
      <c r="AW1193" s="2867"/>
      <c r="AX1193" s="2867"/>
      <c r="AY1193" s="2867"/>
      <c r="AZ1193" s="2867"/>
      <c r="BA1193" s="2867"/>
      <c r="BB1193" s="2867"/>
      <c r="BC1193" s="2867"/>
      <c r="BD1193" s="2867"/>
      <c r="BE1193" s="2867"/>
      <c r="BF1193" s="2867"/>
      <c r="BG1193" s="2867"/>
      <c r="BH1193" s="2867"/>
      <c r="BI1193" s="2867"/>
      <c r="BJ1193" s="2867"/>
      <c r="BK1193" s="2867"/>
      <c r="BL1193" s="2867"/>
      <c r="BM1193" s="2867"/>
      <c r="BN1193" s="2867"/>
      <c r="BO1193" s="2867"/>
      <c r="BP1193" s="2867"/>
      <c r="BQ1193" s="2867"/>
      <c r="BR1193" s="2867"/>
      <c r="BS1193" s="2867"/>
      <c r="BT1193" s="2867"/>
      <c r="BU1193" s="2867"/>
      <c r="BV1193" s="2867"/>
      <c r="BW1193" s="2867"/>
      <c r="BX1193" s="2867"/>
      <c r="BY1193" s="2867"/>
      <c r="BZ1193" s="2867"/>
      <c r="CA1193" s="2867"/>
      <c r="CB1193" s="2867"/>
      <c r="CC1193" s="2867"/>
      <c r="CD1193" s="2867"/>
      <c r="CE1193" s="2867"/>
      <c r="CF1193" s="2867"/>
      <c r="CG1193" s="2867"/>
      <c r="CH1193" s="2867"/>
      <c r="CI1193" s="2867"/>
      <c r="CJ1193" s="2867"/>
      <c r="CK1193" s="2867"/>
      <c r="CL1193" s="2867"/>
      <c r="CM1193" s="2867"/>
      <c r="CN1193" s="2867"/>
      <c r="CO1193" s="2867"/>
      <c r="CP1193" s="2867"/>
      <c r="CQ1193" s="2867"/>
      <c r="CR1193" s="2867"/>
      <c r="CS1193" s="2867"/>
      <c r="CT1193" s="2867"/>
      <c r="CU1193" s="2867"/>
      <c r="CV1193" s="2867"/>
      <c r="CW1193" s="2867"/>
    </row>
    <row r="1194" spans="1:101">
      <c r="A1194" s="2867"/>
      <c r="B1194" s="2867"/>
      <c r="C1194" s="2867"/>
      <c r="D1194" s="2867"/>
      <c r="E1194" s="2867"/>
      <c r="F1194" s="2867"/>
      <c r="G1194" s="2867"/>
      <c r="H1194" s="2867"/>
      <c r="I1194" s="2867"/>
      <c r="J1194" s="2867"/>
      <c r="K1194" s="2867"/>
      <c r="L1194" s="2867"/>
      <c r="M1194" s="2867"/>
      <c r="O1194" s="2867"/>
      <c r="P1194" s="2867"/>
      <c r="Q1194" s="2867"/>
      <c r="R1194" s="2867"/>
      <c r="S1194" s="2867"/>
      <c r="T1194" s="2867"/>
      <c r="U1194" s="2867"/>
      <c r="V1194" s="2867"/>
      <c r="W1194" s="2867"/>
      <c r="X1194" s="2867"/>
      <c r="Y1194" s="2867"/>
      <c r="Z1194" s="2867"/>
      <c r="AA1194" s="2867"/>
      <c r="AB1194" s="2867"/>
      <c r="AC1194" s="2867"/>
      <c r="AD1194" s="2867"/>
      <c r="AE1194" s="2867"/>
      <c r="AF1194" s="2867"/>
      <c r="AG1194" s="2867"/>
      <c r="AH1194" s="2867"/>
      <c r="AI1194" s="2867"/>
      <c r="AJ1194" s="2867"/>
      <c r="AK1194" s="2867"/>
      <c r="AL1194" s="2867"/>
      <c r="AM1194" s="2867"/>
      <c r="AN1194" s="2867"/>
      <c r="AO1194" s="2867"/>
      <c r="AP1194" s="2867"/>
      <c r="AQ1194" s="2867"/>
      <c r="AR1194" s="2867"/>
      <c r="AS1194" s="2867"/>
      <c r="AT1194" s="2867"/>
      <c r="AU1194" s="2867"/>
      <c r="AV1194" s="2867"/>
      <c r="AW1194" s="2867"/>
      <c r="AX1194" s="2867"/>
      <c r="AY1194" s="2867"/>
      <c r="AZ1194" s="2867"/>
      <c r="BA1194" s="2867"/>
      <c r="BB1194" s="2867"/>
      <c r="BC1194" s="2867"/>
      <c r="BD1194" s="2867"/>
      <c r="BE1194" s="2867"/>
      <c r="BF1194" s="2867"/>
      <c r="BG1194" s="2867"/>
      <c r="BH1194" s="2867"/>
      <c r="BI1194" s="2867"/>
      <c r="BJ1194" s="2867"/>
      <c r="BK1194" s="2867"/>
      <c r="BL1194" s="2867"/>
      <c r="BM1194" s="2867"/>
      <c r="BN1194" s="2867"/>
      <c r="BO1194" s="2867"/>
      <c r="BP1194" s="2867"/>
      <c r="BQ1194" s="2867"/>
      <c r="BR1194" s="2867"/>
      <c r="BS1194" s="2867"/>
      <c r="BT1194" s="2867"/>
      <c r="BU1194" s="2867"/>
      <c r="BV1194" s="2867"/>
      <c r="BW1194" s="2867"/>
      <c r="BX1194" s="2867"/>
      <c r="BY1194" s="2867"/>
      <c r="BZ1194" s="2867"/>
      <c r="CA1194" s="2867"/>
      <c r="CB1194" s="2867"/>
      <c r="CC1194" s="2867"/>
      <c r="CD1194" s="2867"/>
      <c r="CE1194" s="2867"/>
      <c r="CF1194" s="2867"/>
      <c r="CG1194" s="2867"/>
      <c r="CH1194" s="2867"/>
      <c r="CI1194" s="2867"/>
      <c r="CJ1194" s="2867"/>
      <c r="CK1194" s="2867"/>
      <c r="CL1194" s="2867"/>
      <c r="CM1194" s="2867"/>
      <c r="CN1194" s="2867"/>
      <c r="CO1194" s="2867"/>
      <c r="CP1194" s="2867"/>
      <c r="CQ1194" s="2867"/>
      <c r="CR1194" s="2867"/>
      <c r="CS1194" s="2867"/>
      <c r="CT1194" s="2867"/>
      <c r="CU1194" s="2867"/>
      <c r="CV1194" s="2867"/>
      <c r="CW1194" s="2867"/>
    </row>
    <row r="1195" spans="1:101">
      <c r="A1195" s="2867"/>
      <c r="B1195" s="2867"/>
      <c r="C1195" s="2867"/>
      <c r="D1195" s="2867"/>
      <c r="E1195" s="2867"/>
      <c r="F1195" s="2867"/>
      <c r="G1195" s="2867"/>
      <c r="H1195" s="2867"/>
      <c r="I1195" s="2867"/>
      <c r="J1195" s="2867"/>
      <c r="K1195" s="2867"/>
      <c r="L1195" s="2867"/>
      <c r="M1195" s="2867"/>
      <c r="O1195" s="2867"/>
      <c r="P1195" s="2867"/>
      <c r="Q1195" s="2867"/>
      <c r="R1195" s="2867"/>
      <c r="S1195" s="2867"/>
      <c r="T1195" s="2867"/>
      <c r="U1195" s="2867"/>
      <c r="V1195" s="2867"/>
      <c r="W1195" s="2867"/>
      <c r="X1195" s="2867"/>
      <c r="Y1195" s="2867"/>
      <c r="Z1195" s="2867"/>
      <c r="AA1195" s="2867"/>
      <c r="AB1195" s="2867"/>
      <c r="AC1195" s="2867"/>
      <c r="AD1195" s="2867"/>
      <c r="AE1195" s="2867"/>
      <c r="AF1195" s="2867"/>
      <c r="AG1195" s="2867"/>
      <c r="AH1195" s="2867"/>
      <c r="AI1195" s="2867"/>
      <c r="AJ1195" s="2867"/>
      <c r="AK1195" s="2867"/>
      <c r="AL1195" s="2867"/>
      <c r="AM1195" s="2867"/>
      <c r="AN1195" s="2867"/>
      <c r="AO1195" s="2867"/>
      <c r="AP1195" s="2867"/>
      <c r="AQ1195" s="2867"/>
      <c r="AR1195" s="2867"/>
      <c r="AS1195" s="2867"/>
      <c r="AT1195" s="2867"/>
      <c r="AU1195" s="2867"/>
      <c r="AV1195" s="2867"/>
      <c r="AW1195" s="2867"/>
      <c r="AX1195" s="2867"/>
      <c r="AY1195" s="2867"/>
      <c r="AZ1195" s="2867"/>
      <c r="BA1195" s="2867"/>
      <c r="BB1195" s="2867"/>
      <c r="BC1195" s="2867"/>
      <c r="BD1195" s="2867"/>
      <c r="BE1195" s="2867"/>
      <c r="BF1195" s="2867"/>
      <c r="BG1195" s="2867"/>
      <c r="BH1195" s="2867"/>
      <c r="BI1195" s="2867"/>
      <c r="BJ1195" s="2867"/>
      <c r="BK1195" s="2867"/>
      <c r="BL1195" s="2867"/>
      <c r="BM1195" s="2867"/>
      <c r="BN1195" s="2867"/>
      <c r="BO1195" s="2867"/>
      <c r="BP1195" s="2867"/>
      <c r="BQ1195" s="2867"/>
      <c r="BR1195" s="2867"/>
      <c r="BS1195" s="2867"/>
      <c r="BT1195" s="2867"/>
      <c r="BU1195" s="2867"/>
      <c r="BV1195" s="2867"/>
      <c r="BW1195" s="2867"/>
      <c r="BX1195" s="2867"/>
      <c r="BY1195" s="2867"/>
      <c r="BZ1195" s="2867"/>
      <c r="CA1195" s="2867"/>
      <c r="CB1195" s="2867"/>
      <c r="CC1195" s="2867"/>
      <c r="CD1195" s="2867"/>
      <c r="CE1195" s="2867"/>
      <c r="CF1195" s="2867"/>
      <c r="CG1195" s="2867"/>
      <c r="CH1195" s="2867"/>
      <c r="CI1195" s="2867"/>
      <c r="CJ1195" s="2867"/>
      <c r="CK1195" s="2867"/>
      <c r="CL1195" s="2867"/>
      <c r="CM1195" s="2867"/>
      <c r="CN1195" s="2867"/>
      <c r="CO1195" s="2867"/>
      <c r="CP1195" s="2867"/>
      <c r="CQ1195" s="2867"/>
      <c r="CR1195" s="2867"/>
      <c r="CS1195" s="2867"/>
      <c r="CT1195" s="2867"/>
      <c r="CU1195" s="2867"/>
      <c r="CV1195" s="2867"/>
      <c r="CW1195" s="2867"/>
    </row>
    <row r="1196" spans="1:101">
      <c r="A1196" s="2867"/>
      <c r="B1196" s="2867"/>
      <c r="C1196" s="2867"/>
      <c r="D1196" s="2867"/>
      <c r="E1196" s="2867"/>
      <c r="F1196" s="2867"/>
      <c r="G1196" s="2867"/>
      <c r="H1196" s="2867"/>
      <c r="I1196" s="2867"/>
      <c r="J1196" s="2867"/>
      <c r="K1196" s="2867"/>
      <c r="L1196" s="2867"/>
      <c r="M1196" s="2867"/>
      <c r="O1196" s="2867"/>
      <c r="P1196" s="2867"/>
      <c r="Q1196" s="2867"/>
      <c r="R1196" s="2867"/>
      <c r="S1196" s="2867"/>
      <c r="T1196" s="2867"/>
      <c r="U1196" s="2867"/>
      <c r="V1196" s="2867"/>
      <c r="W1196" s="2867"/>
      <c r="X1196" s="2867"/>
      <c r="Y1196" s="2867"/>
      <c r="Z1196" s="2867"/>
      <c r="AA1196" s="2867"/>
      <c r="AB1196" s="2867"/>
      <c r="AC1196" s="2867"/>
      <c r="AD1196" s="2867"/>
      <c r="AE1196" s="2867"/>
      <c r="AF1196" s="2867"/>
      <c r="AG1196" s="2867"/>
      <c r="AH1196" s="2867"/>
      <c r="AI1196" s="2867"/>
      <c r="AJ1196" s="2867"/>
      <c r="AK1196" s="2867"/>
      <c r="AL1196" s="2867"/>
      <c r="AM1196" s="2867"/>
      <c r="AN1196" s="2867"/>
      <c r="AO1196" s="2867"/>
      <c r="AP1196" s="2867"/>
      <c r="AQ1196" s="2867"/>
      <c r="AR1196" s="2867"/>
      <c r="AS1196" s="2867"/>
      <c r="AT1196" s="2867"/>
      <c r="AU1196" s="2867"/>
      <c r="AV1196" s="2867"/>
      <c r="AW1196" s="2867"/>
      <c r="AX1196" s="2867"/>
      <c r="AY1196" s="2867"/>
      <c r="AZ1196" s="2867"/>
      <c r="BA1196" s="2867"/>
      <c r="BB1196" s="2867"/>
      <c r="BC1196" s="2867"/>
      <c r="BD1196" s="2867"/>
      <c r="BE1196" s="2867"/>
      <c r="BF1196" s="2867"/>
      <c r="BG1196" s="2867"/>
      <c r="BH1196" s="2867"/>
      <c r="BI1196" s="2867"/>
      <c r="BJ1196" s="2867"/>
      <c r="BK1196" s="2867"/>
      <c r="BL1196" s="2867"/>
      <c r="BM1196" s="2867"/>
      <c r="BN1196" s="2867"/>
      <c r="BO1196" s="2867"/>
      <c r="BP1196" s="2867"/>
      <c r="BQ1196" s="2867"/>
      <c r="BR1196" s="2867"/>
      <c r="BS1196" s="2867"/>
      <c r="BT1196" s="2867"/>
      <c r="BU1196" s="2867"/>
      <c r="BV1196" s="2867"/>
      <c r="BW1196" s="2867"/>
      <c r="BX1196" s="2867"/>
      <c r="BY1196" s="2867"/>
      <c r="BZ1196" s="2867"/>
      <c r="CA1196" s="2867"/>
      <c r="CB1196" s="2867"/>
      <c r="CC1196" s="2867"/>
      <c r="CD1196" s="2867"/>
      <c r="CE1196" s="2867"/>
      <c r="CF1196" s="2867"/>
      <c r="CG1196" s="2867"/>
      <c r="CH1196" s="2867"/>
      <c r="CI1196" s="2867"/>
      <c r="CJ1196" s="2867"/>
      <c r="CK1196" s="2867"/>
      <c r="CL1196" s="2867"/>
      <c r="CM1196" s="2867"/>
      <c r="CN1196" s="2867"/>
      <c r="CO1196" s="2867"/>
      <c r="CP1196" s="2867"/>
      <c r="CQ1196" s="2867"/>
      <c r="CR1196" s="2867"/>
      <c r="CS1196" s="2867"/>
      <c r="CT1196" s="2867"/>
      <c r="CU1196" s="2867"/>
      <c r="CV1196" s="2867"/>
      <c r="CW1196" s="2867"/>
    </row>
    <row r="1197" spans="1:101">
      <c r="A1197" s="2867"/>
      <c r="B1197" s="2867"/>
      <c r="C1197" s="2867"/>
      <c r="D1197" s="2867"/>
      <c r="E1197" s="2867"/>
      <c r="F1197" s="2867"/>
      <c r="G1197" s="2867"/>
      <c r="H1197" s="2867"/>
      <c r="I1197" s="2867"/>
      <c r="J1197" s="2867"/>
      <c r="K1197" s="2867"/>
      <c r="L1197" s="2867"/>
      <c r="M1197" s="2867"/>
      <c r="O1197" s="2867"/>
      <c r="P1197" s="2867"/>
      <c r="Q1197" s="2867"/>
      <c r="R1197" s="2867"/>
      <c r="S1197" s="2867"/>
      <c r="T1197" s="2867"/>
      <c r="U1197" s="2867"/>
      <c r="V1197" s="2867"/>
      <c r="W1197" s="2867"/>
      <c r="X1197" s="2867"/>
      <c r="Y1197" s="2867"/>
      <c r="Z1197" s="2867"/>
      <c r="AA1197" s="2867"/>
      <c r="AB1197" s="2867"/>
      <c r="AC1197" s="2867"/>
      <c r="AD1197" s="2867"/>
      <c r="AE1197" s="2867"/>
      <c r="AF1197" s="2867"/>
      <c r="AG1197" s="2867"/>
      <c r="AH1197" s="2867"/>
      <c r="AI1197" s="2867"/>
      <c r="AJ1197" s="2867"/>
      <c r="AK1197" s="2867"/>
      <c r="AL1197" s="2867"/>
      <c r="AM1197" s="2867"/>
      <c r="AN1197" s="2867"/>
      <c r="AO1197" s="2867"/>
      <c r="AP1197" s="2867"/>
      <c r="AQ1197" s="2867"/>
      <c r="AR1197" s="2867"/>
      <c r="AS1197" s="2867"/>
      <c r="AT1197" s="2867"/>
      <c r="AU1197" s="2867"/>
      <c r="AV1197" s="2867"/>
      <c r="AW1197" s="2867"/>
      <c r="AX1197" s="2867"/>
      <c r="AY1197" s="2867"/>
      <c r="AZ1197" s="2867"/>
      <c r="BA1197" s="2867"/>
      <c r="BB1197" s="2867"/>
      <c r="BC1197" s="2867"/>
      <c r="BD1197" s="2867"/>
      <c r="BE1197" s="2867"/>
      <c r="BF1197" s="2867"/>
      <c r="BG1197" s="2867"/>
      <c r="BH1197" s="2867"/>
      <c r="BI1197" s="2867"/>
      <c r="BJ1197" s="2867"/>
      <c r="BK1197" s="2867"/>
      <c r="BL1197" s="2867"/>
      <c r="BM1197" s="2867"/>
      <c r="BN1197" s="2867"/>
      <c r="BO1197" s="2867"/>
      <c r="BP1197" s="2867"/>
      <c r="BQ1197" s="2867"/>
      <c r="BR1197" s="2867"/>
      <c r="BS1197" s="2867"/>
      <c r="BT1197" s="2867"/>
      <c r="BU1197" s="2867"/>
      <c r="BV1197" s="2867"/>
      <c r="BW1197" s="2867"/>
      <c r="BX1197" s="2867"/>
      <c r="BY1197" s="2867"/>
      <c r="BZ1197" s="2867"/>
      <c r="CA1197" s="2867"/>
      <c r="CB1197" s="2867"/>
      <c r="CC1197" s="2867"/>
      <c r="CD1197" s="2867"/>
      <c r="CE1197" s="2867"/>
      <c r="CF1197" s="2867"/>
      <c r="CG1197" s="2867"/>
      <c r="CH1197" s="2867"/>
      <c r="CI1197" s="2867"/>
      <c r="CJ1197" s="2867"/>
      <c r="CK1197" s="2867"/>
      <c r="CL1197" s="2867"/>
      <c r="CM1197" s="2867"/>
      <c r="CN1197" s="2867"/>
      <c r="CO1197" s="2867"/>
      <c r="CP1197" s="2867"/>
      <c r="CQ1197" s="2867"/>
      <c r="CR1197" s="2867"/>
      <c r="CS1197" s="2867"/>
      <c r="CT1197" s="2867"/>
      <c r="CU1197" s="2867"/>
      <c r="CV1197" s="2867"/>
      <c r="CW1197" s="2867"/>
    </row>
    <row r="1198" spans="1:101">
      <c r="A1198" s="2867"/>
      <c r="B1198" s="2867"/>
      <c r="C1198" s="2867"/>
      <c r="D1198" s="2867"/>
      <c r="E1198" s="2867"/>
      <c r="F1198" s="2867"/>
      <c r="G1198" s="2867"/>
      <c r="H1198" s="2867"/>
      <c r="I1198" s="2867"/>
      <c r="J1198" s="2867"/>
      <c r="K1198" s="2867"/>
      <c r="L1198" s="2867"/>
      <c r="M1198" s="2867"/>
      <c r="O1198" s="2867"/>
      <c r="P1198" s="2867"/>
      <c r="Q1198" s="2867"/>
      <c r="R1198" s="2867"/>
      <c r="S1198" s="2867"/>
      <c r="T1198" s="2867"/>
      <c r="U1198" s="2867"/>
      <c r="V1198" s="2867"/>
      <c r="W1198" s="2867"/>
      <c r="X1198" s="2867"/>
      <c r="Y1198" s="2867"/>
      <c r="Z1198" s="2867"/>
      <c r="AA1198" s="2867"/>
      <c r="AB1198" s="2867"/>
      <c r="AC1198" s="2867"/>
      <c r="AD1198" s="2867"/>
      <c r="AE1198" s="2867"/>
      <c r="AF1198" s="2867"/>
      <c r="AG1198" s="2867"/>
      <c r="AH1198" s="2867"/>
      <c r="AI1198" s="2867"/>
      <c r="AJ1198" s="2867"/>
      <c r="AK1198" s="2867"/>
      <c r="AL1198" s="2867"/>
      <c r="AM1198" s="2867"/>
      <c r="AN1198" s="2867"/>
      <c r="AO1198" s="2867"/>
      <c r="AP1198" s="2867"/>
      <c r="AQ1198" s="2867"/>
      <c r="AR1198" s="2867"/>
      <c r="AS1198" s="2867"/>
      <c r="AT1198" s="2867"/>
      <c r="AU1198" s="2867"/>
      <c r="AV1198" s="2867"/>
      <c r="AW1198" s="2867"/>
      <c r="AX1198" s="2867"/>
      <c r="AY1198" s="2867"/>
      <c r="AZ1198" s="2867"/>
      <c r="BA1198" s="2867"/>
      <c r="BB1198" s="2867"/>
      <c r="BC1198" s="2867"/>
      <c r="BD1198" s="2867"/>
      <c r="BE1198" s="2867"/>
      <c r="BF1198" s="2867"/>
      <c r="BG1198" s="2867"/>
      <c r="BH1198" s="2867"/>
      <c r="BI1198" s="2867"/>
      <c r="BJ1198" s="2867"/>
      <c r="BK1198" s="2867"/>
      <c r="BL1198" s="2867"/>
      <c r="BM1198" s="2867"/>
      <c r="BN1198" s="2867"/>
      <c r="BO1198" s="2867"/>
      <c r="BP1198" s="2867"/>
      <c r="BQ1198" s="2867"/>
      <c r="BR1198" s="2867"/>
      <c r="BS1198" s="2867"/>
      <c r="BT1198" s="2867"/>
      <c r="BU1198" s="2867"/>
      <c r="BV1198" s="2867"/>
      <c r="BW1198" s="2867"/>
      <c r="BX1198" s="2867"/>
      <c r="BY1198" s="2867"/>
      <c r="BZ1198" s="2867"/>
      <c r="CA1198" s="2867"/>
      <c r="CB1198" s="2867"/>
      <c r="CC1198" s="2867"/>
      <c r="CD1198" s="2867"/>
      <c r="CE1198" s="2867"/>
      <c r="CF1198" s="2867"/>
      <c r="CG1198" s="2867"/>
      <c r="CH1198" s="2867"/>
      <c r="CI1198" s="2867"/>
      <c r="CJ1198" s="2867"/>
      <c r="CK1198" s="2867"/>
      <c r="CL1198" s="2867"/>
      <c r="CM1198" s="2867"/>
      <c r="CN1198" s="2867"/>
      <c r="CO1198" s="2867"/>
      <c r="CP1198" s="2867"/>
      <c r="CQ1198" s="2867"/>
      <c r="CR1198" s="2867"/>
      <c r="CS1198" s="2867"/>
      <c r="CT1198" s="2867"/>
      <c r="CU1198" s="2867"/>
      <c r="CV1198" s="2867"/>
      <c r="CW1198" s="2867"/>
    </row>
    <row r="1199" spans="1:101">
      <c r="A1199" s="2867"/>
      <c r="B1199" s="2867"/>
      <c r="C1199" s="2867"/>
      <c r="D1199" s="2867"/>
      <c r="E1199" s="2867"/>
      <c r="F1199" s="2867"/>
      <c r="G1199" s="2867"/>
      <c r="H1199" s="2867"/>
      <c r="I1199" s="2867"/>
      <c r="J1199" s="2867"/>
      <c r="K1199" s="2867"/>
      <c r="L1199" s="2867"/>
      <c r="M1199" s="2867"/>
      <c r="O1199" s="2867"/>
      <c r="P1199" s="2867"/>
      <c r="Q1199" s="2867"/>
      <c r="R1199" s="2867"/>
      <c r="S1199" s="2867"/>
      <c r="T1199" s="2867"/>
      <c r="U1199" s="2867"/>
      <c r="V1199" s="2867"/>
      <c r="W1199" s="2867"/>
      <c r="X1199" s="2867"/>
      <c r="Y1199" s="2867"/>
      <c r="Z1199" s="2867"/>
      <c r="AA1199" s="2867"/>
      <c r="AB1199" s="2867"/>
      <c r="AC1199" s="2867"/>
      <c r="AD1199" s="2867"/>
      <c r="AE1199" s="2867"/>
      <c r="AF1199" s="2867"/>
      <c r="AG1199" s="2867"/>
      <c r="AH1199" s="2867"/>
      <c r="AI1199" s="2867"/>
      <c r="AJ1199" s="2867"/>
      <c r="AK1199" s="2867"/>
      <c r="AL1199" s="2867"/>
      <c r="AM1199" s="2867"/>
      <c r="AN1199" s="2867"/>
      <c r="AO1199" s="2867"/>
      <c r="AP1199" s="2867"/>
      <c r="AQ1199" s="2867"/>
      <c r="AR1199" s="2867"/>
      <c r="AS1199" s="2867"/>
      <c r="AT1199" s="2867"/>
      <c r="AU1199" s="2867"/>
      <c r="AV1199" s="2867"/>
      <c r="AW1199" s="2867"/>
      <c r="AX1199" s="2867"/>
      <c r="AY1199" s="2867"/>
      <c r="AZ1199" s="2867"/>
      <c r="BA1199" s="2867"/>
      <c r="BB1199" s="2867"/>
      <c r="BC1199" s="2867"/>
      <c r="BD1199" s="2867"/>
      <c r="BE1199" s="2867"/>
      <c r="BF1199" s="2867"/>
      <c r="BG1199" s="2867"/>
      <c r="BH1199" s="2867"/>
      <c r="BI1199" s="2867"/>
      <c r="BJ1199" s="2867"/>
      <c r="BK1199" s="2867"/>
      <c r="BL1199" s="2867"/>
      <c r="BM1199" s="2867"/>
      <c r="BN1199" s="2867"/>
      <c r="BO1199" s="2867"/>
      <c r="BP1199" s="2867"/>
      <c r="BQ1199" s="2867"/>
      <c r="BR1199" s="2867"/>
      <c r="BS1199" s="2867"/>
      <c r="BT1199" s="2867"/>
      <c r="BU1199" s="2867"/>
      <c r="BV1199" s="2867"/>
      <c r="BW1199" s="2867"/>
      <c r="BX1199" s="2867"/>
      <c r="BY1199" s="2867"/>
      <c r="BZ1199" s="2867"/>
      <c r="CA1199" s="2867"/>
      <c r="CB1199" s="2867"/>
      <c r="CC1199" s="2867"/>
      <c r="CD1199" s="2867"/>
      <c r="CE1199" s="2867"/>
      <c r="CF1199" s="2867"/>
      <c r="CG1199" s="2867"/>
      <c r="CH1199" s="2867"/>
      <c r="CI1199" s="2867"/>
      <c r="CJ1199" s="2867"/>
      <c r="CK1199" s="2867"/>
      <c r="CL1199" s="2867"/>
      <c r="CM1199" s="2867"/>
      <c r="CN1199" s="2867"/>
      <c r="CO1199" s="2867"/>
      <c r="CP1199" s="2867"/>
      <c r="CQ1199" s="2867"/>
      <c r="CR1199" s="2867"/>
      <c r="CS1199" s="2867"/>
      <c r="CT1199" s="2867"/>
      <c r="CU1199" s="2867"/>
      <c r="CV1199" s="2867"/>
      <c r="CW1199" s="2867"/>
    </row>
    <row r="1200" spans="1:101">
      <c r="A1200" s="2867"/>
      <c r="B1200" s="2867"/>
      <c r="C1200" s="2867"/>
      <c r="D1200" s="2867"/>
      <c r="E1200" s="2867"/>
      <c r="F1200" s="2867"/>
      <c r="G1200" s="2867"/>
      <c r="H1200" s="2867"/>
      <c r="I1200" s="2867"/>
      <c r="J1200" s="2867"/>
      <c r="K1200" s="2867"/>
      <c r="L1200" s="2867"/>
      <c r="M1200" s="2867"/>
      <c r="O1200" s="2867"/>
      <c r="P1200" s="2867"/>
      <c r="Q1200" s="2867"/>
      <c r="R1200" s="2867"/>
      <c r="S1200" s="2867"/>
      <c r="T1200" s="2867"/>
      <c r="U1200" s="2867"/>
      <c r="V1200" s="2867"/>
      <c r="W1200" s="2867"/>
      <c r="X1200" s="2867"/>
      <c r="Y1200" s="2867"/>
      <c r="Z1200" s="2867"/>
      <c r="AA1200" s="2867"/>
      <c r="AB1200" s="2867"/>
      <c r="AC1200" s="2867"/>
      <c r="AD1200" s="2867"/>
      <c r="AE1200" s="2867"/>
      <c r="AF1200" s="2867"/>
      <c r="AG1200" s="2867"/>
      <c r="AH1200" s="2867"/>
      <c r="AI1200" s="2867"/>
      <c r="AJ1200" s="2867"/>
      <c r="AK1200" s="2867"/>
      <c r="AL1200" s="2867"/>
      <c r="AM1200" s="2867"/>
      <c r="AN1200" s="2867"/>
      <c r="AO1200" s="2867"/>
      <c r="AP1200" s="2867"/>
      <c r="AQ1200" s="2867"/>
      <c r="AR1200" s="2867"/>
      <c r="AS1200" s="2867"/>
      <c r="AT1200" s="2867"/>
      <c r="AU1200" s="2867"/>
      <c r="AV1200" s="2867"/>
      <c r="AW1200" s="2867"/>
      <c r="AX1200" s="2867"/>
      <c r="AY1200" s="2867"/>
      <c r="AZ1200" s="2867"/>
      <c r="BA1200" s="2867"/>
      <c r="BB1200" s="2867"/>
      <c r="BC1200" s="2867"/>
      <c r="BD1200" s="2867"/>
      <c r="BE1200" s="2867"/>
      <c r="BF1200" s="2867"/>
      <c r="BG1200" s="2867"/>
      <c r="BH1200" s="2867"/>
      <c r="BI1200" s="2867"/>
      <c r="BJ1200" s="2867"/>
      <c r="BK1200" s="2867"/>
      <c r="BL1200" s="2867"/>
      <c r="BM1200" s="2867"/>
      <c r="BN1200" s="2867"/>
      <c r="BO1200" s="2867"/>
      <c r="BP1200" s="2867"/>
      <c r="BQ1200" s="2867"/>
      <c r="BR1200" s="2867"/>
      <c r="BS1200" s="2867"/>
      <c r="BT1200" s="2867"/>
      <c r="BU1200" s="2867"/>
      <c r="BV1200" s="2867"/>
      <c r="BW1200" s="2867"/>
      <c r="BX1200" s="2867"/>
      <c r="BY1200" s="2867"/>
      <c r="BZ1200" s="2867"/>
      <c r="CA1200" s="2867"/>
      <c r="CB1200" s="2867"/>
      <c r="CC1200" s="2867"/>
      <c r="CD1200" s="2867"/>
      <c r="CE1200" s="2867"/>
      <c r="CF1200" s="2867"/>
      <c r="CG1200" s="2867"/>
      <c r="CH1200" s="2867"/>
      <c r="CI1200" s="2867"/>
      <c r="CJ1200" s="2867"/>
      <c r="CK1200" s="2867"/>
      <c r="CL1200" s="2867"/>
      <c r="CM1200" s="2867"/>
      <c r="CN1200" s="2867"/>
      <c r="CO1200" s="2867"/>
      <c r="CP1200" s="2867"/>
      <c r="CQ1200" s="2867"/>
      <c r="CR1200" s="2867"/>
      <c r="CS1200" s="2867"/>
      <c r="CT1200" s="2867"/>
      <c r="CU1200" s="2867"/>
      <c r="CV1200" s="2867"/>
      <c r="CW1200" s="2867"/>
    </row>
    <row r="1201" spans="1:101">
      <c r="A1201" s="2867"/>
      <c r="B1201" s="2867"/>
      <c r="C1201" s="2867"/>
      <c r="D1201" s="2867"/>
      <c r="E1201" s="2867"/>
      <c r="F1201" s="2867"/>
      <c r="G1201" s="2867"/>
      <c r="H1201" s="2867"/>
      <c r="I1201" s="2867"/>
      <c r="J1201" s="2867"/>
      <c r="K1201" s="2867"/>
      <c r="L1201" s="2867"/>
      <c r="M1201" s="2867"/>
      <c r="O1201" s="2867"/>
      <c r="P1201" s="2867"/>
      <c r="Q1201" s="2867"/>
      <c r="R1201" s="2867"/>
      <c r="S1201" s="2867"/>
      <c r="T1201" s="2867"/>
      <c r="U1201" s="2867"/>
      <c r="V1201" s="2867"/>
      <c r="W1201" s="2867"/>
      <c r="X1201" s="2867"/>
      <c r="Y1201" s="2867"/>
      <c r="Z1201" s="2867"/>
      <c r="AA1201" s="2867"/>
      <c r="AB1201" s="2867"/>
      <c r="AC1201" s="2867"/>
      <c r="AD1201" s="2867"/>
      <c r="AE1201" s="2867"/>
      <c r="AF1201" s="2867"/>
      <c r="AG1201" s="2867"/>
      <c r="AH1201" s="2867"/>
      <c r="AI1201" s="2867"/>
      <c r="AJ1201" s="2867"/>
      <c r="AK1201" s="2867"/>
      <c r="AL1201" s="2867"/>
      <c r="AM1201" s="2867"/>
      <c r="AN1201" s="2867"/>
      <c r="AO1201" s="2867"/>
      <c r="AP1201" s="2867"/>
      <c r="AQ1201" s="2867"/>
      <c r="AR1201" s="2867"/>
      <c r="AS1201" s="2867"/>
      <c r="AT1201" s="2867"/>
      <c r="AU1201" s="2867"/>
      <c r="AV1201" s="2867"/>
      <c r="AW1201" s="2867"/>
      <c r="AX1201" s="2867"/>
      <c r="AY1201" s="2867"/>
      <c r="AZ1201" s="2867"/>
      <c r="BA1201" s="2867"/>
      <c r="BB1201" s="2867"/>
      <c r="BC1201" s="2867"/>
      <c r="BD1201" s="2867"/>
      <c r="BE1201" s="2867"/>
      <c r="BF1201" s="2867"/>
      <c r="BG1201" s="2867"/>
      <c r="BH1201" s="2867"/>
      <c r="BI1201" s="2867"/>
      <c r="BJ1201" s="2867"/>
      <c r="BK1201" s="2867"/>
      <c r="BL1201" s="2867"/>
      <c r="BM1201" s="2867"/>
      <c r="BN1201" s="2867"/>
      <c r="BO1201" s="2867"/>
      <c r="BP1201" s="2867"/>
      <c r="BQ1201" s="2867"/>
      <c r="BR1201" s="2867"/>
      <c r="BS1201" s="2867"/>
      <c r="BT1201" s="2867"/>
      <c r="BU1201" s="2867"/>
      <c r="BV1201" s="2867"/>
      <c r="BW1201" s="2867"/>
      <c r="BX1201" s="2867"/>
      <c r="BY1201" s="2867"/>
      <c r="BZ1201" s="2867"/>
      <c r="CA1201" s="2867"/>
      <c r="CB1201" s="2867"/>
      <c r="CC1201" s="2867"/>
      <c r="CD1201" s="2867"/>
      <c r="CE1201" s="2867"/>
      <c r="CF1201" s="2867"/>
      <c r="CG1201" s="2867"/>
      <c r="CH1201" s="2867"/>
      <c r="CI1201" s="2867"/>
      <c r="CJ1201" s="2867"/>
      <c r="CK1201" s="2867"/>
      <c r="CL1201" s="2867"/>
      <c r="CM1201" s="2867"/>
      <c r="CN1201" s="2867"/>
      <c r="CO1201" s="2867"/>
      <c r="CP1201" s="2867"/>
      <c r="CQ1201" s="2867"/>
      <c r="CR1201" s="2867"/>
      <c r="CS1201" s="2867"/>
      <c r="CT1201" s="2867"/>
      <c r="CU1201" s="2867"/>
      <c r="CV1201" s="2867"/>
      <c r="CW1201" s="2867"/>
    </row>
    <row r="1202" spans="1:101">
      <c r="A1202" s="2867"/>
      <c r="B1202" s="2867"/>
      <c r="C1202" s="2867"/>
      <c r="D1202" s="2867"/>
      <c r="E1202" s="2867"/>
      <c r="F1202" s="2867"/>
      <c r="G1202" s="2867"/>
      <c r="H1202" s="2867"/>
      <c r="I1202" s="2867"/>
      <c r="J1202" s="2867"/>
      <c r="K1202" s="2867"/>
      <c r="L1202" s="2867"/>
      <c r="M1202" s="2867"/>
      <c r="O1202" s="2867"/>
      <c r="P1202" s="2867"/>
      <c r="Q1202" s="2867"/>
      <c r="R1202" s="2867"/>
      <c r="S1202" s="2867"/>
      <c r="T1202" s="2867"/>
      <c r="U1202" s="2867"/>
      <c r="V1202" s="2867"/>
      <c r="W1202" s="2867"/>
      <c r="X1202" s="2867"/>
      <c r="Y1202" s="2867"/>
      <c r="Z1202" s="2867"/>
      <c r="AA1202" s="2867"/>
      <c r="AB1202" s="2867"/>
      <c r="AC1202" s="2867"/>
      <c r="AD1202" s="2867"/>
      <c r="AE1202" s="2867"/>
      <c r="AF1202" s="2867"/>
      <c r="AG1202" s="2867"/>
      <c r="AH1202" s="2867"/>
      <c r="AI1202" s="2867"/>
      <c r="AJ1202" s="2867"/>
      <c r="AK1202" s="2867"/>
      <c r="AL1202" s="2867"/>
      <c r="AM1202" s="2867"/>
      <c r="AN1202" s="2867"/>
      <c r="AO1202" s="2867"/>
      <c r="AP1202" s="2867"/>
      <c r="AQ1202" s="2867"/>
      <c r="AR1202" s="2867"/>
      <c r="AS1202" s="2867"/>
      <c r="AT1202" s="2867"/>
      <c r="AU1202" s="2867"/>
      <c r="AV1202" s="2867"/>
      <c r="AW1202" s="2867"/>
      <c r="AX1202" s="2867"/>
      <c r="AY1202" s="2867"/>
      <c r="AZ1202" s="2867"/>
      <c r="BA1202" s="2867"/>
      <c r="BB1202" s="2867"/>
      <c r="BC1202" s="2867"/>
      <c r="BD1202" s="2867"/>
      <c r="BE1202" s="2867"/>
      <c r="BF1202" s="2867"/>
      <c r="BG1202" s="2867"/>
      <c r="BH1202" s="2867"/>
      <c r="BI1202" s="2867"/>
      <c r="BJ1202" s="2867"/>
      <c r="BK1202" s="2867"/>
      <c r="BL1202" s="2867"/>
      <c r="BM1202" s="2867"/>
      <c r="BN1202" s="2867"/>
      <c r="BO1202" s="2867"/>
      <c r="BP1202" s="2867"/>
      <c r="BQ1202" s="2867"/>
      <c r="BR1202" s="2867"/>
      <c r="BS1202" s="2867"/>
      <c r="BT1202" s="2867"/>
      <c r="BU1202" s="2867"/>
      <c r="BV1202" s="2867"/>
      <c r="BW1202" s="2867"/>
      <c r="BX1202" s="2867"/>
      <c r="BY1202" s="2867"/>
      <c r="BZ1202" s="2867"/>
      <c r="CA1202" s="2867"/>
      <c r="CB1202" s="2867"/>
      <c r="CC1202" s="2867"/>
      <c r="CD1202" s="2867"/>
      <c r="CE1202" s="2867"/>
      <c r="CF1202" s="2867"/>
      <c r="CG1202" s="2867"/>
      <c r="CH1202" s="2867"/>
      <c r="CI1202" s="2867"/>
      <c r="CJ1202" s="2867"/>
      <c r="CK1202" s="2867"/>
      <c r="CL1202" s="2867"/>
      <c r="CM1202" s="2867"/>
      <c r="CN1202" s="2867"/>
      <c r="CO1202" s="2867"/>
      <c r="CP1202" s="2867"/>
      <c r="CQ1202" s="2867"/>
      <c r="CR1202" s="2867"/>
      <c r="CS1202" s="2867"/>
      <c r="CT1202" s="2867"/>
      <c r="CU1202" s="2867"/>
      <c r="CV1202" s="2867"/>
      <c r="CW1202" s="2867"/>
    </row>
    <row r="1203" spans="1:101">
      <c r="A1203" s="2867"/>
      <c r="B1203" s="2867"/>
      <c r="C1203" s="2867"/>
      <c r="D1203" s="2867"/>
      <c r="E1203" s="2867"/>
      <c r="F1203" s="2867"/>
      <c r="G1203" s="2867"/>
      <c r="H1203" s="2867"/>
      <c r="I1203" s="2867"/>
      <c r="J1203" s="2867"/>
      <c r="K1203" s="2867"/>
      <c r="L1203" s="2867"/>
      <c r="M1203" s="2867"/>
      <c r="O1203" s="2867"/>
      <c r="P1203" s="2867"/>
      <c r="Q1203" s="2867"/>
      <c r="R1203" s="2867"/>
      <c r="S1203" s="2867"/>
      <c r="T1203" s="2867"/>
      <c r="U1203" s="2867"/>
      <c r="V1203" s="2867"/>
      <c r="W1203" s="2867"/>
      <c r="X1203" s="2867"/>
      <c r="Y1203" s="2867"/>
      <c r="Z1203" s="2867"/>
      <c r="AA1203" s="2867"/>
      <c r="AB1203" s="2867"/>
      <c r="AC1203" s="2867"/>
      <c r="AD1203" s="2867"/>
      <c r="AE1203" s="2867"/>
      <c r="AF1203" s="2867"/>
      <c r="AG1203" s="2867"/>
      <c r="AH1203" s="2867"/>
      <c r="AI1203" s="2867"/>
      <c r="AJ1203" s="2867"/>
      <c r="AK1203" s="2867"/>
      <c r="AL1203" s="2867"/>
      <c r="AM1203" s="2867"/>
      <c r="AN1203" s="2867"/>
      <c r="AO1203" s="2867"/>
      <c r="AP1203" s="2867"/>
      <c r="AQ1203" s="2867"/>
      <c r="AR1203" s="2867"/>
      <c r="AS1203" s="2867"/>
      <c r="AT1203" s="2867"/>
      <c r="AU1203" s="2867"/>
      <c r="AV1203" s="2867"/>
      <c r="AW1203" s="2867"/>
      <c r="AX1203" s="2867"/>
      <c r="AY1203" s="2867"/>
      <c r="AZ1203" s="2867"/>
      <c r="BA1203" s="2867"/>
      <c r="BB1203" s="2867"/>
      <c r="BC1203" s="2867"/>
      <c r="BD1203" s="2867"/>
      <c r="BE1203" s="2867"/>
      <c r="BF1203" s="2867"/>
      <c r="BG1203" s="2867"/>
      <c r="BH1203" s="2867"/>
      <c r="BI1203" s="2867"/>
      <c r="BJ1203" s="2867"/>
      <c r="BK1203" s="2867"/>
      <c r="BL1203" s="2867"/>
      <c r="BM1203" s="2867"/>
      <c r="BN1203" s="2867"/>
      <c r="BO1203" s="2867"/>
      <c r="BP1203" s="2867"/>
      <c r="BQ1203" s="2867"/>
      <c r="BR1203" s="2867"/>
      <c r="BS1203" s="2867"/>
      <c r="BT1203" s="2867"/>
      <c r="BU1203" s="2867"/>
      <c r="BV1203" s="2867"/>
      <c r="BW1203" s="2867"/>
      <c r="BX1203" s="2867"/>
      <c r="BY1203" s="2867"/>
      <c r="BZ1203" s="2867"/>
      <c r="CA1203" s="2867"/>
      <c r="CB1203" s="2867"/>
      <c r="CC1203" s="2867"/>
      <c r="CD1203" s="2867"/>
      <c r="CE1203" s="2867"/>
      <c r="CF1203" s="2867"/>
      <c r="CG1203" s="2867"/>
      <c r="CH1203" s="2867"/>
      <c r="CI1203" s="2867"/>
      <c r="CJ1203" s="2867"/>
      <c r="CK1203" s="2867"/>
      <c r="CL1203" s="2867"/>
      <c r="CM1203" s="2867"/>
      <c r="CN1203" s="2867"/>
      <c r="CO1203" s="2867"/>
      <c r="CP1203" s="2867"/>
      <c r="CQ1203" s="2867"/>
      <c r="CR1203" s="2867"/>
      <c r="CS1203" s="2867"/>
      <c r="CT1203" s="2867"/>
      <c r="CU1203" s="2867"/>
      <c r="CV1203" s="2867"/>
      <c r="CW1203" s="2867"/>
    </row>
    <row r="1204" spans="1:101">
      <c r="A1204" s="2867"/>
      <c r="B1204" s="2867"/>
      <c r="C1204" s="2867"/>
      <c r="D1204" s="2867"/>
      <c r="E1204" s="2867"/>
      <c r="F1204" s="2867"/>
      <c r="G1204" s="2867"/>
      <c r="H1204" s="2867"/>
      <c r="I1204" s="2867"/>
      <c r="J1204" s="2867"/>
      <c r="K1204" s="2867"/>
      <c r="L1204" s="2867"/>
      <c r="M1204" s="2867"/>
      <c r="O1204" s="2867"/>
      <c r="P1204" s="2867"/>
      <c r="Q1204" s="2867"/>
      <c r="R1204" s="2867"/>
      <c r="S1204" s="2867"/>
      <c r="T1204" s="2867"/>
      <c r="U1204" s="2867"/>
      <c r="V1204" s="2867"/>
      <c r="W1204" s="2867"/>
      <c r="X1204" s="2867"/>
      <c r="Y1204" s="2867"/>
      <c r="Z1204" s="2867"/>
      <c r="AA1204" s="2867"/>
      <c r="AB1204" s="2867"/>
      <c r="AC1204" s="2867"/>
      <c r="AD1204" s="2867"/>
      <c r="AE1204" s="2867"/>
      <c r="AF1204" s="2867"/>
      <c r="AG1204" s="2867"/>
      <c r="AH1204" s="2867"/>
      <c r="AI1204" s="2867"/>
      <c r="AJ1204" s="2867"/>
      <c r="AK1204" s="2867"/>
      <c r="AL1204" s="2867"/>
      <c r="AM1204" s="2867"/>
      <c r="AN1204" s="2867"/>
      <c r="AO1204" s="2867"/>
      <c r="AP1204" s="2867"/>
      <c r="AQ1204" s="2867"/>
      <c r="AR1204" s="2867"/>
      <c r="AS1204" s="2867"/>
      <c r="AT1204" s="2867"/>
      <c r="AU1204" s="2867"/>
      <c r="AV1204" s="2867"/>
      <c r="AW1204" s="2867"/>
      <c r="AX1204" s="2867"/>
      <c r="AY1204" s="2867"/>
      <c r="AZ1204" s="2867"/>
      <c r="BA1204" s="2867"/>
      <c r="BB1204" s="2867"/>
      <c r="BC1204" s="2867"/>
      <c r="BD1204" s="2867"/>
      <c r="BE1204" s="2867"/>
      <c r="BF1204" s="2867"/>
      <c r="BG1204" s="2867"/>
      <c r="BH1204" s="2867"/>
      <c r="BI1204" s="2867"/>
      <c r="BJ1204" s="2867"/>
      <c r="BK1204" s="2867"/>
      <c r="BL1204" s="2867"/>
      <c r="BM1204" s="2867"/>
      <c r="BN1204" s="2867"/>
      <c r="BO1204" s="2867"/>
      <c r="BP1204" s="2867"/>
      <c r="BQ1204" s="2867"/>
      <c r="BR1204" s="2867"/>
      <c r="BS1204" s="2867"/>
      <c r="BT1204" s="2867"/>
      <c r="BU1204" s="2867"/>
      <c r="BV1204" s="2867"/>
      <c r="BW1204" s="2867"/>
      <c r="BX1204" s="2867"/>
      <c r="BY1204" s="2867"/>
      <c r="BZ1204" s="2867"/>
      <c r="CA1204" s="2867"/>
      <c r="CB1204" s="2867"/>
      <c r="CC1204" s="2867"/>
      <c r="CD1204" s="2867"/>
      <c r="CE1204" s="2867"/>
      <c r="CF1204" s="2867"/>
      <c r="CG1204" s="2867"/>
      <c r="CH1204" s="2867"/>
      <c r="CI1204" s="2867"/>
      <c r="CJ1204" s="2867"/>
      <c r="CK1204" s="2867"/>
      <c r="CL1204" s="2867"/>
      <c r="CM1204" s="2867"/>
      <c r="CN1204" s="2867"/>
      <c r="CO1204" s="2867"/>
      <c r="CP1204" s="2867"/>
      <c r="CQ1204" s="2867"/>
      <c r="CR1204" s="2867"/>
      <c r="CS1204" s="2867"/>
      <c r="CT1204" s="2867"/>
      <c r="CU1204" s="2867"/>
      <c r="CV1204" s="2867"/>
      <c r="CW1204" s="2867"/>
    </row>
    <row r="1205" spans="1:101">
      <c r="A1205" s="2867"/>
      <c r="B1205" s="2867"/>
      <c r="C1205" s="2867"/>
      <c r="D1205" s="2867"/>
      <c r="E1205" s="2867"/>
      <c r="F1205" s="2867"/>
      <c r="G1205" s="2867"/>
      <c r="H1205" s="2867"/>
      <c r="I1205" s="2867"/>
      <c r="J1205" s="2867"/>
      <c r="K1205" s="2867"/>
      <c r="L1205" s="2867"/>
      <c r="M1205" s="2867"/>
      <c r="O1205" s="2867"/>
      <c r="P1205" s="2867"/>
      <c r="Q1205" s="2867"/>
      <c r="R1205" s="2867"/>
      <c r="S1205" s="2867"/>
      <c r="T1205" s="2867"/>
      <c r="U1205" s="2867"/>
      <c r="V1205" s="2867"/>
      <c r="W1205" s="2867"/>
      <c r="X1205" s="2867"/>
      <c r="Y1205" s="2867"/>
      <c r="Z1205" s="2867"/>
      <c r="AA1205" s="2867"/>
      <c r="AB1205" s="2867"/>
      <c r="AC1205" s="2867"/>
      <c r="AD1205" s="2867"/>
      <c r="AE1205" s="2867"/>
      <c r="AF1205" s="2867"/>
      <c r="AG1205" s="2867"/>
      <c r="AH1205" s="2867"/>
      <c r="AI1205" s="2867"/>
      <c r="AJ1205" s="2867"/>
      <c r="AK1205" s="2867"/>
      <c r="AL1205" s="2867"/>
      <c r="AM1205" s="2867"/>
      <c r="AN1205" s="2867"/>
      <c r="AO1205" s="2867"/>
      <c r="AP1205" s="2867"/>
      <c r="AQ1205" s="2867"/>
      <c r="AR1205" s="2867"/>
      <c r="AS1205" s="2867"/>
      <c r="AT1205" s="2867"/>
      <c r="AU1205" s="2867"/>
      <c r="AV1205" s="2867"/>
      <c r="AW1205" s="2867"/>
      <c r="AX1205" s="2867"/>
      <c r="AY1205" s="2867"/>
      <c r="AZ1205" s="2867"/>
      <c r="BA1205" s="2867"/>
      <c r="BB1205" s="2867"/>
      <c r="BC1205" s="2867"/>
      <c r="BD1205" s="2867"/>
      <c r="BE1205" s="2867"/>
      <c r="BF1205" s="2867"/>
      <c r="BG1205" s="2867"/>
      <c r="BH1205" s="2867"/>
      <c r="BI1205" s="2867"/>
      <c r="BJ1205" s="2867"/>
      <c r="BK1205" s="2867"/>
      <c r="BL1205" s="2867"/>
      <c r="BM1205" s="2867"/>
      <c r="BN1205" s="2867"/>
      <c r="BO1205" s="2867"/>
      <c r="BP1205" s="2867"/>
      <c r="BQ1205" s="2867"/>
      <c r="BR1205" s="2867"/>
      <c r="BS1205" s="2867"/>
      <c r="BT1205" s="2867"/>
      <c r="BU1205" s="2867"/>
      <c r="BV1205" s="2867"/>
      <c r="BW1205" s="2867"/>
      <c r="BX1205" s="2867"/>
      <c r="BY1205" s="2867"/>
      <c r="BZ1205" s="2867"/>
      <c r="CA1205" s="2867"/>
      <c r="CB1205" s="2867"/>
      <c r="CC1205" s="2867"/>
      <c r="CD1205" s="2867"/>
      <c r="CE1205" s="2867"/>
      <c r="CF1205" s="2867"/>
      <c r="CG1205" s="2867"/>
      <c r="CH1205" s="2867"/>
      <c r="CI1205" s="2867"/>
      <c r="CJ1205" s="2867"/>
      <c r="CK1205" s="2867"/>
      <c r="CL1205" s="2867"/>
      <c r="CM1205" s="2867"/>
      <c r="CN1205" s="2867"/>
      <c r="CO1205" s="2867"/>
      <c r="CP1205" s="2867"/>
      <c r="CQ1205" s="2867"/>
      <c r="CR1205" s="2867"/>
      <c r="CS1205" s="2867"/>
      <c r="CT1205" s="2867"/>
      <c r="CU1205" s="2867"/>
      <c r="CV1205" s="2867"/>
      <c r="CW1205" s="2867"/>
    </row>
    <row r="1206" spans="1:101">
      <c r="A1206" s="2867"/>
      <c r="B1206" s="2867"/>
      <c r="C1206" s="2867"/>
      <c r="D1206" s="2867"/>
      <c r="E1206" s="2867"/>
      <c r="F1206" s="2867"/>
      <c r="G1206" s="2867"/>
      <c r="H1206" s="2867"/>
      <c r="I1206" s="2867"/>
      <c r="J1206" s="2867"/>
      <c r="K1206" s="2867"/>
      <c r="L1206" s="2867"/>
      <c r="M1206" s="2867"/>
      <c r="O1206" s="2867"/>
      <c r="P1206" s="2867"/>
      <c r="Q1206" s="2867"/>
      <c r="R1206" s="2867"/>
      <c r="S1206" s="2867"/>
      <c r="T1206" s="2867"/>
      <c r="U1206" s="2867"/>
      <c r="V1206" s="2867"/>
      <c r="W1206" s="2867"/>
      <c r="X1206" s="2867"/>
      <c r="Y1206" s="2867"/>
      <c r="Z1206" s="2867"/>
      <c r="AA1206" s="2867"/>
      <c r="AB1206" s="2867"/>
      <c r="AC1206" s="2867"/>
      <c r="AD1206" s="2867"/>
      <c r="AE1206" s="2867"/>
      <c r="AF1206" s="2867"/>
      <c r="AG1206" s="2867"/>
      <c r="AH1206" s="2867"/>
      <c r="AI1206" s="2867"/>
      <c r="AJ1206" s="2867"/>
      <c r="AK1206" s="2867"/>
      <c r="AL1206" s="2867"/>
      <c r="AM1206" s="2867"/>
      <c r="AN1206" s="2867"/>
      <c r="AO1206" s="2867"/>
      <c r="AP1206" s="2867"/>
      <c r="AQ1206" s="2867"/>
      <c r="AR1206" s="2867"/>
      <c r="AS1206" s="2867"/>
      <c r="AT1206" s="2867"/>
      <c r="AU1206" s="2867"/>
      <c r="AV1206" s="2867"/>
      <c r="AW1206" s="2867"/>
      <c r="AX1206" s="2867"/>
      <c r="AY1206" s="2867"/>
      <c r="AZ1206" s="2867"/>
      <c r="BA1206" s="2867"/>
      <c r="BB1206" s="2867"/>
      <c r="BC1206" s="2867"/>
      <c r="BD1206" s="2867"/>
      <c r="BE1206" s="2867"/>
      <c r="BF1206" s="2867"/>
      <c r="BG1206" s="2867"/>
      <c r="BH1206" s="2867"/>
      <c r="BI1206" s="2867"/>
      <c r="BJ1206" s="2867"/>
      <c r="BK1206" s="2867"/>
      <c r="BL1206" s="2867"/>
      <c r="BM1206" s="2867"/>
      <c r="BN1206" s="2867"/>
      <c r="BO1206" s="2867"/>
      <c r="BP1206" s="2867"/>
      <c r="BQ1206" s="2867"/>
      <c r="BR1206" s="2867"/>
      <c r="BS1206" s="2867"/>
      <c r="BT1206" s="2867"/>
      <c r="BU1206" s="2867"/>
      <c r="BV1206" s="2867"/>
      <c r="BW1206" s="2867"/>
      <c r="BX1206" s="2867"/>
      <c r="BY1206" s="2867"/>
      <c r="BZ1206" s="2867"/>
      <c r="CA1206" s="2867"/>
      <c r="CB1206" s="2867"/>
      <c r="CC1206" s="2867"/>
      <c r="CD1206" s="2867"/>
      <c r="CE1206" s="2867"/>
      <c r="CF1206" s="2867"/>
      <c r="CG1206" s="2867"/>
      <c r="CH1206" s="2867"/>
      <c r="CI1206" s="2867"/>
      <c r="CJ1206" s="2867"/>
      <c r="CK1206" s="2867"/>
      <c r="CL1206" s="2867"/>
      <c r="CM1206" s="2867"/>
      <c r="CN1206" s="2867"/>
      <c r="CO1206" s="2867"/>
      <c r="CP1206" s="2867"/>
      <c r="CQ1206" s="2867"/>
      <c r="CR1206" s="2867"/>
      <c r="CS1206" s="2867"/>
      <c r="CT1206" s="2867"/>
      <c r="CU1206" s="2867"/>
      <c r="CV1206" s="2867"/>
      <c r="CW1206" s="2867"/>
    </row>
    <row r="1207" spans="1:101">
      <c r="A1207" s="2867"/>
      <c r="B1207" s="2867"/>
      <c r="C1207" s="2867"/>
      <c r="D1207" s="2867"/>
      <c r="E1207" s="2867"/>
      <c r="F1207" s="2867"/>
      <c r="G1207" s="2867"/>
      <c r="H1207" s="2867"/>
      <c r="I1207" s="2867"/>
      <c r="J1207" s="2867"/>
      <c r="K1207" s="2867"/>
      <c r="L1207" s="2867"/>
      <c r="M1207" s="2867"/>
      <c r="O1207" s="2867"/>
      <c r="P1207" s="2867"/>
      <c r="Q1207" s="2867"/>
      <c r="R1207" s="2867"/>
      <c r="S1207" s="2867"/>
      <c r="T1207" s="2867"/>
      <c r="U1207" s="2867"/>
      <c r="V1207" s="2867"/>
      <c r="W1207" s="2867"/>
      <c r="X1207" s="2867"/>
      <c r="Y1207" s="2867"/>
      <c r="Z1207" s="2867"/>
      <c r="AA1207" s="2867"/>
      <c r="AB1207" s="2867"/>
      <c r="AC1207" s="2867"/>
      <c r="AD1207" s="2867"/>
      <c r="AE1207" s="2867"/>
      <c r="AF1207" s="2867"/>
      <c r="AG1207" s="2867"/>
      <c r="AH1207" s="2867"/>
      <c r="AI1207" s="2867"/>
      <c r="AJ1207" s="2867"/>
      <c r="AK1207" s="2867"/>
      <c r="AL1207" s="2867"/>
      <c r="AM1207" s="2867"/>
      <c r="AN1207" s="2867"/>
      <c r="AO1207" s="2867"/>
      <c r="AP1207" s="2867"/>
      <c r="AQ1207" s="2867"/>
      <c r="AR1207" s="2867"/>
      <c r="AS1207" s="2867"/>
      <c r="AT1207" s="2867"/>
      <c r="AU1207" s="2867"/>
      <c r="AV1207" s="2867"/>
      <c r="AW1207" s="2867"/>
      <c r="AX1207" s="2867"/>
      <c r="AY1207" s="2867"/>
      <c r="AZ1207" s="2867"/>
      <c r="BA1207" s="2867"/>
      <c r="BB1207" s="2867"/>
      <c r="BC1207" s="2867"/>
      <c r="BD1207" s="2867"/>
      <c r="BE1207" s="2867"/>
      <c r="BF1207" s="2867"/>
      <c r="BG1207" s="2867"/>
      <c r="BH1207" s="2867"/>
      <c r="BI1207" s="2867"/>
      <c r="BJ1207" s="2867"/>
      <c r="BK1207" s="2867"/>
      <c r="BL1207" s="2867"/>
      <c r="BM1207" s="2867"/>
      <c r="BN1207" s="2867"/>
      <c r="BO1207" s="2867"/>
      <c r="BP1207" s="2867"/>
      <c r="BQ1207" s="2867"/>
      <c r="BR1207" s="2867"/>
      <c r="BS1207" s="2867"/>
      <c r="BT1207" s="2867"/>
      <c r="BU1207" s="2867"/>
      <c r="BV1207" s="2867"/>
      <c r="BW1207" s="2867"/>
      <c r="BX1207" s="2867"/>
      <c r="BY1207" s="2867"/>
      <c r="BZ1207" s="2867"/>
      <c r="CA1207" s="2867"/>
      <c r="CB1207" s="2867"/>
      <c r="CC1207" s="2867"/>
      <c r="CD1207" s="2867"/>
      <c r="CE1207" s="2867"/>
      <c r="CF1207" s="2867"/>
      <c r="CG1207" s="2867"/>
      <c r="CH1207" s="2867"/>
      <c r="CI1207" s="2867"/>
      <c r="CJ1207" s="2867"/>
      <c r="CK1207" s="2867"/>
      <c r="CL1207" s="2867"/>
      <c r="CM1207" s="2867"/>
      <c r="CN1207" s="2867"/>
      <c r="CO1207" s="2867"/>
      <c r="CP1207" s="2867"/>
      <c r="CQ1207" s="2867"/>
      <c r="CR1207" s="2867"/>
      <c r="CS1207" s="2867"/>
      <c r="CT1207" s="2867"/>
      <c r="CU1207" s="2867"/>
      <c r="CV1207" s="2867"/>
      <c r="CW1207" s="2867"/>
    </row>
    <row r="1208" spans="1:101">
      <c r="A1208" s="2867"/>
      <c r="B1208" s="2867"/>
      <c r="C1208" s="2867"/>
      <c r="D1208" s="2867"/>
      <c r="E1208" s="2867"/>
      <c r="F1208" s="2867"/>
      <c r="G1208" s="2867"/>
      <c r="H1208" s="2867"/>
      <c r="I1208" s="2867"/>
      <c r="J1208" s="2867"/>
      <c r="K1208" s="2867"/>
      <c r="L1208" s="2867"/>
      <c r="M1208" s="2867"/>
      <c r="O1208" s="2867"/>
      <c r="P1208" s="2867"/>
      <c r="Q1208" s="2867"/>
      <c r="R1208" s="2867"/>
      <c r="S1208" s="2867"/>
      <c r="T1208" s="2867"/>
      <c r="U1208" s="2867"/>
      <c r="V1208" s="2867"/>
      <c r="W1208" s="2867"/>
      <c r="X1208" s="2867"/>
      <c r="Y1208" s="2867"/>
      <c r="Z1208" s="2867"/>
      <c r="AA1208" s="2867"/>
      <c r="AB1208" s="2867"/>
      <c r="AC1208" s="2867"/>
      <c r="AD1208" s="2867"/>
      <c r="AE1208" s="2867"/>
      <c r="AF1208" s="2867"/>
      <c r="AG1208" s="2867"/>
      <c r="AH1208" s="2867"/>
      <c r="AI1208" s="2867"/>
      <c r="AJ1208" s="2867"/>
      <c r="AK1208" s="2867"/>
      <c r="AL1208" s="2867"/>
      <c r="AM1208" s="2867"/>
      <c r="AN1208" s="2867"/>
      <c r="AO1208" s="2867"/>
      <c r="AP1208" s="2867"/>
      <c r="AQ1208" s="2867"/>
      <c r="AR1208" s="2867"/>
      <c r="AS1208" s="2867"/>
      <c r="AT1208" s="2867"/>
      <c r="AU1208" s="2867"/>
      <c r="AV1208" s="2867"/>
      <c r="AW1208" s="2867"/>
      <c r="AX1208" s="2867"/>
      <c r="AY1208" s="2867"/>
      <c r="AZ1208" s="2867"/>
      <c r="BA1208" s="2867"/>
      <c r="BB1208" s="2867"/>
      <c r="BC1208" s="2867"/>
      <c r="BD1208" s="2867"/>
      <c r="BE1208" s="2867"/>
      <c r="BF1208" s="2867"/>
      <c r="BG1208" s="2867"/>
      <c r="BH1208" s="2867"/>
      <c r="BI1208" s="2867"/>
      <c r="BJ1208" s="2867"/>
      <c r="BK1208" s="2867"/>
      <c r="BL1208" s="2867"/>
      <c r="BM1208" s="2867"/>
      <c r="BN1208" s="2867"/>
      <c r="BO1208" s="2867"/>
      <c r="BP1208" s="2867"/>
      <c r="BQ1208" s="2867"/>
      <c r="BR1208" s="2867"/>
      <c r="BS1208" s="2867"/>
      <c r="BT1208" s="2867"/>
      <c r="BU1208" s="2867"/>
      <c r="BV1208" s="2867"/>
      <c r="BW1208" s="2867"/>
      <c r="BX1208" s="2867"/>
      <c r="BY1208" s="2867"/>
      <c r="BZ1208" s="2867"/>
      <c r="CA1208" s="2867"/>
      <c r="CB1208" s="2867"/>
      <c r="CC1208" s="2867"/>
      <c r="CD1208" s="2867"/>
      <c r="CE1208" s="2867"/>
      <c r="CF1208" s="2867"/>
      <c r="CG1208" s="2867"/>
      <c r="CH1208" s="2867"/>
      <c r="CI1208" s="2867"/>
      <c r="CJ1208" s="2867"/>
      <c r="CK1208" s="2867"/>
      <c r="CL1208" s="2867"/>
      <c r="CM1208" s="2867"/>
      <c r="CN1208" s="2867"/>
      <c r="CO1208" s="2867"/>
      <c r="CP1208" s="2867"/>
      <c r="CQ1208" s="2867"/>
      <c r="CR1208" s="2867"/>
      <c r="CS1208" s="2867"/>
      <c r="CT1208" s="2867"/>
      <c r="CU1208" s="2867"/>
      <c r="CV1208" s="2867"/>
      <c r="CW1208" s="2867"/>
    </row>
    <row r="1209" spans="1:101">
      <c r="A1209" s="2867"/>
      <c r="B1209" s="2867"/>
      <c r="C1209" s="2867"/>
      <c r="D1209" s="2867"/>
      <c r="E1209" s="2867"/>
      <c r="F1209" s="2867"/>
      <c r="G1209" s="2867"/>
      <c r="H1209" s="2867"/>
      <c r="I1209" s="2867"/>
      <c r="J1209" s="2867"/>
      <c r="K1209" s="2867"/>
      <c r="L1209" s="2867"/>
      <c r="M1209" s="2867"/>
      <c r="O1209" s="2867"/>
      <c r="P1209" s="2867"/>
      <c r="Q1209" s="2867"/>
      <c r="R1209" s="2867"/>
      <c r="S1209" s="2867"/>
      <c r="T1209" s="2867"/>
      <c r="U1209" s="2867"/>
      <c r="V1209" s="2867"/>
      <c r="W1209" s="2867"/>
      <c r="X1209" s="2867"/>
      <c r="Y1209" s="2867"/>
      <c r="Z1209" s="2867"/>
      <c r="AA1209" s="2867"/>
      <c r="AB1209" s="2867"/>
      <c r="AC1209" s="2867"/>
      <c r="AD1209" s="2867"/>
      <c r="AE1209" s="2867"/>
      <c r="AF1209" s="2867"/>
      <c r="AG1209" s="2867"/>
      <c r="AH1209" s="2867"/>
      <c r="AI1209" s="2867"/>
      <c r="AJ1209" s="2867"/>
      <c r="AK1209" s="2867"/>
      <c r="AL1209" s="2867"/>
      <c r="AM1209" s="2867"/>
      <c r="AN1209" s="2867"/>
      <c r="AO1209" s="2867"/>
      <c r="AP1209" s="2867"/>
      <c r="AQ1209" s="2867"/>
      <c r="AR1209" s="2867"/>
      <c r="AS1209" s="2867"/>
      <c r="AT1209" s="2867"/>
      <c r="AU1209" s="2867"/>
      <c r="AV1209" s="2867"/>
      <c r="AW1209" s="2867"/>
      <c r="AX1209" s="2867"/>
      <c r="AY1209" s="2867"/>
      <c r="AZ1209" s="2867"/>
      <c r="BA1209" s="2867"/>
      <c r="BB1209" s="2867"/>
      <c r="BC1209" s="2867"/>
      <c r="BD1209" s="2867"/>
      <c r="BE1209" s="2867"/>
      <c r="BF1209" s="2867"/>
      <c r="BG1209" s="2867"/>
      <c r="BH1209" s="2867"/>
      <c r="BI1209" s="2867"/>
      <c r="BJ1209" s="2867"/>
      <c r="BK1209" s="2867"/>
      <c r="BL1209" s="2867"/>
      <c r="BM1209" s="2867"/>
      <c r="BN1209" s="2867"/>
      <c r="BO1209" s="2867"/>
      <c r="BP1209" s="2867"/>
      <c r="BQ1209" s="2867"/>
      <c r="BR1209" s="2867"/>
      <c r="BS1209" s="2867"/>
      <c r="BT1209" s="2867"/>
      <c r="BU1209" s="2867"/>
      <c r="BV1209" s="2867"/>
      <c r="BW1209" s="2867"/>
      <c r="BX1209" s="2867"/>
      <c r="BY1209" s="2867"/>
      <c r="BZ1209" s="2867"/>
      <c r="CA1209" s="2867"/>
      <c r="CB1209" s="2867"/>
      <c r="CC1209" s="2867"/>
      <c r="CD1209" s="2867"/>
      <c r="CE1209" s="2867"/>
      <c r="CF1209" s="2867"/>
      <c r="CG1209" s="2867"/>
      <c r="CH1209" s="2867"/>
      <c r="CI1209" s="2867"/>
      <c r="CJ1209" s="2867"/>
      <c r="CK1209" s="2867"/>
      <c r="CL1209" s="2867"/>
      <c r="CM1209" s="2867"/>
      <c r="CN1209" s="2867"/>
      <c r="CO1209" s="2867"/>
      <c r="CP1209" s="2867"/>
      <c r="CQ1209" s="2867"/>
      <c r="CR1209" s="2867"/>
      <c r="CS1209" s="2867"/>
      <c r="CT1209" s="2867"/>
      <c r="CU1209" s="2867"/>
      <c r="CV1209" s="2867"/>
      <c r="CW1209" s="2867"/>
    </row>
    <row r="1210" spans="1:101">
      <c r="A1210" s="2867"/>
      <c r="B1210" s="2867"/>
      <c r="C1210" s="2867"/>
      <c r="D1210" s="2867"/>
      <c r="E1210" s="2867"/>
      <c r="F1210" s="2867"/>
      <c r="G1210" s="2867"/>
      <c r="H1210" s="2867"/>
      <c r="I1210" s="2867"/>
      <c r="J1210" s="2867"/>
      <c r="K1210" s="2867"/>
      <c r="L1210" s="2867"/>
      <c r="M1210" s="2867"/>
      <c r="O1210" s="2867"/>
      <c r="P1210" s="2867"/>
      <c r="Q1210" s="2867"/>
      <c r="R1210" s="2867"/>
      <c r="S1210" s="2867"/>
      <c r="T1210" s="2867"/>
      <c r="U1210" s="2867"/>
      <c r="V1210" s="2867"/>
      <c r="W1210" s="2867"/>
      <c r="X1210" s="2867"/>
      <c r="Y1210" s="2867"/>
      <c r="Z1210" s="2867"/>
      <c r="AA1210" s="2867"/>
      <c r="AB1210" s="2867"/>
      <c r="AC1210" s="2867"/>
      <c r="AD1210" s="2867"/>
      <c r="AE1210" s="2867"/>
      <c r="AF1210" s="2867"/>
      <c r="AG1210" s="2867"/>
      <c r="AH1210" s="2867"/>
      <c r="AI1210" s="2867"/>
      <c r="AJ1210" s="2867"/>
      <c r="AK1210" s="2867"/>
      <c r="AL1210" s="2867"/>
      <c r="AM1210" s="2867"/>
      <c r="AN1210" s="2867"/>
      <c r="AO1210" s="2867"/>
      <c r="AP1210" s="2867"/>
      <c r="AQ1210" s="2867"/>
      <c r="AR1210" s="2867"/>
      <c r="AS1210" s="2867"/>
      <c r="AT1210" s="2867"/>
      <c r="AU1210" s="2867"/>
      <c r="AV1210" s="2867"/>
      <c r="AW1210" s="2867"/>
      <c r="AX1210" s="2867"/>
      <c r="AY1210" s="2867"/>
      <c r="AZ1210" s="2867"/>
      <c r="BA1210" s="2867"/>
      <c r="BB1210" s="2867"/>
      <c r="BC1210" s="2867"/>
      <c r="BD1210" s="2867"/>
      <c r="BE1210" s="2867"/>
      <c r="BF1210" s="2867"/>
      <c r="BG1210" s="2867"/>
      <c r="BH1210" s="2867"/>
      <c r="BI1210" s="2867"/>
      <c r="BJ1210" s="2867"/>
      <c r="BK1210" s="2867"/>
      <c r="BL1210" s="2867"/>
      <c r="BM1210" s="2867"/>
      <c r="BN1210" s="2867"/>
      <c r="BO1210" s="2867"/>
      <c r="BP1210" s="2867"/>
      <c r="BQ1210" s="2867"/>
      <c r="BR1210" s="2867"/>
      <c r="BS1210" s="2867"/>
      <c r="BT1210" s="2867"/>
      <c r="BU1210" s="2867"/>
      <c r="BV1210" s="2867"/>
      <c r="BW1210" s="2867"/>
      <c r="BX1210" s="2867"/>
      <c r="BY1210" s="2867"/>
      <c r="BZ1210" s="2867"/>
      <c r="CA1210" s="2867"/>
      <c r="CB1210" s="2867"/>
      <c r="CC1210" s="2867"/>
      <c r="CD1210" s="2867"/>
      <c r="CE1210" s="2867"/>
      <c r="CF1210" s="2867"/>
      <c r="CG1210" s="2867"/>
      <c r="CH1210" s="2867"/>
      <c r="CI1210" s="2867"/>
      <c r="CJ1210" s="2867"/>
      <c r="CK1210" s="2867"/>
      <c r="CL1210" s="2867"/>
      <c r="CM1210" s="2867"/>
      <c r="CN1210" s="2867"/>
      <c r="CO1210" s="2867"/>
      <c r="CP1210" s="2867"/>
      <c r="CQ1210" s="2867"/>
      <c r="CR1210" s="2867"/>
      <c r="CS1210" s="2867"/>
      <c r="CT1210" s="2867"/>
      <c r="CU1210" s="2867"/>
      <c r="CV1210" s="2867"/>
      <c r="CW1210" s="2867"/>
    </row>
    <row r="1211" spans="1:101">
      <c r="A1211" s="2867"/>
      <c r="B1211" s="2867"/>
      <c r="C1211" s="2867"/>
      <c r="D1211" s="2867"/>
      <c r="E1211" s="2867"/>
      <c r="F1211" s="2867"/>
      <c r="G1211" s="2867"/>
      <c r="H1211" s="2867"/>
      <c r="I1211" s="2867"/>
      <c r="J1211" s="2867"/>
      <c r="K1211" s="2867"/>
      <c r="L1211" s="2867"/>
      <c r="M1211" s="2867"/>
      <c r="O1211" s="2867"/>
      <c r="P1211" s="2867"/>
      <c r="Q1211" s="2867"/>
      <c r="R1211" s="2867"/>
      <c r="S1211" s="2867"/>
      <c r="T1211" s="2867"/>
      <c r="U1211" s="2867"/>
      <c r="V1211" s="2867"/>
      <c r="W1211" s="2867"/>
      <c r="X1211" s="2867"/>
      <c r="Y1211" s="2867"/>
      <c r="Z1211" s="2867"/>
      <c r="AA1211" s="2867"/>
      <c r="AB1211" s="2867"/>
      <c r="AC1211" s="2867"/>
      <c r="AD1211" s="2867"/>
      <c r="AE1211" s="2867"/>
      <c r="AF1211" s="2867"/>
      <c r="AG1211" s="2867"/>
      <c r="AH1211" s="2867"/>
      <c r="AI1211" s="2867"/>
      <c r="AJ1211" s="2867"/>
      <c r="AK1211" s="2867"/>
      <c r="AL1211" s="2867"/>
      <c r="AM1211" s="2867"/>
      <c r="AN1211" s="2867"/>
      <c r="AO1211" s="2867"/>
      <c r="AP1211" s="2867"/>
      <c r="AQ1211" s="2867"/>
      <c r="AR1211" s="2867"/>
      <c r="AS1211" s="2867"/>
      <c r="AT1211" s="2867"/>
      <c r="AU1211" s="2867"/>
      <c r="AV1211" s="2867"/>
      <c r="AW1211" s="2867"/>
      <c r="AX1211" s="2867"/>
      <c r="AY1211" s="2867"/>
      <c r="AZ1211" s="2867"/>
      <c r="BA1211" s="2867"/>
      <c r="BB1211" s="2867"/>
      <c r="BC1211" s="2867"/>
      <c r="BD1211" s="2867"/>
      <c r="BE1211" s="2867"/>
      <c r="BF1211" s="2867"/>
      <c r="BG1211" s="2867"/>
      <c r="BH1211" s="2867"/>
      <c r="BI1211" s="2867"/>
      <c r="BJ1211" s="2867"/>
      <c r="BK1211" s="2867"/>
      <c r="BL1211" s="2867"/>
      <c r="BM1211" s="2867"/>
      <c r="BN1211" s="2867"/>
      <c r="BO1211" s="2867"/>
      <c r="BP1211" s="2867"/>
      <c r="BQ1211" s="2867"/>
      <c r="BR1211" s="2867"/>
      <c r="BS1211" s="2867"/>
      <c r="BT1211" s="2867"/>
      <c r="BU1211" s="2867"/>
      <c r="BV1211" s="2867"/>
      <c r="BW1211" s="2867"/>
      <c r="BX1211" s="2867"/>
      <c r="BY1211" s="2867"/>
      <c r="BZ1211" s="2867"/>
      <c r="CA1211" s="2867"/>
      <c r="CB1211" s="2867"/>
      <c r="CC1211" s="2867"/>
      <c r="CD1211" s="2867"/>
      <c r="CE1211" s="2867"/>
      <c r="CF1211" s="2867"/>
      <c r="CG1211" s="2867"/>
      <c r="CH1211" s="2867"/>
      <c r="CI1211" s="2867"/>
      <c r="CJ1211" s="2867"/>
      <c r="CK1211" s="2867"/>
      <c r="CL1211" s="2867"/>
      <c r="CM1211" s="2867"/>
      <c r="CN1211" s="2867"/>
      <c r="CO1211" s="2867"/>
      <c r="CP1211" s="2867"/>
      <c r="CQ1211" s="2867"/>
      <c r="CR1211" s="2867"/>
      <c r="CS1211" s="2867"/>
      <c r="CT1211" s="2867"/>
      <c r="CU1211" s="2867"/>
      <c r="CV1211" s="2867"/>
      <c r="CW1211" s="2867"/>
    </row>
    <row r="1212" spans="1:101">
      <c r="A1212" s="2867"/>
      <c r="B1212" s="2867"/>
      <c r="C1212" s="2867"/>
      <c r="D1212" s="2867"/>
      <c r="E1212" s="2867"/>
      <c r="F1212" s="2867"/>
      <c r="G1212" s="2867"/>
      <c r="H1212" s="2867"/>
      <c r="I1212" s="2867"/>
      <c r="J1212" s="2867"/>
      <c r="K1212" s="2867"/>
      <c r="L1212" s="2867"/>
      <c r="M1212" s="2867"/>
      <c r="O1212" s="2867"/>
      <c r="P1212" s="2867"/>
      <c r="Q1212" s="2867"/>
      <c r="R1212" s="2867"/>
      <c r="S1212" s="2867"/>
      <c r="T1212" s="2867"/>
      <c r="U1212" s="2867"/>
      <c r="V1212" s="2867"/>
      <c r="W1212" s="2867"/>
      <c r="X1212" s="2867"/>
      <c r="Y1212" s="2867"/>
      <c r="Z1212" s="2867"/>
      <c r="AA1212" s="2867"/>
      <c r="AB1212" s="2867"/>
      <c r="AC1212" s="2867"/>
      <c r="AD1212" s="2867"/>
      <c r="AE1212" s="2867"/>
      <c r="AF1212" s="2867"/>
      <c r="AG1212" s="2867"/>
      <c r="AH1212" s="2867"/>
      <c r="AI1212" s="2867"/>
      <c r="AJ1212" s="2867"/>
      <c r="AK1212" s="2867"/>
      <c r="AL1212" s="2867"/>
      <c r="AM1212" s="2867"/>
      <c r="AN1212" s="2867"/>
      <c r="AO1212" s="2867"/>
      <c r="AP1212" s="2867"/>
      <c r="AQ1212" s="2867"/>
      <c r="AR1212" s="2867"/>
      <c r="AS1212" s="2867"/>
      <c r="AT1212" s="2867"/>
      <c r="AU1212" s="2867"/>
      <c r="AV1212" s="2867"/>
      <c r="AW1212" s="2867"/>
      <c r="AX1212" s="2867"/>
      <c r="AY1212" s="2867"/>
      <c r="AZ1212" s="2867"/>
      <c r="BA1212" s="2867"/>
      <c r="BB1212" s="2867"/>
      <c r="BC1212" s="2867"/>
      <c r="BD1212" s="2867"/>
      <c r="BE1212" s="2867"/>
      <c r="BF1212" s="2867"/>
      <c r="BG1212" s="2867"/>
      <c r="BH1212" s="2867"/>
      <c r="BI1212" s="2867"/>
      <c r="BJ1212" s="2867"/>
      <c r="BK1212" s="2867"/>
      <c r="BL1212" s="2867"/>
      <c r="BM1212" s="2867"/>
      <c r="BN1212" s="2867"/>
      <c r="BO1212" s="2867"/>
      <c r="BP1212" s="2867"/>
      <c r="BQ1212" s="2867"/>
      <c r="BR1212" s="2867"/>
      <c r="BS1212" s="2867"/>
      <c r="BT1212" s="2867"/>
      <c r="BU1212" s="2867"/>
      <c r="BV1212" s="2867"/>
      <c r="BW1212" s="2867"/>
      <c r="BX1212" s="2867"/>
      <c r="BY1212" s="2867"/>
      <c r="BZ1212" s="2867"/>
      <c r="CA1212" s="2867"/>
      <c r="CB1212" s="2867"/>
      <c r="CC1212" s="2867"/>
      <c r="CD1212" s="2867"/>
      <c r="CE1212" s="2867"/>
      <c r="CF1212" s="2867"/>
      <c r="CG1212" s="2867"/>
      <c r="CH1212" s="2867"/>
      <c r="CI1212" s="2867"/>
      <c r="CJ1212" s="2867"/>
      <c r="CK1212" s="2867"/>
      <c r="CL1212" s="2867"/>
      <c r="CM1212" s="2867"/>
      <c r="CN1212" s="2867"/>
      <c r="CO1212" s="2867"/>
      <c r="CP1212" s="2867"/>
      <c r="CQ1212" s="2867"/>
      <c r="CR1212" s="2867"/>
      <c r="CS1212" s="2867"/>
      <c r="CT1212" s="2867"/>
      <c r="CU1212" s="2867"/>
      <c r="CV1212" s="2867"/>
      <c r="CW1212" s="2867"/>
    </row>
    <row r="1213" spans="1:101">
      <c r="A1213" s="2867"/>
      <c r="B1213" s="2867"/>
      <c r="C1213" s="2867"/>
      <c r="D1213" s="2867"/>
      <c r="E1213" s="2867"/>
      <c r="F1213" s="2867"/>
      <c r="G1213" s="2867"/>
      <c r="H1213" s="2867"/>
      <c r="I1213" s="2867"/>
      <c r="J1213" s="2867"/>
      <c r="K1213" s="2867"/>
      <c r="L1213" s="2867"/>
      <c r="M1213" s="2867"/>
      <c r="O1213" s="2867"/>
      <c r="P1213" s="2867"/>
      <c r="Q1213" s="2867"/>
      <c r="R1213" s="2867"/>
      <c r="S1213" s="2867"/>
      <c r="T1213" s="2867"/>
      <c r="U1213" s="2867"/>
      <c r="V1213" s="2867"/>
      <c r="W1213" s="2867"/>
      <c r="X1213" s="2867"/>
      <c r="Y1213" s="2867"/>
      <c r="Z1213" s="2867"/>
      <c r="AA1213" s="2867"/>
      <c r="AB1213" s="2867"/>
      <c r="AC1213" s="2867"/>
      <c r="AD1213" s="2867"/>
      <c r="AE1213" s="2867"/>
      <c r="AF1213" s="2867"/>
      <c r="AG1213" s="2867"/>
      <c r="AH1213" s="2867"/>
      <c r="AI1213" s="2867"/>
      <c r="AJ1213" s="2867"/>
      <c r="AK1213" s="2867"/>
      <c r="AL1213" s="2867"/>
      <c r="AM1213" s="2867"/>
      <c r="AN1213" s="2867"/>
      <c r="AO1213" s="2867"/>
      <c r="AP1213" s="2867"/>
      <c r="AQ1213" s="2867"/>
      <c r="AR1213" s="2867"/>
      <c r="AS1213" s="2867"/>
      <c r="AT1213" s="2867"/>
      <c r="AU1213" s="2867"/>
      <c r="AV1213" s="2867"/>
      <c r="AW1213" s="2867"/>
      <c r="AX1213" s="2867"/>
      <c r="AY1213" s="2867"/>
      <c r="AZ1213" s="2867"/>
      <c r="BA1213" s="2867"/>
      <c r="BB1213" s="2867"/>
      <c r="BC1213" s="2867"/>
      <c r="BD1213" s="2867"/>
      <c r="BE1213" s="2867"/>
      <c r="BF1213" s="2867"/>
      <c r="BG1213" s="2867"/>
      <c r="BH1213" s="2867"/>
      <c r="BI1213" s="2867"/>
      <c r="BJ1213" s="2867"/>
      <c r="BK1213" s="2867"/>
      <c r="BL1213" s="2867"/>
      <c r="BM1213" s="2867"/>
      <c r="BN1213" s="2867"/>
      <c r="BO1213" s="2867"/>
      <c r="BP1213" s="2867"/>
      <c r="BQ1213" s="2867"/>
      <c r="BR1213" s="2867"/>
      <c r="BS1213" s="2867"/>
      <c r="BT1213" s="2867"/>
      <c r="BU1213" s="2867"/>
      <c r="BV1213" s="2867"/>
      <c r="BW1213" s="2867"/>
      <c r="BX1213" s="2867"/>
      <c r="BY1213" s="2867"/>
      <c r="BZ1213" s="2867"/>
      <c r="CA1213" s="2867"/>
      <c r="CB1213" s="2867"/>
      <c r="CC1213" s="2867"/>
      <c r="CD1213" s="2867"/>
      <c r="CE1213" s="2867"/>
      <c r="CF1213" s="2867"/>
      <c r="CG1213" s="2867"/>
      <c r="CH1213" s="2867"/>
      <c r="CI1213" s="2867"/>
      <c r="CJ1213" s="2867"/>
      <c r="CK1213" s="2867"/>
      <c r="CL1213" s="2867"/>
      <c r="CM1213" s="2867"/>
      <c r="CN1213" s="2867"/>
      <c r="CO1213" s="2867"/>
      <c r="CP1213" s="2867"/>
      <c r="CQ1213" s="2867"/>
      <c r="CR1213" s="2867"/>
      <c r="CS1213" s="2867"/>
      <c r="CT1213" s="2867"/>
      <c r="CU1213" s="2867"/>
      <c r="CV1213" s="2867"/>
      <c r="CW1213" s="2867"/>
    </row>
    <row r="1214" spans="1:101">
      <c r="A1214" s="2867"/>
      <c r="B1214" s="2867"/>
      <c r="C1214" s="2867"/>
      <c r="D1214" s="2867"/>
      <c r="E1214" s="2867"/>
      <c r="F1214" s="2867"/>
      <c r="G1214" s="2867"/>
      <c r="H1214" s="2867"/>
      <c r="I1214" s="2867"/>
      <c r="J1214" s="2867"/>
      <c r="K1214" s="2867"/>
      <c r="L1214" s="2867"/>
      <c r="M1214" s="2867"/>
      <c r="O1214" s="2867"/>
      <c r="P1214" s="2867"/>
      <c r="Q1214" s="2867"/>
      <c r="R1214" s="2867"/>
      <c r="S1214" s="2867"/>
      <c r="T1214" s="2867"/>
      <c r="U1214" s="2867"/>
      <c r="V1214" s="2867"/>
      <c r="W1214" s="2867"/>
      <c r="X1214" s="2867"/>
      <c r="Y1214" s="2867"/>
      <c r="Z1214" s="2867"/>
      <c r="AA1214" s="2867"/>
      <c r="AB1214" s="2867"/>
      <c r="AC1214" s="2867"/>
      <c r="AD1214" s="2867"/>
      <c r="AE1214" s="2867"/>
      <c r="AF1214" s="2867"/>
      <c r="AG1214" s="2867"/>
      <c r="AH1214" s="2867"/>
      <c r="AI1214" s="2867"/>
      <c r="AJ1214" s="2867"/>
      <c r="AK1214" s="2867"/>
      <c r="AL1214" s="2867"/>
      <c r="AM1214" s="2867"/>
      <c r="AN1214" s="2867"/>
      <c r="AO1214" s="2867"/>
      <c r="AP1214" s="2867"/>
      <c r="AQ1214" s="2867"/>
      <c r="AR1214" s="2867"/>
      <c r="AS1214" s="2867"/>
      <c r="AT1214" s="2867"/>
      <c r="AU1214" s="2867"/>
      <c r="AV1214" s="2867"/>
      <c r="AW1214" s="2867"/>
      <c r="AX1214" s="2867"/>
      <c r="AY1214" s="2867"/>
      <c r="AZ1214" s="2867"/>
      <c r="BA1214" s="2867"/>
      <c r="BB1214" s="2867"/>
      <c r="BC1214" s="2867"/>
      <c r="BD1214" s="2867"/>
      <c r="BE1214" s="2867"/>
      <c r="BF1214" s="2867"/>
      <c r="BG1214" s="2867"/>
      <c r="BH1214" s="2867"/>
      <c r="BI1214" s="2867"/>
      <c r="BJ1214" s="2867"/>
      <c r="BK1214" s="2867"/>
      <c r="BL1214" s="2867"/>
      <c r="BM1214" s="2867"/>
      <c r="BN1214" s="2867"/>
      <c r="BO1214" s="2867"/>
      <c r="BP1214" s="2867"/>
      <c r="BQ1214" s="2867"/>
      <c r="BR1214" s="2867"/>
      <c r="BS1214" s="2867"/>
      <c r="BT1214" s="2867"/>
      <c r="BU1214" s="2867"/>
      <c r="BV1214" s="2867"/>
      <c r="BW1214" s="2867"/>
      <c r="BX1214" s="2867"/>
      <c r="BY1214" s="2867"/>
      <c r="BZ1214" s="2867"/>
      <c r="CA1214" s="2867"/>
      <c r="CB1214" s="2867"/>
      <c r="CC1214" s="2867"/>
      <c r="CD1214" s="2867"/>
      <c r="CE1214" s="2867"/>
      <c r="CF1214" s="2867"/>
      <c r="CG1214" s="2867"/>
      <c r="CH1214" s="2867"/>
      <c r="CI1214" s="2867"/>
      <c r="CJ1214" s="2867"/>
      <c r="CK1214" s="2867"/>
      <c r="CL1214" s="2867"/>
      <c r="CM1214" s="2867"/>
      <c r="CN1214" s="2867"/>
      <c r="CO1214" s="2867"/>
      <c r="CP1214" s="2867"/>
      <c r="CQ1214" s="2867"/>
      <c r="CR1214" s="2867"/>
      <c r="CS1214" s="2867"/>
      <c r="CT1214" s="2867"/>
      <c r="CU1214" s="2867"/>
      <c r="CV1214" s="2867"/>
      <c r="CW1214" s="2867"/>
    </row>
    <row r="1215" spans="1:101">
      <c r="A1215" s="2867"/>
      <c r="B1215" s="2867"/>
      <c r="C1215" s="2867"/>
      <c r="D1215" s="2867"/>
      <c r="E1215" s="2867"/>
      <c r="F1215" s="2867"/>
      <c r="G1215" s="2867"/>
      <c r="H1215" s="2867"/>
      <c r="I1215" s="2867"/>
      <c r="J1215" s="2867"/>
      <c r="K1215" s="2867"/>
      <c r="L1215" s="2867"/>
      <c r="M1215" s="2867"/>
      <c r="O1215" s="2867"/>
      <c r="P1215" s="2867"/>
      <c r="Q1215" s="2867"/>
      <c r="R1215" s="2867"/>
      <c r="S1215" s="2867"/>
      <c r="T1215" s="2867"/>
      <c r="U1215" s="2867"/>
      <c r="V1215" s="2867"/>
      <c r="W1215" s="2867"/>
      <c r="X1215" s="2867"/>
      <c r="Y1215" s="2867"/>
      <c r="Z1215" s="2867"/>
      <c r="AA1215" s="2867"/>
      <c r="AB1215" s="2867"/>
      <c r="AC1215" s="2867"/>
      <c r="AD1215" s="2867"/>
      <c r="AE1215" s="2867"/>
      <c r="AF1215" s="2867"/>
      <c r="AG1215" s="2867"/>
      <c r="AH1215" s="2867"/>
      <c r="AI1215" s="2867"/>
      <c r="AJ1215" s="2867"/>
      <c r="AK1215" s="2867"/>
      <c r="AL1215" s="2867"/>
      <c r="AM1215" s="2867"/>
      <c r="AN1215" s="2867"/>
      <c r="AO1215" s="2867"/>
      <c r="AP1215" s="2867"/>
      <c r="AQ1215" s="2867"/>
      <c r="AR1215" s="2867"/>
      <c r="AS1215" s="2867"/>
      <c r="AT1215" s="2867"/>
      <c r="AU1215" s="2867"/>
      <c r="AV1215" s="2867"/>
      <c r="AW1215" s="2867"/>
      <c r="AX1215" s="2867"/>
      <c r="AY1215" s="2867"/>
      <c r="AZ1215" s="2867"/>
      <c r="BA1215" s="2867"/>
      <c r="BB1215" s="2867"/>
      <c r="BC1215" s="2867"/>
      <c r="BD1215" s="2867"/>
      <c r="BE1215" s="2867"/>
      <c r="BF1215" s="2867"/>
      <c r="BG1215" s="2867"/>
      <c r="BH1215" s="2867"/>
      <c r="BI1215" s="2867"/>
      <c r="BJ1215" s="2867"/>
      <c r="BK1215" s="2867"/>
      <c r="BL1215" s="2867"/>
      <c r="BM1215" s="2867"/>
      <c r="BN1215" s="2867"/>
      <c r="BO1215" s="2867"/>
      <c r="BP1215" s="2867"/>
      <c r="BQ1215" s="2867"/>
      <c r="BR1215" s="2867"/>
      <c r="BS1215" s="2867"/>
      <c r="BT1215" s="2867"/>
      <c r="BU1215" s="2867"/>
      <c r="BV1215" s="2867"/>
      <c r="BW1215" s="2867"/>
      <c r="BX1215" s="2867"/>
      <c r="BY1215" s="2867"/>
      <c r="BZ1215" s="2867"/>
      <c r="CA1215" s="2867"/>
      <c r="CB1215" s="2867"/>
      <c r="CC1215" s="2867"/>
      <c r="CD1215" s="2867"/>
      <c r="CE1215" s="2867"/>
      <c r="CF1215" s="2867"/>
      <c r="CG1215" s="2867"/>
      <c r="CH1215" s="2867"/>
      <c r="CI1215" s="2867"/>
      <c r="CJ1215" s="2867"/>
      <c r="CK1215" s="2867"/>
      <c r="CL1215" s="2867"/>
      <c r="CM1215" s="2867"/>
      <c r="CN1215" s="2867"/>
      <c r="CO1215" s="2867"/>
      <c r="CP1215" s="2867"/>
      <c r="CQ1215" s="2867"/>
      <c r="CR1215" s="2867"/>
      <c r="CS1215" s="2867"/>
      <c r="CT1215" s="2867"/>
      <c r="CU1215" s="2867"/>
      <c r="CV1215" s="2867"/>
      <c r="CW1215" s="2867"/>
    </row>
    <row r="1216" spans="1:101">
      <c r="A1216" s="2867"/>
      <c r="B1216" s="2867"/>
      <c r="C1216" s="2867"/>
      <c r="D1216" s="2867"/>
      <c r="E1216" s="2867"/>
      <c r="F1216" s="2867"/>
      <c r="G1216" s="2867"/>
      <c r="H1216" s="2867"/>
      <c r="I1216" s="2867"/>
      <c r="J1216" s="2867"/>
      <c r="K1216" s="2867"/>
      <c r="L1216" s="2867"/>
      <c r="M1216" s="2867"/>
      <c r="O1216" s="2867"/>
      <c r="P1216" s="2867"/>
      <c r="Q1216" s="2867"/>
      <c r="R1216" s="2867"/>
      <c r="S1216" s="2867"/>
      <c r="T1216" s="2867"/>
      <c r="U1216" s="2867"/>
      <c r="V1216" s="2867"/>
      <c r="W1216" s="2867"/>
      <c r="X1216" s="2867"/>
      <c r="Y1216" s="2867"/>
      <c r="Z1216" s="2867"/>
      <c r="AA1216" s="2867"/>
      <c r="AB1216" s="2867"/>
      <c r="AC1216" s="2867"/>
      <c r="AD1216" s="2867"/>
      <c r="AE1216" s="2867"/>
      <c r="AF1216" s="2867"/>
      <c r="AG1216" s="2867"/>
      <c r="AH1216" s="2867"/>
      <c r="AI1216" s="2867"/>
      <c r="AJ1216" s="2867"/>
      <c r="AK1216" s="2867"/>
      <c r="AL1216" s="2867"/>
      <c r="AM1216" s="2867"/>
      <c r="AN1216" s="2867"/>
      <c r="AO1216" s="2867"/>
      <c r="AP1216" s="2867"/>
      <c r="AQ1216" s="2867"/>
      <c r="AR1216" s="2867"/>
      <c r="AS1216" s="2867"/>
      <c r="AT1216" s="2867"/>
      <c r="AU1216" s="2867"/>
      <c r="AV1216" s="2867"/>
      <c r="AW1216" s="2867"/>
      <c r="AX1216" s="2867"/>
      <c r="AY1216" s="2867"/>
      <c r="AZ1216" s="2867"/>
      <c r="BA1216" s="2867"/>
      <c r="BB1216" s="2867"/>
      <c r="BC1216" s="2867"/>
      <c r="BD1216" s="2867"/>
      <c r="BE1216" s="2867"/>
      <c r="BF1216" s="2867"/>
      <c r="BG1216" s="2867"/>
      <c r="BH1216" s="2867"/>
      <c r="BI1216" s="2867"/>
      <c r="BJ1216" s="2867"/>
      <c r="BK1216" s="2867"/>
      <c r="BL1216" s="2867"/>
      <c r="BM1216" s="2867"/>
      <c r="BN1216" s="2867"/>
      <c r="BO1216" s="2867"/>
      <c r="BP1216" s="2867"/>
      <c r="BQ1216" s="2867"/>
      <c r="BR1216" s="2867"/>
      <c r="BS1216" s="2867"/>
      <c r="BT1216" s="2867"/>
      <c r="BU1216" s="2867"/>
      <c r="BV1216" s="2867"/>
      <c r="BW1216" s="2867"/>
      <c r="BX1216" s="2867"/>
      <c r="BY1216" s="2867"/>
      <c r="BZ1216" s="2867"/>
      <c r="CA1216" s="2867"/>
      <c r="CB1216" s="2867"/>
      <c r="CC1216" s="2867"/>
      <c r="CD1216" s="2867"/>
      <c r="CE1216" s="2867"/>
      <c r="CF1216" s="2867"/>
      <c r="CG1216" s="2867"/>
      <c r="CH1216" s="2867"/>
      <c r="CI1216" s="2867"/>
      <c r="CJ1216" s="2867"/>
      <c r="CK1216" s="2867"/>
      <c r="CL1216" s="2867"/>
      <c r="CM1216" s="2867"/>
      <c r="CN1216" s="2867"/>
      <c r="CO1216" s="2867"/>
      <c r="CP1216" s="2867"/>
      <c r="CQ1216" s="2867"/>
      <c r="CR1216" s="2867"/>
      <c r="CS1216" s="2867"/>
      <c r="CT1216" s="2867"/>
      <c r="CU1216" s="2867"/>
      <c r="CV1216" s="2867"/>
      <c r="CW1216" s="2867"/>
    </row>
    <row r="1217" spans="1:101">
      <c r="A1217" s="2867"/>
      <c r="B1217" s="2867"/>
      <c r="C1217" s="2867"/>
      <c r="D1217" s="2867"/>
      <c r="E1217" s="2867"/>
      <c r="F1217" s="2867"/>
      <c r="G1217" s="2867"/>
      <c r="H1217" s="2867"/>
      <c r="I1217" s="2867"/>
      <c r="J1217" s="2867"/>
      <c r="K1217" s="2867"/>
      <c r="L1217" s="2867"/>
      <c r="M1217" s="2867"/>
      <c r="O1217" s="2867"/>
      <c r="P1217" s="2867"/>
      <c r="Q1217" s="2867"/>
      <c r="R1217" s="2867"/>
      <c r="S1217" s="2867"/>
      <c r="T1217" s="2867"/>
      <c r="U1217" s="2867"/>
      <c r="V1217" s="2867"/>
      <c r="W1217" s="2867"/>
      <c r="X1217" s="2867"/>
      <c r="Y1217" s="2867"/>
      <c r="Z1217" s="2867"/>
      <c r="AA1217" s="2867"/>
      <c r="AB1217" s="2867"/>
      <c r="AC1217" s="2867"/>
      <c r="AD1217" s="2867"/>
      <c r="AE1217" s="2867"/>
      <c r="AF1217" s="2867"/>
      <c r="AG1217" s="2867"/>
      <c r="AH1217" s="2867"/>
      <c r="AI1217" s="2867"/>
      <c r="AJ1217" s="2867"/>
      <c r="AK1217" s="2867"/>
      <c r="AL1217" s="2867"/>
      <c r="AM1217" s="2867"/>
      <c r="AN1217" s="2867"/>
      <c r="AO1217" s="2867"/>
      <c r="AP1217" s="2867"/>
      <c r="AQ1217" s="2867"/>
      <c r="AR1217" s="2867"/>
      <c r="AS1217" s="2867"/>
      <c r="AT1217" s="2867"/>
      <c r="AU1217" s="2867"/>
      <c r="AV1217" s="2867"/>
      <c r="AW1217" s="2867"/>
      <c r="AX1217" s="2867"/>
      <c r="AY1217" s="2867"/>
      <c r="AZ1217" s="2867"/>
      <c r="BA1217" s="2867"/>
      <c r="BB1217" s="2867"/>
      <c r="BC1217" s="2867"/>
      <c r="BD1217" s="2867"/>
      <c r="BE1217" s="2867"/>
      <c r="BF1217" s="2867"/>
      <c r="BG1217" s="2867"/>
      <c r="BH1217" s="2867"/>
      <c r="BI1217" s="2867"/>
      <c r="BJ1217" s="2867"/>
      <c r="BK1217" s="2867"/>
      <c r="BL1217" s="2867"/>
      <c r="BM1217" s="2867"/>
      <c r="BN1217" s="2867"/>
      <c r="BO1217" s="2867"/>
      <c r="BP1217" s="2867"/>
      <c r="BQ1217" s="2867"/>
      <c r="BR1217" s="2867"/>
      <c r="BS1217" s="2867"/>
      <c r="BT1217" s="2867"/>
      <c r="BU1217" s="2867"/>
      <c r="BV1217" s="2867"/>
      <c r="BW1217" s="2867"/>
      <c r="BX1217" s="2867"/>
      <c r="BY1217" s="2867"/>
      <c r="BZ1217" s="2867"/>
      <c r="CA1217" s="2867"/>
      <c r="CB1217" s="2867"/>
      <c r="CC1217" s="2867"/>
      <c r="CD1217" s="2867"/>
      <c r="CE1217" s="2867"/>
      <c r="CF1217" s="2867"/>
      <c r="CG1217" s="2867"/>
      <c r="CH1217" s="2867"/>
      <c r="CI1217" s="2867"/>
      <c r="CJ1217" s="2867"/>
      <c r="CK1217" s="2867"/>
      <c r="CL1217" s="2867"/>
      <c r="CM1217" s="2867"/>
      <c r="CN1217" s="2867"/>
      <c r="CO1217" s="2867"/>
      <c r="CP1217" s="2867"/>
      <c r="CQ1217" s="2867"/>
      <c r="CR1217" s="2867"/>
      <c r="CS1217" s="2867"/>
      <c r="CT1217" s="2867"/>
      <c r="CU1217" s="2867"/>
      <c r="CV1217" s="2867"/>
      <c r="CW1217" s="2867"/>
    </row>
    <row r="1218" spans="1:101">
      <c r="A1218" s="2867"/>
      <c r="B1218" s="2867"/>
      <c r="C1218" s="2867"/>
      <c r="D1218" s="2867"/>
      <c r="E1218" s="2867"/>
      <c r="F1218" s="2867"/>
      <c r="G1218" s="2867"/>
      <c r="H1218" s="2867"/>
      <c r="I1218" s="2867"/>
      <c r="J1218" s="2867"/>
      <c r="K1218" s="2867"/>
      <c r="L1218" s="2867"/>
      <c r="M1218" s="2867"/>
      <c r="O1218" s="2867"/>
      <c r="P1218" s="2867"/>
      <c r="Q1218" s="2867"/>
      <c r="R1218" s="2867"/>
      <c r="S1218" s="2867"/>
      <c r="T1218" s="2867"/>
      <c r="U1218" s="2867"/>
      <c r="V1218" s="2867"/>
      <c r="W1218" s="2867"/>
      <c r="X1218" s="2867"/>
      <c r="Y1218" s="2867"/>
      <c r="Z1218" s="2867"/>
      <c r="AA1218" s="2867"/>
      <c r="AB1218" s="2867"/>
      <c r="AC1218" s="2867"/>
      <c r="AD1218" s="2867"/>
      <c r="AE1218" s="2867"/>
      <c r="AF1218" s="2867"/>
      <c r="AG1218" s="2867"/>
      <c r="AH1218" s="2867"/>
      <c r="AI1218" s="2867"/>
      <c r="AJ1218" s="2867"/>
      <c r="AK1218" s="2867"/>
      <c r="AL1218" s="2867"/>
      <c r="AM1218" s="2867"/>
      <c r="AN1218" s="2867"/>
      <c r="AO1218" s="2867"/>
      <c r="AP1218" s="2867"/>
      <c r="AQ1218" s="2867"/>
      <c r="AR1218" s="2867"/>
      <c r="AS1218" s="2867"/>
      <c r="AT1218" s="2867"/>
      <c r="AU1218" s="2867"/>
      <c r="AV1218" s="2867"/>
      <c r="AW1218" s="2867"/>
      <c r="AX1218" s="2867"/>
      <c r="AY1218" s="2867"/>
      <c r="AZ1218" s="2867"/>
      <c r="BA1218" s="2867"/>
      <c r="BB1218" s="2867"/>
      <c r="BC1218" s="2867"/>
      <c r="BD1218" s="2867"/>
      <c r="BE1218" s="2867"/>
      <c r="BF1218" s="2867"/>
      <c r="BG1218" s="2867"/>
      <c r="BH1218" s="2867"/>
      <c r="BI1218" s="2867"/>
      <c r="BJ1218" s="2867"/>
      <c r="BK1218" s="2867"/>
      <c r="BL1218" s="2867"/>
      <c r="BM1218" s="2867"/>
      <c r="BN1218" s="2867"/>
      <c r="BO1218" s="2867"/>
      <c r="BP1218" s="2867"/>
      <c r="BQ1218" s="2867"/>
      <c r="BR1218" s="2867"/>
      <c r="BS1218" s="2867"/>
      <c r="BT1218" s="2867"/>
      <c r="BU1218" s="2867"/>
      <c r="BV1218" s="2867"/>
      <c r="BW1218" s="2867"/>
      <c r="BX1218" s="2867"/>
      <c r="BY1218" s="2867"/>
      <c r="BZ1218" s="2867"/>
      <c r="CA1218" s="2867"/>
      <c r="CB1218" s="2867"/>
      <c r="CC1218" s="2867"/>
      <c r="CD1218" s="2867"/>
      <c r="CE1218" s="2867"/>
      <c r="CF1218" s="2867"/>
      <c r="CG1218" s="2867"/>
      <c r="CH1218" s="2867"/>
      <c r="CI1218" s="2867"/>
      <c r="CJ1218" s="2867"/>
      <c r="CK1218" s="2867"/>
      <c r="CL1218" s="2867"/>
      <c r="CM1218" s="2867"/>
      <c r="CN1218" s="2867"/>
      <c r="CO1218" s="2867"/>
      <c r="CP1218" s="2867"/>
      <c r="CQ1218" s="2867"/>
      <c r="CR1218" s="2867"/>
      <c r="CS1218" s="2867"/>
      <c r="CT1218" s="2867"/>
      <c r="CU1218" s="2867"/>
      <c r="CV1218" s="2867"/>
      <c r="CW1218" s="2867"/>
    </row>
    <row r="1219" spans="1:101">
      <c r="A1219" s="2867"/>
      <c r="B1219" s="2867"/>
      <c r="C1219" s="2867"/>
      <c r="D1219" s="2867"/>
      <c r="E1219" s="2867"/>
      <c r="F1219" s="2867"/>
      <c r="G1219" s="2867"/>
      <c r="H1219" s="2867"/>
      <c r="I1219" s="2867"/>
      <c r="J1219" s="2867"/>
      <c r="K1219" s="2867"/>
      <c r="L1219" s="2867"/>
      <c r="M1219" s="2867"/>
      <c r="O1219" s="2867"/>
      <c r="P1219" s="2867"/>
      <c r="Q1219" s="2867"/>
      <c r="R1219" s="2867"/>
      <c r="S1219" s="2867"/>
      <c r="T1219" s="2867"/>
      <c r="U1219" s="2867"/>
      <c r="V1219" s="2867"/>
      <c r="W1219" s="2867"/>
      <c r="X1219" s="2867"/>
      <c r="Y1219" s="2867"/>
      <c r="Z1219" s="2867"/>
      <c r="AA1219" s="2867"/>
      <c r="AB1219" s="2867"/>
      <c r="AC1219" s="2867"/>
      <c r="AD1219" s="2867"/>
      <c r="AE1219" s="2867"/>
      <c r="AF1219" s="2867"/>
      <c r="AG1219" s="2867"/>
      <c r="AH1219" s="2867"/>
      <c r="AI1219" s="2867"/>
      <c r="AJ1219" s="2867"/>
      <c r="AK1219" s="2867"/>
      <c r="AL1219" s="2867"/>
      <c r="AM1219" s="2867"/>
      <c r="AN1219" s="2867"/>
      <c r="AO1219" s="2867"/>
      <c r="AP1219" s="2867"/>
      <c r="AQ1219" s="2867"/>
      <c r="AR1219" s="2867"/>
      <c r="AS1219" s="2867"/>
      <c r="AT1219" s="2867"/>
      <c r="AU1219" s="2867"/>
      <c r="AV1219" s="2867"/>
      <c r="AW1219" s="2867"/>
      <c r="AX1219" s="2867"/>
      <c r="AY1219" s="2867"/>
      <c r="AZ1219" s="2867"/>
      <c r="BA1219" s="2867"/>
      <c r="BB1219" s="2867"/>
      <c r="BC1219" s="2867"/>
      <c r="BD1219" s="2867"/>
      <c r="BE1219" s="2867"/>
      <c r="BF1219" s="2867"/>
      <c r="BG1219" s="2867"/>
      <c r="BH1219" s="2867"/>
      <c r="BI1219" s="2867"/>
      <c r="BJ1219" s="2867"/>
      <c r="BK1219" s="2867"/>
      <c r="BL1219" s="2867"/>
      <c r="BM1219" s="2867"/>
      <c r="BN1219" s="2867"/>
      <c r="BO1219" s="2867"/>
      <c r="BP1219" s="2867"/>
      <c r="BQ1219" s="2867"/>
      <c r="BR1219" s="2867"/>
      <c r="BS1219" s="2867"/>
      <c r="BT1219" s="2867"/>
      <c r="BU1219" s="2867"/>
      <c r="BV1219" s="2867"/>
      <c r="BW1219" s="2867"/>
      <c r="BX1219" s="2867"/>
      <c r="BY1219" s="2867"/>
      <c r="BZ1219" s="2867"/>
      <c r="CA1219" s="2867"/>
      <c r="CB1219" s="2867"/>
      <c r="CC1219" s="2867"/>
      <c r="CD1219" s="2867"/>
      <c r="CE1219" s="2867"/>
      <c r="CF1219" s="2867"/>
      <c r="CG1219" s="2867"/>
      <c r="CH1219" s="2867"/>
      <c r="CI1219" s="2867"/>
      <c r="CJ1219" s="2867"/>
      <c r="CK1219" s="2867"/>
      <c r="CL1219" s="2867"/>
      <c r="CM1219" s="2867"/>
      <c r="CN1219" s="2867"/>
      <c r="CO1219" s="2867"/>
      <c r="CP1219" s="2867"/>
      <c r="CQ1219" s="2867"/>
      <c r="CR1219" s="2867"/>
      <c r="CS1219" s="2867"/>
      <c r="CT1219" s="2867"/>
      <c r="CU1219" s="2867"/>
      <c r="CV1219" s="2867"/>
      <c r="CW1219" s="2867"/>
    </row>
    <row r="1220" spans="1:101">
      <c r="A1220" s="2867"/>
      <c r="B1220" s="2867"/>
      <c r="C1220" s="2867"/>
      <c r="D1220" s="2867"/>
      <c r="E1220" s="2867"/>
      <c r="F1220" s="2867"/>
      <c r="G1220" s="2867"/>
      <c r="H1220" s="2867"/>
      <c r="I1220" s="2867"/>
      <c r="J1220" s="2867"/>
      <c r="K1220" s="2867"/>
      <c r="L1220" s="2867"/>
      <c r="M1220" s="2867"/>
      <c r="O1220" s="2867"/>
      <c r="P1220" s="2867"/>
      <c r="Q1220" s="2867"/>
      <c r="R1220" s="2867"/>
      <c r="S1220" s="2867"/>
      <c r="T1220" s="2867"/>
      <c r="U1220" s="2867"/>
      <c r="V1220" s="2867"/>
      <c r="W1220" s="2867"/>
      <c r="X1220" s="2867"/>
      <c r="Y1220" s="2867"/>
      <c r="Z1220" s="2867"/>
      <c r="AA1220" s="2867"/>
      <c r="AB1220" s="2867"/>
      <c r="AC1220" s="2867"/>
      <c r="AD1220" s="2867"/>
      <c r="AE1220" s="2867"/>
      <c r="AF1220" s="2867"/>
      <c r="AG1220" s="2867"/>
      <c r="AH1220" s="2867"/>
      <c r="AI1220" s="2867"/>
      <c r="AJ1220" s="2867"/>
      <c r="AK1220" s="2867"/>
      <c r="AL1220" s="2867"/>
      <c r="AM1220" s="2867"/>
      <c r="AN1220" s="2867"/>
      <c r="AO1220" s="2867"/>
      <c r="AP1220" s="2867"/>
      <c r="AQ1220" s="2867"/>
      <c r="AR1220" s="2867"/>
      <c r="AS1220" s="2867"/>
      <c r="AT1220" s="2867"/>
      <c r="AU1220" s="2867"/>
      <c r="AV1220" s="2867"/>
      <c r="AW1220" s="2867"/>
      <c r="AX1220" s="2867"/>
      <c r="AY1220" s="2867"/>
      <c r="AZ1220" s="2867"/>
      <c r="BA1220" s="2867"/>
      <c r="BB1220" s="2867"/>
      <c r="BC1220" s="2867"/>
      <c r="BD1220" s="2867"/>
      <c r="BE1220" s="2867"/>
      <c r="BF1220" s="2867"/>
      <c r="BG1220" s="2867"/>
      <c r="BH1220" s="2867"/>
      <c r="BI1220" s="2867"/>
      <c r="BJ1220" s="2867"/>
      <c r="BK1220" s="2867"/>
      <c r="BL1220" s="2867"/>
      <c r="BM1220" s="2867"/>
      <c r="BN1220" s="2867"/>
      <c r="BO1220" s="2867"/>
      <c r="BP1220" s="2867"/>
      <c r="BQ1220" s="2867"/>
      <c r="BR1220" s="2867"/>
      <c r="BS1220" s="2867"/>
      <c r="BT1220" s="2867"/>
      <c r="BU1220" s="2867"/>
      <c r="BV1220" s="2867"/>
      <c r="BW1220" s="2867"/>
      <c r="BX1220" s="2867"/>
      <c r="BY1220" s="2867"/>
      <c r="BZ1220" s="2867"/>
      <c r="CA1220" s="2867"/>
      <c r="CB1220" s="2867"/>
      <c r="CC1220" s="2867"/>
      <c r="CD1220" s="2867"/>
      <c r="CE1220" s="2867"/>
      <c r="CF1220" s="2867"/>
      <c r="CG1220" s="2867"/>
      <c r="CH1220" s="2867"/>
      <c r="CI1220" s="2867"/>
      <c r="CJ1220" s="2867"/>
      <c r="CK1220" s="2867"/>
      <c r="CL1220" s="2867"/>
      <c r="CM1220" s="2867"/>
      <c r="CN1220" s="2867"/>
      <c r="CO1220" s="2867"/>
      <c r="CP1220" s="2867"/>
      <c r="CQ1220" s="2867"/>
      <c r="CR1220" s="2867"/>
      <c r="CS1220" s="2867"/>
      <c r="CT1220" s="2867"/>
      <c r="CU1220" s="2867"/>
      <c r="CV1220" s="2867"/>
      <c r="CW1220" s="2867"/>
    </row>
    <row r="1221" spans="1:101">
      <c r="A1221" s="2867"/>
      <c r="B1221" s="2867"/>
      <c r="C1221" s="2867"/>
      <c r="D1221" s="2867"/>
      <c r="E1221" s="2867"/>
      <c r="F1221" s="2867"/>
      <c r="G1221" s="2867"/>
      <c r="H1221" s="2867"/>
      <c r="I1221" s="2867"/>
      <c r="J1221" s="2867"/>
      <c r="K1221" s="2867"/>
      <c r="L1221" s="2867"/>
      <c r="M1221" s="2867"/>
      <c r="O1221" s="2867"/>
      <c r="P1221" s="2867"/>
      <c r="Q1221" s="2867"/>
      <c r="R1221" s="2867"/>
      <c r="S1221" s="2867"/>
      <c r="T1221" s="2867"/>
      <c r="U1221" s="2867"/>
      <c r="V1221" s="2867"/>
      <c r="W1221" s="2867"/>
      <c r="X1221" s="2867"/>
      <c r="Y1221" s="2867"/>
      <c r="Z1221" s="2867"/>
      <c r="AA1221" s="2867"/>
      <c r="AB1221" s="2867"/>
      <c r="AC1221" s="2867"/>
      <c r="AD1221" s="2867"/>
      <c r="AE1221" s="2867"/>
      <c r="AF1221" s="2867"/>
      <c r="AG1221" s="2867"/>
      <c r="AH1221" s="2867"/>
      <c r="AI1221" s="2867"/>
      <c r="AJ1221" s="2867"/>
      <c r="AK1221" s="2867"/>
      <c r="AL1221" s="2867"/>
      <c r="AM1221" s="2867"/>
      <c r="AN1221" s="2867"/>
      <c r="AO1221" s="2867"/>
      <c r="AP1221" s="2867"/>
      <c r="AQ1221" s="2867"/>
      <c r="AR1221" s="2867"/>
      <c r="AS1221" s="2867"/>
      <c r="AT1221" s="2867"/>
      <c r="AU1221" s="2867"/>
      <c r="AV1221" s="2867"/>
      <c r="AW1221" s="2867"/>
      <c r="AX1221" s="2867"/>
      <c r="AY1221" s="2867"/>
      <c r="AZ1221" s="2867"/>
      <c r="BA1221" s="2867"/>
      <c r="BB1221" s="2867"/>
      <c r="BC1221" s="2867"/>
      <c r="BD1221" s="2867"/>
      <c r="BE1221" s="2867"/>
      <c r="BF1221" s="2867"/>
      <c r="BG1221" s="2867"/>
      <c r="BH1221" s="2867"/>
      <c r="BI1221" s="2867"/>
      <c r="BJ1221" s="2867"/>
      <c r="BK1221" s="2867"/>
      <c r="BL1221" s="2867"/>
      <c r="BM1221" s="2867"/>
      <c r="BN1221" s="2867"/>
      <c r="BO1221" s="2867"/>
      <c r="BP1221" s="2867"/>
      <c r="BQ1221" s="2867"/>
      <c r="BR1221" s="2867"/>
      <c r="BS1221" s="2867"/>
      <c r="BT1221" s="2867"/>
      <c r="BU1221" s="2867"/>
      <c r="BV1221" s="2867"/>
      <c r="BW1221" s="2867"/>
      <c r="BX1221" s="2867"/>
      <c r="BY1221" s="2867"/>
      <c r="BZ1221" s="2867"/>
      <c r="CA1221" s="2867"/>
      <c r="CB1221" s="2867"/>
      <c r="CC1221" s="2867"/>
      <c r="CD1221" s="2867"/>
      <c r="CE1221" s="2867"/>
      <c r="CF1221" s="2867"/>
      <c r="CG1221" s="2867"/>
      <c r="CH1221" s="2867"/>
      <c r="CI1221" s="2867"/>
      <c r="CJ1221" s="2867"/>
      <c r="CK1221" s="2867"/>
      <c r="CL1221" s="2867"/>
      <c r="CM1221" s="2867"/>
      <c r="CN1221" s="2867"/>
      <c r="CO1221" s="2867"/>
      <c r="CP1221" s="2867"/>
      <c r="CQ1221" s="2867"/>
      <c r="CR1221" s="2867"/>
      <c r="CS1221" s="2867"/>
      <c r="CT1221" s="2867"/>
      <c r="CU1221" s="2867"/>
      <c r="CV1221" s="2867"/>
      <c r="CW1221" s="2867"/>
    </row>
    <row r="1222" spans="1:101">
      <c r="A1222" s="2867"/>
      <c r="B1222" s="2867"/>
      <c r="C1222" s="2867"/>
      <c r="D1222" s="2867"/>
      <c r="E1222" s="2867"/>
      <c r="F1222" s="2867"/>
      <c r="G1222" s="2867"/>
      <c r="H1222" s="2867"/>
      <c r="I1222" s="2867"/>
      <c r="J1222" s="2867"/>
      <c r="K1222" s="2867"/>
      <c r="L1222" s="2867"/>
      <c r="M1222" s="2867"/>
      <c r="O1222" s="2867"/>
      <c r="P1222" s="2867"/>
      <c r="Q1222" s="2867"/>
      <c r="R1222" s="2867"/>
      <c r="S1222" s="2867"/>
      <c r="T1222" s="2867"/>
      <c r="U1222" s="2867"/>
      <c r="V1222" s="2867"/>
      <c r="W1222" s="2867"/>
      <c r="X1222" s="2867"/>
      <c r="Y1222" s="2867"/>
      <c r="Z1222" s="2867"/>
      <c r="AA1222" s="2867"/>
      <c r="AB1222" s="2867"/>
      <c r="AC1222" s="2867"/>
      <c r="AD1222" s="2867"/>
      <c r="AE1222" s="2867"/>
      <c r="AF1222" s="2867"/>
      <c r="AG1222" s="2867"/>
      <c r="AH1222" s="2867"/>
      <c r="AI1222" s="2867"/>
      <c r="AJ1222" s="2867"/>
      <c r="AK1222" s="2867"/>
      <c r="AL1222" s="2867"/>
      <c r="AM1222" s="2867"/>
      <c r="AN1222" s="2867"/>
      <c r="AO1222" s="2867"/>
      <c r="AP1222" s="2867"/>
      <c r="AQ1222" s="2867"/>
      <c r="AR1222" s="2867"/>
      <c r="AS1222" s="2867"/>
      <c r="AT1222" s="2867"/>
      <c r="AU1222" s="2867"/>
      <c r="AV1222" s="2867"/>
      <c r="AW1222" s="2867"/>
      <c r="AX1222" s="2867"/>
      <c r="AY1222" s="2867"/>
      <c r="AZ1222" s="2867"/>
      <c r="BA1222" s="2867"/>
      <c r="BB1222" s="2867"/>
      <c r="BC1222" s="2867"/>
      <c r="BD1222" s="2867"/>
      <c r="BE1222" s="2867"/>
      <c r="BF1222" s="2867"/>
      <c r="BG1222" s="2867"/>
      <c r="BH1222" s="2867"/>
      <c r="BI1222" s="2867"/>
      <c r="BJ1222" s="2867"/>
      <c r="BK1222" s="2867"/>
      <c r="BL1222" s="2867"/>
      <c r="BM1222" s="2867"/>
      <c r="BN1222" s="2867"/>
      <c r="BO1222" s="2867"/>
      <c r="BP1222" s="2867"/>
      <c r="BQ1222" s="2867"/>
      <c r="BR1222" s="2867"/>
      <c r="BS1222" s="2867"/>
      <c r="BT1222" s="2867"/>
      <c r="BU1222" s="2867"/>
      <c r="BV1222" s="2867"/>
      <c r="BW1222" s="2867"/>
      <c r="BX1222" s="2867"/>
      <c r="BY1222" s="2867"/>
      <c r="BZ1222" s="2867"/>
      <c r="CA1222" s="2867"/>
      <c r="CB1222" s="2867"/>
      <c r="CC1222" s="2867"/>
      <c r="CD1222" s="2867"/>
      <c r="CE1222" s="2867"/>
      <c r="CF1222" s="2867"/>
      <c r="CG1222" s="2867"/>
      <c r="CH1222" s="2867"/>
      <c r="CI1222" s="2867"/>
      <c r="CJ1222" s="2867"/>
      <c r="CK1222" s="2867"/>
      <c r="CL1222" s="2867"/>
      <c r="CM1222" s="2867"/>
      <c r="CN1222" s="2867"/>
      <c r="CO1222" s="2867"/>
      <c r="CP1222" s="2867"/>
      <c r="CQ1222" s="2867"/>
      <c r="CR1222" s="2867"/>
      <c r="CS1222" s="2867"/>
      <c r="CT1222" s="2867"/>
      <c r="CU1222" s="2867"/>
      <c r="CV1222" s="2867"/>
      <c r="CW1222" s="2867"/>
    </row>
    <row r="1223" spans="1:101">
      <c r="A1223" s="2867"/>
      <c r="B1223" s="2867"/>
      <c r="C1223" s="2867"/>
      <c r="D1223" s="2867"/>
      <c r="E1223" s="2867"/>
      <c r="F1223" s="2867"/>
      <c r="G1223" s="2867"/>
      <c r="H1223" s="2867"/>
      <c r="I1223" s="2867"/>
      <c r="J1223" s="2867"/>
      <c r="K1223" s="2867"/>
      <c r="L1223" s="2867"/>
      <c r="M1223" s="2867"/>
      <c r="O1223" s="2867"/>
      <c r="P1223" s="2867"/>
      <c r="Q1223" s="2867"/>
      <c r="R1223" s="2867"/>
      <c r="S1223" s="2867"/>
      <c r="T1223" s="2867"/>
      <c r="U1223" s="2867"/>
      <c r="V1223" s="2867"/>
      <c r="W1223" s="2867"/>
      <c r="X1223" s="2867"/>
      <c r="Y1223" s="2867"/>
      <c r="Z1223" s="2867"/>
      <c r="AA1223" s="2867"/>
      <c r="AB1223" s="2867"/>
      <c r="AC1223" s="2867"/>
      <c r="AD1223" s="2867"/>
      <c r="AE1223" s="2867"/>
      <c r="AF1223" s="2867"/>
      <c r="AG1223" s="2867"/>
      <c r="AH1223" s="2867"/>
      <c r="AI1223" s="2867"/>
      <c r="AJ1223" s="2867"/>
      <c r="AK1223" s="2867"/>
      <c r="AL1223" s="2867"/>
      <c r="AM1223" s="2867"/>
      <c r="AN1223" s="2867"/>
      <c r="AO1223" s="2867"/>
      <c r="AP1223" s="2867"/>
      <c r="AQ1223" s="2867"/>
      <c r="AR1223" s="2867"/>
      <c r="AS1223" s="2867"/>
      <c r="AT1223" s="2867"/>
      <c r="AU1223" s="2867"/>
      <c r="AV1223" s="2867"/>
      <c r="AW1223" s="2867"/>
      <c r="AX1223" s="2867"/>
      <c r="AY1223" s="2867"/>
      <c r="AZ1223" s="2867"/>
      <c r="BA1223" s="2867"/>
      <c r="BB1223" s="2867"/>
      <c r="BC1223" s="2867"/>
      <c r="BD1223" s="2867"/>
      <c r="BE1223" s="2867"/>
      <c r="BF1223" s="2867"/>
      <c r="BG1223" s="2867"/>
      <c r="BH1223" s="2867"/>
      <c r="BI1223" s="2867"/>
      <c r="BJ1223" s="2867"/>
      <c r="BK1223" s="2867"/>
      <c r="BL1223" s="2867"/>
      <c r="BM1223" s="2867"/>
      <c r="BN1223" s="2867"/>
      <c r="BO1223" s="2867"/>
      <c r="BP1223" s="2867"/>
      <c r="BQ1223" s="2867"/>
      <c r="BR1223" s="2867"/>
      <c r="BS1223" s="2867"/>
      <c r="BT1223" s="2867"/>
      <c r="BU1223" s="2867"/>
      <c r="BV1223" s="2867"/>
      <c r="BW1223" s="2867"/>
      <c r="BX1223" s="2867"/>
      <c r="BY1223" s="2867"/>
      <c r="BZ1223" s="2867"/>
      <c r="CA1223" s="2867"/>
      <c r="CB1223" s="2867"/>
      <c r="CC1223" s="2867"/>
      <c r="CD1223" s="2867"/>
      <c r="CE1223" s="2867"/>
      <c r="CF1223" s="2867"/>
      <c r="CG1223" s="2867"/>
      <c r="CH1223" s="2867"/>
      <c r="CI1223" s="2867"/>
      <c r="CJ1223" s="2867"/>
      <c r="CK1223" s="2867"/>
      <c r="CL1223" s="2867"/>
      <c r="CM1223" s="2867"/>
      <c r="CN1223" s="2867"/>
      <c r="CO1223" s="2867"/>
      <c r="CP1223" s="2867"/>
      <c r="CQ1223" s="2867"/>
      <c r="CR1223" s="2867"/>
      <c r="CS1223" s="2867"/>
      <c r="CT1223" s="2867"/>
      <c r="CU1223" s="2867"/>
      <c r="CV1223" s="2867"/>
      <c r="CW1223" s="2867"/>
    </row>
    <row r="1224" spans="1:101">
      <c r="A1224" s="2867"/>
      <c r="B1224" s="2867"/>
      <c r="C1224" s="2867"/>
      <c r="D1224" s="2867"/>
      <c r="E1224" s="2867"/>
      <c r="F1224" s="2867"/>
      <c r="G1224" s="2867"/>
      <c r="H1224" s="2867"/>
      <c r="I1224" s="2867"/>
      <c r="J1224" s="2867"/>
      <c r="K1224" s="2867"/>
      <c r="L1224" s="2867"/>
      <c r="M1224" s="2867"/>
      <c r="O1224" s="2867"/>
      <c r="P1224" s="2867"/>
      <c r="Q1224" s="2867"/>
      <c r="R1224" s="2867"/>
      <c r="S1224" s="2867"/>
      <c r="T1224" s="2867"/>
      <c r="U1224" s="2867"/>
      <c r="V1224" s="2867"/>
      <c r="W1224" s="2867"/>
      <c r="X1224" s="2867"/>
      <c r="Y1224" s="2867"/>
      <c r="Z1224" s="2867"/>
      <c r="AA1224" s="2867"/>
      <c r="AB1224" s="2867"/>
      <c r="AC1224" s="2867"/>
      <c r="AD1224" s="2867"/>
      <c r="AE1224" s="2867"/>
      <c r="AF1224" s="2867"/>
      <c r="AG1224" s="2867"/>
      <c r="AH1224" s="2867"/>
      <c r="AI1224" s="2867"/>
      <c r="AJ1224" s="2867"/>
      <c r="AK1224" s="2867"/>
      <c r="AL1224" s="2867"/>
      <c r="AM1224" s="2867"/>
      <c r="AN1224" s="2867"/>
      <c r="AO1224" s="2867"/>
      <c r="AP1224" s="2867"/>
      <c r="AQ1224" s="2867"/>
      <c r="AR1224" s="2867"/>
      <c r="AS1224" s="2867"/>
      <c r="AT1224" s="2867"/>
      <c r="AU1224" s="2867"/>
      <c r="AV1224" s="2867"/>
      <c r="AW1224" s="2867"/>
      <c r="AX1224" s="2867"/>
      <c r="AY1224" s="2867"/>
      <c r="AZ1224" s="2867"/>
      <c r="BA1224" s="2867"/>
      <c r="BB1224" s="2867"/>
      <c r="BC1224" s="2867"/>
      <c r="BD1224" s="2867"/>
      <c r="BE1224" s="2867"/>
      <c r="BF1224" s="2867"/>
      <c r="BG1224" s="2867"/>
      <c r="BH1224" s="2867"/>
      <c r="BI1224" s="2867"/>
      <c r="BJ1224" s="2867"/>
      <c r="BK1224" s="2867"/>
      <c r="BL1224" s="2867"/>
      <c r="BM1224" s="2867"/>
      <c r="BN1224" s="2867"/>
      <c r="BO1224" s="2867"/>
      <c r="BP1224" s="2867"/>
      <c r="BQ1224" s="2867"/>
      <c r="BR1224" s="2867"/>
      <c r="BS1224" s="2867"/>
      <c r="BT1224" s="2867"/>
      <c r="BU1224" s="2867"/>
      <c r="BV1224" s="2867"/>
      <c r="BW1224" s="2867"/>
      <c r="BX1224" s="2867"/>
      <c r="BY1224" s="2867"/>
      <c r="BZ1224" s="2867"/>
      <c r="CA1224" s="2867"/>
      <c r="CB1224" s="2867"/>
      <c r="CC1224" s="2867"/>
      <c r="CD1224" s="2867"/>
      <c r="CE1224" s="2867"/>
      <c r="CF1224" s="2867"/>
      <c r="CG1224" s="2867"/>
      <c r="CH1224" s="2867"/>
      <c r="CI1224" s="2867"/>
      <c r="CJ1224" s="2867"/>
      <c r="CK1224" s="2867"/>
      <c r="CL1224" s="2867"/>
      <c r="CM1224" s="2867"/>
      <c r="CN1224" s="2867"/>
      <c r="CO1224" s="2867"/>
      <c r="CP1224" s="2867"/>
      <c r="CQ1224" s="2867"/>
      <c r="CR1224" s="2867"/>
      <c r="CS1224" s="2867"/>
      <c r="CT1224" s="2867"/>
      <c r="CU1224" s="2867"/>
      <c r="CV1224" s="2867"/>
      <c r="CW1224" s="2867"/>
    </row>
    <row r="1225" spans="1:101">
      <c r="A1225" s="2867"/>
      <c r="B1225" s="2867"/>
      <c r="C1225" s="2867"/>
      <c r="D1225" s="2867"/>
      <c r="E1225" s="2867"/>
      <c r="F1225" s="2867"/>
      <c r="G1225" s="2867"/>
      <c r="H1225" s="2867"/>
      <c r="I1225" s="2867"/>
      <c r="J1225" s="2867"/>
      <c r="K1225" s="2867"/>
      <c r="L1225" s="2867"/>
      <c r="M1225" s="2867"/>
      <c r="O1225" s="2867"/>
      <c r="P1225" s="2867"/>
      <c r="Q1225" s="2867"/>
      <c r="R1225" s="2867"/>
      <c r="S1225" s="2867"/>
      <c r="T1225" s="2867"/>
      <c r="U1225" s="2867"/>
      <c r="V1225" s="2867"/>
      <c r="W1225" s="2867"/>
      <c r="X1225" s="2867"/>
      <c r="Y1225" s="2867"/>
      <c r="Z1225" s="2867"/>
      <c r="AA1225" s="2867"/>
      <c r="AB1225" s="2867"/>
      <c r="AC1225" s="2867"/>
      <c r="AD1225" s="2867"/>
      <c r="AE1225" s="2867"/>
      <c r="AF1225" s="2867"/>
      <c r="AG1225" s="2867"/>
      <c r="AH1225" s="2867"/>
      <c r="AI1225" s="2867"/>
      <c r="AJ1225" s="2867"/>
      <c r="AK1225" s="2867"/>
      <c r="AL1225" s="2867"/>
      <c r="AM1225" s="2867"/>
      <c r="AN1225" s="2867"/>
      <c r="AO1225" s="2867"/>
      <c r="AP1225" s="2867"/>
      <c r="AQ1225" s="2867"/>
      <c r="AR1225" s="2867"/>
      <c r="AS1225" s="2867"/>
      <c r="AT1225" s="2867"/>
      <c r="AU1225" s="2867"/>
      <c r="AV1225" s="2867"/>
      <c r="AW1225" s="2867"/>
      <c r="AX1225" s="2867"/>
      <c r="AY1225" s="2867"/>
      <c r="AZ1225" s="2867"/>
      <c r="BA1225" s="2867"/>
      <c r="BB1225" s="2867"/>
      <c r="BC1225" s="2867"/>
      <c r="BD1225" s="2867"/>
      <c r="BE1225" s="2867"/>
      <c r="BF1225" s="2867"/>
      <c r="BG1225" s="2867"/>
      <c r="BH1225" s="2867"/>
      <c r="BI1225" s="2867"/>
      <c r="BJ1225" s="2867"/>
      <c r="BK1225" s="2867"/>
      <c r="BL1225" s="2867"/>
      <c r="BM1225" s="2867"/>
      <c r="BN1225" s="2867"/>
      <c r="BO1225" s="2867"/>
      <c r="BP1225" s="2867"/>
      <c r="BQ1225" s="2867"/>
      <c r="BR1225" s="2867"/>
      <c r="BS1225" s="2867"/>
      <c r="BT1225" s="2867"/>
      <c r="BU1225" s="2867"/>
      <c r="BV1225" s="2867"/>
      <c r="BW1225" s="2867"/>
      <c r="BX1225" s="2867"/>
      <c r="BY1225" s="2867"/>
      <c r="BZ1225" s="2867"/>
      <c r="CA1225" s="2867"/>
      <c r="CB1225" s="2867"/>
      <c r="CC1225" s="2867"/>
      <c r="CD1225" s="2867"/>
      <c r="CE1225" s="2867"/>
      <c r="CF1225" s="2867"/>
      <c r="CG1225" s="2867"/>
      <c r="CH1225" s="2867"/>
      <c r="CI1225" s="2867"/>
      <c r="CJ1225" s="2867"/>
      <c r="CK1225" s="2867"/>
      <c r="CL1225" s="2867"/>
      <c r="CM1225" s="2867"/>
      <c r="CN1225" s="2867"/>
      <c r="CO1225" s="2867"/>
      <c r="CP1225" s="2867"/>
      <c r="CQ1225" s="2867"/>
      <c r="CR1225" s="2867"/>
      <c r="CS1225" s="2867"/>
      <c r="CT1225" s="2867"/>
      <c r="CU1225" s="2867"/>
      <c r="CV1225" s="2867"/>
      <c r="CW1225" s="2867"/>
    </row>
    <row r="1226" spans="1:101">
      <c r="A1226" s="2867"/>
      <c r="B1226" s="2867"/>
      <c r="C1226" s="2867"/>
      <c r="D1226" s="2867"/>
      <c r="E1226" s="2867"/>
      <c r="F1226" s="2867"/>
      <c r="G1226" s="2867"/>
      <c r="H1226" s="2867"/>
      <c r="I1226" s="2867"/>
      <c r="J1226" s="2867"/>
      <c r="K1226" s="2867"/>
      <c r="L1226" s="2867"/>
      <c r="M1226" s="2867"/>
      <c r="O1226" s="2867"/>
      <c r="P1226" s="2867"/>
      <c r="Q1226" s="2867"/>
      <c r="R1226" s="2867"/>
      <c r="S1226" s="2867"/>
      <c r="T1226" s="2867"/>
      <c r="U1226" s="2867"/>
      <c r="V1226" s="2867"/>
      <c r="W1226" s="2867"/>
      <c r="X1226" s="2867"/>
      <c r="Y1226" s="2867"/>
      <c r="Z1226" s="2867"/>
      <c r="AA1226" s="2867"/>
      <c r="AB1226" s="2867"/>
      <c r="AC1226" s="2867"/>
      <c r="AD1226" s="2867"/>
      <c r="AE1226" s="2867"/>
      <c r="AF1226" s="2867"/>
      <c r="AG1226" s="2867"/>
      <c r="AH1226" s="2867"/>
      <c r="AI1226" s="2867"/>
      <c r="AJ1226" s="2867"/>
      <c r="AK1226" s="2867"/>
      <c r="AL1226" s="2867"/>
      <c r="AM1226" s="2867"/>
      <c r="AN1226" s="2867"/>
      <c r="AO1226" s="2867"/>
      <c r="AP1226" s="2867"/>
      <c r="AQ1226" s="2867"/>
      <c r="AR1226" s="2867"/>
      <c r="AS1226" s="2867"/>
      <c r="AT1226" s="2867"/>
      <c r="AU1226" s="2867"/>
      <c r="AV1226" s="2867"/>
      <c r="AW1226" s="2867"/>
      <c r="AX1226" s="2867"/>
      <c r="AY1226" s="2867"/>
      <c r="AZ1226" s="2867"/>
      <c r="BA1226" s="2867"/>
      <c r="BB1226" s="2867"/>
      <c r="BC1226" s="2867"/>
      <c r="BD1226" s="2867"/>
      <c r="BE1226" s="2867"/>
      <c r="BF1226" s="2867"/>
      <c r="BG1226" s="2867"/>
      <c r="BH1226" s="2867"/>
      <c r="BI1226" s="2867"/>
      <c r="BJ1226" s="2867"/>
      <c r="BK1226" s="2867"/>
      <c r="BL1226" s="2867"/>
      <c r="BM1226" s="2867"/>
      <c r="BN1226" s="2867"/>
      <c r="BO1226" s="2867"/>
      <c r="BP1226" s="2867"/>
      <c r="BQ1226" s="2867"/>
      <c r="BR1226" s="2867"/>
      <c r="BS1226" s="2867"/>
      <c r="BT1226" s="2867"/>
      <c r="BU1226" s="2867"/>
      <c r="BV1226" s="2867"/>
      <c r="BW1226" s="2867"/>
      <c r="BX1226" s="2867"/>
      <c r="BY1226" s="2867"/>
      <c r="BZ1226" s="2867"/>
      <c r="CA1226" s="2867"/>
      <c r="CB1226" s="2867"/>
      <c r="CC1226" s="2867"/>
      <c r="CD1226" s="2867"/>
      <c r="CE1226" s="2867"/>
      <c r="CF1226" s="2867"/>
      <c r="CG1226" s="2867"/>
      <c r="CH1226" s="2867"/>
      <c r="CI1226" s="2867"/>
      <c r="CJ1226" s="2867"/>
      <c r="CK1226" s="2867"/>
      <c r="CL1226" s="2867"/>
      <c r="CM1226" s="2867"/>
      <c r="CN1226" s="2867"/>
      <c r="CO1226" s="2867"/>
      <c r="CP1226" s="2867"/>
      <c r="CQ1226" s="2867"/>
      <c r="CR1226" s="2867"/>
      <c r="CS1226" s="2867"/>
      <c r="CT1226" s="2867"/>
      <c r="CU1226" s="2867"/>
      <c r="CV1226" s="2867"/>
      <c r="CW1226" s="2867"/>
    </row>
    <row r="1227" spans="1:101">
      <c r="A1227" s="2867"/>
      <c r="B1227" s="2867"/>
      <c r="C1227" s="2867"/>
      <c r="D1227" s="2867"/>
      <c r="E1227" s="2867"/>
      <c r="F1227" s="2867"/>
      <c r="G1227" s="2867"/>
      <c r="H1227" s="2867"/>
      <c r="I1227" s="2867"/>
      <c r="J1227" s="2867"/>
      <c r="K1227" s="2867"/>
      <c r="L1227" s="2867"/>
      <c r="M1227" s="2867"/>
      <c r="O1227" s="2867"/>
      <c r="P1227" s="2867"/>
      <c r="Q1227" s="2867"/>
      <c r="R1227" s="2867"/>
      <c r="S1227" s="2867"/>
      <c r="T1227" s="2867"/>
      <c r="U1227" s="2867"/>
      <c r="V1227" s="2867"/>
      <c r="W1227" s="2867"/>
      <c r="X1227" s="2867"/>
      <c r="Y1227" s="2867"/>
      <c r="Z1227" s="2867"/>
      <c r="AA1227" s="2867"/>
      <c r="AB1227" s="2867"/>
      <c r="AC1227" s="2867"/>
      <c r="AD1227" s="2867"/>
      <c r="AE1227" s="2867"/>
      <c r="AF1227" s="2867"/>
      <c r="AG1227" s="2867"/>
      <c r="AH1227" s="2867"/>
      <c r="AI1227" s="2867"/>
      <c r="AJ1227" s="2867"/>
      <c r="AK1227" s="2867"/>
      <c r="AL1227" s="2867"/>
      <c r="AM1227" s="2867"/>
      <c r="AN1227" s="2867"/>
      <c r="AO1227" s="2867"/>
      <c r="AP1227" s="2867"/>
      <c r="AQ1227" s="2867"/>
      <c r="AR1227" s="2867"/>
      <c r="AS1227" s="2867"/>
      <c r="AT1227" s="2867"/>
      <c r="AU1227" s="2867"/>
      <c r="AV1227" s="2867"/>
      <c r="AW1227" s="2867"/>
      <c r="AX1227" s="2867"/>
      <c r="AY1227" s="2867"/>
      <c r="AZ1227" s="2867"/>
      <c r="BA1227" s="2867"/>
      <c r="BB1227" s="2867"/>
      <c r="BC1227" s="2867"/>
      <c r="BD1227" s="2867"/>
      <c r="BE1227" s="2867"/>
      <c r="BF1227" s="2867"/>
      <c r="BG1227" s="2867"/>
      <c r="BH1227" s="2867"/>
      <c r="BI1227" s="2867"/>
      <c r="BJ1227" s="2867"/>
      <c r="BK1227" s="2867"/>
      <c r="BL1227" s="2867"/>
      <c r="BM1227" s="2867"/>
      <c r="BN1227" s="2867"/>
      <c r="BO1227" s="2867"/>
      <c r="BP1227" s="2867"/>
      <c r="BQ1227" s="2867"/>
      <c r="BR1227" s="2867"/>
      <c r="BS1227" s="2867"/>
      <c r="BT1227" s="2867"/>
      <c r="BU1227" s="2867"/>
      <c r="BV1227" s="2867"/>
      <c r="BW1227" s="2867"/>
      <c r="BX1227" s="2867"/>
      <c r="BY1227" s="2867"/>
      <c r="BZ1227" s="2867"/>
      <c r="CA1227" s="2867"/>
      <c r="CB1227" s="2867"/>
      <c r="CC1227" s="2867"/>
      <c r="CD1227" s="2867"/>
      <c r="CE1227" s="2867"/>
      <c r="CF1227" s="2867"/>
      <c r="CG1227" s="2867"/>
      <c r="CH1227" s="2867"/>
      <c r="CI1227" s="2867"/>
      <c r="CJ1227" s="2867"/>
      <c r="CK1227" s="2867"/>
      <c r="CL1227" s="2867"/>
      <c r="CM1227" s="2867"/>
      <c r="CN1227" s="2867"/>
      <c r="CO1227" s="2867"/>
      <c r="CP1227" s="2867"/>
      <c r="CQ1227" s="2867"/>
      <c r="CR1227" s="2867"/>
      <c r="CS1227" s="2867"/>
      <c r="CT1227" s="2867"/>
      <c r="CU1227" s="2867"/>
      <c r="CV1227" s="2867"/>
      <c r="CW1227" s="2867"/>
    </row>
    <row r="1228" spans="1:101">
      <c r="A1228" s="2867"/>
      <c r="B1228" s="2867"/>
      <c r="C1228" s="2867"/>
      <c r="D1228" s="2867"/>
      <c r="E1228" s="2867"/>
      <c r="F1228" s="2867"/>
      <c r="G1228" s="2867"/>
      <c r="H1228" s="2867"/>
      <c r="I1228" s="2867"/>
      <c r="J1228" s="2867"/>
      <c r="K1228" s="2867"/>
      <c r="L1228" s="2867"/>
      <c r="M1228" s="2867"/>
      <c r="O1228" s="2867"/>
      <c r="P1228" s="2867"/>
      <c r="Q1228" s="2867"/>
      <c r="R1228" s="2867"/>
      <c r="S1228" s="2867"/>
      <c r="T1228" s="2867"/>
      <c r="U1228" s="2867"/>
      <c r="V1228" s="2867"/>
      <c r="W1228" s="2867"/>
      <c r="X1228" s="2867"/>
      <c r="Y1228" s="2867"/>
      <c r="Z1228" s="2867"/>
      <c r="AA1228" s="2867"/>
      <c r="AB1228" s="2867"/>
      <c r="AC1228" s="2867"/>
      <c r="AD1228" s="2867"/>
      <c r="AE1228" s="2867"/>
      <c r="AF1228" s="2867"/>
      <c r="AG1228" s="2867"/>
      <c r="AH1228" s="2867"/>
      <c r="AI1228" s="2867"/>
      <c r="AJ1228" s="2867"/>
      <c r="AK1228" s="2867"/>
      <c r="AL1228" s="2867"/>
      <c r="AM1228" s="2867"/>
      <c r="AN1228" s="2867"/>
      <c r="AO1228" s="2867"/>
      <c r="AP1228" s="2867"/>
      <c r="AQ1228" s="2867"/>
      <c r="AR1228" s="2867"/>
      <c r="AS1228" s="2867"/>
      <c r="AT1228" s="2867"/>
      <c r="AU1228" s="2867"/>
      <c r="AV1228" s="2867"/>
      <c r="AW1228" s="2867"/>
      <c r="AX1228" s="2867"/>
      <c r="AY1228" s="2867"/>
      <c r="AZ1228" s="2867"/>
      <c r="BA1228" s="2867"/>
      <c r="BB1228" s="2867"/>
      <c r="BC1228" s="2867"/>
      <c r="BD1228" s="2867"/>
      <c r="BE1228" s="2867"/>
      <c r="BF1228" s="2867"/>
      <c r="BG1228" s="2867"/>
      <c r="BH1228" s="2867"/>
      <c r="BI1228" s="2867"/>
      <c r="BJ1228" s="2867"/>
      <c r="BK1228" s="2867"/>
      <c r="BL1228" s="2867"/>
      <c r="BM1228" s="2867"/>
      <c r="BN1228" s="2867"/>
      <c r="BO1228" s="2867"/>
      <c r="BP1228" s="2867"/>
      <c r="BQ1228" s="2867"/>
      <c r="BR1228" s="2867"/>
      <c r="BS1228" s="2867"/>
      <c r="BT1228" s="2867"/>
      <c r="BU1228" s="2867"/>
      <c r="BV1228" s="2867"/>
      <c r="BW1228" s="2867"/>
      <c r="BX1228" s="2867"/>
      <c r="BY1228" s="2867"/>
      <c r="BZ1228" s="2867"/>
      <c r="CA1228" s="2867"/>
      <c r="CB1228" s="2867"/>
      <c r="CC1228" s="2867"/>
      <c r="CD1228" s="2867"/>
      <c r="CE1228" s="2867"/>
      <c r="CF1228" s="2867"/>
      <c r="CG1228" s="2867"/>
      <c r="CH1228" s="2867"/>
      <c r="CI1228" s="2867"/>
      <c r="CJ1228" s="2867"/>
      <c r="CK1228" s="2867"/>
      <c r="CL1228" s="2867"/>
      <c r="CM1228" s="2867"/>
      <c r="CN1228" s="2867"/>
      <c r="CO1228" s="2867"/>
      <c r="CP1228" s="2867"/>
      <c r="CQ1228" s="2867"/>
      <c r="CR1228" s="2867"/>
      <c r="CS1228" s="2867"/>
      <c r="CT1228" s="2867"/>
      <c r="CU1228" s="2867"/>
      <c r="CV1228" s="2867"/>
      <c r="CW1228" s="2867"/>
    </row>
    <row r="1229" spans="1:101">
      <c r="A1229" s="2867"/>
      <c r="B1229" s="2867"/>
      <c r="C1229" s="2867"/>
      <c r="D1229" s="2867"/>
      <c r="E1229" s="2867"/>
      <c r="F1229" s="2867"/>
      <c r="G1229" s="2867"/>
      <c r="H1229" s="2867"/>
      <c r="I1229" s="2867"/>
      <c r="J1229" s="2867"/>
      <c r="K1229" s="2867"/>
      <c r="L1229" s="2867"/>
      <c r="M1229" s="2867"/>
      <c r="O1229" s="2867"/>
      <c r="P1229" s="2867"/>
      <c r="Q1229" s="2867"/>
      <c r="R1229" s="2867"/>
      <c r="S1229" s="2867"/>
      <c r="T1229" s="2867"/>
      <c r="U1229" s="2867"/>
      <c r="V1229" s="2867"/>
      <c r="W1229" s="2867"/>
      <c r="X1229" s="2867"/>
      <c r="Y1229" s="2867"/>
      <c r="Z1229" s="2867"/>
      <c r="AA1229" s="2867"/>
      <c r="AB1229" s="2867"/>
      <c r="AC1229" s="2867"/>
      <c r="AD1229" s="2867"/>
      <c r="AE1229" s="2867"/>
      <c r="AF1229" s="2867"/>
      <c r="AG1229" s="2867"/>
      <c r="AH1229" s="2867"/>
      <c r="AI1229" s="2867"/>
      <c r="AJ1229" s="2867"/>
      <c r="AK1229" s="2867"/>
      <c r="AL1229" s="2867"/>
      <c r="AM1229" s="2867"/>
      <c r="AN1229" s="2867"/>
      <c r="AO1229" s="2867"/>
      <c r="AP1229" s="2867"/>
      <c r="AQ1229" s="2867"/>
      <c r="AR1229" s="2867"/>
      <c r="AS1229" s="2867"/>
      <c r="AT1229" s="2867"/>
      <c r="AU1229" s="2867"/>
      <c r="AV1229" s="2867"/>
      <c r="AW1229" s="2867"/>
      <c r="AX1229" s="2867"/>
      <c r="AY1229" s="2867"/>
      <c r="AZ1229" s="2867"/>
      <c r="BA1229" s="2867"/>
      <c r="BB1229" s="2867"/>
      <c r="BC1229" s="2867"/>
      <c r="BD1229" s="2867"/>
      <c r="BE1229" s="2867"/>
      <c r="BF1229" s="2867"/>
      <c r="BG1229" s="2867"/>
      <c r="BH1229" s="2867"/>
      <c r="BI1229" s="2867"/>
      <c r="BJ1229" s="2867"/>
      <c r="BK1229" s="2867"/>
      <c r="BL1229" s="2867"/>
      <c r="BM1229" s="2867"/>
      <c r="BN1229" s="2867"/>
      <c r="BO1229" s="2867"/>
      <c r="BP1229" s="2867"/>
      <c r="BQ1229" s="2867"/>
      <c r="BR1229" s="2867"/>
      <c r="BS1229" s="2867"/>
      <c r="BT1229" s="2867"/>
      <c r="BU1229" s="2867"/>
      <c r="BV1229" s="2867"/>
      <c r="BW1229" s="2867"/>
      <c r="BX1229" s="2867"/>
      <c r="BY1229" s="2867"/>
      <c r="BZ1229" s="2867"/>
      <c r="CA1229" s="2867"/>
      <c r="CB1229" s="2867"/>
      <c r="CC1229" s="2867"/>
      <c r="CD1229" s="2867"/>
      <c r="CE1229" s="2867"/>
      <c r="CF1229" s="2867"/>
      <c r="CG1229" s="2867"/>
      <c r="CH1229" s="2867"/>
      <c r="CI1229" s="2867"/>
      <c r="CJ1229" s="2867"/>
      <c r="CK1229" s="2867"/>
      <c r="CL1229" s="2867"/>
      <c r="CM1229" s="2867"/>
      <c r="CN1229" s="2867"/>
      <c r="CO1229" s="2867"/>
      <c r="CP1229" s="2867"/>
      <c r="CQ1229" s="2867"/>
      <c r="CR1229" s="2867"/>
      <c r="CS1229" s="2867"/>
      <c r="CT1229" s="2867"/>
      <c r="CU1229" s="2867"/>
      <c r="CV1229" s="2867"/>
      <c r="CW1229" s="2867"/>
    </row>
    <row r="1230" spans="1:101">
      <c r="A1230" s="2867"/>
      <c r="B1230" s="2867"/>
      <c r="C1230" s="2867"/>
      <c r="D1230" s="2867"/>
      <c r="E1230" s="2867"/>
      <c r="F1230" s="2867"/>
      <c r="G1230" s="2867"/>
      <c r="H1230" s="2867"/>
      <c r="I1230" s="2867"/>
      <c r="J1230" s="2867"/>
      <c r="K1230" s="2867"/>
      <c r="L1230" s="2867"/>
      <c r="M1230" s="2867"/>
      <c r="O1230" s="2867"/>
      <c r="P1230" s="2867"/>
      <c r="Q1230" s="2867"/>
      <c r="R1230" s="2867"/>
      <c r="S1230" s="2867"/>
      <c r="T1230" s="2867"/>
      <c r="U1230" s="2867"/>
      <c r="V1230" s="2867"/>
      <c r="W1230" s="2867"/>
      <c r="X1230" s="2867"/>
      <c r="Y1230" s="2867"/>
      <c r="Z1230" s="2867"/>
      <c r="AA1230" s="2867"/>
      <c r="AB1230" s="2867"/>
      <c r="AC1230" s="2867"/>
      <c r="AD1230" s="2867"/>
      <c r="AE1230" s="2867"/>
      <c r="AF1230" s="2867"/>
      <c r="AG1230" s="2867"/>
      <c r="AH1230" s="2867"/>
      <c r="AI1230" s="2867"/>
      <c r="AJ1230" s="2867"/>
      <c r="AK1230" s="2867"/>
      <c r="AL1230" s="2867"/>
      <c r="AM1230" s="2867"/>
      <c r="AN1230" s="2867"/>
      <c r="AO1230" s="2867"/>
      <c r="AP1230" s="2867"/>
      <c r="AQ1230" s="2867"/>
      <c r="AR1230" s="2867"/>
      <c r="AS1230" s="2867"/>
      <c r="AT1230" s="2867"/>
      <c r="AU1230" s="2867"/>
      <c r="AV1230" s="2867"/>
      <c r="AW1230" s="2867"/>
      <c r="AX1230" s="2867"/>
      <c r="AY1230" s="2867"/>
      <c r="AZ1230" s="2867"/>
      <c r="BA1230" s="2867"/>
      <c r="BB1230" s="2867"/>
      <c r="BC1230" s="2867"/>
      <c r="BD1230" s="2867"/>
      <c r="BE1230" s="2867"/>
      <c r="BF1230" s="2867"/>
      <c r="BG1230" s="2867"/>
      <c r="BH1230" s="2867"/>
      <c r="BI1230" s="2867"/>
      <c r="BJ1230" s="2867"/>
      <c r="BK1230" s="2867"/>
      <c r="BL1230" s="2867"/>
      <c r="BM1230" s="2867"/>
      <c r="BN1230" s="2867"/>
      <c r="BO1230" s="2867"/>
      <c r="BP1230" s="2867"/>
      <c r="BQ1230" s="2867"/>
      <c r="BR1230" s="2867"/>
      <c r="BS1230" s="2867"/>
      <c r="BT1230" s="2867"/>
      <c r="BU1230" s="2867"/>
      <c r="BV1230" s="2867"/>
      <c r="BW1230" s="2867"/>
      <c r="BX1230" s="2867"/>
      <c r="BY1230" s="2867"/>
      <c r="BZ1230" s="2867"/>
      <c r="CA1230" s="2867"/>
      <c r="CB1230" s="2867"/>
      <c r="CC1230" s="2867"/>
      <c r="CD1230" s="2867"/>
      <c r="CE1230" s="2867"/>
      <c r="CF1230" s="2867"/>
      <c r="CG1230" s="2867"/>
      <c r="CH1230" s="2867"/>
      <c r="CI1230" s="2867"/>
      <c r="CJ1230" s="2867"/>
      <c r="CK1230" s="2867"/>
      <c r="CL1230" s="2867"/>
      <c r="CM1230" s="2867"/>
      <c r="CN1230" s="2867"/>
      <c r="CO1230" s="2867"/>
      <c r="CP1230" s="2867"/>
      <c r="CQ1230" s="2867"/>
      <c r="CR1230" s="2867"/>
      <c r="CS1230" s="2867"/>
      <c r="CT1230" s="2867"/>
      <c r="CU1230" s="2867"/>
      <c r="CV1230" s="2867"/>
      <c r="CW1230" s="2867"/>
    </row>
    <row r="1231" spans="1:101">
      <c r="A1231" s="2867"/>
      <c r="B1231" s="2867"/>
      <c r="C1231" s="2867"/>
      <c r="D1231" s="2867"/>
      <c r="E1231" s="2867"/>
      <c r="F1231" s="2867"/>
      <c r="G1231" s="2867"/>
      <c r="H1231" s="2867"/>
      <c r="I1231" s="2867"/>
      <c r="J1231" s="2867"/>
      <c r="K1231" s="2867"/>
      <c r="L1231" s="2867"/>
      <c r="M1231" s="2867"/>
      <c r="O1231" s="2867"/>
      <c r="P1231" s="2867"/>
      <c r="Q1231" s="2867"/>
      <c r="R1231" s="2867"/>
      <c r="S1231" s="2867"/>
      <c r="T1231" s="2867"/>
      <c r="U1231" s="2867"/>
      <c r="V1231" s="2867"/>
      <c r="W1231" s="2867"/>
      <c r="X1231" s="2867"/>
      <c r="Y1231" s="2867"/>
      <c r="Z1231" s="2867"/>
      <c r="AA1231" s="2867"/>
      <c r="AB1231" s="2867"/>
      <c r="AC1231" s="2867"/>
      <c r="AD1231" s="2867"/>
      <c r="AE1231" s="2867"/>
      <c r="AF1231" s="2867"/>
      <c r="AG1231" s="2867"/>
      <c r="AH1231" s="2867"/>
      <c r="AI1231" s="2867"/>
      <c r="AJ1231" s="2867"/>
      <c r="AK1231" s="2867"/>
      <c r="AL1231" s="2867"/>
      <c r="AM1231" s="2867"/>
      <c r="AN1231" s="2867"/>
      <c r="AO1231" s="2867"/>
      <c r="AP1231" s="2867"/>
      <c r="AQ1231" s="2867"/>
      <c r="AR1231" s="2867"/>
      <c r="AS1231" s="2867"/>
      <c r="AT1231" s="2867"/>
      <c r="AU1231" s="2867"/>
      <c r="AV1231" s="2867"/>
      <c r="AW1231" s="2867"/>
      <c r="AX1231" s="2867"/>
      <c r="AY1231" s="2867"/>
      <c r="AZ1231" s="2867"/>
      <c r="BA1231" s="2867"/>
      <c r="BB1231" s="2867"/>
      <c r="BC1231" s="2867"/>
      <c r="BD1231" s="2867"/>
      <c r="BE1231" s="2867"/>
      <c r="BF1231" s="2867"/>
      <c r="BG1231" s="2867"/>
      <c r="BH1231" s="2867"/>
      <c r="BI1231" s="2867"/>
      <c r="BJ1231" s="2867"/>
      <c r="BK1231" s="2867"/>
      <c r="BL1231" s="2867"/>
      <c r="BM1231" s="2867"/>
      <c r="BN1231" s="2867"/>
      <c r="BO1231" s="2867"/>
      <c r="BP1231" s="2867"/>
      <c r="BQ1231" s="2867"/>
      <c r="BR1231" s="2867"/>
      <c r="BS1231" s="2867"/>
      <c r="BT1231" s="2867"/>
      <c r="BU1231" s="2867"/>
      <c r="BV1231" s="2867"/>
      <c r="BW1231" s="2867"/>
      <c r="BX1231" s="2867"/>
      <c r="BY1231" s="2867"/>
      <c r="BZ1231" s="2867"/>
      <c r="CA1231" s="2867"/>
      <c r="CB1231" s="2867"/>
      <c r="CC1231" s="2867"/>
      <c r="CD1231" s="2867"/>
      <c r="CE1231" s="2867"/>
      <c r="CF1231" s="2867"/>
      <c r="CG1231" s="2867"/>
      <c r="CH1231" s="2867"/>
      <c r="CI1231" s="2867"/>
      <c r="CJ1231" s="2867"/>
      <c r="CK1231" s="2867"/>
      <c r="CL1231" s="2867"/>
      <c r="CM1231" s="2867"/>
      <c r="CN1231" s="2867"/>
      <c r="CO1231" s="2867"/>
      <c r="CP1231" s="2867"/>
      <c r="CQ1231" s="2867"/>
      <c r="CR1231" s="2867"/>
      <c r="CS1231" s="2867"/>
      <c r="CT1231" s="2867"/>
      <c r="CU1231" s="2867"/>
      <c r="CV1231" s="2867"/>
      <c r="CW1231" s="2867"/>
    </row>
    <row r="1232" spans="1:101">
      <c r="A1232" s="2867"/>
      <c r="B1232" s="2867"/>
      <c r="C1232" s="2867"/>
      <c r="D1232" s="2867"/>
      <c r="E1232" s="2867"/>
      <c r="F1232" s="2867"/>
      <c r="G1232" s="2867"/>
      <c r="H1232" s="2867"/>
      <c r="I1232" s="2867"/>
      <c r="J1232" s="2867"/>
      <c r="K1232" s="2867"/>
      <c r="L1232" s="2867"/>
      <c r="M1232" s="2867"/>
      <c r="O1232" s="2867"/>
      <c r="P1232" s="2867"/>
      <c r="Q1232" s="2867"/>
      <c r="R1232" s="2867"/>
      <c r="S1232" s="2867"/>
      <c r="T1232" s="2867"/>
      <c r="U1232" s="2867"/>
      <c r="V1232" s="2867"/>
      <c r="W1232" s="2867"/>
      <c r="X1232" s="2867"/>
      <c r="Y1232" s="2867"/>
      <c r="Z1232" s="2867"/>
      <c r="AA1232" s="2867"/>
      <c r="AB1232" s="2867"/>
      <c r="AC1232" s="2867"/>
      <c r="AD1232" s="2867"/>
      <c r="AE1232" s="2867"/>
      <c r="AF1232" s="2867"/>
      <c r="AG1232" s="2867"/>
      <c r="AH1232" s="2867"/>
      <c r="AI1232" s="2867"/>
      <c r="AJ1232" s="2867"/>
      <c r="AK1232" s="2867"/>
      <c r="AL1232" s="2867"/>
      <c r="AM1232" s="2867"/>
      <c r="AN1232" s="2867"/>
      <c r="AO1232" s="2867"/>
      <c r="AP1232" s="2867"/>
      <c r="AQ1232" s="2867"/>
      <c r="AR1232" s="2867"/>
      <c r="AS1232" s="2867"/>
      <c r="AT1232" s="2867"/>
      <c r="AU1232" s="2867"/>
      <c r="AV1232" s="2867"/>
      <c r="AW1232" s="2867"/>
      <c r="AX1232" s="2867"/>
      <c r="AY1232" s="2867"/>
      <c r="AZ1232" s="2867"/>
      <c r="BA1232" s="2867"/>
      <c r="BB1232" s="2867"/>
      <c r="BC1232" s="2867"/>
      <c r="BD1232" s="2867"/>
      <c r="BE1232" s="2867"/>
      <c r="BF1232" s="2867"/>
      <c r="BG1232" s="2867"/>
      <c r="BH1232" s="2867"/>
      <c r="BI1232" s="2867"/>
      <c r="BJ1232" s="2867"/>
      <c r="BK1232" s="2867"/>
      <c r="BL1232" s="2867"/>
      <c r="BM1232" s="2867"/>
      <c r="BN1232" s="2867"/>
      <c r="BO1232" s="2867"/>
      <c r="BP1232" s="2867"/>
      <c r="BQ1232" s="2867"/>
      <c r="BR1232" s="2867"/>
      <c r="BS1232" s="2867"/>
      <c r="BT1232" s="2867"/>
      <c r="BU1232" s="2867"/>
      <c r="BV1232" s="2867"/>
      <c r="BW1232" s="2867"/>
      <c r="BX1232" s="2867"/>
      <c r="BY1232" s="2867"/>
      <c r="BZ1232" s="2867"/>
      <c r="CA1232" s="2867"/>
      <c r="CB1232" s="2867"/>
      <c r="CC1232" s="2867"/>
      <c r="CD1232" s="2867"/>
      <c r="CE1232" s="2867"/>
      <c r="CF1232" s="2867"/>
      <c r="CG1232" s="2867"/>
      <c r="CH1232" s="2867"/>
      <c r="CI1232" s="2867"/>
      <c r="CJ1232" s="2867"/>
      <c r="CK1232" s="2867"/>
      <c r="CL1232" s="2867"/>
      <c r="CM1232" s="2867"/>
      <c r="CN1232" s="2867"/>
      <c r="CO1232" s="2867"/>
      <c r="CP1232" s="2867"/>
      <c r="CQ1232" s="2867"/>
      <c r="CR1232" s="2867"/>
      <c r="CS1232" s="2867"/>
      <c r="CT1232" s="2867"/>
      <c r="CU1232" s="2867"/>
      <c r="CV1232" s="2867"/>
      <c r="CW1232" s="2867"/>
    </row>
    <row r="1233" spans="1:101">
      <c r="A1233" s="2867"/>
      <c r="B1233" s="2867"/>
      <c r="C1233" s="2867"/>
      <c r="D1233" s="2867"/>
      <c r="E1233" s="2867"/>
      <c r="F1233" s="2867"/>
      <c r="G1233" s="2867"/>
      <c r="H1233" s="2867"/>
      <c r="I1233" s="2867"/>
      <c r="J1233" s="2867"/>
      <c r="K1233" s="2867"/>
      <c r="L1233" s="2867"/>
      <c r="M1233" s="2867"/>
      <c r="O1233" s="2867"/>
      <c r="P1233" s="2867"/>
      <c r="Q1233" s="2867"/>
      <c r="R1233" s="2867"/>
      <c r="S1233" s="2867"/>
      <c r="T1233" s="2867"/>
      <c r="U1233" s="2867"/>
      <c r="V1233" s="2867"/>
      <c r="W1233" s="2867"/>
      <c r="X1233" s="2867"/>
      <c r="Y1233" s="2867"/>
      <c r="Z1233" s="2867"/>
      <c r="AA1233" s="2867"/>
      <c r="AB1233" s="2867"/>
      <c r="AC1233" s="2867"/>
      <c r="AD1233" s="2867"/>
      <c r="AE1233" s="2867"/>
      <c r="AF1233" s="2867"/>
      <c r="AG1233" s="2867"/>
      <c r="AH1233" s="2867"/>
      <c r="AI1233" s="2867"/>
      <c r="AJ1233" s="2867"/>
      <c r="AK1233" s="2867"/>
      <c r="AL1233" s="2867"/>
      <c r="AM1233" s="2867"/>
      <c r="AN1233" s="2867"/>
      <c r="AO1233" s="2867"/>
      <c r="AP1233" s="2867"/>
      <c r="AQ1233" s="2867"/>
      <c r="AR1233" s="2867"/>
      <c r="AS1233" s="2867"/>
      <c r="AT1233" s="2867"/>
      <c r="AU1233" s="2867"/>
      <c r="AV1233" s="2867"/>
      <c r="AW1233" s="2867"/>
      <c r="AX1233" s="2867"/>
      <c r="AY1233" s="2867"/>
      <c r="AZ1233" s="2867"/>
      <c r="BA1233" s="2867"/>
      <c r="BB1233" s="2867"/>
      <c r="BC1233" s="2867"/>
      <c r="BD1233" s="2867"/>
      <c r="BE1233" s="2867"/>
      <c r="BF1233" s="2867"/>
      <c r="BG1233" s="2867"/>
      <c r="BH1233" s="2867"/>
      <c r="BI1233" s="2867"/>
      <c r="BJ1233" s="2867"/>
      <c r="BK1233" s="2867"/>
      <c r="BL1233" s="2867"/>
      <c r="BM1233" s="2867"/>
      <c r="BN1233" s="2867"/>
      <c r="BO1233" s="2867"/>
      <c r="BP1233" s="2867"/>
      <c r="BQ1233" s="2867"/>
      <c r="BR1233" s="2867"/>
      <c r="BS1233" s="2867"/>
      <c r="BT1233" s="2867"/>
      <c r="BU1233" s="2867"/>
      <c r="BV1233" s="2867"/>
      <c r="BW1233" s="2867"/>
      <c r="BX1233" s="2867"/>
      <c r="BY1233" s="2867"/>
      <c r="BZ1233" s="2867"/>
      <c r="CA1233" s="2867"/>
      <c r="CB1233" s="2867"/>
      <c r="CC1233" s="2867"/>
      <c r="CD1233" s="2867"/>
      <c r="CE1233" s="2867"/>
      <c r="CF1233" s="2867"/>
      <c r="CG1233" s="2867"/>
      <c r="CH1233" s="2867"/>
      <c r="CI1233" s="2867"/>
      <c r="CJ1233" s="2867"/>
      <c r="CK1233" s="2867"/>
      <c r="CL1233" s="2867"/>
      <c r="CM1233" s="2867"/>
      <c r="CN1233" s="2867"/>
      <c r="CO1233" s="2867"/>
      <c r="CP1233" s="2867"/>
      <c r="CQ1233" s="2867"/>
      <c r="CR1233" s="2867"/>
      <c r="CS1233" s="2867"/>
      <c r="CT1233" s="2867"/>
      <c r="CU1233" s="2867"/>
      <c r="CV1233" s="2867"/>
      <c r="CW1233" s="2867"/>
    </row>
    <row r="1234" spans="1:101">
      <c r="A1234" s="2867"/>
      <c r="B1234" s="2867"/>
      <c r="C1234" s="2867"/>
      <c r="D1234" s="2867"/>
      <c r="E1234" s="2867"/>
      <c r="F1234" s="2867"/>
      <c r="G1234" s="2867"/>
      <c r="H1234" s="2867"/>
      <c r="I1234" s="2867"/>
      <c r="J1234" s="2867"/>
      <c r="K1234" s="2867"/>
      <c r="L1234" s="2867"/>
      <c r="M1234" s="2867"/>
      <c r="O1234" s="2867"/>
      <c r="P1234" s="2867"/>
      <c r="Q1234" s="2867"/>
      <c r="R1234" s="2867"/>
      <c r="S1234" s="2867"/>
      <c r="T1234" s="2867"/>
      <c r="U1234" s="2867"/>
      <c r="V1234" s="2867"/>
      <c r="W1234" s="2867"/>
      <c r="X1234" s="2867"/>
      <c r="Y1234" s="2867"/>
      <c r="Z1234" s="2867"/>
      <c r="AA1234" s="2867"/>
      <c r="AB1234" s="2867"/>
      <c r="AC1234" s="2867"/>
      <c r="AD1234" s="2867"/>
      <c r="AE1234" s="2867"/>
      <c r="AF1234" s="2867"/>
      <c r="AG1234" s="2867"/>
      <c r="AH1234" s="2867"/>
      <c r="AI1234" s="2867"/>
      <c r="AJ1234" s="2867"/>
      <c r="AK1234" s="2867"/>
      <c r="AL1234" s="2867"/>
      <c r="AM1234" s="2867"/>
      <c r="AN1234" s="2867"/>
      <c r="AO1234" s="2867"/>
      <c r="AP1234" s="2867"/>
      <c r="AQ1234" s="2867"/>
      <c r="AR1234" s="2867"/>
      <c r="AS1234" s="2867"/>
      <c r="AT1234" s="2867"/>
      <c r="AU1234" s="2867"/>
      <c r="AV1234" s="2867"/>
      <c r="AW1234" s="2867"/>
      <c r="AX1234" s="2867"/>
      <c r="AY1234" s="2867"/>
      <c r="AZ1234" s="2867"/>
      <c r="BA1234" s="2867"/>
      <c r="BB1234" s="2867"/>
      <c r="BC1234" s="2867"/>
      <c r="BD1234" s="2867"/>
      <c r="BE1234" s="2867"/>
      <c r="BF1234" s="2867"/>
      <c r="BG1234" s="2867"/>
      <c r="BH1234" s="2867"/>
      <c r="BI1234" s="2867"/>
      <c r="BJ1234" s="2867"/>
      <c r="BK1234" s="2867"/>
      <c r="BL1234" s="2867"/>
      <c r="BM1234" s="2867"/>
      <c r="BN1234" s="2867"/>
      <c r="BO1234" s="2867"/>
      <c r="BP1234" s="2867"/>
      <c r="BQ1234" s="2867"/>
      <c r="BR1234" s="2867"/>
      <c r="BS1234" s="2867"/>
      <c r="BT1234" s="2867"/>
      <c r="BU1234" s="2867"/>
      <c r="BV1234" s="2867"/>
      <c r="BW1234" s="2867"/>
      <c r="BX1234" s="2867"/>
      <c r="BY1234" s="2867"/>
      <c r="BZ1234" s="2867"/>
      <c r="CA1234" s="2867"/>
      <c r="CB1234" s="2867"/>
      <c r="CC1234" s="2867"/>
      <c r="CD1234" s="2867"/>
      <c r="CE1234" s="2867"/>
      <c r="CF1234" s="2867"/>
      <c r="CG1234" s="2867"/>
      <c r="CH1234" s="2867"/>
      <c r="CI1234" s="2867"/>
      <c r="CJ1234" s="2867"/>
      <c r="CK1234" s="2867"/>
      <c r="CL1234" s="2867"/>
      <c r="CM1234" s="2867"/>
      <c r="CN1234" s="2867"/>
      <c r="CO1234" s="2867"/>
      <c r="CP1234" s="2867"/>
      <c r="CQ1234" s="2867"/>
      <c r="CR1234" s="2867"/>
      <c r="CS1234" s="2867"/>
      <c r="CT1234" s="2867"/>
      <c r="CU1234" s="2867"/>
      <c r="CV1234" s="2867"/>
      <c r="CW1234" s="2867"/>
    </row>
    <row r="1235" spans="1:101">
      <c r="A1235" s="2867"/>
      <c r="B1235" s="2867"/>
      <c r="C1235" s="2867"/>
      <c r="D1235" s="2867"/>
      <c r="E1235" s="2867"/>
      <c r="F1235" s="2867"/>
      <c r="G1235" s="2867"/>
      <c r="H1235" s="2867"/>
      <c r="I1235" s="2867"/>
      <c r="J1235" s="2867"/>
      <c r="K1235" s="2867"/>
      <c r="L1235" s="2867"/>
      <c r="M1235" s="2867"/>
      <c r="O1235" s="2867"/>
      <c r="P1235" s="2867"/>
      <c r="Q1235" s="2867"/>
      <c r="R1235" s="2867"/>
      <c r="S1235" s="2867"/>
      <c r="T1235" s="2867"/>
      <c r="U1235" s="2867"/>
      <c r="V1235" s="2867"/>
      <c r="W1235" s="2867"/>
      <c r="X1235" s="2867"/>
      <c r="Y1235" s="2867"/>
      <c r="Z1235" s="2867"/>
      <c r="AA1235" s="2867"/>
      <c r="AB1235" s="2867"/>
      <c r="AC1235" s="2867"/>
      <c r="AD1235" s="2867"/>
      <c r="AE1235" s="2867"/>
      <c r="AF1235" s="2867"/>
      <c r="AG1235" s="2867"/>
      <c r="AH1235" s="2867"/>
      <c r="AI1235" s="2867"/>
      <c r="AJ1235" s="2867"/>
      <c r="AK1235" s="2867"/>
      <c r="AL1235" s="2867"/>
      <c r="AM1235" s="2867"/>
      <c r="AN1235" s="2867"/>
      <c r="AO1235" s="2867"/>
      <c r="AP1235" s="2867"/>
      <c r="AQ1235" s="2867"/>
      <c r="AR1235" s="2867"/>
      <c r="AS1235" s="2867"/>
      <c r="AT1235" s="2867"/>
      <c r="AU1235" s="2867"/>
      <c r="AV1235" s="2867"/>
      <c r="AW1235" s="2867"/>
      <c r="AX1235" s="2867"/>
      <c r="AY1235" s="2867"/>
      <c r="AZ1235" s="2867"/>
      <c r="BA1235" s="2867"/>
      <c r="BB1235" s="2867"/>
      <c r="BC1235" s="2867"/>
      <c r="BD1235" s="2867"/>
      <c r="BE1235" s="2867"/>
      <c r="BF1235" s="2867"/>
      <c r="BG1235" s="2867"/>
      <c r="BH1235" s="2867"/>
      <c r="BI1235" s="2867"/>
      <c r="BJ1235" s="2867"/>
      <c r="BK1235" s="2867"/>
      <c r="BL1235" s="2867"/>
      <c r="BM1235" s="2867"/>
      <c r="BN1235" s="2867"/>
      <c r="BO1235" s="2867"/>
      <c r="BP1235" s="2867"/>
      <c r="BQ1235" s="2867"/>
      <c r="BR1235" s="2867"/>
      <c r="BS1235" s="2867"/>
      <c r="BT1235" s="2867"/>
      <c r="BU1235" s="2867"/>
      <c r="BV1235" s="2867"/>
      <c r="BW1235" s="2867"/>
      <c r="BX1235" s="2867"/>
      <c r="BY1235" s="2867"/>
      <c r="BZ1235" s="2867"/>
      <c r="CA1235" s="2867"/>
      <c r="CB1235" s="2867"/>
      <c r="CC1235" s="2867"/>
      <c r="CD1235" s="2867"/>
      <c r="CE1235" s="2867"/>
      <c r="CF1235" s="2867"/>
      <c r="CG1235" s="2867"/>
      <c r="CH1235" s="2867"/>
      <c r="CI1235" s="2867"/>
      <c r="CJ1235" s="2867"/>
      <c r="CK1235" s="2867"/>
      <c r="CL1235" s="2867"/>
      <c r="CM1235" s="2867"/>
      <c r="CN1235" s="2867"/>
      <c r="CO1235" s="2867"/>
      <c r="CP1235" s="2867"/>
      <c r="CQ1235" s="2867"/>
      <c r="CR1235" s="2867"/>
      <c r="CS1235" s="2867"/>
      <c r="CT1235" s="2867"/>
      <c r="CU1235" s="2867"/>
      <c r="CV1235" s="2867"/>
      <c r="CW1235" s="2867"/>
    </row>
    <row r="1236" spans="1:101">
      <c r="A1236" s="2867"/>
      <c r="B1236" s="2867"/>
      <c r="C1236" s="2867"/>
      <c r="D1236" s="2867"/>
      <c r="E1236" s="2867"/>
      <c r="F1236" s="2867"/>
      <c r="G1236" s="2867"/>
      <c r="H1236" s="2867"/>
      <c r="I1236" s="2867"/>
      <c r="J1236" s="2867"/>
      <c r="K1236" s="2867"/>
      <c r="L1236" s="2867"/>
      <c r="M1236" s="2867"/>
      <c r="O1236" s="2867"/>
      <c r="P1236" s="2867"/>
      <c r="Q1236" s="2867"/>
      <c r="R1236" s="2867"/>
      <c r="S1236" s="2867"/>
      <c r="T1236" s="2867"/>
      <c r="U1236" s="2867"/>
      <c r="V1236" s="2867"/>
      <c r="W1236" s="2867"/>
      <c r="X1236" s="2867"/>
      <c r="Y1236" s="2867"/>
      <c r="Z1236" s="2867"/>
      <c r="AA1236" s="2867"/>
      <c r="AB1236" s="2867"/>
      <c r="AC1236" s="2867"/>
      <c r="AD1236" s="2867"/>
      <c r="AE1236" s="2867"/>
      <c r="AF1236" s="2867"/>
      <c r="AG1236" s="2867"/>
      <c r="AH1236" s="2867"/>
      <c r="AI1236" s="2867"/>
      <c r="AJ1236" s="2867"/>
      <c r="AK1236" s="2867"/>
      <c r="AL1236" s="2867"/>
      <c r="AM1236" s="2867"/>
      <c r="AN1236" s="2867"/>
      <c r="AO1236" s="2867"/>
      <c r="AP1236" s="2867"/>
      <c r="AQ1236" s="2867"/>
      <c r="AR1236" s="2867"/>
      <c r="AS1236" s="2867"/>
      <c r="AT1236" s="2867"/>
      <c r="AU1236" s="2867"/>
      <c r="AV1236" s="2867"/>
      <c r="AW1236" s="2867"/>
      <c r="AX1236" s="2867"/>
      <c r="AY1236" s="2867"/>
      <c r="AZ1236" s="2867"/>
      <c r="BA1236" s="2867"/>
      <c r="BB1236" s="2867"/>
      <c r="BC1236" s="2867"/>
      <c r="BD1236" s="2867"/>
      <c r="BE1236" s="2867"/>
      <c r="BF1236" s="2867"/>
      <c r="BG1236" s="2867"/>
      <c r="BH1236" s="2867"/>
      <c r="BI1236" s="2867"/>
      <c r="BJ1236" s="2867"/>
      <c r="BK1236" s="2867"/>
      <c r="BL1236" s="2867"/>
      <c r="BM1236" s="2867"/>
      <c r="BN1236" s="2867"/>
      <c r="BO1236" s="2867"/>
      <c r="BP1236" s="2867"/>
      <c r="BQ1236" s="2867"/>
      <c r="BR1236" s="2867"/>
      <c r="BS1236" s="2867"/>
      <c r="BT1236" s="2867"/>
      <c r="BU1236" s="2867"/>
      <c r="BV1236" s="2867"/>
      <c r="BW1236" s="2867"/>
      <c r="BX1236" s="2867"/>
      <c r="BY1236" s="2867"/>
      <c r="BZ1236" s="2867"/>
      <c r="CA1236" s="2867"/>
      <c r="CB1236" s="2867"/>
      <c r="CC1236" s="2867"/>
      <c r="CD1236" s="2867"/>
      <c r="CE1236" s="2867"/>
      <c r="CF1236" s="2867"/>
      <c r="CG1236" s="2867"/>
      <c r="CH1236" s="2867"/>
      <c r="CI1236" s="2867"/>
      <c r="CJ1236" s="2867"/>
      <c r="CK1236" s="2867"/>
      <c r="CL1236" s="2867"/>
      <c r="CM1236" s="2867"/>
      <c r="CN1236" s="2867"/>
      <c r="CO1236" s="2867"/>
      <c r="CP1236" s="2867"/>
      <c r="CQ1236" s="2867"/>
      <c r="CR1236" s="2867"/>
      <c r="CS1236" s="2867"/>
      <c r="CT1236" s="2867"/>
      <c r="CU1236" s="2867"/>
      <c r="CV1236" s="2867"/>
      <c r="CW1236" s="2867"/>
    </row>
    <row r="1237" spans="1:101">
      <c r="A1237" s="2867"/>
      <c r="B1237" s="2867"/>
      <c r="C1237" s="2867"/>
      <c r="D1237" s="2867"/>
      <c r="E1237" s="2867"/>
      <c r="F1237" s="2867"/>
      <c r="G1237" s="2867"/>
      <c r="H1237" s="2867"/>
      <c r="I1237" s="2867"/>
      <c r="J1237" s="2867"/>
      <c r="K1237" s="2867"/>
      <c r="L1237" s="2867"/>
      <c r="M1237" s="2867"/>
      <c r="O1237" s="2867"/>
      <c r="P1237" s="2867"/>
      <c r="Q1237" s="2867"/>
      <c r="R1237" s="2867"/>
      <c r="S1237" s="2867"/>
      <c r="T1237" s="2867"/>
      <c r="U1237" s="2867"/>
      <c r="V1237" s="2867"/>
      <c r="W1237" s="2867"/>
      <c r="X1237" s="2867"/>
      <c r="Y1237" s="2867"/>
      <c r="Z1237" s="2867"/>
      <c r="AA1237" s="2867"/>
      <c r="AB1237" s="2867"/>
      <c r="AC1237" s="2867"/>
      <c r="AD1237" s="2867"/>
      <c r="AE1237" s="2867"/>
      <c r="AF1237" s="2867"/>
      <c r="AG1237" s="2867"/>
      <c r="AH1237" s="2867"/>
      <c r="AI1237" s="2867"/>
      <c r="AJ1237" s="2867"/>
      <c r="AK1237" s="2867"/>
      <c r="AL1237" s="2867"/>
      <c r="AM1237" s="2867"/>
      <c r="AN1237" s="2867"/>
      <c r="AO1237" s="2867"/>
      <c r="AP1237" s="2867"/>
      <c r="AQ1237" s="2867"/>
      <c r="AR1237" s="2867"/>
      <c r="AS1237" s="2867"/>
      <c r="AT1237" s="2867"/>
      <c r="AU1237" s="2867"/>
      <c r="AV1237" s="2867"/>
      <c r="AW1237" s="2867"/>
      <c r="AX1237" s="2867"/>
      <c r="AY1237" s="2867"/>
      <c r="AZ1237" s="2867"/>
      <c r="BA1237" s="2867"/>
      <c r="BB1237" s="2867"/>
      <c r="BC1237" s="2867"/>
      <c r="BD1237" s="2867"/>
      <c r="BE1237" s="2867"/>
      <c r="BF1237" s="2867"/>
      <c r="BG1237" s="2867"/>
      <c r="BH1237" s="2867"/>
      <c r="BI1237" s="2867"/>
      <c r="BJ1237" s="2867"/>
      <c r="BK1237" s="2867"/>
      <c r="BL1237" s="2867"/>
      <c r="BM1237" s="2867"/>
      <c r="BN1237" s="2867"/>
      <c r="BO1237" s="2867"/>
      <c r="BP1237" s="2867"/>
      <c r="BQ1237" s="2867"/>
      <c r="BR1237" s="2867"/>
      <c r="BS1237" s="2867"/>
      <c r="BT1237" s="2867"/>
      <c r="BU1237" s="2867"/>
      <c r="BV1237" s="2867"/>
      <c r="BW1237" s="2867"/>
      <c r="BX1237" s="2867"/>
      <c r="BY1237" s="2867"/>
      <c r="BZ1237" s="2867"/>
      <c r="CA1237" s="2867"/>
      <c r="CB1237" s="2867"/>
      <c r="CC1237" s="2867"/>
      <c r="CD1237" s="2867"/>
      <c r="CE1237" s="2867"/>
      <c r="CF1237" s="2867"/>
      <c r="CG1237" s="2867"/>
      <c r="CH1237" s="2867"/>
      <c r="CI1237" s="2867"/>
      <c r="CJ1237" s="2867"/>
      <c r="CK1237" s="2867"/>
      <c r="CL1237" s="2867"/>
      <c r="CM1237" s="2867"/>
      <c r="CN1237" s="2867"/>
      <c r="CO1237" s="2867"/>
      <c r="CP1237" s="2867"/>
      <c r="CQ1237" s="2867"/>
      <c r="CR1237" s="2867"/>
      <c r="CS1237" s="2867"/>
      <c r="CT1237" s="2867"/>
      <c r="CU1237" s="2867"/>
      <c r="CV1237" s="2867"/>
      <c r="CW1237" s="2867"/>
    </row>
    <row r="1238" spans="1:101">
      <c r="A1238" s="2867"/>
      <c r="B1238" s="2867"/>
      <c r="C1238" s="2867"/>
      <c r="D1238" s="2867"/>
      <c r="E1238" s="2867"/>
      <c r="F1238" s="2867"/>
      <c r="G1238" s="2867"/>
      <c r="H1238" s="2867"/>
      <c r="I1238" s="2867"/>
      <c r="J1238" s="2867"/>
      <c r="K1238" s="2867"/>
      <c r="L1238" s="2867"/>
      <c r="M1238" s="2867"/>
      <c r="O1238" s="2867"/>
      <c r="P1238" s="2867"/>
      <c r="Q1238" s="2867"/>
      <c r="R1238" s="2867"/>
      <c r="S1238" s="2867"/>
      <c r="T1238" s="2867"/>
      <c r="U1238" s="2867"/>
      <c r="V1238" s="2867"/>
      <c r="W1238" s="2867"/>
      <c r="X1238" s="2867"/>
      <c r="Y1238" s="2867"/>
      <c r="Z1238" s="2867"/>
      <c r="AA1238" s="2867"/>
      <c r="AB1238" s="2867"/>
      <c r="AC1238" s="2867"/>
      <c r="AD1238" s="2867"/>
      <c r="AE1238" s="2867"/>
      <c r="AF1238" s="2867"/>
      <c r="AG1238" s="2867"/>
      <c r="AH1238" s="2867"/>
      <c r="AI1238" s="2867"/>
      <c r="AJ1238" s="2867"/>
      <c r="AK1238" s="2867"/>
      <c r="AL1238" s="2867"/>
      <c r="AM1238" s="2867"/>
      <c r="AN1238" s="2867"/>
      <c r="AO1238" s="2867"/>
      <c r="AP1238" s="2867"/>
      <c r="AQ1238" s="2867"/>
      <c r="AR1238" s="2867"/>
      <c r="AS1238" s="2867"/>
      <c r="AT1238" s="2867"/>
      <c r="AU1238" s="2867"/>
      <c r="AV1238" s="2867"/>
      <c r="AW1238" s="2867"/>
      <c r="AX1238" s="2867"/>
      <c r="AY1238" s="2867"/>
      <c r="AZ1238" s="2867"/>
      <c r="BA1238" s="2867"/>
      <c r="BB1238" s="2867"/>
      <c r="BC1238" s="2867"/>
      <c r="BD1238" s="2867"/>
      <c r="BE1238" s="2867"/>
      <c r="BF1238" s="2867"/>
      <c r="BG1238" s="2867"/>
      <c r="BH1238" s="2867"/>
      <c r="BI1238" s="2867"/>
      <c r="BJ1238" s="2867"/>
      <c r="BK1238" s="2867"/>
      <c r="BL1238" s="2867"/>
      <c r="BM1238" s="2867"/>
      <c r="BN1238" s="2867"/>
      <c r="BO1238" s="2867"/>
      <c r="BP1238" s="2867"/>
      <c r="BQ1238" s="2867"/>
      <c r="BR1238" s="2867"/>
      <c r="BS1238" s="2867"/>
      <c r="BT1238" s="2867"/>
      <c r="BU1238" s="2867"/>
      <c r="BV1238" s="2867"/>
      <c r="BW1238" s="2867"/>
      <c r="BX1238" s="2867"/>
      <c r="BY1238" s="2867"/>
      <c r="BZ1238" s="2867"/>
      <c r="CA1238" s="2867"/>
      <c r="CB1238" s="2867"/>
      <c r="CC1238" s="2867"/>
      <c r="CD1238" s="2867"/>
      <c r="CE1238" s="2867"/>
      <c r="CF1238" s="2867"/>
      <c r="CG1238" s="2867"/>
      <c r="CH1238" s="2867"/>
      <c r="CI1238" s="2867"/>
      <c r="CJ1238" s="2867"/>
      <c r="CK1238" s="2867"/>
      <c r="CL1238" s="2867"/>
      <c r="CM1238" s="2867"/>
      <c r="CN1238" s="2867"/>
      <c r="CO1238" s="2867"/>
      <c r="CP1238" s="2867"/>
      <c r="CQ1238" s="2867"/>
      <c r="CR1238" s="2867"/>
      <c r="CS1238" s="2867"/>
      <c r="CT1238" s="2867"/>
      <c r="CU1238" s="2867"/>
      <c r="CV1238" s="2867"/>
      <c r="CW1238" s="2867"/>
    </row>
    <row r="1239" spans="1:101">
      <c r="A1239" s="2867"/>
      <c r="B1239" s="2867"/>
      <c r="C1239" s="2867"/>
      <c r="D1239" s="2867"/>
      <c r="E1239" s="2867"/>
      <c r="F1239" s="2867"/>
      <c r="G1239" s="2867"/>
      <c r="H1239" s="2867"/>
      <c r="I1239" s="2867"/>
      <c r="J1239" s="2867"/>
      <c r="K1239" s="2867"/>
      <c r="L1239" s="2867"/>
      <c r="M1239" s="2867"/>
      <c r="O1239" s="2867"/>
      <c r="P1239" s="2867"/>
      <c r="Q1239" s="2867"/>
      <c r="R1239" s="2867"/>
      <c r="S1239" s="2867"/>
      <c r="T1239" s="2867"/>
      <c r="U1239" s="2867"/>
      <c r="V1239" s="2867"/>
      <c r="W1239" s="2867"/>
      <c r="X1239" s="2867"/>
      <c r="Y1239" s="2867"/>
      <c r="Z1239" s="2867"/>
      <c r="AA1239" s="2867"/>
      <c r="AB1239" s="2867"/>
      <c r="AC1239" s="2867"/>
      <c r="AD1239" s="2867"/>
      <c r="AE1239" s="2867"/>
      <c r="AF1239" s="2867"/>
      <c r="AG1239" s="2867"/>
      <c r="AH1239" s="2867"/>
      <c r="AI1239" s="2867"/>
      <c r="AJ1239" s="2867"/>
      <c r="AK1239" s="2867"/>
      <c r="AL1239" s="2867"/>
      <c r="AM1239" s="2867"/>
      <c r="AN1239" s="2867"/>
      <c r="AO1239" s="2867"/>
      <c r="AP1239" s="2867"/>
      <c r="AQ1239" s="2867"/>
      <c r="AR1239" s="2867"/>
      <c r="AS1239" s="2867"/>
      <c r="AT1239" s="2867"/>
      <c r="AU1239" s="2867"/>
      <c r="AV1239" s="2867"/>
      <c r="AW1239" s="2867"/>
      <c r="AX1239" s="2867"/>
      <c r="AY1239" s="2867"/>
      <c r="AZ1239" s="2867"/>
      <c r="BA1239" s="2867"/>
      <c r="BB1239" s="2867"/>
      <c r="BC1239" s="2867"/>
      <c r="BD1239" s="2867"/>
      <c r="BE1239" s="2867"/>
      <c r="BF1239" s="2867"/>
      <c r="BG1239" s="2867"/>
      <c r="BH1239" s="2867"/>
      <c r="BI1239" s="2867"/>
      <c r="BJ1239" s="2867"/>
      <c r="BK1239" s="2867"/>
      <c r="BL1239" s="2867"/>
      <c r="BM1239" s="2867"/>
      <c r="BN1239" s="2867"/>
      <c r="BO1239" s="2867"/>
      <c r="BP1239" s="2867"/>
      <c r="BQ1239" s="2867"/>
      <c r="BR1239" s="2867"/>
      <c r="BS1239" s="2867"/>
      <c r="BT1239" s="2867"/>
      <c r="BU1239" s="2867"/>
      <c r="BV1239" s="2867"/>
      <c r="BW1239" s="2867"/>
      <c r="BX1239" s="2867"/>
      <c r="BY1239" s="2867"/>
      <c r="BZ1239" s="2867"/>
      <c r="CA1239" s="2867"/>
      <c r="CB1239" s="2867"/>
      <c r="CC1239" s="2867"/>
      <c r="CD1239" s="2867"/>
      <c r="CE1239" s="2867"/>
      <c r="CF1239" s="2867"/>
      <c r="CG1239" s="2867"/>
      <c r="CH1239" s="2867"/>
      <c r="CI1239" s="2867"/>
      <c r="CJ1239" s="2867"/>
      <c r="CK1239" s="2867"/>
      <c r="CL1239" s="2867"/>
      <c r="CM1239" s="2867"/>
      <c r="CN1239" s="2867"/>
      <c r="CO1239" s="2867"/>
      <c r="CP1239" s="2867"/>
      <c r="CQ1239" s="2867"/>
      <c r="CR1239" s="2867"/>
      <c r="CS1239" s="2867"/>
      <c r="CT1239" s="2867"/>
      <c r="CU1239" s="2867"/>
      <c r="CV1239" s="2867"/>
      <c r="CW1239" s="2867"/>
    </row>
    <row r="1240" spans="1:101">
      <c r="A1240" s="2867"/>
      <c r="B1240" s="2867"/>
      <c r="C1240" s="2867"/>
      <c r="D1240" s="2867"/>
      <c r="E1240" s="2867"/>
      <c r="F1240" s="2867"/>
      <c r="G1240" s="2867"/>
      <c r="H1240" s="2867"/>
      <c r="I1240" s="2867"/>
      <c r="J1240" s="2867"/>
      <c r="K1240" s="2867"/>
      <c r="L1240" s="2867"/>
      <c r="M1240" s="2867"/>
      <c r="O1240" s="2867"/>
      <c r="P1240" s="2867"/>
      <c r="Q1240" s="2867"/>
      <c r="R1240" s="2867"/>
      <c r="S1240" s="2867"/>
      <c r="T1240" s="2867"/>
      <c r="U1240" s="2867"/>
      <c r="V1240" s="2867"/>
      <c r="W1240" s="2867"/>
      <c r="X1240" s="2867"/>
      <c r="Y1240" s="2867"/>
      <c r="Z1240" s="2867"/>
      <c r="AA1240" s="2867"/>
      <c r="AB1240" s="2867"/>
      <c r="AC1240" s="2867"/>
      <c r="AD1240" s="2867"/>
      <c r="AE1240" s="2867"/>
      <c r="AF1240" s="2867"/>
      <c r="AG1240" s="2867"/>
      <c r="AH1240" s="2867"/>
      <c r="AI1240" s="2867"/>
      <c r="AJ1240" s="2867"/>
      <c r="AK1240" s="2867"/>
      <c r="AL1240" s="2867"/>
      <c r="AM1240" s="2867"/>
      <c r="AN1240" s="2867"/>
      <c r="AO1240" s="2867"/>
      <c r="AP1240" s="2867"/>
      <c r="AQ1240" s="2867"/>
      <c r="AR1240" s="2867"/>
      <c r="AS1240" s="2867"/>
      <c r="AT1240" s="2867"/>
      <c r="AU1240" s="2867"/>
      <c r="AV1240" s="2867"/>
      <c r="AW1240" s="2867"/>
      <c r="AX1240" s="2867"/>
      <c r="AY1240" s="2867"/>
      <c r="AZ1240" s="2867"/>
      <c r="BA1240" s="2867"/>
      <c r="BB1240" s="2867"/>
      <c r="BC1240" s="2867"/>
      <c r="BD1240" s="2867"/>
      <c r="BE1240" s="2867"/>
      <c r="BF1240" s="2867"/>
      <c r="BG1240" s="2867"/>
      <c r="BH1240" s="2867"/>
      <c r="BI1240" s="2867"/>
      <c r="BJ1240" s="2867"/>
      <c r="BK1240" s="2867"/>
      <c r="BL1240" s="2867"/>
      <c r="BM1240" s="2867"/>
      <c r="BN1240" s="2867"/>
      <c r="BO1240" s="2867"/>
      <c r="BP1240" s="2867"/>
      <c r="BQ1240" s="2867"/>
      <c r="BR1240" s="2867"/>
      <c r="BS1240" s="2867"/>
      <c r="BT1240" s="2867"/>
      <c r="BU1240" s="2867"/>
      <c r="BV1240" s="2867"/>
      <c r="BW1240" s="2867"/>
      <c r="BX1240" s="2867"/>
      <c r="BY1240" s="2867"/>
      <c r="BZ1240" s="2867"/>
      <c r="CA1240" s="2867"/>
      <c r="CB1240" s="2867"/>
      <c r="CC1240" s="2867"/>
      <c r="CD1240" s="2867"/>
      <c r="CE1240" s="2867"/>
      <c r="CF1240" s="2867"/>
      <c r="CG1240" s="2867"/>
      <c r="CH1240" s="2867"/>
      <c r="CI1240" s="2867"/>
      <c r="CJ1240" s="2867"/>
      <c r="CK1240" s="2867"/>
      <c r="CL1240" s="2867"/>
      <c r="CM1240" s="2867"/>
      <c r="CN1240" s="2867"/>
      <c r="CO1240" s="2867"/>
      <c r="CP1240" s="2867"/>
      <c r="CQ1240" s="2867"/>
      <c r="CR1240" s="2867"/>
      <c r="CS1240" s="2867"/>
      <c r="CT1240" s="2867"/>
      <c r="CU1240" s="2867"/>
      <c r="CV1240" s="2867"/>
      <c r="CW1240" s="2867"/>
    </row>
    <row r="1241" spans="1:101">
      <c r="A1241" s="2867"/>
      <c r="B1241" s="2867"/>
      <c r="C1241" s="2867"/>
      <c r="D1241" s="2867"/>
      <c r="E1241" s="2867"/>
      <c r="F1241" s="2867"/>
      <c r="G1241" s="2867"/>
      <c r="H1241" s="2867"/>
      <c r="I1241" s="2867"/>
      <c r="J1241" s="2867"/>
      <c r="K1241" s="2867"/>
      <c r="L1241" s="2867"/>
      <c r="M1241" s="2867"/>
      <c r="O1241" s="2867"/>
      <c r="P1241" s="2867"/>
      <c r="Q1241" s="2867"/>
      <c r="R1241" s="2867"/>
      <c r="S1241" s="2867"/>
      <c r="T1241" s="2867"/>
      <c r="U1241" s="2867"/>
      <c r="V1241" s="2867"/>
      <c r="W1241" s="2867"/>
      <c r="X1241" s="2867"/>
      <c r="Y1241" s="2867"/>
      <c r="Z1241" s="2867"/>
      <c r="AA1241" s="2867"/>
      <c r="AB1241" s="2867"/>
      <c r="AC1241" s="2867"/>
      <c r="AD1241" s="2867"/>
      <c r="AE1241" s="2867"/>
      <c r="AF1241" s="2867"/>
      <c r="AG1241" s="2867"/>
      <c r="AH1241" s="2867"/>
      <c r="AI1241" s="2867"/>
      <c r="AJ1241" s="2867"/>
      <c r="AK1241" s="2867"/>
      <c r="AL1241" s="2867"/>
      <c r="AM1241" s="2867"/>
      <c r="AN1241" s="2867"/>
      <c r="AO1241" s="2867"/>
      <c r="AP1241" s="2867"/>
      <c r="AQ1241" s="2867"/>
      <c r="AR1241" s="2867"/>
      <c r="AS1241" s="2867"/>
      <c r="AT1241" s="2867"/>
      <c r="AU1241" s="2867"/>
      <c r="AV1241" s="2867"/>
      <c r="AW1241" s="2867"/>
      <c r="AX1241" s="2867"/>
      <c r="AY1241" s="2867"/>
      <c r="AZ1241" s="2867"/>
      <c r="BA1241" s="2867"/>
      <c r="BB1241" s="2867"/>
      <c r="BC1241" s="2867"/>
      <c r="BD1241" s="2867"/>
      <c r="BE1241" s="2867"/>
      <c r="BF1241" s="2867"/>
      <c r="BG1241" s="2867"/>
      <c r="BH1241" s="2867"/>
      <c r="BI1241" s="2867"/>
      <c r="BJ1241" s="2867"/>
      <c r="BK1241" s="2867"/>
      <c r="BL1241" s="2867"/>
      <c r="BM1241" s="2867"/>
      <c r="BN1241" s="2867"/>
      <c r="BO1241" s="2867"/>
      <c r="BP1241" s="2867"/>
      <c r="BQ1241" s="2867"/>
      <c r="BR1241" s="2867"/>
      <c r="BS1241" s="2867"/>
      <c r="BT1241" s="2867"/>
      <c r="BU1241" s="2867"/>
      <c r="BV1241" s="2867"/>
      <c r="BW1241" s="2867"/>
      <c r="BX1241" s="2867"/>
      <c r="BY1241" s="2867"/>
      <c r="BZ1241" s="2867"/>
      <c r="CA1241" s="2867"/>
      <c r="CB1241" s="2867"/>
      <c r="CC1241" s="2867"/>
      <c r="CD1241" s="2867"/>
      <c r="CE1241" s="2867"/>
      <c r="CF1241" s="2867"/>
      <c r="CG1241" s="2867"/>
      <c r="CH1241" s="2867"/>
      <c r="CI1241" s="2867"/>
      <c r="CJ1241" s="2867"/>
      <c r="CK1241" s="2867"/>
      <c r="CL1241" s="2867"/>
      <c r="CM1241" s="2867"/>
      <c r="CN1241" s="2867"/>
      <c r="CO1241" s="2867"/>
      <c r="CP1241" s="2867"/>
      <c r="CQ1241" s="2867"/>
      <c r="CR1241" s="2867"/>
      <c r="CS1241" s="2867"/>
      <c r="CT1241" s="2867"/>
      <c r="CU1241" s="2867"/>
      <c r="CV1241" s="2867"/>
      <c r="CW1241" s="2867"/>
    </row>
    <row r="1242" spans="1:101">
      <c r="A1242" s="2867"/>
      <c r="B1242" s="2867"/>
      <c r="C1242" s="2867"/>
      <c r="D1242" s="2867"/>
      <c r="E1242" s="2867"/>
      <c r="F1242" s="2867"/>
      <c r="G1242" s="2867"/>
      <c r="H1242" s="2867"/>
      <c r="I1242" s="2867"/>
      <c r="J1242" s="2867"/>
      <c r="K1242" s="2867"/>
      <c r="L1242" s="2867"/>
      <c r="M1242" s="2867"/>
      <c r="O1242" s="2867"/>
      <c r="P1242" s="2867"/>
      <c r="Q1242" s="2867"/>
      <c r="R1242" s="2867"/>
      <c r="S1242" s="2867"/>
      <c r="T1242" s="2867"/>
      <c r="U1242" s="2867"/>
      <c r="V1242" s="2867"/>
      <c r="W1242" s="2867"/>
      <c r="X1242" s="2867"/>
      <c r="Y1242" s="2867"/>
      <c r="Z1242" s="2867"/>
      <c r="AA1242" s="2867"/>
      <c r="AB1242" s="2867"/>
      <c r="AC1242" s="2867"/>
      <c r="AD1242" s="2867"/>
      <c r="AE1242" s="2867"/>
      <c r="AF1242" s="2867"/>
      <c r="AG1242" s="2867"/>
      <c r="AH1242" s="2867"/>
      <c r="AI1242" s="2867"/>
      <c r="AJ1242" s="2867"/>
      <c r="AK1242" s="2867"/>
      <c r="AL1242" s="2867"/>
      <c r="AM1242" s="2867"/>
      <c r="AN1242" s="2867"/>
      <c r="AO1242" s="2867"/>
      <c r="AP1242" s="2867"/>
      <c r="AQ1242" s="2867"/>
      <c r="AR1242" s="2867"/>
      <c r="AS1242" s="2867"/>
      <c r="AT1242" s="2867"/>
      <c r="AU1242" s="2867"/>
      <c r="AV1242" s="2867"/>
      <c r="AW1242" s="2867"/>
      <c r="AX1242" s="2867"/>
      <c r="AY1242" s="2867"/>
      <c r="AZ1242" s="2867"/>
      <c r="BA1242" s="2867"/>
      <c r="BB1242" s="2867"/>
      <c r="BC1242" s="2867"/>
      <c r="BD1242" s="2867"/>
      <c r="BE1242" s="2867"/>
      <c r="BF1242" s="2867"/>
      <c r="BG1242" s="2867"/>
      <c r="BH1242" s="2867"/>
      <c r="BI1242" s="2867"/>
      <c r="BJ1242" s="2867"/>
      <c r="BK1242" s="2867"/>
      <c r="BL1242" s="2867"/>
      <c r="BM1242" s="2867"/>
      <c r="BN1242" s="2867"/>
      <c r="BO1242" s="2867"/>
      <c r="BP1242" s="2867"/>
      <c r="BQ1242" s="2867"/>
      <c r="BR1242" s="2867"/>
      <c r="BS1242" s="2867"/>
      <c r="BT1242" s="2867"/>
      <c r="BU1242" s="2867"/>
      <c r="BV1242" s="2867"/>
      <c r="BW1242" s="2867"/>
      <c r="BX1242" s="2867"/>
      <c r="BY1242" s="2867"/>
      <c r="BZ1242" s="2867"/>
      <c r="CA1242" s="2867"/>
      <c r="CB1242" s="2867"/>
      <c r="CC1242" s="2867"/>
      <c r="CD1242" s="2867"/>
      <c r="CE1242" s="2867"/>
      <c r="CF1242" s="2867"/>
      <c r="CG1242" s="2867"/>
      <c r="CH1242" s="2867"/>
      <c r="CI1242" s="2867"/>
      <c r="CJ1242" s="2867"/>
      <c r="CK1242" s="2867"/>
      <c r="CL1242" s="2867"/>
      <c r="CM1242" s="2867"/>
      <c r="CN1242" s="2867"/>
      <c r="CO1242" s="2867"/>
      <c r="CP1242" s="2867"/>
      <c r="CQ1242" s="2867"/>
      <c r="CR1242" s="2867"/>
      <c r="CS1242" s="2867"/>
      <c r="CT1242" s="2867"/>
      <c r="CU1242" s="2867"/>
      <c r="CV1242" s="2867"/>
      <c r="CW1242" s="2867"/>
    </row>
    <row r="1243" spans="1:101">
      <c r="A1243" s="2867"/>
      <c r="B1243" s="2867"/>
      <c r="C1243" s="2867"/>
      <c r="D1243" s="2867"/>
      <c r="E1243" s="2867"/>
      <c r="F1243" s="2867"/>
      <c r="G1243" s="2867"/>
      <c r="H1243" s="2867"/>
      <c r="I1243" s="2867"/>
      <c r="J1243" s="2867"/>
      <c r="K1243" s="2867"/>
      <c r="L1243" s="2867"/>
      <c r="M1243" s="2867"/>
      <c r="O1243" s="2867"/>
      <c r="P1243" s="2867"/>
      <c r="Q1243" s="2867"/>
      <c r="R1243" s="2867"/>
      <c r="S1243" s="2867"/>
      <c r="T1243" s="2867"/>
      <c r="U1243" s="2867"/>
      <c r="V1243" s="2867"/>
      <c r="W1243" s="2867"/>
      <c r="X1243" s="2867"/>
      <c r="Y1243" s="2867"/>
      <c r="Z1243" s="2867"/>
      <c r="AA1243" s="2867"/>
      <c r="AB1243" s="2867"/>
      <c r="AC1243" s="2867"/>
      <c r="AD1243" s="2867"/>
      <c r="AE1243" s="2867"/>
      <c r="AF1243" s="2867"/>
      <c r="AG1243" s="2867"/>
      <c r="AH1243" s="2867"/>
      <c r="AI1243" s="2867"/>
      <c r="AJ1243" s="2867"/>
      <c r="AK1243" s="2867"/>
      <c r="AL1243" s="2867"/>
      <c r="AM1243" s="2867"/>
      <c r="AN1243" s="2867"/>
      <c r="AO1243" s="2867"/>
      <c r="AP1243" s="2867"/>
      <c r="AQ1243" s="2867"/>
      <c r="AR1243" s="2867"/>
      <c r="AS1243" s="2867"/>
      <c r="AT1243" s="2867"/>
      <c r="AU1243" s="2867"/>
      <c r="AV1243" s="2867"/>
      <c r="AW1243" s="2867"/>
      <c r="AX1243" s="2867"/>
      <c r="AY1243" s="2867"/>
      <c r="AZ1243" s="2867"/>
      <c r="BA1243" s="2867"/>
      <c r="BB1243" s="2867"/>
      <c r="BC1243" s="2867"/>
      <c r="BD1243" s="2867"/>
      <c r="BE1243" s="2867"/>
      <c r="BF1243" s="2867"/>
      <c r="BG1243" s="2867"/>
      <c r="BH1243" s="2867"/>
      <c r="BI1243" s="2867"/>
      <c r="BJ1243" s="2867"/>
      <c r="BK1243" s="2867"/>
      <c r="BL1243" s="2867"/>
      <c r="BM1243" s="2867"/>
      <c r="BN1243" s="2867"/>
      <c r="BO1243" s="2867"/>
      <c r="BP1243" s="2867"/>
      <c r="BQ1243" s="2867"/>
      <c r="BR1243" s="2867"/>
      <c r="BS1243" s="2867"/>
      <c r="BT1243" s="2867"/>
      <c r="BU1243" s="2867"/>
      <c r="BV1243" s="2867"/>
      <c r="BW1243" s="2867"/>
      <c r="BX1243" s="2867"/>
      <c r="BY1243" s="2867"/>
      <c r="BZ1243" s="2867"/>
      <c r="CA1243" s="2867"/>
      <c r="CB1243" s="2867"/>
      <c r="CC1243" s="2867"/>
      <c r="CD1243" s="2867"/>
      <c r="CE1243" s="2867"/>
      <c r="CF1243" s="2867"/>
      <c r="CG1243" s="2867"/>
      <c r="CH1243" s="2867"/>
      <c r="CI1243" s="2867"/>
      <c r="CJ1243" s="2867"/>
      <c r="CK1243" s="2867"/>
      <c r="CL1243" s="2867"/>
      <c r="CM1243" s="2867"/>
      <c r="CN1243" s="2867"/>
      <c r="CO1243" s="2867"/>
      <c r="CP1243" s="2867"/>
      <c r="CQ1243" s="2867"/>
      <c r="CR1243" s="2867"/>
      <c r="CS1243" s="2867"/>
      <c r="CT1243" s="2867"/>
      <c r="CU1243" s="2867"/>
      <c r="CV1243" s="2867"/>
      <c r="CW1243" s="2867"/>
    </row>
    <row r="1244" spans="1:101">
      <c r="A1244" s="2867"/>
      <c r="B1244" s="2867"/>
      <c r="C1244" s="2867"/>
      <c r="D1244" s="2867"/>
      <c r="E1244" s="2867"/>
      <c r="F1244" s="2867"/>
      <c r="G1244" s="2867"/>
      <c r="H1244" s="2867"/>
      <c r="I1244" s="2867"/>
      <c r="J1244" s="2867"/>
      <c r="K1244" s="2867"/>
      <c r="L1244" s="2867"/>
      <c r="M1244" s="2867"/>
      <c r="O1244" s="2867"/>
      <c r="P1244" s="2867"/>
      <c r="Q1244" s="2867"/>
      <c r="R1244" s="2867"/>
      <c r="S1244" s="2867"/>
      <c r="T1244" s="2867"/>
      <c r="U1244" s="2867"/>
      <c r="V1244" s="2867"/>
      <c r="W1244" s="2867"/>
      <c r="X1244" s="2867"/>
      <c r="Y1244" s="2867"/>
      <c r="Z1244" s="2867"/>
      <c r="AA1244" s="2867"/>
      <c r="AB1244" s="2867"/>
      <c r="AC1244" s="2867"/>
      <c r="AD1244" s="2867"/>
      <c r="AE1244" s="2867"/>
      <c r="AF1244" s="2867"/>
      <c r="AG1244" s="2867"/>
      <c r="AH1244" s="2867"/>
      <c r="AI1244" s="2867"/>
      <c r="AJ1244" s="2867"/>
      <c r="AK1244" s="2867"/>
      <c r="AL1244" s="2867"/>
      <c r="AM1244" s="2867"/>
      <c r="AN1244" s="2867"/>
      <c r="AO1244" s="2867"/>
      <c r="AP1244" s="2867"/>
      <c r="AQ1244" s="2867"/>
      <c r="AR1244" s="2867"/>
      <c r="AS1244" s="2867"/>
      <c r="AT1244" s="2867"/>
      <c r="AU1244" s="2867"/>
      <c r="AV1244" s="2867"/>
      <c r="AW1244" s="2867"/>
      <c r="AX1244" s="2867"/>
      <c r="AY1244" s="2867"/>
      <c r="AZ1244" s="2867"/>
      <c r="BA1244" s="2867"/>
      <c r="BB1244" s="2867"/>
      <c r="BC1244" s="2867"/>
      <c r="BD1244" s="2867"/>
      <c r="BE1244" s="2867"/>
      <c r="BF1244" s="2867"/>
      <c r="BG1244" s="2867"/>
      <c r="BH1244" s="2867"/>
      <c r="BI1244" s="2867"/>
      <c r="BJ1244" s="2867"/>
      <c r="BK1244" s="2867"/>
      <c r="BL1244" s="2867"/>
      <c r="BM1244" s="2867"/>
      <c r="BN1244" s="2867"/>
      <c r="BO1244" s="2867"/>
      <c r="BP1244" s="2867"/>
      <c r="BQ1244" s="2867"/>
      <c r="BR1244" s="2867"/>
      <c r="BS1244" s="2867"/>
      <c r="BT1244" s="2867"/>
      <c r="BU1244" s="2867"/>
      <c r="BV1244" s="2867"/>
      <c r="BW1244" s="2867"/>
      <c r="BX1244" s="2867"/>
      <c r="BY1244" s="2867"/>
      <c r="BZ1244" s="2867"/>
      <c r="CA1244" s="2867"/>
      <c r="CB1244" s="2867"/>
      <c r="CC1244" s="2867"/>
      <c r="CD1244" s="2867"/>
      <c r="CE1244" s="2867"/>
      <c r="CF1244" s="2867"/>
      <c r="CG1244" s="2867"/>
      <c r="CH1244" s="2867"/>
      <c r="CI1244" s="2867"/>
      <c r="CJ1244" s="2867"/>
      <c r="CK1244" s="2867"/>
      <c r="CL1244" s="2867"/>
      <c r="CM1244" s="2867"/>
      <c r="CN1244" s="2867"/>
      <c r="CO1244" s="2867"/>
      <c r="CP1244" s="2867"/>
      <c r="CQ1244" s="2867"/>
      <c r="CR1244" s="2867"/>
      <c r="CS1244" s="2867"/>
      <c r="CT1244" s="2867"/>
      <c r="CU1244" s="2867"/>
      <c r="CV1244" s="2867"/>
      <c r="CW1244" s="2867"/>
    </row>
    <row r="1245" spans="1:101">
      <c r="A1245" s="2867"/>
      <c r="B1245" s="2867"/>
      <c r="C1245" s="2867"/>
      <c r="D1245" s="2867"/>
      <c r="E1245" s="2867"/>
      <c r="F1245" s="2867"/>
      <c r="G1245" s="2867"/>
      <c r="H1245" s="2867"/>
      <c r="I1245" s="2867"/>
      <c r="J1245" s="2867"/>
      <c r="K1245" s="2867"/>
      <c r="L1245" s="2867"/>
      <c r="M1245" s="2867"/>
      <c r="O1245" s="2867"/>
      <c r="P1245" s="2867"/>
      <c r="Q1245" s="2867"/>
      <c r="R1245" s="2867"/>
      <c r="S1245" s="2867"/>
      <c r="T1245" s="2867"/>
      <c r="U1245" s="2867"/>
      <c r="V1245" s="2867"/>
      <c r="W1245" s="2867"/>
      <c r="X1245" s="2867"/>
      <c r="Y1245" s="2867"/>
      <c r="Z1245" s="2867"/>
      <c r="AA1245" s="2867"/>
      <c r="AB1245" s="2867"/>
      <c r="AC1245" s="2867"/>
      <c r="AD1245" s="2867"/>
      <c r="AE1245" s="2867"/>
      <c r="AF1245" s="2867"/>
      <c r="AG1245" s="2867"/>
      <c r="AH1245" s="2867"/>
      <c r="AI1245" s="2867"/>
      <c r="AJ1245" s="2867"/>
      <c r="AK1245" s="2867"/>
      <c r="AL1245" s="2867"/>
      <c r="AM1245" s="2867"/>
      <c r="AN1245" s="2867"/>
      <c r="AO1245" s="2867"/>
      <c r="AP1245" s="2867"/>
      <c r="AQ1245" s="2867"/>
      <c r="AR1245" s="2867"/>
      <c r="AS1245" s="2867"/>
      <c r="AT1245" s="2867"/>
      <c r="AU1245" s="2867"/>
      <c r="AV1245" s="2867"/>
      <c r="AW1245" s="2867"/>
      <c r="AX1245" s="2867"/>
      <c r="AY1245" s="2867"/>
      <c r="AZ1245" s="2867"/>
      <c r="BA1245" s="2867"/>
      <c r="BB1245" s="2867"/>
      <c r="BC1245" s="2867"/>
      <c r="BD1245" s="2867"/>
      <c r="BE1245" s="2867"/>
      <c r="BF1245" s="2867"/>
      <c r="BG1245" s="2867"/>
      <c r="BH1245" s="2867"/>
      <c r="BI1245" s="2867"/>
      <c r="BJ1245" s="2867"/>
      <c r="BK1245" s="2867"/>
      <c r="BL1245" s="2867"/>
      <c r="BM1245" s="2867"/>
      <c r="BN1245" s="2867"/>
      <c r="BO1245" s="2867"/>
      <c r="BP1245" s="2867"/>
      <c r="BQ1245" s="2867"/>
      <c r="BR1245" s="2867"/>
      <c r="BS1245" s="2867"/>
      <c r="BT1245" s="2867"/>
      <c r="BU1245" s="2867"/>
      <c r="BV1245" s="2867"/>
      <c r="BW1245" s="2867"/>
      <c r="BX1245" s="2867"/>
      <c r="BY1245" s="2867"/>
      <c r="BZ1245" s="2867"/>
      <c r="CA1245" s="2867"/>
      <c r="CB1245" s="2867"/>
      <c r="CC1245" s="2867"/>
      <c r="CD1245" s="2867"/>
      <c r="CE1245" s="2867"/>
      <c r="CF1245" s="2867"/>
      <c r="CG1245" s="2867"/>
      <c r="CH1245" s="2867"/>
      <c r="CI1245" s="2867"/>
      <c r="CJ1245" s="2867"/>
      <c r="CK1245" s="2867"/>
      <c r="CL1245" s="2867"/>
      <c r="CM1245" s="2867"/>
      <c r="CN1245" s="2867"/>
      <c r="CO1245" s="2867"/>
      <c r="CP1245" s="2867"/>
      <c r="CQ1245" s="2867"/>
      <c r="CR1245" s="2867"/>
      <c r="CS1245" s="2867"/>
      <c r="CT1245" s="2867"/>
      <c r="CU1245" s="2867"/>
      <c r="CV1245" s="2867"/>
      <c r="CW1245" s="2867"/>
    </row>
    <row r="1246" spans="1:101">
      <c r="A1246" s="2867"/>
      <c r="B1246" s="2867"/>
      <c r="C1246" s="2867"/>
      <c r="D1246" s="2867"/>
      <c r="E1246" s="2867"/>
      <c r="F1246" s="2867"/>
      <c r="G1246" s="2867"/>
      <c r="H1246" s="2867"/>
      <c r="I1246" s="2867"/>
      <c r="J1246" s="2867"/>
      <c r="K1246" s="2867"/>
      <c r="L1246" s="2867"/>
      <c r="M1246" s="2867"/>
      <c r="O1246" s="2867"/>
      <c r="P1246" s="2867"/>
      <c r="Q1246" s="2867"/>
      <c r="R1246" s="2867"/>
      <c r="S1246" s="2867"/>
      <c r="T1246" s="2867"/>
      <c r="U1246" s="2867"/>
      <c r="V1246" s="2867"/>
      <c r="W1246" s="2867"/>
      <c r="X1246" s="2867"/>
      <c r="Y1246" s="2867"/>
      <c r="Z1246" s="2867"/>
      <c r="AA1246" s="2867"/>
      <c r="AB1246" s="2867"/>
      <c r="AC1246" s="2867"/>
      <c r="AD1246" s="2867"/>
      <c r="AE1246" s="2867"/>
      <c r="AF1246" s="2867"/>
      <c r="AG1246" s="2867"/>
      <c r="AH1246" s="2867"/>
      <c r="AI1246" s="2867"/>
      <c r="AJ1246" s="2867"/>
      <c r="AK1246" s="2867"/>
      <c r="AL1246" s="2867"/>
      <c r="AM1246" s="2867"/>
      <c r="AN1246" s="2867"/>
      <c r="AO1246" s="2867"/>
      <c r="AP1246" s="2867"/>
      <c r="AQ1246" s="2867"/>
      <c r="AR1246" s="2867"/>
      <c r="AS1246" s="2867"/>
      <c r="AT1246" s="2867"/>
      <c r="AU1246" s="2867"/>
      <c r="AV1246" s="2867"/>
      <c r="AW1246" s="2867"/>
      <c r="AX1246" s="2867"/>
      <c r="AY1246" s="2867"/>
      <c r="AZ1246" s="2867"/>
      <c r="BA1246" s="2867"/>
      <c r="BB1246" s="2867"/>
      <c r="BC1246" s="2867"/>
      <c r="BD1246" s="2867"/>
      <c r="BE1246" s="2867"/>
      <c r="BF1246" s="2867"/>
      <c r="BG1246" s="2867"/>
      <c r="BH1246" s="2867"/>
      <c r="BI1246" s="2867"/>
      <c r="BJ1246" s="2867"/>
      <c r="BK1246" s="2867"/>
      <c r="BL1246" s="2867"/>
      <c r="BM1246" s="2867"/>
      <c r="BN1246" s="2867"/>
      <c r="BO1246" s="2867"/>
      <c r="BP1246" s="2867"/>
      <c r="BQ1246" s="2867"/>
      <c r="BR1246" s="2867"/>
      <c r="BS1246" s="2867"/>
      <c r="BT1246" s="2867"/>
      <c r="BU1246" s="2867"/>
      <c r="BV1246" s="2867"/>
      <c r="BW1246" s="2867"/>
      <c r="BX1246" s="2867"/>
      <c r="BY1246" s="2867"/>
      <c r="BZ1246" s="2867"/>
      <c r="CA1246" s="2867"/>
      <c r="CB1246" s="2867"/>
      <c r="CC1246" s="2867"/>
      <c r="CD1246" s="2867"/>
      <c r="CE1246" s="2867"/>
      <c r="CF1246" s="2867"/>
      <c r="CG1246" s="2867"/>
      <c r="CH1246" s="2867"/>
      <c r="CI1246" s="2867"/>
      <c r="CJ1246" s="2867"/>
      <c r="CK1246" s="2867"/>
      <c r="CL1246" s="2867"/>
      <c r="CM1246" s="2867"/>
      <c r="CN1246" s="2867"/>
      <c r="CO1246" s="2867"/>
      <c r="CP1246" s="2867"/>
      <c r="CQ1246" s="2867"/>
      <c r="CR1246" s="2867"/>
      <c r="CS1246" s="2867"/>
      <c r="CT1246" s="2867"/>
      <c r="CU1246" s="2867"/>
      <c r="CV1246" s="2867"/>
      <c r="CW1246" s="2867"/>
    </row>
    <row r="1247" spans="1:101">
      <c r="A1247" s="2867"/>
      <c r="B1247" s="2867"/>
      <c r="C1247" s="2867"/>
      <c r="D1247" s="2867"/>
      <c r="E1247" s="2867"/>
      <c r="F1247" s="2867"/>
      <c r="G1247" s="2867"/>
      <c r="H1247" s="2867"/>
      <c r="I1247" s="2867"/>
      <c r="J1247" s="2867"/>
      <c r="K1247" s="2867"/>
      <c r="L1247" s="2867"/>
      <c r="M1247" s="2867"/>
      <c r="O1247" s="2867"/>
      <c r="P1247" s="2867"/>
      <c r="Q1247" s="2867"/>
      <c r="R1247" s="2867"/>
      <c r="S1247" s="2867"/>
      <c r="T1247" s="2867"/>
      <c r="U1247" s="2867"/>
      <c r="V1247" s="2867"/>
      <c r="W1247" s="2867"/>
      <c r="X1247" s="2867"/>
      <c r="Y1247" s="2867"/>
      <c r="Z1247" s="2867"/>
      <c r="AA1247" s="2867"/>
      <c r="AB1247" s="2867"/>
      <c r="AC1247" s="2867"/>
      <c r="AD1247" s="2867"/>
      <c r="AE1247" s="2867"/>
      <c r="AF1247" s="2867"/>
      <c r="AG1247" s="2867"/>
      <c r="AH1247" s="2867"/>
      <c r="AI1247" s="2867"/>
      <c r="AJ1247" s="2867"/>
      <c r="AK1247" s="2867"/>
      <c r="AL1247" s="2867"/>
      <c r="AM1247" s="2867"/>
      <c r="AN1247" s="2867"/>
      <c r="AO1247" s="2867"/>
      <c r="AP1247" s="2867"/>
      <c r="AQ1247" s="2867"/>
      <c r="AR1247" s="2867"/>
      <c r="AS1247" s="2867"/>
      <c r="AT1247" s="2867"/>
      <c r="AU1247" s="2867"/>
      <c r="AV1247" s="2867"/>
      <c r="AW1247" s="2867"/>
      <c r="AX1247" s="2867"/>
      <c r="AY1247" s="2867"/>
      <c r="AZ1247" s="2867"/>
      <c r="BA1247" s="2867"/>
      <c r="BB1247" s="2867"/>
      <c r="BC1247" s="2867"/>
      <c r="BD1247" s="2867"/>
      <c r="BE1247" s="2867"/>
      <c r="BF1247" s="2867"/>
      <c r="BG1247" s="2867"/>
      <c r="BH1247" s="2867"/>
      <c r="BI1247" s="2867"/>
      <c r="BJ1247" s="2867"/>
      <c r="BK1247" s="2867"/>
      <c r="BL1247" s="2867"/>
      <c r="BM1247" s="2867"/>
      <c r="BN1247" s="2867"/>
      <c r="BO1247" s="2867"/>
      <c r="BP1247" s="2867"/>
      <c r="BQ1247" s="2867"/>
      <c r="BR1247" s="2867"/>
      <c r="BS1247" s="2867"/>
      <c r="BT1247" s="2867"/>
      <c r="BU1247" s="2867"/>
      <c r="BV1247" s="2867"/>
      <c r="BW1247" s="2867"/>
      <c r="BX1247" s="2867"/>
      <c r="BY1247" s="2867"/>
      <c r="BZ1247" s="2867"/>
      <c r="CA1247" s="2867"/>
      <c r="CB1247" s="2867"/>
      <c r="CC1247" s="2867"/>
      <c r="CD1247" s="2867"/>
      <c r="CE1247" s="2867"/>
      <c r="CF1247" s="2867"/>
      <c r="CG1247" s="2867"/>
      <c r="CH1247" s="2867"/>
      <c r="CI1247" s="2867"/>
      <c r="CJ1247" s="2867"/>
      <c r="CK1247" s="2867"/>
      <c r="CL1247" s="2867"/>
      <c r="CM1247" s="2867"/>
      <c r="CN1247" s="2867"/>
      <c r="CO1247" s="2867"/>
      <c r="CP1247" s="2867"/>
      <c r="CQ1247" s="2867"/>
      <c r="CR1247" s="2867"/>
      <c r="CS1247" s="2867"/>
      <c r="CT1247" s="2867"/>
      <c r="CU1247" s="2867"/>
      <c r="CV1247" s="2867"/>
      <c r="CW1247" s="2867"/>
    </row>
    <row r="1248" spans="1:101">
      <c r="A1248" s="2867"/>
      <c r="B1248" s="2867"/>
      <c r="C1248" s="2867"/>
      <c r="D1248" s="2867"/>
      <c r="E1248" s="2867"/>
      <c r="F1248" s="2867"/>
      <c r="G1248" s="2867"/>
      <c r="H1248" s="2867"/>
      <c r="I1248" s="2867"/>
      <c r="J1248" s="2867"/>
      <c r="K1248" s="2867"/>
      <c r="L1248" s="2867"/>
      <c r="M1248" s="2867"/>
      <c r="O1248" s="2867"/>
      <c r="P1248" s="2867"/>
      <c r="Q1248" s="2867"/>
      <c r="R1248" s="2867"/>
      <c r="S1248" s="2867"/>
      <c r="T1248" s="2867"/>
      <c r="U1248" s="2867"/>
      <c r="V1248" s="2867"/>
      <c r="W1248" s="2867"/>
      <c r="X1248" s="2867"/>
      <c r="Y1248" s="2867"/>
      <c r="Z1248" s="2867"/>
      <c r="AA1248" s="2867"/>
      <c r="AB1248" s="2867"/>
      <c r="AC1248" s="2867"/>
      <c r="AD1248" s="2867"/>
      <c r="AE1248" s="2867"/>
      <c r="AF1248" s="2867"/>
      <c r="AG1248" s="2867"/>
      <c r="AH1248" s="2867"/>
      <c r="AI1248" s="2867"/>
      <c r="AJ1248" s="2867"/>
      <c r="AK1248" s="2867"/>
      <c r="AL1248" s="2867"/>
      <c r="AM1248" s="2867"/>
      <c r="AN1248" s="2867"/>
      <c r="AO1248" s="2867"/>
      <c r="AP1248" s="2867"/>
      <c r="AQ1248" s="2867"/>
      <c r="AR1248" s="2867"/>
      <c r="AS1248" s="2867"/>
      <c r="AT1248" s="2867"/>
      <c r="AU1248" s="2867"/>
      <c r="AV1248" s="2867"/>
      <c r="AW1248" s="2867"/>
      <c r="AX1248" s="2867"/>
      <c r="AY1248" s="2867"/>
      <c r="AZ1248" s="2867"/>
      <c r="BA1248" s="2867"/>
      <c r="BB1248" s="2867"/>
      <c r="BC1248" s="2867"/>
      <c r="BD1248" s="2867"/>
      <c r="BE1248" s="2867"/>
      <c r="BF1248" s="2867"/>
      <c r="BG1248" s="2867"/>
      <c r="BH1248" s="2867"/>
      <c r="BI1248" s="2867"/>
      <c r="BJ1248" s="2867"/>
      <c r="BK1248" s="2867"/>
      <c r="BL1248" s="2867"/>
      <c r="BM1248" s="2867"/>
      <c r="BN1248" s="2867"/>
      <c r="BO1248" s="2867"/>
      <c r="BP1248" s="2867"/>
      <c r="BQ1248" s="2867"/>
      <c r="BR1248" s="2867"/>
      <c r="BS1248" s="2867"/>
      <c r="BT1248" s="2867"/>
      <c r="BU1248" s="2867"/>
      <c r="BV1248" s="2867"/>
      <c r="BW1248" s="2867"/>
      <c r="BX1248" s="2867"/>
      <c r="BY1248" s="2867"/>
      <c r="BZ1248" s="2867"/>
      <c r="CA1248" s="2867"/>
      <c r="CB1248" s="2867"/>
      <c r="CC1248" s="2867"/>
      <c r="CD1248" s="2867"/>
      <c r="CE1248" s="2867"/>
      <c r="CF1248" s="2867"/>
      <c r="CG1248" s="2867"/>
      <c r="CH1248" s="2867"/>
      <c r="CI1248" s="2867"/>
      <c r="CJ1248" s="2867"/>
      <c r="CK1248" s="2867"/>
      <c r="CL1248" s="2867"/>
      <c r="CM1248" s="2867"/>
      <c r="CN1248" s="2867"/>
      <c r="CO1248" s="2867"/>
      <c r="CP1248" s="2867"/>
      <c r="CQ1248" s="2867"/>
      <c r="CR1248" s="2867"/>
      <c r="CS1248" s="2867"/>
      <c r="CT1248" s="2867"/>
      <c r="CU1248" s="2867"/>
      <c r="CV1248" s="2867"/>
      <c r="CW1248" s="2867"/>
    </row>
    <row r="1249" spans="1:101">
      <c r="A1249" s="2867"/>
      <c r="B1249" s="2867"/>
      <c r="C1249" s="2867"/>
      <c r="D1249" s="2867"/>
      <c r="E1249" s="2867"/>
      <c r="F1249" s="2867"/>
      <c r="G1249" s="2867"/>
      <c r="H1249" s="2867"/>
      <c r="I1249" s="2867"/>
      <c r="J1249" s="2867"/>
      <c r="K1249" s="2867"/>
      <c r="L1249" s="2867"/>
      <c r="M1249" s="2867"/>
      <c r="O1249" s="2867"/>
      <c r="P1249" s="2867"/>
      <c r="Q1249" s="2867"/>
      <c r="R1249" s="2867"/>
      <c r="S1249" s="2867"/>
      <c r="T1249" s="2867"/>
      <c r="U1249" s="2867"/>
      <c r="V1249" s="2867"/>
      <c r="W1249" s="2867"/>
      <c r="X1249" s="2867"/>
      <c r="Y1249" s="2867"/>
      <c r="Z1249" s="2867"/>
      <c r="AA1249" s="2867"/>
      <c r="AB1249" s="2867"/>
      <c r="AC1249" s="2867"/>
      <c r="AD1249" s="2867"/>
      <c r="AE1249" s="2867"/>
      <c r="AF1249" s="2867"/>
      <c r="AG1249" s="2867"/>
      <c r="AH1249" s="2867"/>
      <c r="AI1249" s="2867"/>
      <c r="AJ1249" s="2867"/>
      <c r="AK1249" s="2867"/>
      <c r="AL1249" s="2867"/>
      <c r="AM1249" s="2867"/>
      <c r="AN1249" s="2867"/>
      <c r="AO1249" s="2867"/>
      <c r="AP1249" s="2867"/>
      <c r="AQ1249" s="2867"/>
      <c r="AR1249" s="2867"/>
      <c r="AS1249" s="2867"/>
      <c r="AT1249" s="2867"/>
      <c r="AU1249" s="2867"/>
      <c r="AV1249" s="2867"/>
      <c r="AW1249" s="2867"/>
      <c r="AX1249" s="2867"/>
      <c r="AY1249" s="2867"/>
      <c r="AZ1249" s="2867"/>
      <c r="BA1249" s="2867"/>
      <c r="BB1249" s="2867"/>
      <c r="BC1249" s="2867"/>
      <c r="BD1249" s="2867"/>
      <c r="BE1249" s="2867"/>
      <c r="BF1249" s="2867"/>
      <c r="BG1249" s="2867"/>
      <c r="BH1249" s="2867"/>
      <c r="BI1249" s="2867"/>
      <c r="BJ1249" s="2867"/>
      <c r="BK1249" s="2867"/>
      <c r="BL1249" s="2867"/>
      <c r="BM1249" s="2867"/>
      <c r="BN1249" s="2867"/>
      <c r="BO1249" s="2867"/>
      <c r="BP1249" s="2867"/>
      <c r="BQ1249" s="2867"/>
      <c r="BR1249" s="2867"/>
      <c r="BS1249" s="2867"/>
      <c r="BT1249" s="2867"/>
      <c r="BU1249" s="2867"/>
      <c r="BV1249" s="2867"/>
      <c r="BW1249" s="2867"/>
      <c r="BX1249" s="2867"/>
      <c r="BY1249" s="2867"/>
      <c r="BZ1249" s="2867"/>
      <c r="CA1249" s="2867"/>
      <c r="CB1249" s="2867"/>
      <c r="CC1249" s="2867"/>
      <c r="CD1249" s="2867"/>
      <c r="CE1249" s="2867"/>
      <c r="CF1249" s="2867"/>
      <c r="CG1249" s="2867"/>
      <c r="CH1249" s="2867"/>
      <c r="CI1249" s="2867"/>
      <c r="CJ1249" s="2867"/>
      <c r="CK1249" s="2867"/>
      <c r="CL1249" s="2867"/>
      <c r="CM1249" s="2867"/>
      <c r="CN1249" s="2867"/>
      <c r="CO1249" s="2867"/>
      <c r="CP1249" s="2867"/>
      <c r="CQ1249" s="2867"/>
      <c r="CR1249" s="2867"/>
      <c r="CS1249" s="2867"/>
      <c r="CT1249" s="2867"/>
      <c r="CU1249" s="2867"/>
      <c r="CV1249" s="2867"/>
      <c r="CW1249" s="2867"/>
    </row>
    <row r="1250" spans="1:101">
      <c r="A1250" s="2867"/>
      <c r="B1250" s="2867"/>
      <c r="C1250" s="2867"/>
      <c r="D1250" s="2867"/>
      <c r="E1250" s="2867"/>
      <c r="F1250" s="2867"/>
      <c r="G1250" s="2867"/>
      <c r="H1250" s="2867"/>
      <c r="I1250" s="2867"/>
      <c r="J1250" s="2867"/>
      <c r="K1250" s="2867"/>
      <c r="L1250" s="2867"/>
      <c r="M1250" s="2867"/>
      <c r="O1250" s="2867"/>
      <c r="P1250" s="2867"/>
      <c r="Q1250" s="2867"/>
      <c r="R1250" s="2867"/>
      <c r="S1250" s="2867"/>
      <c r="T1250" s="2867"/>
      <c r="U1250" s="2867"/>
      <c r="V1250" s="2867"/>
      <c r="W1250" s="2867"/>
      <c r="X1250" s="2867"/>
      <c r="Y1250" s="2867"/>
      <c r="Z1250" s="2867"/>
      <c r="AA1250" s="2867"/>
      <c r="AB1250" s="2867"/>
      <c r="AC1250" s="2867"/>
      <c r="AD1250" s="2867"/>
      <c r="AE1250" s="2867"/>
      <c r="AF1250" s="2867"/>
      <c r="AG1250" s="2867"/>
      <c r="AH1250" s="2867"/>
      <c r="AI1250" s="2867"/>
      <c r="AJ1250" s="2867"/>
      <c r="AK1250" s="2867"/>
      <c r="AL1250" s="2867"/>
      <c r="AM1250" s="2867"/>
      <c r="AN1250" s="2867"/>
      <c r="AO1250" s="2867"/>
      <c r="AP1250" s="2867"/>
      <c r="AQ1250" s="2867"/>
      <c r="AR1250" s="2867"/>
      <c r="AS1250" s="2867"/>
      <c r="AT1250" s="2867"/>
      <c r="AU1250" s="2867"/>
      <c r="AV1250" s="2867"/>
      <c r="AW1250" s="2867"/>
      <c r="AX1250" s="2867"/>
      <c r="AY1250" s="2867"/>
      <c r="AZ1250" s="2867"/>
      <c r="BA1250" s="2867"/>
      <c r="BB1250" s="2867"/>
      <c r="BC1250" s="2867"/>
      <c r="BD1250" s="2867"/>
      <c r="BE1250" s="2867"/>
      <c r="BF1250" s="2867"/>
      <c r="BG1250" s="2867"/>
      <c r="BH1250" s="2867"/>
      <c r="BI1250" s="2867"/>
      <c r="BJ1250" s="2867"/>
      <c r="BK1250" s="2867"/>
      <c r="BL1250" s="2867"/>
      <c r="BM1250" s="2867"/>
      <c r="BN1250" s="2867"/>
      <c r="BO1250" s="2867"/>
      <c r="BP1250" s="2867"/>
      <c r="BQ1250" s="2867"/>
      <c r="BR1250" s="2867"/>
      <c r="BS1250" s="2867"/>
      <c r="BT1250" s="2867"/>
      <c r="BU1250" s="2867"/>
      <c r="BV1250" s="2867"/>
      <c r="BW1250" s="2867"/>
      <c r="BX1250" s="2867"/>
      <c r="BY1250" s="2867"/>
      <c r="BZ1250" s="2867"/>
      <c r="CA1250" s="2867"/>
      <c r="CB1250" s="2867"/>
      <c r="CC1250" s="2867"/>
      <c r="CD1250" s="2867"/>
      <c r="CE1250" s="2867"/>
      <c r="CF1250" s="2867"/>
      <c r="CG1250" s="2867"/>
      <c r="CH1250" s="2867"/>
      <c r="CI1250" s="2867"/>
      <c r="CJ1250" s="2867"/>
      <c r="CK1250" s="2867"/>
      <c r="CL1250" s="2867"/>
      <c r="CM1250" s="2867"/>
      <c r="CN1250" s="2867"/>
      <c r="CO1250" s="2867"/>
      <c r="CP1250" s="2867"/>
      <c r="CQ1250" s="2867"/>
      <c r="CR1250" s="2867"/>
      <c r="CS1250" s="2867"/>
      <c r="CT1250" s="2867"/>
      <c r="CU1250" s="2867"/>
      <c r="CV1250" s="2867"/>
      <c r="CW1250" s="2867"/>
    </row>
    <row r="1251" spans="1:101">
      <c r="A1251" s="2867"/>
      <c r="B1251" s="2867"/>
      <c r="C1251" s="2867"/>
      <c r="D1251" s="2867"/>
      <c r="E1251" s="2867"/>
      <c r="F1251" s="2867"/>
      <c r="G1251" s="2867"/>
      <c r="H1251" s="2867"/>
      <c r="I1251" s="2867"/>
      <c r="J1251" s="2867"/>
      <c r="K1251" s="2867"/>
      <c r="L1251" s="2867"/>
      <c r="M1251" s="2867"/>
      <c r="O1251" s="2867"/>
      <c r="P1251" s="2867"/>
      <c r="Q1251" s="2867"/>
      <c r="R1251" s="2867"/>
      <c r="S1251" s="2867"/>
      <c r="T1251" s="2867"/>
      <c r="U1251" s="2867"/>
      <c r="V1251" s="2867"/>
      <c r="W1251" s="2867"/>
      <c r="X1251" s="2867"/>
      <c r="Y1251" s="2867"/>
      <c r="Z1251" s="2867"/>
      <c r="AA1251" s="2867"/>
      <c r="AB1251" s="2867"/>
      <c r="AC1251" s="2867"/>
      <c r="AD1251" s="2867"/>
      <c r="AE1251" s="2867"/>
      <c r="AF1251" s="2867"/>
      <c r="AG1251" s="2867"/>
      <c r="AH1251" s="2867"/>
      <c r="AI1251" s="2867"/>
      <c r="AJ1251" s="2867"/>
      <c r="AK1251" s="2867"/>
      <c r="AL1251" s="2867"/>
      <c r="AM1251" s="2867"/>
      <c r="AN1251" s="2867"/>
      <c r="AO1251" s="2867"/>
      <c r="AP1251" s="2867"/>
      <c r="AQ1251" s="2867"/>
      <c r="AR1251" s="2867"/>
      <c r="AS1251" s="2867"/>
      <c r="AT1251" s="2867"/>
      <c r="AU1251" s="2867"/>
      <c r="AV1251" s="2867"/>
      <c r="AW1251" s="2867"/>
      <c r="AX1251" s="2867"/>
      <c r="AY1251" s="2867"/>
      <c r="AZ1251" s="2867"/>
      <c r="BA1251" s="2867"/>
      <c r="BB1251" s="2867"/>
      <c r="BC1251" s="2867"/>
      <c r="BD1251" s="2867"/>
      <c r="BE1251" s="2867"/>
      <c r="BF1251" s="2867"/>
      <c r="BG1251" s="2867"/>
      <c r="BH1251" s="2867"/>
      <c r="BI1251" s="2867"/>
      <c r="BJ1251" s="2867"/>
      <c r="BK1251" s="2867"/>
      <c r="BL1251" s="2867"/>
      <c r="BM1251" s="2867"/>
      <c r="BN1251" s="2867"/>
      <c r="BO1251" s="2867"/>
      <c r="BP1251" s="2867"/>
      <c r="BQ1251" s="2867"/>
      <c r="BR1251" s="2867"/>
      <c r="BS1251" s="2867"/>
      <c r="BT1251" s="2867"/>
      <c r="BU1251" s="2867"/>
      <c r="BV1251" s="2867"/>
      <c r="BW1251" s="2867"/>
      <c r="BX1251" s="2867"/>
      <c r="BY1251" s="2867"/>
      <c r="BZ1251" s="2867"/>
      <c r="CA1251" s="2867"/>
      <c r="CB1251" s="2867"/>
      <c r="CC1251" s="2867"/>
      <c r="CD1251" s="2867"/>
      <c r="CE1251" s="2867"/>
      <c r="CF1251" s="2867"/>
      <c r="CG1251" s="2867"/>
      <c r="CH1251" s="2867"/>
      <c r="CI1251" s="2867"/>
      <c r="CJ1251" s="2867"/>
      <c r="CK1251" s="2867"/>
      <c r="CL1251" s="2867"/>
      <c r="CM1251" s="2867"/>
      <c r="CN1251" s="2867"/>
      <c r="CO1251" s="2867"/>
      <c r="CP1251" s="2867"/>
      <c r="CQ1251" s="2867"/>
      <c r="CR1251" s="2867"/>
      <c r="CS1251" s="2867"/>
      <c r="CT1251" s="2867"/>
      <c r="CU1251" s="2867"/>
      <c r="CV1251" s="2867"/>
      <c r="CW1251" s="2867"/>
    </row>
    <row r="1252" spans="1:101">
      <c r="A1252" s="2867"/>
      <c r="B1252" s="2867"/>
      <c r="C1252" s="2867"/>
      <c r="D1252" s="2867"/>
      <c r="E1252" s="2867"/>
      <c r="F1252" s="2867"/>
      <c r="G1252" s="2867"/>
      <c r="H1252" s="2867"/>
      <c r="I1252" s="2867"/>
      <c r="J1252" s="2867"/>
      <c r="K1252" s="2867"/>
      <c r="L1252" s="2867"/>
      <c r="M1252" s="2867"/>
      <c r="O1252" s="2867"/>
      <c r="P1252" s="2867"/>
      <c r="Q1252" s="2867"/>
      <c r="R1252" s="2867"/>
      <c r="S1252" s="2867"/>
      <c r="T1252" s="2867"/>
      <c r="U1252" s="2867"/>
      <c r="V1252" s="2867"/>
      <c r="W1252" s="2867"/>
      <c r="X1252" s="2867"/>
      <c r="Y1252" s="2867"/>
      <c r="Z1252" s="2867"/>
      <c r="AA1252" s="2867"/>
      <c r="AB1252" s="2867"/>
      <c r="AC1252" s="2867"/>
      <c r="AD1252" s="2867"/>
      <c r="AE1252" s="2867"/>
      <c r="AF1252" s="2867"/>
      <c r="AG1252" s="2867"/>
      <c r="AH1252" s="2867"/>
      <c r="AI1252" s="2867"/>
      <c r="AJ1252" s="2867"/>
      <c r="AK1252" s="2867"/>
      <c r="AL1252" s="2867"/>
      <c r="AM1252" s="2867"/>
      <c r="AN1252" s="2867"/>
      <c r="AO1252" s="2867"/>
      <c r="AP1252" s="2867"/>
      <c r="AQ1252" s="2867"/>
      <c r="AR1252" s="2867"/>
      <c r="AS1252" s="2867"/>
      <c r="AT1252" s="2867"/>
      <c r="AU1252" s="2867"/>
      <c r="AV1252" s="2867"/>
      <c r="AW1252" s="2867"/>
      <c r="AX1252" s="2867"/>
      <c r="AY1252" s="2867"/>
      <c r="AZ1252" s="2867"/>
      <c r="BA1252" s="2867"/>
      <c r="BB1252" s="2867"/>
      <c r="BC1252" s="2867"/>
      <c r="BD1252" s="2867"/>
      <c r="BE1252" s="2867"/>
      <c r="BF1252" s="2867"/>
      <c r="BG1252" s="2867"/>
      <c r="BH1252" s="2867"/>
      <c r="BI1252" s="2867"/>
      <c r="BJ1252" s="2867"/>
      <c r="BK1252" s="2867"/>
      <c r="BL1252" s="2867"/>
      <c r="BM1252" s="2867"/>
      <c r="BN1252" s="2867"/>
      <c r="BO1252" s="2867"/>
      <c r="BP1252" s="2867"/>
      <c r="BQ1252" s="2867"/>
      <c r="BR1252" s="2867"/>
      <c r="BS1252" s="2867"/>
      <c r="BT1252" s="2867"/>
      <c r="BU1252" s="2867"/>
      <c r="BV1252" s="2867"/>
      <c r="BW1252" s="2867"/>
      <c r="BX1252" s="2867"/>
      <c r="BY1252" s="2867"/>
      <c r="BZ1252" s="2867"/>
      <c r="CA1252" s="2867"/>
      <c r="CB1252" s="2867"/>
      <c r="CC1252" s="2867"/>
      <c r="CD1252" s="2867"/>
      <c r="CE1252" s="2867"/>
      <c r="CF1252" s="2867"/>
      <c r="CG1252" s="2867"/>
      <c r="CH1252" s="2867"/>
      <c r="CI1252" s="2867"/>
      <c r="CJ1252" s="2867"/>
      <c r="CK1252" s="2867"/>
      <c r="CL1252" s="2867"/>
      <c r="CM1252" s="2867"/>
      <c r="CN1252" s="2867"/>
      <c r="CO1252" s="2867"/>
      <c r="CP1252" s="2867"/>
      <c r="CQ1252" s="2867"/>
      <c r="CR1252" s="2867"/>
      <c r="CS1252" s="2867"/>
      <c r="CT1252" s="2867"/>
      <c r="CU1252" s="2867"/>
      <c r="CV1252" s="2867"/>
      <c r="CW1252" s="2867"/>
    </row>
    <row r="1253" spans="1:101">
      <c r="A1253" s="2867"/>
      <c r="B1253" s="2867"/>
      <c r="C1253" s="2867"/>
      <c r="D1253" s="2867"/>
      <c r="E1253" s="2867"/>
      <c r="F1253" s="2867"/>
      <c r="G1253" s="2867"/>
      <c r="H1253" s="2867"/>
      <c r="I1253" s="2867"/>
      <c r="J1253" s="2867"/>
      <c r="K1253" s="2867"/>
      <c r="L1253" s="2867"/>
      <c r="M1253" s="2867"/>
      <c r="O1253" s="2867"/>
      <c r="P1253" s="2867"/>
      <c r="Q1253" s="2867"/>
      <c r="R1253" s="2867"/>
      <c r="S1253" s="2867"/>
      <c r="T1253" s="2867"/>
      <c r="U1253" s="2867"/>
      <c r="V1253" s="2867"/>
      <c r="W1253" s="2867"/>
      <c r="X1253" s="2867"/>
      <c r="Y1253" s="2867"/>
      <c r="Z1253" s="2867"/>
      <c r="AA1253" s="2867"/>
      <c r="AB1253" s="2867"/>
      <c r="AC1253" s="2867"/>
      <c r="AD1253" s="2867"/>
      <c r="AE1253" s="2867"/>
      <c r="AF1253" s="2867"/>
      <c r="AG1253" s="2867"/>
      <c r="AH1253" s="2867"/>
      <c r="AI1253" s="2867"/>
      <c r="AJ1253" s="2867"/>
      <c r="AK1253" s="2867"/>
      <c r="AL1253" s="2867"/>
      <c r="AM1253" s="2867"/>
      <c r="AN1253" s="2867"/>
      <c r="AO1253" s="2867"/>
      <c r="AP1253" s="2867"/>
      <c r="AQ1253" s="2867"/>
      <c r="AR1253" s="2867"/>
      <c r="AS1253" s="2867"/>
      <c r="AT1253" s="2867"/>
      <c r="AU1253" s="2867"/>
      <c r="AV1253" s="2867"/>
      <c r="AW1253" s="2867"/>
      <c r="AX1253" s="2867"/>
      <c r="AY1253" s="2867"/>
      <c r="AZ1253" s="2867"/>
      <c r="BA1253" s="2867"/>
      <c r="BB1253" s="2867"/>
      <c r="BC1253" s="2867"/>
      <c r="BD1253" s="2867"/>
      <c r="BE1253" s="2867"/>
      <c r="BF1253" s="2867"/>
      <c r="BG1253" s="2867"/>
      <c r="BH1253" s="2867"/>
      <c r="BI1253" s="2867"/>
      <c r="BJ1253" s="2867"/>
      <c r="BK1253" s="2867"/>
      <c r="BL1253" s="2867"/>
      <c r="BM1253" s="2867"/>
      <c r="BN1253" s="2867"/>
      <c r="BO1253" s="2867"/>
      <c r="BP1253" s="2867"/>
      <c r="BQ1253" s="2867"/>
      <c r="BR1253" s="2867"/>
      <c r="BS1253" s="2867"/>
      <c r="BT1253" s="2867"/>
      <c r="BU1253" s="2867"/>
      <c r="BV1253" s="2867"/>
      <c r="BW1253" s="2867"/>
      <c r="BX1253" s="2867"/>
      <c r="BY1253" s="2867"/>
      <c r="BZ1253" s="2867"/>
      <c r="CA1253" s="2867"/>
      <c r="CB1253" s="2867"/>
      <c r="CC1253" s="2867"/>
      <c r="CD1253" s="2867"/>
      <c r="CE1253" s="2867"/>
      <c r="CF1253" s="2867"/>
      <c r="CG1253" s="2867"/>
      <c r="CH1253" s="2867"/>
      <c r="CI1253" s="2867"/>
      <c r="CJ1253" s="2867"/>
      <c r="CK1253" s="2867"/>
      <c r="CL1253" s="2867"/>
      <c r="CM1253" s="2867"/>
      <c r="CN1253" s="2867"/>
      <c r="CO1253" s="2867"/>
      <c r="CP1253" s="2867"/>
      <c r="CQ1253" s="2867"/>
      <c r="CR1253" s="2867"/>
      <c r="CS1253" s="2867"/>
      <c r="CT1253" s="2867"/>
      <c r="CU1253" s="2867"/>
      <c r="CV1253" s="2867"/>
      <c r="CW1253" s="2867"/>
    </row>
    <row r="1254" spans="1:101">
      <c r="A1254" s="2867"/>
      <c r="B1254" s="2867"/>
      <c r="C1254" s="2867"/>
      <c r="D1254" s="2867"/>
      <c r="E1254" s="2867"/>
      <c r="F1254" s="2867"/>
      <c r="G1254" s="2867"/>
      <c r="H1254" s="2867"/>
      <c r="I1254" s="2867"/>
      <c r="J1254" s="2867"/>
      <c r="K1254" s="2867"/>
      <c r="L1254" s="2867"/>
      <c r="M1254" s="2867"/>
      <c r="O1254" s="2867"/>
      <c r="P1254" s="2867"/>
      <c r="Q1254" s="2867"/>
      <c r="R1254" s="2867"/>
      <c r="S1254" s="2867"/>
      <c r="T1254" s="2867"/>
      <c r="U1254" s="2867"/>
      <c r="V1254" s="2867"/>
      <c r="W1254" s="2867"/>
      <c r="X1254" s="2867"/>
      <c r="Y1254" s="2867"/>
      <c r="Z1254" s="2867"/>
      <c r="AA1254" s="2867"/>
      <c r="AB1254" s="2867"/>
      <c r="AC1254" s="2867"/>
      <c r="AD1254" s="2867"/>
      <c r="AE1254" s="2867"/>
      <c r="AF1254" s="2867"/>
      <c r="AG1254" s="2867"/>
      <c r="AH1254" s="2867"/>
      <c r="AI1254" s="2867"/>
      <c r="AJ1254" s="2867"/>
      <c r="AK1254" s="2867"/>
      <c r="AL1254" s="2867"/>
      <c r="AM1254" s="2867"/>
      <c r="AN1254" s="2867"/>
      <c r="AO1254" s="2867"/>
      <c r="AP1254" s="2867"/>
      <c r="AQ1254" s="2867"/>
      <c r="AR1254" s="2867"/>
      <c r="AS1254" s="2867"/>
      <c r="AT1254" s="2867"/>
      <c r="AU1254" s="2867"/>
      <c r="AV1254" s="2867"/>
      <c r="AW1254" s="2867"/>
      <c r="AX1254" s="2867"/>
      <c r="AY1254" s="2867"/>
      <c r="AZ1254" s="2867"/>
      <c r="BA1254" s="2867"/>
      <c r="BB1254" s="2867"/>
      <c r="BC1254" s="2867"/>
      <c r="BD1254" s="2867"/>
      <c r="BE1254" s="2867"/>
      <c r="BF1254" s="2867"/>
      <c r="BG1254" s="2867"/>
      <c r="BH1254" s="2867"/>
      <c r="BI1254" s="2867"/>
      <c r="BJ1254" s="2867"/>
      <c r="BK1254" s="2867"/>
      <c r="BL1254" s="2867"/>
      <c r="BM1254" s="2867"/>
      <c r="BN1254" s="2867"/>
      <c r="BO1254" s="2867"/>
      <c r="BP1254" s="2867"/>
      <c r="BQ1254" s="2867"/>
      <c r="BR1254" s="2867"/>
      <c r="BS1254" s="2867"/>
      <c r="BT1254" s="2867"/>
      <c r="BU1254" s="2867"/>
      <c r="BV1254" s="2867"/>
      <c r="BW1254" s="2867"/>
      <c r="BX1254" s="2867"/>
      <c r="BY1254" s="2867"/>
      <c r="BZ1254" s="2867"/>
      <c r="CA1254" s="2867"/>
      <c r="CB1254" s="2867"/>
      <c r="CC1254" s="2867"/>
      <c r="CD1254" s="2867"/>
      <c r="CE1254" s="2867"/>
      <c r="CF1254" s="2867"/>
      <c r="CG1254" s="2867"/>
      <c r="CH1254" s="2867"/>
      <c r="CI1254" s="2867"/>
      <c r="CJ1254" s="2867"/>
      <c r="CK1254" s="2867"/>
      <c r="CL1254" s="2867"/>
      <c r="CM1254" s="2867"/>
      <c r="CN1254" s="2867"/>
      <c r="CO1254" s="2867"/>
      <c r="CP1254" s="2867"/>
      <c r="CQ1254" s="2867"/>
      <c r="CR1254" s="2867"/>
      <c r="CS1254" s="2867"/>
      <c r="CT1254" s="2867"/>
      <c r="CU1254" s="2867"/>
      <c r="CV1254" s="2867"/>
      <c r="CW1254" s="2867"/>
    </row>
    <row r="1255" spans="1:101">
      <c r="A1255" s="2867"/>
      <c r="B1255" s="2867"/>
      <c r="C1255" s="2867"/>
      <c r="D1255" s="2867"/>
      <c r="E1255" s="2867"/>
      <c r="F1255" s="2867"/>
      <c r="G1255" s="2867"/>
      <c r="H1255" s="2867"/>
      <c r="I1255" s="2867"/>
      <c r="J1255" s="2867"/>
      <c r="K1255" s="2867"/>
      <c r="L1255" s="2867"/>
      <c r="M1255" s="2867"/>
      <c r="O1255" s="2867"/>
      <c r="P1255" s="2867"/>
      <c r="Q1255" s="2867"/>
      <c r="R1255" s="2867"/>
      <c r="S1255" s="2867"/>
      <c r="T1255" s="2867"/>
      <c r="U1255" s="2867"/>
      <c r="V1255" s="2867"/>
      <c r="W1255" s="2867"/>
      <c r="X1255" s="2867"/>
      <c r="Y1255" s="2867"/>
      <c r="Z1255" s="2867"/>
      <c r="AA1255" s="2867"/>
      <c r="AB1255" s="2867"/>
      <c r="AC1255" s="2867"/>
      <c r="AD1255" s="2867"/>
      <c r="AE1255" s="2867"/>
      <c r="AF1255" s="2867"/>
      <c r="AG1255" s="2867"/>
      <c r="AH1255" s="2867"/>
      <c r="AI1255" s="2867"/>
      <c r="AJ1255" s="2867"/>
      <c r="AK1255" s="2867"/>
      <c r="AL1255" s="2867"/>
      <c r="AM1255" s="2867"/>
      <c r="AN1255" s="2867"/>
      <c r="AO1255" s="2867"/>
      <c r="AP1255" s="2867"/>
      <c r="AQ1255" s="2867"/>
      <c r="AR1255" s="2867"/>
      <c r="AS1255" s="2867"/>
      <c r="AT1255" s="2867"/>
      <c r="AU1255" s="2867"/>
      <c r="AV1255" s="2867"/>
      <c r="AW1255" s="2867"/>
      <c r="AX1255" s="2867"/>
      <c r="AY1255" s="2867"/>
      <c r="AZ1255" s="2867"/>
      <c r="BA1255" s="2867"/>
      <c r="BB1255" s="2867"/>
      <c r="BC1255" s="2867"/>
      <c r="BD1255" s="2867"/>
      <c r="BE1255" s="2867"/>
      <c r="BF1255" s="2867"/>
      <c r="BG1255" s="2867"/>
      <c r="BH1255" s="2867"/>
      <c r="BI1255" s="2867"/>
      <c r="BJ1255" s="2867"/>
      <c r="BK1255" s="2867"/>
      <c r="BL1255" s="2867"/>
      <c r="BM1255" s="2867"/>
      <c r="BN1255" s="2867"/>
      <c r="BO1255" s="2867"/>
      <c r="BP1255" s="2867"/>
      <c r="BQ1255" s="2867"/>
      <c r="BR1255" s="2867"/>
      <c r="BS1255" s="2867"/>
      <c r="BT1255" s="2867"/>
      <c r="BU1255" s="2867"/>
      <c r="BV1255" s="2867"/>
      <c r="BW1255" s="2867"/>
      <c r="BX1255" s="2867"/>
      <c r="BY1255" s="2867"/>
      <c r="BZ1255" s="2867"/>
      <c r="CA1255" s="2867"/>
      <c r="CB1255" s="2867"/>
      <c r="CC1255" s="2867"/>
      <c r="CD1255" s="2867"/>
      <c r="CE1255" s="2867"/>
      <c r="CF1255" s="2867"/>
      <c r="CG1255" s="2867"/>
      <c r="CH1255" s="2867"/>
      <c r="CI1255" s="2867"/>
      <c r="CJ1255" s="2867"/>
      <c r="CK1255" s="2867"/>
      <c r="CL1255" s="2867"/>
      <c r="CM1255" s="2867"/>
      <c r="CN1255" s="2867"/>
      <c r="CO1255" s="2867"/>
      <c r="CP1255" s="2867"/>
      <c r="CQ1255" s="2867"/>
      <c r="CR1255" s="2867"/>
      <c r="CS1255" s="2867"/>
      <c r="CT1255" s="2867"/>
      <c r="CU1255" s="2867"/>
      <c r="CV1255" s="2867"/>
      <c r="CW1255" s="2867"/>
    </row>
    <row r="1256" spans="1:101">
      <c r="A1256" s="2867"/>
      <c r="B1256" s="2867"/>
      <c r="C1256" s="2867"/>
      <c r="D1256" s="2867"/>
      <c r="E1256" s="2867"/>
      <c r="F1256" s="2867"/>
      <c r="G1256" s="2867"/>
      <c r="H1256" s="2867"/>
      <c r="I1256" s="2867"/>
      <c r="J1256" s="2867"/>
      <c r="K1256" s="2867"/>
      <c r="L1256" s="2867"/>
      <c r="M1256" s="2867"/>
      <c r="O1256" s="2867"/>
      <c r="P1256" s="2867"/>
      <c r="Q1256" s="2867"/>
      <c r="R1256" s="2867"/>
      <c r="S1256" s="2867"/>
      <c r="T1256" s="2867"/>
      <c r="U1256" s="2867"/>
      <c r="V1256" s="2867"/>
      <c r="W1256" s="2867"/>
      <c r="X1256" s="2867"/>
      <c r="Y1256" s="2867"/>
      <c r="Z1256" s="2867"/>
      <c r="AA1256" s="2867"/>
      <c r="AB1256" s="2867"/>
      <c r="AC1256" s="2867"/>
      <c r="AD1256" s="2867"/>
      <c r="AE1256" s="2867"/>
      <c r="AF1256" s="2867"/>
      <c r="AG1256" s="2867"/>
      <c r="AH1256" s="2867"/>
      <c r="AI1256" s="2867"/>
      <c r="AJ1256" s="2867"/>
      <c r="AK1256" s="2867"/>
      <c r="AL1256" s="2867"/>
      <c r="AM1256" s="2867"/>
      <c r="AN1256" s="2867"/>
      <c r="AO1256" s="2867"/>
      <c r="AP1256" s="2867"/>
      <c r="AQ1256" s="2867"/>
      <c r="AR1256" s="2867"/>
      <c r="AS1256" s="2867"/>
      <c r="AT1256" s="2867"/>
      <c r="AU1256" s="2867"/>
      <c r="AV1256" s="2867"/>
      <c r="AW1256" s="2867"/>
      <c r="AX1256" s="2867"/>
      <c r="AY1256" s="2867"/>
      <c r="AZ1256" s="2867"/>
      <c r="BA1256" s="2867"/>
      <c r="BB1256" s="2867"/>
      <c r="BC1256" s="2867"/>
      <c r="BD1256" s="2867"/>
      <c r="BE1256" s="2867"/>
      <c r="BF1256" s="2867"/>
      <c r="BG1256" s="2867"/>
      <c r="BH1256" s="2867"/>
      <c r="BI1256" s="2867"/>
      <c r="BJ1256" s="2867"/>
      <c r="BK1256" s="2867"/>
      <c r="BL1256" s="2867"/>
      <c r="BM1256" s="2867"/>
      <c r="BN1256" s="2867"/>
      <c r="BO1256" s="2867"/>
      <c r="BP1256" s="2867"/>
      <c r="BQ1256" s="2867"/>
      <c r="BR1256" s="2867"/>
      <c r="BS1256" s="2867"/>
      <c r="BT1256" s="2867"/>
      <c r="BU1256" s="2867"/>
      <c r="BV1256" s="2867"/>
      <c r="BW1256" s="2867"/>
      <c r="BX1256" s="2867"/>
      <c r="BY1256" s="2867"/>
      <c r="BZ1256" s="2867"/>
      <c r="CA1256" s="2867"/>
      <c r="CB1256" s="2867"/>
      <c r="CC1256" s="2867"/>
      <c r="CD1256" s="2867"/>
      <c r="CE1256" s="2867"/>
      <c r="CF1256" s="2867"/>
      <c r="CG1256" s="2867"/>
      <c r="CH1256" s="2867"/>
      <c r="CI1256" s="2867"/>
      <c r="CJ1256" s="2867"/>
      <c r="CK1256" s="2867"/>
      <c r="CL1256" s="2867"/>
      <c r="CM1256" s="2867"/>
      <c r="CN1256" s="2867"/>
      <c r="CO1256" s="2867"/>
      <c r="CP1256" s="2867"/>
      <c r="CQ1256" s="2867"/>
      <c r="CR1256" s="2867"/>
      <c r="CS1256" s="2867"/>
      <c r="CT1256" s="2867"/>
      <c r="CU1256" s="2867"/>
      <c r="CV1256" s="2867"/>
      <c r="CW1256" s="2867"/>
    </row>
    <row r="1257" spans="1:101">
      <c r="A1257" s="2867"/>
      <c r="B1257" s="2867"/>
      <c r="C1257" s="2867"/>
      <c r="D1257" s="2867"/>
      <c r="E1257" s="2867"/>
      <c r="F1257" s="2867"/>
      <c r="G1257" s="2867"/>
      <c r="H1257" s="2867"/>
      <c r="I1257" s="2867"/>
      <c r="J1257" s="2867"/>
      <c r="K1257" s="2867"/>
      <c r="L1257" s="2867"/>
      <c r="M1257" s="2867"/>
      <c r="O1257" s="2867"/>
      <c r="P1257" s="2867"/>
      <c r="Q1257" s="2867"/>
      <c r="R1257" s="2867"/>
      <c r="S1257" s="2867"/>
      <c r="T1257" s="2867"/>
      <c r="U1257" s="2867"/>
      <c r="V1257" s="2867"/>
      <c r="W1257" s="2867"/>
      <c r="X1257" s="2867"/>
      <c r="Y1257" s="2867"/>
      <c r="Z1257" s="2867"/>
      <c r="AA1257" s="2867"/>
      <c r="AB1257" s="2867"/>
      <c r="AC1257" s="2867"/>
      <c r="AD1257" s="2867"/>
      <c r="AE1257" s="2867"/>
      <c r="AF1257" s="2867"/>
      <c r="AG1257" s="2867"/>
      <c r="AH1257" s="2867"/>
      <c r="AI1257" s="2867"/>
      <c r="AJ1257" s="2867"/>
      <c r="AK1257" s="2867"/>
      <c r="AL1257" s="2867"/>
      <c r="AM1257" s="2867"/>
      <c r="AN1257" s="2867"/>
      <c r="AO1257" s="2867"/>
      <c r="AP1257" s="2867"/>
      <c r="AQ1257" s="2867"/>
      <c r="AR1257" s="2867"/>
      <c r="AS1257" s="2867"/>
      <c r="AT1257" s="2867"/>
      <c r="AU1257" s="2867"/>
      <c r="AV1257" s="2867"/>
      <c r="AW1257" s="2867"/>
      <c r="AX1257" s="2867"/>
      <c r="AY1257" s="2867"/>
      <c r="AZ1257" s="2867"/>
      <c r="BA1257" s="2867"/>
      <c r="BB1257" s="2867"/>
      <c r="BC1257" s="2867"/>
      <c r="BD1257" s="2867"/>
      <c r="BE1257" s="2867"/>
      <c r="BF1257" s="2867"/>
      <c r="BG1257" s="2867"/>
      <c r="BH1257" s="2867"/>
      <c r="BI1257" s="2867"/>
      <c r="BJ1257" s="2867"/>
      <c r="BK1257" s="2867"/>
      <c r="BL1257" s="2867"/>
      <c r="BM1257" s="2867"/>
      <c r="BN1257" s="2867"/>
      <c r="BO1257" s="2867"/>
      <c r="BP1257" s="2867"/>
      <c r="BQ1257" s="2867"/>
      <c r="BR1257" s="2867"/>
      <c r="BS1257" s="2867"/>
      <c r="BT1257" s="2867"/>
      <c r="BU1257" s="2867"/>
      <c r="BV1257" s="2867"/>
      <c r="BW1257" s="2867"/>
      <c r="BX1257" s="2867"/>
      <c r="BY1257" s="2867"/>
      <c r="BZ1257" s="2867"/>
      <c r="CA1257" s="2867"/>
      <c r="CB1257" s="2867"/>
      <c r="CC1257" s="2867"/>
      <c r="CD1257" s="2867"/>
      <c r="CE1257" s="2867"/>
      <c r="CF1257" s="2867"/>
      <c r="CG1257" s="2867"/>
      <c r="CH1257" s="2867"/>
      <c r="CI1257" s="2867"/>
      <c r="CJ1257" s="2867"/>
      <c r="CK1257" s="2867"/>
      <c r="CL1257" s="2867"/>
      <c r="CM1257" s="2867"/>
      <c r="CN1257" s="2867"/>
      <c r="CO1257" s="2867"/>
      <c r="CP1257" s="2867"/>
      <c r="CQ1257" s="2867"/>
      <c r="CR1257" s="2867"/>
      <c r="CS1257" s="2867"/>
      <c r="CT1257" s="2867"/>
      <c r="CU1257" s="2867"/>
      <c r="CV1257" s="2867"/>
      <c r="CW1257" s="2867"/>
    </row>
    <row r="1258" spans="1:101">
      <c r="A1258" s="2867"/>
      <c r="B1258" s="2867"/>
      <c r="C1258" s="2867"/>
      <c r="D1258" s="2867"/>
      <c r="E1258" s="2867"/>
      <c r="F1258" s="2867"/>
      <c r="G1258" s="2867"/>
      <c r="H1258" s="2867"/>
      <c r="I1258" s="2867"/>
      <c r="J1258" s="2867"/>
      <c r="K1258" s="2867"/>
      <c r="L1258" s="2867"/>
      <c r="M1258" s="2867"/>
      <c r="O1258" s="2867"/>
      <c r="P1258" s="2867"/>
      <c r="Q1258" s="2867"/>
      <c r="R1258" s="2867"/>
      <c r="S1258" s="2867"/>
      <c r="T1258" s="2867"/>
      <c r="U1258" s="2867"/>
      <c r="V1258" s="2867"/>
      <c r="W1258" s="2867"/>
      <c r="X1258" s="2867"/>
      <c r="Y1258" s="2867"/>
      <c r="Z1258" s="2867"/>
      <c r="AA1258" s="2867"/>
      <c r="AB1258" s="2867"/>
      <c r="AC1258" s="2867"/>
      <c r="AD1258" s="2867"/>
      <c r="AE1258" s="2867"/>
      <c r="AF1258" s="2867"/>
      <c r="AG1258" s="2867"/>
      <c r="AH1258" s="2867"/>
      <c r="AI1258" s="2867"/>
      <c r="AJ1258" s="2867"/>
      <c r="AK1258" s="2867"/>
      <c r="AL1258" s="2867"/>
      <c r="AM1258" s="2867"/>
      <c r="AN1258" s="2867"/>
      <c r="AO1258" s="2867"/>
      <c r="AP1258" s="2867"/>
      <c r="AQ1258" s="2867"/>
      <c r="AR1258" s="2867"/>
      <c r="AS1258" s="2867"/>
      <c r="AT1258" s="2867"/>
      <c r="AU1258" s="2867"/>
      <c r="AV1258" s="2867"/>
      <c r="AW1258" s="2867"/>
      <c r="AX1258" s="2867"/>
      <c r="AY1258" s="2867"/>
      <c r="AZ1258" s="2867"/>
      <c r="BA1258" s="2867"/>
      <c r="BB1258" s="2867"/>
      <c r="BC1258" s="2867"/>
      <c r="BD1258" s="2867"/>
      <c r="BE1258" s="2867"/>
      <c r="BF1258" s="2867"/>
      <c r="BG1258" s="2867"/>
      <c r="BH1258" s="2867"/>
      <c r="BI1258" s="2867"/>
      <c r="BJ1258" s="2867"/>
      <c r="BK1258" s="2867"/>
      <c r="BL1258" s="2867"/>
      <c r="BM1258" s="2867"/>
      <c r="BN1258" s="2867"/>
      <c r="BO1258" s="2867"/>
      <c r="BP1258" s="2867"/>
      <c r="BQ1258" s="2867"/>
      <c r="BR1258" s="2867"/>
      <c r="BS1258" s="2867"/>
      <c r="BT1258" s="2867"/>
      <c r="BU1258" s="2867"/>
      <c r="BV1258" s="2867"/>
      <c r="BW1258" s="2867"/>
      <c r="BX1258" s="2867"/>
      <c r="BY1258" s="2867"/>
      <c r="BZ1258" s="2867"/>
      <c r="CA1258" s="2867"/>
      <c r="CB1258" s="2867"/>
      <c r="CC1258" s="2867"/>
      <c r="CD1258" s="2867"/>
      <c r="CE1258" s="2867"/>
      <c r="CF1258" s="2867"/>
      <c r="CG1258" s="2867"/>
      <c r="CH1258" s="2867"/>
      <c r="CI1258" s="2867"/>
      <c r="CJ1258" s="2867"/>
      <c r="CK1258" s="2867"/>
      <c r="CL1258" s="2867"/>
      <c r="CM1258" s="2867"/>
      <c r="CN1258" s="2867"/>
      <c r="CO1258" s="2867"/>
      <c r="CP1258" s="2867"/>
      <c r="CQ1258" s="2867"/>
      <c r="CR1258" s="2867"/>
      <c r="CS1258" s="2867"/>
      <c r="CT1258" s="2867"/>
      <c r="CU1258" s="2867"/>
      <c r="CV1258" s="2867"/>
      <c r="CW1258" s="2867"/>
    </row>
    <row r="1259" spans="1:101">
      <c r="A1259" s="2867"/>
      <c r="B1259" s="2867"/>
      <c r="C1259" s="2867"/>
      <c r="D1259" s="2867"/>
      <c r="E1259" s="2867"/>
      <c r="F1259" s="2867"/>
      <c r="G1259" s="2867"/>
      <c r="H1259" s="2867"/>
      <c r="I1259" s="2867"/>
      <c r="J1259" s="2867"/>
      <c r="K1259" s="2867"/>
      <c r="L1259" s="2867"/>
      <c r="M1259" s="2867"/>
      <c r="O1259" s="2867"/>
      <c r="P1259" s="2867"/>
      <c r="Q1259" s="2867"/>
      <c r="R1259" s="2867"/>
      <c r="S1259" s="2867"/>
      <c r="T1259" s="2867"/>
      <c r="U1259" s="2867"/>
      <c r="V1259" s="2867"/>
      <c r="W1259" s="2867"/>
      <c r="X1259" s="2867"/>
      <c r="Y1259" s="2867"/>
      <c r="Z1259" s="2867"/>
      <c r="AA1259" s="2867"/>
      <c r="AB1259" s="2867"/>
      <c r="AC1259" s="2867"/>
      <c r="AD1259" s="2867"/>
      <c r="AE1259" s="2867"/>
      <c r="AF1259" s="2867"/>
      <c r="AG1259" s="2867"/>
      <c r="AH1259" s="2867"/>
      <c r="AI1259" s="2867"/>
      <c r="AJ1259" s="2867"/>
      <c r="AK1259" s="2867"/>
      <c r="AL1259" s="2867"/>
      <c r="AM1259" s="2867"/>
      <c r="AN1259" s="2867"/>
      <c r="AO1259" s="2867"/>
      <c r="AP1259" s="2867"/>
      <c r="AQ1259" s="2867"/>
      <c r="AR1259" s="2867"/>
      <c r="AS1259" s="2867"/>
      <c r="AT1259" s="2867"/>
      <c r="AU1259" s="2867"/>
      <c r="AV1259" s="2867"/>
      <c r="AW1259" s="2867"/>
      <c r="AX1259" s="2867"/>
      <c r="AY1259" s="2867"/>
      <c r="AZ1259" s="2867"/>
      <c r="BA1259" s="2867"/>
      <c r="BB1259" s="2867"/>
      <c r="BC1259" s="2867"/>
      <c r="BD1259" s="2867"/>
      <c r="BE1259" s="2867"/>
      <c r="BF1259" s="2867"/>
      <c r="BG1259" s="2867"/>
      <c r="BH1259" s="2867"/>
      <c r="BI1259" s="2867"/>
      <c r="BJ1259" s="2867"/>
      <c r="BK1259" s="2867"/>
      <c r="BL1259" s="2867"/>
      <c r="BM1259" s="2867"/>
      <c r="BN1259" s="2867"/>
      <c r="BO1259" s="2867"/>
      <c r="BP1259" s="2867"/>
      <c r="BQ1259" s="2867"/>
      <c r="BR1259" s="2867"/>
      <c r="BS1259" s="2867"/>
      <c r="BT1259" s="2867"/>
      <c r="BU1259" s="2867"/>
      <c r="BV1259" s="2867"/>
      <c r="BW1259" s="2867"/>
      <c r="BX1259" s="2867"/>
      <c r="BY1259" s="2867"/>
      <c r="BZ1259" s="2867"/>
      <c r="CA1259" s="2867"/>
      <c r="CB1259" s="2867"/>
      <c r="CC1259" s="2867"/>
      <c r="CD1259" s="2867"/>
      <c r="CE1259" s="2867"/>
      <c r="CF1259" s="2867"/>
      <c r="CG1259" s="2867"/>
      <c r="CH1259" s="2867"/>
      <c r="CI1259" s="2867"/>
      <c r="CJ1259" s="2867"/>
      <c r="CK1259" s="2867"/>
      <c r="CL1259" s="2867"/>
      <c r="CM1259" s="2867"/>
      <c r="CN1259" s="2867"/>
      <c r="CO1259" s="2867"/>
      <c r="CP1259" s="2867"/>
      <c r="CQ1259" s="2867"/>
      <c r="CR1259" s="2867"/>
      <c r="CS1259" s="2867"/>
      <c r="CT1259" s="2867"/>
      <c r="CU1259" s="2867"/>
      <c r="CV1259" s="2867"/>
      <c r="CW1259" s="2867"/>
    </row>
    <row r="1260" spans="1:101">
      <c r="A1260" s="2867"/>
      <c r="B1260" s="2867"/>
      <c r="C1260" s="2867"/>
      <c r="D1260" s="2867"/>
      <c r="E1260" s="2867"/>
      <c r="F1260" s="2867"/>
      <c r="G1260" s="2867"/>
      <c r="H1260" s="2867"/>
      <c r="I1260" s="2867"/>
      <c r="J1260" s="2867"/>
      <c r="K1260" s="2867"/>
      <c r="L1260" s="2867"/>
      <c r="M1260" s="2867"/>
      <c r="O1260" s="2867"/>
      <c r="P1260" s="2867"/>
      <c r="Q1260" s="2867"/>
      <c r="R1260" s="2867"/>
      <c r="S1260" s="2867"/>
      <c r="T1260" s="2867"/>
      <c r="U1260" s="2867"/>
      <c r="V1260" s="2867"/>
      <c r="W1260" s="2867"/>
      <c r="X1260" s="2867"/>
      <c r="Y1260" s="2867"/>
      <c r="Z1260" s="2867"/>
      <c r="AA1260" s="2867"/>
      <c r="AB1260" s="2867"/>
      <c r="AC1260" s="2867"/>
      <c r="AD1260" s="2867"/>
      <c r="AE1260" s="2867"/>
      <c r="AF1260" s="2867"/>
      <c r="AG1260" s="2867"/>
      <c r="AH1260" s="2867"/>
      <c r="AI1260" s="2867"/>
      <c r="AJ1260" s="2867"/>
      <c r="AK1260" s="2867"/>
      <c r="AL1260" s="2867"/>
      <c r="AM1260" s="2867"/>
      <c r="AN1260" s="2867"/>
      <c r="AO1260" s="2867"/>
      <c r="AP1260" s="2867"/>
      <c r="AQ1260" s="2867"/>
      <c r="AR1260" s="2867"/>
      <c r="AS1260" s="2867"/>
      <c r="AT1260" s="2867"/>
      <c r="AU1260" s="2867"/>
      <c r="AV1260" s="2867"/>
      <c r="AW1260" s="2867"/>
      <c r="AX1260" s="2867"/>
      <c r="AY1260" s="2867"/>
      <c r="AZ1260" s="2867"/>
      <c r="BA1260" s="2867"/>
      <c r="BB1260" s="2867"/>
      <c r="BC1260" s="2867"/>
      <c r="BD1260" s="2867"/>
      <c r="BE1260" s="2867"/>
      <c r="BF1260" s="2867"/>
      <c r="BG1260" s="2867"/>
      <c r="BH1260" s="2867"/>
      <c r="BI1260" s="2867"/>
      <c r="BJ1260" s="2867"/>
      <c r="BK1260" s="2867"/>
      <c r="BL1260" s="2867"/>
      <c r="BM1260" s="2867"/>
      <c r="BN1260" s="2867"/>
      <c r="BO1260" s="2867"/>
      <c r="BP1260" s="2867"/>
      <c r="BQ1260" s="2867"/>
      <c r="BR1260" s="2867"/>
      <c r="BS1260" s="2867"/>
      <c r="BT1260" s="2867"/>
      <c r="BU1260" s="2867"/>
      <c r="BV1260" s="2867"/>
      <c r="BW1260" s="2867"/>
      <c r="BX1260" s="2867"/>
      <c r="BY1260" s="2867"/>
      <c r="BZ1260" s="2867"/>
      <c r="CA1260" s="2867"/>
      <c r="CB1260" s="2867"/>
      <c r="CC1260" s="2867"/>
      <c r="CD1260" s="2867"/>
      <c r="CE1260" s="2867"/>
      <c r="CF1260" s="2867"/>
      <c r="CG1260" s="2867"/>
      <c r="CH1260" s="2867"/>
      <c r="CI1260" s="2867"/>
      <c r="CJ1260" s="2867"/>
      <c r="CK1260" s="2867"/>
      <c r="CL1260" s="2867"/>
      <c r="CM1260" s="2867"/>
      <c r="CN1260" s="2867"/>
      <c r="CO1260" s="2867"/>
      <c r="CP1260" s="2867"/>
      <c r="CQ1260" s="2867"/>
      <c r="CR1260" s="2867"/>
      <c r="CS1260" s="2867"/>
      <c r="CT1260" s="2867"/>
      <c r="CU1260" s="2867"/>
      <c r="CV1260" s="2867"/>
      <c r="CW1260" s="2867"/>
    </row>
    <row r="1261" spans="1:101">
      <c r="A1261" s="2867"/>
      <c r="B1261" s="2867"/>
      <c r="C1261" s="2867"/>
      <c r="D1261" s="2867"/>
      <c r="E1261" s="2867"/>
      <c r="F1261" s="2867"/>
      <c r="G1261" s="2867"/>
      <c r="H1261" s="2867"/>
      <c r="I1261" s="2867"/>
      <c r="J1261" s="2867"/>
      <c r="K1261" s="2867"/>
      <c r="L1261" s="2867"/>
      <c r="M1261" s="2867"/>
      <c r="O1261" s="2867"/>
      <c r="P1261" s="2867"/>
      <c r="Q1261" s="2867"/>
      <c r="R1261" s="2867"/>
      <c r="S1261" s="2867"/>
      <c r="T1261" s="2867"/>
      <c r="U1261" s="2867"/>
      <c r="V1261" s="2867"/>
      <c r="W1261" s="2867"/>
      <c r="X1261" s="2867"/>
      <c r="Y1261" s="2867"/>
      <c r="Z1261" s="2867"/>
      <c r="AA1261" s="2867"/>
      <c r="AB1261" s="2867"/>
      <c r="AC1261" s="2867"/>
      <c r="AD1261" s="2867"/>
      <c r="AE1261" s="2867"/>
      <c r="AF1261" s="2867"/>
      <c r="AG1261" s="2867"/>
      <c r="AH1261" s="2867"/>
      <c r="AI1261" s="2867"/>
      <c r="AJ1261" s="2867"/>
      <c r="AK1261" s="2867"/>
      <c r="AL1261" s="2867"/>
      <c r="AM1261" s="2867"/>
      <c r="AN1261" s="2867"/>
      <c r="AO1261" s="2867"/>
      <c r="AP1261" s="2867"/>
      <c r="AQ1261" s="2867"/>
      <c r="AR1261" s="2867"/>
      <c r="AS1261" s="2867"/>
      <c r="AT1261" s="2867"/>
      <c r="AU1261" s="2867"/>
      <c r="AV1261" s="2867"/>
      <c r="AW1261" s="2867"/>
      <c r="AX1261" s="2867"/>
      <c r="AY1261" s="2867"/>
      <c r="AZ1261" s="2867"/>
      <c r="BA1261" s="2867"/>
      <c r="BB1261" s="2867"/>
      <c r="BC1261" s="2867"/>
      <c r="BD1261" s="2867"/>
      <c r="BE1261" s="2867"/>
      <c r="BF1261" s="2867"/>
      <c r="BG1261" s="2867"/>
      <c r="BH1261" s="2867"/>
      <c r="BI1261" s="2867"/>
      <c r="BJ1261" s="2867"/>
      <c r="BK1261" s="2867"/>
      <c r="BL1261" s="2867"/>
      <c r="BM1261" s="2867"/>
      <c r="BN1261" s="2867"/>
      <c r="BO1261" s="2867"/>
      <c r="BP1261" s="2867"/>
      <c r="BQ1261" s="2867"/>
      <c r="BR1261" s="2867"/>
      <c r="BS1261" s="2867"/>
      <c r="BT1261" s="2867"/>
      <c r="BU1261" s="2867"/>
      <c r="BV1261" s="2867"/>
      <c r="BW1261" s="2867"/>
      <c r="BX1261" s="2867"/>
      <c r="BY1261" s="2867"/>
      <c r="BZ1261" s="2867"/>
      <c r="CA1261" s="2867"/>
      <c r="CB1261" s="2867"/>
      <c r="CC1261" s="2867"/>
      <c r="CD1261" s="2867"/>
      <c r="CE1261" s="2867"/>
      <c r="CF1261" s="2867"/>
      <c r="CG1261" s="2867"/>
      <c r="CH1261" s="2867"/>
      <c r="CI1261" s="2867"/>
      <c r="CJ1261" s="2867"/>
      <c r="CK1261" s="2867"/>
      <c r="CL1261" s="2867"/>
      <c r="CM1261" s="2867"/>
      <c r="CN1261" s="2867"/>
      <c r="CO1261" s="2867"/>
      <c r="CP1261" s="2867"/>
      <c r="CQ1261" s="2867"/>
      <c r="CR1261" s="2867"/>
      <c r="CS1261" s="2867"/>
      <c r="CT1261" s="2867"/>
      <c r="CU1261" s="2867"/>
      <c r="CV1261" s="2867"/>
      <c r="CW1261" s="2867"/>
    </row>
    <row r="1262" spans="1:101">
      <c r="A1262" s="2867"/>
      <c r="B1262" s="2867"/>
      <c r="C1262" s="2867"/>
      <c r="D1262" s="2867"/>
      <c r="E1262" s="2867"/>
      <c r="F1262" s="2867"/>
      <c r="G1262" s="2867"/>
      <c r="H1262" s="2867"/>
      <c r="I1262" s="2867"/>
      <c r="J1262" s="2867"/>
      <c r="K1262" s="2867"/>
      <c r="L1262" s="2867"/>
      <c r="M1262" s="2867"/>
      <c r="O1262" s="2867"/>
      <c r="P1262" s="2867"/>
      <c r="Q1262" s="2867"/>
      <c r="R1262" s="2867"/>
      <c r="S1262" s="2867"/>
      <c r="T1262" s="2867"/>
      <c r="U1262" s="2867"/>
      <c r="V1262" s="2867"/>
      <c r="W1262" s="2867"/>
      <c r="X1262" s="2867"/>
      <c r="Y1262" s="2867"/>
      <c r="Z1262" s="2867"/>
      <c r="AA1262" s="2867"/>
      <c r="AB1262" s="2867"/>
      <c r="AC1262" s="2867"/>
      <c r="AD1262" s="2867"/>
      <c r="AE1262" s="2867"/>
      <c r="AF1262" s="2867"/>
      <c r="AG1262" s="2867"/>
      <c r="AH1262" s="2867"/>
      <c r="AI1262" s="2867"/>
      <c r="AJ1262" s="2867"/>
      <c r="AK1262" s="2867"/>
      <c r="AL1262" s="2867"/>
      <c r="AM1262" s="2867"/>
      <c r="AN1262" s="2867"/>
      <c r="AO1262" s="2867"/>
      <c r="AP1262" s="2867"/>
      <c r="AQ1262" s="2867"/>
      <c r="AR1262" s="2867"/>
      <c r="AS1262" s="2867"/>
      <c r="AT1262" s="2867"/>
      <c r="AU1262" s="2867"/>
      <c r="AV1262" s="2867"/>
      <c r="AW1262" s="2867"/>
      <c r="AX1262" s="2867"/>
      <c r="AY1262" s="2867"/>
      <c r="AZ1262" s="2867"/>
      <c r="BA1262" s="2867"/>
      <c r="BB1262" s="2867"/>
      <c r="BC1262" s="2867"/>
      <c r="BD1262" s="2867"/>
      <c r="BE1262" s="2867"/>
      <c r="BF1262" s="2867"/>
      <c r="BG1262" s="2867"/>
      <c r="BH1262" s="2867"/>
      <c r="BI1262" s="2867"/>
      <c r="BJ1262" s="2867"/>
      <c r="BK1262" s="2867"/>
      <c r="BL1262" s="2867"/>
      <c r="BM1262" s="2867"/>
      <c r="BN1262" s="2867"/>
      <c r="BO1262" s="2867"/>
      <c r="BP1262" s="2867"/>
      <c r="BQ1262" s="2867"/>
      <c r="BR1262" s="2867"/>
      <c r="BS1262" s="2867"/>
      <c r="BT1262" s="2867"/>
      <c r="BU1262" s="2867"/>
      <c r="BV1262" s="2867"/>
      <c r="BW1262" s="2867"/>
      <c r="BX1262" s="2867"/>
      <c r="BY1262" s="2867"/>
      <c r="BZ1262" s="2867"/>
      <c r="CA1262" s="2867"/>
      <c r="CB1262" s="2867"/>
      <c r="CC1262" s="2867"/>
      <c r="CD1262" s="2867"/>
      <c r="CE1262" s="2867"/>
      <c r="CF1262" s="2867"/>
      <c r="CG1262" s="2867"/>
      <c r="CH1262" s="2867"/>
      <c r="CI1262" s="2867"/>
      <c r="CJ1262" s="2867"/>
      <c r="CK1262" s="2867"/>
      <c r="CL1262" s="2867"/>
      <c r="CM1262" s="2867"/>
      <c r="CN1262" s="2867"/>
      <c r="CO1262" s="2867"/>
      <c r="CP1262" s="2867"/>
      <c r="CQ1262" s="2867"/>
      <c r="CR1262" s="2867"/>
      <c r="CS1262" s="2867"/>
      <c r="CT1262" s="2867"/>
      <c r="CU1262" s="2867"/>
      <c r="CV1262" s="2867"/>
      <c r="CW1262" s="2867"/>
    </row>
    <row r="1263" spans="1:101">
      <c r="A1263" s="2867"/>
      <c r="B1263" s="2867"/>
      <c r="C1263" s="2867"/>
      <c r="D1263" s="2867"/>
      <c r="E1263" s="2867"/>
      <c r="F1263" s="2867"/>
      <c r="G1263" s="2867"/>
      <c r="H1263" s="2867"/>
      <c r="I1263" s="2867"/>
      <c r="J1263" s="2867"/>
      <c r="K1263" s="2867"/>
      <c r="L1263" s="2867"/>
      <c r="M1263" s="2867"/>
      <c r="O1263" s="2867"/>
      <c r="P1263" s="2867"/>
      <c r="Q1263" s="2867"/>
      <c r="R1263" s="2867"/>
      <c r="S1263" s="2867"/>
      <c r="T1263" s="2867"/>
      <c r="U1263" s="2867"/>
      <c r="V1263" s="2867"/>
      <c r="W1263" s="2867"/>
      <c r="X1263" s="2867"/>
      <c r="Y1263" s="2867"/>
      <c r="Z1263" s="2867"/>
      <c r="AA1263" s="2867"/>
      <c r="AB1263" s="2867"/>
      <c r="AC1263" s="2867"/>
      <c r="AD1263" s="2867"/>
      <c r="AE1263" s="2867"/>
      <c r="AF1263" s="2867"/>
      <c r="AG1263" s="2867"/>
      <c r="AH1263" s="2867"/>
      <c r="AI1263" s="2867"/>
      <c r="AJ1263" s="2867"/>
      <c r="AK1263" s="2867"/>
      <c r="AL1263" s="2867"/>
      <c r="AM1263" s="2867"/>
      <c r="AN1263" s="2867"/>
      <c r="AO1263" s="2867"/>
      <c r="AP1263" s="2867"/>
      <c r="AQ1263" s="2867"/>
      <c r="AR1263" s="2867"/>
      <c r="AS1263" s="2867"/>
      <c r="AT1263" s="2867"/>
      <c r="AU1263" s="2867"/>
      <c r="AV1263" s="2867"/>
      <c r="AW1263" s="2867"/>
      <c r="AX1263" s="2867"/>
      <c r="AY1263" s="2867"/>
      <c r="AZ1263" s="2867"/>
      <c r="BA1263" s="2867"/>
      <c r="BB1263" s="2867"/>
      <c r="BC1263" s="2867"/>
      <c r="BD1263" s="2867"/>
      <c r="BE1263" s="2867"/>
      <c r="BF1263" s="2867"/>
      <c r="BG1263" s="2867"/>
      <c r="BH1263" s="2867"/>
      <c r="BI1263" s="2867"/>
      <c r="BJ1263" s="2867"/>
      <c r="BK1263" s="2867"/>
      <c r="BL1263" s="2867"/>
      <c r="BM1263" s="2867"/>
      <c r="BN1263" s="2867"/>
      <c r="BO1263" s="2867"/>
      <c r="BP1263" s="2867"/>
      <c r="BQ1263" s="2867"/>
      <c r="BR1263" s="2867"/>
      <c r="BS1263" s="2867"/>
      <c r="BT1263" s="2867"/>
      <c r="BU1263" s="2867"/>
      <c r="BV1263" s="2867"/>
      <c r="BW1263" s="2867"/>
      <c r="BX1263" s="2867"/>
      <c r="BY1263" s="2867"/>
      <c r="BZ1263" s="2867"/>
      <c r="CA1263" s="2867"/>
      <c r="CB1263" s="2867"/>
      <c r="CC1263" s="2867"/>
      <c r="CD1263" s="2867"/>
      <c r="CE1263" s="2867"/>
      <c r="CF1263" s="2867"/>
      <c r="CG1263" s="2867"/>
      <c r="CH1263" s="2867"/>
      <c r="CI1263" s="2867"/>
      <c r="CJ1263" s="2867"/>
      <c r="CK1263" s="2867"/>
      <c r="CL1263" s="2867"/>
      <c r="CM1263" s="2867"/>
      <c r="CN1263" s="2867"/>
      <c r="CO1263" s="2867"/>
      <c r="CP1263" s="2867"/>
      <c r="CQ1263" s="2867"/>
      <c r="CR1263" s="2867"/>
      <c r="CS1263" s="2867"/>
      <c r="CT1263" s="2867"/>
      <c r="CU1263" s="2867"/>
      <c r="CV1263" s="2867"/>
      <c r="CW1263" s="2867"/>
    </row>
    <row r="1264" spans="1:101">
      <c r="A1264" s="2867"/>
      <c r="B1264" s="2867"/>
      <c r="C1264" s="2867"/>
      <c r="D1264" s="2867"/>
      <c r="E1264" s="2867"/>
      <c r="F1264" s="2867"/>
      <c r="G1264" s="2867"/>
      <c r="H1264" s="2867"/>
      <c r="I1264" s="2867"/>
      <c r="J1264" s="2867"/>
      <c r="K1264" s="2867"/>
      <c r="L1264" s="2867"/>
      <c r="M1264" s="2867"/>
      <c r="O1264" s="2867"/>
      <c r="P1264" s="2867"/>
      <c r="Q1264" s="2867"/>
      <c r="R1264" s="2867"/>
      <c r="S1264" s="2867"/>
      <c r="T1264" s="2867"/>
      <c r="U1264" s="2867"/>
      <c r="V1264" s="2867"/>
      <c r="W1264" s="2867"/>
      <c r="X1264" s="2867"/>
      <c r="Y1264" s="2867"/>
      <c r="Z1264" s="2867"/>
      <c r="AA1264" s="2867"/>
      <c r="AB1264" s="2867"/>
      <c r="AC1264" s="2867"/>
      <c r="AD1264" s="2867"/>
      <c r="AE1264" s="2867"/>
      <c r="AF1264" s="2867"/>
      <c r="AG1264" s="2867"/>
      <c r="AH1264" s="2867"/>
      <c r="AI1264" s="2867"/>
      <c r="AJ1264" s="2867"/>
      <c r="AK1264" s="2867"/>
      <c r="AL1264" s="2867"/>
      <c r="AM1264" s="2867"/>
      <c r="AN1264" s="2867"/>
      <c r="AO1264" s="2867"/>
      <c r="AP1264" s="2867"/>
      <c r="AQ1264" s="2867"/>
      <c r="AR1264" s="2867"/>
      <c r="AS1264" s="2867"/>
      <c r="AT1264" s="2867"/>
      <c r="AU1264" s="2867"/>
      <c r="AV1264" s="2867"/>
      <c r="AW1264" s="2867"/>
      <c r="AX1264" s="2867"/>
      <c r="AY1264" s="2867"/>
      <c r="AZ1264" s="2867"/>
      <c r="BA1264" s="2867"/>
      <c r="BB1264" s="2867"/>
      <c r="BC1264" s="2867"/>
      <c r="BD1264" s="2867"/>
      <c r="BE1264" s="2867"/>
      <c r="BF1264" s="2867"/>
      <c r="BG1264" s="2867"/>
      <c r="BH1264" s="2867"/>
      <c r="BI1264" s="2867"/>
      <c r="BJ1264" s="2867"/>
      <c r="BK1264" s="2867"/>
      <c r="BL1264" s="2867"/>
      <c r="BM1264" s="2867"/>
      <c r="BN1264" s="2867"/>
      <c r="BO1264" s="2867"/>
      <c r="BP1264" s="2867"/>
      <c r="BQ1264" s="2867"/>
      <c r="BR1264" s="2867"/>
      <c r="BS1264" s="2867"/>
      <c r="BT1264" s="2867"/>
      <c r="BU1264" s="2867"/>
      <c r="BV1264" s="2867"/>
      <c r="BW1264" s="2867"/>
      <c r="BX1264" s="2867"/>
      <c r="BY1264" s="2867"/>
      <c r="BZ1264" s="2867"/>
      <c r="CA1264" s="2867"/>
      <c r="CB1264" s="2867"/>
      <c r="CC1264" s="2867"/>
      <c r="CD1264" s="2867"/>
      <c r="CE1264" s="2867"/>
      <c r="CF1264" s="2867"/>
      <c r="CG1264" s="2867"/>
      <c r="CH1264" s="2867"/>
      <c r="CI1264" s="2867"/>
      <c r="CJ1264" s="2867"/>
      <c r="CK1264" s="2867"/>
      <c r="CL1264" s="2867"/>
      <c r="CM1264" s="2867"/>
      <c r="CN1264" s="2867"/>
      <c r="CO1264" s="2867"/>
      <c r="CP1264" s="2867"/>
      <c r="CQ1264" s="2867"/>
      <c r="CR1264" s="2867"/>
      <c r="CS1264" s="2867"/>
      <c r="CT1264" s="2867"/>
      <c r="CU1264" s="2867"/>
      <c r="CV1264" s="2867"/>
      <c r="CW1264" s="2867"/>
    </row>
    <row r="1265" spans="1:101">
      <c r="A1265" s="2867"/>
      <c r="B1265" s="2867"/>
      <c r="C1265" s="2867"/>
      <c r="D1265" s="2867"/>
      <c r="E1265" s="2867"/>
      <c r="F1265" s="2867"/>
      <c r="G1265" s="2867"/>
      <c r="H1265" s="2867"/>
      <c r="I1265" s="2867"/>
      <c r="J1265" s="2867"/>
      <c r="K1265" s="2867"/>
      <c r="L1265" s="2867"/>
      <c r="M1265" s="2867"/>
      <c r="O1265" s="2867"/>
      <c r="P1265" s="2867"/>
      <c r="Q1265" s="2867"/>
      <c r="R1265" s="2867"/>
      <c r="S1265" s="2867"/>
      <c r="T1265" s="2867"/>
      <c r="U1265" s="2867"/>
      <c r="V1265" s="2867"/>
      <c r="W1265" s="2867"/>
      <c r="X1265" s="2867"/>
      <c r="Y1265" s="2867"/>
      <c r="Z1265" s="2867"/>
      <c r="AA1265" s="2867"/>
      <c r="AB1265" s="2867"/>
      <c r="AC1265" s="2867"/>
      <c r="AD1265" s="2867"/>
      <c r="AE1265" s="2867"/>
      <c r="AF1265" s="2867"/>
      <c r="AG1265" s="2867"/>
      <c r="AH1265" s="2867"/>
      <c r="AI1265" s="2867"/>
      <c r="AJ1265" s="2867"/>
      <c r="AK1265" s="2867"/>
      <c r="AL1265" s="2867"/>
      <c r="AM1265" s="2867"/>
      <c r="AN1265" s="2867"/>
      <c r="AO1265" s="2867"/>
      <c r="AP1265" s="2867"/>
      <c r="AQ1265" s="2867"/>
      <c r="AR1265" s="2867"/>
      <c r="AS1265" s="2867"/>
      <c r="AT1265" s="2867"/>
      <c r="AU1265" s="2867"/>
      <c r="AV1265" s="2867"/>
      <c r="AW1265" s="2867"/>
      <c r="AX1265" s="2867"/>
      <c r="AY1265" s="2867"/>
      <c r="AZ1265" s="2867"/>
      <c r="BA1265" s="2867"/>
      <c r="BB1265" s="2867"/>
      <c r="BC1265" s="2867"/>
      <c r="BD1265" s="2867"/>
      <c r="BE1265" s="2867"/>
      <c r="BF1265" s="2867"/>
      <c r="BG1265" s="2867"/>
      <c r="BH1265" s="2867"/>
      <c r="BI1265" s="2867"/>
      <c r="BJ1265" s="2867"/>
      <c r="BK1265" s="2867"/>
      <c r="BL1265" s="2867"/>
      <c r="BM1265" s="2867"/>
      <c r="BN1265" s="2867"/>
      <c r="BO1265" s="2867"/>
      <c r="BP1265" s="2867"/>
      <c r="BQ1265" s="2867"/>
      <c r="BR1265" s="2867"/>
      <c r="BS1265" s="2867"/>
      <c r="BT1265" s="2867"/>
      <c r="BU1265" s="2867"/>
      <c r="BV1265" s="2867"/>
      <c r="BW1265" s="2867"/>
      <c r="BX1265" s="2867"/>
      <c r="BY1265" s="2867"/>
      <c r="BZ1265" s="2867"/>
      <c r="CA1265" s="2867"/>
      <c r="CB1265" s="2867"/>
      <c r="CC1265" s="2867"/>
      <c r="CD1265" s="2867"/>
      <c r="CE1265" s="2867"/>
      <c r="CF1265" s="2867"/>
      <c r="CG1265" s="2867"/>
      <c r="CH1265" s="2867"/>
      <c r="CI1265" s="2867"/>
      <c r="CJ1265" s="2867"/>
      <c r="CK1265" s="2867"/>
      <c r="CL1265" s="2867"/>
      <c r="CM1265" s="2867"/>
      <c r="CN1265" s="2867"/>
      <c r="CO1265" s="2867"/>
      <c r="CP1265" s="2867"/>
      <c r="CQ1265" s="2867"/>
      <c r="CR1265" s="2867"/>
      <c r="CS1265" s="2867"/>
      <c r="CT1265" s="2867"/>
      <c r="CU1265" s="2867"/>
      <c r="CV1265" s="2867"/>
      <c r="CW1265" s="2867"/>
    </row>
    <row r="1266" spans="1:101">
      <c r="A1266" s="2867"/>
      <c r="B1266" s="2867"/>
      <c r="C1266" s="2867"/>
      <c r="D1266" s="2867"/>
      <c r="E1266" s="2867"/>
      <c r="F1266" s="2867"/>
      <c r="G1266" s="2867"/>
      <c r="H1266" s="2867"/>
      <c r="I1266" s="2867"/>
      <c r="J1266" s="2867"/>
      <c r="K1266" s="2867"/>
      <c r="L1266" s="2867"/>
      <c r="M1266" s="2867"/>
      <c r="O1266" s="2867"/>
      <c r="P1266" s="2867"/>
      <c r="Q1266" s="2867"/>
      <c r="R1266" s="2867"/>
      <c r="S1266" s="2867"/>
      <c r="T1266" s="2867"/>
      <c r="U1266" s="2867"/>
      <c r="V1266" s="2867"/>
      <c r="W1266" s="2867"/>
      <c r="X1266" s="2867"/>
      <c r="Y1266" s="2867"/>
      <c r="Z1266" s="2867"/>
      <c r="AA1266" s="2867"/>
      <c r="AB1266" s="2867"/>
      <c r="AC1266" s="2867"/>
      <c r="AD1266" s="2867"/>
      <c r="AE1266" s="2867"/>
      <c r="AF1266" s="2867"/>
      <c r="AG1266" s="2867"/>
      <c r="AH1266" s="2867"/>
      <c r="AI1266" s="2867"/>
      <c r="AJ1266" s="2867"/>
      <c r="AK1266" s="2867"/>
      <c r="AL1266" s="2867"/>
      <c r="AM1266" s="2867"/>
      <c r="AN1266" s="2867"/>
      <c r="AO1266" s="2867"/>
      <c r="AP1266" s="2867"/>
      <c r="AQ1266" s="2867"/>
      <c r="AR1266" s="2867"/>
      <c r="AS1266" s="2867"/>
      <c r="AT1266" s="2867"/>
      <c r="AU1266" s="2867"/>
      <c r="AV1266" s="2867"/>
      <c r="AW1266" s="2867"/>
      <c r="AX1266" s="2867"/>
      <c r="AY1266" s="2867"/>
      <c r="AZ1266" s="2867"/>
      <c r="BA1266" s="2867"/>
      <c r="BB1266" s="2867"/>
      <c r="BC1266" s="2867"/>
      <c r="BD1266" s="2867"/>
      <c r="BE1266" s="2867"/>
      <c r="BF1266" s="2867"/>
      <c r="BG1266" s="2867"/>
      <c r="BH1266" s="2867"/>
      <c r="BI1266" s="2867"/>
      <c r="BJ1266" s="2867"/>
      <c r="BK1266" s="2867"/>
      <c r="BL1266" s="2867"/>
      <c r="BM1266" s="2867"/>
      <c r="BN1266" s="2867"/>
      <c r="BO1266" s="2867"/>
      <c r="BP1266" s="2867"/>
      <c r="BQ1266" s="2867"/>
      <c r="BR1266" s="2867"/>
      <c r="BS1266" s="2867"/>
      <c r="BT1266" s="2867"/>
      <c r="BU1266" s="2867"/>
      <c r="BV1266" s="2867"/>
      <c r="BW1266" s="2867"/>
      <c r="BX1266" s="2867"/>
      <c r="BY1266" s="2867"/>
      <c r="BZ1266" s="2867"/>
      <c r="CA1266" s="2867"/>
      <c r="CB1266" s="2867"/>
      <c r="CC1266" s="2867"/>
      <c r="CD1266" s="2867"/>
      <c r="CE1266" s="2867"/>
      <c r="CF1266" s="2867"/>
      <c r="CG1266" s="2867"/>
      <c r="CH1266" s="2867"/>
      <c r="CI1266" s="2867"/>
      <c r="CJ1266" s="2867"/>
      <c r="CK1266" s="2867"/>
      <c r="CL1266" s="2867"/>
      <c r="CM1266" s="2867"/>
      <c r="CN1266" s="2867"/>
      <c r="CO1266" s="2867"/>
      <c r="CP1266" s="2867"/>
      <c r="CQ1266" s="2867"/>
      <c r="CR1266" s="2867"/>
      <c r="CS1266" s="2867"/>
      <c r="CT1266" s="2867"/>
      <c r="CU1266" s="2867"/>
      <c r="CV1266" s="2867"/>
      <c r="CW1266" s="2867"/>
    </row>
    <row r="1267" spans="1:101">
      <c r="A1267" s="2867"/>
      <c r="B1267" s="2867"/>
      <c r="C1267" s="2867"/>
      <c r="D1267" s="2867"/>
      <c r="E1267" s="2867"/>
      <c r="F1267" s="2867"/>
      <c r="G1267" s="2867"/>
      <c r="H1267" s="2867"/>
      <c r="I1267" s="2867"/>
      <c r="J1267" s="2867"/>
      <c r="K1267" s="2867"/>
      <c r="L1267" s="2867"/>
      <c r="M1267" s="2867"/>
      <c r="O1267" s="2867"/>
      <c r="P1267" s="2867"/>
      <c r="Q1267" s="2867"/>
      <c r="R1267" s="2867"/>
      <c r="S1267" s="2867"/>
      <c r="T1267" s="2867"/>
      <c r="U1267" s="2867"/>
      <c r="V1267" s="2867"/>
      <c r="W1267" s="2867"/>
      <c r="X1267" s="2867"/>
      <c r="Y1267" s="2867"/>
      <c r="Z1267" s="2867"/>
      <c r="AA1267" s="2867"/>
      <c r="AB1267" s="2867"/>
      <c r="AC1267" s="2867"/>
      <c r="AD1267" s="2867"/>
      <c r="AE1267" s="2867"/>
      <c r="AF1267" s="2867"/>
      <c r="AG1267" s="2867"/>
      <c r="AH1267" s="2867"/>
      <c r="AI1267" s="2867"/>
      <c r="AJ1267" s="2867"/>
      <c r="AK1267" s="2867"/>
      <c r="AL1267" s="2867"/>
      <c r="AM1267" s="2867"/>
      <c r="AN1267" s="2867"/>
      <c r="AO1267" s="2867"/>
      <c r="AP1267" s="2867"/>
      <c r="AQ1267" s="2867"/>
      <c r="AR1267" s="2867"/>
      <c r="AS1267" s="2867"/>
      <c r="AT1267" s="2867"/>
      <c r="AU1267" s="2867"/>
      <c r="AV1267" s="2867"/>
      <c r="AW1267" s="2867"/>
      <c r="AX1267" s="2867"/>
      <c r="AY1267" s="2867"/>
      <c r="AZ1267" s="2867"/>
      <c r="BA1267" s="2867"/>
      <c r="BB1267" s="2867"/>
      <c r="BC1267" s="2867"/>
      <c r="BD1267" s="2867"/>
      <c r="BE1267" s="2867"/>
      <c r="BF1267" s="2867"/>
      <c r="BG1267" s="2867"/>
      <c r="BH1267" s="2867"/>
      <c r="BI1267" s="2867"/>
      <c r="BJ1267" s="2867"/>
      <c r="BK1267" s="2867"/>
      <c r="BL1267" s="2867"/>
      <c r="BM1267" s="2867"/>
      <c r="BN1267" s="2867"/>
      <c r="BO1267" s="2867"/>
      <c r="BP1267" s="2867"/>
      <c r="BQ1267" s="2867"/>
      <c r="BR1267" s="2867"/>
      <c r="BS1267" s="2867"/>
      <c r="BT1267" s="2867"/>
      <c r="BU1267" s="2867"/>
      <c r="BV1267" s="2867"/>
      <c r="BW1267" s="2867"/>
      <c r="BX1267" s="2867"/>
      <c r="BY1267" s="2867"/>
      <c r="BZ1267" s="2867"/>
      <c r="CA1267" s="2867"/>
      <c r="CB1267" s="2867"/>
      <c r="CC1267" s="2867"/>
      <c r="CD1267" s="2867"/>
      <c r="CE1267" s="2867"/>
      <c r="CF1267" s="2867"/>
      <c r="CG1267" s="2867"/>
      <c r="CH1267" s="2867"/>
      <c r="CI1267" s="2867"/>
      <c r="CJ1267" s="2867"/>
      <c r="CK1267" s="2867"/>
      <c r="CL1267" s="2867"/>
      <c r="CM1267" s="2867"/>
      <c r="CN1267" s="2867"/>
      <c r="CO1267" s="2867"/>
      <c r="CP1267" s="2867"/>
      <c r="CQ1267" s="2867"/>
      <c r="CR1267" s="2867"/>
      <c r="CS1267" s="2867"/>
      <c r="CT1267" s="2867"/>
      <c r="CU1267" s="2867"/>
      <c r="CV1267" s="2867"/>
      <c r="CW1267" s="2867"/>
    </row>
    <row r="1268" spans="1:101">
      <c r="A1268" s="2867"/>
      <c r="B1268" s="2867"/>
      <c r="C1268" s="2867"/>
      <c r="D1268" s="2867"/>
      <c r="E1268" s="2867"/>
      <c r="F1268" s="2867"/>
      <c r="G1268" s="2867"/>
      <c r="H1268" s="2867"/>
      <c r="I1268" s="2867"/>
      <c r="J1268" s="2867"/>
      <c r="K1268" s="2867"/>
      <c r="L1268" s="2867"/>
      <c r="M1268" s="2867"/>
      <c r="O1268" s="2867"/>
      <c r="P1268" s="2867"/>
      <c r="Q1268" s="2867"/>
      <c r="R1268" s="2867"/>
      <c r="S1268" s="2867"/>
      <c r="T1268" s="2867"/>
      <c r="U1268" s="2867"/>
      <c r="V1268" s="2867"/>
      <c r="W1268" s="2867"/>
      <c r="X1268" s="2867"/>
      <c r="Y1268" s="2867"/>
      <c r="Z1268" s="2867"/>
      <c r="AA1268" s="2867"/>
      <c r="AB1268" s="2867"/>
      <c r="AC1268" s="2867"/>
      <c r="AD1268" s="2867"/>
      <c r="AE1268" s="2867"/>
      <c r="AF1268" s="2867"/>
      <c r="AG1268" s="2867"/>
      <c r="AH1268" s="2867"/>
      <c r="AI1268" s="2867"/>
      <c r="AJ1268" s="2867"/>
      <c r="AK1268" s="2867"/>
      <c r="AL1268" s="2867"/>
      <c r="AM1268" s="2867"/>
      <c r="AN1268" s="2867"/>
      <c r="AO1268" s="2867"/>
      <c r="AP1268" s="2867"/>
      <c r="AQ1268" s="2867"/>
      <c r="AR1268" s="2867"/>
      <c r="AS1268" s="2867"/>
      <c r="AT1268" s="2867"/>
      <c r="AU1268" s="2867"/>
      <c r="AV1268" s="2867"/>
      <c r="AW1268" s="2867"/>
      <c r="AX1268" s="2867"/>
      <c r="AY1268" s="2867"/>
      <c r="AZ1268" s="2867"/>
      <c r="BA1268" s="2867"/>
      <c r="BB1268" s="2867"/>
      <c r="BC1268" s="2867"/>
      <c r="BD1268" s="2867"/>
      <c r="BE1268" s="2867"/>
      <c r="BF1268" s="2867"/>
      <c r="BG1268" s="2867"/>
      <c r="BH1268" s="2867"/>
      <c r="BI1268" s="2867"/>
      <c r="BJ1268" s="2867"/>
      <c r="BK1268" s="2867"/>
      <c r="BL1268" s="2867"/>
      <c r="BM1268" s="2867"/>
      <c r="BN1268" s="2867"/>
      <c r="BO1268" s="2867"/>
      <c r="BP1268" s="2867"/>
      <c r="BQ1268" s="2867"/>
      <c r="BR1268" s="2867"/>
      <c r="BS1268" s="2867"/>
      <c r="BT1268" s="2867"/>
      <c r="BU1268" s="2867"/>
      <c r="BV1268" s="2867"/>
      <c r="BW1268" s="2867"/>
      <c r="BX1268" s="2867"/>
      <c r="BY1268" s="2867"/>
      <c r="BZ1268" s="2867"/>
      <c r="CA1268" s="2867"/>
      <c r="CB1268" s="2867"/>
      <c r="CC1268" s="2867"/>
      <c r="CD1268" s="2867"/>
      <c r="CE1268" s="2867"/>
      <c r="CF1268" s="2867"/>
      <c r="CG1268" s="2867"/>
      <c r="CH1268" s="2867"/>
      <c r="CI1268" s="2867"/>
      <c r="CJ1268" s="2867"/>
      <c r="CK1268" s="2867"/>
      <c r="CL1268" s="2867"/>
      <c r="CM1268" s="2867"/>
      <c r="CN1268" s="2867"/>
      <c r="CO1268" s="2867"/>
      <c r="CP1268" s="2867"/>
      <c r="CQ1268" s="2867"/>
      <c r="CR1268" s="2867"/>
      <c r="CS1268" s="2867"/>
      <c r="CT1268" s="2867"/>
      <c r="CU1268" s="2867"/>
      <c r="CV1268" s="2867"/>
      <c r="CW1268" s="2867"/>
    </row>
    <row r="1269" spans="1:101">
      <c r="A1269" s="2867"/>
      <c r="B1269" s="2867"/>
      <c r="C1269" s="2867"/>
      <c r="D1269" s="2867"/>
      <c r="E1269" s="2867"/>
      <c r="F1269" s="2867"/>
      <c r="G1269" s="2867"/>
      <c r="H1269" s="2867"/>
      <c r="I1269" s="2867"/>
      <c r="J1269" s="2867"/>
      <c r="K1269" s="2867"/>
      <c r="L1269" s="2867"/>
      <c r="M1269" s="2867"/>
      <c r="O1269" s="2867"/>
      <c r="P1269" s="2867"/>
      <c r="Q1269" s="2867"/>
      <c r="R1269" s="2867"/>
      <c r="S1269" s="2867"/>
      <c r="T1269" s="2867"/>
      <c r="U1269" s="2867"/>
      <c r="V1269" s="2867"/>
      <c r="W1269" s="2867"/>
      <c r="X1269" s="2867"/>
      <c r="Y1269" s="2867"/>
      <c r="Z1269" s="2867"/>
      <c r="AA1269" s="2867"/>
      <c r="AB1269" s="2867"/>
      <c r="AC1269" s="2867"/>
      <c r="AD1269" s="2867"/>
      <c r="AE1269" s="2867"/>
      <c r="AF1269" s="2867"/>
      <c r="AG1269" s="2867"/>
      <c r="AH1269" s="2867"/>
      <c r="AI1269" s="2867"/>
      <c r="AJ1269" s="2867"/>
      <c r="AK1269" s="2867"/>
      <c r="AL1269" s="2867"/>
      <c r="AM1269" s="2867"/>
      <c r="AN1269" s="2867"/>
      <c r="AO1269" s="2867"/>
      <c r="AP1269" s="2867"/>
      <c r="AQ1269" s="2867"/>
      <c r="AR1269" s="2867"/>
      <c r="AS1269" s="2867"/>
      <c r="AT1269" s="2867"/>
      <c r="AU1269" s="2867"/>
      <c r="AV1269" s="2867"/>
      <c r="AW1269" s="2867"/>
      <c r="AX1269" s="2867"/>
      <c r="AY1269" s="2867"/>
      <c r="AZ1269" s="2867"/>
      <c r="BA1269" s="2867"/>
      <c r="BB1269" s="2867"/>
      <c r="BC1269" s="2867"/>
      <c r="BD1269" s="2867"/>
      <c r="BE1269" s="2867"/>
      <c r="BF1269" s="2867"/>
      <c r="BG1269" s="2867"/>
      <c r="BH1269" s="2867"/>
      <c r="BI1269" s="2867"/>
      <c r="BJ1269" s="2867"/>
      <c r="BK1269" s="2867"/>
      <c r="BL1269" s="2867"/>
      <c r="BM1269" s="2867"/>
      <c r="BN1269" s="2867"/>
      <c r="BO1269" s="2867"/>
      <c r="BP1269" s="2867"/>
      <c r="BQ1269" s="2867"/>
      <c r="BR1269" s="2867"/>
      <c r="BS1269" s="2867"/>
      <c r="BT1269" s="2867"/>
      <c r="BU1269" s="2867"/>
      <c r="BV1269" s="2867"/>
      <c r="BW1269" s="2867"/>
      <c r="BX1269" s="2867"/>
      <c r="BY1269" s="2867"/>
      <c r="BZ1269" s="2867"/>
      <c r="CA1269" s="2867"/>
      <c r="CB1269" s="2867"/>
      <c r="CC1269" s="2867"/>
      <c r="CD1269" s="2867"/>
      <c r="CE1269" s="2867"/>
      <c r="CF1269" s="2867"/>
      <c r="CG1269" s="2867"/>
      <c r="CH1269" s="2867"/>
      <c r="CI1269" s="2867"/>
      <c r="CJ1269" s="2867"/>
      <c r="CK1269" s="2867"/>
      <c r="CL1269" s="2867"/>
      <c r="CM1269" s="2867"/>
      <c r="CN1269" s="2867"/>
      <c r="CO1269" s="2867"/>
      <c r="CP1269" s="2867"/>
      <c r="CQ1269" s="2867"/>
      <c r="CR1269" s="2867"/>
      <c r="CS1269" s="2867"/>
      <c r="CT1269" s="2867"/>
      <c r="CU1269" s="2867"/>
      <c r="CV1269" s="2867"/>
      <c r="CW1269" s="2867"/>
    </row>
    <row r="1270" spans="1:101">
      <c r="A1270" s="2867"/>
      <c r="B1270" s="2867"/>
      <c r="C1270" s="2867"/>
      <c r="D1270" s="2867"/>
      <c r="E1270" s="2867"/>
      <c r="F1270" s="2867"/>
      <c r="G1270" s="2867"/>
      <c r="H1270" s="2867"/>
      <c r="I1270" s="2867"/>
      <c r="J1270" s="2867"/>
      <c r="K1270" s="2867"/>
      <c r="L1270" s="2867"/>
      <c r="M1270" s="2867"/>
      <c r="O1270" s="2867"/>
      <c r="P1270" s="2867"/>
      <c r="Q1270" s="2867"/>
      <c r="R1270" s="2867"/>
      <c r="S1270" s="2867"/>
      <c r="T1270" s="2867"/>
      <c r="U1270" s="2867"/>
      <c r="V1270" s="2867"/>
      <c r="W1270" s="2867"/>
      <c r="X1270" s="2867"/>
      <c r="Y1270" s="2867"/>
      <c r="Z1270" s="2867"/>
      <c r="AA1270" s="2867"/>
      <c r="AB1270" s="2867"/>
      <c r="AC1270" s="2867"/>
      <c r="AD1270" s="2867"/>
      <c r="AE1270" s="2867"/>
      <c r="AF1270" s="2867"/>
      <c r="AG1270" s="2867"/>
      <c r="AH1270" s="2867"/>
      <c r="AI1270" s="2867"/>
      <c r="AJ1270" s="2867"/>
      <c r="AK1270" s="2867"/>
      <c r="AL1270" s="2867"/>
      <c r="AM1270" s="2867"/>
      <c r="AN1270" s="2867"/>
      <c r="AO1270" s="2867"/>
      <c r="AP1270" s="2867"/>
      <c r="AQ1270" s="2867"/>
      <c r="AR1270" s="2867"/>
      <c r="AS1270" s="2867"/>
      <c r="AT1270" s="2867"/>
      <c r="AU1270" s="2867"/>
      <c r="AV1270" s="2867"/>
      <c r="AW1270" s="2867"/>
      <c r="AX1270" s="2867"/>
      <c r="AY1270" s="2867"/>
      <c r="AZ1270" s="2867"/>
      <c r="BA1270" s="2867"/>
      <c r="BB1270" s="2867"/>
      <c r="BC1270" s="2867"/>
      <c r="BD1270" s="2867"/>
      <c r="BE1270" s="2867"/>
      <c r="BF1270" s="2867"/>
      <c r="BG1270" s="2867"/>
      <c r="BH1270" s="2867"/>
      <c r="BI1270" s="2867"/>
      <c r="BJ1270" s="2867"/>
      <c r="BK1270" s="2867"/>
      <c r="BL1270" s="2867"/>
      <c r="BM1270" s="2867"/>
      <c r="BN1270" s="2867"/>
      <c r="BO1270" s="2867"/>
      <c r="BP1270" s="2867"/>
      <c r="BQ1270" s="2867"/>
      <c r="BR1270" s="2867"/>
      <c r="BS1270" s="2867"/>
      <c r="BT1270" s="2867"/>
      <c r="BU1270" s="2867"/>
      <c r="BV1270" s="2867"/>
      <c r="BW1270" s="2867"/>
      <c r="BX1270" s="2867"/>
      <c r="BY1270" s="2867"/>
      <c r="BZ1270" s="2867"/>
      <c r="CA1270" s="2867"/>
      <c r="CB1270" s="2867"/>
      <c r="CC1270" s="2867"/>
      <c r="CD1270" s="2867"/>
      <c r="CE1270" s="2867"/>
      <c r="CF1270" s="2867"/>
      <c r="CG1270" s="2867"/>
      <c r="CH1270" s="2867"/>
      <c r="CI1270" s="2867"/>
      <c r="CJ1270" s="2867"/>
      <c r="CK1270" s="2867"/>
      <c r="CL1270" s="2867"/>
      <c r="CM1270" s="2867"/>
      <c r="CN1270" s="2867"/>
      <c r="CO1270" s="2867"/>
      <c r="CP1270" s="2867"/>
      <c r="CQ1270" s="2867"/>
      <c r="CR1270" s="2867"/>
      <c r="CS1270" s="2867"/>
      <c r="CT1270" s="2867"/>
      <c r="CU1270" s="2867"/>
      <c r="CV1270" s="2867"/>
      <c r="CW1270" s="2867"/>
    </row>
    <row r="1271" spans="1:101">
      <c r="A1271" s="2867"/>
      <c r="B1271" s="2867"/>
      <c r="C1271" s="2867"/>
      <c r="D1271" s="2867"/>
      <c r="E1271" s="2867"/>
      <c r="F1271" s="2867"/>
      <c r="G1271" s="2867"/>
      <c r="H1271" s="2867"/>
      <c r="I1271" s="2867"/>
      <c r="J1271" s="2867"/>
      <c r="K1271" s="2867"/>
      <c r="L1271" s="2867"/>
      <c r="M1271" s="2867"/>
      <c r="O1271" s="2867"/>
      <c r="P1271" s="2867"/>
      <c r="Q1271" s="2867"/>
      <c r="R1271" s="2867"/>
      <c r="S1271" s="2867"/>
      <c r="T1271" s="2867"/>
      <c r="U1271" s="2867"/>
      <c r="V1271" s="2867"/>
      <c r="W1271" s="2867"/>
      <c r="X1271" s="2867"/>
      <c r="Y1271" s="2867"/>
      <c r="Z1271" s="2867"/>
      <c r="AA1271" s="2867"/>
      <c r="AB1271" s="2867"/>
      <c r="AC1271" s="2867"/>
      <c r="AD1271" s="2867"/>
      <c r="AE1271" s="2867"/>
      <c r="AF1271" s="2867"/>
      <c r="AG1271" s="2867"/>
      <c r="AH1271" s="2867"/>
      <c r="AI1271" s="2867"/>
      <c r="AJ1271" s="2867"/>
      <c r="AK1271" s="2867"/>
      <c r="AL1271" s="2867"/>
      <c r="AM1271" s="2867"/>
      <c r="AN1271" s="2867"/>
      <c r="AO1271" s="2867"/>
      <c r="AP1271" s="2867"/>
      <c r="AQ1271" s="2867"/>
      <c r="AR1271" s="2867"/>
      <c r="AS1271" s="2867"/>
      <c r="AT1271" s="2867"/>
      <c r="AU1271" s="2867"/>
      <c r="AV1271" s="2867"/>
      <c r="AW1271" s="2867"/>
      <c r="AX1271" s="2867"/>
      <c r="AY1271" s="2867"/>
      <c r="AZ1271" s="2867"/>
      <c r="BA1271" s="2867"/>
      <c r="BB1271" s="2867"/>
      <c r="BC1271" s="2867"/>
      <c r="BD1271" s="2867"/>
      <c r="BE1271" s="2867"/>
      <c r="BF1271" s="2867"/>
      <c r="BG1271" s="2867"/>
      <c r="BH1271" s="2867"/>
      <c r="BI1271" s="2867"/>
      <c r="BJ1271" s="2867"/>
      <c r="BK1271" s="2867"/>
      <c r="BL1271" s="2867"/>
      <c r="BM1271" s="2867"/>
      <c r="BN1271" s="2867"/>
      <c r="BO1271" s="2867"/>
      <c r="BP1271" s="2867"/>
      <c r="BQ1271" s="2867"/>
      <c r="BR1271" s="2867"/>
      <c r="BS1271" s="2867"/>
      <c r="BT1271" s="2867"/>
      <c r="BU1271" s="2867"/>
      <c r="BV1271" s="2867"/>
      <c r="BW1271" s="2867"/>
      <c r="BX1271" s="2867"/>
      <c r="BY1271" s="2867"/>
      <c r="BZ1271" s="2867"/>
      <c r="CA1271" s="2867"/>
      <c r="CB1271" s="2867"/>
      <c r="CC1271" s="2867"/>
      <c r="CD1271" s="2867"/>
      <c r="CE1271" s="2867"/>
      <c r="CF1271" s="2867"/>
      <c r="CG1271" s="2867"/>
      <c r="CH1271" s="2867"/>
      <c r="CI1271" s="2867"/>
      <c r="CJ1271" s="2867"/>
      <c r="CK1271" s="2867"/>
      <c r="CL1271" s="2867"/>
      <c r="CM1271" s="2867"/>
      <c r="CN1271" s="2867"/>
      <c r="CO1271" s="2867"/>
      <c r="CP1271" s="2867"/>
      <c r="CQ1271" s="2867"/>
      <c r="CR1271" s="2867"/>
      <c r="CS1271" s="2867"/>
      <c r="CT1271" s="2867"/>
      <c r="CU1271" s="2867"/>
      <c r="CV1271" s="2867"/>
      <c r="CW1271" s="2867"/>
    </row>
    <row r="1272" spans="1:101">
      <c r="A1272" s="2867"/>
      <c r="B1272" s="2867"/>
      <c r="C1272" s="2867"/>
      <c r="D1272" s="2867"/>
      <c r="E1272" s="2867"/>
      <c r="F1272" s="2867"/>
      <c r="G1272" s="2867"/>
      <c r="H1272" s="2867"/>
      <c r="I1272" s="2867"/>
      <c r="J1272" s="2867"/>
      <c r="K1272" s="2867"/>
      <c r="L1272" s="2867"/>
      <c r="M1272" s="2867"/>
      <c r="O1272" s="2867"/>
      <c r="P1272" s="2867"/>
      <c r="Q1272" s="2867"/>
      <c r="R1272" s="2867"/>
      <c r="S1272" s="2867"/>
      <c r="T1272" s="2867"/>
      <c r="U1272" s="2867"/>
      <c r="V1272" s="2867"/>
      <c r="W1272" s="2867"/>
      <c r="X1272" s="2867"/>
      <c r="Y1272" s="2867"/>
      <c r="Z1272" s="2867"/>
      <c r="AA1272" s="2867"/>
      <c r="AB1272" s="2867"/>
      <c r="AC1272" s="2867"/>
      <c r="AD1272" s="2867"/>
      <c r="AE1272" s="2867"/>
      <c r="AF1272" s="2867"/>
      <c r="AG1272" s="2867"/>
      <c r="AH1272" s="2867"/>
      <c r="AI1272" s="2867"/>
      <c r="AJ1272" s="2867"/>
      <c r="AK1272" s="2867"/>
      <c r="AL1272" s="2867"/>
      <c r="AM1272" s="2867"/>
      <c r="AN1272" s="2867"/>
      <c r="AO1272" s="2867"/>
      <c r="AP1272" s="2867"/>
      <c r="AQ1272" s="2867"/>
      <c r="AR1272" s="2867"/>
      <c r="AS1272" s="2867"/>
      <c r="AT1272" s="2867"/>
      <c r="AU1272" s="2867"/>
      <c r="AV1272" s="2867"/>
      <c r="AW1272" s="2867"/>
      <c r="AX1272" s="2867"/>
      <c r="AY1272" s="2867"/>
      <c r="AZ1272" s="2867"/>
      <c r="BA1272" s="2867"/>
      <c r="BB1272" s="2867"/>
      <c r="BC1272" s="2867"/>
      <c r="BD1272" s="2867"/>
      <c r="BE1272" s="2867"/>
      <c r="BF1272" s="2867"/>
      <c r="BG1272" s="2867"/>
      <c r="BH1272" s="2867"/>
      <c r="BI1272" s="2867"/>
      <c r="BJ1272" s="2867"/>
      <c r="BK1272" s="2867"/>
      <c r="BL1272" s="2867"/>
      <c r="BM1272" s="2867"/>
      <c r="BN1272" s="2867"/>
      <c r="BO1272" s="2867"/>
      <c r="BP1272" s="2867"/>
      <c r="BQ1272" s="2867"/>
      <c r="BR1272" s="2867"/>
      <c r="BS1272" s="2867"/>
      <c r="BT1272" s="2867"/>
      <c r="BU1272" s="2867"/>
      <c r="BV1272" s="2867"/>
      <c r="BW1272" s="2867"/>
      <c r="BX1272" s="2867"/>
      <c r="BY1272" s="2867"/>
      <c r="BZ1272" s="2867"/>
      <c r="CA1272" s="2867"/>
      <c r="CB1272" s="2867"/>
      <c r="CC1272" s="2867"/>
      <c r="CD1272" s="2867"/>
      <c r="CE1272" s="2867"/>
      <c r="CF1272" s="2867"/>
      <c r="CG1272" s="2867"/>
      <c r="CH1272" s="2867"/>
      <c r="CI1272" s="2867"/>
      <c r="CJ1272" s="2867"/>
      <c r="CK1272" s="2867"/>
      <c r="CL1272" s="2867"/>
      <c r="CM1272" s="2867"/>
      <c r="CN1272" s="2867"/>
      <c r="CO1272" s="2867"/>
      <c r="CP1272" s="2867"/>
      <c r="CQ1272" s="2867"/>
      <c r="CR1272" s="2867"/>
      <c r="CS1272" s="2867"/>
      <c r="CT1272" s="2867"/>
      <c r="CU1272" s="2867"/>
      <c r="CV1272" s="2867"/>
      <c r="CW1272" s="2867"/>
    </row>
    <row r="1273" spans="1:101">
      <c r="A1273" s="2867"/>
      <c r="B1273" s="2867"/>
      <c r="C1273" s="2867"/>
      <c r="D1273" s="2867"/>
      <c r="E1273" s="2867"/>
      <c r="F1273" s="2867"/>
      <c r="G1273" s="2867"/>
      <c r="H1273" s="2867"/>
      <c r="I1273" s="2867"/>
      <c r="J1273" s="2867"/>
      <c r="K1273" s="2867"/>
      <c r="L1273" s="2867"/>
      <c r="M1273" s="2867"/>
      <c r="O1273" s="2867"/>
      <c r="P1273" s="2867"/>
      <c r="Q1273" s="2867"/>
      <c r="R1273" s="2867"/>
      <c r="S1273" s="2867"/>
      <c r="T1273" s="2867"/>
      <c r="U1273" s="2867"/>
      <c r="V1273" s="2867"/>
      <c r="W1273" s="2867"/>
      <c r="X1273" s="2867"/>
      <c r="Y1273" s="2867"/>
      <c r="Z1273" s="2867"/>
      <c r="AA1273" s="2867"/>
      <c r="AB1273" s="2867"/>
      <c r="AC1273" s="2867"/>
      <c r="AD1273" s="2867"/>
      <c r="AE1273" s="2867"/>
      <c r="AF1273" s="2867"/>
      <c r="AG1273" s="2867"/>
      <c r="AH1273" s="2867"/>
      <c r="AI1273" s="2867"/>
      <c r="AJ1273" s="2867"/>
      <c r="AK1273" s="2867"/>
      <c r="AL1273" s="2867"/>
      <c r="AM1273" s="2867"/>
      <c r="AN1273" s="2867"/>
      <c r="AO1273" s="2867"/>
      <c r="AP1273" s="2867"/>
      <c r="AQ1273" s="2867"/>
      <c r="AR1273" s="2867"/>
      <c r="AS1273" s="2867"/>
      <c r="AT1273" s="2867"/>
      <c r="AU1273" s="2867"/>
      <c r="AV1273" s="2867"/>
      <c r="AW1273" s="2867"/>
      <c r="AX1273" s="2867"/>
      <c r="AY1273" s="2867"/>
      <c r="AZ1273" s="2867"/>
      <c r="BA1273" s="2867"/>
      <c r="BB1273" s="2867"/>
      <c r="BC1273" s="2867"/>
      <c r="BD1273" s="2867"/>
      <c r="BE1273" s="2867"/>
      <c r="BF1273" s="2867"/>
      <c r="BG1273" s="2867"/>
      <c r="BH1273" s="2867"/>
      <c r="BI1273" s="2867"/>
      <c r="BJ1273" s="2867"/>
      <c r="BK1273" s="2867"/>
      <c r="BL1273" s="2867"/>
      <c r="BM1273" s="2867"/>
      <c r="BN1273" s="2867"/>
      <c r="BO1273" s="2867"/>
      <c r="BP1273" s="2867"/>
      <c r="BQ1273" s="2867"/>
      <c r="BR1273" s="2867"/>
      <c r="BS1273" s="2867"/>
      <c r="BT1273" s="2867"/>
      <c r="BU1273" s="2867"/>
      <c r="BV1273" s="2867"/>
      <c r="BW1273" s="2867"/>
      <c r="BX1273" s="2867"/>
      <c r="BY1273" s="2867"/>
      <c r="BZ1273" s="2867"/>
      <c r="CA1273" s="2867"/>
      <c r="CB1273" s="2867"/>
      <c r="CC1273" s="2867"/>
      <c r="CD1273" s="2867"/>
      <c r="CE1273" s="2867"/>
      <c r="CF1273" s="2867"/>
      <c r="CG1273" s="2867"/>
      <c r="CH1273" s="2867"/>
      <c r="CI1273" s="2867"/>
      <c r="CJ1273" s="2867"/>
      <c r="CK1273" s="2867"/>
      <c r="CL1273" s="2867"/>
      <c r="CM1273" s="2867"/>
      <c r="CN1273" s="2867"/>
      <c r="CO1273" s="2867"/>
      <c r="CP1273" s="2867"/>
      <c r="CQ1273" s="2867"/>
      <c r="CR1273" s="2867"/>
      <c r="CS1273" s="2867"/>
      <c r="CT1273" s="2867"/>
      <c r="CU1273" s="2867"/>
      <c r="CV1273" s="2867"/>
      <c r="CW1273" s="2867"/>
    </row>
    <row r="1274" spans="1:101">
      <c r="A1274" s="2867"/>
      <c r="B1274" s="2867"/>
      <c r="C1274" s="2867"/>
      <c r="D1274" s="2867"/>
      <c r="E1274" s="2867"/>
      <c r="F1274" s="2867"/>
      <c r="G1274" s="2867"/>
      <c r="H1274" s="2867"/>
      <c r="I1274" s="2867"/>
      <c r="J1274" s="2867"/>
      <c r="K1274" s="2867"/>
      <c r="L1274" s="2867"/>
      <c r="M1274" s="2867"/>
      <c r="O1274" s="2867"/>
      <c r="P1274" s="2867"/>
      <c r="Q1274" s="2867"/>
      <c r="R1274" s="2867"/>
      <c r="S1274" s="2867"/>
      <c r="T1274" s="2867"/>
      <c r="U1274" s="2867"/>
      <c r="V1274" s="2867"/>
      <c r="W1274" s="2867"/>
      <c r="X1274" s="2867"/>
      <c r="Y1274" s="2867"/>
      <c r="Z1274" s="2867"/>
      <c r="AA1274" s="2867"/>
      <c r="AB1274" s="2867"/>
      <c r="AC1274" s="2867"/>
      <c r="AD1274" s="2867"/>
      <c r="AE1274" s="2867"/>
      <c r="AF1274" s="2867"/>
      <c r="AG1274" s="2867"/>
      <c r="AH1274" s="2867"/>
      <c r="AI1274" s="2867"/>
      <c r="AJ1274" s="2867"/>
      <c r="AK1274" s="2867"/>
      <c r="AL1274" s="2867"/>
      <c r="AM1274" s="2867"/>
      <c r="AN1274" s="2867"/>
      <c r="AO1274" s="2867"/>
      <c r="AP1274" s="2867"/>
      <c r="AQ1274" s="2867"/>
      <c r="AR1274" s="2867"/>
      <c r="AS1274" s="2867"/>
      <c r="AT1274" s="2867"/>
      <c r="AU1274" s="2867"/>
      <c r="AV1274" s="2867"/>
      <c r="AW1274" s="2867"/>
      <c r="AX1274" s="2867"/>
      <c r="AY1274" s="2867"/>
      <c r="AZ1274" s="2867"/>
      <c r="BA1274" s="2867"/>
      <c r="BB1274" s="2867"/>
      <c r="BC1274" s="2867"/>
      <c r="BD1274" s="2867"/>
      <c r="BE1274" s="2867"/>
      <c r="BF1274" s="2867"/>
      <c r="BG1274" s="2867"/>
      <c r="BH1274" s="2867"/>
      <c r="BI1274" s="2867"/>
      <c r="BJ1274" s="2867"/>
      <c r="BK1274" s="2867"/>
      <c r="BL1274" s="2867"/>
      <c r="BM1274" s="2867"/>
      <c r="BN1274" s="2867"/>
      <c r="BO1274" s="2867"/>
      <c r="BP1274" s="2867"/>
      <c r="BQ1274" s="2867"/>
      <c r="BR1274" s="2867"/>
      <c r="BS1274" s="2867"/>
      <c r="BT1274" s="2867"/>
      <c r="BU1274" s="2867"/>
      <c r="BV1274" s="2867"/>
      <c r="BW1274" s="2867"/>
      <c r="BX1274" s="2867"/>
      <c r="BY1274" s="2867"/>
      <c r="BZ1274" s="2867"/>
      <c r="CA1274" s="2867"/>
      <c r="CB1274" s="2867"/>
      <c r="CC1274" s="2867"/>
      <c r="CD1274" s="2867"/>
      <c r="CE1274" s="2867"/>
      <c r="CF1274" s="2867"/>
      <c r="CG1274" s="2867"/>
      <c r="CH1274" s="2867"/>
      <c r="CI1274" s="2867"/>
      <c r="CJ1274" s="2867"/>
      <c r="CK1274" s="2867"/>
      <c r="CL1274" s="2867"/>
      <c r="CM1274" s="2867"/>
      <c r="CN1274" s="2867"/>
      <c r="CO1274" s="2867"/>
      <c r="CP1274" s="2867"/>
      <c r="CQ1274" s="2867"/>
      <c r="CR1274" s="2867"/>
      <c r="CS1274" s="2867"/>
      <c r="CT1274" s="2867"/>
      <c r="CU1274" s="2867"/>
      <c r="CV1274" s="2867"/>
      <c r="CW1274" s="2867"/>
    </row>
    <row r="1275" spans="1:101">
      <c r="A1275" s="2867"/>
      <c r="B1275" s="2867"/>
      <c r="C1275" s="2867"/>
      <c r="D1275" s="2867"/>
      <c r="E1275" s="2867"/>
      <c r="F1275" s="2867"/>
      <c r="G1275" s="2867"/>
      <c r="H1275" s="2867"/>
      <c r="I1275" s="2867"/>
      <c r="J1275" s="2867"/>
      <c r="K1275" s="2867"/>
      <c r="L1275" s="2867"/>
      <c r="M1275" s="2867"/>
      <c r="O1275" s="2867"/>
      <c r="P1275" s="2867"/>
      <c r="Q1275" s="2867"/>
      <c r="R1275" s="2867"/>
      <c r="S1275" s="2867"/>
      <c r="T1275" s="2867"/>
      <c r="U1275" s="2867"/>
      <c r="V1275" s="2867"/>
      <c r="W1275" s="2867"/>
      <c r="X1275" s="2867"/>
      <c r="Y1275" s="2867"/>
      <c r="Z1275" s="2867"/>
      <c r="AA1275" s="2867"/>
      <c r="AB1275" s="2867"/>
      <c r="AC1275" s="2867"/>
      <c r="AD1275" s="2867"/>
      <c r="AE1275" s="2867"/>
      <c r="AF1275" s="2867"/>
      <c r="AG1275" s="2867"/>
      <c r="AH1275" s="2867"/>
      <c r="AI1275" s="2867"/>
      <c r="AJ1275" s="2867"/>
      <c r="AK1275" s="2867"/>
      <c r="AL1275" s="2867"/>
      <c r="AM1275" s="2867"/>
      <c r="AN1275" s="2867"/>
      <c r="AO1275" s="2867"/>
      <c r="AP1275" s="2867"/>
      <c r="AQ1275" s="2867"/>
      <c r="AR1275" s="2867"/>
      <c r="AS1275" s="2867"/>
      <c r="AT1275" s="2867"/>
      <c r="AU1275" s="2867"/>
      <c r="AV1275" s="2867"/>
      <c r="AW1275" s="2867"/>
      <c r="AX1275" s="2867"/>
      <c r="AY1275" s="2867"/>
      <c r="AZ1275" s="2867"/>
      <c r="BA1275" s="2867"/>
      <c r="BB1275" s="2867"/>
      <c r="BC1275" s="2867"/>
      <c r="BD1275" s="2867"/>
      <c r="BE1275" s="2867"/>
      <c r="BF1275" s="2867"/>
      <c r="BG1275" s="2867"/>
      <c r="BH1275" s="2867"/>
      <c r="BI1275" s="2867"/>
      <c r="BJ1275" s="2867"/>
      <c r="BK1275" s="2867"/>
      <c r="BL1275" s="2867"/>
      <c r="BM1275" s="2867"/>
      <c r="BN1275" s="2867"/>
      <c r="BO1275" s="2867"/>
      <c r="BP1275" s="2867"/>
      <c r="BQ1275" s="2867"/>
      <c r="BR1275" s="2867"/>
      <c r="BS1275" s="2867"/>
      <c r="BT1275" s="2867"/>
      <c r="BU1275" s="2867"/>
      <c r="BV1275" s="2867"/>
      <c r="BW1275" s="2867"/>
      <c r="BX1275" s="2867"/>
      <c r="BY1275" s="2867"/>
      <c r="BZ1275" s="2867"/>
      <c r="CA1275" s="2867"/>
      <c r="CB1275" s="2867"/>
      <c r="CC1275" s="2867"/>
      <c r="CD1275" s="2867"/>
      <c r="CE1275" s="2867"/>
      <c r="CF1275" s="2867"/>
      <c r="CG1275" s="2867"/>
      <c r="CH1275" s="2867"/>
      <c r="CI1275" s="2867"/>
      <c r="CJ1275" s="2867"/>
      <c r="CK1275" s="2867"/>
      <c r="CL1275" s="2867"/>
      <c r="CM1275" s="2867"/>
      <c r="CN1275" s="2867"/>
      <c r="CO1275" s="2867"/>
      <c r="CP1275" s="2867"/>
      <c r="CQ1275" s="2867"/>
      <c r="CR1275" s="2867"/>
      <c r="CS1275" s="2867"/>
      <c r="CT1275" s="2867"/>
      <c r="CU1275" s="2867"/>
      <c r="CV1275" s="2867"/>
      <c r="CW1275" s="2867"/>
    </row>
    <row r="1276" spans="1:101">
      <c r="A1276" s="2867"/>
      <c r="B1276" s="2867"/>
      <c r="C1276" s="2867"/>
      <c r="D1276" s="2867"/>
      <c r="E1276" s="2867"/>
      <c r="F1276" s="2867"/>
      <c r="G1276" s="2867"/>
      <c r="H1276" s="2867"/>
      <c r="I1276" s="2867"/>
      <c r="J1276" s="2867"/>
      <c r="K1276" s="2867"/>
      <c r="L1276" s="2867"/>
      <c r="M1276" s="2867"/>
      <c r="O1276" s="2867"/>
      <c r="P1276" s="2867"/>
      <c r="Q1276" s="2867"/>
      <c r="R1276" s="2867"/>
      <c r="S1276" s="2867"/>
      <c r="T1276" s="2867"/>
      <c r="U1276" s="2867"/>
      <c r="V1276" s="2867"/>
      <c r="W1276" s="2867"/>
      <c r="X1276" s="2867"/>
      <c r="Y1276" s="2867"/>
      <c r="Z1276" s="2867"/>
      <c r="AA1276" s="2867"/>
      <c r="AB1276" s="2867"/>
      <c r="AC1276" s="2867"/>
      <c r="AD1276" s="2867"/>
      <c r="AE1276" s="2867"/>
      <c r="AF1276" s="2867"/>
      <c r="AG1276" s="2867"/>
      <c r="AH1276" s="2867"/>
      <c r="AI1276" s="2867"/>
      <c r="AJ1276" s="2867"/>
      <c r="AK1276" s="2867"/>
      <c r="AL1276" s="2867"/>
      <c r="AM1276" s="2867"/>
      <c r="AN1276" s="2867"/>
      <c r="AO1276" s="2867"/>
      <c r="AP1276" s="2867"/>
      <c r="AQ1276" s="2867"/>
      <c r="AR1276" s="2867"/>
      <c r="AS1276" s="2867"/>
      <c r="AT1276" s="2867"/>
      <c r="AU1276" s="2867"/>
      <c r="AV1276" s="2867"/>
      <c r="AW1276" s="2867"/>
      <c r="AX1276" s="2867"/>
      <c r="AY1276" s="2867"/>
      <c r="AZ1276" s="2867"/>
      <c r="BA1276" s="2867"/>
      <c r="BB1276" s="2867"/>
      <c r="BC1276" s="2867"/>
      <c r="BD1276" s="2867"/>
      <c r="BE1276" s="2867"/>
      <c r="BF1276" s="2867"/>
      <c r="BG1276" s="2867"/>
      <c r="BH1276" s="2867"/>
      <c r="BI1276" s="2867"/>
      <c r="BJ1276" s="2867"/>
      <c r="BK1276" s="2867"/>
      <c r="BL1276" s="2867"/>
      <c r="BM1276" s="2867"/>
      <c r="BN1276" s="2867"/>
      <c r="BO1276" s="2867"/>
      <c r="BP1276" s="2867"/>
      <c r="BQ1276" s="2867"/>
      <c r="BR1276" s="2867"/>
      <c r="BS1276" s="2867"/>
      <c r="BT1276" s="2867"/>
      <c r="BU1276" s="2867"/>
      <c r="BV1276" s="2867"/>
      <c r="BW1276" s="2867"/>
      <c r="BX1276" s="2867"/>
      <c r="BY1276" s="2867"/>
      <c r="BZ1276" s="2867"/>
      <c r="CA1276" s="2867"/>
      <c r="CB1276" s="2867"/>
      <c r="CC1276" s="2867"/>
      <c r="CD1276" s="2867"/>
      <c r="CE1276" s="2867"/>
      <c r="CF1276" s="2867"/>
      <c r="CG1276" s="2867"/>
      <c r="CH1276" s="2867"/>
      <c r="CI1276" s="2867"/>
      <c r="CJ1276" s="2867"/>
      <c r="CK1276" s="2867"/>
      <c r="CL1276" s="2867"/>
      <c r="CM1276" s="2867"/>
      <c r="CN1276" s="2867"/>
      <c r="CO1276" s="2867"/>
      <c r="CP1276" s="2867"/>
      <c r="CQ1276" s="2867"/>
      <c r="CR1276" s="2867"/>
      <c r="CS1276" s="2867"/>
      <c r="CT1276" s="2867"/>
      <c r="CU1276" s="2867"/>
      <c r="CV1276" s="2867"/>
      <c r="CW1276" s="2867"/>
    </row>
    <row r="1277" spans="1:101">
      <c r="A1277" s="2867"/>
      <c r="B1277" s="2867"/>
      <c r="C1277" s="2867"/>
      <c r="D1277" s="2867"/>
      <c r="E1277" s="2867"/>
      <c r="F1277" s="2867"/>
      <c r="G1277" s="2867"/>
      <c r="H1277" s="2867"/>
      <c r="I1277" s="2867"/>
      <c r="J1277" s="2867"/>
      <c r="K1277" s="2867"/>
      <c r="L1277" s="2867"/>
      <c r="M1277" s="2867"/>
      <c r="O1277" s="2867"/>
      <c r="P1277" s="2867"/>
      <c r="Q1277" s="2867"/>
      <c r="R1277" s="2867"/>
      <c r="S1277" s="2867"/>
      <c r="T1277" s="2867"/>
      <c r="U1277" s="2867"/>
      <c r="V1277" s="2867"/>
      <c r="W1277" s="2867"/>
      <c r="X1277" s="2867"/>
      <c r="Y1277" s="2867"/>
      <c r="Z1277" s="2867"/>
      <c r="AA1277" s="2867"/>
      <c r="AB1277" s="2867"/>
      <c r="AC1277" s="2867"/>
      <c r="AD1277" s="2867"/>
      <c r="AE1277" s="2867"/>
      <c r="AF1277" s="2867"/>
      <c r="AG1277" s="2867"/>
      <c r="AH1277" s="2867"/>
      <c r="AI1277" s="2867"/>
      <c r="AJ1277" s="2867"/>
      <c r="AK1277" s="2867"/>
      <c r="AL1277" s="2867"/>
      <c r="AM1277" s="2867"/>
      <c r="AN1277" s="2867"/>
      <c r="AO1277" s="2867"/>
      <c r="AP1277" s="2867"/>
      <c r="AQ1277" s="2867"/>
      <c r="AR1277" s="2867"/>
      <c r="AS1277" s="2867"/>
      <c r="AT1277" s="2867"/>
      <c r="AU1277" s="2867"/>
      <c r="AV1277" s="2867"/>
      <c r="AW1277" s="2867"/>
      <c r="AX1277" s="2867"/>
      <c r="AY1277" s="2867"/>
      <c r="AZ1277" s="2867"/>
      <c r="BA1277" s="2867"/>
      <c r="BB1277" s="2867"/>
      <c r="BC1277" s="2867"/>
      <c r="BD1277" s="2867"/>
      <c r="BE1277" s="2867"/>
      <c r="BF1277" s="2867"/>
      <c r="BG1277" s="2867"/>
      <c r="BH1277" s="2867"/>
      <c r="BI1277" s="2867"/>
      <c r="BJ1277" s="2867"/>
      <c r="BK1277" s="2867"/>
      <c r="BL1277" s="2867"/>
      <c r="BM1277" s="2867"/>
      <c r="BN1277" s="2867"/>
      <c r="BO1277" s="2867"/>
      <c r="BP1277" s="2867"/>
      <c r="BQ1277" s="2867"/>
      <c r="BR1277" s="2867"/>
      <c r="BS1277" s="2867"/>
      <c r="BT1277" s="2867"/>
      <c r="BU1277" s="2867"/>
      <c r="BV1277" s="2867"/>
      <c r="BW1277" s="2867"/>
      <c r="BX1277" s="2867"/>
      <c r="BY1277" s="2867"/>
      <c r="BZ1277" s="2867"/>
      <c r="CA1277" s="2867"/>
      <c r="CB1277" s="2867"/>
      <c r="CC1277" s="2867"/>
      <c r="CD1277" s="2867"/>
      <c r="CE1277" s="2867"/>
      <c r="CF1277" s="2867"/>
      <c r="CG1277" s="2867"/>
      <c r="CH1277" s="2867"/>
      <c r="CI1277" s="2867"/>
      <c r="CJ1277" s="2867"/>
      <c r="CK1277" s="2867"/>
      <c r="CL1277" s="2867"/>
      <c r="CM1277" s="2867"/>
      <c r="CN1277" s="2867"/>
      <c r="CO1277" s="2867"/>
      <c r="CP1277" s="2867"/>
      <c r="CQ1277" s="2867"/>
      <c r="CR1277" s="2867"/>
      <c r="CS1277" s="2867"/>
      <c r="CT1277" s="2867"/>
      <c r="CU1277" s="2867"/>
      <c r="CV1277" s="2867"/>
      <c r="CW1277" s="2867"/>
    </row>
    <row r="1278" spans="1:101">
      <c r="A1278" s="2867"/>
      <c r="B1278" s="2867"/>
      <c r="C1278" s="2867"/>
      <c r="D1278" s="2867"/>
      <c r="E1278" s="2867"/>
      <c r="F1278" s="2867"/>
      <c r="G1278" s="2867"/>
      <c r="H1278" s="2867"/>
      <c r="I1278" s="2867"/>
      <c r="J1278" s="2867"/>
      <c r="K1278" s="2867"/>
      <c r="L1278" s="2867"/>
      <c r="M1278" s="2867"/>
      <c r="O1278" s="2867"/>
      <c r="P1278" s="2867"/>
      <c r="Q1278" s="2867"/>
      <c r="R1278" s="2867"/>
      <c r="S1278" s="2867"/>
      <c r="T1278" s="2867"/>
      <c r="U1278" s="2867"/>
      <c r="V1278" s="2867"/>
      <c r="W1278" s="2867"/>
      <c r="X1278" s="2867"/>
      <c r="Y1278" s="2867"/>
      <c r="Z1278" s="2867"/>
      <c r="AA1278" s="2867"/>
      <c r="AB1278" s="2867"/>
      <c r="AC1278" s="2867"/>
      <c r="AD1278" s="2867"/>
      <c r="AE1278" s="2867"/>
      <c r="AF1278" s="2867"/>
      <c r="AG1278" s="2867"/>
      <c r="AH1278" s="2867"/>
      <c r="AI1278" s="2867"/>
      <c r="AJ1278" s="2867"/>
      <c r="AK1278" s="2867"/>
      <c r="AL1278" s="2867"/>
      <c r="AM1278" s="2867"/>
      <c r="AN1278" s="2867"/>
      <c r="AO1278" s="2867"/>
      <c r="AP1278" s="2867"/>
      <c r="AQ1278" s="2867"/>
      <c r="AR1278" s="2867"/>
      <c r="AS1278" s="2867"/>
      <c r="AT1278" s="2867"/>
      <c r="AU1278" s="2867"/>
      <c r="AV1278" s="2867"/>
      <c r="AW1278" s="2867"/>
      <c r="AX1278" s="2867"/>
      <c r="AY1278" s="2867"/>
      <c r="AZ1278" s="2867"/>
      <c r="BA1278" s="2867"/>
      <c r="BB1278" s="2867"/>
      <c r="BC1278" s="2867"/>
      <c r="BD1278" s="2867"/>
      <c r="BE1278" s="2867"/>
      <c r="BF1278" s="2867"/>
      <c r="BG1278" s="2867"/>
      <c r="BH1278" s="2867"/>
      <c r="BI1278" s="2867"/>
      <c r="BJ1278" s="2867"/>
      <c r="BK1278" s="2867"/>
      <c r="BL1278" s="2867"/>
      <c r="BM1278" s="2867"/>
      <c r="BN1278" s="2867"/>
      <c r="BO1278" s="2867"/>
      <c r="BP1278" s="2867"/>
      <c r="BQ1278" s="2867"/>
      <c r="BR1278" s="2867"/>
      <c r="BS1278" s="2867"/>
      <c r="BT1278" s="2867"/>
      <c r="BU1278" s="2867"/>
      <c r="BV1278" s="2867"/>
      <c r="BW1278" s="2867"/>
      <c r="BX1278" s="2867"/>
      <c r="BY1278" s="2867"/>
      <c r="BZ1278" s="2867"/>
      <c r="CA1278" s="2867"/>
      <c r="CB1278" s="2867"/>
      <c r="CC1278" s="2867"/>
      <c r="CD1278" s="2867"/>
      <c r="CE1278" s="2867"/>
      <c r="CF1278" s="2867"/>
      <c r="CG1278" s="2867"/>
      <c r="CH1278" s="2867"/>
      <c r="CI1278" s="2867"/>
      <c r="CJ1278" s="2867"/>
      <c r="CK1278" s="2867"/>
      <c r="CL1278" s="2867"/>
      <c r="CM1278" s="2867"/>
      <c r="CN1278" s="2867"/>
      <c r="CO1278" s="2867"/>
      <c r="CP1278" s="2867"/>
      <c r="CQ1278" s="2867"/>
      <c r="CR1278" s="2867"/>
      <c r="CS1278" s="2867"/>
      <c r="CT1278" s="2867"/>
      <c r="CU1278" s="2867"/>
      <c r="CV1278" s="2867"/>
      <c r="CW1278" s="2867"/>
    </row>
    <row r="1279" spans="1:101">
      <c r="A1279" s="2867"/>
      <c r="B1279" s="2867"/>
      <c r="C1279" s="2867"/>
      <c r="D1279" s="2867"/>
      <c r="E1279" s="2867"/>
      <c r="F1279" s="2867"/>
      <c r="G1279" s="2867"/>
      <c r="H1279" s="2867"/>
      <c r="I1279" s="2867"/>
      <c r="J1279" s="2867"/>
      <c r="K1279" s="2867"/>
      <c r="L1279" s="2867"/>
      <c r="M1279" s="2867"/>
      <c r="O1279" s="2867"/>
      <c r="P1279" s="2867"/>
      <c r="Q1279" s="2867"/>
      <c r="R1279" s="2867"/>
      <c r="S1279" s="2867"/>
      <c r="T1279" s="2867"/>
      <c r="U1279" s="2867"/>
      <c r="V1279" s="2867"/>
      <c r="W1279" s="2867"/>
      <c r="X1279" s="2867"/>
      <c r="Y1279" s="2867"/>
      <c r="Z1279" s="2867"/>
      <c r="AA1279" s="2867"/>
      <c r="AB1279" s="2867"/>
      <c r="AC1279" s="2867"/>
      <c r="AD1279" s="2867"/>
      <c r="AE1279" s="2867"/>
      <c r="AF1279" s="2867"/>
      <c r="AG1279" s="2867"/>
      <c r="AH1279" s="2867"/>
      <c r="AI1279" s="2867"/>
      <c r="AJ1279" s="2867"/>
      <c r="AK1279" s="2867"/>
      <c r="AL1279" s="2867"/>
      <c r="AM1279" s="2867"/>
      <c r="AN1279" s="2867"/>
      <c r="AO1279" s="2867"/>
      <c r="AP1279" s="2867"/>
      <c r="AQ1279" s="2867"/>
      <c r="AR1279" s="2867"/>
      <c r="AS1279" s="2867"/>
      <c r="AT1279" s="2867"/>
      <c r="AU1279" s="2867"/>
      <c r="AV1279" s="2867"/>
      <c r="AW1279" s="2867"/>
      <c r="AX1279" s="2867"/>
      <c r="AY1279" s="2867"/>
      <c r="AZ1279" s="2867"/>
      <c r="BA1279" s="2867"/>
      <c r="BB1279" s="2867"/>
      <c r="BC1279" s="2867"/>
      <c r="BD1279" s="2867"/>
      <c r="BE1279" s="2867"/>
      <c r="BF1279" s="2867"/>
      <c r="BG1279" s="2867"/>
      <c r="BH1279" s="2867"/>
      <c r="BI1279" s="2867"/>
      <c r="BJ1279" s="2867"/>
      <c r="BK1279" s="2867"/>
      <c r="BL1279" s="2867"/>
      <c r="BM1279" s="2867"/>
      <c r="BN1279" s="2867"/>
      <c r="BO1279" s="2867"/>
      <c r="BP1279" s="2867"/>
      <c r="BQ1279" s="2867"/>
      <c r="BR1279" s="2867"/>
      <c r="BS1279" s="2867"/>
      <c r="BT1279" s="2867"/>
      <c r="BU1279" s="2867"/>
      <c r="BV1279" s="2867"/>
      <c r="BW1279" s="2867"/>
      <c r="BX1279" s="2867"/>
      <c r="BY1279" s="2867"/>
      <c r="BZ1279" s="2867"/>
      <c r="CA1279" s="2867"/>
      <c r="CB1279" s="2867"/>
      <c r="CC1279" s="2867"/>
      <c r="CD1279" s="2867"/>
      <c r="CE1279" s="2867"/>
      <c r="CF1279" s="2867"/>
      <c r="CG1279" s="2867"/>
      <c r="CH1279" s="2867"/>
      <c r="CI1279" s="2867"/>
      <c r="CJ1279" s="2867"/>
      <c r="CK1279" s="2867"/>
      <c r="CL1279" s="2867"/>
      <c r="CM1279" s="2867"/>
      <c r="CN1279" s="2867"/>
      <c r="CO1279" s="2867"/>
      <c r="CP1279" s="2867"/>
      <c r="CQ1279" s="2867"/>
      <c r="CR1279" s="2867"/>
      <c r="CS1279" s="2867"/>
      <c r="CT1279" s="2867"/>
      <c r="CU1279" s="2867"/>
      <c r="CV1279" s="2867"/>
      <c r="CW1279" s="2867"/>
    </row>
    <row r="1280" spans="1:101">
      <c r="A1280" s="2867"/>
      <c r="B1280" s="2867"/>
      <c r="C1280" s="2867"/>
      <c r="D1280" s="2867"/>
      <c r="E1280" s="2867"/>
      <c r="F1280" s="2867"/>
      <c r="G1280" s="2867"/>
      <c r="H1280" s="2867"/>
      <c r="I1280" s="2867"/>
      <c r="J1280" s="2867"/>
      <c r="K1280" s="2867"/>
      <c r="L1280" s="2867"/>
      <c r="M1280" s="2867"/>
      <c r="O1280" s="2867"/>
      <c r="P1280" s="2867"/>
      <c r="Q1280" s="2867"/>
      <c r="R1280" s="2867"/>
      <c r="S1280" s="2867"/>
      <c r="T1280" s="2867"/>
      <c r="U1280" s="2867"/>
      <c r="V1280" s="2867"/>
      <c r="W1280" s="2867"/>
      <c r="X1280" s="2867"/>
      <c r="Y1280" s="2867"/>
      <c r="Z1280" s="2867"/>
      <c r="AA1280" s="2867"/>
      <c r="AB1280" s="2867"/>
      <c r="AC1280" s="2867"/>
      <c r="AD1280" s="2867"/>
      <c r="AE1280" s="2867"/>
      <c r="AF1280" s="2867"/>
      <c r="AG1280" s="2867"/>
      <c r="AH1280" s="2867"/>
      <c r="AI1280" s="2867"/>
      <c r="AJ1280" s="2867"/>
      <c r="AK1280" s="2867"/>
      <c r="AL1280" s="2867"/>
      <c r="AM1280" s="2867"/>
      <c r="AN1280" s="2867"/>
      <c r="AO1280" s="2867"/>
      <c r="AP1280" s="2867"/>
      <c r="AQ1280" s="2867"/>
      <c r="AR1280" s="2867"/>
      <c r="AS1280" s="2867"/>
      <c r="AT1280" s="2867"/>
      <c r="AU1280" s="2867"/>
      <c r="AV1280" s="2867"/>
      <c r="AW1280" s="2867"/>
      <c r="AX1280" s="2867"/>
      <c r="AY1280" s="2867"/>
      <c r="AZ1280" s="2867"/>
      <c r="BA1280" s="2867"/>
      <c r="BB1280" s="2867"/>
      <c r="BC1280" s="2867"/>
      <c r="BD1280" s="2867"/>
      <c r="BE1280" s="2867"/>
      <c r="BF1280" s="2867"/>
      <c r="BG1280" s="2867"/>
      <c r="BH1280" s="2867"/>
      <c r="BI1280" s="2867"/>
      <c r="BJ1280" s="2867"/>
      <c r="BK1280" s="2867"/>
      <c r="BL1280" s="2867"/>
      <c r="BM1280" s="2867"/>
      <c r="BN1280" s="2867"/>
      <c r="BO1280" s="2867"/>
      <c r="BP1280" s="2867"/>
      <c r="BQ1280" s="2867"/>
      <c r="BR1280" s="2867"/>
      <c r="BS1280" s="2867"/>
      <c r="BT1280" s="2867"/>
      <c r="BU1280" s="2867"/>
      <c r="BV1280" s="2867"/>
      <c r="BW1280" s="2867"/>
      <c r="BX1280" s="2867"/>
      <c r="BY1280" s="2867"/>
      <c r="BZ1280" s="2867"/>
      <c r="CA1280" s="2867"/>
      <c r="CB1280" s="2867"/>
      <c r="CC1280" s="2867"/>
      <c r="CD1280" s="2867"/>
      <c r="CE1280" s="2867"/>
      <c r="CF1280" s="2867"/>
      <c r="CG1280" s="2867"/>
      <c r="CH1280" s="2867"/>
      <c r="CI1280" s="2867"/>
      <c r="CJ1280" s="2867"/>
      <c r="CK1280" s="2867"/>
      <c r="CL1280" s="2867"/>
      <c r="CM1280" s="2867"/>
      <c r="CN1280" s="2867"/>
      <c r="CO1280" s="2867"/>
      <c r="CP1280" s="2867"/>
      <c r="CQ1280" s="2867"/>
      <c r="CR1280" s="2867"/>
      <c r="CS1280" s="2867"/>
      <c r="CT1280" s="2867"/>
      <c r="CU1280" s="2867"/>
      <c r="CV1280" s="2867"/>
      <c r="CW1280" s="2867"/>
    </row>
    <row r="1281" spans="1:101">
      <c r="A1281" s="2867"/>
      <c r="B1281" s="2867"/>
      <c r="C1281" s="2867"/>
      <c r="D1281" s="2867"/>
      <c r="E1281" s="2867"/>
      <c r="F1281" s="2867"/>
      <c r="G1281" s="2867"/>
      <c r="H1281" s="2867"/>
      <c r="I1281" s="2867"/>
      <c r="J1281" s="2867"/>
      <c r="K1281" s="2867"/>
      <c r="L1281" s="2867"/>
      <c r="M1281" s="2867"/>
      <c r="O1281" s="2867"/>
      <c r="P1281" s="2867"/>
      <c r="Q1281" s="2867"/>
      <c r="R1281" s="2867"/>
      <c r="S1281" s="2867"/>
      <c r="T1281" s="2867"/>
      <c r="U1281" s="2867"/>
      <c r="V1281" s="2867"/>
      <c r="W1281" s="2867"/>
      <c r="X1281" s="2867"/>
      <c r="Y1281" s="2867"/>
      <c r="Z1281" s="2867"/>
      <c r="AA1281" s="2867"/>
      <c r="AB1281" s="2867"/>
      <c r="AC1281" s="2867"/>
      <c r="AD1281" s="2867"/>
      <c r="AE1281" s="2867"/>
      <c r="AF1281" s="2867"/>
      <c r="AG1281" s="2867"/>
      <c r="AH1281" s="2867"/>
      <c r="AI1281" s="2867"/>
      <c r="AJ1281" s="2867"/>
      <c r="AK1281" s="2867"/>
      <c r="AL1281" s="2867"/>
      <c r="AM1281" s="2867"/>
      <c r="AN1281" s="2867"/>
      <c r="AO1281" s="2867"/>
      <c r="AP1281" s="2867"/>
      <c r="AQ1281" s="2867"/>
      <c r="AR1281" s="2867"/>
      <c r="AS1281" s="2867"/>
      <c r="AT1281" s="2867"/>
      <c r="AU1281" s="2867"/>
      <c r="AV1281" s="2867"/>
      <c r="AW1281" s="2867"/>
      <c r="AX1281" s="2867"/>
      <c r="AY1281" s="2867"/>
      <c r="AZ1281" s="2867"/>
      <c r="BA1281" s="2867"/>
      <c r="BB1281" s="2867"/>
      <c r="BC1281" s="2867"/>
      <c r="BD1281" s="2867"/>
      <c r="BE1281" s="2867"/>
      <c r="BF1281" s="2867"/>
      <c r="BG1281" s="2867"/>
      <c r="BH1281" s="2867"/>
      <c r="BI1281" s="2867"/>
      <c r="BJ1281" s="2867"/>
      <c r="BK1281" s="2867"/>
      <c r="BL1281" s="2867"/>
      <c r="BM1281" s="2867"/>
      <c r="BN1281" s="2867"/>
      <c r="BO1281" s="2867"/>
      <c r="BP1281" s="2867"/>
      <c r="BQ1281" s="2867"/>
      <c r="BR1281" s="2867"/>
      <c r="BS1281" s="2867"/>
      <c r="BT1281" s="2867"/>
      <c r="BU1281" s="2867"/>
      <c r="BV1281" s="2867"/>
      <c r="BW1281" s="2867"/>
      <c r="BX1281" s="2867"/>
      <c r="BY1281" s="2867"/>
      <c r="BZ1281" s="2867"/>
      <c r="CA1281" s="2867"/>
      <c r="CB1281" s="2867"/>
      <c r="CC1281" s="2867"/>
      <c r="CD1281" s="2867"/>
      <c r="CE1281" s="2867"/>
      <c r="CF1281" s="2867"/>
      <c r="CG1281" s="2867"/>
      <c r="CH1281" s="2867"/>
      <c r="CI1281" s="2867"/>
      <c r="CJ1281" s="2867"/>
      <c r="CK1281" s="2867"/>
      <c r="CL1281" s="2867"/>
      <c r="CM1281" s="2867"/>
      <c r="CN1281" s="2867"/>
      <c r="CO1281" s="2867"/>
      <c r="CP1281" s="2867"/>
      <c r="CQ1281" s="2867"/>
      <c r="CR1281" s="2867"/>
      <c r="CS1281" s="2867"/>
      <c r="CT1281" s="2867"/>
      <c r="CU1281" s="2867"/>
      <c r="CV1281" s="2867"/>
      <c r="CW1281" s="2867"/>
    </row>
    <row r="1282" spans="1:101">
      <c r="A1282" s="2867"/>
      <c r="B1282" s="2867"/>
      <c r="C1282" s="2867"/>
      <c r="D1282" s="2867"/>
      <c r="E1282" s="2867"/>
      <c r="F1282" s="2867"/>
      <c r="G1282" s="2867"/>
      <c r="H1282" s="2867"/>
      <c r="I1282" s="2867"/>
      <c r="J1282" s="2867"/>
      <c r="K1282" s="2867"/>
      <c r="L1282" s="2867"/>
      <c r="M1282" s="2867"/>
      <c r="O1282" s="2867"/>
      <c r="P1282" s="2867"/>
      <c r="Q1282" s="2867"/>
      <c r="R1282" s="2867"/>
      <c r="S1282" s="2867"/>
      <c r="T1282" s="2867"/>
      <c r="U1282" s="2867"/>
      <c r="V1282" s="2867"/>
      <c r="W1282" s="2867"/>
      <c r="X1282" s="2867"/>
      <c r="Y1282" s="2867"/>
      <c r="Z1282" s="2867"/>
      <c r="AA1282" s="2867"/>
      <c r="AB1282" s="2867"/>
      <c r="AC1282" s="2867"/>
      <c r="AD1282" s="2867"/>
      <c r="AE1282" s="2867"/>
      <c r="AF1282" s="2867"/>
      <c r="AG1282" s="2867"/>
      <c r="AH1282" s="2867"/>
      <c r="AI1282" s="2867"/>
      <c r="AJ1282" s="2867"/>
      <c r="AK1282" s="2867"/>
      <c r="AL1282" s="2867"/>
      <c r="AM1282" s="2867"/>
      <c r="AN1282" s="2867"/>
      <c r="AO1282" s="2867"/>
      <c r="AP1282" s="2867"/>
      <c r="AQ1282" s="2867"/>
      <c r="AR1282" s="2867"/>
      <c r="AS1282" s="2867"/>
      <c r="AT1282" s="2867"/>
      <c r="AU1282" s="2867"/>
      <c r="AV1282" s="2867"/>
      <c r="AW1282" s="2867"/>
      <c r="AX1282" s="2867"/>
      <c r="AY1282" s="2867"/>
      <c r="AZ1282" s="2867"/>
      <c r="BA1282" s="2867"/>
      <c r="BB1282" s="2867"/>
      <c r="BC1282" s="2867"/>
      <c r="BD1282" s="2867"/>
      <c r="BE1282" s="2867"/>
      <c r="BF1282" s="2867"/>
      <c r="BG1282" s="2867"/>
      <c r="BH1282" s="2867"/>
      <c r="BI1282" s="2867"/>
      <c r="BJ1282" s="2867"/>
      <c r="BK1282" s="2867"/>
      <c r="BL1282" s="2867"/>
      <c r="BM1282" s="2867"/>
      <c r="BN1282" s="2867"/>
      <c r="BO1282" s="2867"/>
      <c r="BP1282" s="2867"/>
      <c r="BQ1282" s="2867"/>
      <c r="BR1282" s="2867"/>
      <c r="BS1282" s="2867"/>
      <c r="BT1282" s="2867"/>
      <c r="BU1282" s="2867"/>
      <c r="BV1282" s="2867"/>
      <c r="BW1282" s="2867"/>
      <c r="BX1282" s="2867"/>
      <c r="BY1282" s="2867"/>
      <c r="BZ1282" s="2867"/>
      <c r="CA1282" s="2867"/>
      <c r="CB1282" s="2867"/>
      <c r="CC1282" s="2867"/>
      <c r="CD1282" s="2867"/>
      <c r="CE1282" s="2867"/>
      <c r="CF1282" s="2867"/>
      <c r="CG1282" s="2867"/>
      <c r="CH1282" s="2867"/>
      <c r="CI1282" s="2867"/>
      <c r="CJ1282" s="2867"/>
      <c r="CK1282" s="2867"/>
      <c r="CL1282" s="2867"/>
      <c r="CM1282" s="2867"/>
      <c r="CN1282" s="2867"/>
      <c r="CO1282" s="2867"/>
      <c r="CP1282" s="2867"/>
      <c r="CQ1282" s="2867"/>
      <c r="CR1282" s="2867"/>
      <c r="CS1282" s="2867"/>
      <c r="CT1282" s="2867"/>
      <c r="CU1282" s="2867"/>
      <c r="CV1282" s="2867"/>
      <c r="CW1282" s="2867"/>
    </row>
    <row r="1283" spans="1:101">
      <c r="A1283" s="2867"/>
      <c r="B1283" s="2867"/>
      <c r="C1283" s="2867"/>
      <c r="D1283" s="2867"/>
      <c r="E1283" s="2867"/>
      <c r="F1283" s="2867"/>
      <c r="G1283" s="2867"/>
      <c r="H1283" s="2867"/>
      <c r="I1283" s="2867"/>
      <c r="J1283" s="2867"/>
      <c r="K1283" s="2867"/>
      <c r="L1283" s="2867"/>
      <c r="M1283" s="2867"/>
      <c r="O1283" s="2867"/>
      <c r="P1283" s="2867"/>
      <c r="Q1283" s="2867"/>
      <c r="R1283" s="2867"/>
      <c r="S1283" s="2867"/>
      <c r="T1283" s="2867"/>
      <c r="U1283" s="2867"/>
      <c r="V1283" s="2867"/>
      <c r="W1283" s="2867"/>
      <c r="X1283" s="2867"/>
      <c r="Y1283" s="2867"/>
      <c r="Z1283" s="2867"/>
      <c r="AA1283" s="2867"/>
      <c r="AB1283" s="2867"/>
      <c r="AC1283" s="2867"/>
      <c r="AD1283" s="2867"/>
      <c r="AE1283" s="2867"/>
      <c r="AF1283" s="2867"/>
      <c r="AG1283" s="2867"/>
      <c r="AH1283" s="2867"/>
      <c r="AI1283" s="2867"/>
      <c r="AJ1283" s="2867"/>
      <c r="AK1283" s="2867"/>
      <c r="AL1283" s="2867"/>
      <c r="AM1283" s="2867"/>
      <c r="AN1283" s="2867"/>
      <c r="AO1283" s="2867"/>
      <c r="AP1283" s="2867"/>
      <c r="AQ1283" s="2867"/>
      <c r="AR1283" s="2867"/>
      <c r="AS1283" s="2867"/>
      <c r="AT1283" s="2867"/>
      <c r="AU1283" s="2867"/>
      <c r="AV1283" s="2867"/>
      <c r="AW1283" s="2867"/>
      <c r="AX1283" s="2867"/>
      <c r="AY1283" s="2867"/>
      <c r="AZ1283" s="2867"/>
      <c r="BA1283" s="2867"/>
      <c r="BB1283" s="2867"/>
      <c r="BC1283" s="2867"/>
      <c r="BD1283" s="2867"/>
      <c r="BE1283" s="2867"/>
      <c r="BF1283" s="2867"/>
      <c r="BG1283" s="2867"/>
      <c r="BH1283" s="2867"/>
      <c r="BI1283" s="2867"/>
      <c r="BJ1283" s="2867"/>
      <c r="BK1283" s="2867"/>
      <c r="BL1283" s="2867"/>
      <c r="BM1283" s="2867"/>
      <c r="BN1283" s="2867"/>
      <c r="BO1283" s="2867"/>
      <c r="BP1283" s="2867"/>
      <c r="BQ1283" s="2867"/>
      <c r="BR1283" s="2867"/>
      <c r="BS1283" s="2867"/>
      <c r="BT1283" s="2867"/>
      <c r="BU1283" s="2867"/>
      <c r="BV1283" s="2867"/>
      <c r="BW1283" s="2867"/>
      <c r="BX1283" s="2867"/>
      <c r="BY1283" s="2867"/>
      <c r="BZ1283" s="2867"/>
      <c r="CA1283" s="2867"/>
      <c r="CB1283" s="2867"/>
      <c r="CC1283" s="2867"/>
      <c r="CD1283" s="2867"/>
      <c r="CE1283" s="2867"/>
      <c r="CF1283" s="2867"/>
      <c r="CG1283" s="2867"/>
      <c r="CH1283" s="2867"/>
      <c r="CI1283" s="2867"/>
      <c r="CJ1283" s="2867"/>
      <c r="CK1283" s="2867"/>
      <c r="CL1283" s="2867"/>
      <c r="CM1283" s="2867"/>
      <c r="CN1283" s="2867"/>
      <c r="CO1283" s="2867"/>
      <c r="CP1283" s="2867"/>
      <c r="CQ1283" s="2867"/>
      <c r="CR1283" s="2867"/>
      <c r="CS1283" s="2867"/>
      <c r="CT1283" s="2867"/>
      <c r="CU1283" s="2867"/>
      <c r="CV1283" s="2867"/>
      <c r="CW1283" s="2867"/>
    </row>
    <row r="1284" spans="1:101">
      <c r="A1284" s="2867"/>
      <c r="B1284" s="2867"/>
      <c r="C1284" s="2867"/>
      <c r="D1284" s="2867"/>
      <c r="E1284" s="2867"/>
      <c r="F1284" s="2867"/>
      <c r="G1284" s="2867"/>
      <c r="H1284" s="2867"/>
      <c r="I1284" s="2867"/>
      <c r="J1284" s="2867"/>
      <c r="K1284" s="2867"/>
      <c r="L1284" s="2867"/>
      <c r="M1284" s="2867"/>
      <c r="O1284" s="2867"/>
      <c r="P1284" s="2867"/>
      <c r="Q1284" s="2867"/>
      <c r="R1284" s="2867"/>
      <c r="S1284" s="2867"/>
      <c r="T1284" s="2867"/>
      <c r="U1284" s="2867"/>
      <c r="V1284" s="2867"/>
      <c r="W1284" s="2867"/>
      <c r="X1284" s="2867"/>
      <c r="Y1284" s="2867"/>
      <c r="Z1284" s="2867"/>
      <c r="AA1284" s="2867"/>
      <c r="AB1284" s="2867"/>
      <c r="AC1284" s="2867"/>
      <c r="AD1284" s="2867"/>
      <c r="AE1284" s="2867"/>
      <c r="AF1284" s="2867"/>
      <c r="AG1284" s="2867"/>
      <c r="AH1284" s="2867"/>
      <c r="AI1284" s="2867"/>
      <c r="AJ1284" s="2867"/>
      <c r="AK1284" s="2867"/>
      <c r="AL1284" s="2867"/>
      <c r="AM1284" s="2867"/>
      <c r="AN1284" s="2867"/>
      <c r="AO1284" s="2867"/>
      <c r="AP1284" s="2867"/>
      <c r="AQ1284" s="2867"/>
      <c r="AR1284" s="2867"/>
      <c r="AS1284" s="2867"/>
      <c r="AT1284" s="2867"/>
      <c r="AU1284" s="2867"/>
      <c r="AV1284" s="2867"/>
      <c r="AW1284" s="2867"/>
      <c r="AX1284" s="2867"/>
      <c r="AY1284" s="2867"/>
      <c r="AZ1284" s="2867"/>
      <c r="BA1284" s="2867"/>
      <c r="BB1284" s="2867"/>
      <c r="BC1284" s="2867"/>
      <c r="BD1284" s="2867"/>
      <c r="BE1284" s="2867"/>
      <c r="BF1284" s="2867"/>
      <c r="BG1284" s="2867"/>
      <c r="BH1284" s="2867"/>
      <c r="BI1284" s="2867"/>
      <c r="BJ1284" s="2867"/>
      <c r="BK1284" s="2867"/>
      <c r="BL1284" s="2867"/>
      <c r="BM1284" s="2867"/>
      <c r="BN1284" s="2867"/>
      <c r="BO1284" s="2867"/>
      <c r="BP1284" s="2867"/>
      <c r="BQ1284" s="2867"/>
      <c r="BR1284" s="2867"/>
      <c r="BS1284" s="2867"/>
      <c r="BT1284" s="2867"/>
      <c r="BU1284" s="2867"/>
      <c r="BV1284" s="2867"/>
      <c r="BW1284" s="2867"/>
      <c r="BX1284" s="2867"/>
      <c r="BY1284" s="2867"/>
      <c r="BZ1284" s="2867"/>
      <c r="CA1284" s="2867"/>
      <c r="CB1284" s="2867"/>
      <c r="CC1284" s="2867"/>
      <c r="CD1284" s="2867"/>
      <c r="CE1284" s="2867"/>
      <c r="CF1284" s="2867"/>
      <c r="CG1284" s="2867"/>
      <c r="CH1284" s="2867"/>
      <c r="CI1284" s="2867"/>
      <c r="CJ1284" s="2867"/>
      <c r="CK1284" s="2867"/>
      <c r="CL1284" s="2867"/>
      <c r="CM1284" s="2867"/>
      <c r="CN1284" s="2867"/>
      <c r="CO1284" s="2867"/>
      <c r="CP1284" s="2867"/>
      <c r="CQ1284" s="2867"/>
      <c r="CR1284" s="2867"/>
      <c r="CS1284" s="2867"/>
      <c r="CT1284" s="2867"/>
      <c r="CU1284" s="2867"/>
      <c r="CV1284" s="2867"/>
      <c r="CW1284" s="2867"/>
    </row>
    <row r="1285" spans="1:101">
      <c r="A1285" s="2867"/>
      <c r="B1285" s="2867"/>
      <c r="C1285" s="2867"/>
      <c r="D1285" s="2867"/>
      <c r="E1285" s="2867"/>
      <c r="F1285" s="2867"/>
      <c r="G1285" s="2867"/>
      <c r="H1285" s="2867"/>
      <c r="I1285" s="2867"/>
      <c r="J1285" s="2867"/>
      <c r="K1285" s="2867"/>
      <c r="L1285" s="2867"/>
      <c r="M1285" s="2867"/>
      <c r="O1285" s="2867"/>
      <c r="P1285" s="2867"/>
      <c r="Q1285" s="2867"/>
      <c r="R1285" s="2867"/>
      <c r="S1285" s="2867"/>
      <c r="T1285" s="2867"/>
      <c r="U1285" s="2867"/>
      <c r="V1285" s="2867"/>
      <c r="W1285" s="2867"/>
      <c r="X1285" s="2867"/>
      <c r="Y1285" s="2867"/>
      <c r="Z1285" s="2867"/>
      <c r="AA1285" s="2867"/>
      <c r="AB1285" s="2867"/>
      <c r="AC1285" s="2867"/>
      <c r="AD1285" s="2867"/>
      <c r="AE1285" s="2867"/>
      <c r="AF1285" s="2867"/>
      <c r="AG1285" s="2867"/>
      <c r="AH1285" s="2867"/>
      <c r="AI1285" s="2867"/>
      <c r="AJ1285" s="2867"/>
      <c r="AK1285" s="2867"/>
      <c r="AL1285" s="2867"/>
      <c r="AM1285" s="2867"/>
      <c r="AN1285" s="2867"/>
      <c r="AO1285" s="2867"/>
      <c r="AP1285" s="2867"/>
      <c r="AQ1285" s="2867"/>
      <c r="AR1285" s="2867"/>
      <c r="AS1285" s="2867"/>
      <c r="AT1285" s="2867"/>
      <c r="AU1285" s="2867"/>
      <c r="AV1285" s="2867"/>
      <c r="AW1285" s="2867"/>
      <c r="AX1285" s="2867"/>
      <c r="AY1285" s="2867"/>
      <c r="AZ1285" s="2867"/>
      <c r="BA1285" s="2867"/>
      <c r="BB1285" s="2867"/>
      <c r="BC1285" s="2867"/>
      <c r="BD1285" s="2867"/>
      <c r="BE1285" s="2867"/>
      <c r="BF1285" s="2867"/>
      <c r="BG1285" s="2867"/>
      <c r="BH1285" s="2867"/>
      <c r="BI1285" s="2867"/>
      <c r="BJ1285" s="2867"/>
      <c r="BK1285" s="2867"/>
      <c r="BL1285" s="2867"/>
      <c r="BM1285" s="2867"/>
      <c r="BN1285" s="2867"/>
      <c r="BO1285" s="2867"/>
      <c r="BP1285" s="2867"/>
      <c r="BQ1285" s="2867"/>
      <c r="BR1285" s="2867"/>
      <c r="BS1285" s="2867"/>
      <c r="BT1285" s="2867"/>
      <c r="BU1285" s="2867"/>
      <c r="BV1285" s="2867"/>
      <c r="BW1285" s="2867"/>
      <c r="BX1285" s="2867"/>
      <c r="BY1285" s="2867"/>
      <c r="BZ1285" s="2867"/>
      <c r="CA1285" s="2867"/>
      <c r="CB1285" s="2867"/>
      <c r="CC1285" s="2867"/>
      <c r="CD1285" s="2867"/>
      <c r="CE1285" s="2867"/>
      <c r="CF1285" s="2867"/>
      <c r="CG1285" s="2867"/>
      <c r="CH1285" s="2867"/>
      <c r="CI1285" s="2867"/>
      <c r="CJ1285" s="2867"/>
      <c r="CK1285" s="2867"/>
      <c r="CL1285" s="2867"/>
      <c r="CM1285" s="2867"/>
      <c r="CN1285" s="2867"/>
      <c r="CO1285" s="2867"/>
      <c r="CP1285" s="2867"/>
      <c r="CQ1285" s="2867"/>
      <c r="CR1285" s="2867"/>
      <c r="CS1285" s="2867"/>
      <c r="CT1285" s="2867"/>
      <c r="CU1285" s="2867"/>
      <c r="CV1285" s="2867"/>
      <c r="CW1285" s="2867"/>
    </row>
    <row r="1286" spans="1:101">
      <c r="A1286" s="2867"/>
      <c r="B1286" s="2867"/>
      <c r="C1286" s="2867"/>
      <c r="D1286" s="2867"/>
      <c r="E1286" s="2867"/>
      <c r="F1286" s="2867"/>
      <c r="G1286" s="2867"/>
      <c r="H1286" s="2867"/>
      <c r="I1286" s="2867"/>
      <c r="J1286" s="2867"/>
      <c r="K1286" s="2867"/>
      <c r="L1286" s="2867"/>
      <c r="M1286" s="2867"/>
      <c r="O1286" s="2867"/>
      <c r="P1286" s="2867"/>
      <c r="Q1286" s="2867"/>
      <c r="R1286" s="2867"/>
      <c r="S1286" s="2867"/>
      <c r="T1286" s="2867"/>
      <c r="U1286" s="2867"/>
      <c r="V1286" s="2867"/>
      <c r="W1286" s="2867"/>
      <c r="X1286" s="2867"/>
      <c r="Y1286" s="2867"/>
      <c r="Z1286" s="2867"/>
      <c r="AA1286" s="2867"/>
      <c r="AB1286" s="2867"/>
      <c r="AC1286" s="2867"/>
      <c r="AD1286" s="2867"/>
      <c r="AE1286" s="2867"/>
      <c r="AF1286" s="2867"/>
      <c r="AG1286" s="2867"/>
      <c r="AH1286" s="2867"/>
      <c r="AI1286" s="2867"/>
      <c r="AJ1286" s="2867"/>
      <c r="AK1286" s="2867"/>
      <c r="AL1286" s="2867"/>
      <c r="AM1286" s="2867"/>
      <c r="AN1286" s="2867"/>
      <c r="AO1286" s="2867"/>
      <c r="AP1286" s="2867"/>
      <c r="AQ1286" s="2867"/>
      <c r="AR1286" s="2867"/>
      <c r="AS1286" s="2867"/>
      <c r="AT1286" s="2867"/>
      <c r="AU1286" s="2867"/>
      <c r="AV1286" s="2867"/>
      <c r="AW1286" s="2867"/>
      <c r="AX1286" s="2867"/>
      <c r="AY1286" s="2867"/>
      <c r="AZ1286" s="2867"/>
      <c r="BA1286" s="2867"/>
      <c r="BB1286" s="2867"/>
      <c r="BC1286" s="2867"/>
      <c r="BD1286" s="2867"/>
      <c r="BE1286" s="2867"/>
      <c r="BF1286" s="2867"/>
      <c r="BG1286" s="2867"/>
      <c r="BH1286" s="2867"/>
      <c r="BI1286" s="2867"/>
      <c r="BJ1286" s="2867"/>
      <c r="BK1286" s="2867"/>
      <c r="BL1286" s="2867"/>
      <c r="BM1286" s="2867"/>
      <c r="BN1286" s="2867"/>
      <c r="BO1286" s="2867"/>
      <c r="BP1286" s="2867"/>
      <c r="BQ1286" s="2867"/>
      <c r="BR1286" s="2867"/>
      <c r="BS1286" s="2867"/>
      <c r="BT1286" s="2867"/>
      <c r="BU1286" s="2867"/>
      <c r="BV1286" s="2867"/>
      <c r="BW1286" s="2867"/>
      <c r="BX1286" s="2867"/>
      <c r="BY1286" s="2867"/>
      <c r="BZ1286" s="2867"/>
      <c r="CA1286" s="2867"/>
      <c r="CB1286" s="2867"/>
      <c r="CC1286" s="2867"/>
      <c r="CD1286" s="2867"/>
      <c r="CE1286" s="2867"/>
      <c r="CF1286" s="2867"/>
      <c r="CG1286" s="2867"/>
      <c r="CH1286" s="2867"/>
      <c r="CI1286" s="2867"/>
      <c r="CJ1286" s="2867"/>
      <c r="CK1286" s="2867"/>
      <c r="CL1286" s="2867"/>
      <c r="CM1286" s="2867"/>
      <c r="CN1286" s="2867"/>
      <c r="CO1286" s="2867"/>
      <c r="CP1286" s="2867"/>
      <c r="CQ1286" s="2867"/>
      <c r="CR1286" s="2867"/>
      <c r="CS1286" s="2867"/>
      <c r="CT1286" s="2867"/>
      <c r="CU1286" s="2867"/>
      <c r="CV1286" s="2867"/>
      <c r="CW1286" s="2867"/>
    </row>
    <row r="1287" spans="1:101">
      <c r="A1287" s="2867"/>
      <c r="B1287" s="2867"/>
      <c r="C1287" s="2867"/>
      <c r="D1287" s="2867"/>
      <c r="E1287" s="2867"/>
      <c r="F1287" s="2867"/>
      <c r="G1287" s="2867"/>
      <c r="H1287" s="2867"/>
      <c r="I1287" s="2867"/>
      <c r="J1287" s="2867"/>
      <c r="K1287" s="2867"/>
      <c r="L1287" s="2867"/>
      <c r="M1287" s="2867"/>
      <c r="O1287" s="2867"/>
      <c r="P1287" s="2867"/>
      <c r="Q1287" s="2867"/>
      <c r="R1287" s="2867"/>
      <c r="S1287" s="2867"/>
      <c r="T1287" s="2867"/>
      <c r="U1287" s="2867"/>
      <c r="V1287" s="2867"/>
      <c r="W1287" s="2867"/>
      <c r="X1287" s="2867"/>
      <c r="Y1287" s="2867"/>
      <c r="Z1287" s="2867"/>
      <c r="AA1287" s="2867"/>
      <c r="AB1287" s="2867"/>
      <c r="AC1287" s="2867"/>
      <c r="AD1287" s="2867"/>
      <c r="AE1287" s="2867"/>
      <c r="AF1287" s="2867"/>
      <c r="AG1287" s="2867"/>
      <c r="AH1287" s="2867"/>
      <c r="AI1287" s="2867"/>
      <c r="AJ1287" s="2867"/>
      <c r="AK1287" s="2867"/>
      <c r="AL1287" s="2867"/>
      <c r="AM1287" s="2867"/>
      <c r="AN1287" s="2867"/>
      <c r="AO1287" s="2867"/>
      <c r="AP1287" s="2867"/>
      <c r="AQ1287" s="2867"/>
      <c r="AR1287" s="2867"/>
      <c r="AS1287" s="2867"/>
      <c r="AT1287" s="2867"/>
      <c r="AU1287" s="2867"/>
      <c r="AV1287" s="2867"/>
      <c r="AW1287" s="2867"/>
      <c r="AX1287" s="2867"/>
      <c r="AY1287" s="2867"/>
      <c r="AZ1287" s="2867"/>
      <c r="BA1287" s="2867"/>
      <c r="BB1287" s="2867"/>
      <c r="BC1287" s="2867"/>
      <c r="BD1287" s="2867"/>
      <c r="BE1287" s="2867"/>
      <c r="BF1287" s="2867"/>
      <c r="BG1287" s="2867"/>
      <c r="BH1287" s="2867"/>
      <c r="BI1287" s="2867"/>
      <c r="BJ1287" s="2867"/>
      <c r="BK1287" s="2867"/>
      <c r="BL1287" s="2867"/>
      <c r="BM1287" s="2867"/>
      <c r="BN1287" s="2867"/>
      <c r="BO1287" s="2867"/>
      <c r="BP1287" s="2867"/>
      <c r="BQ1287" s="2867"/>
      <c r="BR1287" s="2867"/>
      <c r="BS1287" s="2867"/>
      <c r="BT1287" s="2867"/>
      <c r="BU1287" s="2867"/>
      <c r="BV1287" s="2867"/>
      <c r="BW1287" s="2867"/>
      <c r="BX1287" s="2867"/>
      <c r="BY1287" s="2867"/>
      <c r="BZ1287" s="2867"/>
      <c r="CA1287" s="2867"/>
      <c r="CB1287" s="2867"/>
      <c r="CC1287" s="2867"/>
      <c r="CD1287" s="2867"/>
      <c r="CE1287" s="2867"/>
      <c r="CF1287" s="2867"/>
      <c r="CG1287" s="2867"/>
      <c r="CH1287" s="2867"/>
      <c r="CI1287" s="2867"/>
      <c r="CJ1287" s="2867"/>
      <c r="CK1287" s="2867"/>
      <c r="CL1287" s="2867"/>
      <c r="CM1287" s="2867"/>
      <c r="CN1287" s="2867"/>
      <c r="CO1287" s="2867"/>
      <c r="CP1287" s="2867"/>
      <c r="CQ1287" s="2867"/>
      <c r="CR1287" s="2867"/>
      <c r="CS1287" s="2867"/>
      <c r="CT1287" s="2867"/>
      <c r="CU1287" s="2867"/>
      <c r="CV1287" s="2867"/>
      <c r="CW1287" s="2867"/>
    </row>
    <row r="1288" spans="1:101">
      <c r="A1288" s="2867"/>
      <c r="B1288" s="2867"/>
      <c r="C1288" s="2867"/>
      <c r="D1288" s="2867"/>
      <c r="E1288" s="2867"/>
      <c r="F1288" s="2867"/>
      <c r="G1288" s="2867"/>
      <c r="H1288" s="2867"/>
      <c r="I1288" s="2867"/>
      <c r="J1288" s="2867"/>
      <c r="K1288" s="2867"/>
      <c r="L1288" s="2867"/>
      <c r="M1288" s="2867"/>
      <c r="O1288" s="2867"/>
      <c r="P1288" s="2867"/>
      <c r="Q1288" s="2867"/>
      <c r="R1288" s="2867"/>
      <c r="S1288" s="2867"/>
      <c r="T1288" s="2867"/>
      <c r="U1288" s="2867"/>
      <c r="V1288" s="2867"/>
      <c r="W1288" s="2867"/>
      <c r="X1288" s="2867"/>
      <c r="Y1288" s="2867"/>
      <c r="Z1288" s="2867"/>
      <c r="AA1288" s="2867"/>
      <c r="AB1288" s="2867"/>
      <c r="AC1288" s="2867"/>
      <c r="AD1288" s="2867"/>
      <c r="AE1288" s="2867"/>
      <c r="AF1288" s="2867"/>
      <c r="AG1288" s="2867"/>
      <c r="AH1288" s="2867"/>
      <c r="AI1288" s="2867"/>
      <c r="AJ1288" s="2867"/>
      <c r="AK1288" s="2867"/>
      <c r="AL1288" s="2867"/>
      <c r="AM1288" s="2867"/>
      <c r="AN1288" s="2867"/>
      <c r="AO1288" s="2867"/>
      <c r="AP1288" s="2867"/>
      <c r="AQ1288" s="2867"/>
      <c r="AR1288" s="2867"/>
      <c r="AS1288" s="2867"/>
      <c r="AT1288" s="2867"/>
      <c r="AU1288" s="2867"/>
      <c r="AV1288" s="2867"/>
      <c r="AW1288" s="2867"/>
      <c r="AX1288" s="2867"/>
      <c r="AY1288" s="2867"/>
      <c r="AZ1288" s="2867"/>
      <c r="BA1288" s="2867"/>
      <c r="BB1288" s="2867"/>
      <c r="BC1288" s="2867"/>
      <c r="BD1288" s="2867"/>
      <c r="BE1288" s="2867"/>
      <c r="BF1288" s="2867"/>
      <c r="BG1288" s="2867"/>
      <c r="BH1288" s="2867"/>
      <c r="BI1288" s="2867"/>
      <c r="BJ1288" s="2867"/>
      <c r="BK1288" s="2867"/>
      <c r="BL1288" s="2867"/>
      <c r="BM1288" s="2867"/>
      <c r="BN1288" s="2867"/>
      <c r="BO1288" s="2867"/>
      <c r="BP1288" s="2867"/>
      <c r="BQ1288" s="2867"/>
      <c r="BR1288" s="2867"/>
      <c r="BS1288" s="2867"/>
      <c r="BT1288" s="2867"/>
      <c r="BU1288" s="2867"/>
      <c r="BV1288" s="2867"/>
      <c r="BW1288" s="2867"/>
      <c r="BX1288" s="2867"/>
      <c r="BY1288" s="2867"/>
      <c r="BZ1288" s="2867"/>
      <c r="CA1288" s="2867"/>
      <c r="CB1288" s="2867"/>
      <c r="CC1288" s="2867"/>
      <c r="CD1288" s="2867"/>
      <c r="CE1288" s="2867"/>
      <c r="CF1288" s="2867"/>
      <c r="CG1288" s="2867"/>
      <c r="CH1288" s="2867"/>
      <c r="CI1288" s="2867"/>
      <c r="CJ1288" s="2867"/>
      <c r="CK1288" s="2867"/>
      <c r="CL1288" s="2867"/>
      <c r="CM1288" s="2867"/>
      <c r="CN1288" s="2867"/>
      <c r="CO1288" s="2867"/>
      <c r="CP1288" s="2867"/>
      <c r="CQ1288" s="2867"/>
      <c r="CR1288" s="2867"/>
      <c r="CS1288" s="2867"/>
      <c r="CT1288" s="2867"/>
      <c r="CU1288" s="2867"/>
      <c r="CV1288" s="2867"/>
      <c r="CW1288" s="2867"/>
    </row>
    <row r="1289" spans="1:101">
      <c r="A1289" s="2867"/>
      <c r="B1289" s="2867"/>
      <c r="C1289" s="2867"/>
      <c r="D1289" s="2867"/>
      <c r="E1289" s="2867"/>
      <c r="F1289" s="2867"/>
      <c r="G1289" s="2867"/>
      <c r="H1289" s="2867"/>
      <c r="I1289" s="2867"/>
      <c r="J1289" s="2867"/>
      <c r="K1289" s="2867"/>
      <c r="L1289" s="2867"/>
      <c r="M1289" s="2867"/>
      <c r="O1289" s="2867"/>
      <c r="P1289" s="2867"/>
      <c r="Q1289" s="2867"/>
      <c r="R1289" s="2867"/>
      <c r="S1289" s="2867"/>
      <c r="T1289" s="2867"/>
      <c r="U1289" s="2867"/>
      <c r="V1289" s="2867"/>
      <c r="W1289" s="2867"/>
      <c r="X1289" s="2867"/>
      <c r="Y1289" s="2867"/>
      <c r="Z1289" s="2867"/>
      <c r="AA1289" s="2867"/>
      <c r="AB1289" s="2867"/>
      <c r="AC1289" s="2867"/>
      <c r="AD1289" s="2867"/>
      <c r="AE1289" s="2867"/>
      <c r="AF1289" s="2867"/>
      <c r="AG1289" s="2867"/>
      <c r="AH1289" s="2867"/>
      <c r="AI1289" s="2867"/>
      <c r="AJ1289" s="2867"/>
      <c r="AK1289" s="2867"/>
      <c r="AL1289" s="2867"/>
      <c r="AM1289" s="2867"/>
      <c r="AN1289" s="2867"/>
      <c r="AO1289" s="2867"/>
      <c r="AP1289" s="2867"/>
      <c r="AQ1289" s="2867"/>
      <c r="AR1289" s="2867"/>
      <c r="AS1289" s="2867"/>
      <c r="AT1289" s="2867"/>
      <c r="AU1289" s="2867"/>
      <c r="AV1289" s="2867"/>
      <c r="AW1289" s="2867"/>
      <c r="AX1289" s="2867"/>
      <c r="AY1289" s="2867"/>
      <c r="AZ1289" s="2867"/>
      <c r="BA1289" s="2867"/>
      <c r="BB1289" s="2867"/>
      <c r="BC1289" s="2867"/>
      <c r="BD1289" s="2867"/>
      <c r="BE1289" s="2867"/>
      <c r="BF1289" s="2867"/>
      <c r="BG1289" s="2867"/>
      <c r="BH1289" s="2867"/>
      <c r="BI1289" s="2867"/>
      <c r="BJ1289" s="2867"/>
      <c r="BK1289" s="2867"/>
      <c r="BL1289" s="2867"/>
      <c r="BM1289" s="2867"/>
      <c r="BN1289" s="2867"/>
      <c r="BO1289" s="2867"/>
      <c r="BP1289" s="2867"/>
      <c r="BQ1289" s="2867"/>
      <c r="BR1289" s="2867"/>
      <c r="BS1289" s="2867"/>
      <c r="BT1289" s="2867"/>
      <c r="BU1289" s="2867"/>
      <c r="BV1289" s="2867"/>
      <c r="BW1289" s="2867"/>
      <c r="BX1289" s="2867"/>
      <c r="BY1289" s="2867"/>
      <c r="BZ1289" s="2867"/>
      <c r="CA1289" s="2867"/>
      <c r="CB1289" s="2867"/>
      <c r="CC1289" s="2867"/>
      <c r="CD1289" s="2867"/>
      <c r="CE1289" s="2867"/>
      <c r="CF1289" s="2867"/>
      <c r="CG1289" s="2867"/>
      <c r="CH1289" s="2867"/>
      <c r="CI1289" s="2867"/>
      <c r="CJ1289" s="2867"/>
      <c r="CK1289" s="2867"/>
      <c r="CL1289" s="2867"/>
      <c r="CM1289" s="2867"/>
      <c r="CN1289" s="2867"/>
      <c r="CO1289" s="2867"/>
      <c r="CP1289" s="2867"/>
      <c r="CQ1289" s="2867"/>
      <c r="CR1289" s="2867"/>
      <c r="CS1289" s="2867"/>
      <c r="CT1289" s="2867"/>
      <c r="CU1289" s="2867"/>
      <c r="CV1289" s="2867"/>
      <c r="CW1289" s="2867"/>
    </row>
    <row r="1290" spans="1:101">
      <c r="A1290" s="2867"/>
      <c r="B1290" s="2867"/>
      <c r="C1290" s="2867"/>
      <c r="D1290" s="2867"/>
      <c r="E1290" s="2867"/>
      <c r="F1290" s="2867"/>
      <c r="G1290" s="2867"/>
      <c r="H1290" s="2867"/>
      <c r="I1290" s="2867"/>
      <c r="J1290" s="2867"/>
      <c r="K1290" s="2867"/>
      <c r="L1290" s="2867"/>
      <c r="M1290" s="2867"/>
      <c r="O1290" s="2867"/>
      <c r="P1290" s="2867"/>
      <c r="Q1290" s="2867"/>
      <c r="R1290" s="2867"/>
      <c r="S1290" s="2867"/>
      <c r="T1290" s="2867"/>
      <c r="U1290" s="2867"/>
      <c r="V1290" s="2867"/>
      <c r="W1290" s="2867"/>
      <c r="X1290" s="2867"/>
      <c r="Y1290" s="2867"/>
      <c r="Z1290" s="2867"/>
      <c r="AA1290" s="2867"/>
      <c r="AB1290" s="2867"/>
      <c r="AC1290" s="2867"/>
      <c r="AD1290" s="2867"/>
      <c r="AE1290" s="2867"/>
      <c r="AF1290" s="2867"/>
      <c r="AG1290" s="2867"/>
      <c r="AH1290" s="2867"/>
      <c r="AI1290" s="2867"/>
      <c r="AJ1290" s="2867"/>
      <c r="AK1290" s="2867"/>
      <c r="AL1290" s="2867"/>
      <c r="AM1290" s="2867"/>
      <c r="AN1290" s="2867"/>
      <c r="AO1290" s="2867"/>
      <c r="AP1290" s="2867"/>
      <c r="AQ1290" s="2867"/>
      <c r="AR1290" s="2867"/>
      <c r="AS1290" s="2867"/>
      <c r="AT1290" s="2867"/>
      <c r="AU1290" s="2867"/>
      <c r="AV1290" s="2867"/>
      <c r="AW1290" s="2867"/>
      <c r="AX1290" s="2867"/>
      <c r="AY1290" s="2867"/>
      <c r="AZ1290" s="2867"/>
      <c r="BA1290" s="2867"/>
      <c r="BB1290" s="2867"/>
      <c r="BC1290" s="2867"/>
      <c r="BD1290" s="2867"/>
      <c r="BE1290" s="2867"/>
      <c r="BF1290" s="2867"/>
      <c r="BG1290" s="2867"/>
      <c r="BH1290" s="2867"/>
      <c r="BI1290" s="2867"/>
      <c r="BJ1290" s="2867"/>
      <c r="BK1290" s="2867"/>
      <c r="BL1290" s="2867"/>
      <c r="BM1290" s="2867"/>
      <c r="BN1290" s="2867"/>
      <c r="BO1290" s="2867"/>
      <c r="BP1290" s="2867"/>
      <c r="BQ1290" s="2867"/>
      <c r="BR1290" s="2867"/>
      <c r="BS1290" s="2867"/>
      <c r="BT1290" s="2867"/>
      <c r="BU1290" s="2867"/>
      <c r="BV1290" s="2867"/>
      <c r="BW1290" s="2867"/>
      <c r="BX1290" s="2867"/>
      <c r="BY1290" s="2867"/>
      <c r="BZ1290" s="2867"/>
      <c r="CA1290" s="2867"/>
      <c r="CB1290" s="2867"/>
      <c r="CC1290" s="2867"/>
      <c r="CD1290" s="2867"/>
      <c r="CE1290" s="2867"/>
      <c r="CF1290" s="2867"/>
      <c r="CG1290" s="2867"/>
      <c r="CH1290" s="2867"/>
      <c r="CI1290" s="2867"/>
      <c r="CJ1290" s="2867"/>
      <c r="CK1290" s="2867"/>
      <c r="CL1290" s="2867"/>
      <c r="CM1290" s="2867"/>
      <c r="CN1290" s="2867"/>
      <c r="CO1290" s="2867"/>
      <c r="CP1290" s="2867"/>
      <c r="CQ1290" s="2867"/>
      <c r="CR1290" s="2867"/>
      <c r="CS1290" s="2867"/>
      <c r="CT1290" s="2867"/>
      <c r="CU1290" s="2867"/>
      <c r="CV1290" s="2867"/>
      <c r="CW1290" s="2867"/>
    </row>
    <row r="1291" spans="1:101">
      <c r="A1291" s="2867"/>
      <c r="B1291" s="2867"/>
      <c r="C1291" s="2867"/>
      <c r="D1291" s="2867"/>
      <c r="E1291" s="2867"/>
      <c r="F1291" s="2867"/>
      <c r="G1291" s="2867"/>
      <c r="H1291" s="2867"/>
      <c r="I1291" s="2867"/>
      <c r="J1291" s="2867"/>
      <c r="K1291" s="2867"/>
      <c r="L1291" s="2867"/>
      <c r="M1291" s="2867"/>
      <c r="O1291" s="2867"/>
      <c r="P1291" s="2867"/>
      <c r="Q1291" s="2867"/>
      <c r="R1291" s="2867"/>
      <c r="S1291" s="2867"/>
      <c r="T1291" s="2867"/>
      <c r="U1291" s="2867"/>
      <c r="V1291" s="2867"/>
      <c r="W1291" s="2867"/>
      <c r="X1291" s="2867"/>
      <c r="Y1291" s="2867"/>
      <c r="Z1291" s="2867"/>
      <c r="AA1291" s="2867"/>
      <c r="AB1291" s="2867"/>
      <c r="AC1291" s="2867"/>
      <c r="AD1291" s="2867"/>
      <c r="AE1291" s="2867"/>
      <c r="AF1291" s="2867"/>
      <c r="AG1291" s="2867"/>
      <c r="AH1291" s="2867"/>
      <c r="AI1291" s="2867"/>
      <c r="AJ1291" s="2867"/>
      <c r="AK1291" s="2867"/>
      <c r="AL1291" s="2867"/>
      <c r="AM1291" s="2867"/>
      <c r="AN1291" s="2867"/>
      <c r="AO1291" s="2867"/>
      <c r="AP1291" s="2867"/>
      <c r="AQ1291" s="2867"/>
      <c r="AR1291" s="2867"/>
      <c r="AS1291" s="2867"/>
      <c r="AT1291" s="2867"/>
      <c r="AU1291" s="2867"/>
      <c r="AV1291" s="2867"/>
      <c r="AW1291" s="2867"/>
      <c r="AX1291" s="2867"/>
      <c r="AY1291" s="2867"/>
      <c r="AZ1291" s="2867"/>
      <c r="BA1291" s="2867"/>
      <c r="BB1291" s="2867"/>
      <c r="BC1291" s="2867"/>
      <c r="BD1291" s="2867"/>
      <c r="BE1291" s="2867"/>
      <c r="BF1291" s="2867"/>
      <c r="BG1291" s="2867"/>
      <c r="BH1291" s="2867"/>
      <c r="BI1291" s="2867"/>
      <c r="BJ1291" s="2867"/>
      <c r="BK1291" s="2867"/>
      <c r="BL1291" s="2867"/>
      <c r="BM1291" s="2867"/>
      <c r="BN1291" s="2867"/>
      <c r="BO1291" s="2867"/>
      <c r="BP1291" s="2867"/>
      <c r="BQ1291" s="2867"/>
      <c r="BR1291" s="2867"/>
      <c r="BS1291" s="2867"/>
      <c r="BT1291" s="2867"/>
      <c r="BU1291" s="2867"/>
      <c r="BV1291" s="2867"/>
      <c r="BW1291" s="2867"/>
      <c r="BX1291" s="2867"/>
      <c r="BY1291" s="2867"/>
      <c r="BZ1291" s="2867"/>
      <c r="CA1291" s="2867"/>
      <c r="CB1291" s="2867"/>
      <c r="CC1291" s="2867"/>
      <c r="CD1291" s="2867"/>
      <c r="CE1291" s="2867"/>
      <c r="CF1291" s="2867"/>
      <c r="CG1291" s="2867"/>
      <c r="CH1291" s="2867"/>
      <c r="CI1291" s="2867"/>
      <c r="CJ1291" s="2867"/>
      <c r="CK1291" s="2867"/>
      <c r="CL1291" s="2867"/>
      <c r="CM1291" s="2867"/>
      <c r="CN1291" s="2867"/>
      <c r="CO1291" s="2867"/>
      <c r="CP1291" s="2867"/>
      <c r="CQ1291" s="2867"/>
      <c r="CR1291" s="2867"/>
      <c r="CS1291" s="2867"/>
      <c r="CT1291" s="2867"/>
      <c r="CU1291" s="2867"/>
      <c r="CV1291" s="2867"/>
      <c r="CW1291" s="2867"/>
    </row>
    <row r="1292" spans="1:101">
      <c r="A1292" s="2867"/>
      <c r="B1292" s="2867"/>
      <c r="C1292" s="2867"/>
      <c r="D1292" s="2867"/>
      <c r="E1292" s="2867"/>
      <c r="F1292" s="2867"/>
      <c r="G1292" s="2867"/>
      <c r="H1292" s="2867"/>
      <c r="I1292" s="2867"/>
      <c r="J1292" s="2867"/>
      <c r="K1292" s="2867"/>
      <c r="L1292" s="2867"/>
      <c r="M1292" s="2867"/>
      <c r="O1292" s="2867"/>
      <c r="P1292" s="2867"/>
      <c r="Q1292" s="2867"/>
      <c r="R1292" s="2867"/>
      <c r="S1292" s="2867"/>
      <c r="T1292" s="2867"/>
      <c r="U1292" s="2867"/>
      <c r="V1292" s="2867"/>
      <c r="W1292" s="2867"/>
      <c r="X1292" s="2867"/>
      <c r="Y1292" s="2867"/>
      <c r="Z1292" s="2867"/>
      <c r="AA1292" s="2867"/>
      <c r="AB1292" s="2867"/>
      <c r="AC1292" s="2867"/>
      <c r="AD1292" s="2867"/>
      <c r="AE1292" s="2867"/>
      <c r="AF1292" s="2867"/>
      <c r="AG1292" s="2867"/>
      <c r="AH1292" s="2867"/>
      <c r="AI1292" s="2867"/>
      <c r="AJ1292" s="2867"/>
      <c r="AK1292" s="2867"/>
      <c r="AL1292" s="2867"/>
      <c r="AM1292" s="2867"/>
      <c r="AN1292" s="2867"/>
      <c r="AO1292" s="2867"/>
      <c r="AP1292" s="2867"/>
      <c r="AQ1292" s="2867"/>
      <c r="AR1292" s="2867"/>
      <c r="AS1292" s="2867"/>
      <c r="AT1292" s="2867"/>
      <c r="AU1292" s="2867"/>
      <c r="AV1292" s="2867"/>
      <c r="AW1292" s="2867"/>
      <c r="AX1292" s="2867"/>
      <c r="AY1292" s="2867"/>
      <c r="AZ1292" s="2867"/>
      <c r="BA1292" s="2867"/>
      <c r="BB1292" s="2867"/>
      <c r="BC1292" s="2867"/>
      <c r="BD1292" s="2867"/>
      <c r="BE1292" s="2867"/>
      <c r="BF1292" s="2867"/>
      <c r="BG1292" s="2867"/>
      <c r="BH1292" s="2867"/>
      <c r="BI1292" s="2867"/>
      <c r="BJ1292" s="2867"/>
      <c r="BK1292" s="2867"/>
      <c r="BL1292" s="2867"/>
      <c r="BM1292" s="2867"/>
      <c r="BN1292" s="2867"/>
      <c r="BO1292" s="2867"/>
      <c r="BP1292" s="2867"/>
      <c r="BQ1292" s="2867"/>
      <c r="BR1292" s="2867"/>
      <c r="BS1292" s="2867"/>
      <c r="BT1292" s="2867"/>
      <c r="BU1292" s="2867"/>
      <c r="BV1292" s="2867"/>
      <c r="BW1292" s="2867"/>
      <c r="BX1292" s="2867"/>
      <c r="BY1292" s="2867"/>
      <c r="BZ1292" s="2867"/>
      <c r="CA1292" s="2867"/>
      <c r="CB1292" s="2867"/>
      <c r="CC1292" s="2867"/>
      <c r="CD1292" s="2867"/>
      <c r="CE1292" s="2867"/>
      <c r="CF1292" s="2867"/>
      <c r="CG1292" s="2867"/>
      <c r="CH1292" s="2867"/>
      <c r="CI1292" s="2867"/>
      <c r="CJ1292" s="2867"/>
      <c r="CK1292" s="2867"/>
      <c r="CL1292" s="2867"/>
      <c r="CM1292" s="2867"/>
      <c r="CN1292" s="2867"/>
      <c r="CO1292" s="2867"/>
      <c r="CP1292" s="2867"/>
      <c r="CQ1292" s="2867"/>
      <c r="CR1292" s="2867"/>
      <c r="CS1292" s="2867"/>
      <c r="CT1292" s="2867"/>
      <c r="CU1292" s="2867"/>
      <c r="CV1292" s="2867"/>
      <c r="CW1292" s="2867"/>
    </row>
    <row r="1293" spans="1:101">
      <c r="A1293" s="2867"/>
      <c r="B1293" s="2867"/>
      <c r="C1293" s="2867"/>
      <c r="D1293" s="2867"/>
      <c r="E1293" s="2867"/>
      <c r="F1293" s="2867"/>
      <c r="G1293" s="2867"/>
      <c r="H1293" s="2867"/>
      <c r="I1293" s="2867"/>
      <c r="J1293" s="2867"/>
      <c r="K1293" s="2867"/>
      <c r="L1293" s="2867"/>
      <c r="M1293" s="2867"/>
      <c r="O1293" s="2867"/>
      <c r="P1293" s="2867"/>
      <c r="Q1293" s="2867"/>
      <c r="R1293" s="2867"/>
      <c r="S1293" s="2867"/>
      <c r="T1293" s="2867"/>
      <c r="U1293" s="2867"/>
      <c r="V1293" s="2867"/>
      <c r="W1293" s="2867"/>
      <c r="X1293" s="2867"/>
      <c r="Y1293" s="2867"/>
      <c r="Z1293" s="2867"/>
      <c r="AA1293" s="2867"/>
      <c r="AB1293" s="2867"/>
      <c r="AC1293" s="2867"/>
      <c r="AD1293" s="2867"/>
      <c r="AE1293" s="2867"/>
      <c r="AF1293" s="2867"/>
      <c r="AG1293" s="2867"/>
      <c r="AH1293" s="2867"/>
      <c r="AI1293" s="2867"/>
      <c r="AJ1293" s="2867"/>
      <c r="AK1293" s="2867"/>
      <c r="AL1293" s="2867"/>
      <c r="AM1293" s="2867"/>
      <c r="AN1293" s="2867"/>
      <c r="AO1293" s="2867"/>
      <c r="AP1293" s="2867"/>
      <c r="AQ1293" s="2867"/>
      <c r="AR1293" s="2867"/>
      <c r="AS1293" s="2867"/>
      <c r="AT1293" s="2867"/>
      <c r="AU1293" s="2867"/>
      <c r="AV1293" s="2867"/>
      <c r="AW1293" s="2867"/>
      <c r="AX1293" s="2867"/>
      <c r="AY1293" s="2867"/>
      <c r="AZ1293" s="2867"/>
      <c r="BA1293" s="2867"/>
      <c r="BB1293" s="2867"/>
      <c r="BC1293" s="2867"/>
      <c r="BD1293" s="2867"/>
      <c r="BE1293" s="2867"/>
      <c r="BF1293" s="2867"/>
      <c r="BG1293" s="2867"/>
      <c r="BH1293" s="2867"/>
      <c r="BI1293" s="2867"/>
      <c r="BJ1293" s="2867"/>
      <c r="BK1293" s="2867"/>
      <c r="BL1293" s="2867"/>
      <c r="BM1293" s="2867"/>
      <c r="BN1293" s="2867"/>
      <c r="BO1293" s="2867"/>
      <c r="BP1293" s="2867"/>
      <c r="BQ1293" s="2867"/>
      <c r="BR1293" s="2867"/>
      <c r="BS1293" s="2867"/>
      <c r="BT1293" s="2867"/>
      <c r="BU1293" s="2867"/>
      <c r="BV1293" s="2867"/>
      <c r="BW1293" s="2867"/>
      <c r="BX1293" s="2867"/>
      <c r="BY1293" s="2867"/>
      <c r="BZ1293" s="2867"/>
      <c r="CA1293" s="2867"/>
      <c r="CB1293" s="2867"/>
      <c r="CC1293" s="2867"/>
      <c r="CD1293" s="2867"/>
      <c r="CE1293" s="2867"/>
      <c r="CF1293" s="2867"/>
      <c r="CG1293" s="2867"/>
      <c r="CH1293" s="2867"/>
      <c r="CI1293" s="2867"/>
      <c r="CJ1293" s="2867"/>
      <c r="CK1293" s="2867"/>
      <c r="CL1293" s="2867"/>
      <c r="CM1293" s="2867"/>
      <c r="CN1293" s="2867"/>
      <c r="CO1293" s="2867"/>
      <c r="CP1293" s="2867"/>
      <c r="CQ1293" s="2867"/>
      <c r="CR1293" s="2867"/>
      <c r="CS1293" s="2867"/>
      <c r="CT1293" s="2867"/>
      <c r="CU1293" s="2867"/>
      <c r="CV1293" s="2867"/>
      <c r="CW1293" s="2867"/>
    </row>
    <row r="1294" spans="1:101">
      <c r="A1294" s="2867"/>
      <c r="B1294" s="2867"/>
      <c r="C1294" s="2867"/>
      <c r="D1294" s="2867"/>
      <c r="E1294" s="2867"/>
      <c r="F1294" s="2867"/>
      <c r="G1294" s="2867"/>
      <c r="H1294" s="2867"/>
      <c r="I1294" s="2867"/>
      <c r="J1294" s="2867"/>
      <c r="K1294" s="2867"/>
      <c r="L1294" s="2867"/>
      <c r="M1294" s="2867"/>
      <c r="O1294" s="2867"/>
      <c r="P1294" s="2867"/>
      <c r="Q1294" s="2867"/>
      <c r="R1294" s="2867"/>
      <c r="S1294" s="2867"/>
      <c r="T1294" s="2867"/>
      <c r="U1294" s="2867"/>
      <c r="V1294" s="2867"/>
      <c r="W1294" s="2867"/>
      <c r="X1294" s="2867"/>
      <c r="Y1294" s="2867"/>
      <c r="Z1294" s="2867"/>
      <c r="AA1294" s="2867"/>
      <c r="AB1294" s="2867"/>
      <c r="AC1294" s="2867"/>
      <c r="AD1294" s="2867"/>
      <c r="AE1294" s="2867"/>
      <c r="AF1294" s="2867"/>
      <c r="AG1294" s="2867"/>
      <c r="AH1294" s="2867"/>
      <c r="AI1294" s="2867"/>
      <c r="AJ1294" s="2867"/>
      <c r="AK1294" s="2867"/>
      <c r="AL1294" s="2867"/>
      <c r="AM1294" s="2867"/>
      <c r="AN1294" s="2867"/>
      <c r="AO1294" s="2867"/>
      <c r="AP1294" s="2867"/>
      <c r="AQ1294" s="2867"/>
      <c r="AR1294" s="2867"/>
      <c r="AS1294" s="2867"/>
      <c r="AT1294" s="2867"/>
      <c r="AU1294" s="2867"/>
      <c r="AV1294" s="2867"/>
      <c r="AW1294" s="2867"/>
      <c r="AX1294" s="2867"/>
      <c r="AY1294" s="2867"/>
      <c r="AZ1294" s="2867"/>
      <c r="BA1294" s="2867"/>
      <c r="BB1294" s="2867"/>
      <c r="BC1294" s="2867"/>
      <c r="BD1294" s="2867"/>
      <c r="BE1294" s="2867"/>
      <c r="BF1294" s="2867"/>
      <c r="BG1294" s="2867"/>
      <c r="BH1294" s="2867"/>
      <c r="BI1294" s="2867"/>
      <c r="BJ1294" s="2867"/>
      <c r="BK1294" s="2867"/>
      <c r="BL1294" s="2867"/>
      <c r="BM1294" s="2867"/>
      <c r="BN1294" s="2867"/>
      <c r="BO1294" s="2867"/>
      <c r="BP1294" s="2867"/>
      <c r="BQ1294" s="2867"/>
      <c r="BR1294" s="2867"/>
      <c r="BS1294" s="2867"/>
      <c r="BT1294" s="2867"/>
      <c r="BU1294" s="2867"/>
      <c r="BV1294" s="2867"/>
      <c r="BW1294" s="2867"/>
      <c r="BX1294" s="2867"/>
      <c r="BY1294" s="2867"/>
      <c r="BZ1294" s="2867"/>
      <c r="CA1294" s="2867"/>
      <c r="CB1294" s="2867"/>
      <c r="CC1294" s="2867"/>
      <c r="CD1294" s="2867"/>
      <c r="CE1294" s="2867"/>
      <c r="CF1294" s="2867"/>
      <c r="CG1294" s="2867"/>
      <c r="CH1294" s="2867"/>
      <c r="CI1294" s="2867"/>
      <c r="CJ1294" s="2867"/>
      <c r="CK1294" s="2867"/>
      <c r="CL1294" s="2867"/>
      <c r="CM1294" s="2867"/>
      <c r="CN1294" s="2867"/>
      <c r="CO1294" s="2867"/>
      <c r="CP1294" s="2867"/>
      <c r="CQ1294" s="2867"/>
      <c r="CR1294" s="2867"/>
      <c r="CS1294" s="2867"/>
      <c r="CT1294" s="2867"/>
      <c r="CU1294" s="2867"/>
      <c r="CV1294" s="2867"/>
      <c r="CW1294" s="2867"/>
    </row>
    <row r="1295" spans="1:101">
      <c r="A1295" s="2867"/>
      <c r="B1295" s="2867"/>
      <c r="C1295" s="2867"/>
      <c r="D1295" s="2867"/>
      <c r="E1295" s="2867"/>
      <c r="F1295" s="2867"/>
      <c r="G1295" s="2867"/>
      <c r="H1295" s="2867"/>
      <c r="I1295" s="2867"/>
      <c r="J1295" s="2867"/>
      <c r="K1295" s="2867"/>
      <c r="L1295" s="2867"/>
      <c r="M1295" s="2867"/>
      <c r="O1295" s="2867"/>
      <c r="P1295" s="2867"/>
      <c r="Q1295" s="2867"/>
      <c r="R1295" s="2867"/>
      <c r="S1295" s="2867"/>
      <c r="T1295" s="2867"/>
      <c r="U1295" s="2867"/>
      <c r="V1295" s="2867"/>
      <c r="W1295" s="2867"/>
      <c r="X1295" s="2867"/>
      <c r="Y1295" s="2867"/>
      <c r="Z1295" s="2867"/>
      <c r="AA1295" s="2867"/>
      <c r="AB1295" s="2867"/>
      <c r="AC1295" s="2867"/>
      <c r="AD1295" s="2867"/>
      <c r="AE1295" s="2867"/>
      <c r="AF1295" s="2867"/>
      <c r="AG1295" s="2867"/>
      <c r="AH1295" s="2867"/>
      <c r="AI1295" s="2867"/>
      <c r="AJ1295" s="2867"/>
      <c r="AK1295" s="2867"/>
      <c r="AL1295" s="2867"/>
      <c r="AM1295" s="2867"/>
      <c r="AN1295" s="2867"/>
      <c r="AO1295" s="2867"/>
      <c r="AP1295" s="2867"/>
      <c r="AQ1295" s="2867"/>
      <c r="AR1295" s="2867"/>
      <c r="AS1295" s="2867"/>
      <c r="AT1295" s="2867"/>
      <c r="AU1295" s="2867"/>
      <c r="AV1295" s="2867"/>
      <c r="AW1295" s="2867"/>
      <c r="AX1295" s="2867"/>
      <c r="AY1295" s="2867"/>
      <c r="AZ1295" s="2867"/>
      <c r="BA1295" s="2867"/>
      <c r="BB1295" s="2867"/>
      <c r="BC1295" s="2867"/>
      <c r="BD1295" s="2867"/>
      <c r="BE1295" s="2867"/>
      <c r="BF1295" s="2867"/>
      <c r="BG1295" s="2867"/>
      <c r="BH1295" s="2867"/>
      <c r="BI1295" s="2867"/>
      <c r="BJ1295" s="2867"/>
      <c r="BK1295" s="2867"/>
      <c r="BL1295" s="2867"/>
      <c r="BM1295" s="2867"/>
      <c r="BN1295" s="2867"/>
      <c r="BO1295" s="2867"/>
      <c r="BP1295" s="2867"/>
      <c r="BQ1295" s="2867"/>
      <c r="BR1295" s="2867"/>
      <c r="BS1295" s="2867"/>
      <c r="BT1295" s="2867"/>
      <c r="BU1295" s="2867"/>
      <c r="BV1295" s="2867"/>
      <c r="BW1295" s="2867"/>
      <c r="BX1295" s="2867"/>
      <c r="BY1295" s="2867"/>
      <c r="BZ1295" s="2867"/>
      <c r="CA1295" s="2867"/>
      <c r="CB1295" s="2867"/>
      <c r="CC1295" s="2867"/>
      <c r="CD1295" s="2867"/>
      <c r="CE1295" s="2867"/>
      <c r="CF1295" s="2867"/>
      <c r="CG1295" s="2867"/>
      <c r="CH1295" s="2867"/>
      <c r="CI1295" s="2867"/>
      <c r="CJ1295" s="2867"/>
      <c r="CK1295" s="2867"/>
      <c r="CL1295" s="2867"/>
      <c r="CM1295" s="2867"/>
      <c r="CN1295" s="2867"/>
      <c r="CO1295" s="2867"/>
      <c r="CP1295" s="2867"/>
      <c r="CQ1295" s="2867"/>
      <c r="CR1295" s="2867"/>
      <c r="CS1295" s="2867"/>
      <c r="CT1295" s="2867"/>
      <c r="CU1295" s="2867"/>
      <c r="CV1295" s="2867"/>
      <c r="CW1295" s="2867"/>
    </row>
    <row r="1296" spans="1:101">
      <c r="A1296" s="2867"/>
      <c r="B1296" s="2867"/>
      <c r="C1296" s="2867"/>
      <c r="D1296" s="2867"/>
      <c r="E1296" s="2867"/>
      <c r="F1296" s="2867"/>
      <c r="G1296" s="2867"/>
      <c r="H1296" s="2867"/>
      <c r="I1296" s="2867"/>
      <c r="J1296" s="2867"/>
      <c r="K1296" s="2867"/>
      <c r="L1296" s="2867"/>
      <c r="M1296" s="2867"/>
      <c r="O1296" s="2867"/>
      <c r="P1296" s="2867"/>
      <c r="Q1296" s="2867"/>
      <c r="R1296" s="2867"/>
      <c r="S1296" s="2867"/>
      <c r="T1296" s="2867"/>
      <c r="U1296" s="2867"/>
      <c r="V1296" s="2867"/>
      <c r="W1296" s="2867"/>
      <c r="X1296" s="2867"/>
      <c r="Y1296" s="2867"/>
      <c r="Z1296" s="2867"/>
      <c r="AA1296" s="2867"/>
      <c r="AB1296" s="2867"/>
      <c r="AC1296" s="2867"/>
      <c r="AD1296" s="2867"/>
      <c r="AE1296" s="2867"/>
      <c r="AF1296" s="2867"/>
      <c r="AG1296" s="2867"/>
      <c r="AH1296" s="2867"/>
      <c r="AI1296" s="2867"/>
      <c r="AJ1296" s="2867"/>
      <c r="AK1296" s="2867"/>
      <c r="AL1296" s="2867"/>
      <c r="AM1296" s="2867"/>
      <c r="AN1296" s="2867"/>
      <c r="AO1296" s="2867"/>
      <c r="AP1296" s="2867"/>
      <c r="AQ1296" s="2867"/>
      <c r="AR1296" s="2867"/>
      <c r="AS1296" s="2867"/>
      <c r="AT1296" s="2867"/>
      <c r="AU1296" s="2867"/>
      <c r="AV1296" s="2867"/>
      <c r="AW1296" s="2867"/>
      <c r="AX1296" s="2867"/>
      <c r="AY1296" s="2867"/>
      <c r="AZ1296" s="2867"/>
      <c r="BA1296" s="2867"/>
      <c r="BB1296" s="2867"/>
      <c r="BC1296" s="2867"/>
      <c r="BD1296" s="2867"/>
      <c r="BE1296" s="2867"/>
      <c r="BF1296" s="2867"/>
      <c r="BG1296" s="2867"/>
      <c r="BH1296" s="2867"/>
      <c r="BI1296" s="2867"/>
      <c r="BJ1296" s="2867"/>
      <c r="BK1296" s="2867"/>
      <c r="BL1296" s="2867"/>
      <c r="BM1296" s="2867"/>
      <c r="BN1296" s="2867"/>
      <c r="BO1296" s="2867"/>
      <c r="BP1296" s="2867"/>
      <c r="BQ1296" s="2867"/>
      <c r="BR1296" s="2867"/>
      <c r="BS1296" s="2867"/>
      <c r="BT1296" s="2867"/>
      <c r="BU1296" s="2867"/>
      <c r="BV1296" s="2867"/>
      <c r="BW1296" s="2867"/>
      <c r="BX1296" s="2867"/>
      <c r="BY1296" s="2867"/>
      <c r="BZ1296" s="2867"/>
      <c r="CA1296" s="2867"/>
      <c r="CB1296" s="2867"/>
      <c r="CC1296" s="2867"/>
      <c r="CD1296" s="2867"/>
      <c r="CE1296" s="2867"/>
      <c r="CF1296" s="2867"/>
      <c r="CG1296" s="2867"/>
      <c r="CH1296" s="2867"/>
      <c r="CI1296" s="2867"/>
      <c r="CJ1296" s="2867"/>
      <c r="CK1296" s="2867"/>
      <c r="CL1296" s="2867"/>
      <c r="CM1296" s="2867"/>
      <c r="CN1296" s="2867"/>
      <c r="CO1296" s="2867"/>
      <c r="CP1296" s="2867"/>
      <c r="CQ1296" s="2867"/>
      <c r="CR1296" s="2867"/>
      <c r="CS1296" s="2867"/>
      <c r="CT1296" s="2867"/>
      <c r="CU1296" s="2867"/>
      <c r="CV1296" s="2867"/>
      <c r="CW1296" s="2867"/>
    </row>
    <row r="1297" spans="1:101">
      <c r="A1297" s="2867"/>
      <c r="B1297" s="2867"/>
      <c r="C1297" s="2867"/>
      <c r="D1297" s="2867"/>
      <c r="E1297" s="2867"/>
      <c r="F1297" s="2867"/>
      <c r="G1297" s="2867"/>
      <c r="H1297" s="2867"/>
      <c r="I1297" s="2867"/>
      <c r="J1297" s="2867"/>
      <c r="K1297" s="2867"/>
      <c r="L1297" s="2867"/>
      <c r="M1297" s="2867"/>
      <c r="O1297" s="2867"/>
      <c r="P1297" s="2867"/>
      <c r="Q1297" s="2867"/>
      <c r="R1297" s="2867"/>
      <c r="S1297" s="2867"/>
      <c r="T1297" s="2867"/>
      <c r="U1297" s="2867"/>
      <c r="V1297" s="2867"/>
      <c r="W1297" s="2867"/>
      <c r="X1297" s="2867"/>
      <c r="Y1297" s="2867"/>
      <c r="Z1297" s="2867"/>
      <c r="AA1297" s="2867"/>
      <c r="AB1297" s="2867"/>
      <c r="AC1297" s="2867"/>
      <c r="AD1297" s="2867"/>
      <c r="AE1297" s="2867"/>
      <c r="AF1297" s="2867"/>
      <c r="AG1297" s="2867"/>
      <c r="AH1297" s="2867"/>
      <c r="AI1297" s="2867"/>
      <c r="AJ1297" s="2867"/>
      <c r="AK1297" s="2867"/>
      <c r="AL1297" s="2867"/>
      <c r="AM1297" s="2867"/>
      <c r="AN1297" s="2867"/>
      <c r="AO1297" s="2867"/>
      <c r="AP1297" s="2867"/>
      <c r="AQ1297" s="2867"/>
      <c r="AR1297" s="2867"/>
      <c r="AS1297" s="2867"/>
      <c r="AT1297" s="2867"/>
      <c r="AU1297" s="2867"/>
      <c r="AV1297" s="2867"/>
      <c r="AW1297" s="2867"/>
      <c r="AX1297" s="2867"/>
      <c r="AY1297" s="2867"/>
      <c r="AZ1297" s="2867"/>
      <c r="BA1297" s="2867"/>
      <c r="BB1297" s="2867"/>
      <c r="BC1297" s="2867"/>
      <c r="BD1297" s="2867"/>
      <c r="BE1297" s="2867"/>
      <c r="BF1297" s="2867"/>
      <c r="BG1297" s="2867"/>
      <c r="BH1297" s="2867"/>
      <c r="BI1297" s="2867"/>
      <c r="BJ1297" s="2867"/>
      <c r="BK1297" s="2867"/>
      <c r="BL1297" s="2867"/>
      <c r="BM1297" s="2867"/>
      <c r="BN1297" s="2867"/>
      <c r="BO1297" s="2867"/>
      <c r="BP1297" s="2867"/>
      <c r="BQ1297" s="2867"/>
      <c r="BR1297" s="2867"/>
      <c r="BS1297" s="2867"/>
      <c r="BT1297" s="2867"/>
      <c r="BU1297" s="2867"/>
      <c r="BV1297" s="2867"/>
      <c r="BW1297" s="2867"/>
      <c r="BX1297" s="2867"/>
      <c r="BY1297" s="2867"/>
      <c r="BZ1297" s="2867"/>
      <c r="CA1297" s="2867"/>
      <c r="CB1297" s="2867"/>
      <c r="CC1297" s="2867"/>
      <c r="CD1297" s="2867"/>
      <c r="CE1297" s="2867"/>
      <c r="CF1297" s="2867"/>
      <c r="CG1297" s="2867"/>
      <c r="CH1297" s="2867"/>
      <c r="CI1297" s="2867"/>
      <c r="CJ1297" s="2867"/>
      <c r="CK1297" s="2867"/>
      <c r="CL1297" s="2867"/>
      <c r="CM1297" s="2867"/>
      <c r="CN1297" s="2867"/>
      <c r="CO1297" s="2867"/>
      <c r="CP1297" s="2867"/>
      <c r="CQ1297" s="2867"/>
      <c r="CR1297" s="2867"/>
      <c r="CS1297" s="2867"/>
      <c r="CT1297" s="2867"/>
      <c r="CU1297" s="2867"/>
      <c r="CV1297" s="2867"/>
      <c r="CW1297" s="2867"/>
    </row>
    <row r="1298" spans="1:101">
      <c r="A1298" s="2867"/>
      <c r="B1298" s="2867"/>
      <c r="C1298" s="2867"/>
      <c r="D1298" s="2867"/>
      <c r="E1298" s="2867"/>
      <c r="F1298" s="2867"/>
      <c r="G1298" s="2867"/>
      <c r="H1298" s="2867"/>
      <c r="I1298" s="2867"/>
      <c r="J1298" s="2867"/>
      <c r="K1298" s="2867"/>
      <c r="L1298" s="2867"/>
      <c r="M1298" s="2867"/>
      <c r="O1298" s="2867"/>
      <c r="P1298" s="2867"/>
      <c r="Q1298" s="2867"/>
      <c r="R1298" s="2867"/>
      <c r="S1298" s="2867"/>
      <c r="T1298" s="2867"/>
      <c r="U1298" s="2867"/>
      <c r="V1298" s="2867"/>
      <c r="W1298" s="2867"/>
      <c r="X1298" s="2867"/>
      <c r="Y1298" s="2867"/>
      <c r="Z1298" s="2867"/>
      <c r="AA1298" s="2867"/>
      <c r="AB1298" s="2867"/>
      <c r="AC1298" s="2867"/>
      <c r="AD1298" s="2867"/>
      <c r="AE1298" s="2867"/>
      <c r="AF1298" s="2867"/>
      <c r="AG1298" s="2867"/>
      <c r="AH1298" s="2867"/>
      <c r="AI1298" s="2867"/>
      <c r="AJ1298" s="2867"/>
      <c r="AK1298" s="2867"/>
      <c r="AL1298" s="2867"/>
      <c r="AM1298" s="2867"/>
      <c r="AN1298" s="2867"/>
      <c r="AO1298" s="2867"/>
      <c r="AP1298" s="2867"/>
      <c r="AQ1298" s="2867"/>
      <c r="AR1298" s="2867"/>
      <c r="AS1298" s="2867"/>
      <c r="AT1298" s="2867"/>
      <c r="AU1298" s="2867"/>
      <c r="AV1298" s="2867"/>
      <c r="AW1298" s="2867"/>
      <c r="AX1298" s="2867"/>
      <c r="AY1298" s="2867"/>
      <c r="AZ1298" s="2867"/>
      <c r="BA1298" s="2867"/>
      <c r="BB1298" s="2867"/>
      <c r="BC1298" s="2867"/>
      <c r="BD1298" s="2867"/>
      <c r="BE1298" s="2867"/>
      <c r="BF1298" s="2867"/>
      <c r="BG1298" s="2867"/>
      <c r="BH1298" s="2867"/>
      <c r="BI1298" s="2867"/>
      <c r="BJ1298" s="2867"/>
      <c r="BK1298" s="2867"/>
      <c r="BL1298" s="2867"/>
      <c r="BM1298" s="2867"/>
      <c r="BN1298" s="2867"/>
      <c r="BO1298" s="2867"/>
      <c r="BP1298" s="2867"/>
      <c r="BQ1298" s="2867"/>
      <c r="BR1298" s="2867"/>
      <c r="BS1298" s="2867"/>
      <c r="BT1298" s="2867"/>
      <c r="BU1298" s="2867"/>
      <c r="BV1298" s="2867"/>
      <c r="BW1298" s="2867"/>
      <c r="BX1298" s="2867"/>
      <c r="BY1298" s="2867"/>
      <c r="BZ1298" s="2867"/>
      <c r="CA1298" s="2867"/>
      <c r="CB1298" s="2867"/>
      <c r="CC1298" s="2867"/>
      <c r="CD1298" s="2867"/>
      <c r="CE1298" s="2867"/>
      <c r="CF1298" s="2867"/>
      <c r="CG1298" s="2867"/>
      <c r="CH1298" s="2867"/>
      <c r="CI1298" s="2867"/>
      <c r="CJ1298" s="2867"/>
      <c r="CK1298" s="2867"/>
      <c r="CL1298" s="2867"/>
      <c r="CM1298" s="2867"/>
      <c r="CN1298" s="2867"/>
      <c r="CO1298" s="2867"/>
      <c r="CP1298" s="2867"/>
      <c r="CQ1298" s="2867"/>
      <c r="CR1298" s="2867"/>
      <c r="CS1298" s="2867"/>
      <c r="CT1298" s="2867"/>
      <c r="CU1298" s="2867"/>
      <c r="CV1298" s="2867"/>
      <c r="CW1298" s="2867"/>
    </row>
    <row r="1299" spans="1:101">
      <c r="A1299" s="2867"/>
      <c r="B1299" s="2867"/>
      <c r="C1299" s="2867"/>
      <c r="D1299" s="2867"/>
      <c r="E1299" s="2867"/>
      <c r="F1299" s="2867"/>
      <c r="G1299" s="2867"/>
      <c r="H1299" s="2867"/>
      <c r="I1299" s="2867"/>
      <c r="J1299" s="2867"/>
      <c r="K1299" s="2867"/>
      <c r="L1299" s="2867"/>
      <c r="M1299" s="2867"/>
      <c r="O1299" s="2867"/>
      <c r="P1299" s="2867"/>
      <c r="Q1299" s="2867"/>
      <c r="R1299" s="2867"/>
      <c r="S1299" s="2867"/>
      <c r="T1299" s="2867"/>
      <c r="U1299" s="2867"/>
      <c r="V1299" s="2867"/>
      <c r="W1299" s="2867"/>
      <c r="X1299" s="2867"/>
      <c r="Y1299" s="2867"/>
      <c r="Z1299" s="2867"/>
      <c r="AA1299" s="2867"/>
      <c r="AB1299" s="2867"/>
      <c r="AC1299" s="2867"/>
      <c r="AD1299" s="2867"/>
      <c r="AE1299" s="2867"/>
      <c r="AF1299" s="2867"/>
      <c r="AG1299" s="2867"/>
      <c r="AH1299" s="2867"/>
      <c r="AI1299" s="2867"/>
      <c r="AJ1299" s="2867"/>
      <c r="AK1299" s="2867"/>
      <c r="AL1299" s="2867"/>
      <c r="AM1299" s="2867"/>
      <c r="AN1299" s="2867"/>
      <c r="AO1299" s="2867"/>
      <c r="AP1299" s="2867"/>
      <c r="AQ1299" s="2867"/>
      <c r="AR1299" s="2867"/>
      <c r="AS1299" s="2867"/>
      <c r="AT1299" s="2867"/>
      <c r="AU1299" s="2867"/>
      <c r="AV1299" s="2867"/>
      <c r="AW1299" s="2867"/>
      <c r="AX1299" s="2867"/>
      <c r="AY1299" s="2867"/>
      <c r="AZ1299" s="2867"/>
      <c r="BA1299" s="2867"/>
      <c r="BB1299" s="2867"/>
      <c r="BC1299" s="2867"/>
      <c r="BD1299" s="2867"/>
      <c r="BE1299" s="2867"/>
      <c r="BF1299" s="2867"/>
      <c r="BG1299" s="2867"/>
      <c r="BH1299" s="2867"/>
      <c r="BI1299" s="2867"/>
      <c r="BJ1299" s="2867"/>
      <c r="BK1299" s="2867"/>
      <c r="BL1299" s="2867"/>
      <c r="BM1299" s="2867"/>
      <c r="BN1299" s="2867"/>
      <c r="BO1299" s="2867"/>
      <c r="BP1299" s="2867"/>
      <c r="BQ1299" s="2867"/>
      <c r="BR1299" s="2867"/>
      <c r="BS1299" s="2867"/>
      <c r="BT1299" s="2867"/>
      <c r="BU1299" s="2867"/>
      <c r="BV1299" s="2867"/>
      <c r="BW1299" s="2867"/>
      <c r="BX1299" s="2867"/>
      <c r="BY1299" s="2867"/>
      <c r="BZ1299" s="2867"/>
      <c r="CA1299" s="2867"/>
      <c r="CB1299" s="2867"/>
      <c r="CC1299" s="2867"/>
      <c r="CD1299" s="2867"/>
      <c r="CE1299" s="2867"/>
      <c r="CF1299" s="2867"/>
      <c r="CG1299" s="2867"/>
      <c r="CH1299" s="2867"/>
      <c r="CI1299" s="2867"/>
      <c r="CJ1299" s="2867"/>
      <c r="CK1299" s="2867"/>
      <c r="CL1299" s="2867"/>
      <c r="CM1299" s="2867"/>
      <c r="CN1299" s="2867"/>
      <c r="CO1299" s="2867"/>
      <c r="CP1299" s="2867"/>
      <c r="CQ1299" s="2867"/>
      <c r="CR1299" s="2867"/>
      <c r="CS1299" s="2867"/>
      <c r="CT1299" s="2867"/>
      <c r="CU1299" s="2867"/>
      <c r="CV1299" s="2867"/>
      <c r="CW1299" s="2867"/>
    </row>
    <row r="1300" spans="1:101">
      <c r="A1300" s="2867"/>
      <c r="B1300" s="2867"/>
      <c r="C1300" s="2867"/>
      <c r="D1300" s="2867"/>
      <c r="E1300" s="2867"/>
      <c r="F1300" s="2867"/>
      <c r="G1300" s="2867"/>
      <c r="H1300" s="2867"/>
      <c r="I1300" s="2867"/>
      <c r="J1300" s="2867"/>
      <c r="K1300" s="2867"/>
      <c r="L1300" s="2867"/>
      <c r="M1300" s="2867"/>
      <c r="O1300" s="2867"/>
      <c r="P1300" s="2867"/>
      <c r="Q1300" s="2867"/>
      <c r="R1300" s="2867"/>
      <c r="S1300" s="2867"/>
      <c r="T1300" s="2867"/>
      <c r="U1300" s="2867"/>
      <c r="V1300" s="2867"/>
      <c r="W1300" s="2867"/>
      <c r="X1300" s="2867"/>
      <c r="Y1300" s="2867"/>
      <c r="Z1300" s="2867"/>
      <c r="AA1300" s="2867"/>
      <c r="AB1300" s="2867"/>
      <c r="AC1300" s="2867"/>
      <c r="AD1300" s="2867"/>
      <c r="AE1300" s="2867"/>
      <c r="AF1300" s="2867"/>
      <c r="AG1300" s="2867"/>
      <c r="AH1300" s="2867"/>
      <c r="AI1300" s="2867"/>
      <c r="AJ1300" s="2867"/>
      <c r="AK1300" s="2867"/>
      <c r="AL1300" s="2867"/>
      <c r="AM1300" s="2867"/>
      <c r="AN1300" s="2867"/>
      <c r="AO1300" s="2867"/>
      <c r="AP1300" s="2867"/>
      <c r="AQ1300" s="2867"/>
      <c r="AR1300" s="2867"/>
      <c r="AS1300" s="2867"/>
      <c r="AT1300" s="2867"/>
      <c r="AU1300" s="2867"/>
      <c r="AV1300" s="2867"/>
      <c r="AW1300" s="2867"/>
      <c r="AX1300" s="2867"/>
      <c r="AY1300" s="2867"/>
      <c r="AZ1300" s="2867"/>
      <c r="BA1300" s="2867"/>
      <c r="BB1300" s="2867"/>
      <c r="BC1300" s="2867"/>
      <c r="BD1300" s="2867"/>
      <c r="BE1300" s="2867"/>
      <c r="BF1300" s="2867"/>
      <c r="BG1300" s="2867"/>
      <c r="BH1300" s="2867"/>
      <c r="BI1300" s="2867"/>
      <c r="BJ1300" s="2867"/>
      <c r="BK1300" s="2867"/>
      <c r="BL1300" s="2867"/>
      <c r="BM1300" s="2867"/>
      <c r="BN1300" s="2867"/>
      <c r="BO1300" s="2867"/>
      <c r="BP1300" s="2867"/>
      <c r="BQ1300" s="2867"/>
      <c r="BR1300" s="2867"/>
      <c r="BS1300" s="2867"/>
      <c r="BT1300" s="2867"/>
      <c r="BU1300" s="2867"/>
      <c r="BV1300" s="2867"/>
      <c r="BW1300" s="2867"/>
      <c r="BX1300" s="2867"/>
      <c r="BY1300" s="2867"/>
      <c r="BZ1300" s="2867"/>
      <c r="CA1300" s="2867"/>
      <c r="CB1300" s="2867"/>
      <c r="CC1300" s="2867"/>
      <c r="CD1300" s="2867"/>
      <c r="CE1300" s="2867"/>
      <c r="CF1300" s="2867"/>
      <c r="CG1300" s="2867"/>
      <c r="CH1300" s="2867"/>
      <c r="CI1300" s="2867"/>
      <c r="CJ1300" s="2867"/>
      <c r="CK1300" s="2867"/>
      <c r="CL1300" s="2867"/>
      <c r="CM1300" s="2867"/>
      <c r="CN1300" s="2867"/>
      <c r="CO1300" s="2867"/>
      <c r="CP1300" s="2867"/>
      <c r="CQ1300" s="2867"/>
      <c r="CR1300" s="2867"/>
      <c r="CS1300" s="2867"/>
      <c r="CT1300" s="2867"/>
      <c r="CU1300" s="2867"/>
      <c r="CV1300" s="2867"/>
      <c r="CW1300" s="2867"/>
    </row>
    <row r="1301" spans="1:101">
      <c r="A1301" s="2867"/>
      <c r="B1301" s="2867"/>
      <c r="C1301" s="2867"/>
      <c r="D1301" s="2867"/>
      <c r="E1301" s="2867"/>
      <c r="F1301" s="2867"/>
      <c r="G1301" s="2867"/>
      <c r="H1301" s="2867"/>
      <c r="I1301" s="2867"/>
      <c r="J1301" s="2867"/>
      <c r="K1301" s="2867"/>
      <c r="L1301" s="2867"/>
      <c r="M1301" s="2867"/>
      <c r="O1301" s="2867"/>
      <c r="P1301" s="2867"/>
      <c r="Q1301" s="2867"/>
      <c r="R1301" s="2867"/>
      <c r="S1301" s="2867"/>
      <c r="T1301" s="2867"/>
      <c r="U1301" s="2867"/>
      <c r="V1301" s="2867"/>
      <c r="W1301" s="2867"/>
      <c r="X1301" s="2867"/>
      <c r="Y1301" s="2867"/>
      <c r="Z1301" s="2867"/>
      <c r="AA1301" s="2867"/>
      <c r="AB1301" s="2867"/>
      <c r="AC1301" s="2867"/>
      <c r="AD1301" s="2867"/>
      <c r="AE1301" s="2867"/>
      <c r="AF1301" s="2867"/>
      <c r="AG1301" s="2867"/>
      <c r="AH1301" s="2867"/>
      <c r="AI1301" s="2867"/>
      <c r="AJ1301" s="2867"/>
      <c r="AK1301" s="2867"/>
      <c r="AL1301" s="2867"/>
      <c r="AM1301" s="2867"/>
      <c r="AN1301" s="2867"/>
      <c r="AO1301" s="2867"/>
      <c r="AP1301" s="2867"/>
      <c r="AQ1301" s="2867"/>
      <c r="AR1301" s="2867"/>
      <c r="AS1301" s="2867"/>
      <c r="AT1301" s="2867"/>
      <c r="AU1301" s="2867"/>
      <c r="AV1301" s="2867"/>
      <c r="AW1301" s="2867"/>
      <c r="AX1301" s="2867"/>
      <c r="AY1301" s="2867"/>
      <c r="AZ1301" s="2867"/>
      <c r="BA1301" s="2867"/>
      <c r="BB1301" s="2867"/>
      <c r="BC1301" s="2867"/>
      <c r="BD1301" s="2867"/>
      <c r="BE1301" s="2867"/>
      <c r="BF1301" s="2867"/>
      <c r="BG1301" s="2867"/>
      <c r="BH1301" s="2867"/>
      <c r="BI1301" s="2867"/>
      <c r="BJ1301" s="2867"/>
      <c r="BK1301" s="2867"/>
      <c r="BL1301" s="2867"/>
      <c r="BM1301" s="2867"/>
      <c r="BN1301" s="2867"/>
      <c r="BO1301" s="2867"/>
      <c r="BP1301" s="2867"/>
      <c r="BQ1301" s="2867"/>
      <c r="BR1301" s="2867"/>
      <c r="BS1301" s="2867"/>
      <c r="BT1301" s="2867"/>
      <c r="BU1301" s="2867"/>
      <c r="BV1301" s="2867"/>
      <c r="BW1301" s="2867"/>
      <c r="BX1301" s="2867"/>
      <c r="BY1301" s="2867"/>
      <c r="BZ1301" s="2867"/>
      <c r="CA1301" s="2867"/>
      <c r="CB1301" s="2867"/>
      <c r="CC1301" s="2867"/>
      <c r="CD1301" s="2867"/>
      <c r="CE1301" s="2867"/>
      <c r="CF1301" s="2867"/>
      <c r="CG1301" s="2867"/>
      <c r="CH1301" s="2867"/>
      <c r="CI1301" s="2867"/>
      <c r="CJ1301" s="2867"/>
      <c r="CK1301" s="2867"/>
      <c r="CL1301" s="2867"/>
      <c r="CM1301" s="2867"/>
      <c r="CN1301" s="2867"/>
      <c r="CO1301" s="2867"/>
      <c r="CP1301" s="2867"/>
      <c r="CQ1301" s="2867"/>
      <c r="CR1301" s="2867"/>
      <c r="CS1301" s="2867"/>
      <c r="CT1301" s="2867"/>
      <c r="CU1301" s="2867"/>
      <c r="CV1301" s="2867"/>
      <c r="CW1301" s="2867"/>
    </row>
    <row r="1302" spans="1:101">
      <c r="A1302" s="2867"/>
      <c r="B1302" s="2867"/>
      <c r="C1302" s="2867"/>
      <c r="D1302" s="2867"/>
      <c r="E1302" s="2867"/>
      <c r="F1302" s="2867"/>
      <c r="G1302" s="2867"/>
      <c r="H1302" s="2867"/>
      <c r="I1302" s="2867"/>
      <c r="J1302" s="2867"/>
      <c r="K1302" s="2867"/>
      <c r="L1302" s="2867"/>
      <c r="M1302" s="2867"/>
      <c r="O1302" s="2867"/>
      <c r="P1302" s="2867"/>
      <c r="Q1302" s="2867"/>
      <c r="R1302" s="2867"/>
      <c r="S1302" s="2867"/>
      <c r="T1302" s="2867"/>
      <c r="U1302" s="2867"/>
      <c r="V1302" s="2867"/>
      <c r="W1302" s="2867"/>
      <c r="X1302" s="2867"/>
      <c r="Y1302" s="2867"/>
      <c r="Z1302" s="2867"/>
      <c r="AA1302" s="2867"/>
      <c r="AB1302" s="2867"/>
      <c r="AC1302" s="2867"/>
      <c r="AD1302" s="2867"/>
      <c r="AE1302" s="2867"/>
      <c r="AF1302" s="2867"/>
      <c r="AG1302" s="2867"/>
      <c r="AH1302" s="2867"/>
      <c r="AI1302" s="2867"/>
      <c r="AJ1302" s="2867"/>
      <c r="AK1302" s="2867"/>
      <c r="AL1302" s="2867"/>
      <c r="AM1302" s="2867"/>
      <c r="AN1302" s="2867"/>
      <c r="AO1302" s="2867"/>
      <c r="AP1302" s="2867"/>
      <c r="AQ1302" s="2867"/>
      <c r="AR1302" s="2867"/>
      <c r="AS1302" s="2867"/>
      <c r="AT1302" s="2867"/>
      <c r="AU1302" s="2867"/>
      <c r="AV1302" s="2867"/>
      <c r="AW1302" s="2867"/>
      <c r="AX1302" s="2867"/>
      <c r="AY1302" s="2867"/>
      <c r="AZ1302" s="2867"/>
      <c r="BA1302" s="2867"/>
      <c r="BB1302" s="2867"/>
      <c r="BC1302" s="2867"/>
      <c r="BD1302" s="2867"/>
      <c r="BE1302" s="2867"/>
      <c r="BF1302" s="2867"/>
      <c r="BG1302" s="2867"/>
      <c r="BH1302" s="2867"/>
      <c r="BI1302" s="2867"/>
      <c r="BJ1302" s="2867"/>
      <c r="BK1302" s="2867"/>
      <c r="BL1302" s="2867"/>
      <c r="BM1302" s="2867"/>
      <c r="BN1302" s="2867"/>
      <c r="BO1302" s="2867"/>
      <c r="BP1302" s="2867"/>
      <c r="BQ1302" s="2867"/>
      <c r="BR1302" s="2867"/>
      <c r="BS1302" s="2867"/>
      <c r="BT1302" s="2867"/>
      <c r="BU1302" s="2867"/>
      <c r="BV1302" s="2867"/>
      <c r="BW1302" s="2867"/>
      <c r="BX1302" s="2867"/>
      <c r="BY1302" s="2867"/>
      <c r="BZ1302" s="2867"/>
      <c r="CA1302" s="2867"/>
      <c r="CB1302" s="2867"/>
      <c r="CC1302" s="2867"/>
      <c r="CD1302" s="2867"/>
      <c r="CE1302" s="2867"/>
      <c r="CF1302" s="2867"/>
      <c r="CG1302" s="2867"/>
      <c r="CH1302" s="2867"/>
      <c r="CI1302" s="2867"/>
      <c r="CJ1302" s="2867"/>
      <c r="CK1302" s="2867"/>
      <c r="CL1302" s="2867"/>
      <c r="CM1302" s="2867"/>
      <c r="CN1302" s="2867"/>
      <c r="CO1302" s="2867"/>
      <c r="CP1302" s="2867"/>
      <c r="CQ1302" s="2867"/>
      <c r="CR1302" s="2867"/>
      <c r="CS1302" s="2867"/>
      <c r="CT1302" s="2867"/>
      <c r="CU1302" s="2867"/>
      <c r="CV1302" s="2867"/>
      <c r="CW1302" s="2867"/>
    </row>
    <row r="1303" spans="1:101">
      <c r="A1303" s="2867"/>
      <c r="B1303" s="2867"/>
      <c r="C1303" s="2867"/>
      <c r="D1303" s="2867"/>
      <c r="E1303" s="2867"/>
      <c r="F1303" s="2867"/>
      <c r="G1303" s="2867"/>
      <c r="H1303" s="2867"/>
      <c r="I1303" s="2867"/>
      <c r="J1303" s="2867"/>
      <c r="K1303" s="2867"/>
      <c r="L1303" s="2867"/>
      <c r="M1303" s="2867"/>
      <c r="O1303" s="2867"/>
      <c r="P1303" s="2867"/>
      <c r="Q1303" s="2867"/>
      <c r="R1303" s="2867"/>
      <c r="S1303" s="2867"/>
      <c r="T1303" s="2867"/>
      <c r="U1303" s="2867"/>
      <c r="V1303" s="2867"/>
      <c r="W1303" s="2867"/>
      <c r="X1303" s="2867"/>
      <c r="Y1303" s="2867"/>
      <c r="Z1303" s="2867"/>
      <c r="AA1303" s="2867"/>
      <c r="AB1303" s="2867"/>
      <c r="AC1303" s="2867"/>
      <c r="AD1303" s="2867"/>
      <c r="AE1303" s="2867"/>
      <c r="AF1303" s="2867"/>
      <c r="AG1303" s="2867"/>
      <c r="AH1303" s="2867"/>
      <c r="AI1303" s="2867"/>
      <c r="AJ1303" s="2867"/>
      <c r="AK1303" s="2867"/>
      <c r="AL1303" s="2867"/>
      <c r="AM1303" s="2867"/>
      <c r="AN1303" s="2867"/>
      <c r="AO1303" s="2867"/>
      <c r="AP1303" s="2867"/>
      <c r="AQ1303" s="2867"/>
      <c r="AR1303" s="2867"/>
      <c r="AS1303" s="2867"/>
      <c r="AT1303" s="2867"/>
      <c r="AU1303" s="2867"/>
      <c r="AV1303" s="2867"/>
      <c r="AW1303" s="2867"/>
      <c r="AX1303" s="2867"/>
      <c r="AY1303" s="2867"/>
      <c r="AZ1303" s="2867"/>
      <c r="BA1303" s="2867"/>
      <c r="BB1303" s="2867"/>
      <c r="BC1303" s="2867"/>
      <c r="BD1303" s="2867"/>
      <c r="BE1303" s="2867"/>
      <c r="BF1303" s="2867"/>
      <c r="BG1303" s="2867"/>
      <c r="BH1303" s="2867"/>
      <c r="BI1303" s="2867"/>
      <c r="BJ1303" s="2867"/>
      <c r="BK1303" s="2867"/>
      <c r="BL1303" s="2867"/>
      <c r="BM1303" s="2867"/>
      <c r="BN1303" s="2867"/>
      <c r="BO1303" s="2867"/>
      <c r="BP1303" s="2867"/>
      <c r="BQ1303" s="2867"/>
      <c r="BR1303" s="2867"/>
      <c r="BS1303" s="2867"/>
      <c r="BT1303" s="2867"/>
      <c r="BU1303" s="2867"/>
      <c r="BV1303" s="2867"/>
      <c r="BW1303" s="2867"/>
      <c r="BX1303" s="2867"/>
      <c r="BY1303" s="2867"/>
      <c r="BZ1303" s="2867"/>
      <c r="CA1303" s="2867"/>
      <c r="CB1303" s="2867"/>
      <c r="CC1303" s="2867"/>
      <c r="CD1303" s="2867"/>
      <c r="CE1303" s="2867"/>
      <c r="CF1303" s="2867"/>
      <c r="CG1303" s="2867"/>
      <c r="CH1303" s="2867"/>
      <c r="CI1303" s="2867"/>
      <c r="CJ1303" s="2867"/>
      <c r="CK1303" s="2867"/>
      <c r="CL1303" s="2867"/>
      <c r="CM1303" s="2867"/>
      <c r="CN1303" s="2867"/>
      <c r="CO1303" s="2867"/>
      <c r="CP1303" s="2867"/>
      <c r="CQ1303" s="2867"/>
      <c r="CR1303" s="2867"/>
      <c r="CS1303" s="2867"/>
      <c r="CT1303" s="2867"/>
      <c r="CU1303" s="2867"/>
      <c r="CV1303" s="2867"/>
      <c r="CW1303" s="2867"/>
    </row>
    <row r="1304" spans="1:101">
      <c r="A1304" s="2867"/>
      <c r="B1304" s="2867"/>
      <c r="C1304" s="2867"/>
      <c r="D1304" s="2867"/>
      <c r="E1304" s="2867"/>
      <c r="F1304" s="2867"/>
      <c r="G1304" s="2867"/>
      <c r="H1304" s="2867"/>
      <c r="I1304" s="2867"/>
      <c r="J1304" s="2867"/>
      <c r="K1304" s="2867"/>
      <c r="L1304" s="2867"/>
      <c r="M1304" s="2867"/>
      <c r="O1304" s="2867"/>
      <c r="P1304" s="2867"/>
      <c r="Q1304" s="2867"/>
      <c r="R1304" s="2867"/>
      <c r="S1304" s="2867"/>
      <c r="T1304" s="2867"/>
      <c r="U1304" s="2867"/>
      <c r="V1304" s="2867"/>
      <c r="W1304" s="2867"/>
      <c r="X1304" s="2867"/>
      <c r="Y1304" s="2867"/>
      <c r="Z1304" s="2867"/>
      <c r="AA1304" s="2867"/>
      <c r="AB1304" s="2867"/>
      <c r="AC1304" s="2867"/>
      <c r="AD1304" s="2867"/>
      <c r="AE1304" s="2867"/>
      <c r="AF1304" s="2867"/>
      <c r="AG1304" s="2867"/>
      <c r="AH1304" s="2867"/>
      <c r="AI1304" s="2867"/>
      <c r="AJ1304" s="2867"/>
      <c r="AK1304" s="2867"/>
      <c r="AL1304" s="2867"/>
      <c r="AM1304" s="2867"/>
      <c r="AN1304" s="2867"/>
      <c r="AO1304" s="2867"/>
      <c r="AP1304" s="2867"/>
      <c r="AQ1304" s="2867"/>
      <c r="AR1304" s="2867"/>
      <c r="AS1304" s="2867"/>
      <c r="AT1304" s="2867"/>
      <c r="AU1304" s="2867"/>
      <c r="AV1304" s="2867"/>
      <c r="AW1304" s="2867"/>
      <c r="AX1304" s="2867"/>
      <c r="AY1304" s="2867"/>
      <c r="AZ1304" s="2867"/>
      <c r="BA1304" s="2867"/>
      <c r="BB1304" s="2867"/>
      <c r="BC1304" s="2867"/>
      <c r="BD1304" s="2867"/>
      <c r="BE1304" s="2867"/>
      <c r="BF1304" s="2867"/>
      <c r="BG1304" s="2867"/>
      <c r="BH1304" s="2867"/>
      <c r="BI1304" s="2867"/>
      <c r="BJ1304" s="2867"/>
      <c r="BK1304" s="2867"/>
      <c r="BL1304" s="2867"/>
      <c r="BM1304" s="2867"/>
      <c r="BN1304" s="2867"/>
      <c r="BO1304" s="2867"/>
      <c r="BP1304" s="2867"/>
      <c r="BQ1304" s="2867"/>
      <c r="BR1304" s="2867"/>
      <c r="BS1304" s="2867"/>
      <c r="BT1304" s="2867"/>
      <c r="BU1304" s="2867"/>
      <c r="BV1304" s="2867"/>
      <c r="BW1304" s="2867"/>
      <c r="BX1304" s="2867"/>
      <c r="BY1304" s="2867"/>
      <c r="BZ1304" s="2867"/>
      <c r="CA1304" s="2867"/>
      <c r="CB1304" s="2867"/>
      <c r="CC1304" s="2867"/>
      <c r="CD1304" s="2867"/>
      <c r="CE1304" s="2867"/>
      <c r="CF1304" s="2867"/>
      <c r="CG1304" s="2867"/>
      <c r="CH1304" s="2867"/>
      <c r="CI1304" s="2867"/>
      <c r="CJ1304" s="2867"/>
      <c r="CK1304" s="2867"/>
      <c r="CL1304" s="2867"/>
      <c r="CM1304" s="2867"/>
      <c r="CN1304" s="2867"/>
      <c r="CO1304" s="2867"/>
      <c r="CP1304" s="2867"/>
      <c r="CQ1304" s="2867"/>
      <c r="CR1304" s="2867"/>
      <c r="CS1304" s="2867"/>
      <c r="CT1304" s="2867"/>
      <c r="CU1304" s="2867"/>
      <c r="CV1304" s="2867"/>
      <c r="CW1304" s="2867"/>
    </row>
    <row r="1305" spans="1:101">
      <c r="A1305" s="2867"/>
      <c r="B1305" s="2867"/>
      <c r="C1305" s="2867"/>
      <c r="D1305" s="2867"/>
      <c r="E1305" s="2867"/>
      <c r="F1305" s="2867"/>
      <c r="G1305" s="2867"/>
      <c r="H1305" s="2867"/>
      <c r="I1305" s="2867"/>
      <c r="J1305" s="2867"/>
      <c r="K1305" s="2867"/>
      <c r="L1305" s="2867"/>
      <c r="M1305" s="2867"/>
      <c r="O1305" s="2867"/>
      <c r="P1305" s="2867"/>
      <c r="Q1305" s="2867"/>
      <c r="R1305" s="2867"/>
      <c r="S1305" s="2867"/>
      <c r="T1305" s="2867"/>
      <c r="U1305" s="2867"/>
      <c r="V1305" s="2867"/>
      <c r="W1305" s="2867"/>
      <c r="X1305" s="2867"/>
      <c r="Y1305" s="2867"/>
      <c r="Z1305" s="2867"/>
      <c r="AA1305" s="2867"/>
      <c r="AB1305" s="2867"/>
      <c r="AC1305" s="2867"/>
      <c r="AD1305" s="2867"/>
      <c r="AE1305" s="2867"/>
      <c r="AF1305" s="2867"/>
      <c r="AG1305" s="2867"/>
      <c r="AH1305" s="2867"/>
      <c r="AI1305" s="2867"/>
      <c r="AJ1305" s="2867"/>
      <c r="AK1305" s="2867"/>
      <c r="AL1305" s="2867"/>
      <c r="AM1305" s="2867"/>
      <c r="AN1305" s="2867"/>
      <c r="AO1305" s="2867"/>
      <c r="AP1305" s="2867"/>
      <c r="AQ1305" s="2867"/>
      <c r="AR1305" s="2867"/>
      <c r="AS1305" s="2867"/>
      <c r="AT1305" s="2867"/>
      <c r="AU1305" s="2867"/>
      <c r="AV1305" s="2867"/>
      <c r="AW1305" s="2867"/>
      <c r="AX1305" s="2867"/>
      <c r="AY1305" s="2867"/>
      <c r="AZ1305" s="2867"/>
      <c r="BA1305" s="2867"/>
      <c r="BB1305" s="2867"/>
      <c r="BC1305" s="2867"/>
      <c r="BD1305" s="2867"/>
      <c r="BE1305" s="2867"/>
      <c r="BF1305" s="2867"/>
      <c r="BG1305" s="2867"/>
      <c r="BH1305" s="2867"/>
      <c r="BI1305" s="2867"/>
      <c r="BJ1305" s="2867"/>
      <c r="BK1305" s="2867"/>
      <c r="BL1305" s="2867"/>
      <c r="BM1305" s="2867"/>
      <c r="BN1305" s="2867"/>
      <c r="BO1305" s="2867"/>
      <c r="BP1305" s="2867"/>
      <c r="BQ1305" s="2867"/>
      <c r="BR1305" s="2867"/>
      <c r="BS1305" s="2867"/>
      <c r="BT1305" s="2867"/>
      <c r="BU1305" s="2867"/>
      <c r="BV1305" s="2867"/>
      <c r="BW1305" s="2867"/>
      <c r="BX1305" s="2867"/>
      <c r="BY1305" s="2867"/>
      <c r="BZ1305" s="2867"/>
      <c r="CA1305" s="2867"/>
      <c r="CB1305" s="2867"/>
      <c r="CC1305" s="2867"/>
      <c r="CD1305" s="2867"/>
      <c r="CE1305" s="2867"/>
      <c r="CF1305" s="2867"/>
      <c r="CG1305" s="2867"/>
      <c r="CH1305" s="2867"/>
      <c r="CI1305" s="2867"/>
      <c r="CJ1305" s="2867"/>
      <c r="CK1305" s="2867"/>
      <c r="CL1305" s="2867"/>
      <c r="CM1305" s="2867"/>
      <c r="CN1305" s="2867"/>
      <c r="CO1305" s="2867"/>
      <c r="CP1305" s="2867"/>
      <c r="CQ1305" s="2867"/>
      <c r="CR1305" s="2867"/>
      <c r="CS1305" s="2867"/>
      <c r="CT1305" s="2867"/>
      <c r="CU1305" s="2867"/>
      <c r="CV1305" s="2867"/>
      <c r="CW1305" s="2867"/>
    </row>
    <row r="1306" spans="1:101">
      <c r="A1306" s="2867"/>
      <c r="B1306" s="2867"/>
      <c r="C1306" s="2867"/>
      <c r="D1306" s="2867"/>
      <c r="E1306" s="2867"/>
      <c r="F1306" s="2867"/>
      <c r="G1306" s="2867"/>
      <c r="H1306" s="2867"/>
      <c r="I1306" s="2867"/>
      <c r="J1306" s="2867"/>
      <c r="K1306" s="2867"/>
      <c r="L1306" s="2867"/>
      <c r="M1306" s="2867"/>
      <c r="O1306" s="2867"/>
      <c r="P1306" s="2867"/>
      <c r="Q1306" s="2867"/>
      <c r="R1306" s="2867"/>
      <c r="S1306" s="2867"/>
      <c r="T1306" s="2867"/>
      <c r="U1306" s="2867"/>
      <c r="V1306" s="2867"/>
      <c r="W1306" s="2867"/>
      <c r="X1306" s="2867"/>
      <c r="Y1306" s="2867"/>
      <c r="Z1306" s="2867"/>
      <c r="AA1306" s="2867"/>
      <c r="AB1306" s="2867"/>
      <c r="AC1306" s="2867"/>
      <c r="AD1306" s="2867"/>
      <c r="AE1306" s="2867"/>
      <c r="AF1306" s="2867"/>
      <c r="AG1306" s="2867"/>
      <c r="AH1306" s="2867"/>
      <c r="AI1306" s="2867"/>
      <c r="AJ1306" s="2867"/>
      <c r="AK1306" s="2867"/>
      <c r="AL1306" s="2867"/>
      <c r="AM1306" s="2867"/>
      <c r="AN1306" s="2867"/>
      <c r="AO1306" s="2867"/>
      <c r="AP1306" s="2867"/>
      <c r="AQ1306" s="2867"/>
      <c r="AR1306" s="2867"/>
      <c r="AS1306" s="2867"/>
      <c r="AT1306" s="2867"/>
      <c r="AU1306" s="2867"/>
      <c r="AV1306" s="2867"/>
      <c r="AW1306" s="2867"/>
      <c r="AX1306" s="2867"/>
      <c r="AY1306" s="2867"/>
      <c r="AZ1306" s="2867"/>
      <c r="BA1306" s="2867"/>
      <c r="BB1306" s="2867"/>
      <c r="BC1306" s="2867"/>
      <c r="BD1306" s="2867"/>
      <c r="BE1306" s="2867"/>
      <c r="BF1306" s="2867"/>
      <c r="BG1306" s="2867"/>
      <c r="BH1306" s="2867"/>
      <c r="BI1306" s="2867"/>
      <c r="BJ1306" s="2867"/>
      <c r="BK1306" s="2867"/>
      <c r="BL1306" s="2867"/>
      <c r="BM1306" s="2867"/>
      <c r="BN1306" s="2867"/>
      <c r="BO1306" s="2867"/>
      <c r="BP1306" s="2867"/>
      <c r="BQ1306" s="2867"/>
      <c r="BR1306" s="2867"/>
      <c r="BS1306" s="2867"/>
      <c r="BT1306" s="2867"/>
      <c r="BU1306" s="2867"/>
      <c r="BV1306" s="2867"/>
      <c r="BW1306" s="2867"/>
      <c r="BX1306" s="2867"/>
      <c r="BY1306" s="2867"/>
      <c r="BZ1306" s="2867"/>
      <c r="CA1306" s="2867"/>
      <c r="CB1306" s="2867"/>
      <c r="CC1306" s="2867"/>
      <c r="CD1306" s="2867"/>
      <c r="CE1306" s="2867"/>
      <c r="CF1306" s="2867"/>
      <c r="CG1306" s="2867"/>
      <c r="CH1306" s="2867"/>
      <c r="CI1306" s="2867"/>
      <c r="CJ1306" s="2867"/>
      <c r="CK1306" s="2867"/>
      <c r="CL1306" s="2867"/>
      <c r="CM1306" s="2867"/>
      <c r="CN1306" s="2867"/>
      <c r="CO1306" s="2867"/>
      <c r="CP1306" s="2867"/>
      <c r="CQ1306" s="2867"/>
      <c r="CR1306" s="2867"/>
      <c r="CS1306" s="2867"/>
      <c r="CT1306" s="2867"/>
      <c r="CU1306" s="2867"/>
      <c r="CV1306" s="2867"/>
      <c r="CW1306" s="2867"/>
    </row>
    <row r="1307" spans="1:101">
      <c r="A1307" s="2867"/>
      <c r="B1307" s="2867"/>
      <c r="C1307" s="2867"/>
      <c r="D1307" s="2867"/>
      <c r="E1307" s="2867"/>
      <c r="F1307" s="2867"/>
      <c r="G1307" s="2867"/>
      <c r="H1307" s="2867"/>
      <c r="I1307" s="2867"/>
      <c r="J1307" s="2867"/>
      <c r="K1307" s="2867"/>
      <c r="L1307" s="2867"/>
      <c r="M1307" s="2867"/>
      <c r="O1307" s="2867"/>
      <c r="P1307" s="2867"/>
      <c r="Q1307" s="2867"/>
      <c r="R1307" s="2867"/>
      <c r="S1307" s="2867"/>
      <c r="T1307" s="2867"/>
      <c r="U1307" s="2867"/>
      <c r="V1307" s="2867"/>
      <c r="W1307" s="2867"/>
      <c r="X1307" s="2867"/>
      <c r="Y1307" s="2867"/>
      <c r="Z1307" s="2867"/>
      <c r="AA1307" s="2867"/>
      <c r="AB1307" s="2867"/>
      <c r="AC1307" s="2867"/>
      <c r="AD1307" s="2867"/>
      <c r="AE1307" s="2867"/>
      <c r="AF1307" s="2867"/>
      <c r="AG1307" s="2867"/>
      <c r="AH1307" s="2867"/>
      <c r="AI1307" s="2867"/>
      <c r="AJ1307" s="2867"/>
      <c r="AK1307" s="2867"/>
      <c r="AL1307" s="2867"/>
      <c r="AM1307" s="2867"/>
      <c r="AN1307" s="2867"/>
      <c r="AO1307" s="2867"/>
      <c r="AP1307" s="2867"/>
      <c r="AQ1307" s="2867"/>
      <c r="AR1307" s="2867"/>
      <c r="AS1307" s="2867"/>
      <c r="AT1307" s="2867"/>
      <c r="AU1307" s="2867"/>
      <c r="AV1307" s="2867"/>
      <c r="AW1307" s="2867"/>
      <c r="AX1307" s="2867"/>
      <c r="AY1307" s="2867"/>
      <c r="AZ1307" s="2867"/>
      <c r="BA1307" s="2867"/>
      <c r="BB1307" s="2867"/>
      <c r="BC1307" s="2867"/>
      <c r="BD1307" s="2867"/>
      <c r="BE1307" s="2867"/>
      <c r="BF1307" s="2867"/>
      <c r="BG1307" s="2867"/>
      <c r="BH1307" s="2867"/>
      <c r="BI1307" s="2867"/>
      <c r="BJ1307" s="2867"/>
      <c r="BK1307" s="2867"/>
      <c r="BL1307" s="2867"/>
      <c r="BM1307" s="2867"/>
      <c r="BN1307" s="2867"/>
      <c r="BO1307" s="2867"/>
      <c r="BP1307" s="2867"/>
      <c r="BQ1307" s="2867"/>
      <c r="BR1307" s="2867"/>
      <c r="BS1307" s="2867"/>
      <c r="BT1307" s="2867"/>
      <c r="BU1307" s="2867"/>
      <c r="BV1307" s="2867"/>
      <c r="BW1307" s="2867"/>
      <c r="BX1307" s="2867"/>
      <c r="BY1307" s="2867"/>
      <c r="BZ1307" s="2867"/>
      <c r="CA1307" s="2867"/>
      <c r="CB1307" s="2867"/>
      <c r="CC1307" s="2867"/>
      <c r="CD1307" s="2867"/>
      <c r="CE1307" s="2867"/>
      <c r="CF1307" s="2867"/>
      <c r="CG1307" s="2867"/>
      <c r="CH1307" s="2867"/>
      <c r="CI1307" s="2867"/>
      <c r="CJ1307" s="2867"/>
      <c r="CK1307" s="2867"/>
      <c r="CL1307" s="2867"/>
      <c r="CM1307" s="2867"/>
      <c r="CN1307" s="2867"/>
      <c r="CO1307" s="2867"/>
      <c r="CP1307" s="2867"/>
      <c r="CQ1307" s="2867"/>
      <c r="CR1307" s="2867"/>
      <c r="CS1307" s="2867"/>
      <c r="CT1307" s="2867"/>
      <c r="CU1307" s="2867"/>
      <c r="CV1307" s="2867"/>
      <c r="CW1307" s="2867"/>
    </row>
    <row r="1308" spans="1:101">
      <c r="A1308" s="2867"/>
      <c r="B1308" s="2867"/>
      <c r="C1308" s="2867"/>
      <c r="D1308" s="2867"/>
      <c r="E1308" s="2867"/>
      <c r="F1308" s="2867"/>
      <c r="G1308" s="2867"/>
      <c r="H1308" s="2867"/>
      <c r="I1308" s="2867"/>
      <c r="J1308" s="2867"/>
      <c r="K1308" s="2867"/>
      <c r="L1308" s="2867"/>
      <c r="M1308" s="2867"/>
      <c r="O1308" s="2867"/>
      <c r="P1308" s="2867"/>
      <c r="Q1308" s="2867"/>
      <c r="R1308" s="2867"/>
      <c r="S1308" s="2867"/>
      <c r="T1308" s="2867"/>
      <c r="U1308" s="2867"/>
      <c r="V1308" s="2867"/>
      <c r="W1308" s="2867"/>
      <c r="X1308" s="2867"/>
      <c r="Y1308" s="2867"/>
      <c r="Z1308" s="2867"/>
      <c r="AA1308" s="2867"/>
      <c r="AB1308" s="2867"/>
      <c r="AC1308" s="2867"/>
      <c r="AD1308" s="2867"/>
      <c r="AE1308" s="2867"/>
      <c r="AF1308" s="2867"/>
      <c r="AG1308" s="2867"/>
      <c r="AH1308" s="2867"/>
      <c r="AI1308" s="2867"/>
      <c r="AJ1308" s="2867"/>
      <c r="AK1308" s="2867"/>
      <c r="AL1308" s="2867"/>
      <c r="AM1308" s="2867"/>
      <c r="AN1308" s="2867"/>
      <c r="AO1308" s="2867"/>
      <c r="AP1308" s="2867"/>
      <c r="AQ1308" s="2867"/>
      <c r="AR1308" s="2867"/>
      <c r="AS1308" s="2867"/>
      <c r="AT1308" s="2867"/>
      <c r="AU1308" s="2867"/>
      <c r="AV1308" s="2867"/>
      <c r="AW1308" s="2867"/>
      <c r="AX1308" s="2867"/>
      <c r="AY1308" s="2867"/>
      <c r="AZ1308" s="2867"/>
      <c r="BA1308" s="2867"/>
      <c r="BB1308" s="2867"/>
      <c r="BC1308" s="2867"/>
      <c r="BD1308" s="2867"/>
      <c r="BE1308" s="2867"/>
      <c r="BF1308" s="2867"/>
      <c r="BG1308" s="2867"/>
      <c r="BH1308" s="2867"/>
      <c r="BI1308" s="2867"/>
      <c r="BJ1308" s="2867"/>
      <c r="BK1308" s="2867"/>
      <c r="BL1308" s="2867"/>
      <c r="BM1308" s="2867"/>
      <c r="BN1308" s="2867"/>
      <c r="BO1308" s="2867"/>
      <c r="BP1308" s="2867"/>
      <c r="BQ1308" s="2867"/>
      <c r="BR1308" s="2867"/>
      <c r="BS1308" s="2867"/>
      <c r="BT1308" s="2867"/>
      <c r="BU1308" s="2867"/>
      <c r="BV1308" s="2867"/>
      <c r="BW1308" s="2867"/>
      <c r="BX1308" s="2867"/>
      <c r="BY1308" s="2867"/>
      <c r="BZ1308" s="2867"/>
      <c r="CA1308" s="2867"/>
      <c r="CB1308" s="2867"/>
      <c r="CC1308" s="2867"/>
      <c r="CD1308" s="2867"/>
      <c r="CE1308" s="2867"/>
      <c r="CF1308" s="2867"/>
      <c r="CG1308" s="2867"/>
      <c r="CH1308" s="2867"/>
      <c r="CI1308" s="2867"/>
      <c r="CJ1308" s="2867"/>
      <c r="CK1308" s="2867"/>
      <c r="CL1308" s="2867"/>
      <c r="CM1308" s="2867"/>
      <c r="CN1308" s="2867"/>
      <c r="CO1308" s="2867"/>
      <c r="CP1308" s="2867"/>
      <c r="CQ1308" s="2867"/>
      <c r="CR1308" s="2867"/>
      <c r="CS1308" s="2867"/>
      <c r="CT1308" s="2867"/>
      <c r="CU1308" s="2867"/>
      <c r="CV1308" s="2867"/>
      <c r="CW1308" s="2867"/>
    </row>
    <row r="1309" spans="1:101">
      <c r="A1309" s="2867"/>
      <c r="B1309" s="2867"/>
      <c r="C1309" s="2867"/>
      <c r="D1309" s="2867"/>
      <c r="E1309" s="2867"/>
      <c r="F1309" s="2867"/>
      <c r="G1309" s="2867"/>
      <c r="H1309" s="2867"/>
      <c r="I1309" s="2867"/>
      <c r="J1309" s="2867"/>
      <c r="K1309" s="2867"/>
      <c r="L1309" s="2867"/>
      <c r="M1309" s="2867"/>
      <c r="O1309" s="2867"/>
      <c r="P1309" s="2867"/>
      <c r="Q1309" s="2867"/>
      <c r="R1309" s="2867"/>
      <c r="S1309" s="2867"/>
      <c r="T1309" s="2867"/>
      <c r="U1309" s="2867"/>
      <c r="V1309" s="2867"/>
      <c r="W1309" s="2867"/>
      <c r="X1309" s="2867"/>
      <c r="Y1309" s="2867"/>
      <c r="Z1309" s="2867"/>
      <c r="AA1309" s="2867"/>
      <c r="AB1309" s="2867"/>
      <c r="AC1309" s="2867"/>
      <c r="AD1309" s="2867"/>
      <c r="AE1309" s="2867"/>
      <c r="AF1309" s="2867"/>
      <c r="AG1309" s="2867"/>
      <c r="AH1309" s="2867"/>
      <c r="AI1309" s="2867"/>
      <c r="AJ1309" s="2867"/>
      <c r="AK1309" s="2867"/>
      <c r="AL1309" s="2867"/>
      <c r="AM1309" s="2867"/>
      <c r="AN1309" s="2867"/>
      <c r="AO1309" s="2867"/>
      <c r="AP1309" s="2867"/>
      <c r="AQ1309" s="2867"/>
      <c r="AR1309" s="2867"/>
      <c r="AS1309" s="2867"/>
      <c r="AT1309" s="2867"/>
      <c r="AU1309" s="2867"/>
      <c r="AV1309" s="2867"/>
      <c r="AW1309" s="2867"/>
      <c r="AX1309" s="2867"/>
      <c r="AY1309" s="2867"/>
      <c r="AZ1309" s="2867"/>
      <c r="BA1309" s="2867"/>
      <c r="BB1309" s="2867"/>
      <c r="BC1309" s="2867"/>
      <c r="BD1309" s="2867"/>
      <c r="BE1309" s="2867"/>
      <c r="BF1309" s="2867"/>
      <c r="BG1309" s="2867"/>
      <c r="BH1309" s="2867"/>
      <c r="BI1309" s="2867"/>
      <c r="BJ1309" s="2867"/>
      <c r="BK1309" s="2867"/>
      <c r="BL1309" s="2867"/>
      <c r="BM1309" s="2867"/>
      <c r="BN1309" s="2867"/>
      <c r="BO1309" s="2867"/>
      <c r="BP1309" s="2867"/>
      <c r="BQ1309" s="2867"/>
      <c r="BR1309" s="2867"/>
      <c r="BS1309" s="2867"/>
      <c r="BT1309" s="2867"/>
      <c r="BU1309" s="2867"/>
      <c r="BV1309" s="2867"/>
      <c r="BW1309" s="2867"/>
      <c r="BX1309" s="2867"/>
      <c r="BY1309" s="2867"/>
      <c r="BZ1309" s="2867"/>
      <c r="CA1309" s="2867"/>
      <c r="CB1309" s="2867"/>
      <c r="CC1309" s="2867"/>
      <c r="CD1309" s="2867"/>
      <c r="CE1309" s="2867"/>
      <c r="CF1309" s="2867"/>
      <c r="CG1309" s="2867"/>
      <c r="CH1309" s="2867"/>
      <c r="CI1309" s="2867"/>
      <c r="CJ1309" s="2867"/>
      <c r="CK1309" s="2867"/>
      <c r="CL1309" s="2867"/>
      <c r="CM1309" s="2867"/>
      <c r="CN1309" s="2867"/>
      <c r="CO1309" s="2867"/>
      <c r="CP1309" s="2867"/>
      <c r="CQ1309" s="2867"/>
      <c r="CR1309" s="2867"/>
      <c r="CS1309" s="2867"/>
      <c r="CT1309" s="2867"/>
      <c r="CU1309" s="2867"/>
      <c r="CV1309" s="2867"/>
      <c r="CW1309" s="2867"/>
    </row>
    <row r="1310" spans="1:101">
      <c r="A1310" s="2867"/>
      <c r="B1310" s="2867"/>
      <c r="C1310" s="2867"/>
      <c r="D1310" s="2867"/>
      <c r="E1310" s="2867"/>
      <c r="F1310" s="2867"/>
      <c r="G1310" s="2867"/>
      <c r="H1310" s="2867"/>
      <c r="I1310" s="2867"/>
      <c r="J1310" s="2867"/>
      <c r="K1310" s="2867"/>
      <c r="L1310" s="2867"/>
      <c r="M1310" s="2867"/>
      <c r="O1310" s="2867"/>
      <c r="P1310" s="2867"/>
      <c r="Q1310" s="2867"/>
      <c r="R1310" s="2867"/>
      <c r="S1310" s="2867"/>
      <c r="T1310" s="2867"/>
      <c r="U1310" s="2867"/>
      <c r="V1310" s="2867"/>
      <c r="W1310" s="2867"/>
      <c r="X1310" s="2867"/>
      <c r="Y1310" s="2867"/>
      <c r="Z1310" s="2867"/>
      <c r="AA1310" s="2867"/>
      <c r="AB1310" s="2867"/>
      <c r="AC1310" s="2867"/>
      <c r="AD1310" s="2867"/>
      <c r="AE1310" s="2867"/>
      <c r="AF1310" s="2867"/>
      <c r="AG1310" s="2867"/>
      <c r="AH1310" s="2867"/>
      <c r="AI1310" s="2867"/>
      <c r="AJ1310" s="2867"/>
      <c r="AK1310" s="2867"/>
      <c r="AL1310" s="2867"/>
      <c r="AM1310" s="2867"/>
      <c r="AN1310" s="2867"/>
      <c r="AO1310" s="2867"/>
      <c r="AP1310" s="2867"/>
      <c r="AQ1310" s="2867"/>
      <c r="AR1310" s="2867"/>
      <c r="AS1310" s="2867"/>
      <c r="AT1310" s="2867"/>
      <c r="AU1310" s="2867"/>
      <c r="AV1310" s="2867"/>
      <c r="AW1310" s="2867"/>
      <c r="AX1310" s="2867"/>
      <c r="AY1310" s="2867"/>
      <c r="AZ1310" s="2867"/>
      <c r="BA1310" s="2867"/>
      <c r="BB1310" s="2867"/>
      <c r="BC1310" s="2867"/>
      <c r="BD1310" s="2867"/>
      <c r="BE1310" s="2867"/>
      <c r="BF1310" s="2867"/>
      <c r="BG1310" s="2867"/>
      <c r="BH1310" s="2867"/>
      <c r="BI1310" s="2867"/>
      <c r="BJ1310" s="2867"/>
      <c r="BK1310" s="2867"/>
      <c r="BL1310" s="2867"/>
      <c r="BM1310" s="2867"/>
      <c r="BN1310" s="2867"/>
      <c r="BO1310" s="2867"/>
      <c r="BP1310" s="2867"/>
      <c r="BQ1310" s="2867"/>
      <c r="BR1310" s="2867"/>
      <c r="BS1310" s="2867"/>
      <c r="BT1310" s="2867"/>
      <c r="BU1310" s="2867"/>
      <c r="BV1310" s="2867"/>
      <c r="BW1310" s="2867"/>
      <c r="BX1310" s="2867"/>
      <c r="BY1310" s="2867"/>
      <c r="BZ1310" s="2867"/>
      <c r="CA1310" s="2867"/>
      <c r="CB1310" s="2867"/>
      <c r="CC1310" s="2867"/>
      <c r="CD1310" s="2867"/>
      <c r="CE1310" s="2867"/>
      <c r="CF1310" s="2867"/>
      <c r="CG1310" s="2867"/>
      <c r="CH1310" s="2867"/>
      <c r="CI1310" s="2867"/>
      <c r="CJ1310" s="2867"/>
      <c r="CK1310" s="2867"/>
      <c r="CL1310" s="2867"/>
      <c r="CM1310" s="2867"/>
      <c r="CN1310" s="2867"/>
      <c r="CO1310" s="2867"/>
      <c r="CP1310" s="2867"/>
      <c r="CQ1310" s="2867"/>
      <c r="CR1310" s="2867"/>
      <c r="CS1310" s="2867"/>
      <c r="CT1310" s="2867"/>
      <c r="CU1310" s="2867"/>
      <c r="CV1310" s="2867"/>
      <c r="CW1310" s="2867"/>
    </row>
    <row r="1311" spans="1:101">
      <c r="A1311" s="2867"/>
      <c r="B1311" s="2867"/>
      <c r="C1311" s="2867"/>
      <c r="D1311" s="2867"/>
      <c r="E1311" s="2867"/>
      <c r="F1311" s="2867"/>
      <c r="G1311" s="2867"/>
      <c r="H1311" s="2867"/>
      <c r="I1311" s="2867"/>
      <c r="J1311" s="2867"/>
      <c r="K1311" s="2867"/>
      <c r="L1311" s="2867"/>
      <c r="M1311" s="2867"/>
      <c r="O1311" s="2867"/>
      <c r="P1311" s="2867"/>
      <c r="Q1311" s="2867"/>
      <c r="R1311" s="2867"/>
      <c r="S1311" s="2867"/>
      <c r="T1311" s="2867"/>
      <c r="U1311" s="2867"/>
      <c r="V1311" s="2867"/>
      <c r="W1311" s="2867"/>
      <c r="X1311" s="2867"/>
      <c r="Y1311" s="2867"/>
      <c r="Z1311" s="2867"/>
      <c r="AA1311" s="2867"/>
      <c r="AB1311" s="2867"/>
      <c r="AC1311" s="2867"/>
      <c r="AD1311" s="2867"/>
      <c r="AE1311" s="2867"/>
      <c r="AF1311" s="2867"/>
      <c r="AG1311" s="2867"/>
      <c r="AH1311" s="2867"/>
      <c r="AI1311" s="2867"/>
      <c r="AJ1311" s="2867"/>
      <c r="AK1311" s="2867"/>
      <c r="AL1311" s="2867"/>
      <c r="AM1311" s="2867"/>
      <c r="AN1311" s="2867"/>
      <c r="AO1311" s="2867"/>
      <c r="AP1311" s="2867"/>
      <c r="AQ1311" s="2867"/>
      <c r="AR1311" s="2867"/>
      <c r="AS1311" s="2867"/>
      <c r="AT1311" s="2867"/>
      <c r="AU1311" s="2867"/>
      <c r="AV1311" s="2867"/>
      <c r="AW1311" s="2867"/>
      <c r="AX1311" s="2867"/>
      <c r="AY1311" s="2867"/>
      <c r="AZ1311" s="2867"/>
      <c r="BA1311" s="2867"/>
      <c r="BB1311" s="2867"/>
      <c r="BC1311" s="2867"/>
      <c r="BD1311" s="2867"/>
      <c r="BE1311" s="2867"/>
      <c r="BF1311" s="2867"/>
      <c r="BG1311" s="2867"/>
      <c r="BH1311" s="2867"/>
      <c r="BI1311" s="2867"/>
      <c r="BJ1311" s="2867"/>
      <c r="BK1311" s="2867"/>
      <c r="BL1311" s="2867"/>
      <c r="BM1311" s="2867"/>
      <c r="BN1311" s="2867"/>
      <c r="BO1311" s="2867"/>
      <c r="BP1311" s="2867"/>
      <c r="BQ1311" s="2867"/>
      <c r="BR1311" s="2867"/>
      <c r="BS1311" s="2867"/>
      <c r="BT1311" s="2867"/>
      <c r="BU1311" s="2867"/>
      <c r="BV1311" s="2867"/>
      <c r="BW1311" s="2867"/>
      <c r="BX1311" s="2867"/>
      <c r="BY1311" s="2867"/>
      <c r="BZ1311" s="2867"/>
      <c r="CA1311" s="2867"/>
      <c r="CB1311" s="2867"/>
      <c r="CC1311" s="2867"/>
      <c r="CD1311" s="2867"/>
      <c r="CE1311" s="2867"/>
      <c r="CF1311" s="2867"/>
      <c r="CG1311" s="2867"/>
      <c r="CH1311" s="2867"/>
      <c r="CI1311" s="2867"/>
      <c r="CJ1311" s="2867"/>
      <c r="CK1311" s="2867"/>
      <c r="CL1311" s="2867"/>
      <c r="CM1311" s="2867"/>
      <c r="CN1311" s="2867"/>
      <c r="CO1311" s="2867"/>
      <c r="CP1311" s="2867"/>
      <c r="CQ1311" s="2867"/>
      <c r="CR1311" s="2867"/>
      <c r="CS1311" s="2867"/>
      <c r="CT1311" s="2867"/>
      <c r="CU1311" s="2867"/>
      <c r="CV1311" s="2867"/>
      <c r="CW1311" s="2867"/>
    </row>
    <row r="1312" spans="1:101">
      <c r="A1312" s="2867"/>
      <c r="B1312" s="2867"/>
      <c r="C1312" s="2867"/>
      <c r="D1312" s="2867"/>
      <c r="E1312" s="2867"/>
      <c r="F1312" s="2867"/>
      <c r="G1312" s="2867"/>
      <c r="H1312" s="2867"/>
      <c r="I1312" s="2867"/>
      <c r="J1312" s="2867"/>
      <c r="K1312" s="2867"/>
      <c r="L1312" s="2867"/>
      <c r="M1312" s="2867"/>
      <c r="O1312" s="2867"/>
      <c r="P1312" s="2867"/>
      <c r="Q1312" s="2867"/>
      <c r="R1312" s="2867"/>
      <c r="S1312" s="2867"/>
      <c r="T1312" s="2867"/>
      <c r="U1312" s="2867"/>
      <c r="V1312" s="2867"/>
      <c r="W1312" s="2867"/>
      <c r="X1312" s="2867"/>
      <c r="Y1312" s="2867"/>
      <c r="Z1312" s="2867"/>
      <c r="AA1312" s="2867"/>
      <c r="AB1312" s="2867"/>
      <c r="AC1312" s="2867"/>
      <c r="AD1312" s="2867"/>
      <c r="AE1312" s="2867"/>
      <c r="AF1312" s="2867"/>
      <c r="AG1312" s="2867"/>
      <c r="AH1312" s="2867"/>
      <c r="AI1312" s="2867"/>
      <c r="AJ1312" s="2867"/>
      <c r="AK1312" s="2867"/>
      <c r="AL1312" s="2867"/>
      <c r="AM1312" s="2867"/>
      <c r="AN1312" s="2867"/>
      <c r="AO1312" s="2867"/>
      <c r="AP1312" s="2867"/>
      <c r="AQ1312" s="2867"/>
      <c r="AR1312" s="2867"/>
      <c r="AS1312" s="2867"/>
      <c r="AT1312" s="2867"/>
      <c r="AU1312" s="2867"/>
      <c r="AV1312" s="2867"/>
      <c r="AW1312" s="2867"/>
      <c r="AX1312" s="2867"/>
      <c r="AY1312" s="2867"/>
      <c r="AZ1312" s="2867"/>
      <c r="BA1312" s="2867"/>
      <c r="BB1312" s="2867"/>
      <c r="BC1312" s="2867"/>
      <c r="BD1312" s="2867"/>
      <c r="BE1312" s="2867"/>
      <c r="BF1312" s="2867"/>
      <c r="BG1312" s="2867"/>
      <c r="BH1312" s="2867"/>
      <c r="BI1312" s="2867"/>
      <c r="BJ1312" s="2867"/>
      <c r="BK1312" s="2867"/>
      <c r="BL1312" s="2867"/>
      <c r="BM1312" s="2867"/>
      <c r="BN1312" s="2867"/>
      <c r="BO1312" s="2867"/>
      <c r="BP1312" s="2867"/>
      <c r="BQ1312" s="2867"/>
      <c r="BR1312" s="2867"/>
      <c r="BS1312" s="2867"/>
      <c r="BT1312" s="2867"/>
      <c r="BU1312" s="2867"/>
      <c r="BV1312" s="2867"/>
      <c r="BW1312" s="2867"/>
      <c r="BX1312" s="2867"/>
      <c r="BY1312" s="2867"/>
      <c r="BZ1312" s="2867"/>
      <c r="CA1312" s="2867"/>
      <c r="CB1312" s="2867"/>
      <c r="CC1312" s="2867"/>
      <c r="CD1312" s="2867"/>
      <c r="CE1312" s="2867"/>
      <c r="CF1312" s="2867"/>
      <c r="CG1312" s="2867"/>
      <c r="CH1312" s="2867"/>
      <c r="CI1312" s="2867"/>
      <c r="CJ1312" s="2867"/>
      <c r="CK1312" s="2867"/>
      <c r="CL1312" s="2867"/>
      <c r="CM1312" s="2867"/>
      <c r="CN1312" s="2867"/>
      <c r="CO1312" s="2867"/>
      <c r="CP1312" s="2867"/>
      <c r="CQ1312" s="2867"/>
      <c r="CR1312" s="2867"/>
      <c r="CS1312" s="2867"/>
      <c r="CT1312" s="2867"/>
      <c r="CU1312" s="2867"/>
      <c r="CV1312" s="2867"/>
      <c r="CW1312" s="2867"/>
    </row>
    <row r="1313" spans="1:101">
      <c r="A1313" s="2867"/>
      <c r="B1313" s="2867"/>
      <c r="C1313" s="2867"/>
      <c r="D1313" s="2867"/>
      <c r="E1313" s="2867"/>
      <c r="F1313" s="2867"/>
      <c r="G1313" s="2867"/>
      <c r="H1313" s="2867"/>
      <c r="I1313" s="2867"/>
      <c r="J1313" s="2867"/>
      <c r="K1313" s="2867"/>
      <c r="L1313" s="2867"/>
      <c r="M1313" s="2867"/>
      <c r="O1313" s="2867"/>
      <c r="P1313" s="2867"/>
      <c r="Q1313" s="2867"/>
      <c r="R1313" s="2867"/>
      <c r="S1313" s="2867"/>
      <c r="T1313" s="2867"/>
      <c r="U1313" s="2867"/>
      <c r="V1313" s="2867"/>
      <c r="W1313" s="2867"/>
      <c r="X1313" s="2867"/>
      <c r="Y1313" s="2867"/>
      <c r="Z1313" s="2867"/>
      <c r="AA1313" s="2867"/>
      <c r="AB1313" s="2867"/>
      <c r="AC1313" s="2867"/>
      <c r="AD1313" s="2867"/>
      <c r="AE1313" s="2867"/>
      <c r="AF1313" s="2867"/>
      <c r="AG1313" s="2867"/>
      <c r="AH1313" s="2867"/>
      <c r="AI1313" s="2867"/>
      <c r="AJ1313" s="2867"/>
      <c r="AK1313" s="2867"/>
      <c r="AL1313" s="2867"/>
      <c r="AM1313" s="2867"/>
      <c r="AN1313" s="2867"/>
      <c r="AO1313" s="2867"/>
      <c r="AP1313" s="2867"/>
      <c r="AQ1313" s="2867"/>
      <c r="AR1313" s="2867"/>
      <c r="AS1313" s="2867"/>
      <c r="AT1313" s="2867"/>
      <c r="AU1313" s="2867"/>
      <c r="AV1313" s="2867"/>
      <c r="AW1313" s="2867"/>
      <c r="AX1313" s="2867"/>
      <c r="AY1313" s="2867"/>
      <c r="AZ1313" s="2867"/>
      <c r="BA1313" s="2867"/>
      <c r="BB1313" s="2867"/>
      <c r="BC1313" s="2867"/>
      <c r="BD1313" s="2867"/>
      <c r="BE1313" s="2867"/>
      <c r="BF1313" s="2867"/>
      <c r="BG1313" s="2867"/>
      <c r="BH1313" s="2867"/>
      <c r="BI1313" s="2867"/>
      <c r="BJ1313" s="2867"/>
      <c r="BK1313" s="2867"/>
      <c r="BL1313" s="2867"/>
      <c r="BM1313" s="2867"/>
      <c r="BN1313" s="2867"/>
      <c r="BO1313" s="2867"/>
      <c r="BP1313" s="2867"/>
      <c r="BQ1313" s="2867"/>
      <c r="BR1313" s="2867"/>
      <c r="BS1313" s="2867"/>
      <c r="BT1313" s="2867"/>
      <c r="BU1313" s="2867"/>
      <c r="BV1313" s="2867"/>
      <c r="BW1313" s="2867"/>
      <c r="BX1313" s="2867"/>
      <c r="BY1313" s="2867"/>
      <c r="BZ1313" s="2867"/>
      <c r="CA1313" s="2867"/>
      <c r="CB1313" s="2867"/>
      <c r="CC1313" s="2867"/>
      <c r="CD1313" s="2867"/>
      <c r="CE1313" s="2867"/>
      <c r="CF1313" s="2867"/>
      <c r="CG1313" s="2867"/>
      <c r="CH1313" s="2867"/>
      <c r="CI1313" s="2867"/>
      <c r="CJ1313" s="2867"/>
      <c r="CK1313" s="2867"/>
      <c r="CL1313" s="2867"/>
      <c r="CM1313" s="2867"/>
      <c r="CN1313" s="2867"/>
      <c r="CO1313" s="2867"/>
      <c r="CP1313" s="2867"/>
      <c r="CQ1313" s="2867"/>
      <c r="CR1313" s="2867"/>
      <c r="CS1313" s="2867"/>
      <c r="CT1313" s="2867"/>
      <c r="CU1313" s="2867"/>
      <c r="CV1313" s="2867"/>
      <c r="CW1313" s="2867"/>
    </row>
    <row r="1314" spans="1:101">
      <c r="A1314" s="2867"/>
      <c r="B1314" s="2867"/>
      <c r="C1314" s="2867"/>
      <c r="D1314" s="2867"/>
      <c r="E1314" s="2867"/>
      <c r="F1314" s="2867"/>
      <c r="G1314" s="2867"/>
      <c r="H1314" s="2867"/>
      <c r="I1314" s="2867"/>
      <c r="J1314" s="2867"/>
      <c r="K1314" s="2867"/>
      <c r="L1314" s="2867"/>
      <c r="M1314" s="2867"/>
      <c r="O1314" s="2867"/>
      <c r="P1314" s="2867"/>
      <c r="Q1314" s="2867"/>
      <c r="R1314" s="2867"/>
      <c r="S1314" s="2867"/>
      <c r="T1314" s="2867"/>
      <c r="U1314" s="2867"/>
      <c r="V1314" s="2867"/>
      <c r="W1314" s="2867"/>
      <c r="X1314" s="2867"/>
      <c r="Y1314" s="2867"/>
      <c r="Z1314" s="2867"/>
      <c r="AA1314" s="2867"/>
      <c r="AB1314" s="2867"/>
      <c r="AC1314" s="2867"/>
      <c r="AD1314" s="2867"/>
      <c r="AE1314" s="2867"/>
      <c r="AF1314" s="2867"/>
      <c r="AG1314" s="2867"/>
      <c r="AH1314" s="2867"/>
      <c r="AI1314" s="2867"/>
      <c r="AJ1314" s="2867"/>
      <c r="AK1314" s="2867"/>
      <c r="AL1314" s="2867"/>
      <c r="AM1314" s="2867"/>
      <c r="AN1314" s="2867"/>
      <c r="AO1314" s="2867"/>
      <c r="AP1314" s="2867"/>
      <c r="AQ1314" s="2867"/>
      <c r="AR1314" s="2867"/>
      <c r="AS1314" s="2867"/>
      <c r="AT1314" s="2867"/>
      <c r="AU1314" s="2867"/>
      <c r="AV1314" s="2867"/>
      <c r="AW1314" s="2867"/>
      <c r="AX1314" s="2867"/>
      <c r="AY1314" s="2867"/>
      <c r="AZ1314" s="2867"/>
      <c r="BA1314" s="2867"/>
      <c r="BB1314" s="2867"/>
      <c r="BC1314" s="2867"/>
      <c r="BD1314" s="2867"/>
      <c r="BE1314" s="2867"/>
      <c r="BF1314" s="2867"/>
      <c r="BG1314" s="2867"/>
      <c r="BH1314" s="2867"/>
      <c r="BI1314" s="2867"/>
      <c r="BJ1314" s="2867"/>
      <c r="BK1314" s="2867"/>
      <c r="BL1314" s="2867"/>
      <c r="BM1314" s="2867"/>
      <c r="BN1314" s="2867"/>
      <c r="BO1314" s="2867"/>
      <c r="BP1314" s="2867"/>
      <c r="BQ1314" s="2867"/>
      <c r="BR1314" s="2867"/>
      <c r="BS1314" s="2867"/>
      <c r="BT1314" s="2867"/>
      <c r="BU1314" s="2867"/>
      <c r="BV1314" s="2867"/>
      <c r="BW1314" s="2867"/>
      <c r="BX1314" s="2867"/>
      <c r="BY1314" s="2867"/>
      <c r="BZ1314" s="2867"/>
      <c r="CA1314" s="2867"/>
      <c r="CB1314" s="2867"/>
      <c r="CC1314" s="2867"/>
      <c r="CD1314" s="2867"/>
      <c r="CE1314" s="2867"/>
      <c r="CF1314" s="2867"/>
      <c r="CG1314" s="2867"/>
      <c r="CH1314" s="2867"/>
      <c r="CI1314" s="2867"/>
      <c r="CJ1314" s="2867"/>
      <c r="CK1314" s="2867"/>
      <c r="CL1314" s="2867"/>
      <c r="CM1314" s="2867"/>
      <c r="CN1314" s="2867"/>
      <c r="CO1314" s="2867"/>
      <c r="CP1314" s="2867"/>
      <c r="CQ1314" s="2867"/>
      <c r="CR1314" s="2867"/>
      <c r="CS1314" s="2867"/>
      <c r="CT1314" s="2867"/>
      <c r="CU1314" s="2867"/>
      <c r="CV1314" s="2867"/>
      <c r="CW1314" s="2867"/>
    </row>
    <row r="1315" spans="1:101">
      <c r="A1315" s="2867"/>
      <c r="B1315" s="2867"/>
      <c r="C1315" s="2867"/>
      <c r="D1315" s="2867"/>
      <c r="E1315" s="2867"/>
      <c r="F1315" s="2867"/>
      <c r="G1315" s="2867"/>
      <c r="H1315" s="2867"/>
      <c r="I1315" s="2867"/>
      <c r="J1315" s="2867"/>
      <c r="K1315" s="2867"/>
      <c r="L1315" s="2867"/>
      <c r="M1315" s="2867"/>
      <c r="O1315" s="2867"/>
      <c r="P1315" s="2867"/>
      <c r="Q1315" s="2867"/>
      <c r="R1315" s="2867"/>
      <c r="S1315" s="2867"/>
      <c r="T1315" s="2867"/>
      <c r="U1315" s="2867"/>
      <c r="V1315" s="2867"/>
      <c r="W1315" s="2867"/>
      <c r="X1315" s="2867"/>
      <c r="Y1315" s="2867"/>
      <c r="Z1315" s="2867"/>
      <c r="AA1315" s="2867"/>
      <c r="AB1315" s="2867"/>
      <c r="AC1315" s="2867"/>
      <c r="AD1315" s="2867"/>
      <c r="AE1315" s="2867"/>
      <c r="AF1315" s="2867"/>
      <c r="AG1315" s="2867"/>
      <c r="AH1315" s="2867"/>
      <c r="AI1315" s="2867"/>
      <c r="AJ1315" s="2867"/>
      <c r="AK1315" s="2867"/>
      <c r="AL1315" s="2867"/>
      <c r="AM1315" s="2867"/>
      <c r="AN1315" s="2867"/>
      <c r="AO1315" s="2867"/>
      <c r="AP1315" s="2867"/>
      <c r="AQ1315" s="2867"/>
      <c r="AR1315" s="2867"/>
      <c r="AS1315" s="2867"/>
      <c r="AT1315" s="2867"/>
      <c r="AU1315" s="2867"/>
      <c r="AV1315" s="2867"/>
      <c r="AW1315" s="2867"/>
      <c r="AX1315" s="2867"/>
      <c r="AY1315" s="2867"/>
      <c r="AZ1315" s="2867"/>
      <c r="BA1315" s="2867"/>
      <c r="BB1315" s="2867"/>
      <c r="BC1315" s="2867"/>
      <c r="BD1315" s="2867"/>
      <c r="BE1315" s="2867"/>
      <c r="BF1315" s="2867"/>
      <c r="BG1315" s="2867"/>
      <c r="BH1315" s="2867"/>
      <c r="BI1315" s="2867"/>
      <c r="BJ1315" s="2867"/>
      <c r="BK1315" s="2867"/>
      <c r="BL1315" s="2867"/>
      <c r="BM1315" s="2867"/>
      <c r="BN1315" s="2867"/>
      <c r="BO1315" s="2867"/>
      <c r="BP1315" s="2867"/>
      <c r="BQ1315" s="2867"/>
      <c r="BR1315" s="2867"/>
      <c r="BS1315" s="2867"/>
      <c r="BT1315" s="2867"/>
      <c r="BU1315" s="2867"/>
      <c r="BV1315" s="2867"/>
      <c r="BW1315" s="2867"/>
      <c r="BX1315" s="2867"/>
      <c r="BY1315" s="2867"/>
      <c r="BZ1315" s="2867"/>
      <c r="CA1315" s="2867"/>
      <c r="CB1315" s="2867"/>
      <c r="CC1315" s="2867"/>
      <c r="CD1315" s="2867"/>
      <c r="CE1315" s="2867"/>
      <c r="CF1315" s="2867"/>
      <c r="CG1315" s="2867"/>
      <c r="CH1315" s="2867"/>
      <c r="CI1315" s="2867"/>
      <c r="CJ1315" s="2867"/>
      <c r="CK1315" s="2867"/>
      <c r="CL1315" s="2867"/>
      <c r="CM1315" s="2867"/>
      <c r="CN1315" s="2867"/>
      <c r="CO1315" s="2867"/>
      <c r="CP1315" s="2867"/>
      <c r="CQ1315" s="2867"/>
      <c r="CR1315" s="2867"/>
      <c r="CS1315" s="2867"/>
      <c r="CT1315" s="2867"/>
      <c r="CU1315" s="2867"/>
      <c r="CV1315" s="2867"/>
      <c r="CW1315" s="2867"/>
    </row>
    <row r="1316" spans="1:101">
      <c r="A1316" s="2867"/>
      <c r="B1316" s="2867"/>
      <c r="C1316" s="2867"/>
      <c r="D1316" s="2867"/>
      <c r="E1316" s="2867"/>
      <c r="F1316" s="2867"/>
      <c r="G1316" s="2867"/>
      <c r="H1316" s="2867"/>
      <c r="I1316" s="2867"/>
      <c r="J1316" s="2867"/>
      <c r="K1316" s="2867"/>
      <c r="L1316" s="2867"/>
      <c r="M1316" s="2867"/>
      <c r="O1316" s="2867"/>
      <c r="P1316" s="2867"/>
      <c r="Q1316" s="2867"/>
      <c r="R1316" s="2867"/>
      <c r="S1316" s="2867"/>
      <c r="T1316" s="2867"/>
      <c r="U1316" s="2867"/>
      <c r="V1316" s="2867"/>
      <c r="W1316" s="2867"/>
      <c r="X1316" s="2867"/>
      <c r="Y1316" s="2867"/>
      <c r="Z1316" s="2867"/>
      <c r="AA1316" s="2867"/>
      <c r="AB1316" s="2867"/>
      <c r="AC1316" s="2867"/>
      <c r="AD1316" s="2867"/>
      <c r="AE1316" s="2867"/>
      <c r="AF1316" s="2867"/>
      <c r="AG1316" s="2867"/>
      <c r="AH1316" s="2867"/>
      <c r="AI1316" s="2867"/>
      <c r="AJ1316" s="2867"/>
      <c r="AK1316" s="2867"/>
      <c r="AL1316" s="2867"/>
      <c r="AM1316" s="2867"/>
      <c r="AN1316" s="2867"/>
      <c r="AO1316" s="2867"/>
      <c r="AP1316" s="2867"/>
      <c r="AQ1316" s="2867"/>
      <c r="AR1316" s="2867"/>
      <c r="AS1316" s="2867"/>
      <c r="AT1316" s="2867"/>
      <c r="AU1316" s="2867"/>
      <c r="AV1316" s="2867"/>
      <c r="AW1316" s="2867"/>
      <c r="AX1316" s="2867"/>
      <c r="AY1316" s="2867"/>
      <c r="AZ1316" s="2867"/>
      <c r="BA1316" s="2867"/>
      <c r="BB1316" s="2867"/>
      <c r="BC1316" s="2867"/>
      <c r="BD1316" s="2867"/>
      <c r="BE1316" s="2867"/>
      <c r="BF1316" s="2867"/>
      <c r="BG1316" s="2867"/>
      <c r="BH1316" s="2867"/>
      <c r="BI1316" s="2867"/>
      <c r="BJ1316" s="2867"/>
      <c r="BK1316" s="2867"/>
      <c r="BL1316" s="2867"/>
      <c r="BM1316" s="2867"/>
      <c r="BN1316" s="2867"/>
      <c r="BO1316" s="2867"/>
      <c r="BP1316" s="2867"/>
      <c r="BQ1316" s="2867"/>
      <c r="BR1316" s="2867"/>
      <c r="BS1316" s="2867"/>
      <c r="BT1316" s="2867"/>
      <c r="BU1316" s="2867"/>
      <c r="BV1316" s="2867"/>
      <c r="BW1316" s="2867"/>
      <c r="BX1316" s="2867"/>
      <c r="BY1316" s="2867"/>
      <c r="BZ1316" s="2867"/>
      <c r="CA1316" s="2867"/>
      <c r="CB1316" s="2867"/>
      <c r="CC1316" s="2867"/>
      <c r="CD1316" s="2867"/>
      <c r="CE1316" s="2867"/>
      <c r="CF1316" s="2867"/>
      <c r="CG1316" s="2867"/>
      <c r="CH1316" s="2867"/>
      <c r="CI1316" s="2867"/>
      <c r="CJ1316" s="2867"/>
      <c r="CK1316" s="2867"/>
      <c r="CL1316" s="2867"/>
      <c r="CM1316" s="2867"/>
      <c r="CN1316" s="2867"/>
      <c r="CO1316" s="2867"/>
      <c r="CP1316" s="2867"/>
      <c r="CQ1316" s="2867"/>
      <c r="CR1316" s="2867"/>
      <c r="CS1316" s="2867"/>
      <c r="CT1316" s="2867"/>
      <c r="CU1316" s="2867"/>
      <c r="CV1316" s="2867"/>
      <c r="CW1316" s="2867"/>
    </row>
    <row r="1317" spans="1:101">
      <c r="A1317" s="2867"/>
      <c r="B1317" s="2867"/>
      <c r="C1317" s="2867"/>
      <c r="D1317" s="2867"/>
      <c r="E1317" s="2867"/>
      <c r="F1317" s="2867"/>
      <c r="G1317" s="2867"/>
      <c r="H1317" s="2867"/>
      <c r="I1317" s="2867"/>
      <c r="J1317" s="2867"/>
      <c r="K1317" s="2867"/>
      <c r="L1317" s="2867"/>
      <c r="M1317" s="2867"/>
      <c r="O1317" s="2867"/>
      <c r="P1317" s="2867"/>
      <c r="Q1317" s="2867"/>
      <c r="R1317" s="2867"/>
      <c r="S1317" s="2867"/>
      <c r="T1317" s="2867"/>
      <c r="U1317" s="2867"/>
      <c r="V1317" s="2867"/>
      <c r="W1317" s="2867"/>
      <c r="X1317" s="2867"/>
      <c r="Y1317" s="2867"/>
      <c r="Z1317" s="2867"/>
      <c r="AA1317" s="2867"/>
      <c r="AB1317" s="2867"/>
      <c r="AC1317" s="2867"/>
      <c r="AD1317" s="2867"/>
      <c r="AE1317" s="2867"/>
      <c r="AF1317" s="2867"/>
      <c r="AG1317" s="2867"/>
      <c r="AH1317" s="2867"/>
      <c r="AI1317" s="2867"/>
      <c r="AJ1317" s="2867"/>
      <c r="AK1317" s="2867"/>
      <c r="AL1317" s="2867"/>
      <c r="AM1317" s="2867"/>
      <c r="AN1317" s="2867"/>
      <c r="AO1317" s="2867"/>
      <c r="AP1317" s="2867"/>
      <c r="AQ1317" s="2867"/>
      <c r="AR1317" s="2867"/>
      <c r="AS1317" s="2867"/>
      <c r="AT1317" s="2867"/>
      <c r="AU1317" s="2867"/>
      <c r="AV1317" s="2867"/>
      <c r="AW1317" s="2867"/>
      <c r="AX1317" s="2867"/>
      <c r="AY1317" s="2867"/>
      <c r="AZ1317" s="2867"/>
      <c r="BA1317" s="2867"/>
      <c r="BB1317" s="2867"/>
      <c r="BC1317" s="2867"/>
      <c r="BD1317" s="2867"/>
      <c r="BE1317" s="2867"/>
      <c r="BF1317" s="2867"/>
      <c r="BG1317" s="2867"/>
      <c r="BH1317" s="2867"/>
      <c r="BI1317" s="2867"/>
      <c r="BJ1317" s="2867"/>
      <c r="BK1317" s="2867"/>
      <c r="BL1317" s="2867"/>
      <c r="BM1317" s="2867"/>
      <c r="BN1317" s="2867"/>
      <c r="BO1317" s="2867"/>
      <c r="BP1317" s="2867"/>
      <c r="BQ1317" s="2867"/>
      <c r="BR1317" s="2867"/>
      <c r="BS1317" s="2867"/>
      <c r="BT1317" s="2867"/>
      <c r="BU1317" s="2867"/>
      <c r="BV1317" s="2867"/>
      <c r="BW1317" s="2867"/>
      <c r="BX1317" s="2867"/>
      <c r="BY1317" s="2867"/>
      <c r="BZ1317" s="2867"/>
      <c r="CA1317" s="2867"/>
      <c r="CB1317" s="2867"/>
      <c r="CC1317" s="2867"/>
      <c r="CD1317" s="2867"/>
      <c r="CE1317" s="2867"/>
      <c r="CF1317" s="2867"/>
      <c r="CG1317" s="2867"/>
      <c r="CH1317" s="2867"/>
      <c r="CI1317" s="2867"/>
      <c r="CJ1317" s="2867"/>
      <c r="CK1317" s="2867"/>
      <c r="CL1317" s="2867"/>
      <c r="CM1317" s="2867"/>
      <c r="CN1317" s="2867"/>
      <c r="CO1317" s="2867"/>
      <c r="CP1317" s="2867"/>
      <c r="CQ1317" s="2867"/>
      <c r="CR1317" s="2867"/>
      <c r="CS1317" s="2867"/>
      <c r="CT1317" s="2867"/>
      <c r="CU1317" s="2867"/>
      <c r="CV1317" s="2867"/>
      <c r="CW1317" s="2867"/>
    </row>
    <row r="1318" spans="1:101">
      <c r="A1318" s="2867"/>
      <c r="B1318" s="2867"/>
      <c r="C1318" s="2867"/>
      <c r="D1318" s="2867"/>
      <c r="E1318" s="2867"/>
      <c r="F1318" s="2867"/>
      <c r="G1318" s="2867"/>
      <c r="H1318" s="2867"/>
      <c r="I1318" s="2867"/>
      <c r="J1318" s="2867"/>
      <c r="K1318" s="2867"/>
      <c r="L1318" s="2867"/>
      <c r="M1318" s="2867"/>
      <c r="O1318" s="2867"/>
      <c r="P1318" s="2867"/>
      <c r="Q1318" s="2867"/>
      <c r="R1318" s="2867"/>
      <c r="S1318" s="2867"/>
      <c r="T1318" s="2867"/>
      <c r="U1318" s="2867"/>
      <c r="V1318" s="2867"/>
      <c r="W1318" s="2867"/>
      <c r="X1318" s="2867"/>
      <c r="Y1318" s="2867"/>
      <c r="Z1318" s="2867"/>
      <c r="AA1318" s="2867"/>
      <c r="AB1318" s="2867"/>
      <c r="AC1318" s="2867"/>
      <c r="AD1318" s="2867"/>
      <c r="AE1318" s="2867"/>
      <c r="AF1318" s="2867"/>
      <c r="AG1318" s="2867"/>
      <c r="AH1318" s="2867"/>
      <c r="AI1318" s="2867"/>
      <c r="AJ1318" s="2867"/>
      <c r="AK1318" s="2867"/>
      <c r="AL1318" s="2867"/>
      <c r="AM1318" s="2867"/>
      <c r="AN1318" s="2867"/>
      <c r="AO1318" s="2867"/>
      <c r="AP1318" s="2867"/>
      <c r="AQ1318" s="2867"/>
      <c r="AR1318" s="2867"/>
      <c r="AS1318" s="2867"/>
      <c r="AT1318" s="2867"/>
      <c r="AU1318" s="2867"/>
      <c r="AV1318" s="2867"/>
      <c r="AW1318" s="2867"/>
      <c r="AX1318" s="2867"/>
      <c r="AY1318" s="2867"/>
      <c r="AZ1318" s="2867"/>
      <c r="BA1318" s="2867"/>
      <c r="BB1318" s="2867"/>
      <c r="BC1318" s="2867"/>
      <c r="BD1318" s="2867"/>
      <c r="BE1318" s="2867"/>
      <c r="BF1318" s="2867"/>
      <c r="BG1318" s="2867"/>
      <c r="BH1318" s="2867"/>
      <c r="BI1318" s="2867"/>
      <c r="BJ1318" s="2867"/>
      <c r="BK1318" s="2867"/>
      <c r="BL1318" s="2867"/>
      <c r="BM1318" s="2867"/>
      <c r="BN1318" s="2867"/>
      <c r="BO1318" s="2867"/>
      <c r="BP1318" s="2867"/>
      <c r="BQ1318" s="2867"/>
      <c r="BR1318" s="2867"/>
      <c r="BS1318" s="2867"/>
      <c r="BT1318" s="2867"/>
      <c r="BU1318" s="2867"/>
      <c r="BV1318" s="2867"/>
      <c r="BW1318" s="2867"/>
      <c r="BX1318" s="2867"/>
      <c r="BY1318" s="2867"/>
      <c r="BZ1318" s="2867"/>
      <c r="CA1318" s="2867"/>
      <c r="CB1318" s="2867"/>
      <c r="CC1318" s="2867"/>
      <c r="CD1318" s="2867"/>
      <c r="CE1318" s="2867"/>
      <c r="CF1318" s="2867"/>
      <c r="CG1318" s="2867"/>
      <c r="CH1318" s="2867"/>
      <c r="CI1318" s="2867"/>
      <c r="CJ1318" s="2867"/>
      <c r="CK1318" s="2867"/>
      <c r="CL1318" s="2867"/>
      <c r="CM1318" s="2867"/>
      <c r="CN1318" s="2867"/>
      <c r="CO1318" s="2867"/>
      <c r="CP1318" s="2867"/>
      <c r="CQ1318" s="2867"/>
      <c r="CR1318" s="2867"/>
      <c r="CS1318" s="2867"/>
      <c r="CT1318" s="2867"/>
      <c r="CU1318" s="2867"/>
      <c r="CV1318" s="2867"/>
      <c r="CW1318" s="2867"/>
    </row>
    <row r="1319" spans="1:101">
      <c r="A1319" s="2867"/>
      <c r="B1319" s="2867"/>
      <c r="C1319" s="2867"/>
      <c r="D1319" s="2867"/>
      <c r="E1319" s="2867"/>
      <c r="F1319" s="2867"/>
      <c r="G1319" s="2867"/>
      <c r="H1319" s="2867"/>
      <c r="I1319" s="2867"/>
      <c r="J1319" s="2867"/>
      <c r="K1319" s="2867"/>
      <c r="L1319" s="2867"/>
      <c r="M1319" s="2867"/>
      <c r="O1319" s="2867"/>
      <c r="P1319" s="2867"/>
      <c r="Q1319" s="2867"/>
      <c r="R1319" s="2867"/>
      <c r="S1319" s="2867"/>
      <c r="T1319" s="2867"/>
      <c r="U1319" s="2867"/>
      <c r="V1319" s="2867"/>
      <c r="W1319" s="2867"/>
      <c r="X1319" s="2867"/>
      <c r="Y1319" s="2867"/>
      <c r="Z1319" s="2867"/>
      <c r="AA1319" s="2867"/>
      <c r="AB1319" s="2867"/>
      <c r="AC1319" s="2867"/>
      <c r="AD1319" s="2867"/>
      <c r="AE1319" s="2867"/>
      <c r="AF1319" s="2867"/>
      <c r="AG1319" s="2867"/>
      <c r="AH1319" s="2867"/>
      <c r="AI1319" s="2867"/>
      <c r="AJ1319" s="2867"/>
      <c r="AK1319" s="2867"/>
      <c r="AL1319" s="2867"/>
      <c r="AM1319" s="2867"/>
      <c r="AN1319" s="2867"/>
      <c r="AO1319" s="2867"/>
      <c r="AP1319" s="2867"/>
      <c r="AQ1319" s="2867"/>
      <c r="AR1319" s="2867"/>
      <c r="AS1319" s="2867"/>
      <c r="AT1319" s="2867"/>
      <c r="AU1319" s="2867"/>
      <c r="AV1319" s="2867"/>
      <c r="AW1319" s="2867"/>
      <c r="AX1319" s="2867"/>
      <c r="AY1319" s="2867"/>
      <c r="AZ1319" s="2867"/>
      <c r="BA1319" s="2867"/>
      <c r="BB1319" s="2867"/>
      <c r="BC1319" s="2867"/>
      <c r="BD1319" s="2867"/>
      <c r="BE1319" s="2867"/>
      <c r="BF1319" s="2867"/>
      <c r="BG1319" s="2867"/>
      <c r="BH1319" s="2867"/>
      <c r="BI1319" s="2867"/>
      <c r="BJ1319" s="2867"/>
      <c r="BK1319" s="2867"/>
      <c r="BL1319" s="2867"/>
      <c r="BM1319" s="2867"/>
      <c r="BN1319" s="2867"/>
      <c r="BO1319" s="2867"/>
      <c r="BP1319" s="2867"/>
      <c r="BQ1319" s="2867"/>
      <c r="BR1319" s="2867"/>
      <c r="BS1319" s="2867"/>
      <c r="BT1319" s="2867"/>
      <c r="BU1319" s="2867"/>
      <c r="BV1319" s="2867"/>
      <c r="BW1319" s="2867"/>
      <c r="BX1319" s="2867"/>
      <c r="BY1319" s="2867"/>
      <c r="BZ1319" s="2867"/>
      <c r="CA1319" s="2867"/>
      <c r="CB1319" s="2867"/>
      <c r="CC1319" s="2867"/>
      <c r="CD1319" s="2867"/>
      <c r="CE1319" s="2867"/>
      <c r="CF1319" s="2867"/>
      <c r="CG1319" s="2867"/>
      <c r="CH1319" s="2867"/>
      <c r="CI1319" s="2867"/>
      <c r="CJ1319" s="2867"/>
      <c r="CK1319" s="2867"/>
      <c r="CL1319" s="2867"/>
      <c r="CM1319" s="2867"/>
      <c r="CN1319" s="2867"/>
      <c r="CO1319" s="2867"/>
      <c r="CP1319" s="2867"/>
      <c r="CQ1319" s="2867"/>
      <c r="CR1319" s="2867"/>
      <c r="CS1319" s="2867"/>
      <c r="CT1319" s="2867"/>
      <c r="CU1319" s="2867"/>
      <c r="CV1319" s="2867"/>
      <c r="CW1319" s="2867"/>
    </row>
    <row r="1320" spans="1:101">
      <c r="A1320" s="2867"/>
      <c r="B1320" s="2867"/>
      <c r="C1320" s="2867"/>
      <c r="D1320" s="2867"/>
      <c r="E1320" s="2867"/>
      <c r="F1320" s="2867"/>
      <c r="G1320" s="2867"/>
      <c r="H1320" s="2867"/>
      <c r="I1320" s="2867"/>
      <c r="J1320" s="2867"/>
      <c r="K1320" s="2867"/>
      <c r="L1320" s="2867"/>
      <c r="M1320" s="2867"/>
      <c r="O1320" s="2867"/>
      <c r="P1320" s="2867"/>
      <c r="Q1320" s="2867"/>
      <c r="R1320" s="2867"/>
      <c r="S1320" s="2867"/>
      <c r="T1320" s="2867"/>
      <c r="U1320" s="2867"/>
      <c r="V1320" s="2867"/>
      <c r="W1320" s="2867"/>
      <c r="X1320" s="2867"/>
      <c r="Y1320" s="2867"/>
      <c r="Z1320" s="2867"/>
      <c r="AA1320" s="2867"/>
      <c r="AB1320" s="2867"/>
      <c r="AC1320" s="2867"/>
      <c r="AD1320" s="2867"/>
      <c r="AE1320" s="2867"/>
      <c r="AF1320" s="2867"/>
      <c r="AG1320" s="2867"/>
      <c r="AH1320" s="2867"/>
      <c r="AI1320" s="2867"/>
      <c r="AJ1320" s="2867"/>
      <c r="AK1320" s="2867"/>
      <c r="AL1320" s="2867"/>
      <c r="AM1320" s="2867"/>
      <c r="AN1320" s="2867"/>
      <c r="AO1320" s="2867"/>
      <c r="AP1320" s="2867"/>
      <c r="AQ1320" s="2867"/>
      <c r="AR1320" s="2867"/>
      <c r="AS1320" s="2867"/>
      <c r="AT1320" s="2867"/>
      <c r="AU1320" s="2867"/>
      <c r="AV1320" s="2867"/>
      <c r="AW1320" s="2867"/>
      <c r="AX1320" s="2867"/>
      <c r="AY1320" s="2867"/>
      <c r="AZ1320" s="2867"/>
      <c r="BA1320" s="2867"/>
      <c r="BB1320" s="2867"/>
      <c r="BC1320" s="2867"/>
      <c r="BD1320" s="2867"/>
      <c r="BE1320" s="2867"/>
      <c r="BF1320" s="2867"/>
      <c r="BG1320" s="2867"/>
      <c r="BH1320" s="2867"/>
      <c r="BI1320" s="2867"/>
      <c r="BJ1320" s="2867"/>
      <c r="BK1320" s="2867"/>
      <c r="BL1320" s="2867"/>
      <c r="BM1320" s="2867"/>
      <c r="BN1320" s="2867"/>
      <c r="BO1320" s="2867"/>
      <c r="BP1320" s="2867"/>
      <c r="BQ1320" s="2867"/>
      <c r="BR1320" s="2867"/>
      <c r="BS1320" s="2867"/>
      <c r="BT1320" s="2867"/>
      <c r="BU1320" s="2867"/>
      <c r="BV1320" s="2867"/>
      <c r="BW1320" s="2867"/>
      <c r="BX1320" s="2867"/>
      <c r="BY1320" s="2867"/>
      <c r="BZ1320" s="2867"/>
      <c r="CA1320" s="2867"/>
      <c r="CB1320" s="2867"/>
      <c r="CC1320" s="2867"/>
      <c r="CD1320" s="2867"/>
      <c r="CE1320" s="2867"/>
      <c r="CF1320" s="2867"/>
      <c r="CG1320" s="2867"/>
      <c r="CH1320" s="2867"/>
      <c r="CI1320" s="2867"/>
      <c r="CJ1320" s="2867"/>
      <c r="CK1320" s="2867"/>
      <c r="CL1320" s="2867"/>
      <c r="CM1320" s="2867"/>
      <c r="CN1320" s="2867"/>
      <c r="CO1320" s="2867"/>
      <c r="CP1320" s="2867"/>
      <c r="CQ1320" s="2867"/>
      <c r="CR1320" s="2867"/>
      <c r="CS1320" s="2867"/>
      <c r="CT1320" s="2867"/>
      <c r="CU1320" s="2867"/>
      <c r="CV1320" s="2867"/>
      <c r="CW1320" s="2867"/>
    </row>
    <row r="1321" spans="1:101">
      <c r="A1321" s="2867"/>
      <c r="B1321" s="2867"/>
      <c r="C1321" s="2867"/>
      <c r="D1321" s="2867"/>
      <c r="E1321" s="2867"/>
      <c r="F1321" s="2867"/>
      <c r="G1321" s="2867"/>
      <c r="H1321" s="2867"/>
      <c r="I1321" s="2867"/>
      <c r="J1321" s="2867"/>
      <c r="K1321" s="2867"/>
      <c r="L1321" s="2867"/>
      <c r="M1321" s="2867"/>
      <c r="O1321" s="2867"/>
      <c r="P1321" s="2867"/>
      <c r="Q1321" s="2867"/>
      <c r="R1321" s="2867"/>
      <c r="S1321" s="2867"/>
      <c r="T1321" s="2867"/>
      <c r="U1321" s="2867"/>
      <c r="V1321" s="2867"/>
      <c r="W1321" s="2867"/>
      <c r="X1321" s="2867"/>
      <c r="Y1321" s="2867"/>
      <c r="Z1321" s="2867"/>
      <c r="AA1321" s="2867"/>
      <c r="AB1321" s="2867"/>
      <c r="AC1321" s="2867"/>
      <c r="AD1321" s="2867"/>
      <c r="AE1321" s="2867"/>
      <c r="AF1321" s="2867"/>
      <c r="AG1321" s="2867"/>
      <c r="AH1321" s="2867"/>
      <c r="AI1321" s="2867"/>
      <c r="AJ1321" s="2867"/>
      <c r="AK1321" s="2867"/>
      <c r="AL1321" s="2867"/>
      <c r="AM1321" s="2867"/>
      <c r="AN1321" s="2867"/>
      <c r="AO1321" s="2867"/>
      <c r="AP1321" s="2867"/>
      <c r="AQ1321" s="2867"/>
      <c r="AR1321" s="2867"/>
      <c r="AS1321" s="2867"/>
      <c r="AT1321" s="2867"/>
      <c r="AU1321" s="2867"/>
      <c r="AV1321" s="2867"/>
      <c r="AW1321" s="2867"/>
      <c r="AX1321" s="2867"/>
      <c r="AY1321" s="2867"/>
      <c r="AZ1321" s="2867"/>
      <c r="BA1321" s="2867"/>
      <c r="BB1321" s="2867"/>
      <c r="BC1321" s="2867"/>
      <c r="BD1321" s="2867"/>
      <c r="BE1321" s="2867"/>
      <c r="BF1321" s="2867"/>
      <c r="BG1321" s="2867"/>
      <c r="BH1321" s="2867"/>
      <c r="BI1321" s="2867"/>
      <c r="BJ1321" s="2867"/>
      <c r="BK1321" s="2867"/>
      <c r="BL1321" s="2867"/>
      <c r="BM1321" s="2867"/>
      <c r="BN1321" s="2867"/>
      <c r="BO1321" s="2867"/>
      <c r="BP1321" s="2867"/>
      <c r="BQ1321" s="2867"/>
      <c r="BR1321" s="2867"/>
      <c r="BS1321" s="2867"/>
      <c r="BT1321" s="2867"/>
      <c r="BU1321" s="2867"/>
      <c r="BV1321" s="2867"/>
      <c r="BW1321" s="2867"/>
      <c r="BX1321" s="2867"/>
      <c r="BY1321" s="2867"/>
      <c r="BZ1321" s="2867"/>
      <c r="CA1321" s="2867"/>
      <c r="CB1321" s="2867"/>
      <c r="CC1321" s="2867"/>
      <c r="CD1321" s="2867"/>
      <c r="CE1321" s="2867"/>
      <c r="CF1321" s="2867"/>
      <c r="CG1321" s="2867"/>
      <c r="CH1321" s="2867"/>
      <c r="CI1321" s="2867"/>
      <c r="CJ1321" s="2867"/>
      <c r="CK1321" s="2867"/>
      <c r="CL1321" s="2867"/>
      <c r="CM1321" s="2867"/>
      <c r="CN1321" s="2867"/>
      <c r="CO1321" s="2867"/>
      <c r="CP1321" s="2867"/>
      <c r="CQ1321" s="2867"/>
      <c r="CR1321" s="2867"/>
      <c r="CS1321" s="2867"/>
      <c r="CT1321" s="2867"/>
      <c r="CU1321" s="2867"/>
      <c r="CV1321" s="2867"/>
      <c r="CW1321" s="2867"/>
    </row>
    <row r="1322" spans="1:101">
      <c r="A1322" s="2867"/>
      <c r="B1322" s="2867"/>
      <c r="C1322" s="2867"/>
      <c r="D1322" s="2867"/>
      <c r="E1322" s="2867"/>
      <c r="F1322" s="2867"/>
      <c r="G1322" s="2867"/>
      <c r="H1322" s="2867"/>
      <c r="I1322" s="2867"/>
      <c r="J1322" s="2867"/>
      <c r="K1322" s="2867"/>
      <c r="L1322" s="2867"/>
      <c r="M1322" s="2867"/>
      <c r="O1322" s="2867"/>
      <c r="P1322" s="2867"/>
      <c r="Q1322" s="2867"/>
      <c r="R1322" s="2867"/>
      <c r="S1322" s="2867"/>
      <c r="T1322" s="2867"/>
      <c r="U1322" s="2867"/>
      <c r="V1322" s="2867"/>
      <c r="W1322" s="2867"/>
      <c r="X1322" s="2867"/>
      <c r="Y1322" s="2867"/>
      <c r="Z1322" s="2867"/>
      <c r="AA1322" s="2867"/>
      <c r="AB1322" s="2867"/>
      <c r="AC1322" s="2867"/>
      <c r="AD1322" s="2867"/>
      <c r="AE1322" s="2867"/>
      <c r="AF1322" s="2867"/>
      <c r="AG1322" s="2867"/>
      <c r="AH1322" s="2867"/>
      <c r="AI1322" s="2867"/>
      <c r="AJ1322" s="2867"/>
      <c r="AK1322" s="2867"/>
      <c r="AL1322" s="2867"/>
      <c r="AM1322" s="2867"/>
      <c r="AN1322" s="2867"/>
      <c r="AO1322" s="2867"/>
      <c r="AP1322" s="2867"/>
      <c r="AQ1322" s="2867"/>
      <c r="AR1322" s="2867"/>
      <c r="AS1322" s="2867"/>
      <c r="AT1322" s="2867"/>
      <c r="AU1322" s="2867"/>
      <c r="AV1322" s="2867"/>
      <c r="AW1322" s="2867"/>
      <c r="AX1322" s="2867"/>
      <c r="AY1322" s="2867"/>
      <c r="AZ1322" s="2867"/>
      <c r="BA1322" s="2867"/>
      <c r="BB1322" s="2867"/>
      <c r="BC1322" s="2867"/>
      <c r="BD1322" s="2867"/>
      <c r="BE1322" s="2867"/>
      <c r="BF1322" s="2867"/>
      <c r="BG1322" s="2867"/>
      <c r="BH1322" s="2867"/>
      <c r="BI1322" s="2867"/>
      <c r="BJ1322" s="2867"/>
      <c r="BK1322" s="2867"/>
      <c r="BL1322" s="2867"/>
      <c r="BM1322" s="2867"/>
      <c r="BN1322" s="2867"/>
      <c r="BO1322" s="2867"/>
      <c r="BP1322" s="2867"/>
      <c r="BQ1322" s="2867"/>
      <c r="BR1322" s="2867"/>
      <c r="BS1322" s="2867"/>
      <c r="BT1322" s="2867"/>
      <c r="BU1322" s="2867"/>
      <c r="BV1322" s="2867"/>
      <c r="BW1322" s="2867"/>
      <c r="BX1322" s="2867"/>
      <c r="BY1322" s="2867"/>
      <c r="BZ1322" s="2867"/>
      <c r="CA1322" s="2867"/>
      <c r="CB1322" s="2867"/>
      <c r="CC1322" s="2867"/>
      <c r="CD1322" s="2867"/>
      <c r="CE1322" s="2867"/>
      <c r="CF1322" s="2867"/>
      <c r="CG1322" s="2867"/>
      <c r="CH1322" s="2867"/>
      <c r="CI1322" s="2867"/>
      <c r="CJ1322" s="2867"/>
      <c r="CK1322" s="2867"/>
      <c r="CL1322" s="2867"/>
      <c r="CM1322" s="2867"/>
      <c r="CN1322" s="2867"/>
      <c r="CO1322" s="2867"/>
      <c r="CP1322" s="2867"/>
      <c r="CQ1322" s="2867"/>
      <c r="CR1322" s="2867"/>
      <c r="CS1322" s="2867"/>
      <c r="CT1322" s="2867"/>
      <c r="CU1322" s="2867"/>
      <c r="CV1322" s="2867"/>
      <c r="CW1322" s="2867"/>
    </row>
    <row r="1323" spans="1:101">
      <c r="A1323" s="2867"/>
      <c r="B1323" s="2867"/>
      <c r="C1323" s="2867"/>
      <c r="D1323" s="2867"/>
      <c r="E1323" s="2867"/>
      <c r="F1323" s="2867"/>
      <c r="G1323" s="2867"/>
      <c r="H1323" s="2867"/>
      <c r="I1323" s="2867"/>
      <c r="J1323" s="2867"/>
      <c r="K1323" s="2867"/>
      <c r="L1323" s="2867"/>
      <c r="M1323" s="2867"/>
      <c r="O1323" s="2867"/>
      <c r="P1323" s="2867"/>
      <c r="Q1323" s="2867"/>
      <c r="R1323" s="2867"/>
      <c r="S1323" s="2867"/>
      <c r="T1323" s="2867"/>
      <c r="U1323" s="2867"/>
      <c r="V1323" s="2867"/>
      <c r="W1323" s="2867"/>
      <c r="X1323" s="2867"/>
      <c r="Y1323" s="2867"/>
      <c r="Z1323" s="2867"/>
      <c r="AA1323" s="2867"/>
      <c r="AB1323" s="2867"/>
      <c r="AC1323" s="2867"/>
      <c r="AD1323" s="2867"/>
      <c r="AE1323" s="2867"/>
      <c r="AF1323" s="2867"/>
      <c r="AG1323" s="2867"/>
      <c r="AH1323" s="2867"/>
      <c r="AI1323" s="2867"/>
      <c r="AJ1323" s="2867"/>
      <c r="AK1323" s="2867"/>
      <c r="AL1323" s="2867"/>
      <c r="AM1323" s="2867"/>
      <c r="AN1323" s="2867"/>
      <c r="AO1323" s="2867"/>
      <c r="AP1323" s="2867"/>
      <c r="AQ1323" s="2867"/>
      <c r="AR1323" s="2867"/>
      <c r="AS1323" s="2867"/>
      <c r="AT1323" s="2867"/>
      <c r="AU1323" s="2867"/>
      <c r="AV1323" s="2867"/>
      <c r="AW1323" s="2867"/>
      <c r="AX1323" s="2867"/>
      <c r="AY1323" s="2867"/>
      <c r="AZ1323" s="2867"/>
      <c r="BA1323" s="2867"/>
      <c r="BB1323" s="2867"/>
      <c r="BC1323" s="2867"/>
      <c r="BD1323" s="2867"/>
      <c r="BE1323" s="2867"/>
      <c r="BF1323" s="2867"/>
      <c r="BG1323" s="2867"/>
      <c r="BH1323" s="2867"/>
      <c r="BI1323" s="2867"/>
      <c r="BJ1323" s="2867"/>
      <c r="BK1323" s="2867"/>
      <c r="BL1323" s="2867"/>
      <c r="BM1323" s="2867"/>
      <c r="BN1323" s="2867"/>
      <c r="BO1323" s="2867"/>
      <c r="BP1323" s="2867"/>
      <c r="BQ1323" s="2867"/>
      <c r="BR1323" s="2867"/>
      <c r="BS1323" s="2867"/>
      <c r="BT1323" s="2867"/>
      <c r="BU1323" s="2867"/>
      <c r="BV1323" s="2867"/>
      <c r="BW1323" s="2867"/>
      <c r="BX1323" s="2867"/>
      <c r="BY1323" s="2867"/>
      <c r="BZ1323" s="2867"/>
      <c r="CA1323" s="2867"/>
      <c r="CB1323" s="2867"/>
      <c r="CC1323" s="2867"/>
      <c r="CD1323" s="2867"/>
      <c r="CE1323" s="2867"/>
      <c r="CF1323" s="2867"/>
      <c r="CG1323" s="2867"/>
      <c r="CH1323" s="2867"/>
      <c r="CI1323" s="2867"/>
      <c r="CJ1323" s="2867"/>
      <c r="CK1323" s="2867"/>
      <c r="CL1323" s="2867"/>
      <c r="CM1323" s="2867"/>
      <c r="CN1323" s="2867"/>
      <c r="CO1323" s="2867"/>
      <c r="CP1323" s="2867"/>
      <c r="CQ1323" s="2867"/>
      <c r="CR1323" s="2867"/>
      <c r="CS1323" s="2867"/>
      <c r="CT1323" s="2867"/>
      <c r="CU1323" s="2867"/>
      <c r="CV1323" s="2867"/>
      <c r="CW1323" s="2867"/>
    </row>
    <row r="1324" spans="1:101">
      <c r="A1324" s="2867"/>
      <c r="B1324" s="2867"/>
      <c r="C1324" s="2867"/>
      <c r="D1324" s="2867"/>
      <c r="E1324" s="2867"/>
      <c r="F1324" s="2867"/>
      <c r="G1324" s="2867"/>
      <c r="H1324" s="2867"/>
      <c r="I1324" s="2867"/>
      <c r="J1324" s="2867"/>
      <c r="K1324" s="2867"/>
      <c r="L1324" s="2867"/>
      <c r="M1324" s="2867"/>
      <c r="O1324" s="2867"/>
      <c r="P1324" s="2867"/>
      <c r="Q1324" s="2867"/>
      <c r="R1324" s="2867"/>
      <c r="S1324" s="2867"/>
      <c r="T1324" s="2867"/>
      <c r="U1324" s="2867"/>
      <c r="V1324" s="2867"/>
      <c r="W1324" s="2867"/>
      <c r="X1324" s="2867"/>
      <c r="Y1324" s="2867"/>
      <c r="Z1324" s="2867"/>
      <c r="AA1324" s="2867"/>
      <c r="AB1324" s="2867"/>
      <c r="AC1324" s="2867"/>
      <c r="AD1324" s="2867"/>
      <c r="AE1324" s="2867"/>
      <c r="AF1324" s="2867"/>
      <c r="AG1324" s="2867"/>
      <c r="AH1324" s="2867"/>
      <c r="AI1324" s="2867"/>
      <c r="AJ1324" s="2867"/>
      <c r="AK1324" s="2867"/>
      <c r="AL1324" s="2867"/>
      <c r="AM1324" s="2867"/>
      <c r="AN1324" s="2867"/>
      <c r="AO1324" s="2867"/>
      <c r="AP1324" s="2867"/>
      <c r="AQ1324" s="2867"/>
      <c r="AR1324" s="2867"/>
      <c r="AS1324" s="2867"/>
      <c r="AT1324" s="2867"/>
      <c r="AU1324" s="2867"/>
      <c r="AV1324" s="2867"/>
      <c r="AW1324" s="2867"/>
      <c r="AX1324" s="2867"/>
      <c r="AY1324" s="2867"/>
      <c r="AZ1324" s="2867"/>
      <c r="BA1324" s="2867"/>
      <c r="BB1324" s="2867"/>
      <c r="BC1324" s="2867"/>
      <c r="BD1324" s="2867"/>
      <c r="BE1324" s="2867"/>
      <c r="BF1324" s="2867"/>
      <c r="BG1324" s="2867"/>
      <c r="BH1324" s="2867"/>
      <c r="BI1324" s="2867"/>
      <c r="BJ1324" s="2867"/>
      <c r="BK1324" s="2867"/>
      <c r="BL1324" s="2867"/>
      <c r="BM1324" s="2867"/>
      <c r="BN1324" s="2867"/>
      <c r="BO1324" s="2867"/>
      <c r="BP1324" s="2867"/>
      <c r="BQ1324" s="2867"/>
      <c r="BR1324" s="2867"/>
      <c r="BS1324" s="2867"/>
      <c r="BT1324" s="2867"/>
      <c r="BU1324" s="2867"/>
      <c r="BV1324" s="2867"/>
      <c r="BW1324" s="2867"/>
      <c r="BX1324" s="2867"/>
      <c r="BY1324" s="2867"/>
      <c r="BZ1324" s="2867"/>
      <c r="CA1324" s="2867"/>
      <c r="CB1324" s="2867"/>
      <c r="CC1324" s="2867"/>
      <c r="CD1324" s="2867"/>
      <c r="CE1324" s="2867"/>
      <c r="CF1324" s="2867"/>
      <c r="CG1324" s="2867"/>
      <c r="CH1324" s="2867"/>
      <c r="CI1324" s="2867"/>
      <c r="CJ1324" s="2867"/>
      <c r="CK1324" s="2867"/>
      <c r="CL1324" s="2867"/>
      <c r="CM1324" s="2867"/>
      <c r="CN1324" s="2867"/>
      <c r="CO1324" s="2867"/>
      <c r="CP1324" s="2867"/>
      <c r="CQ1324" s="2867"/>
      <c r="CR1324" s="2867"/>
      <c r="CS1324" s="2867"/>
      <c r="CT1324" s="2867"/>
      <c r="CU1324" s="2867"/>
      <c r="CV1324" s="2867"/>
      <c r="CW1324" s="2867"/>
    </row>
    <row r="1325" spans="1:101">
      <c r="A1325" s="2867"/>
      <c r="B1325" s="2867"/>
      <c r="C1325" s="2867"/>
      <c r="D1325" s="2867"/>
      <c r="E1325" s="2867"/>
      <c r="F1325" s="2867"/>
      <c r="G1325" s="2867"/>
      <c r="H1325" s="2867"/>
      <c r="I1325" s="2867"/>
      <c r="J1325" s="2867"/>
      <c r="K1325" s="2867"/>
      <c r="L1325" s="2867"/>
      <c r="M1325" s="2867"/>
      <c r="O1325" s="2867"/>
      <c r="P1325" s="2867"/>
      <c r="Q1325" s="2867"/>
      <c r="R1325" s="2867"/>
      <c r="S1325" s="2867"/>
      <c r="T1325" s="2867"/>
      <c r="U1325" s="2867"/>
      <c r="V1325" s="2867"/>
      <c r="W1325" s="2867"/>
      <c r="X1325" s="2867"/>
      <c r="Y1325" s="2867"/>
      <c r="Z1325" s="2867"/>
      <c r="AA1325" s="2867"/>
      <c r="AB1325" s="2867"/>
      <c r="AC1325" s="2867"/>
      <c r="AD1325" s="2867"/>
      <c r="AE1325" s="2867"/>
      <c r="AF1325" s="2867"/>
      <c r="AG1325" s="2867"/>
      <c r="AH1325" s="2867"/>
      <c r="AI1325" s="2867"/>
      <c r="AJ1325" s="2867"/>
      <c r="AK1325" s="2867"/>
      <c r="AL1325" s="2867"/>
      <c r="AM1325" s="2867"/>
      <c r="AN1325" s="2867"/>
      <c r="AO1325" s="2867"/>
      <c r="AP1325" s="2867"/>
      <c r="AQ1325" s="2867"/>
      <c r="AR1325" s="2867"/>
      <c r="AS1325" s="2867"/>
      <c r="AT1325" s="2867"/>
      <c r="AU1325" s="2867"/>
      <c r="AV1325" s="2867"/>
      <c r="AW1325" s="2867"/>
      <c r="AX1325" s="2867"/>
      <c r="AY1325" s="2867"/>
      <c r="AZ1325" s="2867"/>
      <c r="BA1325" s="2867"/>
      <c r="BB1325" s="2867"/>
      <c r="BC1325" s="2867"/>
      <c r="BD1325" s="2867"/>
      <c r="BE1325" s="2867"/>
      <c r="BF1325" s="2867"/>
      <c r="BG1325" s="2867"/>
      <c r="BH1325" s="2867"/>
      <c r="BI1325" s="2867"/>
      <c r="BJ1325" s="2867"/>
      <c r="BK1325" s="2867"/>
      <c r="BL1325" s="2867"/>
      <c r="BM1325" s="2867"/>
      <c r="BN1325" s="2867"/>
      <c r="BO1325" s="2867"/>
      <c r="BP1325" s="2867"/>
      <c r="BQ1325" s="2867"/>
      <c r="BR1325" s="2867"/>
      <c r="BS1325" s="2867"/>
      <c r="BT1325" s="2867"/>
      <c r="BU1325" s="2867"/>
      <c r="BV1325" s="2867"/>
      <c r="BW1325" s="2867"/>
      <c r="BX1325" s="2867"/>
      <c r="BY1325" s="2867"/>
      <c r="BZ1325" s="2867"/>
      <c r="CA1325" s="2867"/>
      <c r="CB1325" s="2867"/>
      <c r="CC1325" s="2867"/>
      <c r="CD1325" s="2867"/>
      <c r="CE1325" s="2867"/>
      <c r="CF1325" s="2867"/>
      <c r="CG1325" s="2867"/>
      <c r="CH1325" s="2867"/>
      <c r="CI1325" s="2867"/>
      <c r="CJ1325" s="2867"/>
      <c r="CK1325" s="2867"/>
      <c r="CL1325" s="2867"/>
      <c r="CM1325" s="2867"/>
      <c r="CN1325" s="2867"/>
      <c r="CO1325" s="2867"/>
      <c r="CP1325" s="2867"/>
      <c r="CQ1325" s="2867"/>
      <c r="CR1325" s="2867"/>
      <c r="CS1325" s="2867"/>
      <c r="CT1325" s="2867"/>
      <c r="CU1325" s="2867"/>
      <c r="CV1325" s="2867"/>
      <c r="CW1325" s="2867"/>
    </row>
    <row r="1326" spans="1:101">
      <c r="A1326" s="2867"/>
      <c r="B1326" s="2867"/>
      <c r="C1326" s="2867"/>
      <c r="D1326" s="2867"/>
      <c r="E1326" s="2867"/>
      <c r="F1326" s="2867"/>
      <c r="G1326" s="2867"/>
      <c r="H1326" s="2867"/>
      <c r="I1326" s="2867"/>
      <c r="J1326" s="2867"/>
      <c r="K1326" s="2867"/>
      <c r="L1326" s="2867"/>
      <c r="M1326" s="2867"/>
      <c r="O1326" s="2867"/>
      <c r="P1326" s="2867"/>
      <c r="Q1326" s="2867"/>
      <c r="R1326" s="2867"/>
      <c r="S1326" s="2867"/>
      <c r="T1326" s="2867"/>
      <c r="U1326" s="2867"/>
      <c r="V1326" s="2867"/>
      <c r="W1326" s="2867"/>
      <c r="X1326" s="2867"/>
      <c r="Y1326" s="2867"/>
      <c r="Z1326" s="2867"/>
      <c r="AA1326" s="2867"/>
      <c r="AB1326" s="2867"/>
      <c r="AC1326" s="2867"/>
      <c r="AD1326" s="2867"/>
      <c r="AE1326" s="2867"/>
      <c r="AF1326" s="2867"/>
      <c r="AG1326" s="2867"/>
      <c r="AH1326" s="2867"/>
      <c r="AI1326" s="2867"/>
      <c r="AJ1326" s="2867"/>
      <c r="AK1326" s="2867"/>
      <c r="AL1326" s="2867"/>
      <c r="AM1326" s="2867"/>
      <c r="AN1326" s="2867"/>
      <c r="AO1326" s="2867"/>
      <c r="AP1326" s="2867"/>
      <c r="AQ1326" s="2867"/>
      <c r="AR1326" s="2867"/>
      <c r="AS1326" s="2867"/>
      <c r="AT1326" s="2867"/>
      <c r="AU1326" s="2867"/>
      <c r="AV1326" s="2867"/>
      <c r="AW1326" s="2867"/>
      <c r="AX1326" s="2867"/>
      <c r="AY1326" s="2867"/>
      <c r="AZ1326" s="2867"/>
      <c r="BA1326" s="2867"/>
      <c r="BB1326" s="2867"/>
      <c r="BC1326" s="2867"/>
      <c r="BD1326" s="2867"/>
      <c r="BE1326" s="2867"/>
      <c r="BF1326" s="2867"/>
      <c r="BG1326" s="2867"/>
      <c r="BH1326" s="2867"/>
      <c r="BI1326" s="2867"/>
      <c r="BJ1326" s="2867"/>
      <c r="BK1326" s="2867"/>
      <c r="BL1326" s="2867"/>
      <c r="BM1326" s="2867"/>
      <c r="BN1326" s="2867"/>
      <c r="BO1326" s="2867"/>
      <c r="BP1326" s="2867"/>
      <c r="BQ1326" s="2867"/>
      <c r="BR1326" s="2867"/>
      <c r="BS1326" s="2867"/>
      <c r="BT1326" s="2867"/>
      <c r="BU1326" s="2867"/>
      <c r="BV1326" s="2867"/>
      <c r="BW1326" s="2867"/>
      <c r="BX1326" s="2867"/>
      <c r="BY1326" s="2867"/>
      <c r="BZ1326" s="2867"/>
      <c r="CA1326" s="2867"/>
      <c r="CB1326" s="2867"/>
      <c r="CC1326" s="2867"/>
      <c r="CD1326" s="2867"/>
      <c r="CE1326" s="2867"/>
      <c r="CF1326" s="2867"/>
      <c r="CG1326" s="2867"/>
      <c r="CH1326" s="2867"/>
      <c r="CI1326" s="2867"/>
      <c r="CJ1326" s="2867"/>
      <c r="CK1326" s="2867"/>
      <c r="CL1326" s="2867"/>
      <c r="CM1326" s="2867"/>
      <c r="CN1326" s="2867"/>
      <c r="CO1326" s="2867"/>
      <c r="CP1326" s="2867"/>
      <c r="CQ1326" s="2867"/>
      <c r="CR1326" s="2867"/>
      <c r="CS1326" s="2867"/>
      <c r="CT1326" s="2867"/>
      <c r="CU1326" s="2867"/>
      <c r="CV1326" s="2867"/>
      <c r="CW1326" s="2867"/>
    </row>
    <row r="1327" spans="1:101">
      <c r="A1327" s="2867"/>
      <c r="B1327" s="2867"/>
      <c r="C1327" s="2867"/>
      <c r="D1327" s="2867"/>
      <c r="E1327" s="2867"/>
      <c r="F1327" s="2867"/>
      <c r="G1327" s="2867"/>
      <c r="H1327" s="2867"/>
      <c r="I1327" s="2867"/>
      <c r="J1327" s="2867"/>
      <c r="K1327" s="2867"/>
      <c r="L1327" s="2867"/>
      <c r="M1327" s="2867"/>
      <c r="O1327" s="2867"/>
      <c r="P1327" s="2867"/>
      <c r="Q1327" s="2867"/>
      <c r="R1327" s="2867"/>
      <c r="S1327" s="2867"/>
      <c r="T1327" s="2867"/>
      <c r="U1327" s="2867"/>
      <c r="V1327" s="2867"/>
      <c r="W1327" s="2867"/>
      <c r="X1327" s="2867"/>
      <c r="Y1327" s="2867"/>
      <c r="Z1327" s="2867"/>
      <c r="AA1327" s="2867"/>
      <c r="AB1327" s="2867"/>
      <c r="AC1327" s="2867"/>
      <c r="AD1327" s="2867"/>
      <c r="AE1327" s="2867"/>
      <c r="AF1327" s="2867"/>
      <c r="AG1327" s="2867"/>
      <c r="AH1327" s="2867"/>
      <c r="AI1327" s="2867"/>
      <c r="AJ1327" s="2867"/>
      <c r="AK1327" s="2867"/>
      <c r="AL1327" s="2867"/>
      <c r="AM1327" s="2867"/>
      <c r="AN1327" s="2867"/>
      <c r="AO1327" s="2867"/>
      <c r="AP1327" s="2867"/>
      <c r="AQ1327" s="2867"/>
      <c r="AR1327" s="2867"/>
      <c r="AS1327" s="2867"/>
      <c r="AT1327" s="2867"/>
      <c r="AU1327" s="2867"/>
      <c r="AV1327" s="2867"/>
      <c r="AW1327" s="2867"/>
      <c r="AX1327" s="2867"/>
      <c r="AY1327" s="2867"/>
      <c r="AZ1327" s="2867"/>
      <c r="BA1327" s="2867"/>
      <c r="BB1327" s="2867"/>
      <c r="BC1327" s="2867"/>
      <c r="BD1327" s="2867"/>
      <c r="BE1327" s="2867"/>
      <c r="BF1327" s="2867"/>
      <c r="BG1327" s="2867"/>
      <c r="BH1327" s="2867"/>
      <c r="BI1327" s="2867"/>
      <c r="BJ1327" s="2867"/>
      <c r="BK1327" s="2867"/>
      <c r="BL1327" s="2867"/>
      <c r="BM1327" s="2867"/>
      <c r="BN1327" s="2867"/>
      <c r="BO1327" s="2867"/>
      <c r="BP1327" s="2867"/>
      <c r="BQ1327" s="2867"/>
      <c r="BR1327" s="2867"/>
      <c r="BS1327" s="2867"/>
      <c r="BT1327" s="2867"/>
      <c r="BU1327" s="2867"/>
      <c r="BV1327" s="2867"/>
      <c r="BW1327" s="2867"/>
      <c r="BX1327" s="2867"/>
      <c r="BY1327" s="2867"/>
      <c r="BZ1327" s="2867"/>
      <c r="CA1327" s="2867"/>
      <c r="CB1327" s="2867"/>
      <c r="CC1327" s="2867"/>
      <c r="CD1327" s="2867"/>
      <c r="CE1327" s="2867"/>
      <c r="CF1327" s="2867"/>
      <c r="CG1327" s="2867"/>
      <c r="CH1327" s="2867"/>
      <c r="CI1327" s="2867"/>
      <c r="CJ1327" s="2867"/>
      <c r="CK1327" s="2867"/>
      <c r="CL1327" s="2867"/>
      <c r="CM1327" s="2867"/>
      <c r="CN1327" s="2867"/>
      <c r="CO1327" s="2867"/>
      <c r="CP1327" s="2867"/>
      <c r="CQ1327" s="2867"/>
      <c r="CR1327" s="2867"/>
      <c r="CS1327" s="2867"/>
      <c r="CT1327" s="2867"/>
      <c r="CU1327" s="2867"/>
      <c r="CV1327" s="2867"/>
      <c r="CW1327" s="2867"/>
    </row>
    <row r="1328" spans="1:101">
      <c r="A1328" s="2867"/>
      <c r="B1328" s="2867"/>
      <c r="C1328" s="2867"/>
      <c r="D1328" s="2867"/>
      <c r="E1328" s="2867"/>
      <c r="F1328" s="2867"/>
      <c r="G1328" s="2867"/>
      <c r="H1328" s="2867"/>
      <c r="I1328" s="2867"/>
      <c r="J1328" s="2867"/>
      <c r="K1328" s="2867"/>
      <c r="L1328" s="2867"/>
      <c r="M1328" s="2867"/>
      <c r="O1328" s="2867"/>
      <c r="P1328" s="2867"/>
      <c r="Q1328" s="2867"/>
      <c r="R1328" s="2867"/>
      <c r="S1328" s="2867"/>
      <c r="T1328" s="2867"/>
      <c r="U1328" s="2867"/>
      <c r="V1328" s="2867"/>
      <c r="W1328" s="2867"/>
      <c r="X1328" s="2867"/>
      <c r="Y1328" s="2867"/>
      <c r="Z1328" s="2867"/>
      <c r="AA1328" s="2867"/>
      <c r="AB1328" s="2867"/>
      <c r="AC1328" s="2867"/>
      <c r="AD1328" s="2867"/>
      <c r="AE1328" s="2867"/>
      <c r="AF1328" s="2867"/>
      <c r="AG1328" s="2867"/>
      <c r="AH1328" s="2867"/>
      <c r="AI1328" s="2867"/>
      <c r="AJ1328" s="2867"/>
      <c r="AK1328" s="2867"/>
      <c r="AL1328" s="2867"/>
      <c r="AM1328" s="2867"/>
      <c r="AN1328" s="2867"/>
      <c r="AO1328" s="2867"/>
      <c r="AP1328" s="2867"/>
      <c r="AQ1328" s="2867"/>
      <c r="AR1328" s="2867"/>
      <c r="AS1328" s="2867"/>
      <c r="AT1328" s="2867"/>
      <c r="AU1328" s="2867"/>
      <c r="AV1328" s="2867"/>
      <c r="AW1328" s="2867"/>
      <c r="AX1328" s="2867"/>
      <c r="AY1328" s="2867"/>
      <c r="AZ1328" s="2867"/>
      <c r="BA1328" s="2867"/>
      <c r="BB1328" s="2867"/>
      <c r="BC1328" s="2867"/>
      <c r="BD1328" s="2867"/>
      <c r="BE1328" s="2867"/>
      <c r="BF1328" s="2867"/>
      <c r="BG1328" s="2867"/>
      <c r="BH1328" s="2867"/>
      <c r="BI1328" s="2867"/>
      <c r="BJ1328" s="2867"/>
      <c r="BK1328" s="2867"/>
      <c r="BL1328" s="2867"/>
      <c r="BM1328" s="2867"/>
      <c r="BN1328" s="2867"/>
      <c r="BO1328" s="2867"/>
      <c r="BP1328" s="2867"/>
      <c r="BQ1328" s="2867"/>
      <c r="BR1328" s="2867"/>
      <c r="BS1328" s="2867"/>
      <c r="BT1328" s="2867"/>
      <c r="BU1328" s="2867"/>
      <c r="BV1328" s="2867"/>
      <c r="BW1328" s="2867"/>
      <c r="BX1328" s="2867"/>
      <c r="BY1328" s="2867"/>
      <c r="BZ1328" s="2867"/>
      <c r="CA1328" s="2867"/>
      <c r="CB1328" s="2867"/>
      <c r="CC1328" s="2867"/>
      <c r="CD1328" s="2867"/>
      <c r="CE1328" s="2867"/>
      <c r="CF1328" s="2867"/>
      <c r="CG1328" s="2867"/>
      <c r="CH1328" s="2867"/>
      <c r="CI1328" s="2867"/>
      <c r="CJ1328" s="2867"/>
      <c r="CK1328" s="2867"/>
      <c r="CL1328" s="2867"/>
      <c r="CM1328" s="2867"/>
      <c r="CN1328" s="2867"/>
      <c r="CO1328" s="2867"/>
      <c r="CP1328" s="2867"/>
      <c r="CQ1328" s="2867"/>
      <c r="CR1328" s="2867"/>
      <c r="CS1328" s="2867"/>
      <c r="CT1328" s="2867"/>
      <c r="CU1328" s="2867"/>
      <c r="CV1328" s="2867"/>
      <c r="CW1328" s="2867"/>
    </row>
    <row r="1329" spans="1:101">
      <c r="A1329" s="2867"/>
      <c r="B1329" s="2867"/>
      <c r="C1329" s="2867"/>
      <c r="D1329" s="2867"/>
      <c r="E1329" s="2867"/>
      <c r="F1329" s="2867"/>
      <c r="G1329" s="2867"/>
      <c r="H1329" s="2867"/>
      <c r="I1329" s="2867"/>
      <c r="J1329" s="2867"/>
      <c r="K1329" s="2867"/>
      <c r="L1329" s="2867"/>
      <c r="M1329" s="2867"/>
      <c r="O1329" s="2867"/>
      <c r="P1329" s="2867"/>
      <c r="Q1329" s="2867"/>
      <c r="R1329" s="2867"/>
      <c r="S1329" s="2867"/>
      <c r="T1329" s="2867"/>
      <c r="U1329" s="2867"/>
      <c r="V1329" s="2867"/>
      <c r="W1329" s="2867"/>
      <c r="X1329" s="2867"/>
      <c r="Y1329" s="2867"/>
      <c r="Z1329" s="2867"/>
      <c r="AA1329" s="2867"/>
      <c r="AB1329" s="2867"/>
      <c r="AC1329" s="2867"/>
      <c r="AD1329" s="2867"/>
      <c r="AE1329" s="2867"/>
      <c r="AF1329" s="2867"/>
      <c r="AG1329" s="2867"/>
      <c r="AH1329" s="2867"/>
      <c r="AI1329" s="2867"/>
      <c r="AJ1329" s="2867"/>
      <c r="AK1329" s="2867"/>
      <c r="AL1329" s="2867"/>
      <c r="AM1329" s="2867"/>
      <c r="AN1329" s="2867"/>
      <c r="AO1329" s="2867"/>
      <c r="AP1329" s="2867"/>
      <c r="AQ1329" s="2867"/>
      <c r="AR1329" s="2867"/>
      <c r="AS1329" s="2867"/>
      <c r="AT1329" s="2867"/>
      <c r="AU1329" s="2867"/>
      <c r="AV1329" s="2867"/>
      <c r="AW1329" s="2867"/>
      <c r="AX1329" s="2867"/>
      <c r="AY1329" s="2867"/>
      <c r="AZ1329" s="2867"/>
      <c r="BA1329" s="2867"/>
      <c r="BB1329" s="2867"/>
      <c r="BC1329" s="2867"/>
      <c r="BD1329" s="2867"/>
      <c r="BE1329" s="2867"/>
      <c r="BF1329" s="2867"/>
      <c r="BG1329" s="2867"/>
      <c r="BH1329" s="2867"/>
      <c r="BI1329" s="2867"/>
      <c r="BJ1329" s="2867"/>
      <c r="BK1329" s="2867"/>
      <c r="BL1329" s="2867"/>
      <c r="BM1329" s="2867"/>
      <c r="BN1329" s="2867"/>
      <c r="BO1329" s="2867"/>
      <c r="BP1329" s="2867"/>
      <c r="BQ1329" s="2867"/>
      <c r="BR1329" s="2867"/>
      <c r="BS1329" s="2867"/>
      <c r="BT1329" s="2867"/>
      <c r="BU1329" s="2867"/>
      <c r="BV1329" s="2867"/>
      <c r="BW1329" s="2867"/>
      <c r="BX1329" s="2867"/>
      <c r="BY1329" s="2867"/>
      <c r="BZ1329" s="2867"/>
      <c r="CA1329" s="2867"/>
      <c r="CB1329" s="2867"/>
      <c r="CC1329" s="2867"/>
      <c r="CD1329" s="2867"/>
      <c r="CE1329" s="2867"/>
      <c r="CF1329" s="2867"/>
      <c r="CG1329" s="2867"/>
      <c r="CH1329" s="2867"/>
      <c r="CI1329" s="2867"/>
      <c r="CJ1329" s="2867"/>
      <c r="CK1329" s="2867"/>
      <c r="CL1329" s="2867"/>
      <c r="CM1329" s="2867"/>
      <c r="CN1329" s="2867"/>
      <c r="CO1329" s="2867"/>
      <c r="CP1329" s="2867"/>
      <c r="CQ1329" s="2867"/>
      <c r="CR1329" s="2867"/>
      <c r="CS1329" s="2867"/>
      <c r="CT1329" s="2867"/>
      <c r="CU1329" s="2867"/>
      <c r="CV1329" s="2867"/>
      <c r="CW1329" s="2867"/>
    </row>
    <row r="1330" spans="1:101">
      <c r="A1330" s="2867"/>
      <c r="B1330" s="2867"/>
      <c r="C1330" s="2867"/>
      <c r="D1330" s="2867"/>
      <c r="E1330" s="2867"/>
      <c r="F1330" s="2867"/>
      <c r="G1330" s="2867"/>
      <c r="H1330" s="2867"/>
      <c r="I1330" s="2867"/>
      <c r="J1330" s="2867"/>
      <c r="K1330" s="2867"/>
      <c r="L1330" s="2867"/>
      <c r="M1330" s="2867"/>
      <c r="O1330" s="2867"/>
      <c r="P1330" s="2867"/>
      <c r="Q1330" s="2867"/>
      <c r="R1330" s="2867"/>
      <c r="S1330" s="2867"/>
      <c r="T1330" s="2867"/>
      <c r="U1330" s="2867"/>
      <c r="V1330" s="2867"/>
      <c r="W1330" s="2867"/>
      <c r="X1330" s="2867"/>
      <c r="Y1330" s="2867"/>
      <c r="Z1330" s="2867"/>
      <c r="AA1330" s="2867"/>
      <c r="AB1330" s="2867"/>
      <c r="AC1330" s="2867"/>
      <c r="AD1330" s="2867"/>
      <c r="AE1330" s="2867"/>
      <c r="AF1330" s="2867"/>
      <c r="AG1330" s="2867"/>
      <c r="AH1330" s="2867"/>
      <c r="AI1330" s="2867"/>
      <c r="AJ1330" s="2867"/>
      <c r="AK1330" s="2867"/>
      <c r="AL1330" s="2867"/>
      <c r="AM1330" s="2867"/>
      <c r="AN1330" s="2867"/>
      <c r="AO1330" s="2867"/>
      <c r="AP1330" s="2867"/>
      <c r="AQ1330" s="2867"/>
      <c r="AR1330" s="2867"/>
      <c r="AS1330" s="2867"/>
      <c r="AT1330" s="2867"/>
      <c r="AU1330" s="2867"/>
      <c r="AV1330" s="2867"/>
      <c r="AW1330" s="2867"/>
      <c r="AX1330" s="2867"/>
      <c r="AY1330" s="2867"/>
      <c r="AZ1330" s="2867"/>
      <c r="BA1330" s="2867"/>
      <c r="BB1330" s="2867"/>
      <c r="BC1330" s="2867"/>
      <c r="BD1330" s="2867"/>
      <c r="BE1330" s="2867"/>
      <c r="BF1330" s="2867"/>
      <c r="BG1330" s="2867"/>
      <c r="BH1330" s="2867"/>
      <c r="BI1330" s="2867"/>
      <c r="BJ1330" s="2867"/>
      <c r="BK1330" s="2867"/>
      <c r="BL1330" s="2867"/>
      <c r="BM1330" s="2867"/>
      <c r="BN1330" s="2867"/>
      <c r="BO1330" s="2867"/>
      <c r="BP1330" s="2867"/>
      <c r="BQ1330" s="2867"/>
      <c r="BR1330" s="2867"/>
      <c r="BS1330" s="2867"/>
      <c r="BT1330" s="2867"/>
      <c r="BU1330" s="2867"/>
      <c r="BV1330" s="2867"/>
      <c r="BW1330" s="2867"/>
      <c r="BX1330" s="2867"/>
      <c r="BY1330" s="2867"/>
      <c r="BZ1330" s="2867"/>
      <c r="CA1330" s="2867"/>
      <c r="CB1330" s="2867"/>
      <c r="CC1330" s="2867"/>
      <c r="CD1330" s="2867"/>
      <c r="CE1330" s="2867"/>
      <c r="CF1330" s="2867"/>
      <c r="CG1330" s="2867"/>
      <c r="CH1330" s="2867"/>
      <c r="CI1330" s="2867"/>
      <c r="CJ1330" s="2867"/>
      <c r="CK1330" s="2867"/>
      <c r="CL1330" s="2867"/>
      <c r="CM1330" s="2867"/>
      <c r="CN1330" s="2867"/>
      <c r="CO1330" s="2867"/>
      <c r="CP1330" s="2867"/>
      <c r="CQ1330" s="2867"/>
      <c r="CR1330" s="2867"/>
      <c r="CS1330" s="2867"/>
      <c r="CT1330" s="2867"/>
      <c r="CU1330" s="2867"/>
      <c r="CV1330" s="2867"/>
      <c r="CW1330" s="2867"/>
    </row>
    <row r="1331" spans="1:101">
      <c r="A1331" s="2867"/>
      <c r="B1331" s="2867"/>
      <c r="C1331" s="2867"/>
      <c r="D1331" s="2867"/>
      <c r="E1331" s="2867"/>
      <c r="F1331" s="2867"/>
      <c r="G1331" s="2867"/>
      <c r="H1331" s="2867"/>
      <c r="I1331" s="2867"/>
      <c r="J1331" s="2867"/>
      <c r="K1331" s="2867"/>
      <c r="L1331" s="2867"/>
      <c r="M1331" s="2867"/>
      <c r="O1331" s="2867"/>
      <c r="P1331" s="2867"/>
      <c r="Q1331" s="2867"/>
      <c r="R1331" s="2867"/>
      <c r="S1331" s="2867"/>
      <c r="T1331" s="2867"/>
      <c r="U1331" s="2867"/>
      <c r="V1331" s="2867"/>
      <c r="W1331" s="2867"/>
      <c r="X1331" s="2867"/>
      <c r="Y1331" s="2867"/>
      <c r="Z1331" s="2867"/>
      <c r="AA1331" s="2867"/>
      <c r="AB1331" s="2867"/>
      <c r="AC1331" s="2867"/>
      <c r="AD1331" s="2867"/>
      <c r="AE1331" s="2867"/>
      <c r="AF1331" s="2867"/>
      <c r="AG1331" s="2867"/>
      <c r="AH1331" s="2867"/>
      <c r="AI1331" s="2867"/>
      <c r="AJ1331" s="2867"/>
      <c r="AK1331" s="2867"/>
      <c r="AL1331" s="2867"/>
      <c r="AM1331" s="2867"/>
      <c r="AN1331" s="2867"/>
      <c r="AO1331" s="2867"/>
      <c r="AP1331" s="2867"/>
      <c r="AQ1331" s="2867"/>
      <c r="AR1331" s="2867"/>
      <c r="AS1331" s="2867"/>
      <c r="AT1331" s="2867"/>
      <c r="AU1331" s="2867"/>
      <c r="AV1331" s="2867"/>
      <c r="AW1331" s="2867"/>
      <c r="AX1331" s="2867"/>
      <c r="AY1331" s="2867"/>
      <c r="AZ1331" s="2867"/>
      <c r="BA1331" s="2867"/>
      <c r="BB1331" s="2867"/>
      <c r="BC1331" s="2867"/>
      <c r="BD1331" s="2867"/>
      <c r="BE1331" s="2867"/>
      <c r="BF1331" s="2867"/>
      <c r="BG1331" s="2867"/>
      <c r="BH1331" s="2867"/>
      <c r="BI1331" s="2867"/>
      <c r="BJ1331" s="2867"/>
      <c r="BK1331" s="2867"/>
      <c r="BL1331" s="2867"/>
      <c r="BM1331" s="2867"/>
      <c r="BN1331" s="2867"/>
      <c r="BO1331" s="2867"/>
      <c r="BP1331" s="2867"/>
      <c r="BQ1331" s="2867"/>
      <c r="BR1331" s="2867"/>
      <c r="BS1331" s="2867"/>
      <c r="BT1331" s="2867"/>
      <c r="BU1331" s="2867"/>
      <c r="BV1331" s="2867"/>
      <c r="BW1331" s="2867"/>
      <c r="BX1331" s="2867"/>
      <c r="BY1331" s="2867"/>
      <c r="BZ1331" s="2867"/>
      <c r="CA1331" s="2867"/>
      <c r="CB1331" s="2867"/>
      <c r="CC1331" s="2867"/>
      <c r="CD1331" s="2867"/>
      <c r="CE1331" s="2867"/>
      <c r="CF1331" s="2867"/>
      <c r="CG1331" s="2867"/>
      <c r="CH1331" s="2867"/>
      <c r="CI1331" s="2867"/>
      <c r="CJ1331" s="2867"/>
      <c r="CK1331" s="2867"/>
      <c r="CL1331" s="2867"/>
      <c r="CM1331" s="2867"/>
      <c r="CN1331" s="2867"/>
      <c r="CO1331" s="2867"/>
      <c r="CP1331" s="2867"/>
      <c r="CQ1331" s="2867"/>
      <c r="CR1331" s="2867"/>
      <c r="CS1331" s="2867"/>
      <c r="CT1331" s="2867"/>
      <c r="CU1331" s="2867"/>
      <c r="CV1331" s="2867"/>
      <c r="CW1331" s="2867"/>
    </row>
    <row r="1332" spans="1:101">
      <c r="A1332" s="2867"/>
      <c r="B1332" s="2867"/>
      <c r="C1332" s="2867"/>
      <c r="D1332" s="2867"/>
      <c r="E1332" s="2867"/>
      <c r="F1332" s="2867"/>
      <c r="G1332" s="2867"/>
      <c r="H1332" s="2867"/>
      <c r="I1332" s="2867"/>
      <c r="J1332" s="2867"/>
      <c r="K1332" s="2867"/>
      <c r="L1332" s="2867"/>
      <c r="M1332" s="2867"/>
      <c r="O1332" s="2867"/>
      <c r="P1332" s="2867"/>
      <c r="Q1332" s="2867"/>
      <c r="R1332" s="2867"/>
      <c r="S1332" s="2867"/>
      <c r="T1332" s="2867"/>
      <c r="U1332" s="2867"/>
      <c r="V1332" s="2867"/>
      <c r="W1332" s="2867"/>
      <c r="X1332" s="2867"/>
      <c r="Y1332" s="2867"/>
      <c r="Z1332" s="2867"/>
      <c r="AA1332" s="2867"/>
      <c r="AB1332" s="2867"/>
      <c r="AC1332" s="2867"/>
      <c r="AD1332" s="2867"/>
      <c r="AE1332" s="2867"/>
      <c r="AF1332" s="2867"/>
      <c r="AG1332" s="2867"/>
      <c r="AH1332" s="2867"/>
      <c r="AI1332" s="2867"/>
      <c r="AJ1332" s="2867"/>
      <c r="AK1332" s="2867"/>
      <c r="AL1332" s="2867"/>
      <c r="AM1332" s="2867"/>
      <c r="AN1332" s="2867"/>
      <c r="AO1332" s="2867"/>
      <c r="AP1332" s="2867"/>
      <c r="AQ1332" s="2867"/>
      <c r="AR1332" s="2867"/>
      <c r="AS1332" s="2867"/>
      <c r="AT1332" s="2867"/>
      <c r="AU1332" s="2867"/>
      <c r="AV1332" s="2867"/>
      <c r="AW1332" s="2867"/>
      <c r="AX1332" s="2867"/>
      <c r="AY1332" s="2867"/>
      <c r="AZ1332" s="2867"/>
      <c r="BA1332" s="2867"/>
      <c r="BB1332" s="2867"/>
      <c r="BC1332" s="2867"/>
      <c r="BD1332" s="2867"/>
      <c r="BE1332" s="2867"/>
      <c r="BF1332" s="2867"/>
      <c r="BG1332" s="2867"/>
      <c r="BH1332" s="2867"/>
      <c r="BI1332" s="2867"/>
      <c r="BJ1332" s="2867"/>
      <c r="BK1332" s="2867"/>
      <c r="BL1332" s="2867"/>
      <c r="BM1332" s="2867"/>
      <c r="BN1332" s="2867"/>
      <c r="BO1332" s="2867"/>
      <c r="BP1332" s="2867"/>
      <c r="BQ1332" s="2867"/>
      <c r="BR1332" s="2867"/>
      <c r="BS1332" s="2867"/>
      <c r="BT1332" s="2867"/>
      <c r="BU1332" s="2867"/>
      <c r="BV1332" s="2867"/>
      <c r="BW1332" s="2867"/>
      <c r="BX1332" s="2867"/>
      <c r="BY1332" s="2867"/>
      <c r="BZ1332" s="2867"/>
      <c r="CA1332" s="2867"/>
      <c r="CB1332" s="2867"/>
      <c r="CC1332" s="2867"/>
      <c r="CD1332" s="2867"/>
      <c r="CE1332" s="2867"/>
      <c r="CF1332" s="2867"/>
      <c r="CG1332" s="2867"/>
      <c r="CH1332" s="2867"/>
      <c r="CI1332" s="2867"/>
      <c r="CJ1332" s="2867"/>
      <c r="CK1332" s="2867"/>
      <c r="CL1332" s="2867"/>
      <c r="CM1332" s="2867"/>
      <c r="CN1332" s="2867"/>
      <c r="CO1332" s="2867"/>
      <c r="CP1332" s="2867"/>
      <c r="CQ1332" s="2867"/>
      <c r="CR1332" s="2867"/>
      <c r="CS1332" s="2867"/>
      <c r="CT1332" s="2867"/>
      <c r="CU1332" s="2867"/>
      <c r="CV1332" s="2867"/>
      <c r="CW1332" s="2867"/>
    </row>
    <row r="1333" spans="1:101">
      <c r="A1333" s="2867"/>
      <c r="B1333" s="2867"/>
      <c r="C1333" s="2867"/>
      <c r="D1333" s="2867"/>
      <c r="E1333" s="2867"/>
      <c r="F1333" s="2867"/>
      <c r="G1333" s="2867"/>
      <c r="H1333" s="2867"/>
      <c r="I1333" s="2867"/>
      <c r="J1333" s="2867"/>
      <c r="K1333" s="2867"/>
      <c r="L1333" s="2867"/>
      <c r="M1333" s="2867"/>
      <c r="O1333" s="2867"/>
      <c r="P1333" s="2867"/>
      <c r="Q1333" s="2867"/>
      <c r="R1333" s="2867"/>
      <c r="S1333" s="2867"/>
      <c r="T1333" s="2867"/>
      <c r="U1333" s="2867"/>
      <c r="V1333" s="2867"/>
      <c r="W1333" s="2867"/>
      <c r="X1333" s="2867"/>
      <c r="Y1333" s="2867"/>
      <c r="Z1333" s="2867"/>
      <c r="AA1333" s="2867"/>
      <c r="AB1333" s="2867"/>
      <c r="AC1333" s="2867"/>
      <c r="AD1333" s="2867"/>
      <c r="AE1333" s="2867"/>
      <c r="AF1333" s="2867"/>
      <c r="AG1333" s="2867"/>
      <c r="AH1333" s="2867"/>
      <c r="AI1333" s="2867"/>
      <c r="AJ1333" s="2867"/>
      <c r="AK1333" s="2867"/>
      <c r="AL1333" s="2867"/>
      <c r="AM1333" s="2867"/>
      <c r="AN1333" s="2867"/>
      <c r="AO1333" s="2867"/>
      <c r="AP1333" s="2867"/>
      <c r="AQ1333" s="2867"/>
      <c r="AR1333" s="2867"/>
      <c r="AS1333" s="2867"/>
      <c r="AT1333" s="2867"/>
      <c r="AU1333" s="2867"/>
      <c r="AV1333" s="2867"/>
      <c r="AW1333" s="2867"/>
      <c r="AX1333" s="2867"/>
      <c r="AY1333" s="2867"/>
      <c r="AZ1333" s="2867"/>
      <c r="BA1333" s="2867"/>
      <c r="BB1333" s="2867"/>
      <c r="BC1333" s="2867"/>
      <c r="BD1333" s="2867"/>
      <c r="BE1333" s="2867"/>
      <c r="BF1333" s="2867"/>
      <c r="BG1333" s="2867"/>
      <c r="BH1333" s="2867"/>
      <c r="BI1333" s="2867"/>
      <c r="BJ1333" s="2867"/>
      <c r="BK1333" s="2867"/>
      <c r="BL1333" s="2867"/>
      <c r="BM1333" s="2867"/>
      <c r="BN1333" s="2867"/>
      <c r="BO1333" s="2867"/>
      <c r="BP1333" s="2867"/>
      <c r="BQ1333" s="2867"/>
      <c r="BR1333" s="2867"/>
      <c r="BS1333" s="2867"/>
      <c r="BT1333" s="2867"/>
      <c r="BU1333" s="2867"/>
      <c r="BV1333" s="2867"/>
      <c r="BW1333" s="2867"/>
      <c r="BX1333" s="2867"/>
      <c r="BY1333" s="2867"/>
      <c r="BZ1333" s="2867"/>
      <c r="CA1333" s="2867"/>
      <c r="CB1333" s="2867"/>
      <c r="CC1333" s="2867"/>
      <c r="CD1333" s="2867"/>
      <c r="CE1333" s="2867"/>
      <c r="CF1333" s="2867"/>
      <c r="CG1333" s="2867"/>
      <c r="CH1333" s="2867"/>
      <c r="CI1333" s="2867"/>
      <c r="CJ1333" s="2867"/>
      <c r="CK1333" s="2867"/>
      <c r="CL1333" s="2867"/>
      <c r="CM1333" s="2867"/>
      <c r="CN1333" s="2867"/>
      <c r="CO1333" s="2867"/>
      <c r="CP1333" s="2867"/>
      <c r="CQ1333" s="2867"/>
      <c r="CR1333" s="2867"/>
      <c r="CS1333" s="2867"/>
      <c r="CT1333" s="2867"/>
      <c r="CU1333" s="2867"/>
      <c r="CV1333" s="2867"/>
      <c r="CW1333" s="2867"/>
    </row>
    <row r="1334" spans="1:101">
      <c r="A1334" s="2867"/>
      <c r="B1334" s="2867"/>
      <c r="C1334" s="2867"/>
      <c r="D1334" s="2867"/>
      <c r="E1334" s="2867"/>
      <c r="F1334" s="2867"/>
      <c r="G1334" s="2867"/>
      <c r="H1334" s="2867"/>
      <c r="I1334" s="2867"/>
      <c r="J1334" s="2867"/>
      <c r="K1334" s="2867"/>
      <c r="L1334" s="2867"/>
      <c r="M1334" s="2867"/>
      <c r="O1334" s="2867"/>
      <c r="P1334" s="2867"/>
      <c r="Q1334" s="2867"/>
      <c r="R1334" s="2867"/>
      <c r="S1334" s="2867"/>
      <c r="T1334" s="2867"/>
      <c r="U1334" s="2867"/>
      <c r="V1334" s="2867"/>
      <c r="W1334" s="2867"/>
      <c r="X1334" s="2867"/>
      <c r="Y1334" s="2867"/>
      <c r="Z1334" s="2867"/>
      <c r="AA1334" s="2867"/>
      <c r="AB1334" s="2867"/>
      <c r="AC1334" s="2867"/>
      <c r="AD1334" s="2867"/>
      <c r="AE1334" s="2867"/>
      <c r="AF1334" s="2867"/>
      <c r="AG1334" s="2867"/>
      <c r="AH1334" s="2867"/>
      <c r="AI1334" s="2867"/>
      <c r="AJ1334" s="2867"/>
      <c r="AK1334" s="2867"/>
      <c r="AL1334" s="2867"/>
      <c r="AM1334" s="2867"/>
      <c r="AN1334" s="2867"/>
      <c r="AO1334" s="2867"/>
      <c r="AP1334" s="2867"/>
      <c r="AQ1334" s="2867"/>
      <c r="AR1334" s="2867"/>
      <c r="AS1334" s="2867"/>
      <c r="AT1334" s="2867"/>
      <c r="AU1334" s="2867"/>
      <c r="AV1334" s="2867"/>
      <c r="AW1334" s="2867"/>
      <c r="AX1334" s="2867"/>
      <c r="AY1334" s="2867"/>
      <c r="AZ1334" s="2867"/>
      <c r="BA1334" s="2867"/>
      <c r="BB1334" s="2867"/>
      <c r="BC1334" s="2867"/>
      <c r="BD1334" s="2867"/>
      <c r="BE1334" s="2867"/>
      <c r="BF1334" s="2867"/>
      <c r="BG1334" s="2867"/>
      <c r="BH1334" s="2867"/>
      <c r="BI1334" s="2867"/>
      <c r="BJ1334" s="2867"/>
      <c r="BK1334" s="2867"/>
      <c r="BL1334" s="2867"/>
      <c r="BM1334" s="2867"/>
      <c r="BN1334" s="2867"/>
      <c r="BO1334" s="2867"/>
      <c r="BP1334" s="2867"/>
      <c r="BQ1334" s="2867"/>
      <c r="BR1334" s="2867"/>
      <c r="BS1334" s="2867"/>
      <c r="BT1334" s="2867"/>
      <c r="BU1334" s="2867"/>
      <c r="BV1334" s="2867"/>
      <c r="BW1334" s="2867"/>
      <c r="BX1334" s="2867"/>
      <c r="BY1334" s="2867"/>
      <c r="BZ1334" s="2867"/>
      <c r="CA1334" s="2867"/>
      <c r="CB1334" s="2867"/>
      <c r="CC1334" s="2867"/>
      <c r="CD1334" s="2867"/>
      <c r="CE1334" s="2867"/>
      <c r="CF1334" s="2867"/>
      <c r="CG1334" s="2867"/>
      <c r="CH1334" s="2867"/>
      <c r="CI1334" s="2867"/>
      <c r="CJ1334" s="2867"/>
      <c r="CK1334" s="2867"/>
      <c r="CL1334" s="2867"/>
      <c r="CM1334" s="2867"/>
      <c r="CN1334" s="2867"/>
      <c r="CO1334" s="2867"/>
      <c r="CP1334" s="2867"/>
      <c r="CQ1334" s="2867"/>
      <c r="CR1334" s="2867"/>
      <c r="CS1334" s="2867"/>
      <c r="CT1334" s="2867"/>
      <c r="CU1334" s="2867"/>
      <c r="CV1334" s="2867"/>
      <c r="CW1334" s="2867"/>
    </row>
    <row r="1335" spans="1:101">
      <c r="A1335" s="2867"/>
      <c r="B1335" s="2867"/>
      <c r="C1335" s="2867"/>
      <c r="D1335" s="2867"/>
      <c r="E1335" s="2867"/>
      <c r="F1335" s="2867"/>
      <c r="G1335" s="2867"/>
      <c r="H1335" s="2867"/>
      <c r="I1335" s="2867"/>
      <c r="J1335" s="2867"/>
      <c r="K1335" s="2867"/>
      <c r="L1335" s="2867"/>
      <c r="M1335" s="2867"/>
      <c r="O1335" s="2867"/>
      <c r="P1335" s="2867"/>
      <c r="Q1335" s="2867"/>
      <c r="R1335" s="2867"/>
      <c r="S1335" s="2867"/>
      <c r="T1335" s="2867"/>
      <c r="U1335" s="2867"/>
      <c r="V1335" s="2867"/>
      <c r="W1335" s="2867"/>
      <c r="X1335" s="2867"/>
      <c r="Y1335" s="2867"/>
      <c r="Z1335" s="2867"/>
      <c r="AA1335" s="2867"/>
      <c r="AB1335" s="2867"/>
      <c r="AC1335" s="2867"/>
      <c r="AD1335" s="2867"/>
      <c r="AE1335" s="2867"/>
      <c r="AF1335" s="2867"/>
      <c r="AG1335" s="2867"/>
      <c r="AH1335" s="2867"/>
      <c r="AI1335" s="2867"/>
      <c r="AJ1335" s="2867"/>
      <c r="AK1335" s="2867"/>
      <c r="AL1335" s="2867"/>
      <c r="AM1335" s="2867"/>
      <c r="AN1335" s="2867"/>
      <c r="AO1335" s="2867"/>
      <c r="AP1335" s="2867"/>
      <c r="AQ1335" s="2867"/>
      <c r="AR1335" s="2867"/>
      <c r="AS1335" s="2867"/>
      <c r="AT1335" s="2867"/>
      <c r="AU1335" s="2867"/>
      <c r="AV1335" s="2867"/>
      <c r="AW1335" s="2867"/>
      <c r="AX1335" s="2867"/>
      <c r="AY1335" s="2867"/>
      <c r="AZ1335" s="2867"/>
      <c r="BA1335" s="2867"/>
      <c r="BB1335" s="2867"/>
      <c r="BC1335" s="2867"/>
      <c r="BD1335" s="2867"/>
      <c r="BE1335" s="2867"/>
      <c r="BF1335" s="2867"/>
      <c r="BG1335" s="2867"/>
      <c r="BH1335" s="2867"/>
      <c r="BI1335" s="2867"/>
      <c r="BJ1335" s="2867"/>
      <c r="BK1335" s="2867"/>
      <c r="BL1335" s="2867"/>
      <c r="BM1335" s="2867"/>
      <c r="BN1335" s="2867"/>
      <c r="BO1335" s="2867"/>
      <c r="BP1335" s="2867"/>
      <c r="BQ1335" s="2867"/>
      <c r="BR1335" s="2867"/>
      <c r="BS1335" s="2867"/>
      <c r="BT1335" s="2867"/>
      <c r="BU1335" s="2867"/>
      <c r="BV1335" s="2867"/>
      <c r="BW1335" s="2867"/>
      <c r="BX1335" s="2867"/>
      <c r="BY1335" s="2867"/>
      <c r="BZ1335" s="2867"/>
      <c r="CA1335" s="2867"/>
      <c r="CB1335" s="2867"/>
      <c r="CC1335" s="2867"/>
      <c r="CD1335" s="2867"/>
      <c r="CE1335" s="2867"/>
      <c r="CF1335" s="2867"/>
      <c r="CG1335" s="2867"/>
      <c r="CH1335" s="2867"/>
      <c r="CI1335" s="2867"/>
      <c r="CJ1335" s="2867"/>
      <c r="CK1335" s="2867"/>
      <c r="CL1335" s="2867"/>
      <c r="CM1335" s="2867"/>
      <c r="CN1335" s="2867"/>
      <c r="CO1335" s="2867"/>
      <c r="CP1335" s="2867"/>
      <c r="CQ1335" s="2867"/>
      <c r="CR1335" s="2867"/>
      <c r="CS1335" s="2867"/>
      <c r="CT1335" s="2867"/>
      <c r="CU1335" s="2867"/>
      <c r="CV1335" s="2867"/>
      <c r="CW1335" s="2867"/>
    </row>
    <row r="1336" spans="1:101">
      <c r="A1336" s="2867"/>
      <c r="B1336" s="2867"/>
      <c r="C1336" s="2867"/>
      <c r="D1336" s="2867"/>
      <c r="E1336" s="2867"/>
      <c r="F1336" s="2867"/>
      <c r="G1336" s="2867"/>
      <c r="H1336" s="2867"/>
      <c r="I1336" s="2867"/>
      <c r="J1336" s="2867"/>
      <c r="K1336" s="2867"/>
      <c r="L1336" s="2867"/>
      <c r="M1336" s="2867"/>
      <c r="O1336" s="2867"/>
      <c r="P1336" s="2867"/>
      <c r="Q1336" s="2867"/>
      <c r="R1336" s="2867"/>
      <c r="S1336" s="2867"/>
      <c r="T1336" s="2867"/>
      <c r="U1336" s="2867"/>
      <c r="V1336" s="2867"/>
      <c r="W1336" s="2867"/>
      <c r="X1336" s="2867"/>
      <c r="Y1336" s="2867"/>
      <c r="Z1336" s="2867"/>
      <c r="AA1336" s="2867"/>
      <c r="AB1336" s="2867"/>
      <c r="AC1336" s="2867"/>
      <c r="AD1336" s="2867"/>
      <c r="AE1336" s="2867"/>
      <c r="AF1336" s="2867"/>
      <c r="AG1336" s="2867"/>
      <c r="AH1336" s="2867"/>
      <c r="AI1336" s="2867"/>
      <c r="AJ1336" s="2867"/>
      <c r="AK1336" s="2867"/>
      <c r="AL1336" s="2867"/>
      <c r="AM1336" s="2867"/>
      <c r="AN1336" s="2867"/>
      <c r="AO1336" s="2867"/>
      <c r="AP1336" s="2867"/>
      <c r="AQ1336" s="2867"/>
      <c r="AR1336" s="2867"/>
      <c r="AS1336" s="2867"/>
      <c r="AT1336" s="2867"/>
      <c r="AU1336" s="2867"/>
      <c r="AV1336" s="2867"/>
      <c r="AW1336" s="2867"/>
      <c r="AX1336" s="2867"/>
      <c r="AY1336" s="2867"/>
      <c r="AZ1336" s="2867"/>
      <c r="BA1336" s="2867"/>
      <c r="BB1336" s="2867"/>
      <c r="BC1336" s="2867"/>
      <c r="BD1336" s="2867"/>
      <c r="BE1336" s="2867"/>
      <c r="BF1336" s="2867"/>
      <c r="BG1336" s="2867"/>
      <c r="BH1336" s="2867"/>
      <c r="BI1336" s="2867"/>
      <c r="BJ1336" s="2867"/>
      <c r="BK1336" s="2867"/>
      <c r="BL1336" s="2867"/>
      <c r="BM1336" s="2867"/>
      <c r="BN1336" s="2867"/>
      <c r="BO1336" s="2867"/>
      <c r="BP1336" s="2867"/>
      <c r="BQ1336" s="2867"/>
      <c r="BR1336" s="2867"/>
      <c r="BS1336" s="2867"/>
      <c r="BT1336" s="2867"/>
      <c r="BU1336" s="2867"/>
      <c r="BV1336" s="2867"/>
      <c r="BW1336" s="2867"/>
      <c r="BX1336" s="2867"/>
      <c r="BY1336" s="2867"/>
      <c r="BZ1336" s="2867"/>
      <c r="CA1336" s="2867"/>
      <c r="CB1336" s="2867"/>
      <c r="CC1336" s="2867"/>
      <c r="CD1336" s="2867"/>
      <c r="CE1336" s="2867"/>
      <c r="CF1336" s="2867"/>
      <c r="CG1336" s="2867"/>
      <c r="CH1336" s="2867"/>
      <c r="CI1336" s="2867"/>
      <c r="CJ1336" s="2867"/>
      <c r="CK1336" s="2867"/>
      <c r="CL1336" s="2867"/>
      <c r="CM1336" s="2867"/>
      <c r="CN1336" s="2867"/>
      <c r="CO1336" s="2867"/>
      <c r="CP1336" s="2867"/>
      <c r="CQ1336" s="2867"/>
      <c r="CR1336" s="2867"/>
      <c r="CS1336" s="2867"/>
      <c r="CT1336" s="2867"/>
      <c r="CU1336" s="2867"/>
      <c r="CV1336" s="2867"/>
      <c r="CW1336" s="2867"/>
    </row>
    <row r="1337" spans="1:101">
      <c r="A1337" s="2867"/>
      <c r="B1337" s="2867"/>
      <c r="C1337" s="2867"/>
      <c r="D1337" s="2867"/>
      <c r="E1337" s="2867"/>
      <c r="F1337" s="2867"/>
      <c r="G1337" s="2867"/>
      <c r="H1337" s="2867"/>
      <c r="I1337" s="2867"/>
      <c r="J1337" s="2867"/>
      <c r="K1337" s="2867"/>
      <c r="L1337" s="2867"/>
      <c r="M1337" s="2867"/>
      <c r="O1337" s="2867"/>
      <c r="P1337" s="2867"/>
      <c r="Q1337" s="2867"/>
      <c r="R1337" s="2867"/>
      <c r="S1337" s="2867"/>
      <c r="T1337" s="2867"/>
      <c r="U1337" s="2867"/>
      <c r="V1337" s="2867"/>
      <c r="W1337" s="2867"/>
      <c r="X1337" s="2867"/>
      <c r="Y1337" s="2867"/>
      <c r="Z1337" s="2867"/>
      <c r="AA1337" s="2867"/>
      <c r="AB1337" s="2867"/>
      <c r="AC1337" s="2867"/>
      <c r="AD1337" s="2867"/>
      <c r="AE1337" s="2867"/>
      <c r="AF1337" s="2867"/>
      <c r="AG1337" s="2867"/>
      <c r="AH1337" s="2867"/>
      <c r="AI1337" s="2867"/>
      <c r="AJ1337" s="2867"/>
      <c r="AK1337" s="2867"/>
      <c r="AL1337" s="2867"/>
      <c r="AM1337" s="2867"/>
      <c r="AN1337" s="2867"/>
      <c r="AO1337" s="2867"/>
      <c r="AP1337" s="2867"/>
      <c r="AQ1337" s="2867"/>
      <c r="AR1337" s="2867"/>
      <c r="AS1337" s="2867"/>
      <c r="AT1337" s="2867"/>
      <c r="AU1337" s="2867"/>
      <c r="AV1337" s="2867"/>
      <c r="AW1337" s="2867"/>
      <c r="AX1337" s="2867"/>
      <c r="AY1337" s="2867"/>
      <c r="AZ1337" s="2867"/>
      <c r="BA1337" s="2867"/>
      <c r="BB1337" s="2867"/>
      <c r="BC1337" s="2867"/>
      <c r="BD1337" s="2867"/>
      <c r="BE1337" s="2867"/>
      <c r="BF1337" s="2867"/>
      <c r="BG1337" s="2867"/>
      <c r="BH1337" s="2867"/>
      <c r="BI1337" s="2867"/>
      <c r="BJ1337" s="2867"/>
      <c r="BK1337" s="2867"/>
      <c r="BL1337" s="2867"/>
      <c r="BM1337" s="2867"/>
      <c r="BN1337" s="2867"/>
      <c r="BO1337" s="2867"/>
      <c r="BP1337" s="2867"/>
      <c r="BQ1337" s="2867"/>
      <c r="BR1337" s="2867"/>
      <c r="BS1337" s="2867"/>
      <c r="BT1337" s="2867"/>
      <c r="BU1337" s="2867"/>
      <c r="BV1337" s="2867"/>
      <c r="BW1337" s="2867"/>
      <c r="BX1337" s="2867"/>
      <c r="BY1337" s="2867"/>
      <c r="BZ1337" s="2867"/>
      <c r="CA1337" s="2867"/>
      <c r="CB1337" s="2867"/>
      <c r="CC1337" s="2867"/>
      <c r="CD1337" s="2867"/>
      <c r="CE1337" s="2867"/>
      <c r="CF1337" s="2867"/>
      <c r="CG1337" s="2867"/>
      <c r="CH1337" s="2867"/>
      <c r="CI1337" s="2867"/>
      <c r="CJ1337" s="2867"/>
      <c r="CK1337" s="2867"/>
      <c r="CL1337" s="2867"/>
      <c r="CM1337" s="2867"/>
      <c r="CN1337" s="2867"/>
      <c r="CO1337" s="2867"/>
      <c r="CP1337" s="2867"/>
      <c r="CQ1337" s="2867"/>
      <c r="CR1337" s="2867"/>
      <c r="CS1337" s="2867"/>
      <c r="CT1337" s="2867"/>
      <c r="CU1337" s="2867"/>
      <c r="CV1337" s="2867"/>
      <c r="CW1337" s="2867"/>
    </row>
    <row r="1338" spans="1:101">
      <c r="A1338" s="2867"/>
      <c r="B1338" s="2867"/>
      <c r="C1338" s="2867"/>
      <c r="D1338" s="2867"/>
      <c r="E1338" s="2867"/>
      <c r="F1338" s="2867"/>
      <c r="G1338" s="2867"/>
      <c r="H1338" s="2867"/>
      <c r="I1338" s="2867"/>
      <c r="J1338" s="2867"/>
      <c r="K1338" s="2867"/>
      <c r="L1338" s="2867"/>
      <c r="M1338" s="2867"/>
      <c r="O1338" s="2867"/>
      <c r="P1338" s="2867"/>
      <c r="Q1338" s="2867"/>
      <c r="R1338" s="2867"/>
      <c r="S1338" s="2867"/>
      <c r="T1338" s="2867"/>
      <c r="U1338" s="2867"/>
      <c r="V1338" s="2867"/>
      <c r="W1338" s="2867"/>
      <c r="X1338" s="2867"/>
      <c r="Y1338" s="2867"/>
      <c r="Z1338" s="2867"/>
      <c r="AA1338" s="2867"/>
      <c r="AB1338" s="2867"/>
      <c r="AC1338" s="2867"/>
      <c r="AD1338" s="2867"/>
      <c r="AE1338" s="2867"/>
      <c r="AF1338" s="2867"/>
      <c r="AG1338" s="2867"/>
      <c r="AH1338" s="2867"/>
      <c r="AI1338" s="2867"/>
      <c r="AJ1338" s="2867"/>
      <c r="AK1338" s="2867"/>
      <c r="AL1338" s="2867"/>
      <c r="AM1338" s="2867"/>
      <c r="AN1338" s="2867"/>
      <c r="AO1338" s="2867"/>
      <c r="AP1338" s="2867"/>
      <c r="AQ1338" s="2867"/>
      <c r="AR1338" s="2867"/>
      <c r="AS1338" s="2867"/>
      <c r="AT1338" s="2867"/>
      <c r="AU1338" s="2867"/>
      <c r="AV1338" s="2867"/>
      <c r="AW1338" s="2867"/>
      <c r="AX1338" s="2867"/>
      <c r="AY1338" s="2867"/>
      <c r="AZ1338" s="2867"/>
      <c r="BA1338" s="2867"/>
      <c r="BB1338" s="2867"/>
      <c r="BC1338" s="2867"/>
      <c r="BD1338" s="2867"/>
      <c r="BE1338" s="2867"/>
      <c r="BF1338" s="2867"/>
      <c r="BG1338" s="2867"/>
      <c r="BH1338" s="2867"/>
      <c r="BI1338" s="2867"/>
      <c r="BJ1338" s="2867"/>
      <c r="BK1338" s="2867"/>
      <c r="BL1338" s="2867"/>
      <c r="BM1338" s="2867"/>
      <c r="BN1338" s="2867"/>
      <c r="BO1338" s="2867"/>
      <c r="BP1338" s="2867"/>
      <c r="BQ1338" s="2867"/>
      <c r="BR1338" s="2867"/>
      <c r="BS1338" s="2867"/>
      <c r="BT1338" s="2867"/>
      <c r="BU1338" s="2867"/>
      <c r="BV1338" s="2867"/>
      <c r="BW1338" s="2867"/>
      <c r="BX1338" s="2867"/>
      <c r="BY1338" s="2867"/>
      <c r="BZ1338" s="2867"/>
      <c r="CA1338" s="2867"/>
      <c r="CB1338" s="2867"/>
      <c r="CC1338" s="2867"/>
      <c r="CD1338" s="2867"/>
      <c r="CE1338" s="2867"/>
      <c r="CF1338" s="2867"/>
      <c r="CG1338" s="2867"/>
      <c r="CH1338" s="2867"/>
      <c r="CI1338" s="2867"/>
      <c r="CJ1338" s="2867"/>
      <c r="CK1338" s="2867"/>
      <c r="CL1338" s="2867"/>
      <c r="CM1338" s="2867"/>
      <c r="CN1338" s="2867"/>
      <c r="CO1338" s="2867"/>
      <c r="CP1338" s="2867"/>
      <c r="CQ1338" s="2867"/>
      <c r="CR1338" s="2867"/>
      <c r="CS1338" s="2867"/>
      <c r="CT1338" s="2867"/>
      <c r="CU1338" s="2867"/>
      <c r="CV1338" s="2867"/>
      <c r="CW1338" s="2867"/>
    </row>
    <row r="1339" spans="1:101">
      <c r="A1339" s="2867"/>
      <c r="B1339" s="2867"/>
      <c r="C1339" s="2867"/>
      <c r="D1339" s="2867"/>
      <c r="E1339" s="2867"/>
      <c r="F1339" s="2867"/>
      <c r="G1339" s="2867"/>
      <c r="H1339" s="2867"/>
      <c r="I1339" s="2867"/>
      <c r="J1339" s="2867"/>
      <c r="K1339" s="2867"/>
      <c r="L1339" s="2867"/>
      <c r="M1339" s="2867"/>
      <c r="O1339" s="2867"/>
      <c r="P1339" s="2867"/>
      <c r="Q1339" s="2867"/>
      <c r="R1339" s="2867"/>
      <c r="S1339" s="2867"/>
      <c r="T1339" s="2867"/>
      <c r="U1339" s="2867"/>
      <c r="V1339" s="2867"/>
      <c r="W1339" s="2867"/>
      <c r="X1339" s="2867"/>
      <c r="Y1339" s="2867"/>
      <c r="Z1339" s="2867"/>
      <c r="AA1339" s="2867"/>
      <c r="AB1339" s="2867"/>
      <c r="AC1339" s="2867"/>
      <c r="AD1339" s="2867"/>
      <c r="AE1339" s="2867"/>
      <c r="AF1339" s="2867"/>
      <c r="AG1339" s="2867"/>
      <c r="AH1339" s="2867"/>
      <c r="AI1339" s="2867"/>
      <c r="AJ1339" s="2867"/>
      <c r="AK1339" s="2867"/>
      <c r="AL1339" s="2867"/>
      <c r="AM1339" s="2867"/>
      <c r="AN1339" s="2867"/>
      <c r="AO1339" s="2867"/>
      <c r="AP1339" s="2867"/>
      <c r="AQ1339" s="2867"/>
      <c r="AR1339" s="2867"/>
      <c r="AS1339" s="2867"/>
      <c r="AT1339" s="2867"/>
      <c r="AU1339" s="2867"/>
      <c r="AV1339" s="2867"/>
      <c r="AW1339" s="2867"/>
      <c r="AX1339" s="2867"/>
      <c r="AY1339" s="2867"/>
      <c r="AZ1339" s="2867"/>
      <c r="BA1339" s="2867"/>
      <c r="BB1339" s="2867"/>
      <c r="BC1339" s="2867"/>
      <c r="BD1339" s="2867"/>
      <c r="BE1339" s="2867"/>
      <c r="BF1339" s="2867"/>
      <c r="BG1339" s="2867"/>
      <c r="BH1339" s="2867"/>
      <c r="BI1339" s="2867"/>
      <c r="BJ1339" s="2867"/>
      <c r="BK1339" s="2867"/>
      <c r="BL1339" s="2867"/>
      <c r="BM1339" s="2867"/>
      <c r="BN1339" s="2867"/>
      <c r="BO1339" s="2867"/>
      <c r="BP1339" s="2867"/>
      <c r="BQ1339" s="2867"/>
      <c r="BR1339" s="2867"/>
      <c r="BS1339" s="2867"/>
      <c r="BT1339" s="2867"/>
      <c r="BU1339" s="2867"/>
      <c r="BV1339" s="2867"/>
      <c r="BW1339" s="2867"/>
      <c r="BX1339" s="2867"/>
      <c r="BY1339" s="2867"/>
      <c r="BZ1339" s="2867"/>
      <c r="CA1339" s="2867"/>
      <c r="CB1339" s="2867"/>
      <c r="CC1339" s="2867"/>
      <c r="CD1339" s="2867"/>
      <c r="CE1339" s="2867"/>
      <c r="CF1339" s="2867"/>
      <c r="CG1339" s="2867"/>
      <c r="CH1339" s="2867"/>
      <c r="CI1339" s="2867"/>
      <c r="CJ1339" s="2867"/>
      <c r="CK1339" s="2867"/>
      <c r="CL1339" s="2867"/>
      <c r="CM1339" s="2867"/>
      <c r="CN1339" s="2867"/>
      <c r="CO1339" s="2867"/>
      <c r="CP1339" s="2867"/>
      <c r="CQ1339" s="2867"/>
      <c r="CR1339" s="2867"/>
      <c r="CS1339" s="2867"/>
      <c r="CT1339" s="2867"/>
      <c r="CU1339" s="2867"/>
      <c r="CV1339" s="2867"/>
      <c r="CW1339" s="2867"/>
    </row>
    <row r="1340" spans="1:101">
      <c r="A1340" s="2867"/>
      <c r="B1340" s="2867"/>
      <c r="C1340" s="2867"/>
      <c r="D1340" s="2867"/>
      <c r="E1340" s="2867"/>
      <c r="F1340" s="2867"/>
      <c r="G1340" s="2867"/>
      <c r="H1340" s="2867"/>
      <c r="I1340" s="2867"/>
      <c r="J1340" s="2867"/>
      <c r="K1340" s="2867"/>
      <c r="L1340" s="2867"/>
      <c r="M1340" s="2867"/>
      <c r="O1340" s="2867"/>
      <c r="P1340" s="2867"/>
      <c r="Q1340" s="2867"/>
      <c r="R1340" s="2867"/>
      <c r="S1340" s="2867"/>
      <c r="T1340" s="2867"/>
      <c r="U1340" s="2867"/>
      <c r="V1340" s="2867"/>
      <c r="W1340" s="2867"/>
      <c r="X1340" s="2867"/>
      <c r="Y1340" s="2867"/>
      <c r="Z1340" s="2867"/>
      <c r="AA1340" s="2867"/>
      <c r="AB1340" s="2867"/>
      <c r="AC1340" s="2867"/>
      <c r="AD1340" s="2867"/>
      <c r="AE1340" s="2867"/>
      <c r="AF1340" s="2867"/>
      <c r="AG1340" s="2867"/>
      <c r="AH1340" s="2867"/>
      <c r="AI1340" s="2867"/>
      <c r="AJ1340" s="2867"/>
      <c r="AK1340" s="2867"/>
      <c r="AL1340" s="2867"/>
      <c r="AM1340" s="2867"/>
      <c r="AN1340" s="2867"/>
      <c r="AO1340" s="2867"/>
      <c r="AP1340" s="2867"/>
      <c r="AQ1340" s="2867"/>
      <c r="AR1340" s="2867"/>
      <c r="AS1340" s="2867"/>
      <c r="AT1340" s="2867"/>
      <c r="AU1340" s="2867"/>
      <c r="AV1340" s="2867"/>
      <c r="AW1340" s="2867"/>
      <c r="AX1340" s="2867"/>
      <c r="AY1340" s="2867"/>
      <c r="AZ1340" s="2867"/>
      <c r="BA1340" s="2867"/>
      <c r="BB1340" s="2867"/>
      <c r="BC1340" s="2867"/>
      <c r="BD1340" s="2867"/>
      <c r="BE1340" s="2867"/>
      <c r="BF1340" s="2867"/>
      <c r="BG1340" s="2867"/>
      <c r="BH1340" s="2867"/>
      <c r="BI1340" s="2867"/>
      <c r="BJ1340" s="2867"/>
      <c r="BK1340" s="2867"/>
      <c r="BL1340" s="2867"/>
      <c r="BM1340" s="2867"/>
      <c r="BN1340" s="2867"/>
      <c r="BO1340" s="2867"/>
      <c r="BP1340" s="2867"/>
      <c r="BQ1340" s="2867"/>
      <c r="BR1340" s="2867"/>
      <c r="BS1340" s="2867"/>
      <c r="BT1340" s="2867"/>
      <c r="BU1340" s="2867"/>
      <c r="BV1340" s="2867"/>
      <c r="BW1340" s="2867"/>
      <c r="BX1340" s="2867"/>
      <c r="BY1340" s="2867"/>
      <c r="BZ1340" s="2867"/>
      <c r="CA1340" s="2867"/>
      <c r="CB1340" s="2867"/>
      <c r="CC1340" s="2867"/>
      <c r="CD1340" s="2867"/>
      <c r="CE1340" s="2867"/>
      <c r="CF1340" s="2867"/>
      <c r="CG1340" s="2867"/>
      <c r="CH1340" s="2867"/>
      <c r="CI1340" s="2867"/>
      <c r="CJ1340" s="2867"/>
      <c r="CK1340" s="2867"/>
      <c r="CL1340" s="2867"/>
      <c r="CM1340" s="2867"/>
      <c r="CN1340" s="2867"/>
      <c r="CO1340" s="2867"/>
      <c r="CP1340" s="2867"/>
      <c r="CQ1340" s="2867"/>
      <c r="CR1340" s="2867"/>
      <c r="CS1340" s="2867"/>
      <c r="CT1340" s="2867"/>
      <c r="CU1340" s="2867"/>
      <c r="CV1340" s="2867"/>
      <c r="CW1340" s="2867"/>
    </row>
    <row r="1341" spans="1:101">
      <c r="A1341" s="2867"/>
      <c r="B1341" s="2867"/>
      <c r="C1341" s="2867"/>
      <c r="D1341" s="2867"/>
      <c r="E1341" s="2867"/>
      <c r="F1341" s="2867"/>
      <c r="G1341" s="2867"/>
      <c r="H1341" s="2867"/>
      <c r="I1341" s="2867"/>
      <c r="J1341" s="2867"/>
      <c r="K1341" s="2867"/>
      <c r="L1341" s="2867"/>
      <c r="M1341" s="2867"/>
      <c r="O1341" s="2867"/>
      <c r="P1341" s="2867"/>
      <c r="Q1341" s="2867"/>
      <c r="R1341" s="2867"/>
      <c r="S1341" s="2867"/>
      <c r="T1341" s="2867"/>
      <c r="U1341" s="2867"/>
      <c r="V1341" s="2867"/>
      <c r="W1341" s="2867"/>
      <c r="X1341" s="2867"/>
      <c r="Y1341" s="2867"/>
      <c r="Z1341" s="2867"/>
      <c r="AA1341" s="2867"/>
      <c r="AB1341" s="2867"/>
      <c r="AC1341" s="2867"/>
      <c r="AD1341" s="2867"/>
      <c r="AE1341" s="2867"/>
      <c r="AF1341" s="2867"/>
      <c r="AG1341" s="2867"/>
      <c r="AH1341" s="2867"/>
      <c r="AI1341" s="2867"/>
      <c r="AJ1341" s="2867"/>
      <c r="AK1341" s="2867"/>
      <c r="AL1341" s="2867"/>
      <c r="AM1341" s="2867"/>
      <c r="AN1341" s="2867"/>
      <c r="AO1341" s="2867"/>
      <c r="AP1341" s="2867"/>
      <c r="AQ1341" s="2867"/>
      <c r="AR1341" s="2867"/>
      <c r="AS1341" s="2867"/>
      <c r="AT1341" s="2867"/>
      <c r="AU1341" s="2867"/>
      <c r="AV1341" s="2867"/>
      <c r="AW1341" s="2867"/>
      <c r="AX1341" s="2867"/>
      <c r="AY1341" s="2867"/>
      <c r="AZ1341" s="2867"/>
      <c r="BA1341" s="2867"/>
      <c r="BB1341" s="2867"/>
      <c r="BC1341" s="2867"/>
      <c r="BD1341" s="2867"/>
      <c r="BE1341" s="2867"/>
      <c r="BF1341" s="2867"/>
      <c r="BG1341" s="2867"/>
      <c r="BH1341" s="2867"/>
      <c r="BI1341" s="2867"/>
      <c r="BJ1341" s="2867"/>
      <c r="BK1341" s="2867"/>
      <c r="BL1341" s="2867"/>
      <c r="BM1341" s="2867"/>
      <c r="BN1341" s="2867"/>
      <c r="BO1341" s="2867"/>
      <c r="BP1341" s="2867"/>
      <c r="BQ1341" s="2867"/>
      <c r="BR1341" s="2867"/>
      <c r="BS1341" s="2867"/>
      <c r="BT1341" s="2867"/>
      <c r="BU1341" s="2867"/>
      <c r="BV1341" s="2867"/>
      <c r="BW1341" s="2867"/>
      <c r="BX1341" s="2867"/>
      <c r="BY1341" s="2867"/>
      <c r="BZ1341" s="2867"/>
      <c r="CA1341" s="2867"/>
      <c r="CB1341" s="2867"/>
      <c r="CC1341" s="2867"/>
      <c r="CD1341" s="2867"/>
      <c r="CE1341" s="2867"/>
      <c r="CF1341" s="2867"/>
      <c r="CG1341" s="2867"/>
      <c r="CH1341" s="2867"/>
      <c r="CI1341" s="2867"/>
      <c r="CJ1341" s="2867"/>
      <c r="CK1341" s="2867"/>
      <c r="CL1341" s="2867"/>
      <c r="CM1341" s="2867"/>
      <c r="CN1341" s="2867"/>
      <c r="CO1341" s="2867"/>
      <c r="CP1341" s="2867"/>
      <c r="CQ1341" s="2867"/>
      <c r="CR1341" s="2867"/>
      <c r="CS1341" s="2867"/>
      <c r="CT1341" s="2867"/>
      <c r="CU1341" s="2867"/>
      <c r="CV1341" s="2867"/>
      <c r="CW1341" s="2867"/>
    </row>
    <row r="1342" spans="1:101">
      <c r="A1342" s="2867"/>
      <c r="B1342" s="2867"/>
      <c r="C1342" s="2867"/>
      <c r="D1342" s="2867"/>
      <c r="E1342" s="2867"/>
      <c r="F1342" s="2867"/>
      <c r="G1342" s="2867"/>
      <c r="H1342" s="2867"/>
      <c r="I1342" s="2867"/>
      <c r="J1342" s="2867"/>
      <c r="K1342" s="2867"/>
      <c r="L1342" s="2867"/>
      <c r="M1342" s="2867"/>
      <c r="O1342" s="2867"/>
      <c r="P1342" s="2867"/>
      <c r="Q1342" s="2867"/>
      <c r="R1342" s="2867"/>
      <c r="S1342" s="2867"/>
      <c r="T1342" s="2867"/>
      <c r="U1342" s="2867"/>
      <c r="V1342" s="2867"/>
      <c r="W1342" s="2867"/>
      <c r="X1342" s="2867"/>
      <c r="Y1342" s="2867"/>
      <c r="Z1342" s="2867"/>
      <c r="AA1342" s="2867"/>
      <c r="AB1342" s="2867"/>
      <c r="AC1342" s="2867"/>
      <c r="AD1342" s="2867"/>
      <c r="AE1342" s="2867"/>
      <c r="AF1342" s="2867"/>
      <c r="AG1342" s="2867"/>
      <c r="AH1342" s="2867"/>
      <c r="AI1342" s="2867"/>
      <c r="AJ1342" s="2867"/>
      <c r="AK1342" s="2867"/>
      <c r="AL1342" s="2867"/>
      <c r="AM1342" s="2867"/>
      <c r="AN1342" s="2867"/>
      <c r="AO1342" s="2867"/>
      <c r="AP1342" s="2867"/>
      <c r="AQ1342" s="2867"/>
      <c r="AR1342" s="2867"/>
      <c r="AS1342" s="2867"/>
      <c r="AT1342" s="2867"/>
      <c r="AU1342" s="2867"/>
      <c r="AV1342" s="2867"/>
      <c r="AW1342" s="2867"/>
      <c r="AX1342" s="2867"/>
      <c r="AY1342" s="2867"/>
      <c r="AZ1342" s="2867"/>
      <c r="BA1342" s="2867"/>
      <c r="BB1342" s="2867"/>
      <c r="BC1342" s="2867"/>
      <c r="BD1342" s="2867"/>
      <c r="BE1342" s="2867"/>
      <c r="BF1342" s="2867"/>
      <c r="BG1342" s="2867"/>
      <c r="BH1342" s="2867"/>
      <c r="BI1342" s="2867"/>
      <c r="BJ1342" s="2867"/>
      <c r="BK1342" s="2867"/>
      <c r="BL1342" s="2867"/>
      <c r="BM1342" s="2867"/>
      <c r="BN1342" s="2867"/>
      <c r="BO1342" s="2867"/>
      <c r="BP1342" s="2867"/>
      <c r="BQ1342" s="2867"/>
      <c r="BR1342" s="2867"/>
      <c r="BS1342" s="2867"/>
      <c r="BT1342" s="2867"/>
      <c r="BU1342" s="2867"/>
      <c r="BV1342" s="2867"/>
      <c r="BW1342" s="2867"/>
      <c r="BX1342" s="2867"/>
      <c r="BY1342" s="2867"/>
      <c r="BZ1342" s="2867"/>
      <c r="CA1342" s="2867"/>
      <c r="CB1342" s="2867"/>
      <c r="CC1342" s="2867"/>
      <c r="CD1342" s="2867"/>
      <c r="CE1342" s="2867"/>
      <c r="CF1342" s="2867"/>
      <c r="CG1342" s="2867"/>
      <c r="CH1342" s="2867"/>
      <c r="CI1342" s="2867"/>
      <c r="CJ1342" s="2867"/>
      <c r="CK1342" s="2867"/>
      <c r="CL1342" s="2867"/>
      <c r="CM1342" s="2867"/>
      <c r="CN1342" s="2867"/>
      <c r="CO1342" s="2867"/>
      <c r="CP1342" s="2867"/>
      <c r="CQ1342" s="2867"/>
      <c r="CR1342" s="2867"/>
      <c r="CS1342" s="2867"/>
      <c r="CT1342" s="2867"/>
      <c r="CU1342" s="2867"/>
      <c r="CV1342" s="2867"/>
      <c r="CW1342" s="2867"/>
    </row>
    <row r="1343" spans="1:101">
      <c r="A1343" s="2867"/>
      <c r="B1343" s="2867"/>
      <c r="C1343" s="2867"/>
      <c r="D1343" s="2867"/>
      <c r="E1343" s="2867"/>
      <c r="F1343" s="2867"/>
      <c r="G1343" s="2867"/>
      <c r="H1343" s="2867"/>
      <c r="I1343" s="2867"/>
      <c r="J1343" s="2867"/>
      <c r="K1343" s="2867"/>
      <c r="L1343" s="2867"/>
      <c r="M1343" s="2867"/>
      <c r="O1343" s="2867"/>
      <c r="P1343" s="2867"/>
      <c r="Q1343" s="2867"/>
      <c r="R1343" s="2867"/>
      <c r="S1343" s="2867"/>
      <c r="T1343" s="2867"/>
      <c r="U1343" s="2867"/>
      <c r="V1343" s="2867"/>
      <c r="W1343" s="2867"/>
      <c r="X1343" s="2867"/>
      <c r="Y1343" s="2867"/>
      <c r="Z1343" s="2867"/>
      <c r="AA1343" s="2867"/>
      <c r="AB1343" s="2867"/>
      <c r="AC1343" s="2867"/>
      <c r="AD1343" s="2867"/>
      <c r="AE1343" s="2867"/>
      <c r="AF1343" s="2867"/>
      <c r="AG1343" s="2867"/>
      <c r="AH1343" s="2867"/>
      <c r="AI1343" s="2867"/>
      <c r="AJ1343" s="2867"/>
      <c r="AK1343" s="2867"/>
      <c r="AL1343" s="2867"/>
      <c r="AM1343" s="2867"/>
      <c r="AN1343" s="2867"/>
      <c r="AO1343" s="2867"/>
      <c r="AP1343" s="2867"/>
      <c r="AQ1343" s="2867"/>
      <c r="AR1343" s="2867"/>
      <c r="AS1343" s="2867"/>
      <c r="AT1343" s="2867"/>
      <c r="AU1343" s="2867"/>
      <c r="AV1343" s="2867"/>
      <c r="AW1343" s="2867"/>
      <c r="AX1343" s="2867"/>
      <c r="AY1343" s="2867"/>
      <c r="AZ1343" s="2867"/>
      <c r="BA1343" s="2867"/>
      <c r="BB1343" s="2867"/>
      <c r="BC1343" s="2867"/>
      <c r="BD1343" s="2867"/>
      <c r="BE1343" s="2867"/>
      <c r="BF1343" s="2867"/>
      <c r="BG1343" s="2867"/>
      <c r="BH1343" s="2867"/>
      <c r="BI1343" s="2867"/>
      <c r="BJ1343" s="2867"/>
      <c r="BK1343" s="2867"/>
      <c r="BL1343" s="2867"/>
      <c r="BM1343" s="2867"/>
      <c r="BN1343" s="2867"/>
      <c r="BO1343" s="2867"/>
      <c r="BP1343" s="2867"/>
      <c r="BQ1343" s="2867"/>
      <c r="BR1343" s="2867"/>
      <c r="BS1343" s="2867"/>
      <c r="BT1343" s="2867"/>
      <c r="BU1343" s="2867"/>
      <c r="BV1343" s="2867"/>
      <c r="BW1343" s="2867"/>
      <c r="BX1343" s="2867"/>
      <c r="BY1343" s="2867"/>
      <c r="BZ1343" s="2867"/>
      <c r="CA1343" s="2867"/>
      <c r="CB1343" s="2867"/>
      <c r="CC1343" s="2867"/>
      <c r="CD1343" s="2867"/>
      <c r="CE1343" s="2867"/>
      <c r="CF1343" s="2867"/>
      <c r="CG1343" s="2867"/>
      <c r="CH1343" s="2867"/>
      <c r="CI1343" s="2867"/>
      <c r="CJ1343" s="2867"/>
      <c r="CK1343" s="2867"/>
      <c r="CL1343" s="2867"/>
      <c r="CM1343" s="2867"/>
      <c r="CN1343" s="2867"/>
      <c r="CO1343" s="2867"/>
      <c r="CP1343" s="2867"/>
      <c r="CQ1343" s="2867"/>
      <c r="CR1343" s="2867"/>
      <c r="CS1343" s="2867"/>
      <c r="CT1343" s="2867"/>
      <c r="CU1343" s="2867"/>
      <c r="CV1343" s="2867"/>
      <c r="CW1343" s="2867"/>
    </row>
    <row r="1344" spans="1:101">
      <c r="A1344" s="2867"/>
      <c r="B1344" s="2867"/>
      <c r="C1344" s="2867"/>
      <c r="D1344" s="2867"/>
      <c r="E1344" s="2867"/>
      <c r="F1344" s="2867"/>
      <c r="G1344" s="2867"/>
      <c r="H1344" s="2867"/>
      <c r="I1344" s="2867"/>
      <c r="J1344" s="2867"/>
      <c r="K1344" s="2867"/>
      <c r="L1344" s="2867"/>
      <c r="M1344" s="2867"/>
      <c r="O1344" s="2867"/>
      <c r="P1344" s="2867"/>
      <c r="Q1344" s="2867"/>
      <c r="R1344" s="2867"/>
      <c r="S1344" s="2867"/>
      <c r="T1344" s="2867"/>
      <c r="U1344" s="2867"/>
      <c r="V1344" s="2867"/>
      <c r="W1344" s="2867"/>
      <c r="X1344" s="2867"/>
      <c r="Y1344" s="2867"/>
      <c r="Z1344" s="2867"/>
      <c r="AA1344" s="2867"/>
      <c r="AB1344" s="2867"/>
      <c r="AC1344" s="2867"/>
      <c r="AD1344" s="2867"/>
      <c r="AE1344" s="2867"/>
      <c r="AF1344" s="2867"/>
      <c r="AG1344" s="2867"/>
      <c r="AH1344" s="2867"/>
      <c r="AI1344" s="2867"/>
      <c r="AJ1344" s="2867"/>
      <c r="AK1344" s="2867"/>
      <c r="AL1344" s="2867"/>
      <c r="AM1344" s="2867"/>
      <c r="AN1344" s="2867"/>
      <c r="AO1344" s="2867"/>
      <c r="AP1344" s="2867"/>
      <c r="AQ1344" s="2867"/>
      <c r="AR1344" s="2867"/>
      <c r="AS1344" s="2867"/>
      <c r="AT1344" s="2867"/>
      <c r="AU1344" s="2867"/>
      <c r="AV1344" s="2867"/>
      <c r="AW1344" s="2867"/>
      <c r="AX1344" s="2867"/>
      <c r="AY1344" s="2867"/>
      <c r="AZ1344" s="2867"/>
      <c r="BA1344" s="2867"/>
      <c r="BB1344" s="2867"/>
      <c r="BC1344" s="2867"/>
      <c r="BD1344" s="2867"/>
      <c r="BE1344" s="2867"/>
      <c r="BF1344" s="2867"/>
      <c r="BG1344" s="2867"/>
      <c r="BH1344" s="2867"/>
      <c r="BI1344" s="2867"/>
      <c r="BJ1344" s="2867"/>
      <c r="BK1344" s="2867"/>
      <c r="BL1344" s="2867"/>
      <c r="BM1344" s="2867"/>
      <c r="BN1344" s="2867"/>
      <c r="BO1344" s="2867"/>
      <c r="BP1344" s="2867"/>
      <c r="BQ1344" s="2867"/>
      <c r="BR1344" s="2867"/>
      <c r="BS1344" s="2867"/>
      <c r="BT1344" s="2867"/>
      <c r="BU1344" s="2867"/>
      <c r="BV1344" s="2867"/>
      <c r="BW1344" s="2867"/>
      <c r="BX1344" s="2867"/>
      <c r="BY1344" s="2867"/>
      <c r="BZ1344" s="2867"/>
      <c r="CA1344" s="2867"/>
      <c r="CB1344" s="2867"/>
      <c r="CC1344" s="2867"/>
      <c r="CD1344" s="2867"/>
      <c r="CE1344" s="2867"/>
      <c r="CF1344" s="2867"/>
      <c r="CG1344" s="2867"/>
      <c r="CH1344" s="2867"/>
      <c r="CI1344" s="2867"/>
      <c r="CJ1344" s="2867"/>
      <c r="CK1344" s="2867"/>
      <c r="CL1344" s="2867"/>
      <c r="CM1344" s="2867"/>
      <c r="CN1344" s="2867"/>
      <c r="CO1344" s="2867"/>
      <c r="CP1344" s="2867"/>
      <c r="CQ1344" s="2867"/>
      <c r="CR1344" s="2867"/>
      <c r="CS1344" s="2867"/>
      <c r="CT1344" s="2867"/>
      <c r="CU1344" s="2867"/>
      <c r="CV1344" s="2867"/>
      <c r="CW1344" s="2867"/>
    </row>
    <row r="1345" spans="1:101">
      <c r="A1345" s="2867"/>
      <c r="B1345" s="2867"/>
      <c r="C1345" s="2867"/>
      <c r="D1345" s="2867"/>
      <c r="E1345" s="2867"/>
      <c r="F1345" s="2867"/>
      <c r="G1345" s="2867"/>
      <c r="H1345" s="2867"/>
      <c r="I1345" s="2867"/>
      <c r="J1345" s="2867"/>
      <c r="K1345" s="2867"/>
      <c r="L1345" s="2867"/>
      <c r="M1345" s="2867"/>
      <c r="O1345" s="2867"/>
      <c r="P1345" s="2867"/>
      <c r="Q1345" s="2867"/>
      <c r="R1345" s="2867"/>
      <c r="S1345" s="2867"/>
      <c r="T1345" s="2867"/>
      <c r="U1345" s="2867"/>
      <c r="V1345" s="2867"/>
      <c r="W1345" s="2867"/>
      <c r="X1345" s="2867"/>
      <c r="Y1345" s="2867"/>
      <c r="Z1345" s="2867"/>
      <c r="AA1345" s="2867"/>
      <c r="AB1345" s="2867"/>
      <c r="AC1345" s="2867"/>
      <c r="AD1345" s="2867"/>
      <c r="AE1345" s="2867"/>
      <c r="AF1345" s="2867"/>
      <c r="AG1345" s="2867"/>
      <c r="AH1345" s="2867"/>
      <c r="AI1345" s="2867"/>
      <c r="AJ1345" s="2867"/>
      <c r="AK1345" s="2867"/>
      <c r="AL1345" s="2867"/>
      <c r="AM1345" s="2867"/>
      <c r="AN1345" s="2867"/>
      <c r="AO1345" s="2867"/>
      <c r="AP1345" s="2867"/>
      <c r="AQ1345" s="2867"/>
      <c r="AR1345" s="2867"/>
      <c r="AS1345" s="2867"/>
      <c r="AT1345" s="2867"/>
      <c r="AU1345" s="2867"/>
      <c r="AV1345" s="2867"/>
      <c r="AW1345" s="2867"/>
      <c r="AX1345" s="2867"/>
      <c r="AY1345" s="2867"/>
      <c r="AZ1345" s="2867"/>
      <c r="BA1345" s="2867"/>
      <c r="BB1345" s="2867"/>
      <c r="BC1345" s="2867"/>
      <c r="BD1345" s="2867"/>
      <c r="BE1345" s="2867"/>
      <c r="BF1345" s="2867"/>
      <c r="BG1345" s="2867"/>
      <c r="BH1345" s="2867"/>
      <c r="BI1345" s="2867"/>
      <c r="BJ1345" s="2867"/>
      <c r="BK1345" s="2867"/>
      <c r="BL1345" s="2867"/>
      <c r="BM1345" s="2867"/>
      <c r="BN1345" s="2867"/>
      <c r="BO1345" s="2867"/>
      <c r="BP1345" s="2867"/>
      <c r="BQ1345" s="2867"/>
      <c r="BR1345" s="2867"/>
      <c r="BS1345" s="2867"/>
      <c r="BT1345" s="2867"/>
      <c r="BU1345" s="2867"/>
      <c r="BV1345" s="2867"/>
      <c r="BW1345" s="2867"/>
      <c r="BX1345" s="2867"/>
      <c r="BY1345" s="2867"/>
      <c r="BZ1345" s="2867"/>
      <c r="CA1345" s="2867"/>
      <c r="CB1345" s="2867"/>
      <c r="CC1345" s="2867"/>
      <c r="CD1345" s="2867"/>
      <c r="CE1345" s="2867"/>
      <c r="CF1345" s="2867"/>
      <c r="CG1345" s="2867"/>
      <c r="CH1345" s="2867"/>
      <c r="CI1345" s="2867"/>
      <c r="CJ1345" s="2867"/>
      <c r="CK1345" s="2867"/>
      <c r="CL1345" s="2867"/>
      <c r="CM1345" s="2867"/>
      <c r="CN1345" s="2867"/>
      <c r="CO1345" s="2867"/>
      <c r="CP1345" s="2867"/>
      <c r="CQ1345" s="2867"/>
      <c r="CR1345" s="2867"/>
      <c r="CS1345" s="2867"/>
      <c r="CT1345" s="2867"/>
      <c r="CU1345" s="2867"/>
      <c r="CV1345" s="2867"/>
      <c r="CW1345" s="2867"/>
    </row>
    <row r="1346" spans="1:101">
      <c r="A1346" s="2867"/>
      <c r="B1346" s="2867"/>
      <c r="C1346" s="2867"/>
      <c r="D1346" s="2867"/>
      <c r="E1346" s="2867"/>
      <c r="F1346" s="2867"/>
      <c r="G1346" s="2867"/>
      <c r="H1346" s="2867"/>
      <c r="I1346" s="2867"/>
      <c r="J1346" s="2867"/>
      <c r="K1346" s="2867"/>
      <c r="L1346" s="2867"/>
      <c r="M1346" s="2867"/>
      <c r="O1346" s="2867"/>
      <c r="P1346" s="2867"/>
      <c r="Q1346" s="2867"/>
      <c r="R1346" s="2867"/>
      <c r="S1346" s="2867"/>
      <c r="T1346" s="2867"/>
      <c r="U1346" s="2867"/>
      <c r="V1346" s="2867"/>
      <c r="W1346" s="2867"/>
      <c r="X1346" s="2867"/>
      <c r="Y1346" s="2867"/>
      <c r="Z1346" s="2867"/>
      <c r="AA1346" s="2867"/>
      <c r="AB1346" s="2867"/>
      <c r="AC1346" s="2867"/>
      <c r="AD1346" s="2867"/>
      <c r="AE1346" s="2867"/>
      <c r="AF1346" s="2867"/>
      <c r="AG1346" s="2867"/>
      <c r="AH1346" s="2867"/>
      <c r="AI1346" s="2867"/>
      <c r="AJ1346" s="2867"/>
      <c r="AK1346" s="2867"/>
      <c r="AL1346" s="2867"/>
      <c r="AM1346" s="2867"/>
      <c r="AN1346" s="2867"/>
      <c r="AO1346" s="2867"/>
      <c r="AP1346" s="2867"/>
      <c r="AQ1346" s="2867"/>
      <c r="AR1346" s="2867"/>
      <c r="AS1346" s="2867"/>
      <c r="AT1346" s="2867"/>
      <c r="AU1346" s="2867"/>
      <c r="AV1346" s="2867"/>
      <c r="AW1346" s="2867"/>
      <c r="AX1346" s="2867"/>
      <c r="AY1346" s="2867"/>
      <c r="AZ1346" s="2867"/>
      <c r="BA1346" s="2867"/>
      <c r="BB1346" s="2867"/>
      <c r="BC1346" s="2867"/>
      <c r="BD1346" s="2867"/>
      <c r="BE1346" s="2867"/>
      <c r="BF1346" s="2867"/>
      <c r="BG1346" s="2867"/>
      <c r="BH1346" s="2867"/>
      <c r="BI1346" s="2867"/>
      <c r="BJ1346" s="2867"/>
      <c r="BK1346" s="2867"/>
      <c r="BL1346" s="2867"/>
      <c r="BM1346" s="2867"/>
      <c r="BN1346" s="2867"/>
      <c r="BO1346" s="2867"/>
      <c r="BP1346" s="2867"/>
      <c r="BQ1346" s="2867"/>
      <c r="BR1346" s="2867"/>
      <c r="BS1346" s="2867"/>
      <c r="BT1346" s="2867"/>
      <c r="BU1346" s="2867"/>
      <c r="BV1346" s="2867"/>
      <c r="BW1346" s="2867"/>
      <c r="BX1346" s="2867"/>
      <c r="BY1346" s="2867"/>
      <c r="BZ1346" s="2867"/>
      <c r="CA1346" s="2867"/>
      <c r="CB1346" s="2867"/>
      <c r="CC1346" s="2867"/>
      <c r="CD1346" s="2867"/>
      <c r="CE1346" s="2867"/>
      <c r="CF1346" s="2867"/>
      <c r="CG1346" s="2867"/>
      <c r="CH1346" s="2867"/>
      <c r="CI1346" s="2867"/>
      <c r="CJ1346" s="2867"/>
      <c r="CK1346" s="2867"/>
      <c r="CL1346" s="2867"/>
      <c r="CM1346" s="2867"/>
      <c r="CN1346" s="2867"/>
      <c r="CO1346" s="2867"/>
      <c r="CP1346" s="2867"/>
      <c r="CQ1346" s="2867"/>
      <c r="CR1346" s="2867"/>
      <c r="CS1346" s="2867"/>
      <c r="CT1346" s="2867"/>
      <c r="CU1346" s="2867"/>
      <c r="CV1346" s="2867"/>
      <c r="CW1346" s="2867"/>
    </row>
    <row r="1347" spans="1:101">
      <c r="A1347" s="2867"/>
      <c r="B1347" s="2867"/>
      <c r="C1347" s="2867"/>
      <c r="D1347" s="2867"/>
      <c r="E1347" s="2867"/>
      <c r="F1347" s="2867"/>
      <c r="G1347" s="2867"/>
      <c r="H1347" s="2867"/>
      <c r="I1347" s="2867"/>
      <c r="J1347" s="2867"/>
      <c r="K1347" s="2867"/>
      <c r="L1347" s="2867"/>
      <c r="M1347" s="2867"/>
      <c r="O1347" s="2867"/>
      <c r="P1347" s="2867"/>
      <c r="Q1347" s="2867"/>
      <c r="R1347" s="2867"/>
      <c r="S1347" s="2867"/>
      <c r="T1347" s="2867"/>
      <c r="U1347" s="2867"/>
      <c r="V1347" s="2867"/>
      <c r="W1347" s="2867"/>
      <c r="X1347" s="2867"/>
      <c r="Y1347" s="2867"/>
      <c r="Z1347" s="2867"/>
      <c r="AA1347" s="2867"/>
      <c r="AB1347" s="2867"/>
      <c r="AC1347" s="2867"/>
      <c r="AD1347" s="2867"/>
      <c r="AE1347" s="2867"/>
      <c r="AF1347" s="2867"/>
      <c r="AG1347" s="2867"/>
      <c r="AH1347" s="2867"/>
      <c r="AI1347" s="2867"/>
      <c r="AJ1347" s="2867"/>
      <c r="AK1347" s="2867"/>
      <c r="AL1347" s="2867"/>
      <c r="AM1347" s="2867"/>
      <c r="AN1347" s="2867"/>
      <c r="AO1347" s="2867"/>
      <c r="AP1347" s="2867"/>
      <c r="AQ1347" s="2867"/>
      <c r="AR1347" s="2867"/>
      <c r="AS1347" s="2867"/>
      <c r="AT1347" s="2867"/>
      <c r="AU1347" s="2867"/>
      <c r="AV1347" s="2867"/>
      <c r="AW1347" s="2867"/>
      <c r="AX1347" s="2867"/>
      <c r="AY1347" s="2867"/>
      <c r="AZ1347" s="2867"/>
      <c r="BA1347" s="2867"/>
      <c r="BB1347" s="2867"/>
      <c r="BC1347" s="2867"/>
      <c r="BD1347" s="2867"/>
      <c r="BE1347" s="2867"/>
      <c r="BF1347" s="2867"/>
      <c r="BG1347" s="2867"/>
      <c r="BH1347" s="2867"/>
      <c r="BI1347" s="2867"/>
      <c r="BJ1347" s="2867"/>
      <c r="BK1347" s="2867"/>
      <c r="BL1347" s="2867"/>
      <c r="BM1347" s="2867"/>
      <c r="BN1347" s="2867"/>
      <c r="BO1347" s="2867"/>
      <c r="BP1347" s="2867"/>
      <c r="BQ1347" s="2867"/>
      <c r="BR1347" s="2867"/>
      <c r="BS1347" s="2867"/>
      <c r="BT1347" s="2867"/>
      <c r="BU1347" s="2867"/>
      <c r="BV1347" s="2867"/>
      <c r="BW1347" s="2867"/>
      <c r="BX1347" s="2867"/>
      <c r="BY1347" s="2867"/>
      <c r="BZ1347" s="2867"/>
      <c r="CA1347" s="2867"/>
      <c r="CB1347" s="2867"/>
      <c r="CC1347" s="2867"/>
      <c r="CD1347" s="2867"/>
      <c r="CE1347" s="2867"/>
      <c r="CF1347" s="2867"/>
      <c r="CG1347" s="2867"/>
      <c r="CH1347" s="2867"/>
      <c r="CI1347" s="2867"/>
      <c r="CJ1347" s="2867"/>
      <c r="CK1347" s="2867"/>
      <c r="CL1347" s="2867"/>
      <c r="CM1347" s="2867"/>
      <c r="CN1347" s="2867"/>
      <c r="CO1347" s="2867"/>
      <c r="CP1347" s="2867"/>
      <c r="CQ1347" s="2867"/>
      <c r="CR1347" s="2867"/>
      <c r="CS1347" s="2867"/>
      <c r="CT1347" s="2867"/>
      <c r="CU1347" s="2867"/>
      <c r="CV1347" s="2867"/>
      <c r="CW1347" s="2867"/>
    </row>
    <row r="1348" spans="1:101">
      <c r="A1348" s="2867"/>
      <c r="B1348" s="2867"/>
      <c r="C1348" s="2867"/>
      <c r="D1348" s="2867"/>
      <c r="E1348" s="2867"/>
      <c r="F1348" s="2867"/>
      <c r="G1348" s="2867"/>
      <c r="H1348" s="2867"/>
      <c r="I1348" s="2867"/>
      <c r="J1348" s="2867"/>
      <c r="K1348" s="2867"/>
      <c r="L1348" s="2867"/>
      <c r="M1348" s="2867"/>
      <c r="O1348" s="2867"/>
      <c r="P1348" s="2867"/>
      <c r="Q1348" s="2867"/>
      <c r="R1348" s="2867"/>
      <c r="S1348" s="2867"/>
      <c r="T1348" s="2867"/>
      <c r="U1348" s="2867"/>
      <c r="V1348" s="2867"/>
      <c r="W1348" s="2867"/>
      <c r="X1348" s="2867"/>
      <c r="Y1348" s="2867"/>
      <c r="Z1348" s="2867"/>
      <c r="AA1348" s="2867"/>
      <c r="AB1348" s="2867"/>
      <c r="AC1348" s="2867"/>
      <c r="AD1348" s="2867"/>
      <c r="AE1348" s="2867"/>
      <c r="AF1348" s="2867"/>
      <c r="AG1348" s="2867"/>
      <c r="AH1348" s="2867"/>
      <c r="AI1348" s="2867"/>
      <c r="AJ1348" s="2867"/>
      <c r="AK1348" s="2867"/>
      <c r="AL1348" s="2867"/>
      <c r="AM1348" s="2867"/>
      <c r="AN1348" s="2867"/>
      <c r="AO1348" s="2867"/>
      <c r="AP1348" s="2867"/>
      <c r="AQ1348" s="2867"/>
      <c r="AR1348" s="2867"/>
      <c r="AS1348" s="2867"/>
      <c r="AT1348" s="2867"/>
      <c r="AU1348" s="2867"/>
      <c r="AV1348" s="2867"/>
      <c r="AW1348" s="2867"/>
      <c r="AX1348" s="2867"/>
      <c r="AY1348" s="2867"/>
      <c r="AZ1348" s="2867"/>
      <c r="BA1348" s="2867"/>
      <c r="BB1348" s="2867"/>
      <c r="BC1348" s="2867"/>
      <c r="BD1348" s="2867"/>
      <c r="BE1348" s="2867"/>
      <c r="BF1348" s="2867"/>
      <c r="BG1348" s="2867"/>
      <c r="BH1348" s="2867"/>
      <c r="BI1348" s="2867"/>
      <c r="BJ1348" s="2867"/>
      <c r="BK1348" s="2867"/>
      <c r="BL1348" s="2867"/>
      <c r="BM1348" s="2867"/>
      <c r="BN1348" s="2867"/>
      <c r="BO1348" s="2867"/>
      <c r="BP1348" s="2867"/>
      <c r="BQ1348" s="2867"/>
      <c r="BR1348" s="2867"/>
      <c r="BS1348" s="2867"/>
      <c r="BT1348" s="2867"/>
      <c r="BU1348" s="2867"/>
      <c r="BV1348" s="2867"/>
      <c r="BW1348" s="2867"/>
      <c r="BX1348" s="2867"/>
      <c r="BY1348" s="2867"/>
      <c r="BZ1348" s="2867"/>
      <c r="CA1348" s="2867"/>
      <c r="CB1348" s="2867"/>
      <c r="CC1348" s="2867"/>
      <c r="CD1348" s="2867"/>
      <c r="CE1348" s="2867"/>
      <c r="CF1348" s="2867"/>
      <c r="CG1348" s="2867"/>
      <c r="CH1348" s="2867"/>
      <c r="CI1348" s="2867"/>
      <c r="CJ1348" s="2867"/>
      <c r="CK1348" s="2867"/>
      <c r="CL1348" s="2867"/>
      <c r="CM1348" s="2867"/>
      <c r="CN1348" s="2867"/>
      <c r="CO1348" s="2867"/>
      <c r="CP1348" s="2867"/>
      <c r="CQ1348" s="2867"/>
      <c r="CR1348" s="2867"/>
      <c r="CS1348" s="2867"/>
      <c r="CT1348" s="2867"/>
      <c r="CU1348" s="2867"/>
      <c r="CV1348" s="2867"/>
      <c r="CW1348" s="2867"/>
    </row>
    <row r="1349" spans="1:101">
      <c r="A1349" s="2867"/>
      <c r="B1349" s="2867"/>
      <c r="C1349" s="2867"/>
      <c r="D1349" s="2867"/>
      <c r="E1349" s="2867"/>
      <c r="F1349" s="2867"/>
      <c r="G1349" s="2867"/>
      <c r="H1349" s="2867"/>
      <c r="I1349" s="2867"/>
      <c r="J1349" s="2867"/>
      <c r="K1349" s="2867"/>
      <c r="L1349" s="2867"/>
      <c r="M1349" s="2867"/>
      <c r="O1349" s="2867"/>
      <c r="P1349" s="2867"/>
      <c r="Q1349" s="2867"/>
      <c r="R1349" s="2867"/>
      <c r="S1349" s="2867"/>
      <c r="T1349" s="2867"/>
      <c r="U1349" s="2867"/>
      <c r="V1349" s="2867"/>
      <c r="W1349" s="2867"/>
      <c r="X1349" s="2867"/>
      <c r="Y1349" s="2867"/>
      <c r="Z1349" s="2867"/>
      <c r="AA1349" s="2867"/>
      <c r="AB1349" s="2867"/>
      <c r="AC1349" s="2867"/>
      <c r="AD1349" s="2867"/>
      <c r="AE1349" s="2867"/>
      <c r="AF1349" s="2867"/>
      <c r="AG1349" s="2867"/>
      <c r="AH1349" s="2867"/>
      <c r="AI1349" s="2867"/>
      <c r="AJ1349" s="2867"/>
      <c r="AK1349" s="2867"/>
      <c r="AL1349" s="2867"/>
      <c r="AM1349" s="2867"/>
      <c r="AN1349" s="2867"/>
      <c r="AO1349" s="2867"/>
      <c r="AP1349" s="2867"/>
      <c r="AQ1349" s="2867"/>
      <c r="AR1349" s="2867"/>
      <c r="AS1349" s="2867"/>
      <c r="AT1349" s="2867"/>
      <c r="AU1349" s="2867"/>
      <c r="AV1349" s="2867"/>
      <c r="AW1349" s="2867"/>
      <c r="AX1349" s="2867"/>
      <c r="AY1349" s="2867"/>
      <c r="AZ1349" s="2867"/>
      <c r="BA1349" s="2867"/>
      <c r="BB1349" s="2867"/>
      <c r="BC1349" s="2867"/>
      <c r="BD1349" s="2867"/>
      <c r="BE1349" s="2867"/>
      <c r="BF1349" s="2867"/>
      <c r="BG1349" s="2867"/>
      <c r="BH1349" s="2867"/>
      <c r="BI1349" s="2867"/>
      <c r="BJ1349" s="2867"/>
      <c r="BK1349" s="2867"/>
      <c r="BL1349" s="2867"/>
      <c r="BM1349" s="2867"/>
      <c r="BN1349" s="2867"/>
      <c r="BO1349" s="2867"/>
      <c r="BP1349" s="2867"/>
      <c r="BQ1349" s="2867"/>
      <c r="BR1349" s="2867"/>
      <c r="BS1349" s="2867"/>
      <c r="BT1349" s="2867"/>
      <c r="BU1349" s="2867"/>
      <c r="BV1349" s="2867"/>
      <c r="BW1349" s="2867"/>
      <c r="BX1349" s="2867"/>
      <c r="BY1349" s="2867"/>
      <c r="BZ1349" s="2867"/>
      <c r="CA1349" s="2867"/>
      <c r="CB1349" s="2867"/>
      <c r="CC1349" s="2867"/>
      <c r="CD1349" s="2867"/>
      <c r="CE1349" s="2867"/>
      <c r="CF1349" s="2867"/>
      <c r="CG1349" s="2867"/>
      <c r="CH1349" s="2867"/>
      <c r="CI1349" s="2867"/>
      <c r="CJ1349" s="2867"/>
      <c r="CK1349" s="2867"/>
      <c r="CL1349" s="2867"/>
      <c r="CM1349" s="2867"/>
      <c r="CN1349" s="2867"/>
      <c r="CO1349" s="2867"/>
      <c r="CP1349" s="2867"/>
      <c r="CQ1349" s="2867"/>
      <c r="CR1349" s="2867"/>
      <c r="CS1349" s="2867"/>
      <c r="CT1349" s="2867"/>
      <c r="CU1349" s="2867"/>
      <c r="CV1349" s="2867"/>
      <c r="CW1349" s="2867"/>
    </row>
    <row r="1350" spans="1:101">
      <c r="A1350" s="2867"/>
      <c r="B1350" s="2867"/>
      <c r="C1350" s="2867"/>
      <c r="D1350" s="2867"/>
      <c r="E1350" s="2867"/>
      <c r="F1350" s="2867"/>
      <c r="G1350" s="2867"/>
      <c r="H1350" s="2867"/>
      <c r="I1350" s="2867"/>
      <c r="J1350" s="2867"/>
      <c r="K1350" s="2867"/>
      <c r="L1350" s="2867"/>
      <c r="M1350" s="2867"/>
      <c r="O1350" s="2867"/>
      <c r="P1350" s="2867"/>
      <c r="Q1350" s="2867"/>
      <c r="R1350" s="2867"/>
      <c r="S1350" s="2867"/>
      <c r="T1350" s="2867"/>
      <c r="U1350" s="2867"/>
      <c r="V1350" s="2867"/>
      <c r="W1350" s="2867"/>
      <c r="X1350" s="2867"/>
      <c r="Y1350" s="2867"/>
      <c r="Z1350" s="2867"/>
      <c r="AA1350" s="2867"/>
      <c r="AB1350" s="2867"/>
      <c r="AC1350" s="2867"/>
      <c r="AD1350" s="2867"/>
      <c r="AE1350" s="2867"/>
      <c r="AF1350" s="2867"/>
      <c r="AG1350" s="2867"/>
      <c r="AH1350" s="2867"/>
      <c r="AI1350" s="2867"/>
      <c r="AJ1350" s="2867"/>
      <c r="AK1350" s="2867"/>
      <c r="AL1350" s="2867"/>
      <c r="AM1350" s="2867"/>
      <c r="AN1350" s="2867"/>
      <c r="AO1350" s="2867"/>
      <c r="AP1350" s="2867"/>
      <c r="AQ1350" s="2867"/>
      <c r="AR1350" s="2867"/>
      <c r="AS1350" s="2867"/>
      <c r="AT1350" s="2867"/>
      <c r="AU1350" s="2867"/>
      <c r="AV1350" s="2867"/>
      <c r="AW1350" s="2867"/>
      <c r="AX1350" s="2867"/>
      <c r="AY1350" s="2867"/>
      <c r="AZ1350" s="2867"/>
      <c r="BA1350" s="2867"/>
      <c r="BB1350" s="2867"/>
      <c r="BC1350" s="2867"/>
      <c r="BD1350" s="2867"/>
      <c r="BE1350" s="2867"/>
      <c r="BF1350" s="2867"/>
      <c r="BG1350" s="2867"/>
      <c r="BH1350" s="2867"/>
      <c r="BI1350" s="2867"/>
      <c r="BJ1350" s="2867"/>
      <c r="BK1350" s="2867"/>
      <c r="BL1350" s="2867"/>
      <c r="BM1350" s="2867"/>
      <c r="BN1350" s="2867"/>
      <c r="BO1350" s="2867"/>
      <c r="BP1350" s="2867"/>
      <c r="BQ1350" s="2867"/>
      <c r="BR1350" s="2867"/>
      <c r="BS1350" s="2867"/>
      <c r="BT1350" s="2867"/>
      <c r="BU1350" s="2867"/>
      <c r="BV1350" s="2867"/>
      <c r="BW1350" s="2867"/>
      <c r="BX1350" s="2867"/>
      <c r="BY1350" s="2867"/>
      <c r="BZ1350" s="2867"/>
      <c r="CA1350" s="2867"/>
      <c r="CB1350" s="2867"/>
      <c r="CC1350" s="2867"/>
      <c r="CD1350" s="2867"/>
      <c r="CE1350" s="2867"/>
      <c r="CF1350" s="2867"/>
      <c r="CG1350" s="2867"/>
      <c r="CH1350" s="2867"/>
      <c r="CI1350" s="2867"/>
      <c r="CJ1350" s="2867"/>
      <c r="CK1350" s="2867"/>
      <c r="CL1350" s="2867"/>
      <c r="CM1350" s="2867"/>
      <c r="CN1350" s="2867"/>
      <c r="CO1350" s="2867"/>
      <c r="CP1350" s="2867"/>
      <c r="CQ1350" s="2867"/>
      <c r="CR1350" s="2867"/>
      <c r="CS1350" s="2867"/>
      <c r="CT1350" s="2867"/>
      <c r="CU1350" s="2867"/>
      <c r="CV1350" s="2867"/>
      <c r="CW1350" s="2867"/>
    </row>
    <row r="1351" spans="1:101">
      <c r="A1351" s="2867"/>
      <c r="B1351" s="2867"/>
      <c r="C1351" s="2867"/>
      <c r="D1351" s="2867"/>
      <c r="E1351" s="2867"/>
      <c r="F1351" s="2867"/>
      <c r="G1351" s="2867"/>
      <c r="H1351" s="2867"/>
      <c r="I1351" s="2867"/>
      <c r="J1351" s="2867"/>
      <c r="K1351" s="2867"/>
      <c r="L1351" s="2867"/>
      <c r="M1351" s="2867"/>
      <c r="O1351" s="2867"/>
      <c r="P1351" s="2867"/>
      <c r="Q1351" s="2867"/>
      <c r="R1351" s="2867"/>
      <c r="S1351" s="2867"/>
      <c r="T1351" s="2867"/>
      <c r="U1351" s="2867"/>
      <c r="V1351" s="2867"/>
      <c r="W1351" s="2867"/>
      <c r="X1351" s="2867"/>
      <c r="Y1351" s="2867"/>
      <c r="Z1351" s="2867"/>
      <c r="AA1351" s="2867"/>
      <c r="AB1351" s="2867"/>
      <c r="AC1351" s="2867"/>
      <c r="AD1351" s="2867"/>
      <c r="AE1351" s="2867"/>
      <c r="AF1351" s="2867"/>
      <c r="AG1351" s="2867"/>
      <c r="AH1351" s="2867"/>
      <c r="AI1351" s="2867"/>
      <c r="AJ1351" s="2867"/>
      <c r="AK1351" s="2867"/>
      <c r="AL1351" s="2867"/>
      <c r="AM1351" s="2867"/>
      <c r="AN1351" s="2867"/>
      <c r="AO1351" s="2867"/>
      <c r="AP1351" s="2867"/>
      <c r="AQ1351" s="2867"/>
      <c r="AR1351" s="2867"/>
      <c r="AS1351" s="2867"/>
      <c r="AT1351" s="2867"/>
      <c r="AU1351" s="2867"/>
      <c r="AV1351" s="2867"/>
      <c r="AW1351" s="2867"/>
      <c r="AX1351" s="2867"/>
      <c r="AY1351" s="2867"/>
      <c r="AZ1351" s="2867"/>
      <c r="BA1351" s="2867"/>
      <c r="BB1351" s="2867"/>
      <c r="BC1351" s="2867"/>
      <c r="BD1351" s="2867"/>
      <c r="BE1351" s="2867"/>
      <c r="BF1351" s="2867"/>
      <c r="BG1351" s="2867"/>
      <c r="BH1351" s="2867"/>
      <c r="BI1351" s="2867"/>
      <c r="BJ1351" s="2867"/>
      <c r="BK1351" s="2867"/>
      <c r="BL1351" s="2867"/>
      <c r="BM1351" s="2867"/>
      <c r="BN1351" s="2867"/>
      <c r="BO1351" s="2867"/>
      <c r="BP1351" s="2867"/>
      <c r="BQ1351" s="2867"/>
      <c r="BR1351" s="2867"/>
      <c r="BS1351" s="2867"/>
      <c r="BT1351" s="2867"/>
      <c r="BU1351" s="2867"/>
      <c r="BV1351" s="2867"/>
      <c r="BW1351" s="2867"/>
      <c r="BX1351" s="2867"/>
      <c r="BY1351" s="2867"/>
      <c r="BZ1351" s="2867"/>
      <c r="CA1351" s="2867"/>
      <c r="CB1351" s="2867"/>
      <c r="CC1351" s="2867"/>
      <c r="CD1351" s="2867"/>
      <c r="CE1351" s="2867"/>
      <c r="CF1351" s="2867"/>
      <c r="CG1351" s="2867"/>
      <c r="CH1351" s="2867"/>
      <c r="CI1351" s="2867"/>
      <c r="CJ1351" s="2867"/>
      <c r="CK1351" s="2867"/>
      <c r="CL1351" s="2867"/>
      <c r="CM1351" s="2867"/>
      <c r="CN1351" s="2867"/>
      <c r="CO1351" s="2867"/>
      <c r="CP1351" s="2867"/>
      <c r="CQ1351" s="2867"/>
      <c r="CR1351" s="2867"/>
      <c r="CS1351" s="2867"/>
      <c r="CT1351" s="2867"/>
      <c r="CU1351" s="2867"/>
      <c r="CV1351" s="2867"/>
      <c r="CW1351" s="2867"/>
    </row>
    <row r="1352" spans="1:101">
      <c r="A1352" s="2867"/>
      <c r="B1352" s="2867"/>
      <c r="C1352" s="2867"/>
      <c r="D1352" s="2867"/>
      <c r="E1352" s="2867"/>
      <c r="F1352" s="2867"/>
      <c r="G1352" s="2867"/>
      <c r="H1352" s="2867"/>
      <c r="I1352" s="2867"/>
      <c r="J1352" s="2867"/>
      <c r="K1352" s="2867"/>
      <c r="L1352" s="2867"/>
      <c r="M1352" s="2867"/>
      <c r="O1352" s="2867"/>
      <c r="P1352" s="2867"/>
      <c r="Q1352" s="2867"/>
      <c r="R1352" s="2867"/>
      <c r="S1352" s="2867"/>
      <c r="T1352" s="2867"/>
      <c r="U1352" s="2867"/>
      <c r="V1352" s="2867"/>
      <c r="W1352" s="2867"/>
      <c r="X1352" s="2867"/>
      <c r="Y1352" s="2867"/>
      <c r="Z1352" s="2867"/>
      <c r="AA1352" s="2867"/>
      <c r="AB1352" s="2867"/>
      <c r="AC1352" s="2867"/>
      <c r="AD1352" s="2867"/>
      <c r="AE1352" s="2867"/>
      <c r="AF1352" s="2867"/>
      <c r="AG1352" s="2867"/>
      <c r="AH1352" s="2867"/>
      <c r="AI1352" s="2867"/>
      <c r="AJ1352" s="2867"/>
      <c r="AK1352" s="2867"/>
      <c r="AL1352" s="2867"/>
      <c r="AM1352" s="2867"/>
      <c r="AN1352" s="2867"/>
      <c r="AO1352" s="2867"/>
      <c r="AP1352" s="2867"/>
      <c r="AQ1352" s="2867"/>
      <c r="AR1352" s="2867"/>
      <c r="AS1352" s="2867"/>
      <c r="AT1352" s="2867"/>
      <c r="AU1352" s="2867"/>
      <c r="AV1352" s="2867"/>
      <c r="AW1352" s="2867"/>
      <c r="AX1352" s="2867"/>
      <c r="AY1352" s="2867"/>
      <c r="AZ1352" s="2867"/>
      <c r="BA1352" s="2867"/>
      <c r="BB1352" s="2867"/>
      <c r="BC1352" s="2867"/>
      <c r="BD1352" s="2867"/>
      <c r="BE1352" s="2867"/>
      <c r="BF1352" s="2867"/>
      <c r="BG1352" s="2867"/>
      <c r="BH1352" s="2867"/>
      <c r="BI1352" s="2867"/>
      <c r="BJ1352" s="2867"/>
      <c r="BK1352" s="2867"/>
      <c r="BL1352" s="2867"/>
      <c r="BM1352" s="2867"/>
      <c r="BN1352" s="2867"/>
      <c r="BO1352" s="2867"/>
      <c r="BP1352" s="2867"/>
      <c r="BQ1352" s="2867"/>
      <c r="BR1352" s="2867"/>
      <c r="BS1352" s="2867"/>
      <c r="BT1352" s="2867"/>
      <c r="BU1352" s="2867"/>
      <c r="BV1352" s="2867"/>
      <c r="BW1352" s="2867"/>
      <c r="BX1352" s="2867"/>
      <c r="BY1352" s="2867"/>
      <c r="BZ1352" s="2867"/>
      <c r="CA1352" s="2867"/>
      <c r="CB1352" s="2867"/>
      <c r="CC1352" s="2867"/>
      <c r="CD1352" s="2867"/>
      <c r="CE1352" s="2867"/>
      <c r="CF1352" s="2867"/>
      <c r="CG1352" s="2867"/>
      <c r="CH1352" s="2867"/>
      <c r="CI1352" s="2867"/>
      <c r="CJ1352" s="2867"/>
      <c r="CK1352" s="2867"/>
      <c r="CL1352" s="2867"/>
      <c r="CM1352" s="2867"/>
      <c r="CN1352" s="2867"/>
      <c r="CO1352" s="2867"/>
      <c r="CP1352" s="2867"/>
      <c r="CQ1352" s="2867"/>
      <c r="CR1352" s="2867"/>
      <c r="CS1352" s="2867"/>
      <c r="CT1352" s="2867"/>
      <c r="CU1352" s="2867"/>
      <c r="CV1352" s="2867"/>
      <c r="CW1352" s="2867"/>
    </row>
    <row r="1353" spans="1:101">
      <c r="A1353" s="2867"/>
      <c r="B1353" s="2867"/>
      <c r="C1353" s="2867"/>
      <c r="D1353" s="2867"/>
      <c r="E1353" s="2867"/>
      <c r="F1353" s="2867"/>
      <c r="G1353" s="2867"/>
      <c r="H1353" s="2867"/>
      <c r="I1353" s="2867"/>
      <c r="J1353" s="2867"/>
      <c r="K1353" s="2867"/>
      <c r="L1353" s="2867"/>
      <c r="M1353" s="2867"/>
      <c r="O1353" s="2867"/>
      <c r="P1353" s="2867"/>
      <c r="Q1353" s="2867"/>
      <c r="R1353" s="2867"/>
      <c r="S1353" s="2867"/>
      <c r="T1353" s="2867"/>
      <c r="U1353" s="2867"/>
      <c r="V1353" s="2867"/>
      <c r="W1353" s="2867"/>
      <c r="X1353" s="2867"/>
      <c r="Y1353" s="2867"/>
      <c r="Z1353" s="2867"/>
      <c r="AA1353" s="2867"/>
      <c r="AB1353" s="2867"/>
      <c r="AC1353" s="2867"/>
      <c r="AD1353" s="2867"/>
      <c r="AE1353" s="2867"/>
      <c r="AF1353" s="2867"/>
      <c r="AG1353" s="2867"/>
      <c r="AH1353" s="2867"/>
      <c r="AI1353" s="2867"/>
      <c r="AJ1353" s="2867"/>
      <c r="AK1353" s="2867"/>
      <c r="AL1353" s="2867"/>
      <c r="AM1353" s="2867"/>
      <c r="AN1353" s="2867"/>
      <c r="AO1353" s="2867"/>
      <c r="AP1353" s="2867"/>
      <c r="AQ1353" s="2867"/>
      <c r="AR1353" s="2867"/>
      <c r="AS1353" s="2867"/>
      <c r="AT1353" s="2867"/>
      <c r="AU1353" s="2867"/>
      <c r="AV1353" s="2867"/>
      <c r="AW1353" s="2867"/>
      <c r="AX1353" s="2867"/>
      <c r="AY1353" s="2867"/>
      <c r="AZ1353" s="2867"/>
      <c r="BA1353" s="2867"/>
      <c r="BB1353" s="2867"/>
      <c r="BC1353" s="2867"/>
      <c r="BD1353" s="2867"/>
      <c r="BE1353" s="2867"/>
      <c r="BF1353" s="2867"/>
      <c r="BG1353" s="2867"/>
      <c r="BH1353" s="2867"/>
      <c r="BI1353" s="2867"/>
      <c r="BJ1353" s="2867"/>
      <c r="BK1353" s="2867"/>
      <c r="BL1353" s="2867"/>
      <c r="BM1353" s="2867"/>
      <c r="BN1353" s="2867"/>
      <c r="BO1353" s="2867"/>
      <c r="BP1353" s="2867"/>
      <c r="BQ1353" s="2867"/>
      <c r="BR1353" s="2867"/>
      <c r="BS1353" s="2867"/>
      <c r="BT1353" s="2867"/>
      <c r="BU1353" s="2867"/>
      <c r="BV1353" s="2867"/>
      <c r="BW1353" s="2867"/>
      <c r="BX1353" s="2867"/>
      <c r="BY1353" s="2867"/>
      <c r="BZ1353" s="2867"/>
      <c r="CA1353" s="2867"/>
      <c r="CB1353" s="2867"/>
      <c r="CC1353" s="2867"/>
      <c r="CD1353" s="2867"/>
      <c r="CE1353" s="2867"/>
      <c r="CF1353" s="2867"/>
      <c r="CG1353" s="2867"/>
      <c r="CH1353" s="2867"/>
      <c r="CI1353" s="2867"/>
      <c r="CJ1353" s="2867"/>
      <c r="CK1353" s="2867"/>
      <c r="CL1353" s="2867"/>
      <c r="CM1353" s="2867"/>
      <c r="CN1353" s="2867"/>
      <c r="CO1353" s="2867"/>
      <c r="CP1353" s="2867"/>
      <c r="CQ1353" s="2867"/>
      <c r="CR1353" s="2867"/>
      <c r="CS1353" s="2867"/>
      <c r="CT1353" s="2867"/>
      <c r="CU1353" s="2867"/>
      <c r="CV1353" s="2867"/>
      <c r="CW1353" s="2867"/>
    </row>
    <row r="1354" spans="1:101">
      <c r="A1354" s="2867"/>
      <c r="B1354" s="2867"/>
      <c r="C1354" s="2867"/>
      <c r="D1354" s="2867"/>
      <c r="E1354" s="2867"/>
      <c r="F1354" s="2867"/>
      <c r="G1354" s="2867"/>
      <c r="H1354" s="2867"/>
      <c r="I1354" s="2867"/>
      <c r="J1354" s="2867"/>
      <c r="K1354" s="2867"/>
      <c r="L1354" s="2867"/>
      <c r="M1354" s="2867"/>
      <c r="O1354" s="2867"/>
      <c r="P1354" s="2867"/>
      <c r="Q1354" s="2867"/>
      <c r="R1354" s="2867"/>
      <c r="S1354" s="2867"/>
      <c r="T1354" s="2867"/>
      <c r="U1354" s="2867"/>
      <c r="V1354" s="2867"/>
      <c r="W1354" s="2867"/>
      <c r="X1354" s="2867"/>
      <c r="Y1354" s="2867"/>
      <c r="Z1354" s="2867"/>
      <c r="AA1354" s="2867"/>
      <c r="AB1354" s="2867"/>
      <c r="AC1354" s="2867"/>
      <c r="AD1354" s="2867"/>
      <c r="AE1354" s="2867"/>
      <c r="AF1354" s="2867"/>
      <c r="AG1354" s="2867"/>
      <c r="AH1354" s="2867"/>
      <c r="AI1354" s="2867"/>
      <c r="AJ1354" s="2867"/>
      <c r="AK1354" s="2867"/>
      <c r="AL1354" s="2867"/>
      <c r="AM1354" s="2867"/>
      <c r="AN1354" s="2867"/>
      <c r="AO1354" s="2867"/>
      <c r="AP1354" s="2867"/>
      <c r="AQ1354" s="2867"/>
      <c r="AR1354" s="2867"/>
      <c r="AS1354" s="2867"/>
      <c r="AT1354" s="2867"/>
      <c r="AU1354" s="2867"/>
      <c r="AV1354" s="2867"/>
      <c r="AW1354" s="2867"/>
      <c r="AX1354" s="2867"/>
      <c r="AY1354" s="2867"/>
      <c r="AZ1354" s="2867"/>
      <c r="BA1354" s="2867"/>
      <c r="BB1354" s="2867"/>
      <c r="BC1354" s="2867"/>
      <c r="BD1354" s="2867"/>
      <c r="BE1354" s="2867"/>
      <c r="BF1354" s="2867"/>
      <c r="BG1354" s="2867"/>
      <c r="BH1354" s="2867"/>
      <c r="BI1354" s="2867"/>
      <c r="BJ1354" s="2867"/>
      <c r="BK1354" s="2867"/>
      <c r="BL1354" s="2867"/>
      <c r="BM1354" s="2867"/>
      <c r="BN1354" s="2867"/>
      <c r="BO1354" s="2867"/>
      <c r="BP1354" s="2867"/>
      <c r="BQ1354" s="2867"/>
      <c r="BR1354" s="2867"/>
      <c r="BS1354" s="2867"/>
      <c r="BT1354" s="2867"/>
      <c r="BU1354" s="2867"/>
      <c r="BV1354" s="2867"/>
      <c r="BW1354" s="2867"/>
      <c r="BX1354" s="2867"/>
      <c r="BY1354" s="2867"/>
      <c r="BZ1354" s="2867"/>
      <c r="CA1354" s="2867"/>
      <c r="CB1354" s="2867"/>
      <c r="CC1354" s="2867"/>
      <c r="CD1354" s="2867"/>
      <c r="CE1354" s="2867"/>
      <c r="CF1354" s="2867"/>
      <c r="CG1354" s="2867"/>
      <c r="CH1354" s="2867"/>
      <c r="CI1354" s="2867"/>
      <c r="CJ1354" s="2867"/>
      <c r="CK1354" s="2867"/>
      <c r="CL1354" s="2867"/>
      <c r="CM1354" s="2867"/>
      <c r="CN1354" s="2867"/>
      <c r="CO1354" s="2867"/>
      <c r="CP1354" s="2867"/>
      <c r="CQ1354" s="2867"/>
      <c r="CR1354" s="2867"/>
      <c r="CS1354" s="2867"/>
      <c r="CT1354" s="2867"/>
      <c r="CU1354" s="2867"/>
      <c r="CV1354" s="2867"/>
      <c r="CW1354" s="2867"/>
    </row>
    <row r="1355" spans="1:101">
      <c r="A1355" s="2867"/>
      <c r="B1355" s="2867"/>
      <c r="C1355" s="2867"/>
      <c r="D1355" s="2867"/>
      <c r="E1355" s="2867"/>
      <c r="F1355" s="2867"/>
      <c r="G1355" s="2867"/>
      <c r="H1355" s="2867"/>
      <c r="I1355" s="2867"/>
      <c r="J1355" s="2867"/>
      <c r="K1355" s="2867"/>
      <c r="L1355" s="2867"/>
      <c r="M1355" s="2867"/>
      <c r="O1355" s="2867"/>
      <c r="P1355" s="2867"/>
      <c r="Q1355" s="2867"/>
      <c r="R1355" s="2867"/>
      <c r="S1355" s="2867"/>
      <c r="T1355" s="2867"/>
      <c r="U1355" s="2867"/>
      <c r="V1355" s="2867"/>
      <c r="W1355" s="2867"/>
      <c r="X1355" s="2867"/>
      <c r="Y1355" s="2867"/>
      <c r="Z1355" s="2867"/>
      <c r="AA1355" s="2867"/>
      <c r="AB1355" s="2867"/>
      <c r="AC1355" s="2867"/>
      <c r="AD1355" s="2867"/>
      <c r="AE1355" s="2867"/>
      <c r="AF1355" s="2867"/>
      <c r="AG1355" s="2867"/>
      <c r="AH1355" s="2867"/>
      <c r="AI1355" s="2867"/>
      <c r="AJ1355" s="2867"/>
      <c r="AK1355" s="2867"/>
      <c r="AL1355" s="2867"/>
      <c r="AM1355" s="2867"/>
      <c r="AN1355" s="2867"/>
      <c r="AO1355" s="2867"/>
      <c r="AP1355" s="2867"/>
      <c r="AQ1355" s="2867"/>
      <c r="AR1355" s="2867"/>
      <c r="AS1355" s="2867"/>
      <c r="AT1355" s="2867"/>
      <c r="AU1355" s="2867"/>
      <c r="AV1355" s="2867"/>
      <c r="AW1355" s="2867"/>
      <c r="AX1355" s="2867"/>
      <c r="AY1355" s="2867"/>
      <c r="AZ1355" s="2867"/>
      <c r="BA1355" s="2867"/>
      <c r="BB1355" s="2867"/>
      <c r="BC1355" s="2867"/>
      <c r="BD1355" s="2867"/>
      <c r="BE1355" s="2867"/>
      <c r="BF1355" s="2867"/>
      <c r="BG1355" s="2867"/>
      <c r="BH1355" s="2867"/>
      <c r="BI1355" s="2867"/>
      <c r="BJ1355" s="2867"/>
      <c r="BK1355" s="2867"/>
      <c r="BL1355" s="2867"/>
      <c r="BM1355" s="2867"/>
      <c r="BN1355" s="2867"/>
      <c r="BO1355" s="2867"/>
      <c r="BP1355" s="2867"/>
      <c r="BQ1355" s="2867"/>
      <c r="BR1355" s="2867"/>
      <c r="BS1355" s="2867"/>
      <c r="BT1355" s="2867"/>
      <c r="BU1355" s="2867"/>
      <c r="BV1355" s="2867"/>
      <c r="BW1355" s="2867"/>
      <c r="BX1355" s="2867"/>
      <c r="BY1355" s="2867"/>
      <c r="BZ1355" s="2867"/>
      <c r="CA1355" s="2867"/>
      <c r="CB1355" s="2867"/>
      <c r="CC1355" s="2867"/>
      <c r="CD1355" s="2867"/>
      <c r="CE1355" s="2867"/>
      <c r="CF1355" s="2867"/>
      <c r="CG1355" s="2867"/>
      <c r="CH1355" s="2867"/>
      <c r="CI1355" s="2867"/>
      <c r="CJ1355" s="2867"/>
      <c r="CK1355" s="2867"/>
      <c r="CL1355" s="2867"/>
      <c r="CM1355" s="2867"/>
      <c r="CN1355" s="2867"/>
      <c r="CO1355" s="2867"/>
      <c r="CP1355" s="2867"/>
      <c r="CQ1355" s="2867"/>
      <c r="CR1355" s="2867"/>
      <c r="CS1355" s="2867"/>
      <c r="CT1355" s="2867"/>
      <c r="CU1355" s="2867"/>
      <c r="CV1355" s="2867"/>
      <c r="CW1355" s="2867"/>
    </row>
    <row r="1356" spans="1:101">
      <c r="A1356" s="2867"/>
      <c r="B1356" s="2867"/>
      <c r="C1356" s="2867"/>
      <c r="D1356" s="2867"/>
      <c r="E1356" s="2867"/>
      <c r="F1356" s="2867"/>
      <c r="G1356" s="2867"/>
      <c r="H1356" s="2867"/>
      <c r="I1356" s="2867"/>
      <c r="J1356" s="2867"/>
      <c r="K1356" s="2867"/>
      <c r="L1356" s="2867"/>
      <c r="M1356" s="2867"/>
      <c r="O1356" s="2867"/>
      <c r="P1356" s="2867"/>
      <c r="Q1356" s="2867"/>
      <c r="R1356" s="2867"/>
      <c r="S1356" s="2867"/>
      <c r="T1356" s="2867"/>
      <c r="U1356" s="2867"/>
      <c r="V1356" s="2867"/>
      <c r="W1356" s="2867"/>
      <c r="X1356" s="2867"/>
      <c r="Y1356" s="2867"/>
      <c r="Z1356" s="2867"/>
      <c r="AA1356" s="2867"/>
      <c r="AB1356" s="2867"/>
      <c r="AC1356" s="2867"/>
      <c r="AD1356" s="2867"/>
      <c r="AE1356" s="2867"/>
      <c r="AF1356" s="2867"/>
      <c r="AG1356" s="2867"/>
      <c r="AH1356" s="2867"/>
      <c r="AI1356" s="2867"/>
      <c r="AJ1356" s="2867"/>
      <c r="AK1356" s="2867"/>
      <c r="AL1356" s="2867"/>
      <c r="AM1356" s="2867"/>
      <c r="AN1356" s="2867"/>
      <c r="AO1356" s="2867"/>
      <c r="AP1356" s="2867"/>
      <c r="AQ1356" s="2867"/>
      <c r="AR1356" s="2867"/>
      <c r="AS1356" s="2867"/>
      <c r="AT1356" s="2867"/>
      <c r="AU1356" s="2867"/>
      <c r="AV1356" s="2867"/>
      <c r="AW1356" s="2867"/>
      <c r="AX1356" s="2867"/>
      <c r="AY1356" s="2867"/>
      <c r="AZ1356" s="2867"/>
      <c r="BA1356" s="2867"/>
      <c r="BB1356" s="2867"/>
      <c r="BC1356" s="2867"/>
      <c r="BD1356" s="2867"/>
      <c r="BE1356" s="2867"/>
      <c r="BF1356" s="2867"/>
      <c r="BG1356" s="2867"/>
      <c r="BH1356" s="2867"/>
      <c r="BI1356" s="2867"/>
      <c r="BJ1356" s="2867"/>
      <c r="BK1356" s="2867"/>
      <c r="BL1356" s="2867"/>
      <c r="BM1356" s="2867"/>
      <c r="BN1356" s="2867"/>
      <c r="BO1356" s="2867"/>
      <c r="BP1356" s="2867"/>
      <c r="BQ1356" s="2867"/>
      <c r="BR1356" s="2867"/>
      <c r="BS1356" s="2867"/>
      <c r="BT1356" s="2867"/>
      <c r="BU1356" s="2867"/>
      <c r="BV1356" s="2867"/>
      <c r="BW1356" s="2867"/>
      <c r="BX1356" s="2867"/>
      <c r="BY1356" s="2867"/>
      <c r="BZ1356" s="2867"/>
      <c r="CA1356" s="2867"/>
      <c r="CB1356" s="2867"/>
      <c r="CC1356" s="2867"/>
      <c r="CD1356" s="2867"/>
      <c r="CE1356" s="2867"/>
      <c r="CF1356" s="2867"/>
      <c r="CG1356" s="2867"/>
      <c r="CH1356" s="2867"/>
      <c r="CI1356" s="2867"/>
      <c r="CJ1356" s="2867"/>
      <c r="CK1356" s="2867"/>
      <c r="CL1356" s="2867"/>
      <c r="CM1356" s="2867"/>
      <c r="CN1356" s="2867"/>
      <c r="CO1356" s="2867"/>
      <c r="CP1356" s="2867"/>
      <c r="CQ1356" s="2867"/>
      <c r="CR1356" s="2867"/>
      <c r="CS1356" s="2867"/>
      <c r="CT1356" s="2867"/>
      <c r="CU1356" s="2867"/>
      <c r="CV1356" s="2867"/>
      <c r="CW1356" s="2867"/>
    </row>
    <row r="1357" spans="1:101">
      <c r="A1357" s="2867"/>
      <c r="B1357" s="2867"/>
      <c r="C1357" s="2867"/>
      <c r="D1357" s="2867"/>
      <c r="E1357" s="2867"/>
      <c r="F1357" s="2867"/>
      <c r="G1357" s="2867"/>
      <c r="H1357" s="2867"/>
      <c r="I1357" s="2867"/>
      <c r="J1357" s="2867"/>
      <c r="K1357" s="2867"/>
      <c r="L1357" s="2867"/>
      <c r="M1357" s="2867"/>
      <c r="O1357" s="2867"/>
      <c r="P1357" s="2867"/>
      <c r="Q1357" s="2867"/>
      <c r="R1357" s="2867"/>
      <c r="S1357" s="2867"/>
      <c r="T1357" s="2867"/>
      <c r="U1357" s="2867"/>
      <c r="V1357" s="2867"/>
      <c r="W1357" s="2867"/>
      <c r="X1357" s="2867"/>
      <c r="Y1357" s="2867"/>
      <c r="Z1357" s="2867"/>
      <c r="AA1357" s="2867"/>
      <c r="AB1357" s="2867"/>
      <c r="AC1357" s="2867"/>
      <c r="AD1357" s="2867"/>
      <c r="AE1357" s="2867"/>
      <c r="AF1357" s="2867"/>
      <c r="AG1357" s="2867"/>
      <c r="AH1357" s="2867"/>
      <c r="AI1357" s="2867"/>
      <c r="AJ1357" s="2867"/>
      <c r="AK1357" s="2867"/>
      <c r="AL1357" s="2867"/>
      <c r="AM1357" s="2867"/>
      <c r="AN1357" s="2867"/>
      <c r="AO1357" s="2867"/>
      <c r="AP1357" s="2867"/>
      <c r="AQ1357" s="2867"/>
      <c r="AR1357" s="2867"/>
      <c r="AS1357" s="2867"/>
      <c r="AT1357" s="2867"/>
      <c r="AU1357" s="2867"/>
      <c r="AV1357" s="2867"/>
      <c r="AW1357" s="2867"/>
      <c r="AX1357" s="2867"/>
      <c r="AY1357" s="2867"/>
      <c r="AZ1357" s="2867"/>
      <c r="BA1357" s="2867"/>
      <c r="BB1357" s="2867"/>
      <c r="BC1357" s="2867"/>
      <c r="BD1357" s="2867"/>
      <c r="BE1357" s="2867"/>
      <c r="BF1357" s="2867"/>
      <c r="BG1357" s="2867"/>
      <c r="BH1357" s="2867"/>
      <c r="BI1357" s="2867"/>
      <c r="BJ1357" s="2867"/>
      <c r="BK1357" s="2867"/>
      <c r="BL1357" s="2867"/>
      <c r="BM1357" s="2867"/>
      <c r="BN1357" s="2867"/>
      <c r="BO1357" s="2867"/>
      <c r="BP1357" s="2867"/>
      <c r="BQ1357" s="2867"/>
      <c r="BR1357" s="2867"/>
      <c r="BS1357" s="2867"/>
      <c r="BT1357" s="2867"/>
      <c r="BU1357" s="2867"/>
      <c r="BV1357" s="2867"/>
      <c r="BW1357" s="2867"/>
      <c r="BX1357" s="2867"/>
      <c r="BY1357" s="2867"/>
      <c r="BZ1357" s="2867"/>
      <c r="CA1357" s="2867"/>
      <c r="CB1357" s="2867"/>
      <c r="CC1357" s="2867"/>
      <c r="CD1357" s="2867"/>
      <c r="CE1357" s="2867"/>
      <c r="CF1357" s="2867"/>
      <c r="CG1357" s="2867"/>
      <c r="CH1357" s="2867"/>
      <c r="CI1357" s="2867"/>
      <c r="CJ1357" s="2867"/>
      <c r="CK1357" s="2867"/>
      <c r="CL1357" s="2867"/>
      <c r="CM1357" s="2867"/>
      <c r="CN1357" s="2867"/>
      <c r="CO1357" s="2867"/>
      <c r="CP1357" s="2867"/>
      <c r="CQ1357" s="2867"/>
      <c r="CR1357" s="2867"/>
      <c r="CS1357" s="2867"/>
      <c r="CT1357" s="2867"/>
      <c r="CU1357" s="2867"/>
      <c r="CV1357" s="2867"/>
      <c r="CW1357" s="2867"/>
    </row>
    <row r="1358" spans="1:101">
      <c r="A1358" s="2867"/>
      <c r="B1358" s="2867"/>
      <c r="C1358" s="2867"/>
      <c r="D1358" s="2867"/>
      <c r="E1358" s="2867"/>
      <c r="F1358" s="2867"/>
      <c r="G1358" s="2867"/>
      <c r="H1358" s="2867"/>
      <c r="I1358" s="2867"/>
      <c r="J1358" s="2867"/>
      <c r="K1358" s="2867"/>
      <c r="L1358" s="2867"/>
      <c r="M1358" s="2867"/>
      <c r="O1358" s="2867"/>
      <c r="P1358" s="2867"/>
      <c r="Q1358" s="2867"/>
      <c r="R1358" s="2867"/>
      <c r="S1358" s="2867"/>
      <c r="T1358" s="2867"/>
      <c r="U1358" s="2867"/>
      <c r="V1358" s="2867"/>
      <c r="W1358" s="2867"/>
      <c r="X1358" s="2867"/>
      <c r="Y1358" s="2867"/>
      <c r="Z1358" s="2867"/>
      <c r="AA1358" s="2867"/>
      <c r="AB1358" s="2867"/>
      <c r="AC1358" s="2867"/>
      <c r="AD1358" s="2867"/>
      <c r="AE1358" s="2867"/>
      <c r="AF1358" s="2867"/>
      <c r="AG1358" s="2867"/>
      <c r="AH1358" s="2867"/>
      <c r="AI1358" s="2867"/>
      <c r="AJ1358" s="2867"/>
      <c r="AK1358" s="2867"/>
      <c r="AL1358" s="2867"/>
      <c r="AM1358" s="2867"/>
      <c r="AN1358" s="2867"/>
      <c r="AO1358" s="2867"/>
      <c r="AP1358" s="2867"/>
      <c r="AQ1358" s="2867"/>
      <c r="AR1358" s="2867"/>
      <c r="AS1358" s="2867"/>
      <c r="AT1358" s="2867"/>
      <c r="AU1358" s="2867"/>
      <c r="AV1358" s="2867"/>
      <c r="AW1358" s="2867"/>
      <c r="AX1358" s="2867"/>
      <c r="AY1358" s="2867"/>
      <c r="AZ1358" s="2867"/>
      <c r="BA1358" s="2867"/>
      <c r="BB1358" s="2867"/>
      <c r="BC1358" s="2867"/>
      <c r="BD1358" s="2867"/>
      <c r="BE1358" s="2867"/>
      <c r="BF1358" s="2867"/>
      <c r="BG1358" s="2867"/>
      <c r="BH1358" s="2867"/>
      <c r="BI1358" s="2867"/>
      <c r="BJ1358" s="2867"/>
      <c r="BK1358" s="2867"/>
      <c r="BL1358" s="2867"/>
      <c r="BM1358" s="2867"/>
      <c r="BN1358" s="2867"/>
      <c r="BO1358" s="2867"/>
      <c r="BP1358" s="2867"/>
      <c r="BQ1358" s="2867"/>
      <c r="BR1358" s="2867"/>
      <c r="BS1358" s="2867"/>
      <c r="BT1358" s="2867"/>
      <c r="BU1358" s="2867"/>
      <c r="BV1358" s="2867"/>
      <c r="BW1358" s="2867"/>
      <c r="BX1358" s="2867"/>
      <c r="BY1358" s="2867"/>
      <c r="BZ1358" s="2867"/>
      <c r="CA1358" s="2867"/>
      <c r="CB1358" s="2867"/>
      <c r="CC1358" s="2867"/>
      <c r="CD1358" s="2867"/>
      <c r="CE1358" s="2867"/>
      <c r="CF1358" s="2867"/>
      <c r="CG1358" s="2867"/>
      <c r="CH1358" s="2867"/>
      <c r="CI1358" s="2867"/>
      <c r="CJ1358" s="2867"/>
      <c r="CK1358" s="2867"/>
      <c r="CL1358" s="2867"/>
      <c r="CM1358" s="2867"/>
      <c r="CN1358" s="2867"/>
      <c r="CO1358" s="2867"/>
      <c r="CP1358" s="2867"/>
      <c r="CQ1358" s="2867"/>
      <c r="CR1358" s="2867"/>
      <c r="CS1358" s="2867"/>
      <c r="CT1358" s="2867"/>
      <c r="CU1358" s="2867"/>
      <c r="CV1358" s="2867"/>
      <c r="CW1358" s="2867"/>
    </row>
    <row r="1359" spans="1:101">
      <c r="A1359" s="2867"/>
      <c r="B1359" s="2867"/>
      <c r="C1359" s="2867"/>
      <c r="D1359" s="2867"/>
      <c r="E1359" s="2867"/>
      <c r="F1359" s="2867"/>
      <c r="G1359" s="2867"/>
      <c r="H1359" s="2867"/>
      <c r="I1359" s="2867"/>
      <c r="J1359" s="2867"/>
      <c r="K1359" s="2867"/>
      <c r="L1359" s="2867"/>
      <c r="M1359" s="2867"/>
      <c r="O1359" s="2867"/>
      <c r="P1359" s="2867"/>
      <c r="Q1359" s="2867"/>
      <c r="R1359" s="2867"/>
      <c r="S1359" s="2867"/>
      <c r="T1359" s="2867"/>
      <c r="U1359" s="2867"/>
      <c r="V1359" s="2867"/>
      <c r="W1359" s="2867"/>
      <c r="X1359" s="2867"/>
      <c r="Y1359" s="2867"/>
      <c r="Z1359" s="2867"/>
      <c r="AA1359" s="2867"/>
      <c r="AB1359" s="2867"/>
      <c r="AC1359" s="2867"/>
      <c r="AD1359" s="2867"/>
      <c r="AE1359" s="2867"/>
      <c r="AF1359" s="2867"/>
      <c r="AG1359" s="2867"/>
      <c r="AH1359" s="2867"/>
      <c r="AI1359" s="2867"/>
      <c r="AJ1359" s="2867"/>
      <c r="AK1359" s="2867"/>
      <c r="AL1359" s="2867"/>
      <c r="AM1359" s="2867"/>
      <c r="AN1359" s="2867"/>
      <c r="AO1359" s="2867"/>
      <c r="AP1359" s="2867"/>
      <c r="AQ1359" s="2867"/>
      <c r="AR1359" s="2867"/>
      <c r="AS1359" s="2867"/>
      <c r="AT1359" s="2867"/>
      <c r="AU1359" s="2867"/>
      <c r="AV1359" s="2867"/>
      <c r="AW1359" s="2867"/>
      <c r="AX1359" s="2867"/>
      <c r="AY1359" s="2867"/>
      <c r="AZ1359" s="2867"/>
      <c r="BA1359" s="2867"/>
      <c r="BB1359" s="2867"/>
      <c r="BC1359" s="2867"/>
      <c r="BD1359" s="2867"/>
      <c r="BE1359" s="2867"/>
      <c r="BF1359" s="2867"/>
      <c r="BG1359" s="2867"/>
      <c r="BH1359" s="2867"/>
      <c r="BI1359" s="2867"/>
      <c r="BJ1359" s="2867"/>
      <c r="BK1359" s="2867"/>
      <c r="BL1359" s="2867"/>
      <c r="BM1359" s="2867"/>
      <c r="BN1359" s="2867"/>
      <c r="BO1359" s="2867"/>
      <c r="BP1359" s="2867"/>
      <c r="BQ1359" s="2867"/>
      <c r="BR1359" s="2867"/>
      <c r="BS1359" s="2867"/>
      <c r="BT1359" s="2867"/>
      <c r="BU1359" s="2867"/>
      <c r="BV1359" s="2867"/>
      <c r="BW1359" s="2867"/>
      <c r="BX1359" s="2867"/>
      <c r="BY1359" s="2867"/>
      <c r="BZ1359" s="2867"/>
      <c r="CA1359" s="2867"/>
      <c r="CB1359" s="2867"/>
      <c r="CC1359" s="2867"/>
      <c r="CD1359" s="2867"/>
      <c r="CE1359" s="2867"/>
      <c r="CF1359" s="2867"/>
      <c r="CG1359" s="2867"/>
      <c r="CH1359" s="2867"/>
      <c r="CI1359" s="2867"/>
      <c r="CJ1359" s="2867"/>
      <c r="CK1359" s="2867"/>
      <c r="CL1359" s="2867"/>
      <c r="CM1359" s="2867"/>
      <c r="CN1359" s="2867"/>
      <c r="CO1359" s="2867"/>
      <c r="CP1359" s="2867"/>
      <c r="CQ1359" s="2867"/>
      <c r="CR1359" s="2867"/>
      <c r="CS1359" s="2867"/>
      <c r="CT1359" s="2867"/>
      <c r="CU1359" s="2867"/>
      <c r="CV1359" s="2867"/>
      <c r="CW1359" s="2867"/>
    </row>
    <row r="1360" spans="1:101">
      <c r="A1360" s="2867"/>
      <c r="B1360" s="2867"/>
      <c r="C1360" s="2867"/>
      <c r="D1360" s="2867"/>
      <c r="E1360" s="2867"/>
      <c r="F1360" s="2867"/>
      <c r="G1360" s="2867"/>
      <c r="H1360" s="2867"/>
      <c r="I1360" s="2867"/>
      <c r="J1360" s="2867"/>
      <c r="K1360" s="2867"/>
      <c r="L1360" s="2867"/>
      <c r="M1360" s="2867"/>
      <c r="O1360" s="2867"/>
      <c r="P1360" s="2867"/>
      <c r="Q1360" s="2867"/>
      <c r="R1360" s="2867"/>
      <c r="S1360" s="2867"/>
      <c r="T1360" s="2867"/>
      <c r="U1360" s="2867"/>
      <c r="V1360" s="2867"/>
      <c r="W1360" s="2867"/>
      <c r="X1360" s="2867"/>
      <c r="Y1360" s="2867"/>
      <c r="Z1360" s="2867"/>
      <c r="AA1360" s="2867"/>
      <c r="AB1360" s="2867"/>
      <c r="AC1360" s="2867"/>
      <c r="AD1360" s="2867"/>
      <c r="AE1360" s="2867"/>
      <c r="AF1360" s="2867"/>
      <c r="AG1360" s="2867"/>
      <c r="AH1360" s="2867"/>
      <c r="AI1360" s="2867"/>
      <c r="AJ1360" s="2867"/>
      <c r="AK1360" s="2867"/>
      <c r="AL1360" s="2867"/>
      <c r="AM1360" s="2867"/>
      <c r="AN1360" s="2867"/>
      <c r="AO1360" s="2867"/>
      <c r="AP1360" s="2867"/>
      <c r="AQ1360" s="2867"/>
      <c r="AR1360" s="2867"/>
      <c r="AS1360" s="2867"/>
      <c r="AT1360" s="2867"/>
      <c r="AU1360" s="2867"/>
      <c r="AV1360" s="2867"/>
      <c r="AW1360" s="2867"/>
      <c r="AX1360" s="2867"/>
      <c r="AY1360" s="2867"/>
      <c r="AZ1360" s="2867"/>
      <c r="BA1360" s="2867"/>
      <c r="BB1360" s="2867"/>
      <c r="BC1360" s="2867"/>
      <c r="BD1360" s="2867"/>
      <c r="BE1360" s="2867"/>
      <c r="BF1360" s="2867"/>
      <c r="BG1360" s="2867"/>
      <c r="BH1360" s="2867"/>
      <c r="BI1360" s="2867"/>
      <c r="BJ1360" s="2867"/>
      <c r="BK1360" s="2867"/>
      <c r="BL1360" s="2867"/>
      <c r="BM1360" s="2867"/>
      <c r="BN1360" s="2867"/>
      <c r="BO1360" s="2867"/>
      <c r="BP1360" s="2867"/>
      <c r="BQ1360" s="2867"/>
      <c r="BR1360" s="2867"/>
      <c r="BS1360" s="2867"/>
      <c r="BT1360" s="2867"/>
      <c r="BU1360" s="2867"/>
      <c r="BV1360" s="2867"/>
      <c r="BW1360" s="2867"/>
      <c r="BX1360" s="2867"/>
      <c r="BY1360" s="2867"/>
      <c r="BZ1360" s="2867"/>
      <c r="CA1360" s="2867"/>
      <c r="CB1360" s="2867"/>
      <c r="CC1360" s="2867"/>
      <c r="CD1360" s="2867"/>
      <c r="CE1360" s="2867"/>
      <c r="CF1360" s="2867"/>
      <c r="CG1360" s="2867"/>
      <c r="CH1360" s="2867"/>
      <c r="CI1360" s="2867"/>
      <c r="CJ1360" s="2867"/>
      <c r="CK1360" s="2867"/>
      <c r="CL1360" s="2867"/>
      <c r="CM1360" s="2867"/>
      <c r="CN1360" s="2867"/>
      <c r="CO1360" s="2867"/>
      <c r="CP1360" s="2867"/>
      <c r="CQ1360" s="2867"/>
      <c r="CR1360" s="2867"/>
      <c r="CS1360" s="2867"/>
      <c r="CT1360" s="2867"/>
      <c r="CU1360" s="2867"/>
      <c r="CV1360" s="2867"/>
      <c r="CW1360" s="2867"/>
    </row>
    <row r="1361" spans="1:101">
      <c r="A1361" s="2867"/>
      <c r="B1361" s="2867"/>
      <c r="C1361" s="2867"/>
      <c r="D1361" s="2867"/>
      <c r="E1361" s="2867"/>
      <c r="F1361" s="2867"/>
      <c r="G1361" s="2867"/>
      <c r="H1361" s="2867"/>
      <c r="I1361" s="2867"/>
      <c r="J1361" s="2867"/>
      <c r="K1361" s="2867"/>
      <c r="L1361" s="2867"/>
      <c r="M1361" s="2867"/>
      <c r="O1361" s="2867"/>
      <c r="P1361" s="2867"/>
      <c r="Q1361" s="2867"/>
      <c r="R1361" s="2867"/>
      <c r="S1361" s="2867"/>
      <c r="T1361" s="2867"/>
      <c r="U1361" s="2867"/>
      <c r="V1361" s="2867"/>
      <c r="W1361" s="2867"/>
      <c r="X1361" s="2867"/>
      <c r="Y1361" s="2867"/>
      <c r="Z1361" s="2867"/>
      <c r="AA1361" s="2867"/>
      <c r="AB1361" s="2867"/>
      <c r="AC1361" s="2867"/>
      <c r="AD1361" s="2867"/>
      <c r="AE1361" s="2867"/>
      <c r="AF1361" s="2867"/>
      <c r="AG1361" s="2867"/>
      <c r="AH1361" s="2867"/>
      <c r="AI1361" s="2867"/>
      <c r="AJ1361" s="2867"/>
      <c r="AK1361" s="2867"/>
      <c r="AL1361" s="2867"/>
      <c r="AM1361" s="2867"/>
      <c r="AN1361" s="2867"/>
      <c r="AO1361" s="2867"/>
      <c r="AP1361" s="2867"/>
      <c r="AQ1361" s="2867"/>
      <c r="AR1361" s="2867"/>
      <c r="AS1361" s="2867"/>
      <c r="AT1361" s="2867"/>
      <c r="AU1361" s="2867"/>
      <c r="AV1361" s="2867"/>
      <c r="AW1361" s="2867"/>
      <c r="AX1361" s="2867"/>
      <c r="AY1361" s="2867"/>
      <c r="AZ1361" s="2867"/>
      <c r="BA1361" s="2867"/>
      <c r="BB1361" s="2867"/>
      <c r="BC1361" s="2867"/>
      <c r="BD1361" s="2867"/>
      <c r="BE1361" s="2867"/>
      <c r="BF1361" s="2867"/>
      <c r="BG1361" s="2867"/>
      <c r="BH1361" s="2867"/>
      <c r="BI1361" s="2867"/>
      <c r="BJ1361" s="2867"/>
      <c r="BK1361" s="2867"/>
      <c r="BL1361" s="2867"/>
      <c r="BM1361" s="2867"/>
      <c r="BN1361" s="2867"/>
      <c r="BO1361" s="2867"/>
      <c r="BP1361" s="2867"/>
      <c r="BQ1361" s="2867"/>
      <c r="BR1361" s="2867"/>
      <c r="BS1361" s="2867"/>
      <c r="BT1361" s="2867"/>
      <c r="BU1361" s="2867"/>
      <c r="BV1361" s="2867"/>
      <c r="BW1361" s="2867"/>
      <c r="BX1361" s="2867"/>
      <c r="BY1361" s="2867"/>
      <c r="BZ1361" s="2867"/>
      <c r="CA1361" s="2867"/>
      <c r="CB1361" s="2867"/>
      <c r="CC1361" s="2867"/>
      <c r="CD1361" s="2867"/>
      <c r="CE1361" s="2867"/>
      <c r="CF1361" s="2867"/>
      <c r="CG1361" s="2867"/>
      <c r="CH1361" s="2867"/>
      <c r="CI1361" s="2867"/>
      <c r="CJ1361" s="2867"/>
      <c r="CK1361" s="2867"/>
      <c r="CL1361" s="2867"/>
      <c r="CM1361" s="2867"/>
      <c r="CN1361" s="2867"/>
      <c r="CO1361" s="2867"/>
      <c r="CP1361" s="2867"/>
      <c r="CQ1361" s="2867"/>
      <c r="CR1361" s="2867"/>
      <c r="CS1361" s="2867"/>
      <c r="CT1361" s="2867"/>
      <c r="CU1361" s="2867"/>
      <c r="CV1361" s="2867"/>
      <c r="CW1361" s="2867"/>
    </row>
    <row r="1362" spans="1:101">
      <c r="A1362" s="2867"/>
      <c r="B1362" s="2867"/>
      <c r="C1362" s="2867"/>
      <c r="D1362" s="2867"/>
      <c r="E1362" s="2867"/>
      <c r="F1362" s="2867"/>
      <c r="G1362" s="2867"/>
      <c r="H1362" s="2867"/>
      <c r="I1362" s="2867"/>
      <c r="J1362" s="2867"/>
      <c r="K1362" s="2867"/>
      <c r="L1362" s="2867"/>
      <c r="M1362" s="2867"/>
      <c r="O1362" s="2867"/>
      <c r="P1362" s="2867"/>
      <c r="Q1362" s="2867"/>
      <c r="R1362" s="2867"/>
      <c r="S1362" s="2867"/>
      <c r="T1362" s="2867"/>
      <c r="U1362" s="2867"/>
      <c r="V1362" s="2867"/>
      <c r="W1362" s="2867"/>
      <c r="X1362" s="2867"/>
      <c r="Y1362" s="2867"/>
      <c r="Z1362" s="2867"/>
      <c r="AA1362" s="2867"/>
      <c r="AB1362" s="2867"/>
      <c r="AC1362" s="2867"/>
      <c r="AD1362" s="2867"/>
      <c r="AE1362" s="2867"/>
      <c r="AF1362" s="2867"/>
      <c r="AG1362" s="2867"/>
      <c r="AH1362" s="2867"/>
      <c r="AI1362" s="2867"/>
      <c r="AJ1362" s="2867"/>
      <c r="AK1362" s="2867"/>
      <c r="AL1362" s="2867"/>
      <c r="AM1362" s="2867"/>
      <c r="AN1362" s="2867"/>
      <c r="AO1362" s="2867"/>
      <c r="AP1362" s="2867"/>
      <c r="AQ1362" s="2867"/>
      <c r="AR1362" s="2867"/>
      <c r="AS1362" s="2867"/>
      <c r="AT1362" s="2867"/>
      <c r="AU1362" s="2867"/>
      <c r="AV1362" s="2867"/>
      <c r="AW1362" s="2867"/>
      <c r="AX1362" s="2867"/>
      <c r="AY1362" s="2867"/>
      <c r="AZ1362" s="2867"/>
      <c r="BA1362" s="2867"/>
      <c r="BB1362" s="2867"/>
      <c r="BC1362" s="2867"/>
      <c r="BD1362" s="2867"/>
      <c r="BE1362" s="2867"/>
      <c r="BF1362" s="2867"/>
      <c r="BG1362" s="2867"/>
      <c r="BH1362" s="2867"/>
      <c r="BI1362" s="2867"/>
      <c r="BJ1362" s="2867"/>
      <c r="BK1362" s="2867"/>
      <c r="BL1362" s="2867"/>
      <c r="BM1362" s="2867"/>
      <c r="BN1362" s="2867"/>
      <c r="BO1362" s="2867"/>
      <c r="BP1362" s="2867"/>
      <c r="BQ1362" s="2867"/>
      <c r="BR1362" s="2867"/>
      <c r="BS1362" s="2867"/>
      <c r="BT1362" s="2867"/>
      <c r="BU1362" s="2867"/>
      <c r="BV1362" s="2867"/>
      <c r="BW1362" s="2867"/>
      <c r="BX1362" s="2867"/>
      <c r="BY1362" s="2867"/>
      <c r="BZ1362" s="2867"/>
      <c r="CA1362" s="2867"/>
      <c r="CB1362" s="2867"/>
      <c r="CC1362" s="2867"/>
      <c r="CD1362" s="2867"/>
      <c r="CE1362" s="2867"/>
      <c r="CF1362" s="2867"/>
      <c r="CG1362" s="2867"/>
      <c r="CH1362" s="2867"/>
      <c r="CI1362" s="2867"/>
      <c r="CJ1362" s="2867"/>
      <c r="CK1362" s="2867"/>
      <c r="CL1362" s="2867"/>
      <c r="CM1362" s="2867"/>
      <c r="CN1362" s="2867"/>
      <c r="CO1362" s="2867"/>
      <c r="CP1362" s="2867"/>
      <c r="CQ1362" s="2867"/>
      <c r="CR1362" s="2867"/>
      <c r="CS1362" s="2867"/>
      <c r="CT1362" s="2867"/>
      <c r="CU1362" s="2867"/>
      <c r="CV1362" s="2867"/>
      <c r="CW1362" s="2867"/>
    </row>
    <row r="1363" spans="1:101">
      <c r="A1363" s="2867"/>
      <c r="B1363" s="2867"/>
      <c r="C1363" s="2867"/>
      <c r="D1363" s="2867"/>
      <c r="E1363" s="2867"/>
      <c r="F1363" s="2867"/>
      <c r="G1363" s="2867"/>
      <c r="H1363" s="2867"/>
      <c r="I1363" s="2867"/>
      <c r="J1363" s="2867"/>
      <c r="K1363" s="2867"/>
      <c r="L1363" s="2867"/>
      <c r="M1363" s="2867"/>
      <c r="O1363" s="2867"/>
      <c r="P1363" s="2867"/>
      <c r="Q1363" s="2867"/>
      <c r="R1363" s="2867"/>
      <c r="S1363" s="2867"/>
      <c r="T1363" s="2867"/>
      <c r="U1363" s="2867"/>
      <c r="V1363" s="2867"/>
      <c r="W1363" s="2867"/>
      <c r="X1363" s="2867"/>
      <c r="Y1363" s="2867"/>
      <c r="Z1363" s="2867"/>
      <c r="AA1363" s="2867"/>
      <c r="AB1363" s="2867"/>
      <c r="AC1363" s="2867"/>
      <c r="AD1363" s="2867"/>
      <c r="AE1363" s="2867"/>
      <c r="AF1363" s="2867"/>
      <c r="AG1363" s="2867"/>
      <c r="AH1363" s="2867"/>
      <c r="AI1363" s="2867"/>
      <c r="AJ1363" s="2867"/>
      <c r="AK1363" s="2867"/>
      <c r="AL1363" s="2867"/>
      <c r="AM1363" s="2867"/>
      <c r="AN1363" s="2867"/>
      <c r="AO1363" s="2867"/>
      <c r="AP1363" s="2867"/>
      <c r="AQ1363" s="2867"/>
      <c r="AR1363" s="2867"/>
      <c r="AS1363" s="2867"/>
      <c r="AT1363" s="2867"/>
      <c r="AU1363" s="2867"/>
      <c r="AV1363" s="2867"/>
      <c r="AW1363" s="2867"/>
      <c r="AX1363" s="2867"/>
      <c r="AY1363" s="2867"/>
      <c r="AZ1363" s="2867"/>
      <c r="BA1363" s="2867"/>
      <c r="BB1363" s="2867"/>
      <c r="BC1363" s="2867"/>
      <c r="BD1363" s="2867"/>
      <c r="BE1363" s="2867"/>
      <c r="BF1363" s="2867"/>
      <c r="BG1363" s="2867"/>
      <c r="BH1363" s="2867"/>
      <c r="BI1363" s="2867"/>
      <c r="BJ1363" s="2867"/>
      <c r="BK1363" s="2867"/>
      <c r="BL1363" s="2867"/>
      <c r="BM1363" s="2867"/>
      <c r="BN1363" s="2867"/>
      <c r="BO1363" s="2867"/>
      <c r="BP1363" s="2867"/>
      <c r="BQ1363" s="2867"/>
      <c r="BR1363" s="2867"/>
      <c r="BS1363" s="2867"/>
      <c r="BT1363" s="2867"/>
      <c r="BU1363" s="2867"/>
      <c r="BV1363" s="2867"/>
      <c r="BW1363" s="2867"/>
      <c r="BX1363" s="2867"/>
      <c r="BY1363" s="2867"/>
      <c r="BZ1363" s="2867"/>
      <c r="CA1363" s="2867"/>
      <c r="CB1363" s="2867"/>
      <c r="CC1363" s="2867"/>
      <c r="CD1363" s="2867"/>
      <c r="CE1363" s="2867"/>
      <c r="CF1363" s="2867"/>
      <c r="CG1363" s="2867"/>
      <c r="CH1363" s="2867"/>
      <c r="CI1363" s="2867"/>
      <c r="CJ1363" s="2867"/>
      <c r="CK1363" s="2867"/>
      <c r="CL1363" s="2867"/>
      <c r="CM1363" s="2867"/>
      <c r="CN1363" s="2867"/>
      <c r="CO1363" s="2867"/>
      <c r="CP1363" s="2867"/>
      <c r="CQ1363" s="2867"/>
      <c r="CR1363" s="2867"/>
      <c r="CS1363" s="2867"/>
      <c r="CT1363" s="2867"/>
      <c r="CU1363" s="2867"/>
      <c r="CV1363" s="2867"/>
      <c r="CW1363" s="2867"/>
    </row>
    <row r="1364" spans="1:101">
      <c r="A1364" s="2867"/>
      <c r="B1364" s="2867"/>
      <c r="C1364" s="2867"/>
      <c r="D1364" s="2867"/>
      <c r="E1364" s="2867"/>
      <c r="F1364" s="2867"/>
      <c r="G1364" s="2867"/>
      <c r="H1364" s="2867"/>
      <c r="I1364" s="2867"/>
      <c r="J1364" s="2867"/>
      <c r="K1364" s="2867"/>
      <c r="L1364" s="2867"/>
      <c r="M1364" s="2867"/>
      <c r="O1364" s="2867"/>
      <c r="P1364" s="2867"/>
      <c r="Q1364" s="2867"/>
      <c r="R1364" s="2867"/>
      <c r="S1364" s="2867"/>
      <c r="T1364" s="2867"/>
      <c r="U1364" s="2867"/>
      <c r="V1364" s="2867"/>
      <c r="W1364" s="2867"/>
      <c r="X1364" s="2867"/>
      <c r="Y1364" s="2867"/>
      <c r="Z1364" s="2867"/>
      <c r="AA1364" s="2867"/>
      <c r="AB1364" s="2867"/>
      <c r="AC1364" s="2867"/>
      <c r="AD1364" s="2867"/>
      <c r="AE1364" s="2867"/>
      <c r="AF1364" s="2867"/>
      <c r="AG1364" s="2867"/>
      <c r="AH1364" s="2867"/>
      <c r="AI1364" s="2867"/>
      <c r="AJ1364" s="2867"/>
      <c r="AK1364" s="2867"/>
      <c r="AL1364" s="2867"/>
      <c r="AM1364" s="2867"/>
      <c r="AN1364" s="2867"/>
      <c r="AO1364" s="2867"/>
      <c r="AP1364" s="2867"/>
      <c r="AQ1364" s="2867"/>
      <c r="AR1364" s="2867"/>
      <c r="AS1364" s="2867"/>
      <c r="AT1364" s="2867"/>
      <c r="AU1364" s="2867"/>
      <c r="AV1364" s="2867"/>
      <c r="AW1364" s="2867"/>
      <c r="AX1364" s="2867"/>
      <c r="AY1364" s="2867"/>
      <c r="AZ1364" s="2867"/>
      <c r="BA1364" s="2867"/>
      <c r="BB1364" s="2867"/>
      <c r="BC1364" s="2867"/>
      <c r="BD1364" s="2867"/>
      <c r="BE1364" s="2867"/>
      <c r="BF1364" s="2867"/>
      <c r="BG1364" s="2867"/>
      <c r="BH1364" s="2867"/>
      <c r="BI1364" s="2867"/>
      <c r="BJ1364" s="2867"/>
      <c r="BK1364" s="2867"/>
      <c r="BL1364" s="2867"/>
      <c r="BM1364" s="2867"/>
      <c r="BN1364" s="2867"/>
      <c r="BO1364" s="2867"/>
      <c r="BP1364" s="2867"/>
      <c r="BQ1364" s="2867"/>
      <c r="BR1364" s="2867"/>
      <c r="BS1364" s="2867"/>
      <c r="BT1364" s="2867"/>
      <c r="BU1364" s="2867"/>
      <c r="BV1364" s="2867"/>
      <c r="BW1364" s="2867"/>
      <c r="BX1364" s="2867"/>
      <c r="BY1364" s="2867"/>
      <c r="BZ1364" s="2867"/>
      <c r="CA1364" s="2867"/>
      <c r="CB1364" s="2867"/>
      <c r="CC1364" s="2867"/>
      <c r="CD1364" s="2867"/>
      <c r="CE1364" s="2867"/>
      <c r="CF1364" s="2867"/>
      <c r="CG1364" s="2867"/>
      <c r="CH1364" s="2867"/>
      <c r="CI1364" s="2867"/>
      <c r="CJ1364" s="2867"/>
      <c r="CK1364" s="2867"/>
      <c r="CL1364" s="2867"/>
      <c r="CM1364" s="2867"/>
      <c r="CN1364" s="2867"/>
      <c r="CO1364" s="2867"/>
      <c r="CP1364" s="2867"/>
      <c r="CQ1364" s="2867"/>
      <c r="CR1364" s="2867"/>
      <c r="CS1364" s="2867"/>
      <c r="CT1364" s="2867"/>
      <c r="CU1364" s="2867"/>
      <c r="CV1364" s="2867"/>
      <c r="CW1364" s="2867"/>
    </row>
    <row r="1365" spans="1:101">
      <c r="A1365" s="2867"/>
      <c r="B1365" s="2867"/>
      <c r="C1365" s="2867"/>
      <c r="D1365" s="2867"/>
      <c r="E1365" s="2867"/>
      <c r="F1365" s="2867"/>
      <c r="G1365" s="2867"/>
      <c r="H1365" s="2867"/>
      <c r="I1365" s="2867"/>
      <c r="J1365" s="2867"/>
      <c r="K1365" s="2867"/>
      <c r="L1365" s="2867"/>
      <c r="M1365" s="2867"/>
      <c r="O1365" s="2867"/>
      <c r="P1365" s="2867"/>
      <c r="Q1365" s="2867"/>
      <c r="R1365" s="2867"/>
      <c r="S1365" s="2867"/>
      <c r="T1365" s="2867"/>
      <c r="U1365" s="2867"/>
      <c r="V1365" s="2867"/>
      <c r="W1365" s="2867"/>
      <c r="X1365" s="2867"/>
      <c r="Y1365" s="2867"/>
      <c r="Z1365" s="2867"/>
      <c r="AA1365" s="2867"/>
      <c r="AB1365" s="2867"/>
      <c r="AC1365" s="2867"/>
      <c r="AD1365" s="2867"/>
      <c r="AE1365" s="2867"/>
      <c r="AF1365" s="2867"/>
      <c r="AG1365" s="2867"/>
      <c r="AH1365" s="2867"/>
      <c r="AI1365" s="2867"/>
      <c r="AJ1365" s="2867"/>
      <c r="AK1365" s="2867"/>
      <c r="AL1365" s="2867"/>
      <c r="AM1365" s="2867"/>
      <c r="AN1365" s="2867"/>
      <c r="AO1365" s="2867"/>
      <c r="AP1365" s="2867"/>
      <c r="AQ1365" s="2867"/>
      <c r="AR1365" s="2867"/>
      <c r="AS1365" s="2867"/>
      <c r="AT1365" s="2867"/>
      <c r="AU1365" s="2867"/>
      <c r="AV1365" s="2867"/>
      <c r="AW1365" s="2867"/>
      <c r="AX1365" s="2867"/>
      <c r="AY1365" s="2867"/>
      <c r="AZ1365" s="2867"/>
      <c r="BA1365" s="2867"/>
      <c r="BB1365" s="2867"/>
      <c r="BC1365" s="2867"/>
      <c r="BD1365" s="2867"/>
      <c r="BE1365" s="2867"/>
      <c r="BF1365" s="2867"/>
      <c r="BG1365" s="2867"/>
      <c r="BH1365" s="2867"/>
      <c r="BI1365" s="2867"/>
      <c r="BJ1365" s="2867"/>
      <c r="BK1365" s="2867"/>
      <c r="BL1365" s="2867"/>
      <c r="BM1365" s="2867"/>
      <c r="BN1365" s="2867"/>
      <c r="BO1365" s="2867"/>
      <c r="BP1365" s="2867"/>
      <c r="BQ1365" s="2867"/>
      <c r="BR1365" s="2867"/>
      <c r="BS1365" s="2867"/>
      <c r="BT1365" s="2867"/>
      <c r="BU1365" s="2867"/>
      <c r="BV1365" s="2867"/>
      <c r="BW1365" s="2867"/>
      <c r="BX1365" s="2867"/>
      <c r="BY1365" s="2867"/>
      <c r="BZ1365" s="2867"/>
      <c r="CA1365" s="2867"/>
      <c r="CB1365" s="2867"/>
      <c r="CC1365" s="2867"/>
      <c r="CD1365" s="2867"/>
      <c r="CE1365" s="2867"/>
      <c r="CF1365" s="2867"/>
      <c r="CG1365" s="2867"/>
      <c r="CH1365" s="2867"/>
      <c r="CI1365" s="2867"/>
      <c r="CJ1365" s="2867"/>
      <c r="CK1365" s="2867"/>
      <c r="CL1365" s="2867"/>
      <c r="CM1365" s="2867"/>
      <c r="CN1365" s="2867"/>
      <c r="CO1365" s="2867"/>
      <c r="CP1365" s="2867"/>
      <c r="CQ1365" s="2867"/>
      <c r="CR1365" s="2867"/>
      <c r="CS1365" s="2867"/>
      <c r="CT1365" s="2867"/>
      <c r="CU1365" s="2867"/>
      <c r="CV1365" s="2867"/>
      <c r="CW1365" s="2867"/>
    </row>
    <row r="1366" spans="1:101">
      <c r="A1366" s="2867"/>
      <c r="B1366" s="2867"/>
      <c r="C1366" s="2867"/>
      <c r="D1366" s="2867"/>
      <c r="E1366" s="2867"/>
      <c r="F1366" s="2867"/>
      <c r="G1366" s="2867"/>
      <c r="H1366" s="2867"/>
      <c r="I1366" s="2867"/>
      <c r="J1366" s="2867"/>
      <c r="K1366" s="2867"/>
      <c r="L1366" s="2867"/>
      <c r="M1366" s="2867"/>
      <c r="O1366" s="2867"/>
      <c r="P1366" s="2867"/>
      <c r="Q1366" s="2867"/>
      <c r="R1366" s="2867"/>
      <c r="S1366" s="2867"/>
      <c r="T1366" s="2867"/>
      <c r="U1366" s="2867"/>
      <c r="V1366" s="2867"/>
      <c r="W1366" s="2867"/>
      <c r="X1366" s="2867"/>
      <c r="Y1366" s="2867"/>
      <c r="Z1366" s="2867"/>
      <c r="AA1366" s="2867"/>
      <c r="AB1366" s="2867"/>
      <c r="AC1366" s="2867"/>
      <c r="AD1366" s="2867"/>
      <c r="AE1366" s="2867"/>
      <c r="AF1366" s="2867"/>
      <c r="AG1366" s="2867"/>
      <c r="AH1366" s="2867"/>
      <c r="AI1366" s="2867"/>
      <c r="AJ1366" s="2867"/>
      <c r="AK1366" s="2867"/>
      <c r="AL1366" s="2867"/>
      <c r="AM1366" s="2867"/>
      <c r="AN1366" s="2867"/>
      <c r="AO1366" s="2867"/>
      <c r="AP1366" s="2867"/>
      <c r="AQ1366" s="2867"/>
      <c r="AR1366" s="2867"/>
      <c r="AS1366" s="2867"/>
      <c r="AT1366" s="2867"/>
      <c r="AU1366" s="2867"/>
      <c r="AV1366" s="2867"/>
      <c r="AW1366" s="2867"/>
      <c r="AX1366" s="2867"/>
      <c r="AY1366" s="2867"/>
      <c r="AZ1366" s="2867"/>
      <c r="BA1366" s="2867"/>
      <c r="BB1366" s="2867"/>
      <c r="BC1366" s="2867"/>
      <c r="BD1366" s="2867"/>
      <c r="BE1366" s="2867"/>
      <c r="BF1366" s="2867"/>
      <c r="BG1366" s="2867"/>
      <c r="BH1366" s="2867"/>
      <c r="BI1366" s="2867"/>
      <c r="BJ1366" s="2867"/>
      <c r="BK1366" s="2867"/>
      <c r="BL1366" s="2867"/>
      <c r="BM1366" s="2867"/>
      <c r="BN1366" s="2867"/>
      <c r="BO1366" s="2867"/>
      <c r="BP1366" s="2867"/>
      <c r="BQ1366" s="2867"/>
      <c r="BR1366" s="2867"/>
      <c r="BS1366" s="2867"/>
      <c r="BT1366" s="2867"/>
      <c r="BU1366" s="2867"/>
      <c r="BV1366" s="2867"/>
      <c r="BW1366" s="2867"/>
      <c r="BX1366" s="2867"/>
      <c r="BY1366" s="2867"/>
      <c r="BZ1366" s="2867"/>
      <c r="CA1366" s="2867"/>
      <c r="CB1366" s="2867"/>
      <c r="CC1366" s="2867"/>
      <c r="CD1366" s="2867"/>
      <c r="CE1366" s="2867"/>
      <c r="CF1366" s="2867"/>
      <c r="CG1366" s="2867"/>
      <c r="CH1366" s="2867"/>
      <c r="CI1366" s="2867"/>
      <c r="CJ1366" s="2867"/>
      <c r="CK1366" s="2867"/>
      <c r="CL1366" s="2867"/>
      <c r="CM1366" s="2867"/>
      <c r="CN1366" s="2867"/>
      <c r="CO1366" s="2867"/>
      <c r="CP1366" s="2867"/>
      <c r="CQ1366" s="2867"/>
      <c r="CR1366" s="2867"/>
      <c r="CS1366" s="2867"/>
      <c r="CT1366" s="2867"/>
      <c r="CU1366" s="2867"/>
      <c r="CV1366" s="2867"/>
      <c r="CW1366" s="2867"/>
    </row>
    <row r="1367" spans="1:101">
      <c r="A1367" s="2867"/>
      <c r="B1367" s="2867"/>
      <c r="C1367" s="2867"/>
      <c r="D1367" s="2867"/>
      <c r="E1367" s="2867"/>
      <c r="F1367" s="2867"/>
      <c r="G1367" s="2867"/>
      <c r="H1367" s="2867"/>
      <c r="I1367" s="2867"/>
      <c r="J1367" s="2867"/>
      <c r="K1367" s="2867"/>
      <c r="L1367" s="2867"/>
      <c r="M1367" s="2867"/>
      <c r="O1367" s="2867"/>
      <c r="P1367" s="2867"/>
      <c r="Q1367" s="2867"/>
      <c r="R1367" s="2867"/>
      <c r="S1367" s="2867"/>
      <c r="T1367" s="2867"/>
      <c r="U1367" s="2867"/>
      <c r="V1367" s="2867"/>
      <c r="W1367" s="2867"/>
      <c r="X1367" s="2867"/>
      <c r="Y1367" s="2867"/>
      <c r="Z1367" s="2867"/>
      <c r="AA1367" s="2867"/>
      <c r="AB1367" s="2867"/>
      <c r="AC1367" s="2867"/>
      <c r="AD1367" s="2867"/>
      <c r="AE1367" s="2867"/>
      <c r="AF1367" s="2867"/>
      <c r="AG1367" s="2867"/>
      <c r="AH1367" s="2867"/>
      <c r="AI1367" s="2867"/>
      <c r="AJ1367" s="2867"/>
      <c r="AK1367" s="2867"/>
      <c r="AL1367" s="2867"/>
      <c r="AM1367" s="2867"/>
      <c r="AN1367" s="2867"/>
      <c r="AO1367" s="2867"/>
      <c r="AP1367" s="2867"/>
      <c r="AQ1367" s="2867"/>
      <c r="AR1367" s="2867"/>
      <c r="AS1367" s="2867"/>
      <c r="AT1367" s="2867"/>
      <c r="AU1367" s="2867"/>
      <c r="AV1367" s="2867"/>
      <c r="AW1367" s="2867"/>
      <c r="AX1367" s="2867"/>
      <c r="AY1367" s="2867"/>
      <c r="AZ1367" s="2867"/>
      <c r="BA1367" s="2867"/>
      <c r="BB1367" s="2867"/>
      <c r="BC1367" s="2867"/>
      <c r="BD1367" s="2867"/>
      <c r="BE1367" s="2867"/>
      <c r="BF1367" s="2867"/>
      <c r="BG1367" s="2867"/>
      <c r="BH1367" s="2867"/>
      <c r="BI1367" s="2867"/>
      <c r="BJ1367" s="2867"/>
      <c r="BK1367" s="2867"/>
      <c r="BL1367" s="2867"/>
      <c r="BM1367" s="2867"/>
      <c r="BN1367" s="2867"/>
      <c r="BO1367" s="2867"/>
      <c r="BP1367" s="2867"/>
      <c r="BQ1367" s="2867"/>
      <c r="BR1367" s="2867"/>
      <c r="BS1367" s="2867"/>
      <c r="BT1367" s="2867"/>
      <c r="BU1367" s="2867"/>
      <c r="BV1367" s="2867"/>
      <c r="BW1367" s="2867"/>
      <c r="BX1367" s="2867"/>
      <c r="BY1367" s="2867"/>
      <c r="BZ1367" s="2867"/>
      <c r="CA1367" s="2867"/>
      <c r="CB1367" s="2867"/>
      <c r="CC1367" s="2867"/>
      <c r="CD1367" s="2867"/>
      <c r="CE1367" s="2867"/>
      <c r="CF1367" s="2867"/>
      <c r="CG1367" s="2867"/>
      <c r="CH1367" s="2867"/>
      <c r="CI1367" s="2867"/>
      <c r="CJ1367" s="2867"/>
      <c r="CK1367" s="2867"/>
      <c r="CL1367" s="2867"/>
      <c r="CM1367" s="2867"/>
      <c r="CN1367" s="2867"/>
      <c r="CO1367" s="2867"/>
      <c r="CP1367" s="2867"/>
      <c r="CQ1367" s="2867"/>
      <c r="CR1367" s="2867"/>
      <c r="CS1367" s="2867"/>
      <c r="CT1367" s="2867"/>
      <c r="CU1367" s="2867"/>
      <c r="CV1367" s="2867"/>
      <c r="CW1367" s="2867"/>
    </row>
    <row r="1368" spans="1:101">
      <c r="A1368" s="2867"/>
      <c r="B1368" s="2867"/>
      <c r="C1368" s="2867"/>
      <c r="D1368" s="2867"/>
      <c r="E1368" s="2867"/>
      <c r="F1368" s="2867"/>
      <c r="G1368" s="2867"/>
      <c r="H1368" s="2867"/>
      <c r="I1368" s="2867"/>
      <c r="J1368" s="2867"/>
      <c r="K1368" s="2867"/>
      <c r="L1368" s="2867"/>
      <c r="M1368" s="2867"/>
      <c r="O1368" s="2867"/>
      <c r="P1368" s="2867"/>
      <c r="Q1368" s="2867"/>
      <c r="R1368" s="2867"/>
      <c r="S1368" s="2867"/>
      <c r="T1368" s="2867"/>
      <c r="U1368" s="2867"/>
      <c r="V1368" s="2867"/>
      <c r="W1368" s="2867"/>
      <c r="X1368" s="2867"/>
      <c r="Y1368" s="2867"/>
      <c r="Z1368" s="2867"/>
      <c r="AA1368" s="2867"/>
      <c r="AB1368" s="2867"/>
      <c r="AC1368" s="2867"/>
      <c r="AD1368" s="2867"/>
      <c r="AE1368" s="2867"/>
      <c r="AF1368" s="2867"/>
      <c r="AG1368" s="2867"/>
      <c r="AH1368" s="2867"/>
      <c r="AI1368" s="2867"/>
      <c r="AJ1368" s="2867"/>
      <c r="AK1368" s="2867"/>
      <c r="AL1368" s="2867"/>
      <c r="AM1368" s="2867"/>
      <c r="AN1368" s="2867"/>
      <c r="AO1368" s="2867"/>
      <c r="AP1368" s="2867"/>
      <c r="AQ1368" s="2867"/>
      <c r="AR1368" s="2867"/>
      <c r="AS1368" s="2867"/>
      <c r="AT1368" s="2867"/>
      <c r="AU1368" s="2867"/>
      <c r="AV1368" s="2867"/>
      <c r="AW1368" s="2867"/>
      <c r="AX1368" s="2867"/>
      <c r="AY1368" s="2867"/>
      <c r="AZ1368" s="2867"/>
      <c r="BA1368" s="2867"/>
      <c r="BB1368" s="2867"/>
      <c r="BC1368" s="2867"/>
      <c r="BD1368" s="2867"/>
      <c r="BE1368" s="2867"/>
      <c r="BF1368" s="2867"/>
      <c r="BG1368" s="2867"/>
      <c r="BH1368" s="2867"/>
      <c r="BI1368" s="2867"/>
      <c r="BJ1368" s="2867"/>
      <c r="BK1368" s="2867"/>
      <c r="BL1368" s="2867"/>
      <c r="BM1368" s="2867"/>
      <c r="BN1368" s="2867"/>
      <c r="BO1368" s="2867"/>
      <c r="BP1368" s="2867"/>
      <c r="BQ1368" s="2867"/>
      <c r="BR1368" s="2867"/>
      <c r="BS1368" s="2867"/>
      <c r="BT1368" s="2867"/>
      <c r="BU1368" s="2867"/>
      <c r="BV1368" s="2867"/>
      <c r="BW1368" s="2867"/>
      <c r="BX1368" s="2867"/>
      <c r="BY1368" s="2867"/>
      <c r="BZ1368" s="2867"/>
      <c r="CA1368" s="2867"/>
      <c r="CB1368" s="2867"/>
      <c r="CC1368" s="2867"/>
      <c r="CD1368" s="2867"/>
      <c r="CE1368" s="2867"/>
      <c r="CF1368" s="2867"/>
      <c r="CG1368" s="2867"/>
      <c r="CH1368" s="2867"/>
      <c r="CI1368" s="2867"/>
      <c r="CJ1368" s="2867"/>
      <c r="CK1368" s="2867"/>
      <c r="CL1368" s="2867"/>
      <c r="CM1368" s="2867"/>
      <c r="CN1368" s="2867"/>
      <c r="CO1368" s="2867"/>
      <c r="CP1368" s="2867"/>
      <c r="CQ1368" s="2867"/>
      <c r="CR1368" s="2867"/>
      <c r="CS1368" s="2867"/>
      <c r="CT1368" s="2867"/>
      <c r="CU1368" s="2867"/>
      <c r="CV1368" s="2867"/>
      <c r="CW1368" s="2867"/>
    </row>
    <row r="1369" spans="1:101">
      <c r="A1369" s="2867"/>
      <c r="B1369" s="2867"/>
      <c r="C1369" s="2867"/>
      <c r="D1369" s="2867"/>
      <c r="E1369" s="2867"/>
      <c r="F1369" s="2867"/>
      <c r="G1369" s="2867"/>
      <c r="H1369" s="2867"/>
      <c r="I1369" s="2867"/>
      <c r="J1369" s="2867"/>
      <c r="K1369" s="2867"/>
      <c r="L1369" s="2867"/>
      <c r="M1369" s="2867"/>
      <c r="O1369" s="2867"/>
      <c r="P1369" s="2867"/>
      <c r="Q1369" s="2867"/>
      <c r="R1369" s="2867"/>
      <c r="S1369" s="2867"/>
      <c r="T1369" s="2867"/>
      <c r="U1369" s="2867"/>
      <c r="V1369" s="2867"/>
      <c r="W1369" s="2867"/>
      <c r="X1369" s="2867"/>
      <c r="Y1369" s="2867"/>
      <c r="Z1369" s="2867"/>
      <c r="AA1369" s="2867"/>
      <c r="AB1369" s="2867"/>
      <c r="AC1369" s="2867"/>
      <c r="AD1369" s="2867"/>
      <c r="AE1369" s="2867"/>
      <c r="AF1369" s="2867"/>
      <c r="AG1369" s="2867"/>
      <c r="AH1369" s="2867"/>
      <c r="AI1369" s="2867"/>
      <c r="AJ1369" s="2867"/>
      <c r="AK1369" s="2867"/>
      <c r="AL1369" s="2867"/>
      <c r="AM1369" s="2867"/>
      <c r="AN1369" s="2867"/>
      <c r="AO1369" s="2867"/>
      <c r="AP1369" s="2867"/>
      <c r="AQ1369" s="2867"/>
      <c r="AR1369" s="2867"/>
      <c r="AS1369" s="2867"/>
      <c r="AT1369" s="2867"/>
      <c r="AU1369" s="2867"/>
      <c r="AV1369" s="2867"/>
      <c r="AW1369" s="2867"/>
      <c r="AX1369" s="2867"/>
      <c r="AY1369" s="2867"/>
      <c r="AZ1369" s="2867"/>
      <c r="BA1369" s="2867"/>
      <c r="BB1369" s="2867"/>
      <c r="BC1369" s="2867"/>
      <c r="BD1369" s="2867"/>
      <c r="BE1369" s="2867"/>
      <c r="BF1369" s="2867"/>
      <c r="BG1369" s="2867"/>
      <c r="BH1369" s="2867"/>
      <c r="BI1369" s="2867"/>
      <c r="BJ1369" s="2867"/>
      <c r="BK1369" s="2867"/>
      <c r="BL1369" s="2867"/>
      <c r="BM1369" s="2867"/>
      <c r="BN1369" s="2867"/>
      <c r="BO1369" s="2867"/>
      <c r="BP1369" s="2867"/>
      <c r="BQ1369" s="2867"/>
      <c r="BR1369" s="2867"/>
      <c r="BS1369" s="2867"/>
      <c r="BT1369" s="2867"/>
      <c r="BU1369" s="2867"/>
      <c r="BV1369" s="2867"/>
      <c r="BW1369" s="2867"/>
      <c r="BX1369" s="2867"/>
      <c r="BY1369" s="2867"/>
      <c r="BZ1369" s="2867"/>
      <c r="CA1369" s="2867"/>
      <c r="CB1369" s="2867"/>
      <c r="CC1369" s="2867"/>
      <c r="CD1369" s="2867"/>
      <c r="CE1369" s="2867"/>
      <c r="CF1369" s="2867"/>
      <c r="CG1369" s="2867"/>
      <c r="CH1369" s="2867"/>
      <c r="CI1369" s="2867"/>
      <c r="CJ1369" s="2867"/>
      <c r="CK1369" s="2867"/>
      <c r="CL1369" s="2867"/>
      <c r="CM1369" s="2867"/>
      <c r="CN1369" s="2867"/>
      <c r="CO1369" s="2867"/>
      <c r="CP1369" s="2867"/>
      <c r="CQ1369" s="2867"/>
      <c r="CR1369" s="2867"/>
      <c r="CS1369" s="2867"/>
      <c r="CT1369" s="2867"/>
      <c r="CU1369" s="2867"/>
      <c r="CV1369" s="2867"/>
      <c r="CW1369" s="2867"/>
    </row>
    <row r="1370" spans="1:101">
      <c r="A1370" s="2867"/>
      <c r="B1370" s="2867"/>
      <c r="C1370" s="2867"/>
      <c r="D1370" s="2867"/>
      <c r="E1370" s="2867"/>
      <c r="F1370" s="2867"/>
      <c r="G1370" s="2867"/>
      <c r="H1370" s="2867"/>
      <c r="I1370" s="2867"/>
      <c r="J1370" s="2867"/>
      <c r="K1370" s="2867"/>
      <c r="L1370" s="2867"/>
      <c r="M1370" s="2867"/>
      <c r="O1370" s="2867"/>
      <c r="P1370" s="2867"/>
      <c r="Q1370" s="2867"/>
      <c r="R1370" s="2867"/>
      <c r="S1370" s="2867"/>
      <c r="T1370" s="2867"/>
      <c r="U1370" s="2867"/>
      <c r="V1370" s="2867"/>
      <c r="W1370" s="2867"/>
      <c r="X1370" s="2867"/>
      <c r="Y1370" s="2867"/>
      <c r="Z1370" s="2867"/>
      <c r="AA1370" s="2867"/>
      <c r="AB1370" s="2867"/>
      <c r="AC1370" s="2867"/>
      <c r="AD1370" s="2867"/>
      <c r="AE1370" s="2867"/>
      <c r="AF1370" s="2867"/>
      <c r="AG1370" s="2867"/>
      <c r="AH1370" s="2867"/>
      <c r="AI1370" s="2867"/>
      <c r="AJ1370" s="2867"/>
      <c r="AK1370" s="2867"/>
      <c r="AL1370" s="2867"/>
      <c r="AM1370" s="2867"/>
      <c r="AN1370" s="2867"/>
      <c r="AO1370" s="2867"/>
      <c r="AP1370" s="2867"/>
      <c r="AQ1370" s="2867"/>
      <c r="AR1370" s="2867"/>
      <c r="AS1370" s="2867"/>
      <c r="AT1370" s="2867"/>
      <c r="AU1370" s="2867"/>
      <c r="AV1370" s="2867"/>
      <c r="AW1370" s="2867"/>
      <c r="AX1370" s="2867"/>
      <c r="AY1370" s="2867"/>
      <c r="AZ1370" s="2867"/>
      <c r="BA1370" s="2867"/>
      <c r="BB1370" s="2867"/>
      <c r="BC1370" s="2867"/>
      <c r="BD1370" s="2867"/>
      <c r="BE1370" s="2867"/>
      <c r="BF1370" s="2867"/>
      <c r="BG1370" s="2867"/>
      <c r="BH1370" s="2867"/>
      <c r="BI1370" s="2867"/>
      <c r="BJ1370" s="2867"/>
      <c r="BK1370" s="2867"/>
      <c r="BL1370" s="2867"/>
      <c r="BM1370" s="2867"/>
      <c r="BN1370" s="2867"/>
      <c r="BO1370" s="2867"/>
      <c r="BP1370" s="2867"/>
      <c r="BQ1370" s="2867"/>
      <c r="BR1370" s="2867"/>
      <c r="BS1370" s="2867"/>
      <c r="BT1370" s="2867"/>
      <c r="BU1370" s="2867"/>
      <c r="BV1370" s="2867"/>
      <c r="BW1370" s="2867"/>
      <c r="BX1370" s="2867"/>
      <c r="BY1370" s="2867"/>
      <c r="BZ1370" s="2867"/>
      <c r="CA1370" s="2867"/>
      <c r="CB1370" s="2867"/>
      <c r="CC1370" s="2867"/>
      <c r="CD1370" s="2867"/>
      <c r="CE1370" s="2867"/>
      <c r="CF1370" s="2867"/>
      <c r="CG1370" s="2867"/>
      <c r="CH1370" s="2867"/>
      <c r="CI1370" s="2867"/>
      <c r="CJ1370" s="2867"/>
      <c r="CK1370" s="2867"/>
      <c r="CL1370" s="2867"/>
      <c r="CM1370" s="2867"/>
      <c r="CN1370" s="2867"/>
      <c r="CO1370" s="2867"/>
      <c r="CP1370" s="2867"/>
      <c r="CQ1370" s="2867"/>
      <c r="CR1370" s="2867"/>
      <c r="CS1370" s="2867"/>
      <c r="CT1370" s="2867"/>
      <c r="CU1370" s="2867"/>
      <c r="CV1370" s="2867"/>
      <c r="CW1370" s="2867"/>
    </row>
    <row r="1371" spans="1:101">
      <c r="A1371" s="2867"/>
      <c r="B1371" s="2867"/>
      <c r="C1371" s="2867"/>
      <c r="D1371" s="2867"/>
      <c r="E1371" s="2867"/>
      <c r="F1371" s="2867"/>
      <c r="G1371" s="2867"/>
      <c r="H1371" s="2867"/>
      <c r="I1371" s="2867"/>
      <c r="J1371" s="2867"/>
      <c r="K1371" s="2867"/>
      <c r="L1371" s="2867"/>
      <c r="M1371" s="2867"/>
      <c r="O1371" s="2867"/>
      <c r="P1371" s="2867"/>
      <c r="Q1371" s="2867"/>
      <c r="R1371" s="2867"/>
      <c r="S1371" s="2867"/>
      <c r="T1371" s="2867"/>
      <c r="U1371" s="2867"/>
      <c r="V1371" s="2867"/>
      <c r="W1371" s="2867"/>
      <c r="X1371" s="2867"/>
      <c r="Y1371" s="2867"/>
      <c r="Z1371" s="2867"/>
      <c r="AA1371" s="2867"/>
      <c r="AB1371" s="2867"/>
      <c r="AC1371" s="2867"/>
      <c r="AD1371" s="2867"/>
      <c r="AE1371" s="2867"/>
      <c r="AF1371" s="2867"/>
      <c r="AG1371" s="2867"/>
      <c r="AH1371" s="2867"/>
      <c r="AI1371" s="2867"/>
      <c r="AJ1371" s="2867"/>
      <c r="AK1371" s="2867"/>
      <c r="AL1371" s="2867"/>
      <c r="AM1371" s="2867"/>
      <c r="AN1371" s="2867"/>
      <c r="AO1371" s="2867"/>
      <c r="AP1371" s="2867"/>
      <c r="AQ1371" s="2867"/>
      <c r="AR1371" s="2867"/>
      <c r="AS1371" s="2867"/>
      <c r="AT1371" s="2867"/>
      <c r="AU1371" s="2867"/>
      <c r="AV1371" s="2867"/>
      <c r="AW1371" s="2867"/>
      <c r="AX1371" s="2867"/>
      <c r="AY1371" s="2867"/>
      <c r="AZ1371" s="2867"/>
      <c r="BA1371" s="2867"/>
      <c r="BB1371" s="2867"/>
      <c r="BC1371" s="2867"/>
      <c r="BD1371" s="2867"/>
      <c r="BE1371" s="2867"/>
      <c r="BF1371" s="2867"/>
      <c r="BG1371" s="2867"/>
      <c r="BH1371" s="2867"/>
      <c r="BI1371" s="2867"/>
      <c r="BJ1371" s="2867"/>
      <c r="BK1371" s="2867"/>
      <c r="BL1371" s="2867"/>
      <c r="BM1371" s="2867"/>
      <c r="BN1371" s="2867"/>
      <c r="BO1371" s="2867"/>
      <c r="BP1371" s="2867"/>
      <c r="BQ1371" s="2867"/>
      <c r="BR1371" s="2867"/>
      <c r="BS1371" s="2867"/>
      <c r="BT1371" s="2867"/>
      <c r="BU1371" s="2867"/>
      <c r="BV1371" s="2867"/>
      <c r="BW1371" s="2867"/>
      <c r="BX1371" s="2867"/>
      <c r="BY1371" s="2867"/>
      <c r="BZ1371" s="2867"/>
      <c r="CA1371" s="2867"/>
      <c r="CB1371" s="2867"/>
      <c r="CC1371" s="2867"/>
      <c r="CD1371" s="2867"/>
      <c r="CE1371" s="2867"/>
      <c r="CF1371" s="2867"/>
      <c r="CG1371" s="2867"/>
      <c r="CH1371" s="2867"/>
      <c r="CI1371" s="2867"/>
      <c r="CJ1371" s="2867"/>
      <c r="CK1371" s="2867"/>
      <c r="CL1371" s="2867"/>
      <c r="CM1371" s="2867"/>
      <c r="CN1371" s="2867"/>
      <c r="CO1371" s="2867"/>
      <c r="CP1371" s="2867"/>
      <c r="CQ1371" s="2867"/>
      <c r="CR1371" s="2867"/>
      <c r="CS1371" s="2867"/>
      <c r="CT1371" s="2867"/>
      <c r="CU1371" s="2867"/>
      <c r="CV1371" s="2867"/>
      <c r="CW1371" s="2867"/>
    </row>
    <row r="1372" spans="1:101">
      <c r="A1372" s="2867"/>
      <c r="B1372" s="2867"/>
      <c r="C1372" s="2867"/>
      <c r="D1372" s="2867"/>
      <c r="E1372" s="2867"/>
      <c r="F1372" s="2867"/>
      <c r="G1372" s="2867"/>
      <c r="H1372" s="2867"/>
      <c r="I1372" s="2867"/>
      <c r="J1372" s="2867"/>
      <c r="K1372" s="2867"/>
      <c r="L1372" s="2867"/>
      <c r="M1372" s="2867"/>
      <c r="O1372" s="2867"/>
      <c r="P1372" s="2867"/>
      <c r="Q1372" s="2867"/>
      <c r="R1372" s="2867"/>
      <c r="S1372" s="2867"/>
      <c r="T1372" s="2867"/>
      <c r="U1372" s="2867"/>
      <c r="V1372" s="2867"/>
      <c r="W1372" s="2867"/>
      <c r="X1372" s="2867"/>
      <c r="Y1372" s="2867"/>
      <c r="Z1372" s="2867"/>
      <c r="AA1372" s="2867"/>
      <c r="AB1372" s="2867"/>
      <c r="AC1372" s="2867"/>
      <c r="AD1372" s="2867"/>
      <c r="AE1372" s="2867"/>
      <c r="AF1372" s="2867"/>
      <c r="AG1372" s="2867"/>
      <c r="AH1372" s="2867"/>
      <c r="AI1372" s="2867"/>
      <c r="AJ1372" s="2867"/>
      <c r="AK1372" s="2867"/>
      <c r="AL1372" s="2867"/>
      <c r="AM1372" s="2867"/>
      <c r="AN1372" s="2867"/>
      <c r="AO1372" s="2867"/>
      <c r="AP1372" s="2867"/>
      <c r="AQ1372" s="2867"/>
      <c r="AR1372" s="2867"/>
      <c r="AS1372" s="2867"/>
      <c r="AT1372" s="2867"/>
      <c r="AU1372" s="2867"/>
      <c r="AV1372" s="2867"/>
      <c r="AW1372" s="2867"/>
      <c r="AX1372" s="2867"/>
      <c r="AY1372" s="2867"/>
      <c r="AZ1372" s="2867"/>
      <c r="BA1372" s="2867"/>
      <c r="BB1372" s="2867"/>
      <c r="BC1372" s="2867"/>
      <c r="BD1372" s="2867"/>
      <c r="BE1372" s="2867"/>
      <c r="BF1372" s="2867"/>
      <c r="BG1372" s="2867"/>
      <c r="BH1372" s="2867"/>
      <c r="BI1372" s="2867"/>
      <c r="BJ1372" s="2867"/>
      <c r="BK1372" s="2867"/>
      <c r="BL1372" s="2867"/>
      <c r="BM1372" s="2867"/>
      <c r="BN1372" s="2867"/>
      <c r="BO1372" s="2867"/>
      <c r="BP1372" s="2867"/>
      <c r="BQ1372" s="2867"/>
      <c r="BR1372" s="2867"/>
      <c r="BS1372" s="2867"/>
      <c r="BT1372" s="2867"/>
      <c r="BU1372" s="2867"/>
      <c r="BV1372" s="2867"/>
      <c r="BW1372" s="2867"/>
      <c r="BX1372" s="2867"/>
      <c r="BY1372" s="2867"/>
      <c r="BZ1372" s="2867"/>
      <c r="CA1372" s="2867"/>
      <c r="CB1372" s="2867"/>
      <c r="CC1372" s="2867"/>
      <c r="CD1372" s="2867"/>
      <c r="CE1372" s="2867"/>
      <c r="CF1372" s="2867"/>
      <c r="CG1372" s="2867"/>
      <c r="CH1372" s="2867"/>
      <c r="CI1372" s="2867"/>
      <c r="CJ1372" s="2867"/>
      <c r="CK1372" s="2867"/>
      <c r="CL1372" s="2867"/>
      <c r="CM1372" s="2867"/>
      <c r="CN1372" s="2867"/>
      <c r="CO1372" s="2867"/>
      <c r="CP1372" s="2867"/>
      <c r="CQ1372" s="2867"/>
      <c r="CR1372" s="2867"/>
      <c r="CS1372" s="2867"/>
      <c r="CT1372" s="2867"/>
      <c r="CU1372" s="2867"/>
      <c r="CV1372" s="2867"/>
      <c r="CW1372" s="2867"/>
    </row>
    <row r="1373" spans="1:101">
      <c r="A1373" s="2867"/>
      <c r="B1373" s="2867"/>
      <c r="C1373" s="2867"/>
      <c r="D1373" s="2867"/>
      <c r="E1373" s="2867"/>
      <c r="F1373" s="2867"/>
      <c r="G1373" s="2867"/>
      <c r="H1373" s="2867"/>
      <c r="I1373" s="2867"/>
      <c r="J1373" s="2867"/>
      <c r="K1373" s="2867"/>
      <c r="L1373" s="2867"/>
      <c r="M1373" s="2867"/>
      <c r="O1373" s="2867"/>
      <c r="P1373" s="2867"/>
      <c r="Q1373" s="2867"/>
      <c r="R1373" s="2867"/>
      <c r="S1373" s="2867"/>
      <c r="T1373" s="2867"/>
      <c r="U1373" s="2867"/>
      <c r="V1373" s="2867"/>
      <c r="W1373" s="2867"/>
      <c r="X1373" s="2867"/>
      <c r="Y1373" s="2867"/>
      <c r="Z1373" s="2867"/>
      <c r="AA1373" s="2867"/>
      <c r="AB1373" s="2867"/>
      <c r="AC1373" s="2867"/>
      <c r="AD1373" s="2867"/>
      <c r="AE1373" s="2867"/>
      <c r="AF1373" s="2867"/>
      <c r="AG1373" s="2867"/>
      <c r="AH1373" s="2867"/>
      <c r="AI1373" s="2867"/>
      <c r="AJ1373" s="2867"/>
      <c r="AK1373" s="2867"/>
      <c r="AL1373" s="2867"/>
      <c r="AM1373" s="2867"/>
      <c r="AN1373" s="2867"/>
      <c r="AO1373" s="2867"/>
      <c r="AP1373" s="2867"/>
      <c r="AQ1373" s="2867"/>
      <c r="AR1373" s="2867"/>
      <c r="AS1373" s="2867"/>
      <c r="AT1373" s="2867"/>
      <c r="AU1373" s="2867"/>
      <c r="AV1373" s="2867"/>
      <c r="AW1373" s="2867"/>
      <c r="AX1373" s="2867"/>
      <c r="AY1373" s="2867"/>
      <c r="AZ1373" s="2867"/>
      <c r="BA1373" s="2867"/>
      <c r="BB1373" s="2867"/>
      <c r="BC1373" s="2867"/>
      <c r="BD1373" s="2867"/>
      <c r="BE1373" s="2867"/>
      <c r="BF1373" s="2867"/>
      <c r="BG1373" s="2867"/>
      <c r="BH1373" s="2867"/>
      <c r="BI1373" s="2867"/>
      <c r="BJ1373" s="2867"/>
      <c r="BK1373" s="2867"/>
      <c r="BL1373" s="2867"/>
      <c r="BM1373" s="2867"/>
      <c r="BN1373" s="2867"/>
      <c r="BO1373" s="2867"/>
      <c r="BP1373" s="2867"/>
      <c r="BQ1373" s="2867"/>
      <c r="BR1373" s="2867"/>
      <c r="BS1373" s="2867"/>
      <c r="BT1373" s="2867"/>
      <c r="BU1373" s="2867"/>
      <c r="BV1373" s="2867"/>
      <c r="BW1373" s="2867"/>
      <c r="BX1373" s="2867"/>
      <c r="BY1373" s="2867"/>
      <c r="BZ1373" s="2867"/>
      <c r="CA1373" s="2867"/>
      <c r="CB1373" s="2867"/>
      <c r="CC1373" s="2867"/>
      <c r="CD1373" s="2867"/>
      <c r="CE1373" s="2867"/>
      <c r="CF1373" s="2867"/>
      <c r="CG1373" s="2867"/>
      <c r="CH1373" s="2867"/>
      <c r="CI1373" s="2867"/>
      <c r="CJ1373" s="2867"/>
      <c r="CK1373" s="2867"/>
      <c r="CL1373" s="2867"/>
      <c r="CM1373" s="2867"/>
      <c r="CN1373" s="2867"/>
      <c r="CO1373" s="2867"/>
      <c r="CP1373" s="2867"/>
      <c r="CQ1373" s="2867"/>
      <c r="CR1373" s="2867"/>
      <c r="CS1373" s="2867"/>
      <c r="CT1373" s="2867"/>
      <c r="CU1373" s="2867"/>
      <c r="CV1373" s="2867"/>
      <c r="CW1373" s="2867"/>
    </row>
    <row r="1374" spans="1:101">
      <c r="A1374" s="2867"/>
      <c r="B1374" s="2867"/>
      <c r="C1374" s="2867"/>
      <c r="D1374" s="2867"/>
      <c r="E1374" s="2867"/>
      <c r="F1374" s="2867"/>
      <c r="G1374" s="2867"/>
      <c r="H1374" s="2867"/>
      <c r="I1374" s="2867"/>
      <c r="J1374" s="2867"/>
      <c r="K1374" s="2867"/>
      <c r="L1374" s="2867"/>
      <c r="M1374" s="2867"/>
      <c r="O1374" s="2867"/>
      <c r="P1374" s="2867"/>
      <c r="Q1374" s="2867"/>
      <c r="R1374" s="2867"/>
      <c r="S1374" s="2867"/>
      <c r="T1374" s="2867"/>
      <c r="U1374" s="2867"/>
      <c r="V1374" s="2867"/>
      <c r="W1374" s="2867"/>
      <c r="X1374" s="2867"/>
      <c r="Y1374" s="2867"/>
      <c r="Z1374" s="2867"/>
      <c r="AA1374" s="2867"/>
      <c r="AB1374" s="2867"/>
      <c r="AC1374" s="2867"/>
      <c r="AD1374" s="2867"/>
      <c r="AE1374" s="2867"/>
      <c r="AF1374" s="2867"/>
      <c r="AG1374" s="2867"/>
      <c r="AH1374" s="2867"/>
      <c r="AI1374" s="2867"/>
      <c r="AJ1374" s="2867"/>
      <c r="AK1374" s="2867"/>
      <c r="AL1374" s="2867"/>
      <c r="AM1374" s="2867"/>
      <c r="AN1374" s="2867"/>
      <c r="AO1374" s="2867"/>
      <c r="AP1374" s="2867"/>
      <c r="AQ1374" s="2867"/>
      <c r="AR1374" s="2867"/>
      <c r="AS1374" s="2867"/>
      <c r="AT1374" s="2867"/>
      <c r="AU1374" s="2867"/>
      <c r="AV1374" s="2867"/>
      <c r="AW1374" s="2867"/>
      <c r="AX1374" s="2867"/>
      <c r="AY1374" s="2867"/>
      <c r="AZ1374" s="2867"/>
      <c r="BA1374" s="2867"/>
      <c r="BB1374" s="2867"/>
      <c r="BC1374" s="2867"/>
      <c r="BD1374" s="2867"/>
      <c r="BE1374" s="2867"/>
      <c r="BF1374" s="2867"/>
      <c r="BG1374" s="2867"/>
      <c r="BH1374" s="2867"/>
      <c r="BI1374" s="2867"/>
      <c r="BJ1374" s="2867"/>
      <c r="BK1374" s="2867"/>
      <c r="BL1374" s="2867"/>
      <c r="BM1374" s="2867"/>
      <c r="BN1374" s="2867"/>
      <c r="BO1374" s="2867"/>
      <c r="BP1374" s="2867"/>
      <c r="BQ1374" s="2867"/>
      <c r="BR1374" s="2867"/>
      <c r="BS1374" s="2867"/>
      <c r="BT1374" s="2867"/>
      <c r="BU1374" s="2867"/>
      <c r="BV1374" s="2867"/>
      <c r="BW1374" s="2867"/>
      <c r="BX1374" s="2867"/>
      <c r="BY1374" s="2867"/>
      <c r="BZ1374" s="2867"/>
      <c r="CA1374" s="2867"/>
      <c r="CB1374" s="2867"/>
      <c r="CC1374" s="2867"/>
      <c r="CD1374" s="2867"/>
      <c r="CE1374" s="2867"/>
      <c r="CF1374" s="2867"/>
      <c r="CG1374" s="2867"/>
      <c r="CH1374" s="2867"/>
      <c r="CI1374" s="2867"/>
      <c r="CJ1374" s="2867"/>
      <c r="CK1374" s="2867"/>
      <c r="CL1374" s="2867"/>
      <c r="CM1374" s="2867"/>
      <c r="CN1374" s="2867"/>
      <c r="CO1374" s="2867"/>
      <c r="CP1374" s="2867"/>
      <c r="CQ1374" s="2867"/>
      <c r="CR1374" s="2867"/>
      <c r="CS1374" s="2867"/>
      <c r="CT1374" s="2867"/>
      <c r="CU1374" s="2867"/>
      <c r="CV1374" s="2867"/>
      <c r="CW1374" s="2867"/>
    </row>
    <row r="1375" spans="1:101">
      <c r="A1375" s="2867"/>
      <c r="B1375" s="2867"/>
      <c r="C1375" s="2867"/>
      <c r="D1375" s="2867"/>
      <c r="E1375" s="2867"/>
      <c r="F1375" s="2867"/>
      <c r="G1375" s="2867"/>
      <c r="H1375" s="2867"/>
      <c r="I1375" s="2867"/>
      <c r="J1375" s="2867"/>
      <c r="K1375" s="2867"/>
      <c r="L1375" s="2867"/>
      <c r="M1375" s="2867"/>
      <c r="O1375" s="2867"/>
      <c r="P1375" s="2867"/>
      <c r="Q1375" s="2867"/>
      <c r="R1375" s="2867"/>
      <c r="S1375" s="2867"/>
      <c r="T1375" s="2867"/>
      <c r="U1375" s="2867"/>
      <c r="V1375" s="2867"/>
      <c r="W1375" s="2867"/>
      <c r="X1375" s="2867"/>
      <c r="Y1375" s="2867"/>
      <c r="Z1375" s="2867"/>
      <c r="AA1375" s="2867"/>
      <c r="AB1375" s="2867"/>
      <c r="AC1375" s="2867"/>
      <c r="AD1375" s="2867"/>
      <c r="AE1375" s="2867"/>
      <c r="AF1375" s="2867"/>
      <c r="AG1375" s="2867"/>
      <c r="AH1375" s="2867"/>
      <c r="AI1375" s="2867"/>
      <c r="AJ1375" s="2867"/>
      <c r="AK1375" s="2867"/>
      <c r="AL1375" s="2867"/>
      <c r="AM1375" s="2867"/>
      <c r="AN1375" s="2867"/>
      <c r="AO1375" s="2867"/>
      <c r="AP1375" s="2867"/>
      <c r="AQ1375" s="2867"/>
      <c r="AR1375" s="2867"/>
      <c r="AS1375" s="2867"/>
      <c r="AT1375" s="2867"/>
      <c r="AU1375" s="2867"/>
      <c r="AV1375" s="2867"/>
      <c r="AW1375" s="2867"/>
      <c r="AX1375" s="2867"/>
      <c r="AY1375" s="2867"/>
      <c r="AZ1375" s="2867"/>
      <c r="BA1375" s="2867"/>
      <c r="BB1375" s="2867"/>
      <c r="BC1375" s="2867"/>
      <c r="BD1375" s="2867"/>
      <c r="BE1375" s="2867"/>
      <c r="BF1375" s="2867"/>
      <c r="BG1375" s="2867"/>
      <c r="BH1375" s="2867"/>
      <c r="BI1375" s="2867"/>
      <c r="BJ1375" s="2867"/>
      <c r="BK1375" s="2867"/>
      <c r="BL1375" s="2867"/>
      <c r="BM1375" s="2867"/>
      <c r="BN1375" s="2867"/>
      <c r="BO1375" s="2867"/>
      <c r="BP1375" s="2867"/>
      <c r="BQ1375" s="2867"/>
      <c r="BR1375" s="2867"/>
      <c r="BS1375" s="2867"/>
      <c r="BT1375" s="2867"/>
      <c r="BU1375" s="2867"/>
      <c r="BV1375" s="2867"/>
      <c r="BW1375" s="2867"/>
      <c r="BX1375" s="2867"/>
      <c r="BY1375" s="2867"/>
      <c r="BZ1375" s="2867"/>
      <c r="CA1375" s="2867"/>
      <c r="CB1375" s="2867"/>
      <c r="CC1375" s="2867"/>
      <c r="CD1375" s="2867"/>
      <c r="CE1375" s="2867"/>
      <c r="CF1375" s="2867"/>
      <c r="CG1375" s="2867"/>
      <c r="CH1375" s="2867"/>
      <c r="CI1375" s="2867"/>
      <c r="CJ1375" s="2867"/>
      <c r="CK1375" s="2867"/>
      <c r="CL1375" s="2867"/>
      <c r="CM1375" s="2867"/>
      <c r="CN1375" s="2867"/>
      <c r="CO1375" s="2867"/>
      <c r="CP1375" s="2867"/>
      <c r="CQ1375" s="2867"/>
      <c r="CR1375" s="2867"/>
      <c r="CS1375" s="2867"/>
      <c r="CT1375" s="2867"/>
      <c r="CU1375" s="2867"/>
      <c r="CV1375" s="2867"/>
      <c r="CW1375" s="2867"/>
    </row>
    <row r="1376" spans="1:101">
      <c r="A1376" s="2867"/>
      <c r="B1376" s="2867"/>
      <c r="C1376" s="2867"/>
      <c r="D1376" s="2867"/>
      <c r="E1376" s="2867"/>
      <c r="F1376" s="2867"/>
      <c r="G1376" s="2867"/>
      <c r="H1376" s="2867"/>
      <c r="I1376" s="2867"/>
      <c r="J1376" s="2867"/>
      <c r="K1376" s="2867"/>
      <c r="L1376" s="2867"/>
      <c r="M1376" s="2867"/>
      <c r="O1376" s="2867"/>
      <c r="P1376" s="2867"/>
      <c r="Q1376" s="2867"/>
      <c r="R1376" s="2867"/>
      <c r="S1376" s="2867"/>
      <c r="T1376" s="2867"/>
      <c r="U1376" s="2867"/>
      <c r="V1376" s="2867"/>
      <c r="W1376" s="2867"/>
      <c r="X1376" s="2867"/>
      <c r="Y1376" s="2867"/>
      <c r="Z1376" s="2867"/>
      <c r="AA1376" s="2867"/>
      <c r="AB1376" s="2867"/>
      <c r="AC1376" s="2867"/>
      <c r="AD1376" s="2867"/>
      <c r="AE1376" s="2867"/>
      <c r="AF1376" s="2867"/>
      <c r="AG1376" s="2867"/>
      <c r="AH1376" s="2867"/>
      <c r="AI1376" s="2867"/>
      <c r="AJ1376" s="2867"/>
      <c r="AK1376" s="2867"/>
      <c r="AL1376" s="2867"/>
      <c r="AM1376" s="2867"/>
      <c r="AN1376" s="2867"/>
      <c r="AO1376" s="2867"/>
      <c r="AP1376" s="2867"/>
      <c r="AQ1376" s="2867"/>
      <c r="AR1376" s="2867"/>
      <c r="AS1376" s="2867"/>
      <c r="AT1376" s="2867"/>
      <c r="AU1376" s="2867"/>
      <c r="AV1376" s="2867"/>
      <c r="AW1376" s="2867"/>
      <c r="AX1376" s="2867"/>
      <c r="AY1376" s="2867"/>
      <c r="AZ1376" s="2867"/>
      <c r="BA1376" s="2867"/>
      <c r="BB1376" s="2867"/>
      <c r="BC1376" s="2867"/>
      <c r="BD1376" s="2867"/>
      <c r="BE1376" s="2867"/>
      <c r="BF1376" s="2867"/>
      <c r="BG1376" s="2867"/>
      <c r="BH1376" s="2867"/>
      <c r="BI1376" s="2867"/>
      <c r="BJ1376" s="2867"/>
      <c r="BK1376" s="2867"/>
      <c r="BL1376" s="2867"/>
      <c r="BM1376" s="2867"/>
      <c r="BN1376" s="2867"/>
      <c r="BO1376" s="2867"/>
      <c r="BP1376" s="2867"/>
      <c r="BQ1376" s="2867"/>
      <c r="BR1376" s="2867"/>
      <c r="BS1376" s="2867"/>
      <c r="BT1376" s="2867"/>
      <c r="BU1376" s="2867"/>
      <c r="BV1376" s="2867"/>
      <c r="BW1376" s="2867"/>
      <c r="BX1376" s="2867"/>
      <c r="BY1376" s="2867"/>
      <c r="BZ1376" s="2867"/>
      <c r="CA1376" s="2867"/>
      <c r="CB1376" s="2867"/>
      <c r="CC1376" s="2867"/>
      <c r="CD1376" s="2867"/>
      <c r="CE1376" s="2867"/>
      <c r="CF1376" s="2867"/>
      <c r="CG1376" s="2867"/>
      <c r="CH1376" s="2867"/>
      <c r="CI1376" s="2867"/>
      <c r="CJ1376" s="2867"/>
      <c r="CK1376" s="2867"/>
      <c r="CL1376" s="2867"/>
      <c r="CM1376" s="2867"/>
      <c r="CN1376" s="2867"/>
      <c r="CO1376" s="2867"/>
      <c r="CP1376" s="2867"/>
      <c r="CQ1376" s="2867"/>
      <c r="CR1376" s="2867"/>
      <c r="CS1376" s="2867"/>
      <c r="CT1376" s="2867"/>
      <c r="CU1376" s="2867"/>
      <c r="CV1376" s="2867"/>
      <c r="CW1376" s="2867"/>
    </row>
    <row r="1377" spans="1:101">
      <c r="A1377" s="2867"/>
      <c r="B1377" s="2867"/>
      <c r="C1377" s="2867"/>
      <c r="D1377" s="2867"/>
      <c r="E1377" s="2867"/>
      <c r="F1377" s="2867"/>
      <c r="G1377" s="2867"/>
      <c r="H1377" s="2867"/>
      <c r="I1377" s="2867"/>
      <c r="J1377" s="2867"/>
      <c r="K1377" s="2867"/>
      <c r="L1377" s="2867"/>
      <c r="M1377" s="2867"/>
      <c r="O1377" s="2867"/>
      <c r="P1377" s="2867"/>
      <c r="Q1377" s="2867"/>
      <c r="R1377" s="2867"/>
      <c r="S1377" s="2867"/>
      <c r="T1377" s="2867"/>
      <c r="U1377" s="2867"/>
      <c r="V1377" s="2867"/>
      <c r="W1377" s="2867"/>
      <c r="X1377" s="2867"/>
      <c r="Y1377" s="2867"/>
      <c r="Z1377" s="2867"/>
      <c r="AA1377" s="2867"/>
      <c r="AB1377" s="2867"/>
      <c r="AC1377" s="2867"/>
      <c r="AD1377" s="2867"/>
      <c r="AE1377" s="2867"/>
      <c r="AF1377" s="2867"/>
      <c r="AG1377" s="2867"/>
      <c r="AH1377" s="2867"/>
      <c r="AI1377" s="2867"/>
      <c r="AJ1377" s="2867"/>
      <c r="AK1377" s="2867"/>
      <c r="AL1377" s="2867"/>
      <c r="AM1377" s="2867"/>
      <c r="AN1377" s="2867"/>
      <c r="AO1377" s="2867"/>
      <c r="AP1377" s="2867"/>
      <c r="AQ1377" s="2867"/>
      <c r="AR1377" s="2867"/>
      <c r="AS1377" s="2867"/>
      <c r="AT1377" s="2867"/>
      <c r="AU1377" s="2867"/>
      <c r="AV1377" s="2867"/>
      <c r="AW1377" s="2867"/>
      <c r="AX1377" s="2867"/>
      <c r="AY1377" s="2867"/>
      <c r="AZ1377" s="2867"/>
      <c r="BA1377" s="2867"/>
      <c r="BB1377" s="2867"/>
      <c r="BC1377" s="2867"/>
      <c r="BD1377" s="2867"/>
      <c r="BE1377" s="2867"/>
      <c r="BF1377" s="2867"/>
      <c r="BG1377" s="2867"/>
      <c r="BH1377" s="2867"/>
      <c r="BI1377" s="2867"/>
      <c r="BJ1377" s="2867"/>
      <c r="BK1377" s="2867"/>
      <c r="BL1377" s="2867"/>
      <c r="BM1377" s="2867"/>
      <c r="BN1377" s="2867"/>
      <c r="BO1377" s="2867"/>
      <c r="BP1377" s="2867"/>
      <c r="BQ1377" s="2867"/>
      <c r="BR1377" s="2867"/>
      <c r="BS1377" s="2867"/>
      <c r="BT1377" s="2867"/>
      <c r="BU1377" s="2867"/>
      <c r="BV1377" s="2867"/>
      <c r="BW1377" s="2867"/>
      <c r="BX1377" s="2867"/>
      <c r="BY1377" s="2867"/>
      <c r="BZ1377" s="2867"/>
      <c r="CA1377" s="2867"/>
      <c r="CB1377" s="2867"/>
      <c r="CC1377" s="2867"/>
      <c r="CD1377" s="2867"/>
      <c r="CE1377" s="2867"/>
      <c r="CF1377" s="2867"/>
      <c r="CG1377" s="2867"/>
      <c r="CH1377" s="2867"/>
      <c r="CI1377" s="2867"/>
      <c r="CJ1377" s="2867"/>
      <c r="CK1377" s="2867"/>
      <c r="CL1377" s="2867"/>
      <c r="CM1377" s="2867"/>
      <c r="CN1377" s="2867"/>
      <c r="CO1377" s="2867"/>
      <c r="CP1377" s="2867"/>
      <c r="CQ1377" s="2867"/>
      <c r="CR1377" s="2867"/>
      <c r="CS1377" s="2867"/>
      <c r="CT1377" s="2867"/>
      <c r="CU1377" s="2867"/>
      <c r="CV1377" s="2867"/>
      <c r="CW1377" s="2867"/>
    </row>
    <row r="1378" spans="1:101">
      <c r="A1378" s="2867"/>
      <c r="B1378" s="2867"/>
      <c r="C1378" s="2867"/>
      <c r="D1378" s="2867"/>
      <c r="E1378" s="2867"/>
      <c r="F1378" s="2867"/>
      <c r="G1378" s="2867"/>
      <c r="H1378" s="2867"/>
      <c r="I1378" s="2867"/>
      <c r="J1378" s="2867"/>
      <c r="K1378" s="2867"/>
      <c r="L1378" s="2867"/>
      <c r="M1378" s="2867"/>
      <c r="O1378" s="2867"/>
      <c r="P1378" s="2867"/>
      <c r="Q1378" s="2867"/>
      <c r="R1378" s="2867"/>
      <c r="S1378" s="2867"/>
      <c r="T1378" s="2867"/>
      <c r="U1378" s="2867"/>
      <c r="V1378" s="2867"/>
      <c r="W1378" s="2867"/>
      <c r="X1378" s="2867"/>
      <c r="Y1378" s="2867"/>
      <c r="Z1378" s="2867"/>
      <c r="AA1378" s="2867"/>
      <c r="AB1378" s="2867"/>
      <c r="AC1378" s="2867"/>
      <c r="AD1378" s="2867"/>
      <c r="AE1378" s="2867"/>
      <c r="AF1378" s="2867"/>
      <c r="AG1378" s="2867"/>
      <c r="AH1378" s="2867"/>
      <c r="AI1378" s="2867"/>
      <c r="AJ1378" s="2867"/>
      <c r="AK1378" s="2867"/>
      <c r="AL1378" s="2867"/>
      <c r="AM1378" s="2867"/>
      <c r="AN1378" s="2867"/>
      <c r="AO1378" s="2867"/>
      <c r="AP1378" s="2867"/>
      <c r="AQ1378" s="2867"/>
      <c r="AR1378" s="2867"/>
      <c r="AS1378" s="2867"/>
      <c r="AT1378" s="2867"/>
      <c r="AU1378" s="2867"/>
      <c r="AV1378" s="2867"/>
      <c r="AW1378" s="2867"/>
      <c r="AX1378" s="2867"/>
      <c r="AY1378" s="2867"/>
      <c r="AZ1378" s="2867"/>
      <c r="BA1378" s="2867"/>
      <c r="BB1378" s="2867"/>
      <c r="BC1378" s="2867"/>
      <c r="BD1378" s="2867"/>
      <c r="BE1378" s="2867"/>
      <c r="BF1378" s="2867"/>
      <c r="BG1378" s="2867"/>
      <c r="BH1378" s="2867"/>
      <c r="BI1378" s="2867"/>
      <c r="BJ1378" s="2867"/>
      <c r="BK1378" s="2867"/>
      <c r="BL1378" s="2867"/>
      <c r="BM1378" s="2867"/>
      <c r="BN1378" s="2867"/>
      <c r="BO1378" s="2867"/>
      <c r="BP1378" s="2867"/>
      <c r="BQ1378" s="2867"/>
      <c r="BR1378" s="2867"/>
      <c r="BS1378" s="2867"/>
      <c r="BT1378" s="2867"/>
      <c r="BU1378" s="2867"/>
      <c r="BV1378" s="2867"/>
      <c r="BW1378" s="2867"/>
      <c r="BX1378" s="2867"/>
      <c r="BY1378" s="2867"/>
      <c r="BZ1378" s="2867"/>
      <c r="CA1378" s="2867"/>
      <c r="CB1378" s="2867"/>
      <c r="CC1378" s="2867"/>
      <c r="CD1378" s="2867"/>
      <c r="CE1378" s="2867"/>
      <c r="CF1378" s="2867"/>
      <c r="CG1378" s="2867"/>
      <c r="CH1378" s="2867"/>
      <c r="CI1378" s="2867"/>
      <c r="CJ1378" s="2867"/>
      <c r="CK1378" s="2867"/>
      <c r="CL1378" s="2867"/>
      <c r="CM1378" s="2867"/>
      <c r="CN1378" s="2867"/>
      <c r="CO1378" s="2867"/>
      <c r="CP1378" s="2867"/>
      <c r="CQ1378" s="2867"/>
      <c r="CR1378" s="2867"/>
      <c r="CS1378" s="2867"/>
      <c r="CT1378" s="2867"/>
      <c r="CU1378" s="2867"/>
      <c r="CV1378" s="2867"/>
      <c r="CW1378" s="2867"/>
    </row>
    <row r="1379" spans="1:101">
      <c r="A1379" s="2867"/>
      <c r="B1379" s="2867"/>
      <c r="C1379" s="2867"/>
      <c r="D1379" s="2867"/>
      <c r="E1379" s="2867"/>
      <c r="F1379" s="2867"/>
      <c r="G1379" s="2867"/>
      <c r="H1379" s="2867"/>
      <c r="I1379" s="2867"/>
      <c r="J1379" s="2867"/>
      <c r="K1379" s="2867"/>
      <c r="L1379" s="2867"/>
      <c r="M1379" s="2867"/>
      <c r="O1379" s="2867"/>
      <c r="P1379" s="2867"/>
      <c r="Q1379" s="2867"/>
      <c r="R1379" s="2867"/>
      <c r="S1379" s="2867"/>
      <c r="T1379" s="2867"/>
      <c r="U1379" s="2867"/>
      <c r="V1379" s="2867"/>
      <c r="W1379" s="2867"/>
      <c r="X1379" s="2867"/>
      <c r="Y1379" s="2867"/>
      <c r="Z1379" s="2867"/>
      <c r="AA1379" s="2867"/>
      <c r="AB1379" s="2867"/>
      <c r="AC1379" s="2867"/>
      <c r="AD1379" s="2867"/>
      <c r="AE1379" s="2867"/>
      <c r="AF1379" s="2867"/>
      <c r="AG1379" s="2867"/>
      <c r="AH1379" s="2867"/>
      <c r="AI1379" s="2867"/>
      <c r="AJ1379" s="2867"/>
      <c r="AK1379" s="2867"/>
      <c r="AL1379" s="2867"/>
      <c r="AM1379" s="2867"/>
      <c r="AN1379" s="2867"/>
      <c r="AO1379" s="2867"/>
      <c r="AP1379" s="2867"/>
      <c r="AQ1379" s="2867"/>
      <c r="AR1379" s="2867"/>
      <c r="AS1379" s="2867"/>
      <c r="AT1379" s="2867"/>
      <c r="AU1379" s="2867"/>
      <c r="AV1379" s="2867"/>
      <c r="AW1379" s="2867"/>
      <c r="AX1379" s="2867"/>
      <c r="AY1379" s="2867"/>
      <c r="AZ1379" s="2867"/>
      <c r="BA1379" s="2867"/>
      <c r="BB1379" s="2867"/>
      <c r="BC1379" s="2867"/>
      <c r="BD1379" s="2867"/>
      <c r="BE1379" s="2867"/>
      <c r="BF1379" s="2867"/>
      <c r="BG1379" s="2867"/>
      <c r="BH1379" s="2867"/>
      <c r="BI1379" s="2867"/>
      <c r="BJ1379" s="2867"/>
      <c r="BK1379" s="2867"/>
      <c r="BL1379" s="2867"/>
      <c r="BM1379" s="2867"/>
      <c r="BN1379" s="2867"/>
      <c r="BO1379" s="2867"/>
      <c r="BP1379" s="2867"/>
      <c r="BQ1379" s="2867"/>
      <c r="BR1379" s="2867"/>
      <c r="BS1379" s="2867"/>
      <c r="BT1379" s="2867"/>
      <c r="BU1379" s="2867"/>
      <c r="BV1379" s="2867"/>
      <c r="BW1379" s="2867"/>
      <c r="BX1379" s="2867"/>
      <c r="BY1379" s="2867"/>
      <c r="BZ1379" s="2867"/>
      <c r="CA1379" s="2867"/>
      <c r="CB1379" s="2867"/>
      <c r="CC1379" s="2867"/>
      <c r="CD1379" s="2867"/>
      <c r="CE1379" s="2867"/>
      <c r="CF1379" s="2867"/>
      <c r="CG1379" s="2867"/>
      <c r="CH1379" s="2867"/>
      <c r="CI1379" s="2867"/>
      <c r="CJ1379" s="2867"/>
      <c r="CK1379" s="2867"/>
      <c r="CL1379" s="2867"/>
      <c r="CM1379" s="2867"/>
      <c r="CN1379" s="2867"/>
      <c r="CO1379" s="2867"/>
      <c r="CP1379" s="2867"/>
      <c r="CQ1379" s="2867"/>
      <c r="CR1379" s="2867"/>
      <c r="CS1379" s="2867"/>
      <c r="CT1379" s="2867"/>
      <c r="CU1379" s="2867"/>
      <c r="CV1379" s="2867"/>
      <c r="CW1379" s="2867"/>
    </row>
    <row r="1380" spans="1:101">
      <c r="A1380" s="2867"/>
      <c r="B1380" s="2867"/>
      <c r="C1380" s="2867"/>
      <c r="D1380" s="2867"/>
      <c r="E1380" s="2867"/>
      <c r="F1380" s="2867"/>
      <c r="G1380" s="2867"/>
      <c r="H1380" s="2867"/>
      <c r="I1380" s="2867"/>
      <c r="J1380" s="2867"/>
      <c r="K1380" s="2867"/>
      <c r="L1380" s="2867"/>
      <c r="M1380" s="2867"/>
      <c r="O1380" s="2867"/>
      <c r="P1380" s="2867"/>
      <c r="Q1380" s="2867"/>
      <c r="R1380" s="2867"/>
      <c r="S1380" s="2867"/>
      <c r="T1380" s="2867"/>
      <c r="U1380" s="2867"/>
      <c r="V1380" s="2867"/>
      <c r="W1380" s="2867"/>
      <c r="X1380" s="2867"/>
      <c r="Y1380" s="2867"/>
      <c r="Z1380" s="2867"/>
      <c r="AA1380" s="2867"/>
      <c r="AB1380" s="2867"/>
      <c r="AC1380" s="2867"/>
      <c r="AD1380" s="2867"/>
      <c r="AE1380" s="2867"/>
      <c r="AF1380" s="2867"/>
      <c r="AG1380" s="2867"/>
      <c r="AH1380" s="2867"/>
      <c r="AI1380" s="2867"/>
      <c r="AJ1380" s="2867"/>
      <c r="AK1380" s="2867"/>
      <c r="AL1380" s="2867"/>
      <c r="AM1380" s="2867"/>
      <c r="AN1380" s="2867"/>
      <c r="AO1380" s="2867"/>
      <c r="AP1380" s="2867"/>
      <c r="AQ1380" s="2867"/>
      <c r="AR1380" s="2867"/>
      <c r="AS1380" s="2867"/>
      <c r="AT1380" s="2867"/>
      <c r="AU1380" s="2867"/>
      <c r="AV1380" s="2867"/>
      <c r="AW1380" s="2867"/>
      <c r="AX1380" s="2867"/>
      <c r="AY1380" s="2867"/>
      <c r="AZ1380" s="2867"/>
      <c r="BA1380" s="2867"/>
      <c r="BB1380" s="2867"/>
      <c r="BC1380" s="2867"/>
      <c r="BD1380" s="2867"/>
      <c r="BE1380" s="2867"/>
      <c r="BF1380" s="2867"/>
      <c r="BG1380" s="2867"/>
      <c r="BH1380" s="2867"/>
      <c r="BI1380" s="2867"/>
      <c r="BJ1380" s="2867"/>
      <c r="BK1380" s="2867"/>
      <c r="BL1380" s="2867"/>
      <c r="BM1380" s="2867"/>
      <c r="BN1380" s="2867"/>
      <c r="BO1380" s="2867"/>
      <c r="BP1380" s="2867"/>
      <c r="BQ1380" s="2867"/>
      <c r="BR1380" s="2867"/>
      <c r="BS1380" s="2867"/>
      <c r="BT1380" s="2867"/>
      <c r="BU1380" s="2867"/>
      <c r="BV1380" s="2867"/>
      <c r="BW1380" s="2867"/>
      <c r="BX1380" s="2867"/>
      <c r="BY1380" s="2867"/>
      <c r="BZ1380" s="2867"/>
      <c r="CA1380" s="2867"/>
      <c r="CB1380" s="2867"/>
      <c r="CC1380" s="2867"/>
      <c r="CD1380" s="2867"/>
      <c r="CE1380" s="2867"/>
      <c r="CF1380" s="2867"/>
      <c r="CG1380" s="2867"/>
      <c r="CH1380" s="2867"/>
      <c r="CI1380" s="2867"/>
      <c r="CJ1380" s="2867"/>
      <c r="CK1380" s="2867"/>
      <c r="CL1380" s="2867"/>
      <c r="CM1380" s="2867"/>
      <c r="CN1380" s="2867"/>
      <c r="CO1380" s="2867"/>
      <c r="CP1380" s="2867"/>
      <c r="CQ1380" s="2867"/>
      <c r="CR1380" s="2867"/>
      <c r="CS1380" s="2867"/>
      <c r="CT1380" s="2867"/>
      <c r="CU1380" s="2867"/>
      <c r="CV1380" s="2867"/>
      <c r="CW1380" s="2867"/>
    </row>
    <row r="1381" spans="1:101">
      <c r="A1381" s="2867"/>
      <c r="B1381" s="2867"/>
      <c r="C1381" s="2867"/>
      <c r="D1381" s="2867"/>
      <c r="E1381" s="2867"/>
      <c r="F1381" s="2867"/>
      <c r="G1381" s="2867"/>
      <c r="H1381" s="2867"/>
      <c r="I1381" s="2867"/>
      <c r="J1381" s="2867"/>
      <c r="K1381" s="2867"/>
      <c r="L1381" s="2867"/>
      <c r="M1381" s="2867"/>
      <c r="O1381" s="2867"/>
      <c r="P1381" s="2867"/>
      <c r="Q1381" s="2867"/>
      <c r="R1381" s="2867"/>
      <c r="S1381" s="2867"/>
      <c r="T1381" s="2867"/>
      <c r="U1381" s="2867"/>
      <c r="V1381" s="2867"/>
      <c r="W1381" s="2867"/>
      <c r="X1381" s="2867"/>
      <c r="Y1381" s="2867"/>
      <c r="Z1381" s="2867"/>
      <c r="AA1381" s="2867"/>
      <c r="AB1381" s="2867"/>
      <c r="AC1381" s="2867"/>
      <c r="AD1381" s="2867"/>
      <c r="AE1381" s="2867"/>
      <c r="AF1381" s="2867"/>
      <c r="AG1381" s="2867"/>
      <c r="AH1381" s="2867"/>
      <c r="AI1381" s="2867"/>
      <c r="AJ1381" s="2867"/>
      <c r="AK1381" s="2867"/>
      <c r="AL1381" s="2867"/>
      <c r="AM1381" s="2867"/>
      <c r="AN1381" s="2867"/>
      <c r="AO1381" s="2867"/>
      <c r="AP1381" s="2867"/>
      <c r="AQ1381" s="2867"/>
      <c r="AR1381" s="2867"/>
      <c r="AS1381" s="2867"/>
      <c r="AT1381" s="2867"/>
      <c r="AU1381" s="2867"/>
      <c r="AV1381" s="2867"/>
      <c r="AW1381" s="2867"/>
      <c r="AX1381" s="2867"/>
      <c r="AY1381" s="2867"/>
      <c r="AZ1381" s="2867"/>
      <c r="BA1381" s="2867"/>
      <c r="BB1381" s="2867"/>
      <c r="BC1381" s="2867"/>
      <c r="BD1381" s="2867"/>
      <c r="BE1381" s="2867"/>
      <c r="BF1381" s="2867"/>
      <c r="BG1381" s="2867"/>
      <c r="BH1381" s="2867"/>
      <c r="BI1381" s="2867"/>
      <c r="BJ1381" s="2867"/>
      <c r="BK1381" s="2867"/>
      <c r="BL1381" s="2867"/>
      <c r="BM1381" s="2867"/>
      <c r="BN1381" s="2867"/>
      <c r="BO1381" s="2867"/>
      <c r="BP1381" s="2867"/>
      <c r="BQ1381" s="2867"/>
      <c r="BR1381" s="2867"/>
      <c r="BS1381" s="2867"/>
      <c r="BT1381" s="2867"/>
      <c r="BU1381" s="2867"/>
      <c r="BV1381" s="2867"/>
      <c r="BW1381" s="2867"/>
      <c r="BX1381" s="2867"/>
      <c r="BY1381" s="2867"/>
      <c r="BZ1381" s="2867"/>
      <c r="CA1381" s="2867"/>
      <c r="CB1381" s="2867"/>
      <c r="CC1381" s="2867"/>
      <c r="CD1381" s="2867"/>
      <c r="CE1381" s="2867"/>
      <c r="CF1381" s="2867"/>
      <c r="CG1381" s="2867"/>
      <c r="CH1381" s="2867"/>
      <c r="CI1381" s="2867"/>
      <c r="CJ1381" s="2867"/>
      <c r="CK1381" s="2867"/>
      <c r="CL1381" s="2867"/>
      <c r="CM1381" s="2867"/>
      <c r="CN1381" s="2867"/>
      <c r="CO1381" s="2867"/>
      <c r="CP1381" s="2867"/>
      <c r="CQ1381" s="2867"/>
      <c r="CR1381" s="2867"/>
      <c r="CS1381" s="2867"/>
      <c r="CT1381" s="2867"/>
      <c r="CU1381" s="2867"/>
      <c r="CV1381" s="2867"/>
      <c r="CW1381" s="2867"/>
    </row>
    <row r="1382" spans="1:101">
      <c r="A1382" s="2867"/>
      <c r="B1382" s="2867"/>
      <c r="C1382" s="2867"/>
      <c r="D1382" s="2867"/>
      <c r="E1382" s="2867"/>
      <c r="F1382" s="2867"/>
      <c r="G1382" s="2867"/>
      <c r="H1382" s="2867"/>
      <c r="I1382" s="2867"/>
      <c r="J1382" s="2867"/>
      <c r="K1382" s="2867"/>
      <c r="L1382" s="2867"/>
      <c r="M1382" s="2867"/>
      <c r="O1382" s="2867"/>
      <c r="P1382" s="2867"/>
      <c r="Q1382" s="2867"/>
      <c r="R1382" s="2867"/>
      <c r="S1382" s="2867"/>
      <c r="T1382" s="2867"/>
      <c r="U1382" s="2867"/>
      <c r="V1382" s="2867"/>
      <c r="W1382" s="2867"/>
      <c r="X1382" s="2867"/>
      <c r="Y1382" s="2867"/>
      <c r="Z1382" s="2867"/>
      <c r="AA1382" s="2867"/>
      <c r="AB1382" s="2867"/>
      <c r="AC1382" s="2867"/>
      <c r="AD1382" s="2867"/>
      <c r="AE1382" s="2867"/>
      <c r="AF1382" s="2867"/>
      <c r="AG1382" s="2867"/>
      <c r="AH1382" s="2867"/>
      <c r="AI1382" s="2867"/>
      <c r="AJ1382" s="2867"/>
      <c r="AK1382" s="2867"/>
      <c r="AL1382" s="2867"/>
      <c r="AM1382" s="2867"/>
      <c r="AN1382" s="2867"/>
      <c r="AO1382" s="2867"/>
      <c r="AP1382" s="2867"/>
      <c r="AQ1382" s="2867"/>
      <c r="AR1382" s="2867"/>
      <c r="AS1382" s="2867"/>
      <c r="AT1382" s="2867"/>
      <c r="AU1382" s="2867"/>
      <c r="AV1382" s="2867"/>
      <c r="AW1382" s="2867"/>
      <c r="AX1382" s="2867"/>
      <c r="AY1382" s="2867"/>
      <c r="AZ1382" s="2867"/>
      <c r="BA1382" s="2867"/>
      <c r="BB1382" s="2867"/>
      <c r="BC1382" s="2867"/>
      <c r="BD1382" s="2867"/>
      <c r="BE1382" s="2867"/>
      <c r="BF1382" s="2867"/>
      <c r="BG1382" s="2867"/>
      <c r="BH1382" s="2867"/>
      <c r="BI1382" s="2867"/>
      <c r="BJ1382" s="2867"/>
      <c r="BK1382" s="2867"/>
      <c r="BL1382" s="2867"/>
      <c r="BM1382" s="2867"/>
      <c r="BN1382" s="2867"/>
      <c r="BO1382" s="2867"/>
      <c r="BP1382" s="2867"/>
      <c r="BQ1382" s="2867"/>
      <c r="BR1382" s="2867"/>
      <c r="BS1382" s="2867"/>
      <c r="BT1382" s="2867"/>
      <c r="BU1382" s="2867"/>
      <c r="BV1382" s="2867"/>
      <c r="BW1382" s="2867"/>
      <c r="BX1382" s="2867"/>
      <c r="BY1382" s="2867"/>
      <c r="BZ1382" s="2867"/>
      <c r="CA1382" s="2867"/>
      <c r="CB1382" s="2867"/>
      <c r="CC1382" s="2867"/>
      <c r="CD1382" s="2867"/>
      <c r="CE1382" s="2867"/>
      <c r="CF1382" s="2867"/>
      <c r="CG1382" s="2867"/>
      <c r="CH1382" s="2867"/>
      <c r="CI1382" s="2867"/>
      <c r="CJ1382" s="2867"/>
      <c r="CK1382" s="2867"/>
      <c r="CL1382" s="2867"/>
      <c r="CM1382" s="2867"/>
      <c r="CN1382" s="2867"/>
      <c r="CO1382" s="2867"/>
      <c r="CP1382" s="2867"/>
      <c r="CQ1382" s="2867"/>
      <c r="CR1382" s="2867"/>
      <c r="CS1382" s="2867"/>
      <c r="CT1382" s="2867"/>
      <c r="CU1382" s="2867"/>
      <c r="CV1382" s="2867"/>
      <c r="CW1382" s="2867"/>
    </row>
    <row r="1383" spans="1:101">
      <c r="A1383" s="2867"/>
      <c r="B1383" s="2867"/>
      <c r="C1383" s="2867"/>
      <c r="D1383" s="2867"/>
      <c r="E1383" s="2867"/>
      <c r="F1383" s="2867"/>
      <c r="G1383" s="2867"/>
      <c r="H1383" s="2867"/>
      <c r="I1383" s="2867"/>
      <c r="J1383" s="2867"/>
      <c r="K1383" s="2867"/>
      <c r="L1383" s="2867"/>
      <c r="M1383" s="2867"/>
      <c r="O1383" s="2867"/>
      <c r="P1383" s="2867"/>
      <c r="Q1383" s="2867"/>
      <c r="R1383" s="2867"/>
      <c r="S1383" s="2867"/>
      <c r="T1383" s="2867"/>
      <c r="U1383" s="2867"/>
      <c r="V1383" s="2867"/>
      <c r="W1383" s="2867"/>
      <c r="X1383" s="2867"/>
      <c r="Y1383" s="2867"/>
      <c r="Z1383" s="2867"/>
      <c r="AA1383" s="2867"/>
      <c r="AB1383" s="2867"/>
      <c r="AC1383" s="2867"/>
      <c r="AD1383" s="2867"/>
      <c r="AE1383" s="2867"/>
      <c r="AF1383" s="2867"/>
      <c r="AG1383" s="2867"/>
      <c r="AH1383" s="2867"/>
      <c r="AI1383" s="2867"/>
      <c r="AJ1383" s="2867"/>
      <c r="AK1383" s="2867"/>
      <c r="AL1383" s="2867"/>
      <c r="AM1383" s="2867"/>
      <c r="AN1383" s="2867"/>
      <c r="AO1383" s="2867"/>
      <c r="AP1383" s="2867"/>
      <c r="AQ1383" s="2867"/>
      <c r="AR1383" s="2867"/>
      <c r="AS1383" s="2867"/>
      <c r="AT1383" s="2867"/>
      <c r="AU1383" s="2867"/>
      <c r="AV1383" s="2867"/>
      <c r="AW1383" s="2867"/>
      <c r="AX1383" s="2867"/>
      <c r="AY1383" s="2867"/>
      <c r="AZ1383" s="2867"/>
      <c r="BA1383" s="2867"/>
      <c r="BB1383" s="2867"/>
      <c r="BC1383" s="2867"/>
      <c r="BD1383" s="2867"/>
      <c r="BE1383" s="2867"/>
      <c r="BF1383" s="2867"/>
      <c r="BG1383" s="2867"/>
      <c r="BH1383" s="2867"/>
      <c r="BI1383" s="2867"/>
      <c r="BJ1383" s="2867"/>
      <c r="BK1383" s="2867"/>
      <c r="BL1383" s="2867"/>
      <c r="BM1383" s="2867"/>
      <c r="BN1383" s="2867"/>
      <c r="BO1383" s="2867"/>
      <c r="BP1383" s="2867"/>
      <c r="BQ1383" s="2867"/>
      <c r="BR1383" s="2867"/>
      <c r="BS1383" s="2867"/>
      <c r="BT1383" s="2867"/>
      <c r="BU1383" s="2867"/>
      <c r="BV1383" s="2867"/>
      <c r="BW1383" s="2867"/>
      <c r="BX1383" s="2867"/>
      <c r="BY1383" s="2867"/>
      <c r="BZ1383" s="2867"/>
      <c r="CA1383" s="2867"/>
      <c r="CB1383" s="2867"/>
      <c r="CC1383" s="2867"/>
      <c r="CD1383" s="2867"/>
      <c r="CE1383" s="2867"/>
      <c r="CF1383" s="2867"/>
      <c r="CG1383" s="2867"/>
      <c r="CH1383" s="2867"/>
      <c r="CI1383" s="2867"/>
      <c r="CJ1383" s="2867"/>
      <c r="CK1383" s="2867"/>
      <c r="CL1383" s="2867"/>
      <c r="CM1383" s="2867"/>
      <c r="CN1383" s="2867"/>
      <c r="CO1383" s="2867"/>
      <c r="CP1383" s="2867"/>
      <c r="CQ1383" s="2867"/>
      <c r="CR1383" s="2867"/>
      <c r="CS1383" s="2867"/>
      <c r="CT1383" s="2867"/>
      <c r="CU1383" s="2867"/>
      <c r="CV1383" s="2867"/>
      <c r="CW1383" s="2867"/>
    </row>
    <row r="1384" spans="1:101">
      <c r="A1384" s="2867"/>
      <c r="B1384" s="2867"/>
      <c r="C1384" s="2867"/>
      <c r="D1384" s="2867"/>
      <c r="E1384" s="2867"/>
      <c r="F1384" s="2867"/>
      <c r="G1384" s="2867"/>
      <c r="H1384" s="2867"/>
      <c r="I1384" s="2867"/>
      <c r="J1384" s="2867"/>
      <c r="K1384" s="2867"/>
      <c r="L1384" s="2867"/>
      <c r="M1384" s="2867"/>
      <c r="O1384" s="2867"/>
      <c r="P1384" s="2867"/>
      <c r="Q1384" s="2867"/>
      <c r="R1384" s="2867"/>
      <c r="S1384" s="2867"/>
      <c r="T1384" s="2867"/>
      <c r="U1384" s="2867"/>
      <c r="V1384" s="2867"/>
      <c r="W1384" s="2867"/>
      <c r="X1384" s="2867"/>
      <c r="Y1384" s="2867"/>
      <c r="Z1384" s="2867"/>
      <c r="AA1384" s="2867"/>
      <c r="AB1384" s="2867"/>
      <c r="AC1384" s="2867"/>
      <c r="AD1384" s="2867"/>
      <c r="AE1384" s="2867"/>
      <c r="AF1384" s="2867"/>
      <c r="AG1384" s="2867"/>
      <c r="AH1384" s="2867"/>
      <c r="AI1384" s="2867"/>
      <c r="AJ1384" s="2867"/>
      <c r="AK1384" s="2867"/>
      <c r="AL1384" s="2867"/>
      <c r="AM1384" s="2867"/>
      <c r="AN1384" s="2867"/>
      <c r="AO1384" s="2867"/>
      <c r="AP1384" s="2867"/>
      <c r="AQ1384" s="2867"/>
      <c r="AR1384" s="2867"/>
      <c r="AS1384" s="2867"/>
      <c r="AT1384" s="2867"/>
      <c r="AU1384" s="2867"/>
      <c r="AV1384" s="2867"/>
      <c r="AW1384" s="2867"/>
      <c r="AX1384" s="2867"/>
      <c r="AY1384" s="2867"/>
      <c r="AZ1384" s="2867"/>
      <c r="BA1384" s="2867"/>
      <c r="BB1384" s="2867"/>
      <c r="BC1384" s="2867"/>
      <c r="BD1384" s="2867"/>
      <c r="BE1384" s="2867"/>
      <c r="BF1384" s="2867"/>
      <c r="BG1384" s="2867"/>
      <c r="BH1384" s="2867"/>
      <c r="BI1384" s="2867"/>
      <c r="BJ1384" s="2867"/>
      <c r="BK1384" s="2867"/>
      <c r="BL1384" s="2867"/>
      <c r="BM1384" s="2867"/>
      <c r="BN1384" s="2867"/>
      <c r="BO1384" s="2867"/>
      <c r="BP1384" s="2867"/>
      <c r="BQ1384" s="2867"/>
      <c r="BR1384" s="2867"/>
      <c r="BS1384" s="2867"/>
      <c r="BT1384" s="2867"/>
      <c r="BU1384" s="2867"/>
      <c r="BV1384" s="2867"/>
      <c r="BW1384" s="2867"/>
      <c r="BX1384" s="2867"/>
      <c r="BY1384" s="2867"/>
      <c r="BZ1384" s="2867"/>
      <c r="CA1384" s="2867"/>
      <c r="CB1384" s="2867"/>
      <c r="CC1384" s="2867"/>
      <c r="CD1384" s="2867"/>
      <c r="CE1384" s="2867"/>
      <c r="CF1384" s="2867"/>
      <c r="CG1384" s="2867"/>
      <c r="CH1384" s="2867"/>
      <c r="CI1384" s="2867"/>
      <c r="CJ1384" s="2867"/>
      <c r="CK1384" s="2867"/>
      <c r="CL1384" s="2867"/>
      <c r="CM1384" s="2867"/>
      <c r="CN1384" s="2867"/>
      <c r="CO1384" s="2867"/>
      <c r="CP1384" s="2867"/>
      <c r="CQ1384" s="2867"/>
      <c r="CR1384" s="2867"/>
      <c r="CS1384" s="2867"/>
      <c r="CT1384" s="2867"/>
      <c r="CU1384" s="2867"/>
      <c r="CV1384" s="2867"/>
      <c r="CW1384" s="2867"/>
    </row>
    <row r="1385" spans="1:101">
      <c r="A1385" s="2867"/>
      <c r="B1385" s="2867"/>
      <c r="C1385" s="2867"/>
      <c r="D1385" s="2867"/>
      <c r="E1385" s="2867"/>
      <c r="F1385" s="2867"/>
      <c r="G1385" s="2867"/>
      <c r="H1385" s="2867"/>
      <c r="I1385" s="2867"/>
      <c r="J1385" s="2867"/>
      <c r="K1385" s="2867"/>
      <c r="L1385" s="2867"/>
      <c r="M1385" s="2867"/>
      <c r="O1385" s="2867"/>
      <c r="P1385" s="2867"/>
      <c r="Q1385" s="2867"/>
      <c r="R1385" s="2867"/>
      <c r="S1385" s="2867"/>
      <c r="T1385" s="2867"/>
      <c r="U1385" s="2867"/>
      <c r="V1385" s="2867"/>
      <c r="W1385" s="2867"/>
      <c r="X1385" s="2867"/>
      <c r="Y1385" s="2867"/>
      <c r="Z1385" s="2867"/>
      <c r="AA1385" s="2867"/>
      <c r="AB1385" s="2867"/>
      <c r="AC1385" s="2867"/>
      <c r="AD1385" s="2867"/>
      <c r="AE1385" s="2867"/>
      <c r="AF1385" s="2867"/>
      <c r="AG1385" s="2867"/>
      <c r="AH1385" s="2867"/>
      <c r="AI1385" s="2867"/>
      <c r="AJ1385" s="2867"/>
      <c r="AK1385" s="2867"/>
      <c r="AL1385" s="2867"/>
      <c r="AM1385" s="2867"/>
      <c r="AN1385" s="2867"/>
      <c r="AO1385" s="2867"/>
      <c r="AP1385" s="2867"/>
      <c r="AQ1385" s="2867"/>
      <c r="AR1385" s="2867"/>
      <c r="AS1385" s="2867"/>
      <c r="AT1385" s="2867"/>
      <c r="AU1385" s="2867"/>
      <c r="AV1385" s="2867"/>
      <c r="AW1385" s="2867"/>
      <c r="AX1385" s="2867"/>
      <c r="AY1385" s="2867"/>
      <c r="AZ1385" s="2867"/>
      <c r="BA1385" s="2867"/>
      <c r="BB1385" s="2867"/>
      <c r="BC1385" s="2867"/>
      <c r="BD1385" s="2867"/>
      <c r="BE1385" s="2867"/>
      <c r="BF1385" s="2867"/>
      <c r="BG1385" s="2867"/>
      <c r="BH1385" s="2867"/>
      <c r="BI1385" s="2867"/>
      <c r="BJ1385" s="2867"/>
      <c r="BK1385" s="2867"/>
      <c r="BL1385" s="2867"/>
      <c r="BM1385" s="2867"/>
      <c r="BN1385" s="2867"/>
      <c r="BO1385" s="2867"/>
      <c r="BP1385" s="2867"/>
      <c r="BQ1385" s="2867"/>
      <c r="BR1385" s="2867"/>
      <c r="BS1385" s="2867"/>
      <c r="BT1385" s="2867"/>
      <c r="BU1385" s="2867"/>
      <c r="BV1385" s="2867"/>
      <c r="BW1385" s="2867"/>
      <c r="BX1385" s="2867"/>
      <c r="BY1385" s="2867"/>
      <c r="BZ1385" s="2867"/>
      <c r="CA1385" s="2867"/>
      <c r="CB1385" s="2867"/>
      <c r="CC1385" s="2867"/>
      <c r="CD1385" s="2867"/>
      <c r="CE1385" s="2867"/>
      <c r="CF1385" s="2867"/>
      <c r="CG1385" s="2867"/>
      <c r="CH1385" s="2867"/>
      <c r="CI1385" s="2867"/>
      <c r="CJ1385" s="2867"/>
      <c r="CK1385" s="2867"/>
      <c r="CL1385" s="2867"/>
      <c r="CM1385" s="2867"/>
      <c r="CN1385" s="2867"/>
      <c r="CO1385" s="2867"/>
      <c r="CP1385" s="2867"/>
      <c r="CQ1385" s="2867"/>
      <c r="CR1385" s="2867"/>
      <c r="CS1385" s="2867"/>
      <c r="CT1385" s="2867"/>
      <c r="CU1385" s="2867"/>
      <c r="CV1385" s="2867"/>
      <c r="CW1385" s="2867"/>
    </row>
    <row r="1386" spans="1:101">
      <c r="A1386" s="2867"/>
      <c r="B1386" s="2867"/>
      <c r="C1386" s="2867"/>
      <c r="D1386" s="2867"/>
      <c r="E1386" s="2867"/>
      <c r="F1386" s="2867"/>
      <c r="G1386" s="2867"/>
      <c r="H1386" s="2867"/>
      <c r="I1386" s="2867"/>
      <c r="J1386" s="2867"/>
      <c r="K1386" s="2867"/>
      <c r="L1386" s="2867"/>
      <c r="M1386" s="2867"/>
      <c r="O1386" s="2867"/>
      <c r="P1386" s="2867"/>
      <c r="Q1386" s="2867"/>
      <c r="R1386" s="2867"/>
      <c r="S1386" s="2867"/>
      <c r="T1386" s="2867"/>
      <c r="U1386" s="2867"/>
      <c r="V1386" s="2867"/>
      <c r="W1386" s="2867"/>
      <c r="X1386" s="2867"/>
      <c r="Y1386" s="2867"/>
      <c r="Z1386" s="2867"/>
      <c r="AA1386" s="2867"/>
      <c r="AB1386" s="2867"/>
      <c r="AC1386" s="2867"/>
      <c r="AD1386" s="2867"/>
      <c r="AE1386" s="2867"/>
      <c r="AF1386" s="2867"/>
      <c r="AG1386" s="2867"/>
      <c r="AH1386" s="2867"/>
      <c r="AI1386" s="2867"/>
      <c r="AJ1386" s="2867"/>
      <c r="AK1386" s="2867"/>
      <c r="AL1386" s="2867"/>
      <c r="AM1386" s="2867"/>
      <c r="AN1386" s="2867"/>
      <c r="AO1386" s="2867"/>
      <c r="AP1386" s="2867"/>
      <c r="AQ1386" s="2867"/>
      <c r="AR1386" s="2867"/>
      <c r="AS1386" s="2867"/>
      <c r="AT1386" s="2867"/>
      <c r="AU1386" s="2867"/>
      <c r="AV1386" s="2867"/>
      <c r="AW1386" s="2867"/>
      <c r="AX1386" s="2867"/>
      <c r="AY1386" s="2867"/>
      <c r="AZ1386" s="2867"/>
      <c r="BA1386" s="2867"/>
      <c r="BB1386" s="2867"/>
      <c r="BC1386" s="2867"/>
      <c r="BD1386" s="2867"/>
      <c r="BE1386" s="2867"/>
      <c r="BF1386" s="2867"/>
      <c r="BG1386" s="2867"/>
      <c r="BH1386" s="2867"/>
      <c r="BI1386" s="2867"/>
      <c r="BJ1386" s="2867"/>
      <c r="BK1386" s="2867"/>
      <c r="BL1386" s="2867"/>
      <c r="BM1386" s="2867"/>
      <c r="BN1386" s="2867"/>
      <c r="BO1386" s="2867"/>
      <c r="BP1386" s="2867"/>
      <c r="BQ1386" s="2867"/>
      <c r="BR1386" s="2867"/>
      <c r="BS1386" s="2867"/>
      <c r="BT1386" s="2867"/>
      <c r="BU1386" s="2867"/>
      <c r="BV1386" s="2867"/>
      <c r="BW1386" s="2867"/>
      <c r="BX1386" s="2867"/>
      <c r="BY1386" s="2867"/>
      <c r="BZ1386" s="2867"/>
      <c r="CA1386" s="2867"/>
      <c r="CB1386" s="2867"/>
      <c r="CC1386" s="2867"/>
      <c r="CD1386" s="2867"/>
      <c r="CE1386" s="2867"/>
      <c r="CF1386" s="2867"/>
      <c r="CG1386" s="2867"/>
      <c r="CH1386" s="2867"/>
      <c r="CI1386" s="2867"/>
      <c r="CJ1386" s="2867"/>
      <c r="CK1386" s="2867"/>
      <c r="CL1386" s="2867"/>
      <c r="CM1386" s="2867"/>
      <c r="CN1386" s="2867"/>
      <c r="CO1386" s="2867"/>
      <c r="CP1386" s="2867"/>
      <c r="CQ1386" s="2867"/>
      <c r="CR1386" s="2867"/>
      <c r="CS1386" s="2867"/>
      <c r="CT1386" s="2867"/>
      <c r="CU1386" s="2867"/>
      <c r="CV1386" s="2867"/>
      <c r="CW1386" s="2867"/>
    </row>
    <row r="1387" spans="1:101">
      <c r="A1387" s="2867"/>
      <c r="B1387" s="2867"/>
      <c r="C1387" s="2867"/>
      <c r="D1387" s="2867"/>
      <c r="E1387" s="2867"/>
      <c r="F1387" s="2867"/>
      <c r="G1387" s="2867"/>
      <c r="H1387" s="2867"/>
      <c r="I1387" s="2867"/>
      <c r="J1387" s="2867"/>
      <c r="K1387" s="2867"/>
      <c r="L1387" s="2867"/>
      <c r="M1387" s="2867"/>
      <c r="O1387" s="2867"/>
      <c r="P1387" s="2867"/>
      <c r="Q1387" s="2867"/>
      <c r="R1387" s="2867"/>
      <c r="S1387" s="2867"/>
      <c r="T1387" s="2867"/>
      <c r="U1387" s="2867"/>
      <c r="V1387" s="2867"/>
      <c r="W1387" s="2867"/>
      <c r="X1387" s="2867"/>
      <c r="Y1387" s="2867"/>
      <c r="Z1387" s="2867"/>
      <c r="AA1387" s="2867"/>
      <c r="AB1387" s="2867"/>
      <c r="AC1387" s="2867"/>
      <c r="AD1387" s="2867"/>
      <c r="AE1387" s="2867"/>
      <c r="AF1387" s="2867"/>
      <c r="AG1387" s="2867"/>
      <c r="AH1387" s="2867"/>
      <c r="AI1387" s="2867"/>
      <c r="AJ1387" s="2867"/>
      <c r="AK1387" s="2867"/>
      <c r="AL1387" s="2867"/>
      <c r="AM1387" s="2867"/>
      <c r="AN1387" s="2867"/>
      <c r="AO1387" s="2867"/>
      <c r="AP1387" s="2867"/>
      <c r="AQ1387" s="2867"/>
      <c r="AR1387" s="2867"/>
      <c r="AS1387" s="2867"/>
      <c r="AT1387" s="2867"/>
      <c r="AU1387" s="2867"/>
      <c r="AV1387" s="2867"/>
      <c r="AW1387" s="2867"/>
      <c r="AX1387" s="2867"/>
      <c r="AY1387" s="2867"/>
      <c r="AZ1387" s="2867"/>
      <c r="BA1387" s="2867"/>
      <c r="BB1387" s="2867"/>
      <c r="BC1387" s="2867"/>
      <c r="BD1387" s="2867"/>
      <c r="BE1387" s="2867"/>
      <c r="BF1387" s="2867"/>
      <c r="BG1387" s="2867"/>
      <c r="BH1387" s="2867"/>
      <c r="BI1387" s="2867"/>
      <c r="BJ1387" s="2867"/>
      <c r="BK1387" s="2867"/>
      <c r="BL1387" s="2867"/>
      <c r="BM1387" s="2867"/>
      <c r="BN1387" s="2867"/>
      <c r="BO1387" s="2867"/>
      <c r="BP1387" s="2867"/>
      <c r="BQ1387" s="2867"/>
      <c r="BR1387" s="2867"/>
      <c r="BS1387" s="2867"/>
      <c r="BT1387" s="2867"/>
      <c r="BU1387" s="2867"/>
      <c r="BV1387" s="2867"/>
      <c r="BW1387" s="2867"/>
      <c r="BX1387" s="2867"/>
      <c r="BY1387" s="2867"/>
      <c r="BZ1387" s="2867"/>
      <c r="CA1387" s="2867"/>
      <c r="CB1387" s="2867"/>
      <c r="CC1387" s="2867"/>
      <c r="CD1387" s="2867"/>
      <c r="CE1387" s="2867"/>
      <c r="CF1387" s="2867"/>
      <c r="CG1387" s="2867"/>
      <c r="CH1387" s="2867"/>
      <c r="CI1387" s="2867"/>
      <c r="CJ1387" s="2867"/>
      <c r="CK1387" s="2867"/>
      <c r="CL1387" s="2867"/>
      <c r="CM1387" s="2867"/>
      <c r="CN1387" s="2867"/>
      <c r="CO1387" s="2867"/>
      <c r="CP1387" s="2867"/>
      <c r="CQ1387" s="2867"/>
      <c r="CR1387" s="2867"/>
      <c r="CS1387" s="2867"/>
      <c r="CT1387" s="2867"/>
      <c r="CU1387" s="2867"/>
      <c r="CV1387" s="2867"/>
      <c r="CW1387" s="2867"/>
    </row>
    <row r="1388" spans="1:101">
      <c r="A1388" s="2867"/>
      <c r="B1388" s="2867"/>
      <c r="C1388" s="2867"/>
      <c r="D1388" s="2867"/>
      <c r="E1388" s="2867"/>
      <c r="F1388" s="2867"/>
      <c r="G1388" s="2867"/>
      <c r="H1388" s="2867"/>
      <c r="I1388" s="2867"/>
      <c r="J1388" s="2867"/>
      <c r="K1388" s="2867"/>
      <c r="L1388" s="2867"/>
      <c r="M1388" s="2867"/>
      <c r="O1388" s="2867"/>
      <c r="P1388" s="2867"/>
      <c r="Q1388" s="2867"/>
      <c r="R1388" s="2867"/>
      <c r="S1388" s="2867"/>
      <c r="T1388" s="2867"/>
      <c r="U1388" s="2867"/>
      <c r="V1388" s="2867"/>
      <c r="W1388" s="2867"/>
      <c r="X1388" s="2867"/>
      <c r="Y1388" s="2867"/>
      <c r="Z1388" s="2867"/>
      <c r="AA1388" s="2867"/>
      <c r="AB1388" s="2867"/>
      <c r="AC1388" s="2867"/>
      <c r="AD1388" s="2867"/>
      <c r="AE1388" s="2867"/>
      <c r="AF1388" s="2867"/>
      <c r="AG1388" s="2867"/>
      <c r="AH1388" s="2867"/>
      <c r="AI1388" s="2867"/>
      <c r="AJ1388" s="2867"/>
      <c r="AK1388" s="2867"/>
      <c r="AL1388" s="2867"/>
      <c r="AM1388" s="2867"/>
      <c r="AN1388" s="2867"/>
      <c r="AO1388" s="2867"/>
      <c r="AP1388" s="2867"/>
      <c r="AQ1388" s="2867"/>
      <c r="AR1388" s="2867"/>
      <c r="AS1388" s="2867"/>
      <c r="AT1388" s="2867"/>
      <c r="AU1388" s="2867"/>
      <c r="AV1388" s="2867"/>
      <c r="AW1388" s="2867"/>
      <c r="AX1388" s="2867"/>
      <c r="AY1388" s="2867"/>
      <c r="AZ1388" s="2867"/>
      <c r="BA1388" s="2867"/>
      <c r="BB1388" s="2867"/>
      <c r="BC1388" s="2867"/>
      <c r="BD1388" s="2867"/>
      <c r="BE1388" s="2867"/>
      <c r="BF1388" s="2867"/>
      <c r="BG1388" s="2867"/>
      <c r="BH1388" s="2867"/>
      <c r="BI1388" s="2867"/>
      <c r="BJ1388" s="2867"/>
      <c r="BK1388" s="2867"/>
      <c r="BL1388" s="2867"/>
      <c r="BM1388" s="2867"/>
      <c r="BN1388" s="2867"/>
      <c r="BO1388" s="2867"/>
      <c r="BP1388" s="2867"/>
      <c r="BQ1388" s="2867"/>
      <c r="BR1388" s="2867"/>
      <c r="BS1388" s="2867"/>
      <c r="BT1388" s="2867"/>
      <c r="BU1388" s="2867"/>
      <c r="BV1388" s="2867"/>
      <c r="BW1388" s="2867"/>
      <c r="BX1388" s="2867"/>
      <c r="BY1388" s="2867"/>
      <c r="BZ1388" s="2867"/>
      <c r="CA1388" s="2867"/>
      <c r="CB1388" s="2867"/>
      <c r="CC1388" s="2867"/>
      <c r="CD1388" s="2867"/>
      <c r="CE1388" s="2867"/>
      <c r="CF1388" s="2867"/>
      <c r="CG1388" s="2867"/>
      <c r="CH1388" s="2867"/>
      <c r="CI1388" s="2867"/>
      <c r="CJ1388" s="2867"/>
      <c r="CK1388" s="2867"/>
      <c r="CL1388" s="2867"/>
      <c r="CM1388" s="2867"/>
      <c r="CN1388" s="2867"/>
      <c r="CO1388" s="2867"/>
      <c r="CP1388" s="2867"/>
      <c r="CQ1388" s="2867"/>
      <c r="CR1388" s="2867"/>
      <c r="CS1388" s="2867"/>
      <c r="CT1388" s="2867"/>
      <c r="CU1388" s="2867"/>
      <c r="CV1388" s="2867"/>
      <c r="CW1388" s="2867"/>
    </row>
    <row r="1389" spans="1:101">
      <c r="A1389" s="2867"/>
      <c r="B1389" s="2867"/>
      <c r="C1389" s="2867"/>
      <c r="D1389" s="2867"/>
      <c r="E1389" s="2867"/>
      <c r="F1389" s="2867"/>
      <c r="G1389" s="2867"/>
      <c r="H1389" s="2867"/>
      <c r="I1389" s="2867"/>
      <c r="J1389" s="2867"/>
      <c r="K1389" s="2867"/>
      <c r="L1389" s="2867"/>
      <c r="M1389" s="2867"/>
      <c r="O1389" s="2867"/>
      <c r="P1389" s="2867"/>
      <c r="Q1389" s="2867"/>
      <c r="R1389" s="2867"/>
      <c r="S1389" s="2867"/>
      <c r="T1389" s="2867"/>
      <c r="U1389" s="2867"/>
      <c r="V1389" s="2867"/>
      <c r="W1389" s="2867"/>
      <c r="X1389" s="2867"/>
      <c r="Y1389" s="2867"/>
      <c r="Z1389" s="2867"/>
      <c r="AA1389" s="2867"/>
      <c r="AB1389" s="2867"/>
      <c r="AC1389" s="2867"/>
      <c r="AD1389" s="2867"/>
      <c r="AE1389" s="2867"/>
      <c r="AF1389" s="2867"/>
      <c r="AG1389" s="2867"/>
      <c r="AH1389" s="2867"/>
      <c r="AI1389" s="2867"/>
      <c r="AJ1389" s="2867"/>
      <c r="AK1389" s="2867"/>
      <c r="AL1389" s="2867"/>
      <c r="AM1389" s="2867"/>
      <c r="AN1389" s="2867"/>
      <c r="AO1389" s="2867"/>
      <c r="AP1389" s="2867"/>
      <c r="AQ1389" s="2867"/>
      <c r="AR1389" s="2867"/>
      <c r="AS1389" s="2867"/>
      <c r="AT1389" s="2867"/>
      <c r="AU1389" s="2867"/>
      <c r="AV1389" s="2867"/>
      <c r="AW1389" s="2867"/>
      <c r="AX1389" s="2867"/>
      <c r="AY1389" s="2867"/>
      <c r="AZ1389" s="2867"/>
      <c r="BA1389" s="2867"/>
      <c r="BB1389" s="2867"/>
      <c r="BC1389" s="2867"/>
      <c r="BD1389" s="2867"/>
      <c r="BE1389" s="2867"/>
      <c r="BF1389" s="2867"/>
      <c r="BG1389" s="2867"/>
      <c r="BH1389" s="2867"/>
      <c r="BI1389" s="2867"/>
      <c r="BJ1389" s="2867"/>
      <c r="BK1389" s="2867"/>
      <c r="BL1389" s="2867"/>
      <c r="BM1389" s="2867"/>
      <c r="BN1389" s="2867"/>
      <c r="BO1389" s="2867"/>
      <c r="BP1389" s="2867"/>
      <c r="BQ1389" s="2867"/>
      <c r="BR1389" s="2867"/>
      <c r="BS1389" s="2867"/>
      <c r="BT1389" s="2867"/>
      <c r="BU1389" s="2867"/>
      <c r="BV1389" s="2867"/>
      <c r="BW1389" s="2867"/>
      <c r="BX1389" s="2867"/>
      <c r="BY1389" s="2867"/>
      <c r="BZ1389" s="2867"/>
      <c r="CA1389" s="2867"/>
      <c r="CB1389" s="2867"/>
      <c r="CC1389" s="2867"/>
      <c r="CD1389" s="2867"/>
      <c r="CE1389" s="2867"/>
      <c r="CF1389" s="2867"/>
      <c r="CG1389" s="2867"/>
      <c r="CH1389" s="2867"/>
      <c r="CI1389" s="2867"/>
      <c r="CJ1389" s="2867"/>
      <c r="CK1389" s="2867"/>
      <c r="CL1389" s="2867"/>
      <c r="CM1389" s="2867"/>
      <c r="CN1389" s="2867"/>
      <c r="CO1389" s="2867"/>
      <c r="CP1389" s="2867"/>
      <c r="CQ1389" s="2867"/>
      <c r="CR1389" s="2867"/>
      <c r="CS1389" s="2867"/>
      <c r="CT1389" s="2867"/>
      <c r="CU1389" s="2867"/>
      <c r="CV1389" s="2867"/>
      <c r="CW1389" s="2867"/>
    </row>
    <row r="1390" spans="1:101">
      <c r="A1390" s="2867"/>
      <c r="B1390" s="2867"/>
      <c r="C1390" s="2867"/>
      <c r="D1390" s="2867"/>
      <c r="E1390" s="2867"/>
      <c r="F1390" s="2867"/>
      <c r="G1390" s="2867"/>
      <c r="H1390" s="2867"/>
      <c r="I1390" s="2867"/>
      <c r="J1390" s="2867"/>
      <c r="K1390" s="2867"/>
      <c r="L1390" s="2867"/>
      <c r="M1390" s="2867"/>
      <c r="O1390" s="2867"/>
      <c r="P1390" s="2867"/>
      <c r="Q1390" s="2867"/>
      <c r="R1390" s="2867"/>
      <c r="S1390" s="2867"/>
      <c r="T1390" s="2867"/>
      <c r="U1390" s="2867"/>
      <c r="V1390" s="2867"/>
      <c r="W1390" s="2867"/>
      <c r="X1390" s="2867"/>
      <c r="Y1390" s="2867"/>
      <c r="Z1390" s="2867"/>
      <c r="AA1390" s="2867"/>
      <c r="AB1390" s="2867"/>
      <c r="AC1390" s="2867"/>
      <c r="AD1390" s="2867"/>
      <c r="AE1390" s="2867"/>
      <c r="AF1390" s="2867"/>
      <c r="AG1390" s="2867"/>
      <c r="AH1390" s="2867"/>
      <c r="AI1390" s="2867"/>
      <c r="AJ1390" s="2867"/>
      <c r="AK1390" s="2867"/>
      <c r="AL1390" s="2867"/>
      <c r="AM1390" s="2867"/>
      <c r="AN1390" s="2867"/>
      <c r="AO1390" s="2867"/>
      <c r="AP1390" s="2867"/>
      <c r="AQ1390" s="2867"/>
      <c r="AR1390" s="2867"/>
      <c r="AS1390" s="2867"/>
      <c r="AT1390" s="2867"/>
      <c r="AU1390" s="2867"/>
      <c r="AV1390" s="2867"/>
      <c r="AW1390" s="2867"/>
      <c r="AX1390" s="2867"/>
      <c r="AY1390" s="2867"/>
      <c r="AZ1390" s="2867"/>
      <c r="BA1390" s="2867"/>
      <c r="BB1390" s="2867"/>
      <c r="BC1390" s="2867"/>
      <c r="BD1390" s="2867"/>
      <c r="BE1390" s="2867"/>
      <c r="BF1390" s="2867"/>
      <c r="BG1390" s="2867"/>
      <c r="BH1390" s="2867"/>
      <c r="BI1390" s="2867"/>
      <c r="BJ1390" s="2867"/>
      <c r="BK1390" s="2867"/>
      <c r="BL1390" s="2867"/>
      <c r="BM1390" s="2867"/>
      <c r="BN1390" s="2867"/>
      <c r="BO1390" s="2867"/>
      <c r="BP1390" s="2867"/>
      <c r="BQ1390" s="2867"/>
      <c r="BR1390" s="2867"/>
      <c r="BS1390" s="2867"/>
      <c r="BT1390" s="2867"/>
      <c r="BU1390" s="2867"/>
      <c r="BV1390" s="2867"/>
      <c r="BW1390" s="2867"/>
      <c r="BX1390" s="2867"/>
      <c r="BY1390" s="2867"/>
      <c r="BZ1390" s="2867"/>
      <c r="CA1390" s="2867"/>
      <c r="CB1390" s="2867"/>
      <c r="CC1390" s="2867"/>
      <c r="CD1390" s="2867"/>
      <c r="CE1390" s="2867"/>
      <c r="CF1390" s="2867"/>
      <c r="CG1390" s="2867"/>
      <c r="CH1390" s="2867"/>
      <c r="CI1390" s="2867"/>
      <c r="CJ1390" s="2867"/>
      <c r="CK1390" s="2867"/>
      <c r="CL1390" s="2867"/>
      <c r="CM1390" s="2867"/>
      <c r="CN1390" s="2867"/>
      <c r="CO1390" s="2867"/>
      <c r="CP1390" s="2867"/>
      <c r="CQ1390" s="2867"/>
      <c r="CR1390" s="2867"/>
      <c r="CS1390" s="2867"/>
      <c r="CT1390" s="2867"/>
      <c r="CU1390" s="2867"/>
      <c r="CV1390" s="2867"/>
      <c r="CW1390" s="2867"/>
    </row>
    <row r="1391" spans="1:101">
      <c r="A1391" s="2867"/>
      <c r="B1391" s="2867"/>
      <c r="C1391" s="2867"/>
      <c r="D1391" s="2867"/>
      <c r="E1391" s="2867"/>
      <c r="F1391" s="2867"/>
      <c r="G1391" s="2867"/>
      <c r="H1391" s="2867"/>
      <c r="I1391" s="2867"/>
      <c r="J1391" s="2867"/>
      <c r="K1391" s="2867"/>
      <c r="L1391" s="2867"/>
      <c r="M1391" s="2867"/>
      <c r="O1391" s="2867"/>
      <c r="P1391" s="2867"/>
      <c r="Q1391" s="2867"/>
      <c r="R1391" s="2867"/>
      <c r="S1391" s="2867"/>
      <c r="T1391" s="2867"/>
      <c r="U1391" s="2867"/>
      <c r="V1391" s="2867"/>
      <c r="W1391" s="2867"/>
      <c r="X1391" s="2867"/>
      <c r="Y1391" s="2867"/>
      <c r="Z1391" s="2867"/>
      <c r="AA1391" s="2867"/>
      <c r="AB1391" s="2867"/>
      <c r="AC1391" s="2867"/>
      <c r="AD1391" s="2867"/>
      <c r="AE1391" s="2867"/>
      <c r="AF1391" s="2867"/>
      <c r="AG1391" s="2867"/>
      <c r="AH1391" s="2867"/>
      <c r="AI1391" s="2867"/>
      <c r="AJ1391" s="2867"/>
      <c r="AK1391" s="2867"/>
      <c r="AL1391" s="2867"/>
      <c r="AM1391" s="2867"/>
      <c r="AN1391" s="2867"/>
      <c r="AO1391" s="2867"/>
      <c r="AP1391" s="2867"/>
      <c r="AQ1391" s="2867"/>
      <c r="AR1391" s="2867"/>
      <c r="AS1391" s="2867"/>
      <c r="AT1391" s="2867"/>
      <c r="AU1391" s="2867"/>
      <c r="AV1391" s="2867"/>
      <c r="AW1391" s="2867"/>
      <c r="AX1391" s="2867"/>
      <c r="AY1391" s="2867"/>
      <c r="AZ1391" s="2867"/>
      <c r="BA1391" s="2867"/>
      <c r="BB1391" s="2867"/>
      <c r="BC1391" s="2867"/>
      <c r="BD1391" s="2867"/>
      <c r="BE1391" s="2867"/>
      <c r="BF1391" s="2867"/>
      <c r="BG1391" s="2867"/>
      <c r="BH1391" s="2867"/>
      <c r="BI1391" s="2867"/>
      <c r="BJ1391" s="2867"/>
      <c r="BK1391" s="2867"/>
      <c r="BL1391" s="2867"/>
      <c r="BM1391" s="2867"/>
      <c r="BN1391" s="2867"/>
      <c r="BO1391" s="2867"/>
      <c r="BP1391" s="2867"/>
      <c r="BQ1391" s="2867"/>
      <c r="BR1391" s="2867"/>
      <c r="BS1391" s="2867"/>
      <c r="BT1391" s="2867"/>
      <c r="BU1391" s="2867"/>
      <c r="BV1391" s="2867"/>
      <c r="BW1391" s="2867"/>
      <c r="BX1391" s="2867"/>
      <c r="BY1391" s="2867"/>
      <c r="BZ1391" s="2867"/>
      <c r="CA1391" s="2867"/>
      <c r="CB1391" s="2867"/>
      <c r="CC1391" s="2867"/>
      <c r="CD1391" s="2867"/>
      <c r="CE1391" s="2867"/>
      <c r="CF1391" s="2867"/>
      <c r="CG1391" s="2867"/>
      <c r="CH1391" s="2867"/>
      <c r="CI1391" s="2867"/>
      <c r="CJ1391" s="2867"/>
      <c r="CK1391" s="2867"/>
      <c r="CL1391" s="2867"/>
      <c r="CM1391" s="2867"/>
      <c r="CN1391" s="2867"/>
      <c r="CO1391" s="2867"/>
      <c r="CP1391" s="2867"/>
      <c r="CQ1391" s="2867"/>
      <c r="CR1391" s="2867"/>
      <c r="CS1391" s="2867"/>
      <c r="CT1391" s="2867"/>
      <c r="CU1391" s="2867"/>
      <c r="CV1391" s="2867"/>
      <c r="CW1391" s="2867"/>
    </row>
    <row r="1392" spans="1:101">
      <c r="A1392" s="2867"/>
      <c r="B1392" s="2867"/>
      <c r="C1392" s="2867"/>
      <c r="D1392" s="2867"/>
      <c r="E1392" s="2867"/>
      <c r="F1392" s="2867"/>
      <c r="G1392" s="2867"/>
      <c r="H1392" s="2867"/>
      <c r="I1392" s="2867"/>
      <c r="J1392" s="2867"/>
      <c r="K1392" s="2867"/>
      <c r="L1392" s="2867"/>
      <c r="M1392" s="2867"/>
      <c r="O1392" s="2867"/>
      <c r="P1392" s="2867"/>
      <c r="Q1392" s="2867"/>
      <c r="R1392" s="2867"/>
      <c r="S1392" s="2867"/>
      <c r="T1392" s="2867"/>
      <c r="U1392" s="2867"/>
      <c r="V1392" s="2867"/>
      <c r="W1392" s="2867"/>
      <c r="X1392" s="2867"/>
      <c r="Y1392" s="2867"/>
      <c r="Z1392" s="2867"/>
      <c r="AA1392" s="2867"/>
      <c r="AB1392" s="2867"/>
      <c r="AC1392" s="2867"/>
      <c r="AD1392" s="2867"/>
      <c r="AE1392" s="2867"/>
      <c r="AF1392" s="2867"/>
      <c r="AG1392" s="2867"/>
      <c r="AH1392" s="2867"/>
      <c r="AI1392" s="2867"/>
      <c r="AJ1392" s="2867"/>
      <c r="AK1392" s="2867"/>
      <c r="AL1392" s="2867"/>
      <c r="AM1392" s="2867"/>
      <c r="AN1392" s="2867"/>
      <c r="AO1392" s="2867"/>
      <c r="AP1392" s="2867"/>
      <c r="AQ1392" s="2867"/>
      <c r="AR1392" s="2867"/>
      <c r="AS1392" s="2867"/>
      <c r="AT1392" s="2867"/>
      <c r="AU1392" s="2867"/>
      <c r="AV1392" s="2867"/>
      <c r="AW1392" s="2867"/>
      <c r="AX1392" s="2867"/>
      <c r="AY1392" s="2867"/>
      <c r="AZ1392" s="2867"/>
      <c r="BA1392" s="2867"/>
      <c r="BB1392" s="2867"/>
      <c r="BC1392" s="2867"/>
      <c r="BD1392" s="2867"/>
      <c r="BE1392" s="2867"/>
      <c r="BF1392" s="2867"/>
      <c r="BG1392" s="2867"/>
      <c r="BH1392" s="2867"/>
      <c r="BI1392" s="2867"/>
      <c r="BJ1392" s="2867"/>
      <c r="BK1392" s="2867"/>
      <c r="BL1392" s="2867"/>
      <c r="BM1392" s="2867"/>
      <c r="BN1392" s="2867"/>
      <c r="BO1392" s="2867"/>
      <c r="BP1392" s="2867"/>
      <c r="BQ1392" s="2867"/>
      <c r="BR1392" s="2867"/>
      <c r="BS1392" s="2867"/>
      <c r="BT1392" s="2867"/>
      <c r="BU1392" s="2867"/>
      <c r="BV1392" s="2867"/>
      <c r="BW1392" s="2867"/>
      <c r="BX1392" s="2867"/>
      <c r="BY1392" s="2867"/>
      <c r="BZ1392" s="2867"/>
      <c r="CA1392" s="2867"/>
      <c r="CB1392" s="2867"/>
      <c r="CC1392" s="2867"/>
      <c r="CD1392" s="2867"/>
      <c r="CE1392" s="2867"/>
      <c r="CF1392" s="2867"/>
      <c r="CG1392" s="2867"/>
      <c r="CH1392" s="2867"/>
      <c r="CI1392" s="2867"/>
      <c r="CJ1392" s="2867"/>
      <c r="CK1392" s="2867"/>
      <c r="CL1392" s="2867"/>
      <c r="CM1392" s="2867"/>
      <c r="CN1392" s="2867"/>
      <c r="CO1392" s="2867"/>
      <c r="CP1392" s="2867"/>
      <c r="CQ1392" s="2867"/>
      <c r="CR1392" s="2867"/>
      <c r="CS1392" s="2867"/>
      <c r="CT1392" s="2867"/>
      <c r="CU1392" s="2867"/>
      <c r="CV1392" s="2867"/>
      <c r="CW1392" s="2867"/>
    </row>
    <row r="1393" spans="1:101">
      <c r="A1393" s="2867"/>
      <c r="B1393" s="2867"/>
      <c r="C1393" s="2867"/>
      <c r="D1393" s="2867"/>
      <c r="E1393" s="2867"/>
      <c r="F1393" s="2867"/>
      <c r="G1393" s="2867"/>
      <c r="H1393" s="2867"/>
      <c r="I1393" s="2867"/>
      <c r="J1393" s="2867"/>
      <c r="K1393" s="2867"/>
      <c r="L1393" s="2867"/>
      <c r="M1393" s="2867"/>
      <c r="O1393" s="2867"/>
      <c r="P1393" s="2867"/>
      <c r="Q1393" s="2867"/>
      <c r="R1393" s="2867"/>
      <c r="S1393" s="2867"/>
      <c r="T1393" s="2867"/>
      <c r="U1393" s="2867"/>
      <c r="V1393" s="2867"/>
      <c r="W1393" s="2867"/>
      <c r="X1393" s="2867"/>
      <c r="Y1393" s="2867"/>
      <c r="Z1393" s="2867"/>
      <c r="AA1393" s="2867"/>
      <c r="AB1393" s="2867"/>
      <c r="AC1393" s="2867"/>
      <c r="AD1393" s="2867"/>
      <c r="AE1393" s="2867"/>
      <c r="AF1393" s="2867"/>
      <c r="AG1393" s="2867"/>
      <c r="AH1393" s="2867"/>
      <c r="AI1393" s="2867"/>
      <c r="AJ1393" s="2867"/>
      <c r="AK1393" s="2867"/>
      <c r="AL1393" s="2867"/>
      <c r="AM1393" s="2867"/>
      <c r="AN1393" s="2867"/>
      <c r="AO1393" s="2867"/>
      <c r="AP1393" s="2867"/>
      <c r="AQ1393" s="2867"/>
      <c r="AR1393" s="2867"/>
      <c r="AS1393" s="2867"/>
      <c r="AT1393" s="2867"/>
      <c r="AU1393" s="2867"/>
      <c r="AV1393" s="2867"/>
      <c r="AW1393" s="2867"/>
      <c r="AX1393" s="2867"/>
      <c r="AY1393" s="2867"/>
      <c r="AZ1393" s="2867"/>
      <c r="BA1393" s="2867"/>
      <c r="BB1393" s="2867"/>
      <c r="BC1393" s="2867"/>
      <c r="BD1393" s="2867"/>
      <c r="BE1393" s="2867"/>
      <c r="BF1393" s="2867"/>
      <c r="BG1393" s="2867"/>
      <c r="BH1393" s="2867"/>
      <c r="BI1393" s="2867"/>
      <c r="BJ1393" s="2867"/>
      <c r="BK1393" s="2867"/>
      <c r="BL1393" s="2867"/>
      <c r="BM1393" s="2867"/>
      <c r="BN1393" s="2867"/>
      <c r="BO1393" s="2867"/>
      <c r="BP1393" s="2867"/>
      <c r="BQ1393" s="2867"/>
      <c r="BR1393" s="2867"/>
      <c r="BS1393" s="2867"/>
      <c r="BT1393" s="2867"/>
      <c r="BU1393" s="2867"/>
      <c r="BV1393" s="2867"/>
      <c r="BW1393" s="2867"/>
      <c r="BX1393" s="2867"/>
      <c r="BY1393" s="2867"/>
      <c r="BZ1393" s="2867"/>
      <c r="CA1393" s="2867"/>
      <c r="CB1393" s="2867"/>
      <c r="CC1393" s="2867"/>
      <c r="CD1393" s="2867"/>
      <c r="CE1393" s="2867"/>
      <c r="CF1393" s="2867"/>
      <c r="CG1393" s="2867"/>
      <c r="CH1393" s="2867"/>
      <c r="CI1393" s="2867"/>
      <c r="CJ1393" s="2867"/>
      <c r="CK1393" s="2867"/>
      <c r="CL1393" s="2867"/>
      <c r="CM1393" s="2867"/>
      <c r="CN1393" s="2867"/>
      <c r="CO1393" s="2867"/>
      <c r="CP1393" s="2867"/>
      <c r="CQ1393" s="2867"/>
      <c r="CR1393" s="2867"/>
      <c r="CS1393" s="2867"/>
      <c r="CT1393" s="2867"/>
      <c r="CU1393" s="2867"/>
      <c r="CV1393" s="2867"/>
      <c r="CW1393" s="2867"/>
    </row>
    <row r="1394" spans="1:101">
      <c r="A1394" s="2867"/>
      <c r="B1394" s="2867"/>
      <c r="C1394" s="2867"/>
      <c r="D1394" s="2867"/>
      <c r="E1394" s="2867"/>
      <c r="F1394" s="2867"/>
      <c r="G1394" s="2867"/>
      <c r="H1394" s="2867"/>
      <c r="I1394" s="2867"/>
      <c r="J1394" s="2867"/>
      <c r="K1394" s="2867"/>
      <c r="L1394" s="2867"/>
      <c r="M1394" s="2867"/>
      <c r="O1394" s="2867"/>
      <c r="P1394" s="2867"/>
      <c r="Q1394" s="2867"/>
      <c r="R1394" s="2867"/>
      <c r="S1394" s="2867"/>
      <c r="T1394" s="2867"/>
      <c r="U1394" s="2867"/>
      <c r="V1394" s="2867"/>
      <c r="W1394" s="2867"/>
      <c r="X1394" s="2867"/>
      <c r="Y1394" s="2867"/>
      <c r="Z1394" s="2867"/>
      <c r="AA1394" s="2867"/>
      <c r="AB1394" s="2867"/>
      <c r="AC1394" s="2867"/>
      <c r="AD1394" s="2867"/>
      <c r="AE1394" s="2867"/>
      <c r="AF1394" s="2867"/>
      <c r="AG1394" s="2867"/>
      <c r="AH1394" s="2867"/>
      <c r="AI1394" s="2867"/>
      <c r="AJ1394" s="2867"/>
      <c r="AK1394" s="2867"/>
      <c r="AL1394" s="2867"/>
      <c r="AM1394" s="2867"/>
      <c r="AN1394" s="2867"/>
      <c r="AO1394" s="2867"/>
      <c r="AP1394" s="2867"/>
      <c r="AQ1394" s="2867"/>
      <c r="AR1394" s="2867"/>
      <c r="AS1394" s="2867"/>
      <c r="AT1394" s="2867"/>
      <c r="AU1394" s="2867"/>
      <c r="AV1394" s="2867"/>
      <c r="AW1394" s="2867"/>
      <c r="AX1394" s="2867"/>
      <c r="AY1394" s="2867"/>
      <c r="AZ1394" s="2867"/>
      <c r="BA1394" s="2867"/>
      <c r="BB1394" s="2867"/>
      <c r="BC1394" s="2867"/>
      <c r="BD1394" s="2867"/>
      <c r="BE1394" s="2867"/>
      <c r="BF1394" s="2867"/>
      <c r="BG1394" s="2867"/>
      <c r="BH1394" s="2867"/>
      <c r="BI1394" s="2867"/>
      <c r="BJ1394" s="2867"/>
      <c r="BK1394" s="2867"/>
      <c r="BL1394" s="2867"/>
      <c r="BM1394" s="2867"/>
      <c r="BN1394" s="2867"/>
      <c r="BO1394" s="2867"/>
      <c r="BP1394" s="2867"/>
      <c r="BQ1394" s="2867"/>
      <c r="BR1394" s="2867"/>
      <c r="BS1394" s="2867"/>
      <c r="BT1394" s="2867"/>
      <c r="BU1394" s="2867"/>
      <c r="BV1394" s="2867"/>
      <c r="BW1394" s="2867"/>
      <c r="BX1394" s="2867"/>
      <c r="BY1394" s="2867"/>
      <c r="BZ1394" s="2867"/>
      <c r="CA1394" s="2867"/>
      <c r="CB1394" s="2867"/>
      <c r="CC1394" s="2867"/>
      <c r="CD1394" s="2867"/>
      <c r="CE1394" s="2867"/>
      <c r="CF1394" s="2867"/>
      <c r="CG1394" s="2867"/>
      <c r="CH1394" s="2867"/>
      <c r="CI1394" s="2867"/>
      <c r="CJ1394" s="2867"/>
      <c r="CK1394" s="2867"/>
      <c r="CL1394" s="2867"/>
      <c r="CM1394" s="2867"/>
      <c r="CN1394" s="2867"/>
      <c r="CO1394" s="2867"/>
      <c r="CP1394" s="2867"/>
      <c r="CQ1394" s="2867"/>
      <c r="CR1394" s="2867"/>
      <c r="CS1394" s="2867"/>
      <c r="CT1394" s="2867"/>
      <c r="CU1394" s="2867"/>
      <c r="CV1394" s="2867"/>
      <c r="CW1394" s="2867"/>
    </row>
    <row r="1395" spans="1:101">
      <c r="A1395" s="2867"/>
      <c r="B1395" s="2867"/>
      <c r="C1395" s="2867"/>
      <c r="D1395" s="2867"/>
      <c r="E1395" s="2867"/>
      <c r="F1395" s="2867"/>
      <c r="G1395" s="2867"/>
      <c r="H1395" s="2867"/>
      <c r="I1395" s="2867"/>
      <c r="J1395" s="2867"/>
      <c r="K1395" s="2867"/>
      <c r="L1395" s="2867"/>
      <c r="M1395" s="2867"/>
      <c r="O1395" s="2867"/>
      <c r="P1395" s="2867"/>
      <c r="Q1395" s="2867"/>
      <c r="R1395" s="2867"/>
      <c r="S1395" s="2867"/>
      <c r="T1395" s="2867"/>
      <c r="U1395" s="2867"/>
      <c r="V1395" s="2867"/>
      <c r="W1395" s="2867"/>
      <c r="X1395" s="2867"/>
      <c r="Y1395" s="2867"/>
      <c r="Z1395" s="2867"/>
      <c r="AA1395" s="2867"/>
      <c r="AB1395" s="2867"/>
      <c r="AC1395" s="2867"/>
      <c r="AD1395" s="2867"/>
      <c r="AE1395" s="2867"/>
      <c r="AF1395" s="2867"/>
      <c r="AG1395" s="2867"/>
      <c r="AH1395" s="2867"/>
      <c r="AI1395" s="2867"/>
      <c r="AJ1395" s="2867"/>
      <c r="AK1395" s="2867"/>
      <c r="AL1395" s="2867"/>
      <c r="AM1395" s="2867"/>
      <c r="AN1395" s="2867"/>
      <c r="AO1395" s="2867"/>
      <c r="AP1395" s="2867"/>
      <c r="AQ1395" s="2867"/>
      <c r="AR1395" s="2867"/>
      <c r="AS1395" s="2867"/>
      <c r="AT1395" s="2867"/>
      <c r="AU1395" s="2867"/>
      <c r="AV1395" s="2867"/>
      <c r="AW1395" s="2867"/>
      <c r="AX1395" s="2867"/>
      <c r="AY1395" s="2867"/>
      <c r="AZ1395" s="2867"/>
      <c r="BA1395" s="2867"/>
      <c r="BB1395" s="2867"/>
      <c r="BC1395" s="2867"/>
      <c r="BD1395" s="2867"/>
      <c r="BE1395" s="2867"/>
      <c r="BF1395" s="2867"/>
      <c r="BG1395" s="2867"/>
      <c r="BH1395" s="2867"/>
      <c r="BI1395" s="2867"/>
      <c r="BJ1395" s="2867"/>
      <c r="BK1395" s="2867"/>
      <c r="BL1395" s="2867"/>
      <c r="BM1395" s="2867"/>
      <c r="BN1395" s="2867"/>
      <c r="BO1395" s="2867"/>
      <c r="BP1395" s="2867"/>
      <c r="BQ1395" s="2867"/>
      <c r="BR1395" s="2867"/>
      <c r="BS1395" s="2867"/>
      <c r="BT1395" s="2867"/>
      <c r="BU1395" s="2867"/>
      <c r="BV1395" s="2867"/>
      <c r="BW1395" s="2867"/>
      <c r="BX1395" s="2867"/>
      <c r="BY1395" s="2867"/>
      <c r="BZ1395" s="2867"/>
      <c r="CA1395" s="2867"/>
      <c r="CB1395" s="2867"/>
      <c r="CC1395" s="2867"/>
      <c r="CD1395" s="2867"/>
      <c r="CE1395" s="2867"/>
      <c r="CF1395" s="2867"/>
      <c r="CG1395" s="2867"/>
      <c r="CH1395" s="2867"/>
      <c r="CI1395" s="2867"/>
      <c r="CJ1395" s="2867"/>
      <c r="CK1395" s="2867"/>
      <c r="CL1395" s="2867"/>
      <c r="CM1395" s="2867"/>
      <c r="CN1395" s="2867"/>
      <c r="CO1395" s="2867"/>
      <c r="CP1395" s="2867"/>
      <c r="CQ1395" s="2867"/>
      <c r="CR1395" s="2867"/>
      <c r="CS1395" s="2867"/>
      <c r="CT1395" s="2867"/>
      <c r="CU1395" s="2867"/>
      <c r="CV1395" s="2867"/>
      <c r="CW1395" s="2867"/>
    </row>
    <row r="1396" spans="1:101">
      <c r="A1396" s="2867"/>
      <c r="B1396" s="2867"/>
      <c r="C1396" s="2867"/>
      <c r="D1396" s="2867"/>
      <c r="E1396" s="2867"/>
      <c r="F1396" s="2867"/>
      <c r="G1396" s="2867"/>
      <c r="H1396" s="2867"/>
      <c r="I1396" s="2867"/>
      <c r="J1396" s="2867"/>
      <c r="K1396" s="2867"/>
      <c r="L1396" s="2867"/>
      <c r="M1396" s="2867"/>
      <c r="O1396" s="2867"/>
      <c r="P1396" s="2867"/>
      <c r="Q1396" s="2867"/>
      <c r="R1396" s="2867"/>
      <c r="S1396" s="2867"/>
      <c r="T1396" s="2867"/>
      <c r="U1396" s="2867"/>
      <c r="V1396" s="2867"/>
      <c r="W1396" s="2867"/>
      <c r="X1396" s="2867"/>
      <c r="Y1396" s="2867"/>
      <c r="Z1396" s="2867"/>
      <c r="AA1396" s="2867"/>
      <c r="AB1396" s="2867"/>
      <c r="AC1396" s="2867"/>
      <c r="AD1396" s="2867"/>
      <c r="AE1396" s="2867"/>
      <c r="AF1396" s="2867"/>
      <c r="AG1396" s="2867"/>
      <c r="AH1396" s="2867"/>
      <c r="AI1396" s="2867"/>
      <c r="AJ1396" s="2867"/>
      <c r="AK1396" s="2867"/>
      <c r="AL1396" s="2867"/>
      <c r="AM1396" s="2867"/>
      <c r="AN1396" s="2867"/>
      <c r="AO1396" s="2867"/>
      <c r="AP1396" s="2867"/>
      <c r="AQ1396" s="2867"/>
      <c r="AR1396" s="2867"/>
      <c r="AS1396" s="2867"/>
      <c r="AT1396" s="2867"/>
      <c r="AU1396" s="2867"/>
      <c r="AV1396" s="2867"/>
      <c r="AW1396" s="2867"/>
      <c r="AX1396" s="2867"/>
      <c r="AY1396" s="2867"/>
      <c r="AZ1396" s="2867"/>
      <c r="BA1396" s="2867"/>
      <c r="BB1396" s="2867"/>
      <c r="BC1396" s="2867"/>
      <c r="BD1396" s="2867"/>
      <c r="BE1396" s="2867"/>
      <c r="BF1396" s="2867"/>
      <c r="BG1396" s="2867"/>
      <c r="BH1396" s="2867"/>
      <c r="BI1396" s="2867"/>
      <c r="BJ1396" s="2867"/>
      <c r="BK1396" s="2867"/>
      <c r="BL1396" s="2867"/>
      <c r="BM1396" s="2867"/>
      <c r="BN1396" s="2867"/>
      <c r="BO1396" s="2867"/>
      <c r="BP1396" s="2867"/>
      <c r="BQ1396" s="2867"/>
      <c r="BR1396" s="2867"/>
      <c r="BS1396" s="2867"/>
      <c r="BT1396" s="2867"/>
      <c r="BU1396" s="2867"/>
      <c r="BV1396" s="2867"/>
      <c r="BW1396" s="2867"/>
      <c r="BX1396" s="2867"/>
      <c r="BY1396" s="2867"/>
      <c r="BZ1396" s="2867"/>
      <c r="CA1396" s="2867"/>
      <c r="CB1396" s="2867"/>
      <c r="CC1396" s="2867"/>
      <c r="CD1396" s="2867"/>
      <c r="CE1396" s="2867"/>
      <c r="CF1396" s="2867"/>
      <c r="CG1396" s="2867"/>
      <c r="CH1396" s="2867"/>
      <c r="CI1396" s="2867"/>
      <c r="CJ1396" s="2867"/>
      <c r="CK1396" s="2867"/>
      <c r="CL1396" s="2867"/>
      <c r="CM1396" s="2867"/>
      <c r="CN1396" s="2867"/>
      <c r="CO1396" s="2867"/>
      <c r="CP1396" s="2867"/>
      <c r="CQ1396" s="2867"/>
      <c r="CR1396" s="2867"/>
      <c r="CS1396" s="2867"/>
      <c r="CT1396" s="2867"/>
      <c r="CU1396" s="2867"/>
      <c r="CV1396" s="2867"/>
      <c r="CW1396" s="2867"/>
    </row>
    <row r="1397" spans="1:101">
      <c r="A1397" s="2867"/>
      <c r="B1397" s="2867"/>
      <c r="C1397" s="2867"/>
      <c r="D1397" s="2867"/>
      <c r="E1397" s="2867"/>
      <c r="F1397" s="2867"/>
      <c r="G1397" s="2867"/>
      <c r="H1397" s="2867"/>
      <c r="I1397" s="2867"/>
      <c r="J1397" s="2867"/>
      <c r="K1397" s="2867"/>
      <c r="L1397" s="2867"/>
      <c r="M1397" s="2867"/>
      <c r="O1397" s="2867"/>
      <c r="P1397" s="2867"/>
      <c r="Q1397" s="2867"/>
      <c r="R1397" s="2867"/>
      <c r="S1397" s="2867"/>
      <c r="T1397" s="2867"/>
      <c r="U1397" s="2867"/>
      <c r="V1397" s="2867"/>
      <c r="W1397" s="2867"/>
      <c r="X1397" s="2867"/>
      <c r="Y1397" s="2867"/>
      <c r="Z1397" s="2867"/>
      <c r="AA1397" s="2867"/>
      <c r="AB1397" s="2867"/>
      <c r="AC1397" s="2867"/>
      <c r="AD1397" s="2867"/>
      <c r="AE1397" s="2867"/>
      <c r="AF1397" s="2867"/>
      <c r="AG1397" s="2867"/>
      <c r="AH1397" s="2867"/>
      <c r="AI1397" s="2867"/>
      <c r="AJ1397" s="2867"/>
      <c r="AK1397" s="2867"/>
      <c r="AL1397" s="2867"/>
      <c r="AM1397" s="2867"/>
      <c r="AN1397" s="2867"/>
      <c r="AO1397" s="2867"/>
      <c r="AP1397" s="2867"/>
      <c r="AQ1397" s="2867"/>
      <c r="AR1397" s="2867"/>
      <c r="AS1397" s="2867"/>
      <c r="AT1397" s="2867"/>
      <c r="AU1397" s="2867"/>
      <c r="AV1397" s="2867"/>
      <c r="AW1397" s="2867"/>
      <c r="AX1397" s="2867"/>
      <c r="AY1397" s="2867"/>
      <c r="AZ1397" s="2867"/>
      <c r="BA1397" s="2867"/>
      <c r="BB1397" s="2867"/>
      <c r="BC1397" s="2867"/>
      <c r="BD1397" s="2867"/>
      <c r="BE1397" s="2867"/>
      <c r="BF1397" s="2867"/>
      <c r="BG1397" s="2867"/>
      <c r="BH1397" s="2867"/>
      <c r="BI1397" s="2867"/>
      <c r="BJ1397" s="2867"/>
      <c r="BK1397" s="2867"/>
      <c r="BL1397" s="2867"/>
      <c r="BM1397" s="2867"/>
      <c r="BN1397" s="2867"/>
      <c r="BO1397" s="2867"/>
      <c r="BP1397" s="2867"/>
      <c r="BQ1397" s="2867"/>
      <c r="BR1397" s="2867"/>
      <c r="BS1397" s="2867"/>
      <c r="BT1397" s="2867"/>
      <c r="BU1397" s="2867"/>
      <c r="BV1397" s="2867"/>
      <c r="BW1397" s="2867"/>
      <c r="BX1397" s="2867"/>
      <c r="BY1397" s="2867"/>
      <c r="BZ1397" s="2867"/>
      <c r="CA1397" s="2867"/>
      <c r="CB1397" s="2867"/>
      <c r="CC1397" s="2867"/>
      <c r="CD1397" s="2867"/>
      <c r="CE1397" s="2867"/>
      <c r="CF1397" s="2867"/>
      <c r="CG1397" s="2867"/>
      <c r="CH1397" s="2867"/>
      <c r="CI1397" s="2867"/>
      <c r="CJ1397" s="2867"/>
      <c r="CK1397" s="2867"/>
      <c r="CL1397" s="2867"/>
      <c r="CM1397" s="2867"/>
      <c r="CN1397" s="2867"/>
      <c r="CO1397" s="2867"/>
      <c r="CP1397" s="2867"/>
      <c r="CQ1397" s="2867"/>
      <c r="CR1397" s="2867"/>
      <c r="CS1397" s="2867"/>
      <c r="CT1397" s="2867"/>
      <c r="CU1397" s="2867"/>
      <c r="CV1397" s="2867"/>
      <c r="CW1397" s="2867"/>
    </row>
    <row r="1398" spans="1:101">
      <c r="A1398" s="2867"/>
      <c r="B1398" s="2867"/>
      <c r="C1398" s="2867"/>
      <c r="D1398" s="2867"/>
      <c r="E1398" s="2867"/>
      <c r="F1398" s="2867"/>
      <c r="G1398" s="2867"/>
      <c r="H1398" s="2867"/>
      <c r="I1398" s="2867"/>
      <c r="J1398" s="2867"/>
      <c r="K1398" s="2867"/>
      <c r="L1398" s="2867"/>
      <c r="M1398" s="2867"/>
      <c r="O1398" s="2867"/>
      <c r="P1398" s="2867"/>
      <c r="Q1398" s="2867"/>
      <c r="R1398" s="2867"/>
      <c r="S1398" s="2867"/>
      <c r="T1398" s="2867"/>
      <c r="U1398" s="2867"/>
      <c r="V1398" s="2867"/>
      <c r="W1398" s="2867"/>
      <c r="X1398" s="2867"/>
      <c r="Y1398" s="2867"/>
      <c r="Z1398" s="2867"/>
      <c r="AA1398" s="2867"/>
      <c r="AB1398" s="2867"/>
      <c r="AC1398" s="2867"/>
      <c r="AD1398" s="2867"/>
      <c r="AE1398" s="2867"/>
      <c r="AF1398" s="2867"/>
      <c r="AG1398" s="2867"/>
      <c r="AH1398" s="2867"/>
      <c r="AI1398" s="2867"/>
      <c r="AJ1398" s="2867"/>
      <c r="AK1398" s="2867"/>
      <c r="AL1398" s="2867"/>
      <c r="AM1398" s="2867"/>
      <c r="AN1398" s="2867"/>
      <c r="AO1398" s="2867"/>
      <c r="AP1398" s="2867"/>
      <c r="AQ1398" s="2867"/>
      <c r="AR1398" s="2867"/>
      <c r="AS1398" s="2867"/>
      <c r="AT1398" s="2867"/>
      <c r="AU1398" s="2867"/>
      <c r="AV1398" s="2867"/>
      <c r="AW1398" s="2867"/>
      <c r="AX1398" s="2867"/>
      <c r="AY1398" s="2867"/>
      <c r="AZ1398" s="2867"/>
      <c r="BA1398" s="2867"/>
      <c r="BB1398" s="2867"/>
      <c r="BC1398" s="2867"/>
      <c r="BD1398" s="2867"/>
      <c r="BE1398" s="2867"/>
      <c r="BF1398" s="2867"/>
      <c r="BG1398" s="2867"/>
      <c r="BH1398" s="2867"/>
      <c r="BI1398" s="2867"/>
      <c r="BJ1398" s="2867"/>
      <c r="BK1398" s="2867"/>
      <c r="BL1398" s="2867"/>
      <c r="BM1398" s="2867"/>
      <c r="BN1398" s="2867"/>
      <c r="BO1398" s="2867"/>
      <c r="BP1398" s="2867"/>
      <c r="BQ1398" s="2867"/>
      <c r="BR1398" s="2867"/>
      <c r="BS1398" s="2867"/>
      <c r="BT1398" s="2867"/>
      <c r="BU1398" s="2867"/>
      <c r="BV1398" s="2867"/>
      <c r="BW1398" s="2867"/>
      <c r="BX1398" s="2867"/>
      <c r="BY1398" s="2867"/>
      <c r="BZ1398" s="2867"/>
      <c r="CA1398" s="2867"/>
      <c r="CB1398" s="2867"/>
      <c r="CC1398" s="2867"/>
      <c r="CD1398" s="2867"/>
      <c r="CE1398" s="2867"/>
      <c r="CF1398" s="2867"/>
      <c r="CG1398" s="2867"/>
      <c r="CH1398" s="2867"/>
      <c r="CI1398" s="2867"/>
      <c r="CJ1398" s="2867"/>
      <c r="CK1398" s="2867"/>
      <c r="CL1398" s="2867"/>
      <c r="CM1398" s="2867"/>
      <c r="CN1398" s="2867"/>
      <c r="CO1398" s="2867"/>
      <c r="CP1398" s="2867"/>
      <c r="CQ1398" s="2867"/>
      <c r="CR1398" s="2867"/>
      <c r="CS1398" s="2867"/>
      <c r="CT1398" s="2867"/>
      <c r="CU1398" s="2867"/>
      <c r="CV1398" s="2867"/>
      <c r="CW1398" s="2867"/>
    </row>
    <row r="1399" spans="1:101">
      <c r="A1399" s="2867"/>
      <c r="B1399" s="2867"/>
      <c r="C1399" s="2867"/>
      <c r="D1399" s="2867"/>
      <c r="E1399" s="2867"/>
      <c r="F1399" s="2867"/>
      <c r="G1399" s="2867"/>
      <c r="H1399" s="2867"/>
      <c r="I1399" s="2867"/>
      <c r="J1399" s="2867"/>
      <c r="K1399" s="2867"/>
      <c r="L1399" s="2867"/>
      <c r="M1399" s="2867"/>
      <c r="O1399" s="2867"/>
      <c r="P1399" s="2867"/>
      <c r="Q1399" s="2867"/>
      <c r="R1399" s="2867"/>
      <c r="S1399" s="2867"/>
      <c r="T1399" s="2867"/>
      <c r="U1399" s="2867"/>
      <c r="V1399" s="2867"/>
      <c r="W1399" s="2867"/>
      <c r="X1399" s="2867"/>
      <c r="Y1399" s="2867"/>
      <c r="Z1399" s="2867"/>
      <c r="AA1399" s="2867"/>
      <c r="AB1399" s="2867"/>
      <c r="AC1399" s="2867"/>
      <c r="AD1399" s="2867"/>
      <c r="AE1399" s="2867"/>
      <c r="AF1399" s="2867"/>
      <c r="AG1399" s="2867"/>
      <c r="AH1399" s="2867"/>
      <c r="AI1399" s="2867"/>
      <c r="AJ1399" s="2867"/>
      <c r="AK1399" s="2867"/>
      <c r="AL1399" s="2867"/>
      <c r="AM1399" s="2867"/>
      <c r="AN1399" s="2867"/>
      <c r="AO1399" s="2867"/>
      <c r="AP1399" s="2867"/>
      <c r="AQ1399" s="2867"/>
      <c r="AR1399" s="2867"/>
      <c r="AS1399" s="2867"/>
      <c r="AT1399" s="2867"/>
      <c r="AU1399" s="2867"/>
      <c r="AV1399" s="2867"/>
      <c r="AW1399" s="2867"/>
      <c r="AX1399" s="2867"/>
      <c r="AY1399" s="2867"/>
      <c r="AZ1399" s="2867"/>
      <c r="BA1399" s="2867"/>
      <c r="BB1399" s="2867"/>
      <c r="BC1399" s="2867"/>
      <c r="BD1399" s="2867"/>
      <c r="BE1399" s="2867"/>
      <c r="BF1399" s="2867"/>
      <c r="BG1399" s="2867"/>
      <c r="BH1399" s="2867"/>
      <c r="BI1399" s="2867"/>
      <c r="BJ1399" s="2867"/>
      <c r="BK1399" s="2867"/>
      <c r="BL1399" s="2867"/>
      <c r="BM1399" s="2867"/>
      <c r="BN1399" s="2867"/>
      <c r="BO1399" s="2867"/>
      <c r="BP1399" s="2867"/>
      <c r="BQ1399" s="2867"/>
      <c r="BR1399" s="2867"/>
      <c r="BS1399" s="2867"/>
      <c r="BT1399" s="2867"/>
      <c r="BU1399" s="2867"/>
      <c r="BV1399" s="2867"/>
      <c r="BW1399" s="2867"/>
      <c r="BX1399" s="2867"/>
      <c r="BY1399" s="2867"/>
      <c r="BZ1399" s="2867"/>
      <c r="CA1399" s="2867"/>
      <c r="CB1399" s="2867"/>
      <c r="CC1399" s="2867"/>
      <c r="CD1399" s="2867"/>
      <c r="CE1399" s="2867"/>
      <c r="CF1399" s="2867"/>
      <c r="CG1399" s="2867"/>
      <c r="CH1399" s="2867"/>
      <c r="CI1399" s="2867"/>
      <c r="CJ1399" s="2867"/>
      <c r="CK1399" s="2867"/>
      <c r="CL1399" s="2867"/>
      <c r="CM1399" s="2867"/>
      <c r="CN1399" s="2867"/>
      <c r="CO1399" s="2867"/>
      <c r="CP1399" s="2867"/>
      <c r="CQ1399" s="2867"/>
      <c r="CR1399" s="2867"/>
      <c r="CS1399" s="2867"/>
      <c r="CT1399" s="2867"/>
      <c r="CU1399" s="2867"/>
      <c r="CV1399" s="2867"/>
      <c r="CW1399" s="2867"/>
    </row>
    <row r="1400" spans="1:101">
      <c r="A1400" s="2867"/>
      <c r="B1400" s="2867"/>
      <c r="C1400" s="2867"/>
      <c r="D1400" s="2867"/>
      <c r="E1400" s="2867"/>
      <c r="F1400" s="2867"/>
      <c r="G1400" s="2867"/>
      <c r="H1400" s="2867"/>
      <c r="I1400" s="2867"/>
      <c r="J1400" s="2867"/>
      <c r="K1400" s="2867"/>
      <c r="L1400" s="2867"/>
      <c r="M1400" s="2867"/>
      <c r="O1400" s="2867"/>
      <c r="P1400" s="2867"/>
      <c r="Q1400" s="2867"/>
      <c r="R1400" s="2867"/>
      <c r="S1400" s="2867"/>
      <c r="T1400" s="2867"/>
      <c r="U1400" s="2867"/>
      <c r="V1400" s="2867"/>
      <c r="W1400" s="2867"/>
      <c r="X1400" s="2867"/>
      <c r="Y1400" s="2867"/>
      <c r="Z1400" s="2867"/>
      <c r="AA1400" s="2867"/>
      <c r="AB1400" s="2867"/>
      <c r="AC1400" s="2867"/>
      <c r="AD1400" s="2867"/>
      <c r="AE1400" s="2867"/>
      <c r="AF1400" s="2867"/>
      <c r="AG1400" s="2867"/>
      <c r="AH1400" s="2867"/>
      <c r="AI1400" s="2867"/>
      <c r="AJ1400" s="2867"/>
      <c r="AK1400" s="2867"/>
      <c r="AL1400" s="2867"/>
      <c r="AM1400" s="2867"/>
      <c r="AN1400" s="2867"/>
      <c r="AO1400" s="2867"/>
      <c r="AP1400" s="2867"/>
      <c r="AQ1400" s="2867"/>
      <c r="AR1400" s="2867"/>
      <c r="AS1400" s="2867"/>
      <c r="AT1400" s="2867"/>
      <c r="AU1400" s="2867"/>
      <c r="AV1400" s="2867"/>
      <c r="AW1400" s="2867"/>
      <c r="AX1400" s="2867"/>
      <c r="AY1400" s="2867"/>
      <c r="AZ1400" s="2867"/>
      <c r="BA1400" s="2867"/>
      <c r="BB1400" s="2867"/>
      <c r="BC1400" s="2867"/>
      <c r="BD1400" s="2867"/>
      <c r="BE1400" s="2867"/>
      <c r="BF1400" s="2867"/>
      <c r="BG1400" s="2867"/>
      <c r="BH1400" s="2867"/>
      <c r="BI1400" s="2867"/>
      <c r="BJ1400" s="2867"/>
      <c r="BK1400" s="2867"/>
      <c r="BL1400" s="2867"/>
      <c r="BM1400" s="2867"/>
      <c r="BN1400" s="2867"/>
      <c r="BO1400" s="2867"/>
      <c r="BP1400" s="2867"/>
      <c r="BQ1400" s="2867"/>
      <c r="BR1400" s="2867"/>
      <c r="BS1400" s="2867"/>
      <c r="BT1400" s="2867"/>
      <c r="BU1400" s="2867"/>
      <c r="BV1400" s="2867"/>
      <c r="BW1400" s="2867"/>
      <c r="BX1400" s="2867"/>
      <c r="BY1400" s="2867"/>
      <c r="BZ1400" s="2867"/>
      <c r="CA1400" s="2867"/>
      <c r="CB1400" s="2867"/>
      <c r="CC1400" s="2867"/>
      <c r="CD1400" s="2867"/>
      <c r="CE1400" s="2867"/>
      <c r="CF1400" s="2867"/>
      <c r="CG1400" s="2867"/>
      <c r="CH1400" s="2867"/>
      <c r="CI1400" s="2867"/>
      <c r="CJ1400" s="2867"/>
      <c r="CK1400" s="2867"/>
      <c r="CL1400" s="2867"/>
      <c r="CM1400" s="2867"/>
      <c r="CN1400" s="2867"/>
      <c r="CO1400" s="2867"/>
      <c r="CP1400" s="2867"/>
      <c r="CQ1400" s="2867"/>
      <c r="CR1400" s="2867"/>
      <c r="CS1400" s="2867"/>
      <c r="CT1400" s="2867"/>
      <c r="CU1400" s="2867"/>
      <c r="CV1400" s="2867"/>
      <c r="CW1400" s="2867"/>
    </row>
    <row r="1401" spans="1:101">
      <c r="A1401" s="2867"/>
      <c r="B1401" s="2867"/>
      <c r="C1401" s="2867"/>
      <c r="D1401" s="2867"/>
      <c r="E1401" s="2867"/>
      <c r="F1401" s="2867"/>
      <c r="G1401" s="2867"/>
      <c r="H1401" s="2867"/>
      <c r="I1401" s="2867"/>
      <c r="J1401" s="2867"/>
      <c r="K1401" s="2867"/>
      <c r="L1401" s="2867"/>
      <c r="M1401" s="2867"/>
      <c r="O1401" s="2867"/>
      <c r="P1401" s="2867"/>
      <c r="Q1401" s="2867"/>
      <c r="R1401" s="2867"/>
      <c r="S1401" s="2867"/>
      <c r="T1401" s="2867"/>
      <c r="U1401" s="2867"/>
      <c r="V1401" s="2867"/>
      <c r="W1401" s="2867"/>
      <c r="X1401" s="2867"/>
      <c r="Y1401" s="2867"/>
      <c r="Z1401" s="2867"/>
      <c r="AA1401" s="2867"/>
      <c r="AB1401" s="2867"/>
      <c r="AC1401" s="2867"/>
      <c r="AD1401" s="2867"/>
      <c r="AE1401" s="2867"/>
      <c r="AF1401" s="2867"/>
      <c r="AG1401" s="2867"/>
      <c r="AH1401" s="2867"/>
      <c r="AI1401" s="2867"/>
      <c r="AJ1401" s="2867"/>
      <c r="AK1401" s="2867"/>
      <c r="AL1401" s="2867"/>
      <c r="AM1401" s="2867"/>
      <c r="AN1401" s="2867"/>
      <c r="AO1401" s="2867"/>
      <c r="AP1401" s="2867"/>
      <c r="AQ1401" s="2867"/>
      <c r="AR1401" s="2867"/>
      <c r="AS1401" s="2867"/>
      <c r="AT1401" s="2867"/>
      <c r="AU1401" s="2867"/>
      <c r="AV1401" s="2867"/>
      <c r="AW1401" s="2867"/>
      <c r="AX1401" s="2867"/>
      <c r="AY1401" s="2867"/>
      <c r="AZ1401" s="2867"/>
      <c r="BA1401" s="2867"/>
      <c r="BB1401" s="2867"/>
      <c r="BC1401" s="2867"/>
      <c r="BD1401" s="2867"/>
      <c r="BE1401" s="2867"/>
      <c r="BF1401" s="2867"/>
      <c r="BG1401" s="2867"/>
      <c r="BH1401" s="2867"/>
      <c r="BI1401" s="2867"/>
      <c r="BJ1401" s="2867"/>
      <c r="BK1401" s="2867"/>
      <c r="BL1401" s="2867"/>
      <c r="BM1401" s="2867"/>
      <c r="BN1401" s="2867"/>
      <c r="BO1401" s="2867"/>
      <c r="BP1401" s="2867"/>
      <c r="BQ1401" s="2867"/>
      <c r="BR1401" s="2867"/>
      <c r="BS1401" s="2867"/>
      <c r="BT1401" s="2867"/>
      <c r="BU1401" s="2867"/>
      <c r="BV1401" s="2867"/>
      <c r="BW1401" s="2867"/>
      <c r="BX1401" s="2867"/>
      <c r="BY1401" s="2867"/>
      <c r="BZ1401" s="2867"/>
      <c r="CA1401" s="2867"/>
      <c r="CB1401" s="2867"/>
      <c r="CC1401" s="2867"/>
      <c r="CD1401" s="2867"/>
      <c r="CE1401" s="2867"/>
      <c r="CF1401" s="2867"/>
      <c r="CG1401" s="2867"/>
      <c r="CH1401" s="2867"/>
      <c r="CI1401" s="2867"/>
      <c r="CJ1401" s="2867"/>
      <c r="CK1401" s="2867"/>
      <c r="CL1401" s="2867"/>
      <c r="CM1401" s="2867"/>
      <c r="CN1401" s="2867"/>
      <c r="CO1401" s="2867"/>
      <c r="CP1401" s="2867"/>
      <c r="CQ1401" s="2867"/>
      <c r="CR1401" s="2867"/>
      <c r="CS1401" s="2867"/>
      <c r="CT1401" s="2867"/>
      <c r="CU1401" s="2867"/>
      <c r="CV1401" s="2867"/>
      <c r="CW1401" s="2867"/>
    </row>
    <row r="1402" spans="1:101">
      <c r="A1402" s="2867"/>
      <c r="B1402" s="2867"/>
      <c r="C1402" s="2867"/>
      <c r="D1402" s="2867"/>
      <c r="E1402" s="2867"/>
      <c r="F1402" s="2867"/>
      <c r="G1402" s="2867"/>
      <c r="H1402" s="2867"/>
      <c r="I1402" s="2867"/>
      <c r="J1402" s="2867"/>
      <c r="K1402" s="2867"/>
      <c r="L1402" s="2867"/>
      <c r="M1402" s="2867"/>
      <c r="O1402" s="2867"/>
      <c r="P1402" s="2867"/>
      <c r="Q1402" s="2867"/>
      <c r="R1402" s="2867"/>
      <c r="S1402" s="2867"/>
      <c r="T1402" s="2867"/>
      <c r="U1402" s="2867"/>
      <c r="V1402" s="2867"/>
      <c r="W1402" s="2867"/>
      <c r="X1402" s="2867"/>
      <c r="Y1402" s="2867"/>
      <c r="Z1402" s="2867"/>
      <c r="AA1402" s="2867"/>
      <c r="AB1402" s="2867"/>
      <c r="AC1402" s="2867"/>
      <c r="AD1402" s="2867"/>
      <c r="AE1402" s="2867"/>
      <c r="AF1402" s="2867"/>
      <c r="AG1402" s="2867"/>
      <c r="AH1402" s="2867"/>
      <c r="AI1402" s="2867"/>
      <c r="AJ1402" s="2867"/>
      <c r="AK1402" s="2867"/>
      <c r="AL1402" s="2867"/>
      <c r="AM1402" s="2867"/>
      <c r="AN1402" s="2867"/>
      <c r="AO1402" s="2867"/>
      <c r="AP1402" s="2867"/>
      <c r="AQ1402" s="2867"/>
      <c r="AR1402" s="2867"/>
      <c r="AS1402" s="2867"/>
      <c r="AT1402" s="2867"/>
      <c r="AU1402" s="2867"/>
      <c r="AV1402" s="2867"/>
      <c r="AW1402" s="2867"/>
      <c r="AX1402" s="2867"/>
      <c r="AY1402" s="2867"/>
      <c r="AZ1402" s="2867"/>
      <c r="BA1402" s="2867"/>
      <c r="BB1402" s="2867"/>
      <c r="BC1402" s="2867"/>
      <c r="BD1402" s="2867"/>
      <c r="BE1402" s="2867"/>
      <c r="BF1402" s="2867"/>
      <c r="BG1402" s="2867"/>
      <c r="BH1402" s="2867"/>
      <c r="BI1402" s="2867"/>
      <c r="BJ1402" s="2867"/>
      <c r="BK1402" s="2867"/>
      <c r="BL1402" s="2867"/>
      <c r="BM1402" s="2867"/>
      <c r="BN1402" s="2867"/>
      <c r="BO1402" s="2867"/>
      <c r="BP1402" s="2867"/>
      <c r="BQ1402" s="2867"/>
      <c r="BR1402" s="2867"/>
      <c r="BS1402" s="2867"/>
      <c r="BT1402" s="2867"/>
      <c r="BU1402" s="2867"/>
      <c r="BV1402" s="2867"/>
      <c r="BW1402" s="2867"/>
      <c r="BX1402" s="2867"/>
      <c r="BY1402" s="2867"/>
      <c r="BZ1402" s="2867"/>
      <c r="CA1402" s="2867"/>
      <c r="CB1402" s="2867"/>
      <c r="CC1402" s="2867"/>
      <c r="CD1402" s="2867"/>
      <c r="CE1402" s="2867"/>
      <c r="CF1402" s="2867"/>
      <c r="CG1402" s="2867"/>
      <c r="CH1402" s="2867"/>
      <c r="CI1402" s="2867"/>
      <c r="CJ1402" s="2867"/>
      <c r="CK1402" s="2867"/>
      <c r="CL1402" s="2867"/>
      <c r="CM1402" s="2867"/>
      <c r="CN1402" s="2867"/>
      <c r="CO1402" s="2867"/>
      <c r="CP1402" s="2867"/>
      <c r="CQ1402" s="2867"/>
      <c r="CR1402" s="2867"/>
      <c r="CS1402" s="2867"/>
      <c r="CT1402" s="2867"/>
      <c r="CU1402" s="2867"/>
      <c r="CV1402" s="2867"/>
      <c r="CW1402" s="2867"/>
    </row>
    <row r="1403" spans="1:101">
      <c r="A1403" s="2867"/>
      <c r="B1403" s="2867"/>
      <c r="C1403" s="2867"/>
      <c r="D1403" s="2867"/>
      <c r="E1403" s="2867"/>
      <c r="F1403" s="2867"/>
      <c r="G1403" s="2867"/>
      <c r="H1403" s="2867"/>
      <c r="I1403" s="2867"/>
      <c r="J1403" s="2867"/>
      <c r="K1403" s="2867"/>
      <c r="L1403" s="2867"/>
      <c r="M1403" s="2867"/>
      <c r="O1403" s="2867"/>
      <c r="P1403" s="2867"/>
      <c r="Q1403" s="2867"/>
      <c r="R1403" s="2867"/>
      <c r="S1403" s="2867"/>
      <c r="T1403" s="2867"/>
      <c r="U1403" s="2867"/>
      <c r="V1403" s="2867"/>
      <c r="W1403" s="2867"/>
      <c r="X1403" s="2867"/>
      <c r="Y1403" s="2867"/>
      <c r="Z1403" s="2867"/>
      <c r="AA1403" s="2867"/>
      <c r="AB1403" s="2867"/>
      <c r="AC1403" s="2867"/>
      <c r="AD1403" s="2867"/>
      <c r="AE1403" s="2867"/>
      <c r="AF1403" s="2867"/>
      <c r="AG1403" s="2867"/>
      <c r="AH1403" s="2867"/>
      <c r="AI1403" s="2867"/>
      <c r="AJ1403" s="2867"/>
      <c r="AK1403" s="2867"/>
      <c r="AL1403" s="2867"/>
      <c r="AM1403" s="2867"/>
      <c r="AN1403" s="2867"/>
      <c r="AO1403" s="2867"/>
      <c r="AP1403" s="2867"/>
      <c r="AQ1403" s="2867"/>
      <c r="AR1403" s="2867"/>
      <c r="AS1403" s="2867"/>
      <c r="AT1403" s="2867"/>
      <c r="AU1403" s="2867"/>
      <c r="AV1403" s="2867"/>
      <c r="AW1403" s="2867"/>
      <c r="AX1403" s="2867"/>
      <c r="AY1403" s="2867"/>
      <c r="AZ1403" s="2867"/>
      <c r="BA1403" s="2867"/>
      <c r="BB1403" s="2867"/>
      <c r="BC1403" s="2867"/>
      <c r="BD1403" s="2867"/>
      <c r="BE1403" s="2867"/>
      <c r="BF1403" s="2867"/>
      <c r="BG1403" s="2867"/>
      <c r="BH1403" s="2867"/>
      <c r="BI1403" s="2867"/>
      <c r="BJ1403" s="2867"/>
      <c r="BK1403" s="2867"/>
      <c r="BL1403" s="2867"/>
      <c r="BM1403" s="2867"/>
      <c r="BN1403" s="2867"/>
      <c r="BO1403" s="2867"/>
      <c r="BP1403" s="2867"/>
      <c r="BQ1403" s="2867"/>
      <c r="BR1403" s="2867"/>
      <c r="BS1403" s="2867"/>
      <c r="BT1403" s="2867"/>
      <c r="BU1403" s="2867"/>
      <c r="BV1403" s="2867"/>
      <c r="BW1403" s="2867"/>
      <c r="BX1403" s="2867"/>
      <c r="BY1403" s="2867"/>
      <c r="BZ1403" s="2867"/>
      <c r="CA1403" s="2867"/>
      <c r="CB1403" s="2867"/>
      <c r="CC1403" s="2867"/>
      <c r="CD1403" s="2867"/>
      <c r="CE1403" s="2867"/>
      <c r="CF1403" s="2867"/>
      <c r="CG1403" s="2867"/>
      <c r="CH1403" s="2867"/>
      <c r="CI1403" s="2867"/>
      <c r="CJ1403" s="2867"/>
      <c r="CK1403" s="2867"/>
      <c r="CL1403" s="2867"/>
      <c r="CM1403" s="2867"/>
      <c r="CN1403" s="2867"/>
      <c r="CO1403" s="2867"/>
      <c r="CP1403" s="2867"/>
      <c r="CQ1403" s="2867"/>
      <c r="CR1403" s="2867"/>
      <c r="CS1403" s="2867"/>
      <c r="CT1403" s="2867"/>
      <c r="CU1403" s="2867"/>
      <c r="CV1403" s="2867"/>
      <c r="CW1403" s="2867"/>
    </row>
    <row r="1404" spans="1:101">
      <c r="A1404" s="2867"/>
      <c r="B1404" s="2867"/>
      <c r="C1404" s="2867"/>
      <c r="D1404" s="2867"/>
      <c r="E1404" s="2867"/>
      <c r="F1404" s="2867"/>
      <c r="G1404" s="2867"/>
      <c r="H1404" s="2867"/>
      <c r="I1404" s="2867"/>
      <c r="J1404" s="2867"/>
      <c r="K1404" s="2867"/>
      <c r="L1404" s="2867"/>
      <c r="M1404" s="2867"/>
      <c r="O1404" s="2867"/>
      <c r="P1404" s="2867"/>
      <c r="Q1404" s="2867"/>
      <c r="R1404" s="2867"/>
      <c r="S1404" s="2867"/>
      <c r="T1404" s="2867"/>
      <c r="U1404" s="2867"/>
      <c r="V1404" s="2867"/>
      <c r="W1404" s="2867"/>
      <c r="X1404" s="2867"/>
      <c r="Y1404" s="2867"/>
      <c r="Z1404" s="2867"/>
      <c r="AA1404" s="2867"/>
      <c r="AB1404" s="2867"/>
      <c r="AC1404" s="2867"/>
      <c r="AD1404" s="2867"/>
      <c r="AE1404" s="2867"/>
      <c r="AF1404" s="2867"/>
      <c r="AG1404" s="2867"/>
      <c r="AH1404" s="2867"/>
      <c r="AI1404" s="2867"/>
      <c r="AJ1404" s="2867"/>
      <c r="AK1404" s="2867"/>
      <c r="AL1404" s="2867"/>
      <c r="AM1404" s="2867"/>
      <c r="AN1404" s="2867"/>
      <c r="AO1404" s="2867"/>
      <c r="AP1404" s="2867"/>
      <c r="AQ1404" s="2867"/>
      <c r="AR1404" s="2867"/>
      <c r="AS1404" s="2867"/>
      <c r="AT1404" s="2867"/>
      <c r="AU1404" s="2867"/>
      <c r="AV1404" s="2867"/>
      <c r="AW1404" s="2867"/>
      <c r="AX1404" s="2867"/>
      <c r="AY1404" s="2867"/>
      <c r="AZ1404" s="2867"/>
      <c r="BA1404" s="2867"/>
      <c r="BB1404" s="2867"/>
      <c r="BC1404" s="2867"/>
      <c r="BD1404" s="2867"/>
      <c r="BE1404" s="2867"/>
      <c r="BF1404" s="2867"/>
      <c r="BG1404" s="2867"/>
      <c r="BH1404" s="2867"/>
      <c r="BI1404" s="2867"/>
      <c r="BJ1404" s="2867"/>
      <c r="BK1404" s="2867"/>
      <c r="BL1404" s="2867"/>
      <c r="BM1404" s="2867"/>
      <c r="BN1404" s="2867"/>
      <c r="BO1404" s="2867"/>
      <c r="BP1404" s="2867"/>
      <c r="BQ1404" s="2867"/>
      <c r="BR1404" s="2867"/>
      <c r="BS1404" s="2867"/>
      <c r="BT1404" s="2867"/>
      <c r="BU1404" s="2867"/>
      <c r="BV1404" s="2867"/>
      <c r="BW1404" s="2867"/>
      <c r="BX1404" s="2867"/>
      <c r="BY1404" s="2867"/>
      <c r="BZ1404" s="2867"/>
      <c r="CA1404" s="2867"/>
      <c r="CB1404" s="2867"/>
      <c r="CC1404" s="2867"/>
      <c r="CD1404" s="2867"/>
      <c r="CE1404" s="2867"/>
      <c r="CF1404" s="2867"/>
      <c r="CG1404" s="2867"/>
      <c r="CH1404" s="2867"/>
      <c r="CI1404" s="2867"/>
      <c r="CJ1404" s="2867"/>
      <c r="CK1404" s="2867"/>
      <c r="CL1404" s="2867"/>
      <c r="CM1404" s="2867"/>
      <c r="CN1404" s="2867"/>
      <c r="CO1404" s="2867"/>
      <c r="CP1404" s="2867"/>
      <c r="CQ1404" s="2867"/>
      <c r="CR1404" s="2867"/>
      <c r="CS1404" s="2867"/>
      <c r="CT1404" s="2867"/>
      <c r="CU1404" s="2867"/>
      <c r="CV1404" s="2867"/>
      <c r="CW1404" s="2867"/>
    </row>
    <row r="1405" spans="1:101">
      <c r="A1405" s="2867"/>
      <c r="B1405" s="2867"/>
      <c r="C1405" s="2867"/>
      <c r="D1405" s="2867"/>
      <c r="E1405" s="2867"/>
      <c r="F1405" s="2867"/>
      <c r="G1405" s="2867"/>
      <c r="H1405" s="2867"/>
      <c r="I1405" s="2867"/>
      <c r="J1405" s="2867"/>
      <c r="K1405" s="2867"/>
      <c r="L1405" s="2867"/>
      <c r="M1405" s="2867"/>
      <c r="O1405" s="2867"/>
      <c r="P1405" s="2867"/>
      <c r="Q1405" s="2867"/>
      <c r="R1405" s="2867"/>
      <c r="S1405" s="2867"/>
      <c r="T1405" s="2867"/>
      <c r="U1405" s="2867"/>
      <c r="V1405" s="2867"/>
      <c r="W1405" s="2867"/>
      <c r="X1405" s="2867"/>
      <c r="Y1405" s="2867"/>
      <c r="Z1405" s="2867"/>
      <c r="AA1405" s="2867"/>
      <c r="AB1405" s="2867"/>
      <c r="AC1405" s="2867"/>
      <c r="AD1405" s="2867"/>
      <c r="AE1405" s="2867"/>
      <c r="AF1405" s="2867"/>
      <c r="AG1405" s="2867"/>
      <c r="AH1405" s="2867"/>
      <c r="AI1405" s="2867"/>
      <c r="AJ1405" s="2867"/>
      <c r="AK1405" s="2867"/>
      <c r="AL1405" s="2867"/>
      <c r="AM1405" s="2867"/>
      <c r="AN1405" s="2867"/>
      <c r="AO1405" s="2867"/>
      <c r="AP1405" s="2867"/>
      <c r="AQ1405" s="2867"/>
      <c r="AR1405" s="2867"/>
      <c r="AS1405" s="2867"/>
      <c r="AT1405" s="2867"/>
      <c r="AU1405" s="2867"/>
      <c r="AV1405" s="2867"/>
      <c r="AW1405" s="2867"/>
      <c r="AX1405" s="2867"/>
      <c r="AY1405" s="2867"/>
      <c r="AZ1405" s="2867"/>
      <c r="BA1405" s="2867"/>
      <c r="BB1405" s="2867"/>
      <c r="BC1405" s="2867"/>
      <c r="BD1405" s="2867"/>
      <c r="BE1405" s="2867"/>
      <c r="BF1405" s="2867"/>
      <c r="BG1405" s="2867"/>
      <c r="BH1405" s="2867"/>
      <c r="BI1405" s="2867"/>
      <c r="BJ1405" s="2867"/>
      <c r="BK1405" s="2867"/>
      <c r="BL1405" s="2867"/>
      <c r="BM1405" s="2867"/>
      <c r="BN1405" s="2867"/>
      <c r="BO1405" s="2867"/>
      <c r="BP1405" s="2867"/>
      <c r="BQ1405" s="2867"/>
      <c r="BR1405" s="2867"/>
      <c r="BS1405" s="2867"/>
      <c r="BT1405" s="2867"/>
      <c r="BU1405" s="2867"/>
      <c r="BV1405" s="2867"/>
      <c r="BW1405" s="2867"/>
      <c r="BX1405" s="2867"/>
      <c r="BY1405" s="2867"/>
      <c r="BZ1405" s="2867"/>
      <c r="CA1405" s="2867"/>
      <c r="CB1405" s="2867"/>
      <c r="CC1405" s="2867"/>
      <c r="CD1405" s="2867"/>
      <c r="CE1405" s="2867"/>
      <c r="CF1405" s="2867"/>
      <c r="CG1405" s="2867"/>
      <c r="CH1405" s="2867"/>
      <c r="CI1405" s="2867"/>
      <c r="CJ1405" s="2867"/>
      <c r="CK1405" s="2867"/>
      <c r="CL1405" s="2867"/>
      <c r="CM1405" s="2867"/>
      <c r="CN1405" s="2867"/>
      <c r="CO1405" s="2867"/>
      <c r="CP1405" s="2867"/>
      <c r="CQ1405" s="2867"/>
      <c r="CR1405" s="2867"/>
      <c r="CS1405" s="2867"/>
      <c r="CT1405" s="2867"/>
      <c r="CU1405" s="2867"/>
      <c r="CV1405" s="2867"/>
      <c r="CW1405" s="2867"/>
    </row>
    <row r="1406" spans="1:101">
      <c r="A1406" s="2867"/>
      <c r="B1406" s="2867"/>
      <c r="C1406" s="2867"/>
      <c r="D1406" s="2867"/>
      <c r="E1406" s="2867"/>
      <c r="F1406" s="2867"/>
      <c r="G1406" s="2867"/>
      <c r="H1406" s="2867"/>
      <c r="I1406" s="2867"/>
      <c r="J1406" s="2867"/>
      <c r="K1406" s="2867"/>
      <c r="L1406" s="2867"/>
      <c r="M1406" s="2867"/>
      <c r="O1406" s="2867"/>
      <c r="P1406" s="2867"/>
      <c r="Q1406" s="2867"/>
      <c r="R1406" s="2867"/>
      <c r="S1406" s="2867"/>
      <c r="T1406" s="2867"/>
      <c r="U1406" s="2867"/>
      <c r="V1406" s="2867"/>
      <c r="W1406" s="2867"/>
      <c r="X1406" s="2867"/>
      <c r="Y1406" s="2867"/>
      <c r="Z1406" s="2867"/>
      <c r="AA1406" s="2867"/>
      <c r="AB1406" s="2867"/>
      <c r="AC1406" s="2867"/>
      <c r="AD1406" s="2867"/>
      <c r="AE1406" s="2867"/>
      <c r="AF1406" s="2867"/>
      <c r="AG1406" s="2867"/>
      <c r="AH1406" s="2867"/>
      <c r="AI1406" s="2867"/>
      <c r="AJ1406" s="2867"/>
      <c r="AK1406" s="2867"/>
      <c r="AL1406" s="2867"/>
      <c r="AM1406" s="2867"/>
      <c r="AN1406" s="2867"/>
      <c r="AO1406" s="2867"/>
      <c r="AP1406" s="2867"/>
      <c r="AQ1406" s="2867"/>
      <c r="AR1406" s="2867"/>
      <c r="AS1406" s="2867"/>
      <c r="AT1406" s="2867"/>
      <c r="AU1406" s="2867"/>
      <c r="AV1406" s="2867"/>
      <c r="AW1406" s="2867"/>
      <c r="AX1406" s="2867"/>
      <c r="AY1406" s="2867"/>
      <c r="AZ1406" s="2867"/>
      <c r="BA1406" s="2867"/>
      <c r="BB1406" s="2867"/>
      <c r="BC1406" s="2867"/>
      <c r="BD1406" s="2867"/>
      <c r="BE1406" s="2867"/>
      <c r="BF1406" s="2867"/>
      <c r="BG1406" s="2867"/>
      <c r="BH1406" s="2867"/>
      <c r="BI1406" s="2867"/>
      <c r="BJ1406" s="2867"/>
      <c r="BK1406" s="2867"/>
      <c r="BL1406" s="2867"/>
      <c r="BM1406" s="2867"/>
      <c r="BN1406" s="2867"/>
      <c r="BO1406" s="2867"/>
      <c r="BP1406" s="2867"/>
      <c r="BQ1406" s="2867"/>
      <c r="BR1406" s="2867"/>
      <c r="BS1406" s="2867"/>
      <c r="BT1406" s="2867"/>
      <c r="BU1406" s="2867"/>
      <c r="BV1406" s="2867"/>
      <c r="BW1406" s="2867"/>
      <c r="BX1406" s="2867"/>
      <c r="BY1406" s="2867"/>
      <c r="BZ1406" s="2867"/>
      <c r="CA1406" s="2867"/>
      <c r="CB1406" s="2867"/>
      <c r="CC1406" s="2867"/>
      <c r="CD1406" s="2867"/>
      <c r="CE1406" s="2867"/>
      <c r="CF1406" s="2867"/>
      <c r="CG1406" s="2867"/>
      <c r="CH1406" s="2867"/>
      <c r="CI1406" s="2867"/>
      <c r="CJ1406" s="2867"/>
      <c r="CK1406" s="2867"/>
      <c r="CL1406" s="2867"/>
      <c r="CM1406" s="2867"/>
      <c r="CN1406" s="2867"/>
      <c r="CO1406" s="2867"/>
      <c r="CP1406" s="2867"/>
      <c r="CQ1406" s="2867"/>
      <c r="CR1406" s="2867"/>
      <c r="CS1406" s="2867"/>
      <c r="CT1406" s="2867"/>
      <c r="CU1406" s="2867"/>
      <c r="CV1406" s="2867"/>
      <c r="CW1406" s="2867"/>
    </row>
    <row r="1407" spans="1:101">
      <c r="A1407" s="2867"/>
      <c r="B1407" s="2867"/>
      <c r="C1407" s="2867"/>
      <c r="D1407" s="2867"/>
      <c r="E1407" s="2867"/>
      <c r="F1407" s="2867"/>
      <c r="G1407" s="2867"/>
      <c r="H1407" s="2867"/>
      <c r="I1407" s="2867"/>
      <c r="J1407" s="2867"/>
      <c r="K1407" s="2867"/>
      <c r="L1407" s="2867"/>
      <c r="M1407" s="2867"/>
      <c r="O1407" s="2867"/>
      <c r="P1407" s="2867"/>
      <c r="Q1407" s="2867"/>
      <c r="R1407" s="2867"/>
      <c r="S1407" s="2867"/>
      <c r="T1407" s="2867"/>
      <c r="U1407" s="2867"/>
      <c r="V1407" s="2867"/>
      <c r="W1407" s="2867"/>
      <c r="X1407" s="2867"/>
      <c r="Y1407" s="2867"/>
      <c r="Z1407" s="2867"/>
      <c r="AA1407" s="2867"/>
      <c r="AB1407" s="2867"/>
      <c r="AC1407" s="2867"/>
      <c r="AD1407" s="2867"/>
      <c r="AE1407" s="2867"/>
      <c r="AF1407" s="2867"/>
      <c r="AG1407" s="2867"/>
      <c r="AH1407" s="2867"/>
      <c r="AI1407" s="2867"/>
      <c r="AJ1407" s="2867"/>
      <c r="AK1407" s="2867"/>
      <c r="AL1407" s="2867"/>
      <c r="AM1407" s="2867"/>
      <c r="AN1407" s="2867"/>
      <c r="AO1407" s="2867"/>
      <c r="AP1407" s="2867"/>
      <c r="AQ1407" s="2867"/>
      <c r="AR1407" s="2867"/>
      <c r="AS1407" s="2867"/>
      <c r="AT1407" s="2867"/>
      <c r="AU1407" s="2867"/>
      <c r="AV1407" s="2867"/>
      <c r="AW1407" s="2867"/>
      <c r="AX1407" s="2867"/>
      <c r="AY1407" s="2867"/>
      <c r="AZ1407" s="2867"/>
      <c r="BA1407" s="2867"/>
      <c r="BB1407" s="2867"/>
      <c r="BC1407" s="2867"/>
      <c r="BD1407" s="2867"/>
      <c r="BE1407" s="2867"/>
      <c r="BF1407" s="2867"/>
      <c r="BG1407" s="2867"/>
      <c r="BH1407" s="2867"/>
      <c r="BI1407" s="2867"/>
      <c r="BJ1407" s="2867"/>
      <c r="BK1407" s="2867"/>
      <c r="BL1407" s="2867"/>
      <c r="BM1407" s="2867"/>
      <c r="BN1407" s="2867"/>
      <c r="BO1407" s="2867"/>
      <c r="BP1407" s="2867"/>
      <c r="BQ1407" s="2867"/>
      <c r="BR1407" s="2867"/>
      <c r="BS1407" s="2867"/>
      <c r="BT1407" s="2867"/>
      <c r="BU1407" s="2867"/>
      <c r="BV1407" s="2867"/>
      <c r="BW1407" s="2867"/>
      <c r="BX1407" s="2867"/>
      <c r="BY1407" s="2867"/>
      <c r="BZ1407" s="2867"/>
      <c r="CA1407" s="2867"/>
      <c r="CB1407" s="2867"/>
      <c r="CC1407" s="2867"/>
      <c r="CD1407" s="2867"/>
      <c r="CE1407" s="2867"/>
      <c r="CF1407" s="2867"/>
      <c r="CG1407" s="2867"/>
      <c r="CH1407" s="2867"/>
      <c r="CI1407" s="2867"/>
      <c r="CJ1407" s="2867"/>
      <c r="CK1407" s="2867"/>
      <c r="CL1407" s="2867"/>
      <c r="CM1407" s="2867"/>
      <c r="CN1407" s="2867"/>
      <c r="CO1407" s="2867"/>
      <c r="CP1407" s="2867"/>
      <c r="CQ1407" s="2867"/>
      <c r="CR1407" s="2867"/>
      <c r="CS1407" s="2867"/>
      <c r="CT1407" s="2867"/>
      <c r="CU1407" s="2867"/>
      <c r="CV1407" s="2867"/>
      <c r="CW1407" s="2867"/>
    </row>
    <row r="1408" spans="1:101">
      <c r="A1408" s="2867"/>
      <c r="B1408" s="2867"/>
      <c r="C1408" s="2867"/>
      <c r="D1408" s="2867"/>
      <c r="E1408" s="2867"/>
      <c r="F1408" s="2867"/>
      <c r="G1408" s="2867"/>
      <c r="H1408" s="2867"/>
      <c r="I1408" s="2867"/>
      <c r="J1408" s="2867"/>
      <c r="K1408" s="2867"/>
      <c r="L1408" s="2867"/>
      <c r="M1408" s="2867"/>
      <c r="O1408" s="2867"/>
      <c r="P1408" s="2867"/>
      <c r="Q1408" s="2867"/>
      <c r="R1408" s="2867"/>
      <c r="S1408" s="2867"/>
      <c r="T1408" s="2867"/>
      <c r="U1408" s="2867"/>
      <c r="V1408" s="2867"/>
      <c r="W1408" s="2867"/>
      <c r="X1408" s="2867"/>
      <c r="Y1408" s="2867"/>
      <c r="Z1408" s="2867"/>
      <c r="AA1408" s="2867"/>
      <c r="AB1408" s="2867"/>
      <c r="AC1408" s="2867"/>
      <c r="AD1408" s="2867"/>
      <c r="AE1408" s="2867"/>
      <c r="AF1408" s="2867"/>
      <c r="AG1408" s="2867"/>
      <c r="AH1408" s="2867"/>
      <c r="AI1408" s="2867"/>
      <c r="AJ1408" s="2867"/>
      <c r="AK1408" s="2867"/>
      <c r="AL1408" s="2867"/>
      <c r="AM1408" s="2867"/>
      <c r="AN1408" s="2867"/>
      <c r="AO1408" s="2867"/>
      <c r="AP1408" s="2867"/>
      <c r="AQ1408" s="2867"/>
      <c r="AR1408" s="2867"/>
      <c r="AS1408" s="2867"/>
      <c r="AT1408" s="2867"/>
      <c r="AU1408" s="2867"/>
      <c r="AV1408" s="2867"/>
      <c r="AW1408" s="2867"/>
      <c r="AX1408" s="2867"/>
      <c r="AY1408" s="2867"/>
      <c r="AZ1408" s="2867"/>
      <c r="BA1408" s="2867"/>
      <c r="BB1408" s="2867"/>
      <c r="BC1408" s="2867"/>
      <c r="BD1408" s="2867"/>
      <c r="BE1408" s="2867"/>
      <c r="BF1408" s="2867"/>
      <c r="BG1408" s="2867"/>
      <c r="BH1408" s="2867"/>
      <c r="BI1408" s="2867"/>
      <c r="BJ1408" s="2867"/>
      <c r="BK1408" s="2867"/>
      <c r="BL1408" s="2867"/>
      <c r="BM1408" s="2867"/>
      <c r="BN1408" s="2867"/>
      <c r="BO1408" s="2867"/>
      <c r="BP1408" s="2867"/>
      <c r="BQ1408" s="2867"/>
      <c r="BR1408" s="2867"/>
      <c r="BS1408" s="2867"/>
      <c r="BT1408" s="2867"/>
      <c r="BU1408" s="2867"/>
      <c r="BV1408" s="2867"/>
      <c r="BW1408" s="2867"/>
      <c r="BX1408" s="2867"/>
      <c r="BY1408" s="2867"/>
      <c r="BZ1408" s="2867"/>
      <c r="CA1408" s="2867"/>
      <c r="CB1408" s="2867"/>
      <c r="CC1408" s="2867"/>
      <c r="CD1408" s="2867"/>
      <c r="CE1408" s="2867"/>
      <c r="CF1408" s="2867"/>
      <c r="CG1408" s="2867"/>
      <c r="CH1408" s="2867"/>
      <c r="CI1408" s="2867"/>
      <c r="CJ1408" s="2867"/>
      <c r="CK1408" s="2867"/>
      <c r="CL1408" s="2867"/>
      <c r="CM1408" s="2867"/>
      <c r="CN1408" s="2867"/>
      <c r="CO1408" s="2867"/>
      <c r="CP1408" s="2867"/>
      <c r="CQ1408" s="2867"/>
      <c r="CR1408" s="2867"/>
      <c r="CS1408" s="2867"/>
      <c r="CT1408" s="2867"/>
      <c r="CU1408" s="2867"/>
      <c r="CV1408" s="2867"/>
      <c r="CW1408" s="2867"/>
    </row>
    <row r="1409" spans="1:101">
      <c r="A1409" s="2867"/>
      <c r="B1409" s="2867"/>
      <c r="C1409" s="2867"/>
      <c r="D1409" s="2867"/>
      <c r="E1409" s="2867"/>
      <c r="F1409" s="2867"/>
      <c r="G1409" s="2867"/>
      <c r="H1409" s="2867"/>
      <c r="I1409" s="2867"/>
      <c r="J1409" s="2867"/>
      <c r="K1409" s="2867"/>
      <c r="L1409" s="2867"/>
      <c r="M1409" s="2867"/>
      <c r="O1409" s="2867"/>
      <c r="P1409" s="2867"/>
      <c r="Q1409" s="2867"/>
      <c r="R1409" s="2867"/>
      <c r="S1409" s="2867"/>
      <c r="T1409" s="2867"/>
      <c r="U1409" s="2867"/>
      <c r="V1409" s="2867"/>
      <c r="W1409" s="2867"/>
      <c r="X1409" s="2867"/>
      <c r="Y1409" s="2867"/>
      <c r="Z1409" s="2867"/>
      <c r="AA1409" s="2867"/>
      <c r="AB1409" s="2867"/>
      <c r="AC1409" s="2867"/>
      <c r="AD1409" s="2867"/>
      <c r="AE1409" s="2867"/>
      <c r="AF1409" s="2867"/>
      <c r="AG1409" s="2867"/>
      <c r="AH1409" s="2867"/>
      <c r="AI1409" s="2867"/>
      <c r="AJ1409" s="2867"/>
      <c r="AK1409" s="2867"/>
      <c r="AL1409" s="2867"/>
      <c r="AM1409" s="2867"/>
      <c r="AN1409" s="2867"/>
      <c r="AO1409" s="2867"/>
      <c r="AP1409" s="2867"/>
      <c r="AQ1409" s="2867"/>
      <c r="AR1409" s="2867"/>
      <c r="AS1409" s="2867"/>
      <c r="AT1409" s="2867"/>
      <c r="AU1409" s="2867"/>
      <c r="AV1409" s="2867"/>
      <c r="AW1409" s="2867"/>
      <c r="AX1409" s="2867"/>
      <c r="AY1409" s="2867"/>
      <c r="AZ1409" s="2867"/>
      <c r="BA1409" s="2867"/>
      <c r="BB1409" s="2867"/>
      <c r="BC1409" s="2867"/>
      <c r="BD1409" s="2867"/>
      <c r="BE1409" s="2867"/>
      <c r="BF1409" s="2867"/>
      <c r="BG1409" s="2867"/>
      <c r="BH1409" s="2867"/>
      <c r="BI1409" s="2867"/>
      <c r="BJ1409" s="2867"/>
      <c r="BK1409" s="2867"/>
      <c r="BL1409" s="2867"/>
      <c r="BM1409" s="2867"/>
      <c r="BN1409" s="2867"/>
      <c r="BO1409" s="2867"/>
      <c r="BP1409" s="2867"/>
      <c r="BQ1409" s="2867"/>
      <c r="BR1409" s="2867"/>
      <c r="BS1409" s="2867"/>
      <c r="BT1409" s="2867"/>
      <c r="BU1409" s="2867"/>
      <c r="BV1409" s="2867"/>
      <c r="BW1409" s="2867"/>
      <c r="BX1409" s="2867"/>
      <c r="BY1409" s="2867"/>
      <c r="BZ1409" s="2867"/>
      <c r="CA1409" s="2867"/>
      <c r="CB1409" s="2867"/>
      <c r="CC1409" s="2867"/>
      <c r="CD1409" s="2867"/>
      <c r="CE1409" s="2867"/>
      <c r="CF1409" s="2867"/>
      <c r="CG1409" s="2867"/>
      <c r="CH1409" s="2867"/>
      <c r="CI1409" s="2867"/>
      <c r="CJ1409" s="2867"/>
      <c r="CK1409" s="2867"/>
      <c r="CL1409" s="2867"/>
      <c r="CM1409" s="2867"/>
      <c r="CN1409" s="2867"/>
      <c r="CO1409" s="2867"/>
      <c r="CP1409" s="2867"/>
      <c r="CQ1409" s="2867"/>
      <c r="CR1409" s="2867"/>
      <c r="CS1409" s="2867"/>
      <c r="CT1409" s="2867"/>
      <c r="CU1409" s="2867"/>
      <c r="CV1409" s="2867"/>
      <c r="CW1409" s="2867"/>
    </row>
    <row r="1410" spans="1:101">
      <c r="A1410" s="2867"/>
      <c r="B1410" s="2867"/>
      <c r="C1410" s="2867"/>
      <c r="D1410" s="2867"/>
      <c r="E1410" s="2867"/>
      <c r="F1410" s="2867"/>
      <c r="G1410" s="2867"/>
      <c r="H1410" s="2867"/>
      <c r="I1410" s="2867"/>
      <c r="J1410" s="2867"/>
      <c r="K1410" s="2867"/>
      <c r="L1410" s="2867"/>
      <c r="M1410" s="2867"/>
      <c r="O1410" s="2867"/>
      <c r="P1410" s="2867"/>
      <c r="Q1410" s="2867"/>
      <c r="R1410" s="2867"/>
      <c r="S1410" s="2867"/>
      <c r="T1410" s="2867"/>
      <c r="U1410" s="2867"/>
      <c r="V1410" s="2867"/>
      <c r="W1410" s="2867"/>
      <c r="X1410" s="2867"/>
      <c r="Y1410" s="2867"/>
      <c r="Z1410" s="2867"/>
      <c r="AA1410" s="2867"/>
      <c r="AB1410" s="2867"/>
      <c r="AC1410" s="2867"/>
      <c r="AD1410" s="2867"/>
      <c r="AE1410" s="2867"/>
      <c r="AF1410" s="2867"/>
      <c r="AG1410" s="2867"/>
      <c r="AH1410" s="2867"/>
      <c r="AI1410" s="2867"/>
      <c r="AJ1410" s="2867"/>
      <c r="AK1410" s="2867"/>
      <c r="AL1410" s="2867"/>
      <c r="AM1410" s="2867"/>
      <c r="AN1410" s="2867"/>
      <c r="AO1410" s="2867"/>
      <c r="AP1410" s="2867"/>
      <c r="AQ1410" s="2867"/>
      <c r="AR1410" s="2867"/>
      <c r="AS1410" s="2867"/>
      <c r="AT1410" s="2867"/>
      <c r="AU1410" s="2867"/>
      <c r="AV1410" s="2867"/>
      <c r="AW1410" s="2867"/>
      <c r="AX1410" s="2867"/>
      <c r="AY1410" s="2867"/>
      <c r="AZ1410" s="2867"/>
      <c r="BA1410" s="2867"/>
      <c r="BB1410" s="2867"/>
      <c r="BC1410" s="2867"/>
      <c r="BD1410" s="2867"/>
      <c r="BE1410" s="2867"/>
      <c r="BF1410" s="2867"/>
      <c r="BG1410" s="2867"/>
      <c r="BH1410" s="2867"/>
      <c r="BI1410" s="2867"/>
      <c r="BJ1410" s="2867"/>
      <c r="BK1410" s="2867"/>
      <c r="BL1410" s="2867"/>
      <c r="BM1410" s="2867"/>
      <c r="BN1410" s="2867"/>
      <c r="BO1410" s="2867"/>
      <c r="BP1410" s="2867"/>
      <c r="BQ1410" s="2867"/>
      <c r="BR1410" s="2867"/>
      <c r="BS1410" s="2867"/>
      <c r="BT1410" s="2867"/>
      <c r="BU1410" s="2867"/>
      <c r="BV1410" s="2867"/>
      <c r="BW1410" s="2867"/>
      <c r="BX1410" s="2867"/>
      <c r="BY1410" s="2867"/>
      <c r="BZ1410" s="2867"/>
      <c r="CA1410" s="2867"/>
      <c r="CB1410" s="2867"/>
      <c r="CC1410" s="2867"/>
      <c r="CD1410" s="2867"/>
      <c r="CE1410" s="2867"/>
      <c r="CF1410" s="2867"/>
      <c r="CG1410" s="2867"/>
      <c r="CH1410" s="2867"/>
      <c r="CI1410" s="2867"/>
      <c r="CJ1410" s="2867"/>
      <c r="CK1410" s="2867"/>
      <c r="CL1410" s="2867"/>
      <c r="CM1410" s="2867"/>
      <c r="CN1410" s="2867"/>
      <c r="CO1410" s="2867"/>
      <c r="CP1410" s="2867"/>
      <c r="CQ1410" s="2867"/>
      <c r="CR1410" s="2867"/>
      <c r="CS1410" s="2867"/>
      <c r="CT1410" s="2867"/>
      <c r="CU1410" s="2867"/>
      <c r="CV1410" s="2867"/>
      <c r="CW1410" s="2867"/>
    </row>
    <row r="1411" spans="1:101">
      <c r="A1411" s="2867"/>
      <c r="B1411" s="2867"/>
      <c r="C1411" s="2867"/>
      <c r="D1411" s="2867"/>
      <c r="E1411" s="2867"/>
      <c r="F1411" s="2867"/>
      <c r="G1411" s="2867"/>
      <c r="H1411" s="2867"/>
      <c r="I1411" s="2867"/>
      <c r="J1411" s="2867"/>
      <c r="K1411" s="2867"/>
      <c r="L1411" s="2867"/>
      <c r="M1411" s="2867"/>
      <c r="O1411" s="2867"/>
      <c r="P1411" s="2867"/>
      <c r="Q1411" s="2867"/>
      <c r="R1411" s="2867"/>
      <c r="S1411" s="2867"/>
      <c r="T1411" s="2867"/>
      <c r="U1411" s="2867"/>
      <c r="V1411" s="2867"/>
      <c r="W1411" s="2867"/>
      <c r="X1411" s="2867"/>
      <c r="Y1411" s="2867"/>
      <c r="Z1411" s="2867"/>
      <c r="AA1411" s="2867"/>
      <c r="AB1411" s="2867"/>
      <c r="AC1411" s="2867"/>
      <c r="AD1411" s="2867"/>
      <c r="AE1411" s="2867"/>
      <c r="AF1411" s="2867"/>
      <c r="AG1411" s="2867"/>
      <c r="AH1411" s="2867"/>
      <c r="AI1411" s="2867"/>
      <c r="AJ1411" s="2867"/>
      <c r="AK1411" s="2867"/>
      <c r="AL1411" s="2867"/>
      <c r="AM1411" s="2867"/>
      <c r="AN1411" s="2867"/>
      <c r="AO1411" s="2867"/>
      <c r="AP1411" s="2867"/>
      <c r="AQ1411" s="2867"/>
      <c r="AR1411" s="2867"/>
      <c r="AS1411" s="2867"/>
      <c r="AT1411" s="2867"/>
      <c r="AU1411" s="2867"/>
      <c r="AV1411" s="2867"/>
      <c r="AW1411" s="2867"/>
      <c r="AX1411" s="2867"/>
      <c r="AY1411" s="2867"/>
      <c r="AZ1411" s="2867"/>
      <c r="BA1411" s="2867"/>
      <c r="BB1411" s="2867"/>
      <c r="BC1411" s="2867"/>
      <c r="BD1411" s="2867"/>
      <c r="BE1411" s="2867"/>
      <c r="BF1411" s="2867"/>
      <c r="BG1411" s="2867"/>
      <c r="BH1411" s="2867"/>
      <c r="BI1411" s="2867"/>
      <c r="BJ1411" s="2867"/>
      <c r="BK1411" s="2867"/>
      <c r="BL1411" s="2867"/>
      <c r="BM1411" s="2867"/>
      <c r="BN1411" s="2867"/>
      <c r="BO1411" s="2867"/>
      <c r="BP1411" s="2867"/>
      <c r="BQ1411" s="2867"/>
      <c r="BR1411" s="2867"/>
      <c r="BS1411" s="2867"/>
      <c r="BT1411" s="2867"/>
      <c r="BU1411" s="2867"/>
      <c r="BV1411" s="2867"/>
      <c r="BW1411" s="2867"/>
      <c r="BX1411" s="2867"/>
      <c r="BY1411" s="2867"/>
      <c r="BZ1411" s="2867"/>
      <c r="CA1411" s="2867"/>
      <c r="CB1411" s="2867"/>
      <c r="CC1411" s="2867"/>
      <c r="CD1411" s="2867"/>
      <c r="CE1411" s="2867"/>
      <c r="CF1411" s="2867"/>
      <c r="CG1411" s="2867"/>
      <c r="CH1411" s="2867"/>
      <c r="CI1411" s="2867"/>
      <c r="CJ1411" s="2867"/>
      <c r="CK1411" s="2867"/>
      <c r="CL1411" s="2867"/>
      <c r="CM1411" s="2867"/>
      <c r="CN1411" s="2867"/>
      <c r="CO1411" s="2867"/>
      <c r="CP1411" s="2867"/>
      <c r="CQ1411" s="2867"/>
      <c r="CR1411" s="2867"/>
      <c r="CS1411" s="2867"/>
      <c r="CT1411" s="2867"/>
      <c r="CU1411" s="2867"/>
      <c r="CV1411" s="2867"/>
      <c r="CW1411" s="2867"/>
    </row>
    <row r="1412" spans="1:101">
      <c r="A1412" s="2867"/>
      <c r="B1412" s="2867"/>
      <c r="C1412" s="2867"/>
      <c r="D1412" s="2867"/>
      <c r="E1412" s="2867"/>
      <c r="F1412" s="2867"/>
      <c r="G1412" s="2867"/>
      <c r="H1412" s="2867"/>
      <c r="I1412" s="2867"/>
      <c r="J1412" s="2867"/>
      <c r="K1412" s="2867"/>
      <c r="L1412" s="2867"/>
      <c r="M1412" s="2867"/>
      <c r="O1412" s="2867"/>
      <c r="P1412" s="2867"/>
      <c r="Q1412" s="2867"/>
      <c r="R1412" s="2867"/>
      <c r="S1412" s="2867"/>
      <c r="T1412" s="2867"/>
      <c r="U1412" s="2867"/>
      <c r="V1412" s="2867"/>
      <c r="W1412" s="2867"/>
      <c r="X1412" s="2867"/>
      <c r="Y1412" s="2867"/>
      <c r="Z1412" s="2867"/>
      <c r="AA1412" s="2867"/>
      <c r="AB1412" s="2867"/>
      <c r="AC1412" s="2867"/>
      <c r="AD1412" s="2867"/>
      <c r="AE1412" s="2867"/>
      <c r="AF1412" s="2867"/>
      <c r="AG1412" s="2867"/>
      <c r="AH1412" s="2867"/>
      <c r="AI1412" s="2867"/>
      <c r="AJ1412" s="2867"/>
      <c r="AK1412" s="2867"/>
      <c r="AL1412" s="2867"/>
      <c r="AM1412" s="2867"/>
      <c r="AN1412" s="2867"/>
      <c r="AO1412" s="2867"/>
      <c r="AP1412" s="2867"/>
      <c r="AQ1412" s="2867"/>
      <c r="AR1412" s="2867"/>
      <c r="AS1412" s="2867"/>
      <c r="AT1412" s="2867"/>
      <c r="AU1412" s="2867"/>
      <c r="AV1412" s="2867"/>
      <c r="AW1412" s="2867"/>
      <c r="AX1412" s="2867"/>
      <c r="AY1412" s="2867"/>
      <c r="AZ1412" s="2867"/>
      <c r="BA1412" s="2867"/>
      <c r="BB1412" s="2867"/>
      <c r="BC1412" s="2867"/>
      <c r="BD1412" s="2867"/>
      <c r="BE1412" s="2867"/>
      <c r="BF1412" s="2867"/>
      <c r="BG1412" s="2867"/>
      <c r="BH1412" s="2867"/>
      <c r="BI1412" s="2867"/>
      <c r="BJ1412" s="2867"/>
      <c r="BK1412" s="2867"/>
      <c r="BL1412" s="2867"/>
      <c r="BM1412" s="2867"/>
      <c r="BN1412" s="2867"/>
      <c r="BO1412" s="2867"/>
      <c r="BP1412" s="2867"/>
      <c r="BQ1412" s="2867"/>
      <c r="BR1412" s="2867"/>
      <c r="BS1412" s="2867"/>
      <c r="BT1412" s="2867"/>
      <c r="BU1412" s="2867"/>
      <c r="BV1412" s="2867"/>
      <c r="BW1412" s="2867"/>
      <c r="BX1412" s="2867"/>
      <c r="BY1412" s="2867"/>
      <c r="BZ1412" s="2867"/>
      <c r="CA1412" s="2867"/>
      <c r="CB1412" s="2867"/>
      <c r="CC1412" s="2867"/>
      <c r="CD1412" s="2867"/>
      <c r="CE1412" s="2867"/>
      <c r="CF1412" s="2867"/>
      <c r="CG1412" s="2867"/>
      <c r="CH1412" s="2867"/>
      <c r="CI1412" s="2867"/>
      <c r="CJ1412" s="2867"/>
      <c r="CK1412" s="2867"/>
      <c r="CL1412" s="2867"/>
      <c r="CM1412" s="2867"/>
      <c r="CN1412" s="2867"/>
      <c r="CO1412" s="2867"/>
      <c r="CP1412" s="2867"/>
      <c r="CQ1412" s="2867"/>
      <c r="CR1412" s="2867"/>
      <c r="CS1412" s="2867"/>
      <c r="CT1412" s="2867"/>
      <c r="CU1412" s="2867"/>
      <c r="CV1412" s="2867"/>
      <c r="CW1412" s="2867"/>
    </row>
    <row r="1413" spans="1:101">
      <c r="A1413" s="2867"/>
      <c r="B1413" s="2867"/>
      <c r="C1413" s="2867"/>
      <c r="D1413" s="2867"/>
      <c r="E1413" s="2867"/>
      <c r="F1413" s="2867"/>
      <c r="G1413" s="2867"/>
      <c r="H1413" s="2867"/>
      <c r="I1413" s="2867"/>
      <c r="J1413" s="2867"/>
      <c r="K1413" s="2867"/>
      <c r="L1413" s="2867"/>
      <c r="M1413" s="2867"/>
      <c r="O1413" s="2867"/>
      <c r="P1413" s="2867"/>
      <c r="Q1413" s="2867"/>
      <c r="R1413" s="2867"/>
      <c r="S1413" s="2867"/>
      <c r="T1413" s="2867"/>
      <c r="U1413" s="2867"/>
      <c r="V1413" s="2867"/>
      <c r="W1413" s="2867"/>
      <c r="X1413" s="2867"/>
      <c r="Y1413" s="2867"/>
      <c r="Z1413" s="2867"/>
      <c r="AA1413" s="2867"/>
      <c r="AB1413" s="2867"/>
      <c r="AC1413" s="2867"/>
      <c r="AD1413" s="2867"/>
      <c r="AE1413" s="2867"/>
      <c r="AF1413" s="2867"/>
      <c r="AG1413" s="2867"/>
      <c r="AH1413" s="2867"/>
      <c r="AI1413" s="2867"/>
      <c r="AJ1413" s="2867"/>
      <c r="AK1413" s="2867"/>
      <c r="AL1413" s="2867"/>
      <c r="AM1413" s="2867"/>
      <c r="AN1413" s="2867"/>
      <c r="AO1413" s="2867"/>
      <c r="AP1413" s="2867"/>
      <c r="AQ1413" s="2867"/>
      <c r="AR1413" s="2867"/>
      <c r="AS1413" s="2867"/>
      <c r="AT1413" s="2867"/>
      <c r="AU1413" s="2867"/>
      <c r="AV1413" s="2867"/>
      <c r="AW1413" s="2867"/>
      <c r="AX1413" s="2867"/>
      <c r="AY1413" s="2867"/>
      <c r="AZ1413" s="2867"/>
      <c r="BA1413" s="2867"/>
      <c r="BB1413" s="2867"/>
      <c r="BC1413" s="2867"/>
      <c r="BD1413" s="2867"/>
      <c r="BE1413" s="2867"/>
      <c r="BF1413" s="2867"/>
      <c r="BG1413" s="2867"/>
      <c r="BH1413" s="2867"/>
      <c r="BI1413" s="2867"/>
      <c r="BJ1413" s="2867"/>
      <c r="BK1413" s="2867"/>
      <c r="BL1413" s="2867"/>
      <c r="BM1413" s="2867"/>
      <c r="BN1413" s="2867"/>
      <c r="BO1413" s="2867"/>
      <c r="BP1413" s="2867"/>
      <c r="BQ1413" s="2867"/>
      <c r="BR1413" s="2867"/>
      <c r="BS1413" s="2867"/>
      <c r="BT1413" s="2867"/>
      <c r="BU1413" s="2867"/>
      <c r="BV1413" s="2867"/>
      <c r="BW1413" s="2867"/>
      <c r="BX1413" s="2867"/>
      <c r="BY1413" s="2867"/>
      <c r="BZ1413" s="2867"/>
      <c r="CA1413" s="2867"/>
      <c r="CB1413" s="2867"/>
      <c r="CC1413" s="2867"/>
      <c r="CD1413" s="2867"/>
      <c r="CE1413" s="2867"/>
      <c r="CF1413" s="2867"/>
      <c r="CG1413" s="2867"/>
      <c r="CH1413" s="2867"/>
      <c r="CI1413" s="2867"/>
      <c r="CJ1413" s="2867"/>
      <c r="CK1413" s="2867"/>
      <c r="CL1413" s="2867"/>
      <c r="CM1413" s="2867"/>
      <c r="CN1413" s="2867"/>
      <c r="CO1413" s="2867"/>
      <c r="CP1413" s="2867"/>
      <c r="CQ1413" s="2867"/>
      <c r="CR1413" s="2867"/>
      <c r="CS1413" s="2867"/>
      <c r="CT1413" s="2867"/>
      <c r="CU1413" s="2867"/>
      <c r="CV1413" s="2867"/>
      <c r="CW1413" s="2867"/>
    </row>
    <row r="1414" spans="1:101">
      <c r="A1414" s="2867"/>
      <c r="B1414" s="2867"/>
      <c r="C1414" s="2867"/>
      <c r="D1414" s="2867"/>
      <c r="E1414" s="2867"/>
      <c r="F1414" s="2867"/>
      <c r="G1414" s="2867"/>
      <c r="H1414" s="2867"/>
      <c r="I1414" s="2867"/>
      <c r="J1414" s="2867"/>
      <c r="K1414" s="2867"/>
      <c r="L1414" s="2867"/>
      <c r="M1414" s="2867"/>
      <c r="O1414" s="2867"/>
      <c r="P1414" s="2867"/>
      <c r="Q1414" s="2867"/>
      <c r="R1414" s="2867"/>
      <c r="S1414" s="2867"/>
      <c r="T1414" s="2867"/>
      <c r="U1414" s="2867"/>
      <c r="V1414" s="2867"/>
      <c r="W1414" s="2867"/>
      <c r="X1414" s="2867"/>
      <c r="Y1414" s="2867"/>
      <c r="Z1414" s="2867"/>
      <c r="AA1414" s="2867"/>
      <c r="AB1414" s="2867"/>
      <c r="AC1414" s="2867"/>
      <c r="AD1414" s="2867"/>
      <c r="AE1414" s="2867"/>
      <c r="AF1414" s="2867"/>
      <c r="AG1414" s="2867"/>
      <c r="AH1414" s="2867"/>
      <c r="AI1414" s="2867"/>
      <c r="AJ1414" s="2867"/>
      <c r="AK1414" s="2867"/>
      <c r="AL1414" s="2867"/>
      <c r="AM1414" s="2867"/>
      <c r="AN1414" s="2867"/>
      <c r="AO1414" s="2867"/>
      <c r="AP1414" s="2867"/>
      <c r="AQ1414" s="2867"/>
      <c r="AR1414" s="2867"/>
      <c r="AS1414" s="2867"/>
      <c r="AT1414" s="2867"/>
      <c r="AU1414" s="2867"/>
      <c r="AV1414" s="2867"/>
      <c r="AW1414" s="2867"/>
      <c r="AX1414" s="2867"/>
      <c r="AY1414" s="2867"/>
      <c r="AZ1414" s="2867"/>
      <c r="BA1414" s="2867"/>
      <c r="BB1414" s="2867"/>
      <c r="BC1414" s="2867"/>
      <c r="BD1414" s="2867"/>
      <c r="BE1414" s="2867"/>
      <c r="BF1414" s="2867"/>
      <c r="BG1414" s="2867"/>
      <c r="BH1414" s="2867"/>
      <c r="BI1414" s="2867"/>
      <c r="BJ1414" s="2867"/>
      <c r="BK1414" s="2867"/>
      <c r="BL1414" s="2867"/>
      <c r="BM1414" s="2867"/>
      <c r="BN1414" s="2867"/>
      <c r="BO1414" s="2867"/>
      <c r="BP1414" s="2867"/>
      <c r="BQ1414" s="2867"/>
      <c r="BR1414" s="2867"/>
      <c r="BS1414" s="2867"/>
      <c r="BT1414" s="2867"/>
      <c r="BU1414" s="2867"/>
      <c r="BV1414" s="2867"/>
      <c r="BW1414" s="2867"/>
      <c r="BX1414" s="2867"/>
      <c r="BY1414" s="2867"/>
      <c r="BZ1414" s="2867"/>
      <c r="CA1414" s="2867"/>
      <c r="CB1414" s="2867"/>
      <c r="CC1414" s="2867"/>
      <c r="CD1414" s="2867"/>
      <c r="CE1414" s="2867"/>
      <c r="CF1414" s="2867"/>
      <c r="CG1414" s="2867"/>
      <c r="CH1414" s="2867"/>
      <c r="CI1414" s="2867"/>
      <c r="CJ1414" s="2867"/>
      <c r="CK1414" s="2867"/>
      <c r="CL1414" s="2867"/>
      <c r="CM1414" s="2867"/>
      <c r="CN1414" s="2867"/>
      <c r="CO1414" s="2867"/>
      <c r="CP1414" s="2867"/>
      <c r="CQ1414" s="2867"/>
      <c r="CR1414" s="2867"/>
      <c r="CS1414" s="2867"/>
      <c r="CT1414" s="2867"/>
      <c r="CU1414" s="2867"/>
      <c r="CV1414" s="2867"/>
      <c r="CW1414" s="2867"/>
    </row>
    <row r="1415" spans="1:101">
      <c r="A1415" s="2867"/>
      <c r="B1415" s="2867"/>
      <c r="C1415" s="2867"/>
      <c r="D1415" s="2867"/>
      <c r="E1415" s="2867"/>
      <c r="F1415" s="2867"/>
      <c r="G1415" s="2867"/>
      <c r="H1415" s="2867"/>
      <c r="I1415" s="2867"/>
      <c r="J1415" s="2867"/>
      <c r="K1415" s="2867"/>
      <c r="L1415" s="2867"/>
      <c r="M1415" s="2867"/>
      <c r="O1415" s="2867"/>
      <c r="P1415" s="2867"/>
      <c r="Q1415" s="2867"/>
      <c r="R1415" s="2867"/>
      <c r="S1415" s="2867"/>
      <c r="T1415" s="2867"/>
      <c r="U1415" s="2867"/>
      <c r="V1415" s="2867"/>
      <c r="W1415" s="2867"/>
      <c r="X1415" s="2867"/>
      <c r="Y1415" s="2867"/>
      <c r="Z1415" s="2867"/>
      <c r="AA1415" s="2867"/>
      <c r="AB1415" s="2867"/>
      <c r="AC1415" s="2867"/>
      <c r="AD1415" s="2867"/>
      <c r="AE1415" s="2867"/>
      <c r="AF1415" s="2867"/>
      <c r="AG1415" s="2867"/>
      <c r="AH1415" s="2867"/>
      <c r="AI1415" s="2867"/>
      <c r="AJ1415" s="2867"/>
      <c r="AK1415" s="2867"/>
      <c r="AL1415" s="2867"/>
      <c r="AM1415" s="2867"/>
      <c r="AN1415" s="2867"/>
      <c r="AO1415" s="2867"/>
      <c r="AP1415" s="2867"/>
      <c r="AQ1415" s="2867"/>
      <c r="AR1415" s="2867"/>
      <c r="AS1415" s="2867"/>
      <c r="AT1415" s="2867"/>
      <c r="AU1415" s="2867"/>
      <c r="AV1415" s="2867"/>
      <c r="AW1415" s="2867"/>
      <c r="AX1415" s="2867"/>
      <c r="AY1415" s="2867"/>
      <c r="AZ1415" s="2867"/>
      <c r="BA1415" s="2867"/>
      <c r="BB1415" s="2867"/>
      <c r="BC1415" s="2867"/>
      <c r="BD1415" s="2867"/>
      <c r="BE1415" s="2867"/>
      <c r="BF1415" s="2867"/>
      <c r="BG1415" s="2867"/>
      <c r="BH1415" s="2867"/>
      <c r="BI1415" s="2867"/>
      <c r="BJ1415" s="2867"/>
      <c r="BK1415" s="2867"/>
      <c r="BL1415" s="2867"/>
      <c r="BM1415" s="2867"/>
      <c r="BN1415" s="2867"/>
      <c r="BO1415" s="2867"/>
      <c r="BP1415" s="2867"/>
      <c r="BQ1415" s="2867"/>
      <c r="BR1415" s="2867"/>
      <c r="BS1415" s="2867"/>
      <c r="BT1415" s="2867"/>
      <c r="BU1415" s="2867"/>
      <c r="BV1415" s="2867"/>
      <c r="BW1415" s="2867"/>
      <c r="BX1415" s="2867"/>
      <c r="BY1415" s="2867"/>
      <c r="BZ1415" s="2867"/>
      <c r="CA1415" s="2867"/>
      <c r="CB1415" s="2867"/>
      <c r="CC1415" s="2867"/>
      <c r="CD1415" s="2867"/>
      <c r="CE1415" s="2867"/>
      <c r="CF1415" s="2867"/>
      <c r="CG1415" s="2867"/>
      <c r="CH1415" s="2867"/>
      <c r="CI1415" s="2867"/>
      <c r="CJ1415" s="2867"/>
      <c r="CK1415" s="2867"/>
      <c r="CL1415" s="2867"/>
      <c r="CM1415" s="2867"/>
      <c r="CN1415" s="2867"/>
      <c r="CO1415" s="2867"/>
      <c r="CP1415" s="2867"/>
      <c r="CQ1415" s="2867"/>
      <c r="CR1415" s="2867"/>
      <c r="CS1415" s="2867"/>
      <c r="CT1415" s="2867"/>
      <c r="CU1415" s="2867"/>
      <c r="CV1415" s="2867"/>
      <c r="CW1415" s="2867"/>
    </row>
    <row r="1416" spans="1:101">
      <c r="A1416" s="2867"/>
      <c r="B1416" s="2867"/>
      <c r="C1416" s="2867"/>
      <c r="D1416" s="2867"/>
      <c r="E1416" s="2867"/>
      <c r="F1416" s="2867"/>
      <c r="G1416" s="2867"/>
      <c r="H1416" s="2867"/>
      <c r="I1416" s="2867"/>
      <c r="J1416" s="2867"/>
      <c r="K1416" s="2867"/>
      <c r="L1416" s="2867"/>
      <c r="M1416" s="2867"/>
      <c r="O1416" s="2867"/>
      <c r="P1416" s="2867"/>
      <c r="Q1416" s="2867"/>
      <c r="R1416" s="2867"/>
      <c r="S1416" s="2867"/>
      <c r="T1416" s="2867"/>
      <c r="U1416" s="2867"/>
      <c r="V1416" s="2867"/>
      <c r="W1416" s="2867"/>
      <c r="X1416" s="2867"/>
      <c r="Y1416" s="2867"/>
      <c r="Z1416" s="2867"/>
      <c r="AA1416" s="2867"/>
      <c r="AB1416" s="2867"/>
      <c r="AC1416" s="2867"/>
      <c r="AD1416" s="2867"/>
      <c r="AE1416" s="2867"/>
      <c r="AF1416" s="2867"/>
      <c r="AG1416" s="2867"/>
      <c r="AH1416" s="2867"/>
      <c r="AI1416" s="2867"/>
      <c r="AJ1416" s="2867"/>
      <c r="AK1416" s="2867"/>
      <c r="AL1416" s="2867"/>
      <c r="AM1416" s="2867"/>
      <c r="AN1416" s="2867"/>
      <c r="AO1416" s="2867"/>
      <c r="AP1416" s="2867"/>
      <c r="AQ1416" s="2867"/>
      <c r="AR1416" s="2867"/>
      <c r="AS1416" s="2867"/>
      <c r="AT1416" s="2867"/>
      <c r="AU1416" s="2867"/>
      <c r="AV1416" s="2867"/>
      <c r="AW1416" s="2867"/>
      <c r="AX1416" s="2867"/>
      <c r="AY1416" s="2867"/>
      <c r="AZ1416" s="2867"/>
      <c r="BA1416" s="2867"/>
      <c r="BB1416" s="2867"/>
      <c r="BC1416" s="2867"/>
      <c r="BD1416" s="2867"/>
      <c r="BE1416" s="2867"/>
      <c r="BF1416" s="2867"/>
      <c r="BG1416" s="2867"/>
      <c r="BH1416" s="2867"/>
      <c r="BI1416" s="2867"/>
      <c r="BJ1416" s="2867"/>
      <c r="BK1416" s="2867"/>
      <c r="BL1416" s="2867"/>
      <c r="BM1416" s="2867"/>
      <c r="BN1416" s="2867"/>
      <c r="BO1416" s="2867"/>
      <c r="BP1416" s="2867"/>
      <c r="BQ1416" s="2867"/>
      <c r="BR1416" s="2867"/>
      <c r="BS1416" s="2867"/>
      <c r="BT1416" s="2867"/>
      <c r="BU1416" s="2867"/>
      <c r="BV1416" s="2867"/>
      <c r="BW1416" s="2867"/>
      <c r="BX1416" s="2867"/>
      <c r="BY1416" s="2867"/>
      <c r="BZ1416" s="2867"/>
      <c r="CA1416" s="2867"/>
      <c r="CB1416" s="2867"/>
      <c r="CC1416" s="2867"/>
      <c r="CD1416" s="2867"/>
      <c r="CE1416" s="2867"/>
      <c r="CF1416" s="2867"/>
      <c r="CG1416" s="2867"/>
      <c r="CH1416" s="2867"/>
      <c r="CI1416" s="2867"/>
      <c r="CJ1416" s="2867"/>
      <c r="CK1416" s="2867"/>
      <c r="CL1416" s="2867"/>
      <c r="CM1416" s="2867"/>
      <c r="CN1416" s="2867"/>
      <c r="CO1416" s="2867"/>
      <c r="CP1416" s="2867"/>
      <c r="CQ1416" s="2867"/>
      <c r="CR1416" s="2867"/>
      <c r="CS1416" s="2867"/>
      <c r="CT1416" s="2867"/>
      <c r="CU1416" s="2867"/>
      <c r="CV1416" s="2867"/>
      <c r="CW1416" s="2867"/>
    </row>
    <row r="1417" spans="1:101">
      <c r="A1417" s="2867"/>
      <c r="B1417" s="2867"/>
      <c r="C1417" s="2867"/>
      <c r="D1417" s="2867"/>
      <c r="E1417" s="2867"/>
      <c r="F1417" s="2867"/>
      <c r="G1417" s="2867"/>
      <c r="H1417" s="2867"/>
      <c r="I1417" s="2867"/>
      <c r="J1417" s="2867"/>
      <c r="K1417" s="2867"/>
      <c r="L1417" s="2867"/>
      <c r="M1417" s="2867"/>
      <c r="O1417" s="2867"/>
      <c r="P1417" s="2867"/>
      <c r="Q1417" s="2867"/>
      <c r="R1417" s="2867"/>
      <c r="S1417" s="2867"/>
      <c r="T1417" s="2867"/>
      <c r="U1417" s="2867"/>
      <c r="V1417" s="2867"/>
      <c r="W1417" s="2867"/>
      <c r="X1417" s="2867"/>
      <c r="Y1417" s="2867"/>
      <c r="Z1417" s="2867"/>
      <c r="AA1417" s="2867"/>
      <c r="AB1417" s="2867"/>
      <c r="AC1417" s="2867"/>
      <c r="AD1417" s="2867"/>
      <c r="AE1417" s="2867"/>
      <c r="AF1417" s="2867"/>
      <c r="AG1417" s="2867"/>
      <c r="AH1417" s="2867"/>
      <c r="AI1417" s="2867"/>
      <c r="AJ1417" s="2867"/>
      <c r="AK1417" s="2867"/>
      <c r="AL1417" s="2867"/>
      <c r="AM1417" s="2867"/>
      <c r="AN1417" s="2867"/>
      <c r="AO1417" s="2867"/>
      <c r="AP1417" s="2867"/>
      <c r="AQ1417" s="2867"/>
      <c r="AR1417" s="2867"/>
      <c r="AS1417" s="2867"/>
      <c r="AT1417" s="2867"/>
      <c r="AU1417" s="2867"/>
      <c r="AV1417" s="2867"/>
      <c r="AW1417" s="2867"/>
      <c r="AX1417" s="2867"/>
      <c r="AY1417" s="2867"/>
      <c r="AZ1417" s="2867"/>
      <c r="BA1417" s="2867"/>
      <c r="BB1417" s="2867"/>
      <c r="BC1417" s="2867"/>
      <c r="BD1417" s="2867"/>
      <c r="BE1417" s="2867"/>
      <c r="BF1417" s="2867"/>
      <c r="BG1417" s="2867"/>
      <c r="BH1417" s="2867"/>
      <c r="BI1417" s="2867"/>
      <c r="BJ1417" s="2867"/>
      <c r="BK1417" s="2867"/>
      <c r="BL1417" s="2867"/>
      <c r="BM1417" s="2867"/>
      <c r="BN1417" s="2867"/>
      <c r="BO1417" s="2867"/>
      <c r="BP1417" s="2867"/>
      <c r="BQ1417" s="2867"/>
      <c r="BR1417" s="2867"/>
      <c r="BS1417" s="2867"/>
      <c r="BT1417" s="2867"/>
      <c r="BU1417" s="2867"/>
      <c r="BV1417" s="2867"/>
      <c r="BW1417" s="2867"/>
      <c r="BX1417" s="2867"/>
      <c r="BY1417" s="2867"/>
      <c r="BZ1417" s="2867"/>
      <c r="CA1417" s="2867"/>
      <c r="CB1417" s="2867"/>
      <c r="CC1417" s="2867"/>
      <c r="CD1417" s="2867"/>
      <c r="CE1417" s="2867"/>
      <c r="CF1417" s="2867"/>
      <c r="CG1417" s="2867"/>
      <c r="CH1417" s="2867"/>
      <c r="CI1417" s="2867"/>
      <c r="CJ1417" s="2867"/>
      <c r="CK1417" s="2867"/>
      <c r="CL1417" s="2867"/>
      <c r="CM1417" s="2867"/>
      <c r="CN1417" s="2867"/>
      <c r="CO1417" s="2867"/>
      <c r="CP1417" s="2867"/>
      <c r="CQ1417" s="2867"/>
      <c r="CR1417" s="2867"/>
      <c r="CS1417" s="2867"/>
      <c r="CT1417" s="2867"/>
      <c r="CU1417" s="2867"/>
      <c r="CV1417" s="2867"/>
      <c r="CW1417" s="2867"/>
    </row>
    <row r="1418" spans="1:101">
      <c r="A1418" s="2867"/>
      <c r="B1418" s="2867"/>
      <c r="C1418" s="2867"/>
      <c r="D1418" s="2867"/>
      <c r="E1418" s="2867"/>
      <c r="F1418" s="2867"/>
      <c r="G1418" s="2867"/>
      <c r="H1418" s="2867"/>
      <c r="I1418" s="2867"/>
      <c r="J1418" s="2867"/>
      <c r="K1418" s="2867"/>
      <c r="L1418" s="2867"/>
      <c r="M1418" s="2867"/>
      <c r="O1418" s="2867"/>
      <c r="P1418" s="2867"/>
      <c r="Q1418" s="2867"/>
      <c r="R1418" s="2867"/>
      <c r="S1418" s="2867"/>
      <c r="T1418" s="2867"/>
      <c r="U1418" s="2867"/>
      <c r="V1418" s="2867"/>
      <c r="W1418" s="2867"/>
      <c r="X1418" s="2867"/>
      <c r="Y1418" s="2867"/>
      <c r="Z1418" s="2867"/>
      <c r="AA1418" s="2867"/>
      <c r="AB1418" s="2867"/>
      <c r="AC1418" s="2867"/>
      <c r="AD1418" s="2867"/>
      <c r="AE1418" s="2867"/>
      <c r="AF1418" s="2867"/>
      <c r="AG1418" s="2867"/>
      <c r="AH1418" s="2867"/>
      <c r="AI1418" s="2867"/>
      <c r="AJ1418" s="2867"/>
      <c r="AK1418" s="2867"/>
      <c r="AL1418" s="2867"/>
      <c r="AM1418" s="2867"/>
      <c r="AN1418" s="2867"/>
      <c r="AO1418" s="2867"/>
      <c r="AP1418" s="2867"/>
      <c r="AQ1418" s="2867"/>
      <c r="AR1418" s="2867"/>
      <c r="AS1418" s="2867"/>
      <c r="AT1418" s="2867"/>
      <c r="AU1418" s="2867"/>
      <c r="AV1418" s="2867"/>
      <c r="AW1418" s="2867"/>
      <c r="AX1418" s="2867"/>
      <c r="AY1418" s="2867"/>
      <c r="AZ1418" s="2867"/>
      <c r="BA1418" s="2867"/>
      <c r="BB1418" s="2867"/>
      <c r="BC1418" s="2867"/>
      <c r="BD1418" s="2867"/>
      <c r="BE1418" s="2867"/>
      <c r="BF1418" s="2867"/>
      <c r="BG1418" s="2867"/>
      <c r="BH1418" s="2867"/>
      <c r="BI1418" s="2867"/>
      <c r="BJ1418" s="2867"/>
      <c r="BK1418" s="2867"/>
      <c r="BL1418" s="2867"/>
      <c r="BM1418" s="2867"/>
      <c r="BN1418" s="2867"/>
      <c r="BO1418" s="2867"/>
      <c r="BP1418" s="2867"/>
      <c r="BQ1418" s="2867"/>
      <c r="BR1418" s="2867"/>
      <c r="BS1418" s="2867"/>
      <c r="BT1418" s="2867"/>
      <c r="BU1418" s="2867"/>
      <c r="BV1418" s="2867"/>
      <c r="BW1418" s="2867"/>
      <c r="BX1418" s="2867"/>
      <c r="BY1418" s="2867"/>
      <c r="BZ1418" s="2867"/>
      <c r="CA1418" s="2867"/>
      <c r="CB1418" s="2867"/>
      <c r="CC1418" s="2867"/>
      <c r="CD1418" s="2867"/>
      <c r="CE1418" s="2867"/>
      <c r="CF1418" s="2867"/>
      <c r="CG1418" s="2867"/>
      <c r="CH1418" s="2867"/>
      <c r="CI1418" s="2867"/>
      <c r="CJ1418" s="2867"/>
      <c r="CK1418" s="2867"/>
      <c r="CL1418" s="2867"/>
      <c r="CM1418" s="2867"/>
      <c r="CN1418" s="2867"/>
      <c r="CO1418" s="2867"/>
      <c r="CP1418" s="2867"/>
      <c r="CQ1418" s="2867"/>
      <c r="CR1418" s="2867"/>
      <c r="CS1418" s="2867"/>
      <c r="CT1418" s="2867"/>
      <c r="CU1418" s="2867"/>
      <c r="CV1418" s="2867"/>
      <c r="CW1418" s="2867"/>
    </row>
    <row r="1419" spans="1:101">
      <c r="A1419" s="2867"/>
      <c r="B1419" s="2867"/>
      <c r="C1419" s="2867"/>
      <c r="D1419" s="2867"/>
      <c r="E1419" s="2867"/>
      <c r="F1419" s="2867"/>
      <c r="G1419" s="2867"/>
      <c r="H1419" s="2867"/>
      <c r="I1419" s="2867"/>
      <c r="J1419" s="2867"/>
      <c r="K1419" s="2867"/>
      <c r="L1419" s="2867"/>
      <c r="M1419" s="2867"/>
      <c r="O1419" s="2867"/>
      <c r="P1419" s="2867"/>
      <c r="Q1419" s="2867"/>
      <c r="R1419" s="2867"/>
      <c r="S1419" s="2867"/>
      <c r="T1419" s="2867"/>
      <c r="U1419" s="2867"/>
      <c r="V1419" s="2867"/>
      <c r="W1419" s="2867"/>
      <c r="X1419" s="2867"/>
      <c r="Y1419" s="2867"/>
      <c r="Z1419" s="2867"/>
      <c r="AA1419" s="2867"/>
      <c r="AB1419" s="2867"/>
      <c r="AC1419" s="2867"/>
      <c r="AD1419" s="2867"/>
      <c r="AE1419" s="2867"/>
      <c r="AF1419" s="2867"/>
      <c r="AG1419" s="2867"/>
      <c r="AH1419" s="2867"/>
      <c r="AI1419" s="2867"/>
      <c r="AJ1419" s="2867"/>
      <c r="AK1419" s="2867"/>
      <c r="AL1419" s="2867"/>
      <c r="AM1419" s="2867"/>
      <c r="AN1419" s="2867"/>
      <c r="AO1419" s="2867"/>
      <c r="AP1419" s="2867"/>
      <c r="AQ1419" s="2867"/>
      <c r="AR1419" s="2867"/>
      <c r="AS1419" s="2867"/>
      <c r="AT1419" s="2867"/>
      <c r="AU1419" s="2867"/>
      <c r="AV1419" s="2867"/>
      <c r="AW1419" s="2867"/>
      <c r="AX1419" s="2867"/>
      <c r="AY1419" s="2867"/>
      <c r="AZ1419" s="2867"/>
      <c r="BA1419" s="2867"/>
      <c r="BB1419" s="2867"/>
      <c r="BC1419" s="2867"/>
      <c r="BD1419" s="2867"/>
      <c r="BE1419" s="2867"/>
      <c r="BF1419" s="2867"/>
      <c r="BG1419" s="2867"/>
      <c r="BH1419" s="2867"/>
      <c r="BI1419" s="2867"/>
      <c r="BJ1419" s="2867"/>
      <c r="BK1419" s="2867"/>
      <c r="BL1419" s="2867"/>
      <c r="BM1419" s="2867"/>
      <c r="BN1419" s="2867"/>
      <c r="BO1419" s="2867"/>
      <c r="BP1419" s="2867"/>
      <c r="BQ1419" s="2867"/>
      <c r="BR1419" s="2867"/>
      <c r="BS1419" s="2867"/>
      <c r="BT1419" s="2867"/>
      <c r="BU1419" s="2867"/>
      <c r="BV1419" s="2867"/>
      <c r="BW1419" s="2867"/>
      <c r="BX1419" s="2867"/>
      <c r="BY1419" s="2867"/>
      <c r="BZ1419" s="2867"/>
      <c r="CA1419" s="2867"/>
      <c r="CB1419" s="2867"/>
      <c r="CC1419" s="2867"/>
      <c r="CD1419" s="2867"/>
      <c r="CE1419" s="2867"/>
      <c r="CF1419" s="2867"/>
      <c r="CG1419" s="2867"/>
      <c r="CH1419" s="2867"/>
      <c r="CI1419" s="2867"/>
      <c r="CJ1419" s="2867"/>
      <c r="CK1419" s="2867"/>
      <c r="CL1419" s="2867"/>
      <c r="CM1419" s="2867"/>
      <c r="CN1419" s="2867"/>
      <c r="CO1419" s="2867"/>
      <c r="CP1419" s="2867"/>
      <c r="CQ1419" s="2867"/>
      <c r="CR1419" s="2867"/>
      <c r="CS1419" s="2867"/>
      <c r="CT1419" s="2867"/>
      <c r="CU1419" s="2867"/>
      <c r="CV1419" s="2867"/>
      <c r="CW1419" s="2867"/>
    </row>
    <row r="1420" spans="1:101">
      <c r="A1420" s="2867"/>
      <c r="B1420" s="2867"/>
      <c r="C1420" s="2867"/>
      <c r="D1420" s="2867"/>
      <c r="E1420" s="2867"/>
      <c r="F1420" s="2867"/>
      <c r="G1420" s="2867"/>
      <c r="H1420" s="2867"/>
      <c r="I1420" s="2867"/>
      <c r="J1420" s="2867"/>
      <c r="K1420" s="2867"/>
      <c r="L1420" s="2867"/>
      <c r="M1420" s="2867"/>
      <c r="O1420" s="2867"/>
      <c r="P1420" s="2867"/>
      <c r="Q1420" s="2867"/>
      <c r="R1420" s="2867"/>
      <c r="S1420" s="2867"/>
      <c r="T1420" s="2867"/>
      <c r="U1420" s="2867"/>
      <c r="V1420" s="2867"/>
      <c r="W1420" s="2867"/>
      <c r="X1420" s="2867"/>
      <c r="Y1420" s="2867"/>
      <c r="Z1420" s="2867"/>
      <c r="AA1420" s="2867"/>
      <c r="AB1420" s="2867"/>
      <c r="AC1420" s="2867"/>
      <c r="AD1420" s="2867"/>
      <c r="AE1420" s="2867"/>
      <c r="AF1420" s="2867"/>
      <c r="AG1420" s="2867"/>
      <c r="AH1420" s="2867"/>
      <c r="AI1420" s="2867"/>
      <c r="AJ1420" s="2867"/>
      <c r="AK1420" s="2867"/>
      <c r="AL1420" s="2867"/>
      <c r="AM1420" s="2867"/>
      <c r="AN1420" s="2867"/>
      <c r="AO1420" s="2867"/>
      <c r="AP1420" s="2867"/>
      <c r="AQ1420" s="2867"/>
      <c r="AR1420" s="2867"/>
      <c r="AS1420" s="2867"/>
      <c r="AT1420" s="2867"/>
      <c r="AU1420" s="2867"/>
      <c r="AV1420" s="2867"/>
      <c r="AW1420" s="2867"/>
      <c r="AX1420" s="2867"/>
      <c r="AY1420" s="2867"/>
      <c r="AZ1420" s="2867"/>
      <c r="BA1420" s="2867"/>
      <c r="BB1420" s="2867"/>
      <c r="BC1420" s="2867"/>
      <c r="BD1420" s="2867"/>
      <c r="BE1420" s="2867"/>
      <c r="BF1420" s="2867"/>
      <c r="BG1420" s="2867"/>
      <c r="BH1420" s="2867"/>
      <c r="BI1420" s="2867"/>
      <c r="BJ1420" s="2867"/>
      <c r="BK1420" s="2867"/>
      <c r="BL1420" s="2867"/>
      <c r="BM1420" s="2867"/>
      <c r="BN1420" s="2867"/>
      <c r="BO1420" s="2867"/>
      <c r="BP1420" s="2867"/>
      <c r="BQ1420" s="2867"/>
      <c r="BR1420" s="2867"/>
      <c r="BS1420" s="2867"/>
      <c r="BT1420" s="2867"/>
      <c r="BU1420" s="2867"/>
      <c r="BV1420" s="2867"/>
      <c r="BW1420" s="2867"/>
      <c r="BX1420" s="2867"/>
      <c r="BY1420" s="2867"/>
      <c r="BZ1420" s="2867"/>
      <c r="CA1420" s="2867"/>
      <c r="CB1420" s="2867"/>
      <c r="CC1420" s="2867"/>
      <c r="CD1420" s="2867"/>
      <c r="CE1420" s="2867"/>
      <c r="CF1420" s="2867"/>
      <c r="CG1420" s="2867"/>
      <c r="CH1420" s="2867"/>
      <c r="CI1420" s="2867"/>
      <c r="CJ1420" s="2867"/>
      <c r="CK1420" s="2867"/>
      <c r="CL1420" s="2867"/>
      <c r="CM1420" s="2867"/>
      <c r="CN1420" s="2867"/>
      <c r="CO1420" s="2867"/>
      <c r="CP1420" s="2867"/>
      <c r="CQ1420" s="2867"/>
      <c r="CR1420" s="2867"/>
      <c r="CS1420" s="2867"/>
      <c r="CT1420" s="2867"/>
      <c r="CU1420" s="2867"/>
      <c r="CV1420" s="2867"/>
      <c r="CW1420" s="2867"/>
    </row>
    <row r="1421" spans="1:101">
      <c r="A1421" s="2867"/>
      <c r="B1421" s="2867"/>
      <c r="C1421" s="2867"/>
      <c r="D1421" s="2867"/>
      <c r="E1421" s="2867"/>
      <c r="F1421" s="2867"/>
      <c r="G1421" s="2867"/>
      <c r="H1421" s="2867"/>
      <c r="I1421" s="2867"/>
      <c r="J1421" s="2867"/>
      <c r="K1421" s="2867"/>
      <c r="L1421" s="2867"/>
      <c r="M1421" s="2867"/>
      <c r="O1421" s="2867"/>
      <c r="P1421" s="2867"/>
      <c r="Q1421" s="2867"/>
      <c r="R1421" s="2867"/>
      <c r="S1421" s="2867"/>
      <c r="T1421" s="2867"/>
      <c r="U1421" s="2867"/>
      <c r="V1421" s="2867"/>
      <c r="W1421" s="2867"/>
      <c r="X1421" s="2867"/>
      <c r="Y1421" s="2867"/>
      <c r="Z1421" s="2867"/>
      <c r="AA1421" s="2867"/>
      <c r="AB1421" s="2867"/>
      <c r="AC1421" s="2867"/>
      <c r="AD1421" s="2867"/>
      <c r="AE1421" s="2867"/>
      <c r="AF1421" s="2867"/>
      <c r="AG1421" s="2867"/>
      <c r="AH1421" s="2867"/>
      <c r="AI1421" s="2867"/>
      <c r="AJ1421" s="2867"/>
      <c r="AK1421" s="2867"/>
      <c r="AL1421" s="2867"/>
      <c r="AM1421" s="2867"/>
      <c r="AN1421" s="2867"/>
      <c r="AO1421" s="2867"/>
      <c r="AP1421" s="2867"/>
      <c r="AQ1421" s="2867"/>
      <c r="AR1421" s="2867"/>
      <c r="AS1421" s="2867"/>
      <c r="AT1421" s="2867"/>
      <c r="AU1421" s="2867"/>
      <c r="AV1421" s="2867"/>
      <c r="AW1421" s="2867"/>
      <c r="AX1421" s="2867"/>
      <c r="AY1421" s="2867"/>
      <c r="AZ1421" s="2867"/>
      <c r="BA1421" s="2867"/>
      <c r="BB1421" s="2867"/>
      <c r="BC1421" s="2867"/>
      <c r="BD1421" s="2867"/>
      <c r="BE1421" s="2867"/>
      <c r="BF1421" s="2867"/>
      <c r="BG1421" s="2867"/>
      <c r="BH1421" s="2867"/>
      <c r="BI1421" s="2867"/>
      <c r="BJ1421" s="2867"/>
      <c r="BK1421" s="2867"/>
      <c r="BL1421" s="2867"/>
      <c r="BM1421" s="2867"/>
      <c r="BN1421" s="2867"/>
      <c r="BO1421" s="2867"/>
      <c r="BP1421" s="2867"/>
      <c r="BQ1421" s="2867"/>
      <c r="BR1421" s="2867"/>
      <c r="BS1421" s="2867"/>
      <c r="BT1421" s="2867"/>
      <c r="BU1421" s="2867"/>
      <c r="BV1421" s="2867"/>
      <c r="BW1421" s="2867"/>
      <c r="BX1421" s="2867"/>
      <c r="BY1421" s="2867"/>
      <c r="BZ1421" s="2867"/>
      <c r="CA1421" s="2867"/>
      <c r="CB1421" s="2867"/>
      <c r="CC1421" s="2867"/>
      <c r="CD1421" s="2867"/>
      <c r="CE1421" s="2867"/>
      <c r="CF1421" s="2867"/>
      <c r="CG1421" s="2867"/>
      <c r="CH1421" s="2867"/>
      <c r="CI1421" s="2867"/>
      <c r="CJ1421" s="2867"/>
      <c r="CK1421" s="2867"/>
      <c r="CL1421" s="2867"/>
      <c r="CM1421" s="2867"/>
      <c r="CN1421" s="2867"/>
      <c r="CO1421" s="2867"/>
      <c r="CP1421" s="2867"/>
      <c r="CQ1421" s="2867"/>
      <c r="CR1421" s="2867"/>
      <c r="CS1421" s="2867"/>
      <c r="CT1421" s="2867"/>
      <c r="CU1421" s="2867"/>
      <c r="CV1421" s="2867"/>
      <c r="CW1421" s="2867"/>
    </row>
    <row r="1422" spans="1:101">
      <c r="A1422" s="2867"/>
      <c r="B1422" s="2867"/>
      <c r="C1422" s="2867"/>
      <c r="D1422" s="2867"/>
      <c r="E1422" s="2867"/>
      <c r="F1422" s="2867"/>
      <c r="G1422" s="2867"/>
      <c r="H1422" s="2867"/>
      <c r="I1422" s="2867"/>
      <c r="J1422" s="2867"/>
      <c r="K1422" s="2867"/>
      <c r="L1422" s="2867"/>
      <c r="M1422" s="2867"/>
      <c r="O1422" s="2867"/>
      <c r="P1422" s="2867"/>
      <c r="Q1422" s="2867"/>
      <c r="R1422" s="2867"/>
      <c r="S1422" s="2867"/>
      <c r="T1422" s="2867"/>
      <c r="U1422" s="2867"/>
      <c r="V1422" s="2867"/>
      <c r="W1422" s="2867"/>
      <c r="X1422" s="2867"/>
      <c r="Y1422" s="2867"/>
      <c r="Z1422" s="2867"/>
      <c r="AA1422" s="2867"/>
      <c r="AB1422" s="2867"/>
      <c r="AC1422" s="2867"/>
      <c r="AD1422" s="2867"/>
      <c r="AE1422" s="2867"/>
      <c r="AF1422" s="2867"/>
      <c r="AG1422" s="2867"/>
      <c r="AH1422" s="2867"/>
      <c r="AI1422" s="2867"/>
      <c r="AJ1422" s="2867"/>
      <c r="AK1422" s="2867"/>
      <c r="AL1422" s="2867"/>
      <c r="AM1422" s="2867"/>
      <c r="AN1422" s="2867"/>
      <c r="AO1422" s="2867"/>
      <c r="AP1422" s="2867"/>
      <c r="AQ1422" s="2867"/>
      <c r="AR1422" s="2867"/>
      <c r="AS1422" s="2867"/>
      <c r="AT1422" s="2867"/>
      <c r="AU1422" s="2867"/>
      <c r="AV1422" s="2867"/>
      <c r="AW1422" s="2867"/>
      <c r="AX1422" s="2867"/>
      <c r="AY1422" s="2867"/>
      <c r="AZ1422" s="2867"/>
      <c r="BA1422" s="2867"/>
      <c r="BB1422" s="2867"/>
      <c r="BC1422" s="2867"/>
      <c r="BD1422" s="2867"/>
      <c r="BE1422" s="2867"/>
      <c r="BF1422" s="2867"/>
      <c r="BG1422" s="2867"/>
      <c r="BH1422" s="2867"/>
      <c r="BI1422" s="2867"/>
      <c r="BJ1422" s="2867"/>
      <c r="BK1422" s="2867"/>
      <c r="BL1422" s="2867"/>
      <c r="BM1422" s="2867"/>
      <c r="BN1422" s="2867"/>
      <c r="BO1422" s="2867"/>
      <c r="BP1422" s="2867"/>
      <c r="BQ1422" s="2867"/>
      <c r="BR1422" s="2867"/>
      <c r="BS1422" s="2867"/>
      <c r="BT1422" s="2867"/>
      <c r="BU1422" s="2867"/>
      <c r="BV1422" s="2867"/>
      <c r="BW1422" s="2867"/>
      <c r="BX1422" s="2867"/>
      <c r="BY1422" s="2867"/>
      <c r="BZ1422" s="2867"/>
      <c r="CA1422" s="2867"/>
      <c r="CB1422" s="2867"/>
      <c r="CC1422" s="2867"/>
      <c r="CD1422" s="2867"/>
      <c r="CE1422" s="2867"/>
      <c r="CF1422" s="2867"/>
      <c r="CG1422" s="2867"/>
      <c r="CH1422" s="2867"/>
      <c r="CI1422" s="2867"/>
      <c r="CJ1422" s="2867"/>
      <c r="CK1422" s="2867"/>
      <c r="CL1422" s="2867"/>
      <c r="CM1422" s="2867"/>
      <c r="CN1422" s="2867"/>
      <c r="CO1422" s="2867"/>
      <c r="CP1422" s="2867"/>
      <c r="CQ1422" s="2867"/>
      <c r="CR1422" s="2867"/>
      <c r="CS1422" s="2867"/>
      <c r="CT1422" s="2867"/>
      <c r="CU1422" s="2867"/>
      <c r="CV1422" s="2867"/>
      <c r="CW1422" s="2867"/>
    </row>
    <row r="1423" spans="1:101">
      <c r="A1423" s="2867"/>
      <c r="B1423" s="2867"/>
      <c r="C1423" s="2867"/>
      <c r="D1423" s="2867"/>
      <c r="E1423" s="2867"/>
      <c r="F1423" s="2867"/>
      <c r="G1423" s="2867"/>
      <c r="H1423" s="2867"/>
      <c r="I1423" s="2867"/>
      <c r="J1423" s="2867"/>
      <c r="K1423" s="2867"/>
      <c r="L1423" s="2867"/>
      <c r="M1423" s="2867"/>
      <c r="O1423" s="2867"/>
      <c r="P1423" s="2867"/>
      <c r="Q1423" s="2867"/>
      <c r="R1423" s="2867"/>
      <c r="S1423" s="2867"/>
      <c r="T1423" s="2867"/>
      <c r="U1423" s="2867"/>
      <c r="V1423" s="2867"/>
      <c r="W1423" s="2867"/>
      <c r="X1423" s="2867"/>
      <c r="Y1423" s="2867"/>
      <c r="Z1423" s="2867"/>
      <c r="AA1423" s="2867"/>
      <c r="AB1423" s="2867"/>
      <c r="AC1423" s="2867"/>
      <c r="AD1423" s="2867"/>
      <c r="AE1423" s="2867"/>
      <c r="AF1423" s="2867"/>
      <c r="AG1423" s="2867"/>
      <c r="AH1423" s="2867"/>
      <c r="AI1423" s="2867"/>
      <c r="AJ1423" s="2867"/>
      <c r="AK1423" s="2867"/>
      <c r="AL1423" s="2867"/>
      <c r="AM1423" s="2867"/>
      <c r="AN1423" s="2867"/>
      <c r="AO1423" s="2867"/>
      <c r="AP1423" s="2867"/>
      <c r="AQ1423" s="2867"/>
      <c r="AR1423" s="2867"/>
      <c r="AS1423" s="2867"/>
      <c r="AT1423" s="2867"/>
      <c r="AU1423" s="2867"/>
      <c r="AV1423" s="2867"/>
      <c r="AW1423" s="2867"/>
      <c r="AX1423" s="2867"/>
      <c r="AY1423" s="2867"/>
      <c r="AZ1423" s="2867"/>
      <c r="BA1423" s="2867"/>
      <c r="BB1423" s="2867"/>
      <c r="BC1423" s="2867"/>
      <c r="BD1423" s="2867"/>
      <c r="BE1423" s="2867"/>
      <c r="BF1423" s="2867"/>
      <c r="BG1423" s="2867"/>
      <c r="BH1423" s="2867"/>
      <c r="BI1423" s="2867"/>
      <c r="BJ1423" s="2867"/>
      <c r="BK1423" s="2867"/>
      <c r="BL1423" s="2867"/>
      <c r="BM1423" s="2867"/>
      <c r="BN1423" s="2867"/>
      <c r="BO1423" s="2867"/>
      <c r="BP1423" s="2867"/>
      <c r="BQ1423" s="2867"/>
      <c r="BR1423" s="2867"/>
      <c r="BS1423" s="2867"/>
      <c r="BT1423" s="2867"/>
      <c r="BU1423" s="2867"/>
      <c r="BV1423" s="2867"/>
      <c r="BW1423" s="2867"/>
      <c r="BX1423" s="2867"/>
      <c r="BY1423" s="2867"/>
      <c r="BZ1423" s="2867"/>
      <c r="CA1423" s="2867"/>
      <c r="CB1423" s="2867"/>
      <c r="CC1423" s="2867"/>
      <c r="CD1423" s="2867"/>
      <c r="CE1423" s="2867"/>
      <c r="CF1423" s="2867"/>
      <c r="CG1423" s="2867"/>
      <c r="CH1423" s="2867"/>
      <c r="CI1423" s="2867"/>
      <c r="CJ1423" s="2867"/>
      <c r="CK1423" s="2867"/>
      <c r="CL1423" s="2867"/>
      <c r="CM1423" s="2867"/>
      <c r="CN1423" s="2867"/>
      <c r="CO1423" s="2867"/>
      <c r="CP1423" s="2867"/>
      <c r="CQ1423" s="2867"/>
      <c r="CR1423" s="2867"/>
      <c r="CS1423" s="2867"/>
      <c r="CT1423" s="2867"/>
      <c r="CU1423" s="2867"/>
      <c r="CV1423" s="2867"/>
      <c r="CW1423" s="2867"/>
    </row>
    <row r="1424" spans="1:101">
      <c r="A1424" s="2867"/>
      <c r="B1424" s="2867"/>
      <c r="C1424" s="2867"/>
      <c r="D1424" s="2867"/>
      <c r="E1424" s="2867"/>
      <c r="F1424" s="2867"/>
      <c r="G1424" s="2867"/>
      <c r="H1424" s="2867"/>
      <c r="I1424" s="2867"/>
      <c r="J1424" s="2867"/>
      <c r="K1424" s="2867"/>
      <c r="L1424" s="2867"/>
      <c r="M1424" s="2867"/>
      <c r="O1424" s="2867"/>
      <c r="P1424" s="2867"/>
      <c r="Q1424" s="2867"/>
      <c r="R1424" s="2867"/>
      <c r="S1424" s="2867"/>
      <c r="T1424" s="2867"/>
      <c r="U1424" s="2867"/>
      <c r="V1424" s="2867"/>
      <c r="W1424" s="2867"/>
      <c r="X1424" s="2867"/>
      <c r="Y1424" s="2867"/>
      <c r="Z1424" s="2867"/>
      <c r="AA1424" s="2867"/>
      <c r="AB1424" s="2867"/>
      <c r="AC1424" s="2867"/>
      <c r="AD1424" s="2867"/>
      <c r="AE1424" s="2867"/>
      <c r="AF1424" s="2867"/>
      <c r="AG1424" s="2867"/>
      <c r="AH1424" s="2867"/>
      <c r="AI1424" s="2867"/>
      <c r="AJ1424" s="2867"/>
      <c r="AK1424" s="2867"/>
      <c r="AL1424" s="2867"/>
      <c r="AM1424" s="2867"/>
      <c r="AN1424" s="2867"/>
      <c r="AO1424" s="2867"/>
      <c r="AP1424" s="2867"/>
      <c r="AQ1424" s="2867"/>
      <c r="AR1424" s="2867"/>
      <c r="AS1424" s="2867"/>
      <c r="AT1424" s="2867"/>
      <c r="AU1424" s="2867"/>
      <c r="AV1424" s="2867"/>
      <c r="AW1424" s="2867"/>
      <c r="AX1424" s="2867"/>
      <c r="AY1424" s="2867"/>
      <c r="AZ1424" s="2867"/>
      <c r="BA1424" s="2867"/>
      <c r="BB1424" s="2867"/>
      <c r="BC1424" s="2867"/>
      <c r="BD1424" s="2867"/>
      <c r="BE1424" s="2867"/>
      <c r="BF1424" s="2867"/>
      <c r="BG1424" s="2867"/>
      <c r="BH1424" s="2867"/>
      <c r="BI1424" s="2867"/>
      <c r="BJ1424" s="2867"/>
      <c r="BK1424" s="2867"/>
      <c r="BL1424" s="2867"/>
      <c r="BM1424" s="2867"/>
      <c r="BN1424" s="2867"/>
      <c r="BO1424" s="2867"/>
      <c r="BP1424" s="2867"/>
      <c r="BQ1424" s="2867"/>
      <c r="BR1424" s="2867"/>
      <c r="BS1424" s="2867"/>
      <c r="BT1424" s="2867"/>
      <c r="BU1424" s="2867"/>
      <c r="BV1424" s="2867"/>
      <c r="BW1424" s="2867"/>
      <c r="BX1424" s="2867"/>
      <c r="BY1424" s="2867"/>
      <c r="BZ1424" s="2867"/>
      <c r="CA1424" s="2867"/>
      <c r="CB1424" s="2867"/>
      <c r="CC1424" s="2867"/>
      <c r="CD1424" s="2867"/>
      <c r="CE1424" s="2867"/>
      <c r="CF1424" s="2867"/>
      <c r="CG1424" s="2867"/>
      <c r="CH1424" s="2867"/>
      <c r="CI1424" s="2867"/>
      <c r="CJ1424" s="2867"/>
      <c r="CK1424" s="2867"/>
      <c r="CL1424" s="2867"/>
      <c r="CM1424" s="2867"/>
      <c r="CN1424" s="2867"/>
      <c r="CO1424" s="2867"/>
      <c r="CP1424" s="2867"/>
      <c r="CQ1424" s="2867"/>
      <c r="CR1424" s="2867"/>
      <c r="CS1424" s="2867"/>
      <c r="CT1424" s="2867"/>
      <c r="CU1424" s="2867"/>
      <c r="CV1424" s="2867"/>
      <c r="CW1424" s="2867"/>
    </row>
    <row r="1425" spans="1:101">
      <c r="A1425" s="2867"/>
      <c r="B1425" s="2867"/>
      <c r="C1425" s="2867"/>
      <c r="D1425" s="2867"/>
      <c r="E1425" s="2867"/>
      <c r="F1425" s="2867"/>
      <c r="G1425" s="2867"/>
      <c r="H1425" s="2867"/>
      <c r="I1425" s="2867"/>
      <c r="J1425" s="2867"/>
      <c r="K1425" s="2867"/>
      <c r="L1425" s="2867"/>
      <c r="M1425" s="2867"/>
      <c r="O1425" s="2867"/>
      <c r="P1425" s="2867"/>
      <c r="Q1425" s="2867"/>
      <c r="R1425" s="2867"/>
      <c r="S1425" s="2867"/>
      <c r="T1425" s="2867"/>
      <c r="U1425" s="2867"/>
      <c r="V1425" s="2867"/>
      <c r="W1425" s="2867"/>
      <c r="X1425" s="2867"/>
      <c r="Y1425" s="2867"/>
      <c r="Z1425" s="2867"/>
      <c r="AA1425" s="2867"/>
      <c r="AB1425" s="2867"/>
      <c r="AC1425" s="2867"/>
      <c r="AD1425" s="2867"/>
      <c r="AE1425" s="2867"/>
      <c r="AF1425" s="2867"/>
      <c r="AG1425" s="2867"/>
      <c r="AH1425" s="2867"/>
      <c r="AI1425" s="2867"/>
      <c r="AJ1425" s="2867"/>
      <c r="AK1425" s="2867"/>
      <c r="AL1425" s="2867"/>
      <c r="AM1425" s="2867"/>
      <c r="AN1425" s="2867"/>
      <c r="AO1425" s="2867"/>
      <c r="AP1425" s="2867"/>
      <c r="AQ1425" s="2867"/>
      <c r="AR1425" s="2867"/>
      <c r="AS1425" s="2867"/>
      <c r="AT1425" s="2867"/>
      <c r="AU1425" s="2867"/>
      <c r="AV1425" s="2867"/>
      <c r="AW1425" s="2867"/>
      <c r="AX1425" s="2867"/>
      <c r="AY1425" s="2867"/>
      <c r="AZ1425" s="2867"/>
      <c r="BA1425" s="2867"/>
      <c r="BB1425" s="2867"/>
      <c r="BC1425" s="2867"/>
      <c r="BD1425" s="2867"/>
      <c r="BE1425" s="2867"/>
      <c r="BF1425" s="2867"/>
      <c r="BG1425" s="2867"/>
      <c r="BH1425" s="2867"/>
      <c r="BI1425" s="2867"/>
      <c r="BJ1425" s="2867"/>
      <c r="BK1425" s="2867"/>
      <c r="BL1425" s="2867"/>
      <c r="BM1425" s="2867"/>
      <c r="BN1425" s="2867"/>
      <c r="BO1425" s="2867"/>
      <c r="BP1425" s="2867"/>
      <c r="BQ1425" s="2867"/>
      <c r="BR1425" s="2867"/>
      <c r="BS1425" s="2867"/>
      <c r="BT1425" s="2867"/>
      <c r="BU1425" s="2867"/>
      <c r="BV1425" s="2867"/>
      <c r="BW1425" s="2867"/>
      <c r="BX1425" s="2867"/>
      <c r="BY1425" s="2867"/>
      <c r="BZ1425" s="2867"/>
      <c r="CA1425" s="2867"/>
      <c r="CB1425" s="2867"/>
      <c r="CC1425" s="2867"/>
      <c r="CD1425" s="2867"/>
      <c r="CE1425" s="2867"/>
      <c r="CF1425" s="2867"/>
      <c r="CG1425" s="2867"/>
      <c r="CH1425" s="2867"/>
      <c r="CI1425" s="2867"/>
      <c r="CJ1425" s="2867"/>
      <c r="CK1425" s="2867"/>
      <c r="CL1425" s="2867"/>
      <c r="CM1425" s="2867"/>
      <c r="CN1425" s="2867"/>
      <c r="CO1425" s="2867"/>
      <c r="CP1425" s="2867"/>
      <c r="CQ1425" s="2867"/>
      <c r="CR1425" s="2867"/>
      <c r="CS1425" s="2867"/>
      <c r="CT1425" s="2867"/>
      <c r="CU1425" s="2867"/>
      <c r="CV1425" s="2867"/>
      <c r="CW1425" s="2867"/>
    </row>
    <row r="1426" spans="1:101">
      <c r="A1426" s="2867"/>
      <c r="B1426" s="2867"/>
      <c r="C1426" s="2867"/>
      <c r="D1426" s="2867"/>
      <c r="E1426" s="2867"/>
      <c r="F1426" s="2867"/>
      <c r="G1426" s="2867"/>
      <c r="H1426" s="2867"/>
      <c r="I1426" s="2867"/>
      <c r="J1426" s="2867"/>
      <c r="K1426" s="2867"/>
      <c r="L1426" s="2867"/>
      <c r="M1426" s="2867"/>
      <c r="O1426" s="2867"/>
      <c r="P1426" s="2867"/>
      <c r="Q1426" s="2867"/>
      <c r="R1426" s="2867"/>
      <c r="S1426" s="2867"/>
      <c r="T1426" s="2867"/>
      <c r="U1426" s="2867"/>
      <c r="V1426" s="2867"/>
      <c r="W1426" s="2867"/>
      <c r="X1426" s="2867"/>
      <c r="Y1426" s="2867"/>
      <c r="Z1426" s="2867"/>
      <c r="AA1426" s="2867"/>
      <c r="AB1426" s="2867"/>
      <c r="AC1426" s="2867"/>
      <c r="AD1426" s="2867"/>
      <c r="AE1426" s="2867"/>
      <c r="AF1426" s="2867"/>
      <c r="AG1426" s="2867"/>
      <c r="AH1426" s="2867"/>
      <c r="AI1426" s="2867"/>
      <c r="AJ1426" s="2867"/>
      <c r="AK1426" s="2867"/>
      <c r="AL1426" s="2867"/>
      <c r="AM1426" s="2867"/>
      <c r="AN1426" s="2867"/>
      <c r="AO1426" s="2867"/>
      <c r="AP1426" s="2867"/>
      <c r="AQ1426" s="2867"/>
      <c r="AR1426" s="2867"/>
      <c r="AS1426" s="2867"/>
      <c r="AT1426" s="2867"/>
      <c r="AU1426" s="2867"/>
      <c r="AV1426" s="2867"/>
      <c r="AW1426" s="2867"/>
      <c r="AX1426" s="2867"/>
      <c r="AY1426" s="2867"/>
      <c r="AZ1426" s="2867"/>
      <c r="BA1426" s="2867"/>
      <c r="BB1426" s="2867"/>
      <c r="BC1426" s="2867"/>
      <c r="BD1426" s="2867"/>
      <c r="BE1426" s="2867"/>
      <c r="BF1426" s="2867"/>
      <c r="BG1426" s="2867"/>
      <c r="BH1426" s="2867"/>
      <c r="BI1426" s="2867"/>
      <c r="BJ1426" s="2867"/>
      <c r="BK1426" s="2867"/>
      <c r="BL1426" s="2867"/>
      <c r="BM1426" s="2867"/>
      <c r="BN1426" s="2867"/>
      <c r="BO1426" s="2867"/>
      <c r="BP1426" s="2867"/>
      <c r="BQ1426" s="2867"/>
      <c r="BR1426" s="2867"/>
      <c r="BS1426" s="2867"/>
      <c r="BT1426" s="2867"/>
      <c r="BU1426" s="2867"/>
      <c r="BV1426" s="2867"/>
      <c r="BW1426" s="2867"/>
      <c r="BX1426" s="2867"/>
      <c r="BY1426" s="2867"/>
      <c r="BZ1426" s="2867"/>
      <c r="CA1426" s="2867"/>
      <c r="CB1426" s="2867"/>
      <c r="CC1426" s="2867"/>
      <c r="CD1426" s="2867"/>
      <c r="CE1426" s="2867"/>
      <c r="CF1426" s="2867"/>
      <c r="CG1426" s="2867"/>
      <c r="CH1426" s="2867"/>
      <c r="CI1426" s="2867"/>
      <c r="CJ1426" s="2867"/>
      <c r="CK1426" s="2867"/>
      <c r="CL1426" s="2867"/>
      <c r="CM1426" s="2867"/>
      <c r="CN1426" s="2867"/>
      <c r="CO1426" s="2867"/>
      <c r="CP1426" s="2867"/>
      <c r="CQ1426" s="2867"/>
      <c r="CR1426" s="2867"/>
      <c r="CS1426" s="2867"/>
      <c r="CT1426" s="2867"/>
      <c r="CU1426" s="2867"/>
      <c r="CV1426" s="2867"/>
      <c r="CW1426" s="2867"/>
    </row>
    <row r="1427" spans="1:101">
      <c r="A1427" s="2867"/>
      <c r="B1427" s="2867"/>
      <c r="C1427" s="2867"/>
      <c r="D1427" s="2867"/>
      <c r="E1427" s="2867"/>
      <c r="F1427" s="2867"/>
      <c r="G1427" s="2867"/>
      <c r="H1427" s="2867"/>
      <c r="I1427" s="2867"/>
      <c r="J1427" s="2867"/>
      <c r="K1427" s="2867"/>
      <c r="L1427" s="2867"/>
      <c r="M1427" s="2867"/>
      <c r="O1427" s="2867"/>
      <c r="P1427" s="2867"/>
      <c r="Q1427" s="2867"/>
      <c r="R1427" s="2867"/>
      <c r="S1427" s="2867"/>
      <c r="T1427" s="2867"/>
      <c r="U1427" s="2867"/>
      <c r="V1427" s="2867"/>
      <c r="W1427" s="2867"/>
      <c r="X1427" s="2867"/>
      <c r="Y1427" s="2867"/>
      <c r="Z1427" s="2867"/>
      <c r="AA1427" s="2867"/>
      <c r="AB1427" s="2867"/>
      <c r="AC1427" s="2867"/>
      <c r="AD1427" s="2867"/>
      <c r="AE1427" s="2867"/>
      <c r="AF1427" s="2867"/>
      <c r="AG1427" s="2867"/>
      <c r="AH1427" s="2867"/>
      <c r="AI1427" s="2867"/>
      <c r="AJ1427" s="2867"/>
      <c r="AK1427" s="2867"/>
      <c r="AL1427" s="2867"/>
      <c r="AM1427" s="2867"/>
      <c r="AN1427" s="2867"/>
      <c r="AO1427" s="2867"/>
      <c r="AP1427" s="2867"/>
      <c r="AQ1427" s="2867"/>
      <c r="AR1427" s="2867"/>
      <c r="AS1427" s="2867"/>
      <c r="AT1427" s="2867"/>
      <c r="AU1427" s="2867"/>
      <c r="AV1427" s="2867"/>
      <c r="AW1427" s="2867"/>
      <c r="AX1427" s="2867"/>
      <c r="AY1427" s="2867"/>
      <c r="AZ1427" s="2867"/>
      <c r="BA1427" s="2867"/>
      <c r="BB1427" s="2867"/>
      <c r="BC1427" s="2867"/>
      <c r="BD1427" s="2867"/>
      <c r="BE1427" s="2867"/>
      <c r="BF1427" s="2867"/>
      <c r="BG1427" s="2867"/>
      <c r="BH1427" s="2867"/>
      <c r="BI1427" s="2867"/>
      <c r="BJ1427" s="2867"/>
      <c r="BK1427" s="2867"/>
      <c r="BL1427" s="2867"/>
      <c r="BM1427" s="2867"/>
      <c r="BN1427" s="2867"/>
      <c r="BO1427" s="2867"/>
      <c r="BP1427" s="2867"/>
      <c r="BQ1427" s="2867"/>
      <c r="BR1427" s="2867"/>
      <c r="BS1427" s="2867"/>
      <c r="BT1427" s="2867"/>
      <c r="BU1427" s="2867"/>
      <c r="BV1427" s="2867"/>
      <c r="BW1427" s="2867"/>
      <c r="BX1427" s="2867"/>
      <c r="BY1427" s="2867"/>
      <c r="BZ1427" s="2867"/>
      <c r="CA1427" s="2867"/>
      <c r="CB1427" s="2867"/>
      <c r="CC1427" s="2867"/>
      <c r="CD1427" s="2867"/>
      <c r="CE1427" s="2867"/>
      <c r="CF1427" s="2867"/>
      <c r="CG1427" s="2867"/>
      <c r="CH1427" s="2867"/>
      <c r="CI1427" s="2867"/>
      <c r="CJ1427" s="2867"/>
      <c r="CK1427" s="2867"/>
      <c r="CL1427" s="2867"/>
      <c r="CM1427" s="2867"/>
      <c r="CN1427" s="2867"/>
      <c r="CO1427" s="2867"/>
      <c r="CP1427" s="2867"/>
      <c r="CQ1427" s="2867"/>
      <c r="CR1427" s="2867"/>
      <c r="CS1427" s="2867"/>
      <c r="CT1427" s="2867"/>
      <c r="CU1427" s="2867"/>
      <c r="CV1427" s="2867"/>
      <c r="CW1427" s="2867"/>
    </row>
    <row r="1428" spans="1:101">
      <c r="A1428" s="2867"/>
      <c r="B1428" s="2867"/>
      <c r="C1428" s="2867"/>
      <c r="D1428" s="2867"/>
      <c r="E1428" s="2867"/>
      <c r="F1428" s="2867"/>
      <c r="G1428" s="2867"/>
      <c r="H1428" s="2867"/>
      <c r="I1428" s="2867"/>
      <c r="J1428" s="2867"/>
      <c r="K1428" s="2867"/>
      <c r="L1428" s="2867"/>
      <c r="M1428" s="2867"/>
      <c r="O1428" s="2867"/>
      <c r="P1428" s="2867"/>
      <c r="Q1428" s="2867"/>
      <c r="R1428" s="2867"/>
      <c r="S1428" s="2867"/>
      <c r="T1428" s="2867"/>
      <c r="U1428" s="2867"/>
      <c r="V1428" s="2867"/>
      <c r="W1428" s="2867"/>
      <c r="X1428" s="2867"/>
      <c r="Y1428" s="2867"/>
      <c r="Z1428" s="2867"/>
      <c r="AA1428" s="2867"/>
      <c r="AB1428" s="2867"/>
      <c r="AC1428" s="2867"/>
      <c r="AD1428" s="2867"/>
      <c r="AE1428" s="2867"/>
      <c r="AF1428" s="2867"/>
      <c r="AG1428" s="2867"/>
      <c r="AH1428" s="2867"/>
      <c r="AI1428" s="2867"/>
      <c r="AJ1428" s="2867"/>
      <c r="AK1428" s="2867"/>
      <c r="AL1428" s="2867"/>
      <c r="AM1428" s="2867"/>
      <c r="AN1428" s="2867"/>
      <c r="AO1428" s="2867"/>
      <c r="AP1428" s="2867"/>
      <c r="AQ1428" s="2867"/>
      <c r="AR1428" s="2867"/>
      <c r="AS1428" s="2867"/>
      <c r="AT1428" s="2867"/>
      <c r="AU1428" s="2867"/>
      <c r="AV1428" s="2867"/>
      <c r="AW1428" s="2867"/>
      <c r="AX1428" s="2867"/>
      <c r="AY1428" s="2867"/>
      <c r="AZ1428" s="2867"/>
      <c r="BA1428" s="2867"/>
      <c r="BB1428" s="2867"/>
      <c r="BC1428" s="2867"/>
      <c r="BD1428" s="2867"/>
      <c r="BE1428" s="2867"/>
      <c r="BF1428" s="2867"/>
      <c r="BG1428" s="2867"/>
      <c r="BH1428" s="2867"/>
      <c r="BI1428" s="2867"/>
      <c r="BJ1428" s="2867"/>
      <c r="BK1428" s="2867"/>
      <c r="BL1428" s="2867"/>
      <c r="BM1428" s="2867"/>
      <c r="BN1428" s="2867"/>
      <c r="BO1428" s="2867"/>
      <c r="BP1428" s="2867"/>
      <c r="BQ1428" s="2867"/>
      <c r="BR1428" s="2867"/>
      <c r="BS1428" s="2867"/>
      <c r="BT1428" s="2867"/>
      <c r="BU1428" s="2867"/>
      <c r="BV1428" s="2867"/>
      <c r="BW1428" s="2867"/>
      <c r="BX1428" s="2867"/>
      <c r="BY1428" s="2867"/>
      <c r="BZ1428" s="2867"/>
      <c r="CA1428" s="2867"/>
      <c r="CB1428" s="2867"/>
      <c r="CC1428" s="2867"/>
      <c r="CD1428" s="2867"/>
      <c r="CE1428" s="2867"/>
      <c r="CF1428" s="2867"/>
      <c r="CG1428" s="2867"/>
      <c r="CH1428" s="2867"/>
      <c r="CI1428" s="2867"/>
      <c r="CJ1428" s="2867"/>
      <c r="CK1428" s="2867"/>
      <c r="CL1428" s="2867"/>
      <c r="CM1428" s="2867"/>
      <c r="CN1428" s="2867"/>
      <c r="CO1428" s="2867"/>
      <c r="CP1428" s="2867"/>
      <c r="CQ1428" s="2867"/>
      <c r="CR1428" s="2867"/>
      <c r="CS1428" s="2867"/>
      <c r="CT1428" s="2867"/>
      <c r="CU1428" s="2867"/>
      <c r="CV1428" s="2867"/>
      <c r="CW1428" s="2867"/>
    </row>
    <row r="1429" spans="1:101">
      <c r="A1429" s="2867"/>
      <c r="B1429" s="2867"/>
      <c r="C1429" s="2867"/>
      <c r="D1429" s="2867"/>
      <c r="E1429" s="2867"/>
      <c r="F1429" s="2867"/>
      <c r="G1429" s="2867"/>
      <c r="H1429" s="2867"/>
      <c r="I1429" s="2867"/>
      <c r="J1429" s="2867"/>
      <c r="K1429" s="2867"/>
      <c r="L1429" s="2867"/>
      <c r="M1429" s="2867"/>
      <c r="O1429" s="2867"/>
      <c r="P1429" s="2867"/>
      <c r="Q1429" s="2867"/>
      <c r="R1429" s="2867"/>
      <c r="S1429" s="2867"/>
      <c r="T1429" s="2867"/>
      <c r="U1429" s="2867"/>
      <c r="V1429" s="2867"/>
      <c r="W1429" s="2867"/>
      <c r="X1429" s="2867"/>
      <c r="Y1429" s="2867"/>
      <c r="Z1429" s="2867"/>
      <c r="AA1429" s="2867"/>
      <c r="AB1429" s="2867"/>
      <c r="AC1429" s="2867"/>
      <c r="AD1429" s="2867"/>
      <c r="AE1429" s="2867"/>
      <c r="AF1429" s="2867"/>
      <c r="AG1429" s="2867"/>
      <c r="AH1429" s="2867"/>
      <c r="AI1429" s="2867"/>
      <c r="AJ1429" s="2867"/>
      <c r="AK1429" s="2867"/>
      <c r="AL1429" s="2867"/>
      <c r="AM1429" s="2867"/>
      <c r="AN1429" s="2867"/>
      <c r="AO1429" s="2867"/>
      <c r="AP1429" s="2867"/>
      <c r="AQ1429" s="2867"/>
      <c r="AR1429" s="2867"/>
      <c r="AS1429" s="2867"/>
      <c r="AT1429" s="2867"/>
      <c r="AU1429" s="2867"/>
      <c r="AV1429" s="2867"/>
      <c r="AW1429" s="2867"/>
      <c r="AX1429" s="2867"/>
      <c r="AY1429" s="2867"/>
      <c r="AZ1429" s="2867"/>
      <c r="BA1429" s="2867"/>
      <c r="BB1429" s="2867"/>
      <c r="BC1429" s="2867"/>
      <c r="BD1429" s="2867"/>
      <c r="BE1429" s="2867"/>
      <c r="BF1429" s="2867"/>
      <c r="BG1429" s="2867"/>
      <c r="BH1429" s="2867"/>
      <c r="BI1429" s="2867"/>
      <c r="BJ1429" s="2867"/>
      <c r="BK1429" s="2867"/>
      <c r="BL1429" s="2867"/>
      <c r="BM1429" s="2867"/>
      <c r="BN1429" s="2867"/>
      <c r="BO1429" s="2867"/>
      <c r="BP1429" s="2867"/>
      <c r="BQ1429" s="2867"/>
      <c r="BR1429" s="2867"/>
      <c r="BS1429" s="2867"/>
      <c r="BT1429" s="2867"/>
      <c r="BU1429" s="2867"/>
      <c r="BV1429" s="2867"/>
      <c r="BW1429" s="2867"/>
      <c r="BX1429" s="2867"/>
      <c r="BY1429" s="2867"/>
      <c r="BZ1429" s="2867"/>
      <c r="CA1429" s="2867"/>
      <c r="CB1429" s="2867"/>
      <c r="CC1429" s="2867"/>
      <c r="CD1429" s="2867"/>
      <c r="CE1429" s="2867"/>
      <c r="CF1429" s="2867"/>
      <c r="CG1429" s="2867"/>
      <c r="CH1429" s="2867"/>
      <c r="CI1429" s="2867"/>
      <c r="CJ1429" s="2867"/>
      <c r="CK1429" s="2867"/>
      <c r="CL1429" s="2867"/>
      <c r="CM1429" s="2867"/>
      <c r="CN1429" s="2867"/>
      <c r="CO1429" s="2867"/>
      <c r="CP1429" s="2867"/>
      <c r="CQ1429" s="2867"/>
      <c r="CR1429" s="2867"/>
      <c r="CS1429" s="2867"/>
      <c r="CT1429" s="2867"/>
      <c r="CU1429" s="2867"/>
      <c r="CV1429" s="2867"/>
      <c r="CW1429" s="2867"/>
    </row>
    <row r="1430" spans="1:101">
      <c r="A1430" s="2867"/>
      <c r="B1430" s="2867"/>
      <c r="C1430" s="2867"/>
      <c r="D1430" s="2867"/>
      <c r="E1430" s="2867"/>
      <c r="F1430" s="2867"/>
      <c r="G1430" s="2867"/>
      <c r="H1430" s="2867"/>
      <c r="I1430" s="2867"/>
      <c r="J1430" s="2867"/>
      <c r="K1430" s="2867"/>
      <c r="L1430" s="2867"/>
      <c r="M1430" s="2867"/>
      <c r="O1430" s="2867"/>
      <c r="P1430" s="2867"/>
      <c r="Q1430" s="2867"/>
      <c r="R1430" s="2867"/>
      <c r="S1430" s="2867"/>
      <c r="T1430" s="2867"/>
      <c r="U1430" s="2867"/>
      <c r="V1430" s="2867"/>
      <c r="W1430" s="2867"/>
      <c r="X1430" s="2867"/>
      <c r="Y1430" s="2867"/>
      <c r="Z1430" s="2867"/>
      <c r="AA1430" s="2867"/>
      <c r="AB1430" s="2867"/>
      <c r="AC1430" s="2867"/>
      <c r="AD1430" s="2867"/>
      <c r="AE1430" s="2867"/>
      <c r="AF1430" s="2867"/>
      <c r="AG1430" s="2867"/>
      <c r="AH1430" s="2867"/>
      <c r="AI1430" s="2867"/>
      <c r="AJ1430" s="2867"/>
      <c r="AK1430" s="2867"/>
      <c r="AL1430" s="2867"/>
      <c r="AM1430" s="2867"/>
      <c r="AN1430" s="2867"/>
      <c r="AO1430" s="2867"/>
      <c r="AP1430" s="2867"/>
      <c r="AQ1430" s="2867"/>
      <c r="AR1430" s="2867"/>
      <c r="AS1430" s="2867"/>
      <c r="AT1430" s="2867"/>
      <c r="AU1430" s="2867"/>
      <c r="AV1430" s="2867"/>
      <c r="AW1430" s="2867"/>
      <c r="AX1430" s="2867"/>
      <c r="AY1430" s="2867"/>
      <c r="AZ1430" s="2867"/>
      <c r="BA1430" s="2867"/>
      <c r="BB1430" s="2867"/>
      <c r="BC1430" s="2867"/>
      <c r="BD1430" s="2867"/>
      <c r="BE1430" s="2867"/>
      <c r="BF1430" s="2867"/>
      <c r="BG1430" s="2867"/>
      <c r="BH1430" s="2867"/>
      <c r="BI1430" s="2867"/>
      <c r="BJ1430" s="2867"/>
      <c r="BK1430" s="2867"/>
      <c r="BL1430" s="2867"/>
      <c r="BM1430" s="2867"/>
      <c r="BN1430" s="2867"/>
      <c r="BO1430" s="2867"/>
      <c r="BP1430" s="2867"/>
      <c r="BQ1430" s="2867"/>
      <c r="BR1430" s="2867"/>
      <c r="BS1430" s="2867"/>
      <c r="BT1430" s="2867"/>
      <c r="BU1430" s="2867"/>
      <c r="BV1430" s="2867"/>
      <c r="BW1430" s="2867"/>
      <c r="BX1430" s="2867"/>
      <c r="BY1430" s="2867"/>
      <c r="BZ1430" s="2867"/>
      <c r="CA1430" s="2867"/>
      <c r="CB1430" s="2867"/>
      <c r="CC1430" s="2867"/>
      <c r="CD1430" s="2867"/>
      <c r="CE1430" s="2867"/>
      <c r="CF1430" s="2867"/>
      <c r="CG1430" s="2867"/>
      <c r="CH1430" s="2867"/>
      <c r="CI1430" s="2867"/>
      <c r="CJ1430" s="2867"/>
      <c r="CK1430" s="2867"/>
      <c r="CL1430" s="2867"/>
      <c r="CM1430" s="2867"/>
      <c r="CN1430" s="2867"/>
      <c r="CO1430" s="2867"/>
      <c r="CP1430" s="2867"/>
      <c r="CQ1430" s="2867"/>
      <c r="CR1430" s="2867"/>
      <c r="CS1430" s="2867"/>
      <c r="CT1430" s="2867"/>
      <c r="CU1430" s="2867"/>
      <c r="CV1430" s="2867"/>
      <c r="CW1430" s="2867"/>
    </row>
    <row r="1431" spans="1:101">
      <c r="A1431" s="2867"/>
      <c r="B1431" s="2867"/>
      <c r="C1431" s="2867"/>
      <c r="D1431" s="2867"/>
      <c r="E1431" s="2867"/>
      <c r="F1431" s="2867"/>
      <c r="G1431" s="2867"/>
      <c r="H1431" s="2867"/>
      <c r="I1431" s="2867"/>
      <c r="J1431" s="2867"/>
      <c r="K1431" s="2867"/>
      <c r="L1431" s="2867"/>
      <c r="M1431" s="2867"/>
      <c r="O1431" s="2867"/>
      <c r="P1431" s="2867"/>
      <c r="Q1431" s="2867"/>
      <c r="R1431" s="2867"/>
      <c r="S1431" s="2867"/>
      <c r="T1431" s="2867"/>
      <c r="U1431" s="2867"/>
      <c r="V1431" s="2867"/>
      <c r="W1431" s="2867"/>
      <c r="X1431" s="2867"/>
      <c r="Y1431" s="2867"/>
      <c r="Z1431" s="2867"/>
      <c r="AA1431" s="2867"/>
      <c r="AB1431" s="2867"/>
      <c r="AC1431" s="2867"/>
      <c r="AD1431" s="2867"/>
      <c r="AE1431" s="2867"/>
      <c r="AF1431" s="2867"/>
      <c r="AG1431" s="2867"/>
      <c r="AH1431" s="2867"/>
      <c r="AI1431" s="2867"/>
      <c r="AJ1431" s="2867"/>
      <c r="AK1431" s="2867"/>
      <c r="AL1431" s="2867"/>
      <c r="AM1431" s="2867"/>
      <c r="AN1431" s="2867"/>
      <c r="AO1431" s="2867"/>
      <c r="AP1431" s="2867"/>
      <c r="AQ1431" s="2867"/>
      <c r="AR1431" s="2867"/>
      <c r="AS1431" s="2867"/>
      <c r="AT1431" s="2867"/>
      <c r="AU1431" s="2867"/>
      <c r="AV1431" s="2867"/>
      <c r="AW1431" s="2867"/>
      <c r="AX1431" s="2867"/>
      <c r="AY1431" s="2867"/>
      <c r="AZ1431" s="2867"/>
      <c r="BA1431" s="2867"/>
      <c r="BB1431" s="2867"/>
      <c r="BC1431" s="2867"/>
      <c r="BD1431" s="2867"/>
      <c r="BE1431" s="2867"/>
      <c r="BF1431" s="2867"/>
      <c r="BG1431" s="2867"/>
      <c r="BH1431" s="2867"/>
      <c r="BI1431" s="2867"/>
      <c r="BJ1431" s="2867"/>
      <c r="BK1431" s="2867"/>
      <c r="BL1431" s="2867"/>
      <c r="BM1431" s="2867"/>
      <c r="BN1431" s="2867"/>
      <c r="BO1431" s="2867"/>
      <c r="BP1431" s="2867"/>
      <c r="BQ1431" s="2867"/>
      <c r="BR1431" s="2867"/>
      <c r="BS1431" s="2867"/>
      <c r="BT1431" s="2867"/>
      <c r="BU1431" s="2867"/>
      <c r="BV1431" s="2867"/>
      <c r="BW1431" s="2867"/>
      <c r="BX1431" s="2867"/>
      <c r="BY1431" s="2867"/>
      <c r="BZ1431" s="2867"/>
      <c r="CA1431" s="2867"/>
      <c r="CB1431" s="2867"/>
      <c r="CC1431" s="2867"/>
      <c r="CD1431" s="2867"/>
      <c r="CE1431" s="2867"/>
      <c r="CF1431" s="2867"/>
      <c r="CG1431" s="2867"/>
      <c r="CH1431" s="2867"/>
      <c r="CI1431" s="2867"/>
      <c r="CJ1431" s="2867"/>
      <c r="CK1431" s="2867"/>
      <c r="CL1431" s="2867"/>
      <c r="CM1431" s="2867"/>
      <c r="CN1431" s="2867"/>
      <c r="CO1431" s="2867"/>
      <c r="CP1431" s="2867"/>
      <c r="CQ1431" s="2867"/>
      <c r="CR1431" s="2867"/>
      <c r="CS1431" s="2867"/>
      <c r="CT1431" s="2867"/>
      <c r="CU1431" s="2867"/>
      <c r="CV1431" s="2867"/>
      <c r="CW1431" s="2867"/>
    </row>
    <row r="1432" spans="1:101">
      <c r="A1432" s="2867"/>
      <c r="B1432" s="2867"/>
      <c r="C1432" s="2867"/>
      <c r="D1432" s="2867"/>
      <c r="E1432" s="2867"/>
      <c r="F1432" s="2867"/>
      <c r="G1432" s="2867"/>
      <c r="H1432" s="2867"/>
      <c r="I1432" s="2867"/>
      <c r="J1432" s="2867"/>
      <c r="K1432" s="2867"/>
      <c r="L1432" s="2867"/>
      <c r="M1432" s="2867"/>
      <c r="O1432" s="2867"/>
      <c r="P1432" s="2867"/>
      <c r="Q1432" s="2867"/>
      <c r="R1432" s="2867"/>
      <c r="S1432" s="2867"/>
      <c r="T1432" s="2867"/>
      <c r="U1432" s="2867"/>
      <c r="V1432" s="2867"/>
      <c r="W1432" s="2867"/>
      <c r="X1432" s="2867"/>
      <c r="Y1432" s="2867"/>
      <c r="Z1432" s="2867"/>
      <c r="AA1432" s="2867"/>
      <c r="AB1432" s="2867"/>
      <c r="AC1432" s="2867"/>
      <c r="AD1432" s="2867"/>
      <c r="AE1432" s="2867"/>
      <c r="AF1432" s="2867"/>
      <c r="AG1432" s="2867"/>
      <c r="AH1432" s="2867"/>
      <c r="AI1432" s="2867"/>
      <c r="AJ1432" s="2867"/>
      <c r="AK1432" s="2867"/>
      <c r="AL1432" s="2867"/>
      <c r="AM1432" s="2867"/>
      <c r="AN1432" s="2867"/>
      <c r="AO1432" s="2867"/>
      <c r="AP1432" s="2867"/>
      <c r="AQ1432" s="2867"/>
      <c r="AR1432" s="2867"/>
      <c r="AS1432" s="2867"/>
      <c r="AT1432" s="2867"/>
      <c r="AU1432" s="2867"/>
      <c r="AV1432" s="2867"/>
      <c r="AW1432" s="2867"/>
      <c r="AX1432" s="2867"/>
      <c r="AY1432" s="2867"/>
      <c r="AZ1432" s="2867"/>
      <c r="BA1432" s="2867"/>
      <c r="BB1432" s="2867"/>
      <c r="BC1432" s="2867"/>
      <c r="BD1432" s="2867"/>
      <c r="BE1432" s="2867"/>
      <c r="BF1432" s="2867"/>
      <c r="BG1432" s="2867"/>
      <c r="BH1432" s="2867"/>
      <c r="BI1432" s="2867"/>
      <c r="BJ1432" s="2867"/>
      <c r="BK1432" s="2867"/>
      <c r="BL1432" s="2867"/>
      <c r="BM1432" s="2867"/>
      <c r="BN1432" s="2867"/>
      <c r="BO1432" s="2867"/>
      <c r="BP1432" s="2867"/>
      <c r="BQ1432" s="2867"/>
      <c r="BR1432" s="2867"/>
      <c r="BS1432" s="2867"/>
      <c r="BT1432" s="2867"/>
      <c r="BU1432" s="2867"/>
      <c r="BV1432" s="2867"/>
      <c r="BW1432" s="2867"/>
      <c r="BX1432" s="2867"/>
      <c r="BY1432" s="2867"/>
      <c r="BZ1432" s="2867"/>
      <c r="CA1432" s="2867"/>
      <c r="CB1432" s="2867"/>
      <c r="CC1432" s="2867"/>
      <c r="CD1432" s="2867"/>
      <c r="CE1432" s="2867"/>
      <c r="CF1432" s="2867"/>
      <c r="CG1432" s="2867"/>
      <c r="CH1432" s="2867"/>
      <c r="CI1432" s="2867"/>
      <c r="CJ1432" s="2867"/>
      <c r="CK1432" s="2867"/>
      <c r="CL1432" s="2867"/>
      <c r="CM1432" s="2867"/>
      <c r="CN1432" s="2867"/>
      <c r="CO1432" s="2867"/>
      <c r="CP1432" s="2867"/>
      <c r="CQ1432" s="2867"/>
      <c r="CR1432" s="2867"/>
      <c r="CS1432" s="2867"/>
      <c r="CT1432" s="2867"/>
      <c r="CU1432" s="2867"/>
      <c r="CV1432" s="2867"/>
      <c r="CW1432" s="2867"/>
    </row>
    <row r="1433" spans="1:101">
      <c r="A1433" s="2867"/>
      <c r="B1433" s="2867"/>
      <c r="C1433" s="2867"/>
      <c r="D1433" s="2867"/>
      <c r="E1433" s="2867"/>
      <c r="F1433" s="2867"/>
      <c r="G1433" s="2867"/>
      <c r="H1433" s="2867"/>
      <c r="I1433" s="2867"/>
      <c r="J1433" s="2867"/>
      <c r="K1433" s="2867"/>
      <c r="L1433" s="2867"/>
      <c r="M1433" s="2867"/>
      <c r="O1433" s="2867"/>
      <c r="P1433" s="2867"/>
      <c r="Q1433" s="2867"/>
      <c r="R1433" s="2867"/>
      <c r="S1433" s="2867"/>
      <c r="T1433" s="2867"/>
      <c r="U1433" s="2867"/>
      <c r="V1433" s="2867"/>
      <c r="W1433" s="2867"/>
      <c r="X1433" s="2867"/>
      <c r="Y1433" s="2867"/>
      <c r="Z1433" s="2867"/>
      <c r="AA1433" s="2867"/>
      <c r="AB1433" s="2867"/>
      <c r="AC1433" s="2867"/>
      <c r="AD1433" s="2867"/>
      <c r="AE1433" s="2867"/>
      <c r="AF1433" s="2867"/>
      <c r="AG1433" s="2867"/>
      <c r="AH1433" s="2867"/>
      <c r="AI1433" s="2867"/>
      <c r="AJ1433" s="2867"/>
      <c r="AK1433" s="2867"/>
      <c r="AL1433" s="2867"/>
      <c r="AM1433" s="2867"/>
      <c r="AN1433" s="2867"/>
      <c r="AO1433" s="2867"/>
      <c r="AP1433" s="2867"/>
      <c r="AQ1433" s="2867"/>
      <c r="AR1433" s="2867"/>
      <c r="AS1433" s="2867"/>
      <c r="AT1433" s="2867"/>
      <c r="AU1433" s="2867"/>
      <c r="AV1433" s="2867"/>
      <c r="AW1433" s="2867"/>
      <c r="AX1433" s="2867"/>
      <c r="AY1433" s="2867"/>
      <c r="AZ1433" s="2867"/>
      <c r="BA1433" s="2867"/>
      <c r="BB1433" s="2867"/>
      <c r="BC1433" s="2867"/>
      <c r="BD1433" s="2867"/>
      <c r="BE1433" s="2867"/>
      <c r="BF1433" s="2867"/>
      <c r="BG1433" s="2867"/>
      <c r="BH1433" s="2867"/>
      <c r="BI1433" s="2867"/>
      <c r="BJ1433" s="2867"/>
      <c r="BK1433" s="2867"/>
      <c r="BL1433" s="2867"/>
      <c r="BM1433" s="2867"/>
      <c r="BN1433" s="2867"/>
      <c r="BO1433" s="2867"/>
      <c r="BP1433" s="2867"/>
      <c r="BQ1433" s="2867"/>
      <c r="BR1433" s="2867"/>
      <c r="BS1433" s="2867"/>
      <c r="BT1433" s="2867"/>
      <c r="BU1433" s="2867"/>
      <c r="BV1433" s="2867"/>
      <c r="BW1433" s="2867"/>
      <c r="BX1433" s="2867"/>
      <c r="BY1433" s="2867"/>
      <c r="BZ1433" s="2867"/>
      <c r="CA1433" s="2867"/>
      <c r="CB1433" s="2867"/>
      <c r="CC1433" s="2867"/>
      <c r="CD1433" s="2867"/>
      <c r="CE1433" s="2867"/>
      <c r="CF1433" s="2867"/>
      <c r="CG1433" s="2867"/>
      <c r="CH1433" s="2867"/>
      <c r="CI1433" s="2867"/>
      <c r="CJ1433" s="2867"/>
      <c r="CK1433" s="2867"/>
      <c r="CL1433" s="2867"/>
      <c r="CM1433" s="2867"/>
      <c r="CN1433" s="2867"/>
      <c r="CO1433" s="2867"/>
      <c r="CP1433" s="2867"/>
      <c r="CQ1433" s="2867"/>
      <c r="CR1433" s="2867"/>
      <c r="CS1433" s="2867"/>
      <c r="CT1433" s="2867"/>
      <c r="CU1433" s="2867"/>
      <c r="CV1433" s="2867"/>
      <c r="CW1433" s="2867"/>
    </row>
    <row r="1434" spans="1:101">
      <c r="A1434" s="2867"/>
      <c r="B1434" s="2867"/>
      <c r="C1434" s="2867"/>
      <c r="D1434" s="2867"/>
      <c r="E1434" s="2867"/>
      <c r="F1434" s="2867"/>
      <c r="G1434" s="2867"/>
      <c r="H1434" s="2867"/>
      <c r="I1434" s="2867"/>
      <c r="J1434" s="2867"/>
      <c r="K1434" s="2867"/>
      <c r="L1434" s="2867"/>
      <c r="M1434" s="2867"/>
      <c r="O1434" s="2867"/>
      <c r="P1434" s="2867"/>
      <c r="Q1434" s="2867"/>
      <c r="R1434" s="2867"/>
      <c r="S1434" s="2867"/>
      <c r="T1434" s="2867"/>
      <c r="U1434" s="2867"/>
      <c r="V1434" s="2867"/>
      <c r="W1434" s="2867"/>
      <c r="X1434" s="2867"/>
      <c r="Y1434" s="2867"/>
      <c r="Z1434" s="2867"/>
      <c r="AA1434" s="2867"/>
      <c r="AB1434" s="2867"/>
      <c r="AC1434" s="2867"/>
      <c r="AD1434" s="2867"/>
      <c r="AE1434" s="2867"/>
      <c r="AF1434" s="2867"/>
      <c r="AG1434" s="2867"/>
      <c r="AH1434" s="2867"/>
      <c r="AI1434" s="2867"/>
      <c r="AJ1434" s="2867"/>
      <c r="AK1434" s="2867"/>
      <c r="AL1434" s="2867"/>
      <c r="AM1434" s="2867"/>
      <c r="AN1434" s="2867"/>
      <c r="AO1434" s="2867"/>
      <c r="AP1434" s="2867"/>
      <c r="AQ1434" s="2867"/>
      <c r="AR1434" s="2867"/>
      <c r="AS1434" s="2867"/>
      <c r="AT1434" s="2867"/>
      <c r="AU1434" s="2867"/>
      <c r="AV1434" s="2867"/>
      <c r="AW1434" s="2867"/>
      <c r="AX1434" s="2867"/>
      <c r="AY1434" s="2867"/>
      <c r="AZ1434" s="2867"/>
      <c r="BA1434" s="2867"/>
      <c r="BB1434" s="2867"/>
      <c r="BC1434" s="2867"/>
      <c r="BD1434" s="2867"/>
      <c r="BE1434" s="2867"/>
      <c r="BF1434" s="2867"/>
      <c r="BG1434" s="2867"/>
      <c r="BH1434" s="2867"/>
      <c r="BI1434" s="2867"/>
      <c r="BJ1434" s="2867"/>
      <c r="BK1434" s="2867"/>
      <c r="BL1434" s="2867"/>
      <c r="BM1434" s="2867"/>
      <c r="BN1434" s="2867"/>
      <c r="BO1434" s="2867"/>
      <c r="BP1434" s="2867"/>
      <c r="BQ1434" s="2867"/>
      <c r="BR1434" s="2867"/>
      <c r="BS1434" s="2867"/>
      <c r="BT1434" s="2867"/>
      <c r="BU1434" s="2867"/>
      <c r="BV1434" s="2867"/>
      <c r="BW1434" s="2867"/>
      <c r="BX1434" s="2867"/>
      <c r="BY1434" s="2867"/>
      <c r="BZ1434" s="2867"/>
      <c r="CA1434" s="2867"/>
      <c r="CB1434" s="2867"/>
      <c r="CC1434" s="2867"/>
      <c r="CD1434" s="2867"/>
      <c r="CE1434" s="2867"/>
      <c r="CF1434" s="2867"/>
      <c r="CG1434" s="2867"/>
      <c r="CH1434" s="2867"/>
      <c r="CI1434" s="2867"/>
      <c r="CJ1434" s="2867"/>
      <c r="CK1434" s="2867"/>
      <c r="CL1434" s="2867"/>
      <c r="CM1434" s="2867"/>
      <c r="CN1434" s="2867"/>
      <c r="CO1434" s="2867"/>
      <c r="CP1434" s="2867"/>
      <c r="CQ1434" s="2867"/>
      <c r="CR1434" s="2867"/>
      <c r="CS1434" s="2867"/>
      <c r="CT1434" s="2867"/>
      <c r="CU1434" s="2867"/>
      <c r="CV1434" s="2867"/>
      <c r="CW1434" s="2867"/>
    </row>
    <row r="1435" spans="1:101">
      <c r="A1435" s="2867"/>
      <c r="B1435" s="2867"/>
      <c r="C1435" s="2867"/>
      <c r="D1435" s="2867"/>
      <c r="E1435" s="2867"/>
      <c r="F1435" s="2867"/>
      <c r="G1435" s="2867"/>
      <c r="H1435" s="2867"/>
      <c r="I1435" s="2867"/>
      <c r="J1435" s="2867"/>
      <c r="K1435" s="2867"/>
      <c r="L1435" s="2867"/>
      <c r="M1435" s="2867"/>
      <c r="O1435" s="2867"/>
      <c r="P1435" s="2867"/>
      <c r="Q1435" s="2867"/>
      <c r="R1435" s="2867"/>
      <c r="S1435" s="2867"/>
      <c r="T1435" s="2867"/>
      <c r="U1435" s="2867"/>
      <c r="V1435" s="2867"/>
      <c r="W1435" s="2867"/>
      <c r="X1435" s="2867"/>
      <c r="Y1435" s="2867"/>
      <c r="Z1435" s="2867"/>
      <c r="AA1435" s="2867"/>
      <c r="AB1435" s="2867"/>
      <c r="AC1435" s="2867"/>
      <c r="AD1435" s="2867"/>
      <c r="AE1435" s="2867"/>
      <c r="AF1435" s="2867"/>
      <c r="AG1435" s="2867"/>
      <c r="AH1435" s="2867"/>
      <c r="AI1435" s="2867"/>
      <c r="AJ1435" s="2867"/>
      <c r="AK1435" s="2867"/>
      <c r="AL1435" s="2867"/>
      <c r="AM1435" s="2867"/>
      <c r="AN1435" s="2867"/>
      <c r="AO1435" s="2867"/>
      <c r="AP1435" s="2867"/>
      <c r="AQ1435" s="2867"/>
      <c r="AR1435" s="2867"/>
      <c r="AS1435" s="2867"/>
      <c r="AT1435" s="2867"/>
      <c r="AU1435" s="2867"/>
      <c r="AV1435" s="2867"/>
      <c r="AW1435" s="2867"/>
      <c r="AX1435" s="2867"/>
      <c r="AY1435" s="2867"/>
      <c r="AZ1435" s="2867"/>
      <c r="BA1435" s="2867"/>
      <c r="BB1435" s="2867"/>
      <c r="BC1435" s="2867"/>
      <c r="BD1435" s="2867"/>
      <c r="BE1435" s="2867"/>
      <c r="BF1435" s="2867"/>
      <c r="BG1435" s="2867"/>
      <c r="BH1435" s="2867"/>
      <c r="BI1435" s="2867"/>
      <c r="BJ1435" s="2867"/>
      <c r="BK1435" s="2867"/>
      <c r="BL1435" s="2867"/>
      <c r="BM1435" s="2867"/>
      <c r="BN1435" s="2867"/>
      <c r="BO1435" s="2867"/>
      <c r="BP1435" s="2867"/>
      <c r="BQ1435" s="2867"/>
      <c r="BR1435" s="2867"/>
      <c r="BS1435" s="2867"/>
      <c r="BT1435" s="2867"/>
      <c r="BU1435" s="2867"/>
      <c r="BV1435" s="2867"/>
      <c r="BW1435" s="2867"/>
      <c r="BX1435" s="2867"/>
      <c r="BY1435" s="2867"/>
      <c r="BZ1435" s="2867"/>
      <c r="CA1435" s="2867"/>
      <c r="CB1435" s="2867"/>
      <c r="CC1435" s="2867"/>
      <c r="CD1435" s="2867"/>
      <c r="CE1435" s="2867"/>
      <c r="CF1435" s="2867"/>
      <c r="CG1435" s="2867"/>
      <c r="CH1435" s="2867"/>
      <c r="CI1435" s="2867"/>
      <c r="CJ1435" s="2867"/>
      <c r="CK1435" s="2867"/>
      <c r="CL1435" s="2867"/>
      <c r="CM1435" s="2867"/>
      <c r="CN1435" s="2867"/>
      <c r="CO1435" s="2867"/>
      <c r="CP1435" s="2867"/>
      <c r="CQ1435" s="2867"/>
      <c r="CR1435" s="2867"/>
      <c r="CS1435" s="2867"/>
      <c r="CT1435" s="2867"/>
      <c r="CU1435" s="2867"/>
      <c r="CV1435" s="2867"/>
      <c r="CW1435" s="2867"/>
    </row>
    <row r="1436" spans="1:101">
      <c r="A1436" s="2867"/>
      <c r="B1436" s="2867"/>
      <c r="C1436" s="2867"/>
      <c r="D1436" s="2867"/>
      <c r="E1436" s="2867"/>
      <c r="F1436" s="2867"/>
      <c r="G1436" s="2867"/>
      <c r="H1436" s="2867"/>
      <c r="I1436" s="2867"/>
      <c r="J1436" s="2867"/>
      <c r="K1436" s="2867"/>
      <c r="L1436" s="2867"/>
      <c r="M1436" s="2867"/>
      <c r="O1436" s="2867"/>
      <c r="P1436" s="2867"/>
      <c r="Q1436" s="2867"/>
      <c r="R1436" s="2867"/>
      <c r="S1436" s="2867"/>
      <c r="T1436" s="2867"/>
      <c r="U1436" s="2867"/>
      <c r="V1436" s="2867"/>
      <c r="W1436" s="2867"/>
      <c r="X1436" s="2867"/>
      <c r="Y1436" s="2867"/>
      <c r="Z1436" s="2867"/>
      <c r="AA1436" s="2867"/>
      <c r="AB1436" s="2867"/>
      <c r="AC1436" s="2867"/>
      <c r="AD1436" s="2867"/>
      <c r="AE1436" s="2867"/>
      <c r="AF1436" s="2867"/>
      <c r="AG1436" s="2867"/>
      <c r="AH1436" s="2867"/>
      <c r="AI1436" s="2867"/>
      <c r="AJ1436" s="2867"/>
      <c r="AK1436" s="2867"/>
      <c r="AL1436" s="2867"/>
      <c r="AM1436" s="2867"/>
      <c r="AN1436" s="2867"/>
      <c r="AO1436" s="2867"/>
      <c r="AP1436" s="2867"/>
      <c r="AQ1436" s="2867"/>
      <c r="AR1436" s="2867"/>
      <c r="AS1436" s="2867"/>
      <c r="AT1436" s="2867"/>
      <c r="AU1436" s="2867"/>
      <c r="AV1436" s="2867"/>
      <c r="AW1436" s="2867"/>
      <c r="AX1436" s="2867"/>
      <c r="AY1436" s="2867"/>
      <c r="AZ1436" s="2867"/>
      <c r="BA1436" s="2867"/>
      <c r="BB1436" s="2867"/>
      <c r="BC1436" s="2867"/>
      <c r="BD1436" s="2867"/>
      <c r="BE1436" s="2867"/>
      <c r="BF1436" s="2867"/>
      <c r="BG1436" s="2867"/>
      <c r="BH1436" s="2867"/>
      <c r="BI1436" s="2867"/>
      <c r="BJ1436" s="2867"/>
      <c r="BK1436" s="2867"/>
      <c r="BL1436" s="2867"/>
      <c r="BM1436" s="2867"/>
      <c r="BN1436" s="2867"/>
      <c r="BO1436" s="2867"/>
      <c r="BP1436" s="2867"/>
      <c r="BQ1436" s="2867"/>
      <c r="BR1436" s="2867"/>
      <c r="BS1436" s="2867"/>
      <c r="BT1436" s="2867"/>
      <c r="BU1436" s="2867"/>
      <c r="BV1436" s="2867"/>
      <c r="BW1436" s="2867"/>
      <c r="BX1436" s="2867"/>
      <c r="BY1436" s="2867"/>
      <c r="BZ1436" s="2867"/>
      <c r="CA1436" s="2867"/>
      <c r="CB1436" s="2867"/>
      <c r="CC1436" s="2867"/>
      <c r="CD1436" s="2867"/>
      <c r="CE1436" s="2867"/>
      <c r="CF1436" s="2867"/>
      <c r="CG1436" s="2867"/>
      <c r="CH1436" s="2867"/>
      <c r="CI1436" s="2867"/>
      <c r="CJ1436" s="2867"/>
      <c r="CK1436" s="2867"/>
      <c r="CL1436" s="2867"/>
      <c r="CM1436" s="2867"/>
      <c r="CN1436" s="2867"/>
      <c r="CO1436" s="2867"/>
      <c r="CP1436" s="2867"/>
      <c r="CQ1436" s="2867"/>
      <c r="CR1436" s="2867"/>
      <c r="CS1436" s="2867"/>
      <c r="CT1436" s="2867"/>
      <c r="CU1436" s="2867"/>
      <c r="CV1436" s="2867"/>
      <c r="CW1436" s="2867"/>
    </row>
    <row r="1437" spans="1:101">
      <c r="A1437" s="2867"/>
      <c r="B1437" s="2867"/>
      <c r="C1437" s="2867"/>
      <c r="D1437" s="2867"/>
      <c r="E1437" s="2867"/>
      <c r="F1437" s="2867"/>
      <c r="G1437" s="2867"/>
      <c r="H1437" s="2867"/>
      <c r="I1437" s="2867"/>
      <c r="J1437" s="2867"/>
      <c r="K1437" s="2867"/>
      <c r="L1437" s="2867"/>
      <c r="M1437" s="2867"/>
      <c r="O1437" s="2867"/>
      <c r="P1437" s="2867"/>
      <c r="Q1437" s="2867"/>
      <c r="R1437" s="2867"/>
      <c r="S1437" s="2867"/>
      <c r="T1437" s="2867"/>
      <c r="U1437" s="2867"/>
      <c r="V1437" s="2867"/>
      <c r="W1437" s="2867"/>
      <c r="X1437" s="2867"/>
      <c r="Y1437" s="2867"/>
      <c r="Z1437" s="2867"/>
      <c r="AA1437" s="2867"/>
      <c r="AB1437" s="2867"/>
      <c r="AC1437" s="2867"/>
      <c r="AD1437" s="2867"/>
      <c r="AE1437" s="2867"/>
      <c r="AF1437" s="2867"/>
      <c r="AG1437" s="2867"/>
      <c r="AH1437" s="2867"/>
      <c r="AI1437" s="2867"/>
      <c r="AJ1437" s="2867"/>
      <c r="AK1437" s="2867"/>
      <c r="AL1437" s="2867"/>
      <c r="AM1437" s="2867"/>
      <c r="AN1437" s="2867"/>
      <c r="AO1437" s="2867"/>
      <c r="AP1437" s="2867"/>
      <c r="AQ1437" s="2867"/>
      <c r="AR1437" s="2867"/>
      <c r="AS1437" s="2867"/>
      <c r="AT1437" s="2867"/>
      <c r="AU1437" s="2867"/>
      <c r="AV1437" s="2867"/>
      <c r="AW1437" s="2867"/>
      <c r="AX1437" s="2867"/>
      <c r="AY1437" s="2867"/>
      <c r="AZ1437" s="2867"/>
      <c r="BA1437" s="2867"/>
      <c r="BB1437" s="2867"/>
      <c r="BC1437" s="2867"/>
      <c r="BD1437" s="2867"/>
      <c r="BE1437" s="2867"/>
      <c r="BF1437" s="2867"/>
      <c r="BG1437" s="2867"/>
      <c r="BH1437" s="2867"/>
      <c r="BI1437" s="2867"/>
      <c r="BJ1437" s="2867"/>
      <c r="BK1437" s="2867"/>
      <c r="BL1437" s="2867"/>
      <c r="BM1437" s="2867"/>
      <c r="BN1437" s="2867"/>
      <c r="BO1437" s="2867"/>
      <c r="BP1437" s="2867"/>
      <c r="BQ1437" s="2867"/>
      <c r="BR1437" s="2867"/>
      <c r="BS1437" s="2867"/>
      <c r="BT1437" s="2867"/>
      <c r="BU1437" s="2867"/>
      <c r="BV1437" s="2867"/>
      <c r="BW1437" s="2867"/>
      <c r="BX1437" s="2867"/>
      <c r="BY1437" s="2867"/>
      <c r="BZ1437" s="2867"/>
      <c r="CA1437" s="2867"/>
      <c r="CB1437" s="2867"/>
      <c r="CC1437" s="2867"/>
      <c r="CD1437" s="2867"/>
      <c r="CE1437" s="2867"/>
      <c r="CF1437" s="2867"/>
      <c r="CG1437" s="2867"/>
      <c r="CH1437" s="2867"/>
      <c r="CI1437" s="2867"/>
      <c r="CJ1437" s="2867"/>
      <c r="CK1437" s="2867"/>
      <c r="CL1437" s="2867"/>
      <c r="CM1437" s="2867"/>
      <c r="CN1437" s="2867"/>
      <c r="CO1437" s="2867"/>
      <c r="CP1437" s="2867"/>
      <c r="CQ1437" s="2867"/>
      <c r="CR1437" s="2867"/>
      <c r="CS1437" s="2867"/>
      <c r="CT1437" s="2867"/>
      <c r="CU1437" s="2867"/>
      <c r="CV1437" s="2867"/>
      <c r="CW1437" s="2867"/>
    </row>
    <row r="1438" spans="1:101">
      <c r="A1438" s="2867"/>
      <c r="B1438" s="2867"/>
      <c r="C1438" s="2867"/>
      <c r="D1438" s="2867"/>
      <c r="E1438" s="2867"/>
      <c r="F1438" s="2867"/>
      <c r="G1438" s="2867"/>
      <c r="H1438" s="2867"/>
      <c r="I1438" s="2867"/>
      <c r="J1438" s="2867"/>
      <c r="K1438" s="2867"/>
      <c r="L1438" s="2867"/>
      <c r="M1438" s="2867"/>
      <c r="O1438" s="2867"/>
      <c r="P1438" s="2867"/>
      <c r="Q1438" s="2867"/>
      <c r="R1438" s="2867"/>
      <c r="S1438" s="2867"/>
      <c r="T1438" s="2867"/>
      <c r="U1438" s="2867"/>
      <c r="V1438" s="2867"/>
      <c r="W1438" s="2867"/>
      <c r="X1438" s="2867"/>
      <c r="Y1438" s="2867"/>
      <c r="Z1438" s="2867"/>
      <c r="AA1438" s="2867"/>
      <c r="AB1438" s="2867"/>
      <c r="AC1438" s="2867"/>
      <c r="AD1438" s="2867"/>
      <c r="AE1438" s="2867"/>
      <c r="AF1438" s="2867"/>
      <c r="AG1438" s="2867"/>
      <c r="AH1438" s="2867"/>
      <c r="AI1438" s="2867"/>
      <c r="AJ1438" s="2867"/>
      <c r="AK1438" s="2867"/>
      <c r="AL1438" s="2867"/>
      <c r="AM1438" s="2867"/>
      <c r="AN1438" s="2867"/>
      <c r="AO1438" s="2867"/>
      <c r="AP1438" s="2867"/>
      <c r="AQ1438" s="2867"/>
      <c r="AR1438" s="2867"/>
      <c r="AS1438" s="2867"/>
      <c r="AT1438" s="2867"/>
      <c r="AU1438" s="2867"/>
      <c r="AV1438" s="2867"/>
      <c r="AW1438" s="2867"/>
      <c r="AX1438" s="2867"/>
      <c r="AY1438" s="2867"/>
      <c r="AZ1438" s="2867"/>
      <c r="BA1438" s="2867"/>
      <c r="BB1438" s="2867"/>
      <c r="BC1438" s="2867"/>
      <c r="BD1438" s="2867"/>
      <c r="BE1438" s="2867"/>
      <c r="BF1438" s="2867"/>
      <c r="BG1438" s="2867"/>
      <c r="BH1438" s="2867"/>
      <c r="BI1438" s="2867"/>
      <c r="BJ1438" s="2867"/>
      <c r="BK1438" s="2867"/>
      <c r="BL1438" s="2867"/>
      <c r="BM1438" s="2867"/>
      <c r="BN1438" s="2867"/>
      <c r="BO1438" s="2867"/>
      <c r="BP1438" s="2867"/>
      <c r="BQ1438" s="2867"/>
      <c r="BR1438" s="2867"/>
      <c r="BS1438" s="2867"/>
      <c r="BT1438" s="2867"/>
      <c r="BU1438" s="2867"/>
      <c r="BV1438" s="2867"/>
      <c r="BW1438" s="2867"/>
      <c r="BX1438" s="2867"/>
      <c r="BY1438" s="2867"/>
      <c r="BZ1438" s="2867"/>
      <c r="CA1438" s="2867"/>
      <c r="CB1438" s="2867"/>
      <c r="CC1438" s="2867"/>
      <c r="CD1438" s="2867"/>
      <c r="CE1438" s="2867"/>
      <c r="CF1438" s="2867"/>
      <c r="CG1438" s="2867"/>
      <c r="CH1438" s="2867"/>
      <c r="CI1438" s="2867"/>
      <c r="CJ1438" s="2867"/>
      <c r="CK1438" s="2867"/>
      <c r="CL1438" s="2867"/>
      <c r="CM1438" s="2867"/>
      <c r="CN1438" s="2867"/>
      <c r="CO1438" s="2867"/>
      <c r="CP1438" s="2867"/>
      <c r="CQ1438" s="2867"/>
      <c r="CR1438" s="2867"/>
      <c r="CS1438" s="2867"/>
      <c r="CT1438" s="2867"/>
      <c r="CU1438" s="2867"/>
      <c r="CV1438" s="2867"/>
      <c r="CW1438" s="2867"/>
    </row>
    <row r="1439" spans="1:101">
      <c r="A1439" s="2867"/>
      <c r="B1439" s="2867"/>
      <c r="C1439" s="2867"/>
      <c r="D1439" s="2867"/>
      <c r="E1439" s="2867"/>
      <c r="F1439" s="2867"/>
      <c r="G1439" s="2867"/>
      <c r="H1439" s="2867"/>
      <c r="I1439" s="2867"/>
      <c r="J1439" s="2867"/>
      <c r="K1439" s="2867"/>
      <c r="L1439" s="2867"/>
      <c r="M1439" s="2867"/>
      <c r="O1439" s="2867"/>
      <c r="P1439" s="2867"/>
      <c r="Q1439" s="2867"/>
      <c r="R1439" s="2867"/>
      <c r="S1439" s="2867"/>
      <c r="T1439" s="2867"/>
      <c r="U1439" s="2867"/>
      <c r="V1439" s="2867"/>
      <c r="W1439" s="2867"/>
      <c r="X1439" s="2867"/>
      <c r="Y1439" s="2867"/>
      <c r="Z1439" s="2867"/>
      <c r="AA1439" s="2867"/>
      <c r="AB1439" s="2867"/>
      <c r="AC1439" s="2867"/>
      <c r="AD1439" s="2867"/>
      <c r="AE1439" s="2867"/>
      <c r="AF1439" s="2867"/>
      <c r="AG1439" s="2867"/>
      <c r="AH1439" s="2867"/>
      <c r="AI1439" s="2867"/>
      <c r="AJ1439" s="2867"/>
      <c r="AK1439" s="2867"/>
      <c r="AL1439" s="2867"/>
      <c r="AM1439" s="2867"/>
      <c r="AN1439" s="2867"/>
      <c r="AO1439" s="2867"/>
      <c r="AP1439" s="2867"/>
      <c r="AQ1439" s="2867"/>
      <c r="AR1439" s="2867"/>
      <c r="AS1439" s="2867"/>
      <c r="AT1439" s="2867"/>
      <c r="AU1439" s="2867"/>
      <c r="AV1439" s="2867"/>
      <c r="AW1439" s="2867"/>
      <c r="AX1439" s="2867"/>
      <c r="AY1439" s="2867"/>
      <c r="AZ1439" s="2867"/>
      <c r="BA1439" s="2867"/>
      <c r="BB1439" s="2867"/>
      <c r="BC1439" s="2867"/>
      <c r="BD1439" s="2867"/>
      <c r="BE1439" s="2867"/>
      <c r="BF1439" s="2867"/>
      <c r="BG1439" s="2867"/>
      <c r="BH1439" s="2867"/>
      <c r="BI1439" s="2867"/>
      <c r="BJ1439" s="2867"/>
      <c r="BK1439" s="2867"/>
      <c r="BL1439" s="2867"/>
      <c r="BM1439" s="2867"/>
      <c r="BN1439" s="2867"/>
      <c r="BO1439" s="2867"/>
      <c r="BP1439" s="2867"/>
      <c r="BQ1439" s="2867"/>
      <c r="BR1439" s="2867"/>
      <c r="BS1439" s="2867"/>
      <c r="BT1439" s="2867"/>
      <c r="BU1439" s="2867"/>
      <c r="BV1439" s="2867"/>
      <c r="BW1439" s="2867"/>
      <c r="BX1439" s="2867"/>
      <c r="BY1439" s="2867"/>
      <c r="BZ1439" s="2867"/>
      <c r="CA1439" s="2867"/>
      <c r="CB1439" s="2867"/>
      <c r="CC1439" s="2867"/>
      <c r="CD1439" s="2867"/>
      <c r="CE1439" s="2867"/>
      <c r="CF1439" s="2867"/>
      <c r="CG1439" s="2867"/>
      <c r="CH1439" s="2867"/>
      <c r="CI1439" s="2867"/>
      <c r="CJ1439" s="2867"/>
      <c r="CK1439" s="2867"/>
      <c r="CL1439" s="2867"/>
      <c r="CM1439" s="2867"/>
      <c r="CN1439" s="2867"/>
      <c r="CO1439" s="2867"/>
      <c r="CP1439" s="2867"/>
      <c r="CQ1439" s="2867"/>
      <c r="CR1439" s="2867"/>
      <c r="CS1439" s="2867"/>
      <c r="CT1439" s="2867"/>
      <c r="CU1439" s="2867"/>
      <c r="CV1439" s="2867"/>
      <c r="CW1439" s="2867"/>
    </row>
  </sheetData>
  <phoneticPr fontId="4" type="noConversion"/>
  <pageMargins left="1" right="0.75" top="1" bottom="0.5" header="0" footer="0"/>
  <pageSetup scale="64" orientation="landscape" r:id="rId1"/>
  <headerFooter alignWithMargins="0"/>
  <ignoredErrors>
    <ignoredError sqref="N32" formula="1"/>
  </ignoredErrors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>
    <tabColor theme="6" tint="0.39997558519241921"/>
    <pageSetUpPr fitToPage="1"/>
  </sheetPr>
  <dimension ref="A1:AQ280"/>
  <sheetViews>
    <sheetView topLeftCell="T125" zoomScale="80" zoomScaleNormal="80" workbookViewId="0"/>
  </sheetViews>
  <sheetFormatPr defaultColWidth="8" defaultRowHeight="13.2"/>
  <cols>
    <col min="1" max="1" width="8" style="1603"/>
    <col min="2" max="2" width="7" style="1603" customWidth="1"/>
    <col min="3" max="3" width="0.5546875" style="1603" customWidth="1"/>
    <col min="4" max="4" width="37.5546875" style="1603" customWidth="1"/>
    <col min="5" max="5" width="1.44140625" style="1603" customWidth="1"/>
    <col min="6" max="6" width="15.5546875" style="1603" customWidth="1"/>
    <col min="7" max="7" width="16" style="1603" customWidth="1"/>
    <col min="8" max="8" width="16.5546875" style="1603" customWidth="1"/>
    <col min="9" max="9" width="1.33203125" style="1603" customWidth="1"/>
    <col min="10" max="10" width="17.109375" style="1603" customWidth="1"/>
    <col min="11" max="11" width="7.88671875" style="1603" customWidth="1"/>
    <col min="12" max="12" width="8" style="1603" customWidth="1"/>
    <col min="13" max="13" width="2.109375" style="1603" customWidth="1"/>
    <col min="14" max="14" width="36.109375" style="1603" customWidth="1"/>
    <col min="15" max="15" width="3.44140625" style="1603" customWidth="1"/>
    <col min="16" max="18" width="15.44140625" style="1603" customWidth="1"/>
    <col min="19" max="19" width="3.44140625" style="1603" customWidth="1"/>
    <col min="20" max="21" width="15.5546875" style="1603" customWidth="1"/>
    <col min="22" max="22" width="9.6640625" style="1603" customWidth="1"/>
    <col min="23" max="23" width="6.33203125" style="1603" customWidth="1"/>
    <col min="24" max="24" width="1" style="1603" customWidth="1"/>
    <col min="25" max="25" width="33.88671875" style="1603" customWidth="1"/>
    <col min="26" max="26" width="0.88671875" style="1603" customWidth="1"/>
    <col min="27" max="29" width="14.5546875" style="1603" customWidth="1"/>
    <col min="30" max="30" width="14.44140625" style="1603" customWidth="1"/>
    <col min="31" max="38" width="13.88671875" style="1603" customWidth="1"/>
    <col min="39" max="39" width="15.109375" style="1603" customWidth="1"/>
    <col min="40" max="40" width="8" style="1603" customWidth="1"/>
    <col min="41" max="41" width="7.109375" style="1603" customWidth="1"/>
    <col min="42" max="42" width="13.6640625" style="1603" customWidth="1"/>
    <col min="43" max="43" width="31.88671875" style="1603" customWidth="1"/>
    <col min="44" max="44" width="0.5546875" style="1603" customWidth="1"/>
    <col min="45" max="45" width="16.109375" style="1603" customWidth="1"/>
    <col min="46" max="46" width="0.5546875" style="1603" customWidth="1"/>
    <col min="47" max="47" width="15.5546875" style="1603" customWidth="1"/>
    <col min="48" max="48" width="0.5546875" style="1603" customWidth="1"/>
    <col min="49" max="49" width="15.6640625" style="1603" customWidth="1"/>
    <col min="50" max="50" width="1.109375" style="1603" customWidth="1"/>
    <col min="51" max="51" width="14.6640625" style="1603" customWidth="1"/>
    <col min="52" max="52" width="1.109375" style="1603" customWidth="1"/>
    <col min="53" max="53" width="14.109375" style="1603" customWidth="1"/>
    <col min="54" max="54" width="1.109375" style="1603" customWidth="1"/>
    <col min="55" max="55" width="13.6640625" style="1603" customWidth="1"/>
    <col min="56" max="56" width="1.33203125" style="1603" customWidth="1"/>
    <col min="57" max="57" width="14" style="1603" customWidth="1"/>
    <col min="58" max="58" width="1" style="1603" customWidth="1"/>
    <col min="59" max="59" width="12.5546875" style="1603" customWidth="1"/>
    <col min="60" max="60" width="0.6640625" style="1603" customWidth="1"/>
    <col min="61" max="61" width="15.109375" style="1603" customWidth="1"/>
    <col min="62" max="62" width="1.5546875" style="1603" customWidth="1"/>
    <col min="63" max="63" width="15.44140625" style="1603" customWidth="1"/>
    <col min="64" max="16384" width="8" style="1603"/>
  </cols>
  <sheetData>
    <row r="1" spans="2:12">
      <c r="B1" s="1616" t="str">
        <f>COMPANY</f>
        <v>DUKE ENERGY KENTUCKY, INC.</v>
      </c>
      <c r="H1" s="1617" t="s">
        <v>1534</v>
      </c>
    </row>
    <row r="2" spans="2:12">
      <c r="B2" s="1886" t="str">
        <f>CASE</f>
        <v>CASE NO. 2018-00261</v>
      </c>
      <c r="H2" s="1616" t="s">
        <v>1535</v>
      </c>
    </row>
    <row r="3" spans="2:12">
      <c r="B3" s="1616" t="s">
        <v>1966</v>
      </c>
      <c r="H3" s="1603" t="str">
        <f>"      "&amp;_WIT1</f>
        <v xml:space="preserve">      S. E. LAWLER</v>
      </c>
    </row>
    <row r="4" spans="2:12">
      <c r="B4" s="1616" t="str">
        <f>PERIOD</f>
        <v>FOR THE TWELVE MONTHS ENDED NOVEMBER 30, 2018</v>
      </c>
    </row>
    <row r="5" spans="2:12">
      <c r="B5" s="1616" t="str">
        <f>LOGO!B12</f>
        <v>DATA: "X" BASE PERIOD   FORECASTED PERIOD</v>
      </c>
    </row>
    <row r="6" spans="2:12">
      <c r="B6" s="1616" t="str">
        <f>LOGO!B15</f>
        <v xml:space="preserve">TYPE OF FILING:  "X" ORIGINAL   UPDATED    REVISED  </v>
      </c>
    </row>
    <row r="9" spans="2:12">
      <c r="F9" s="1734" t="s">
        <v>1726</v>
      </c>
      <c r="G9" s="1734"/>
      <c r="H9" s="1734"/>
      <c r="J9" s="3425" t="s">
        <v>884</v>
      </c>
    </row>
    <row r="10" spans="2:12">
      <c r="B10" s="3425" t="s">
        <v>567</v>
      </c>
      <c r="F10" s="1887" t="s">
        <v>1536</v>
      </c>
      <c r="G10" s="1888"/>
      <c r="H10" s="1888"/>
      <c r="J10" s="3425" t="s">
        <v>1537</v>
      </c>
    </row>
    <row r="11" spans="2:12">
      <c r="B11" s="1889" t="s">
        <v>766</v>
      </c>
      <c r="D11" s="1890" t="s">
        <v>1538</v>
      </c>
      <c r="F11" s="1889" t="s">
        <v>740</v>
      </c>
      <c r="G11" s="1889" t="s">
        <v>1539</v>
      </c>
      <c r="H11" s="1889" t="s">
        <v>1540</v>
      </c>
      <c r="J11" s="1889" t="s">
        <v>1541</v>
      </c>
    </row>
    <row r="12" spans="2:12">
      <c r="F12" s="1614"/>
      <c r="G12" s="1614"/>
      <c r="H12" s="1614"/>
      <c r="I12" s="1891"/>
      <c r="J12" s="1891"/>
    </row>
    <row r="13" spans="2:12">
      <c r="B13" s="3425">
        <v>1</v>
      </c>
      <c r="C13" s="1739"/>
      <c r="D13" s="1616" t="s">
        <v>110</v>
      </c>
      <c r="E13" s="1614"/>
      <c r="F13" s="1892">
        <f>J13-G13</f>
        <v>59937371</v>
      </c>
      <c r="G13" s="1892">
        <f>AM105-G25</f>
        <v>43170777</v>
      </c>
      <c r="H13" s="1892"/>
      <c r="I13" s="1891"/>
      <c r="J13" s="1614">
        <f>'SCH_C2.1 - Base Period'!J64-J15-J27</f>
        <v>103108148</v>
      </c>
      <c r="K13" s="1893"/>
      <c r="L13" s="1894"/>
    </row>
    <row r="14" spans="2:12">
      <c r="B14" s="3425">
        <v>2</v>
      </c>
      <c r="C14" s="1739"/>
      <c r="F14" s="1891"/>
      <c r="G14" s="1891"/>
      <c r="H14" s="1891"/>
      <c r="I14" s="1891"/>
      <c r="J14" s="1891"/>
      <c r="K14" s="1895"/>
      <c r="L14" s="1610"/>
    </row>
    <row r="15" spans="2:12">
      <c r="B15" s="3425">
        <v>3</v>
      </c>
      <c r="D15" s="1616" t="s">
        <v>1866</v>
      </c>
      <c r="E15" s="1614"/>
      <c r="F15" s="1892">
        <f>AM113</f>
        <v>-415413.21400000015</v>
      </c>
      <c r="G15" s="1892">
        <f>AM121</f>
        <v>2285685.2140000002</v>
      </c>
      <c r="H15" s="1891"/>
      <c r="I15" s="1891"/>
      <c r="J15" s="1614">
        <f>SUM(F15:H15)</f>
        <v>1870272</v>
      </c>
      <c r="K15" s="1893"/>
      <c r="L15" s="1894"/>
    </row>
    <row r="16" spans="2:12">
      <c r="B16" s="3425">
        <v>4</v>
      </c>
      <c r="F16" s="1891"/>
      <c r="G16" s="1614"/>
      <c r="H16" s="1891"/>
      <c r="I16" s="1891"/>
      <c r="J16" s="1891"/>
      <c r="K16" s="1895"/>
      <c r="L16" s="1610"/>
    </row>
    <row r="17" spans="1:12">
      <c r="B17" s="3425">
        <v>5</v>
      </c>
      <c r="D17" s="1616" t="s">
        <v>111</v>
      </c>
      <c r="F17" s="1891"/>
      <c r="G17" s="1891"/>
      <c r="H17" s="1891"/>
      <c r="I17" s="1891"/>
      <c r="J17" s="1604" t="s">
        <v>749</v>
      </c>
      <c r="K17" s="1896"/>
      <c r="L17" s="1610"/>
    </row>
    <row r="18" spans="1:12">
      <c r="B18" s="3508">
        <v>6</v>
      </c>
      <c r="D18" s="1616" t="s">
        <v>1542</v>
      </c>
      <c r="F18" s="1614"/>
      <c r="G18" s="1614"/>
      <c r="H18" s="1614">
        <f>'SCH_C2.1 - Base Period'!J47</f>
        <v>0</v>
      </c>
      <c r="I18" s="1891"/>
      <c r="J18" s="1614">
        <f t="shared" ref="J18:J26" si="0">SUM(F18:H18)</f>
        <v>0</v>
      </c>
      <c r="K18" s="1893"/>
      <c r="L18" s="1894"/>
    </row>
    <row r="19" spans="1:12">
      <c r="B19" s="3508">
        <v>7</v>
      </c>
      <c r="D19" s="1616" t="s">
        <v>2233</v>
      </c>
      <c r="F19" s="1614"/>
      <c r="G19" s="1614"/>
      <c r="H19" s="1618">
        <v>20854</v>
      </c>
      <c r="I19" s="1891"/>
      <c r="J19" s="1614">
        <f t="shared" si="0"/>
        <v>20854</v>
      </c>
      <c r="K19" s="1893"/>
      <c r="L19" s="1894"/>
    </row>
    <row r="20" spans="1:12">
      <c r="B20" s="3508">
        <v>8</v>
      </c>
      <c r="D20" s="1616" t="s">
        <v>2232</v>
      </c>
      <c r="F20" s="1614"/>
      <c r="G20" s="1614"/>
      <c r="H20" s="1618">
        <v>16415</v>
      </c>
      <c r="I20" s="1891"/>
      <c r="J20" s="1614">
        <f t="shared" si="0"/>
        <v>16415</v>
      </c>
      <c r="K20" s="1893"/>
      <c r="L20" s="1894"/>
    </row>
    <row r="21" spans="1:12">
      <c r="B21" s="3508">
        <v>9</v>
      </c>
      <c r="D21" s="1616" t="s">
        <v>2248</v>
      </c>
      <c r="F21" s="1614"/>
      <c r="G21" s="1614"/>
      <c r="H21" s="1618">
        <v>687</v>
      </c>
      <c r="I21" s="1891"/>
      <c r="J21" s="1614">
        <f t="shared" si="0"/>
        <v>687</v>
      </c>
      <c r="K21" s="1893"/>
      <c r="L21" s="1894"/>
    </row>
    <row r="22" spans="1:12">
      <c r="A22" s="1603">
        <v>488100</v>
      </c>
      <c r="B22" s="3508">
        <v>10</v>
      </c>
      <c r="D22" s="1616" t="s">
        <v>1543</v>
      </c>
      <c r="F22" s="1891"/>
      <c r="G22" s="1891"/>
      <c r="H22" s="1614">
        <f>ROUND(VLOOKUP(A22,BasePeriod,5,FALSE),0)</f>
        <v>472796</v>
      </c>
      <c r="I22" s="1891"/>
      <c r="J22" s="1614">
        <f t="shared" si="0"/>
        <v>472796</v>
      </c>
      <c r="K22" s="1893"/>
      <c r="L22" s="1894"/>
    </row>
    <row r="23" spans="1:12">
      <c r="B23" s="3508">
        <v>11</v>
      </c>
      <c r="D23" s="1616" t="s">
        <v>1629</v>
      </c>
      <c r="F23" s="1614"/>
      <c r="G23" s="1614"/>
      <c r="H23" s="1614">
        <f>'SCH_C2.1 - Base Period'!J59</f>
        <v>7248</v>
      </c>
      <c r="I23" s="1891"/>
      <c r="J23" s="1614">
        <f t="shared" si="0"/>
        <v>7248</v>
      </c>
      <c r="K23" s="1893"/>
      <c r="L23" s="1894"/>
    </row>
    <row r="24" spans="1:12">
      <c r="B24" s="3508">
        <v>12</v>
      </c>
      <c r="D24" s="1616" t="s">
        <v>2230</v>
      </c>
      <c r="F24" s="1614"/>
      <c r="G24" s="1614"/>
      <c r="H24" s="1614">
        <f>'SCH_C2.1 - Base Period'!J61</f>
        <v>-3109032</v>
      </c>
      <c r="I24" s="1891"/>
      <c r="J24" s="1614">
        <f t="shared" si="0"/>
        <v>-3109032</v>
      </c>
      <c r="K24" s="1893"/>
      <c r="L24" s="1894"/>
    </row>
    <row r="25" spans="1:12">
      <c r="B25" s="3508">
        <v>13</v>
      </c>
      <c r="D25" s="1897" t="s">
        <v>2231</v>
      </c>
      <c r="F25" s="1619">
        <f>AM91</f>
        <v>6886</v>
      </c>
      <c r="G25" s="1619">
        <f>AM104</f>
        <v>26700</v>
      </c>
      <c r="H25" s="1619"/>
      <c r="I25" s="1894"/>
      <c r="J25" s="1619">
        <f t="shared" si="0"/>
        <v>33586</v>
      </c>
      <c r="K25" s="1893"/>
      <c r="L25" s="1894"/>
    </row>
    <row r="26" spans="1:12">
      <c r="B26" s="3508">
        <v>14</v>
      </c>
      <c r="D26" s="1897" t="s">
        <v>3011</v>
      </c>
      <c r="F26" s="1619"/>
      <c r="G26" s="1619"/>
      <c r="H26" s="1619">
        <f t="array" ref="H26">'SCH_C2.1 - Base Period'!J62-SUM(H18:H24)-SUM(IF(FERCBP=489,AmountBP))</f>
        <v>15845</v>
      </c>
      <c r="I26" s="1894"/>
      <c r="J26" s="1619">
        <f t="shared" si="0"/>
        <v>15845</v>
      </c>
      <c r="K26" s="1893"/>
      <c r="L26" s="1894"/>
    </row>
    <row r="27" spans="1:12">
      <c r="B27" s="3508">
        <v>15</v>
      </c>
      <c r="D27" s="1616" t="s">
        <v>1544</v>
      </c>
      <c r="F27" s="1599"/>
      <c r="G27" s="1599"/>
      <c r="H27" s="3025">
        <f>SUM(H18:H26)</f>
        <v>-2575187</v>
      </c>
      <c r="J27" s="3025">
        <f>SUM(J18:J26)</f>
        <v>-2541601</v>
      </c>
      <c r="K27" s="1893"/>
      <c r="L27" s="1894"/>
    </row>
    <row r="28" spans="1:12">
      <c r="B28" s="3508">
        <v>16</v>
      </c>
      <c r="K28" s="1895"/>
      <c r="L28" s="1610"/>
    </row>
    <row r="29" spans="1:12" ht="13.8" thickBot="1">
      <c r="B29" s="3508">
        <v>17</v>
      </c>
      <c r="D29" s="3425" t="s">
        <v>1545</v>
      </c>
      <c r="F29" s="1620">
        <f>SUM(F13:F27)</f>
        <v>59528843.785999998</v>
      </c>
      <c r="G29" s="1620">
        <f>SUM(G13:G27)</f>
        <v>45483162.214000002</v>
      </c>
      <c r="H29" s="1620">
        <f>H15+H27</f>
        <v>-2575187</v>
      </c>
      <c r="J29" s="1620">
        <f>IF(J13+J15+J27=SCH_C2!E20,J13+J15+J27,"Check WPC-2a Rev")</f>
        <v>102436819</v>
      </c>
      <c r="K29" s="1893"/>
      <c r="L29" s="1894"/>
    </row>
    <row r="30" spans="1:12" ht="13.8" thickTop="1">
      <c r="B30" s="3425"/>
      <c r="J30" s="1614"/>
      <c r="K30" s="1610"/>
      <c r="L30" s="1610"/>
    </row>
    <row r="31" spans="1:12">
      <c r="B31" s="1898"/>
      <c r="J31" s="1614"/>
      <c r="K31" s="1610"/>
      <c r="L31" s="1610"/>
    </row>
    <row r="32" spans="1:12">
      <c r="B32" s="1898"/>
      <c r="D32" s="1603" t="s">
        <v>1546</v>
      </c>
      <c r="J32" s="1614"/>
      <c r="K32" s="1610"/>
      <c r="L32" s="1610"/>
    </row>
    <row r="33" spans="2:21">
      <c r="B33" s="1898"/>
      <c r="D33" s="1616" t="s">
        <v>1865</v>
      </c>
    </row>
    <row r="34" spans="2:21" ht="15">
      <c r="B34" s="1898"/>
      <c r="D34" s="1616" t="s">
        <v>434</v>
      </c>
      <c r="H34" s="126"/>
    </row>
    <row r="35" spans="2:21">
      <c r="D35" s="1899"/>
      <c r="E35" s="1610"/>
      <c r="F35" s="1900"/>
      <c r="G35" s="1900"/>
      <c r="H35" s="1900"/>
      <c r="I35" s="1610"/>
      <c r="J35" s="1610"/>
      <c r="L35" s="1616" t="str">
        <f>COMPANY</f>
        <v>DUKE ENERGY KENTUCKY, INC.</v>
      </c>
      <c r="R35" s="1617" t="s">
        <v>1547</v>
      </c>
    </row>
    <row r="36" spans="2:21">
      <c r="D36" s="1610"/>
      <c r="E36" s="1610"/>
      <c r="F36" s="1900"/>
      <c r="G36" s="1900"/>
      <c r="H36" s="1900"/>
      <c r="I36" s="1610"/>
      <c r="J36" s="1610"/>
      <c r="L36" s="1886" t="str">
        <f>CASE</f>
        <v>CASE NO. 2018-00261</v>
      </c>
      <c r="R36" s="1616" t="s">
        <v>1535</v>
      </c>
    </row>
    <row r="37" spans="2:21">
      <c r="D37" s="1610"/>
      <c r="E37" s="1610"/>
      <c r="F37" s="1900"/>
      <c r="G37" s="1900"/>
      <c r="H37" s="1900"/>
      <c r="I37" s="1610"/>
      <c r="J37" s="1610"/>
      <c r="L37" s="1616" t="str">
        <f>DEPT</f>
        <v>GAS DEPARTMENT</v>
      </c>
      <c r="R37" s="1603" t="str">
        <f>"      "&amp;_WIT1</f>
        <v xml:space="preserve">      S. E. LAWLER</v>
      </c>
    </row>
    <row r="38" spans="2:21">
      <c r="D38" s="1610"/>
      <c r="E38" s="1610"/>
      <c r="F38" s="1900"/>
      <c r="G38" s="1900"/>
      <c r="H38" s="1900"/>
      <c r="I38" s="1610"/>
      <c r="J38" s="1610"/>
      <c r="L38" s="1616" t="str">
        <f>PeriodF</f>
        <v>FOR THE TWELVE MONTHS ENDED MARCH 31, 2020</v>
      </c>
    </row>
    <row r="39" spans="2:21">
      <c r="D39" s="1610"/>
      <c r="E39" s="1610"/>
      <c r="F39" s="1900"/>
      <c r="G39" s="1900"/>
      <c r="H39" s="1900"/>
      <c r="I39" s="1610"/>
      <c r="J39" s="1610"/>
      <c r="L39" s="1616" t="str">
        <f>DataF</f>
        <v>DATA:  BASE PERIOD  "X" FORECASTED PERIOD</v>
      </c>
    </row>
    <row r="40" spans="2:21">
      <c r="D40" s="1610"/>
      <c r="E40" s="1610"/>
      <c r="F40" s="1900"/>
      <c r="G40" s="1900"/>
      <c r="H40" s="1900"/>
      <c r="I40" s="1610"/>
      <c r="J40" s="1610"/>
      <c r="L40" s="1616" t="str">
        <f>Type</f>
        <v xml:space="preserve">TYPE OF FILING:  "X" ORIGINAL   UPDATED    REVISED  </v>
      </c>
    </row>
    <row r="41" spans="2:21">
      <c r="D41" s="1610"/>
      <c r="E41" s="1610"/>
      <c r="F41" s="1900"/>
      <c r="G41" s="1900"/>
      <c r="H41" s="1900"/>
      <c r="I41" s="1610"/>
      <c r="J41" s="1610"/>
    </row>
    <row r="43" spans="2:21">
      <c r="P43" s="1734" t="s">
        <v>1231</v>
      </c>
      <c r="Q43" s="1734"/>
      <c r="R43" s="1734"/>
      <c r="T43" s="3425" t="s">
        <v>884</v>
      </c>
      <c r="U43" s="3425"/>
    </row>
    <row r="44" spans="2:21">
      <c r="L44" s="3425" t="s">
        <v>567</v>
      </c>
      <c r="P44" s="1887" t="s">
        <v>1536</v>
      </c>
      <c r="Q44" s="1888"/>
      <c r="R44" s="1888"/>
      <c r="T44" s="3425" t="s">
        <v>1537</v>
      </c>
      <c r="U44" s="3425"/>
    </row>
    <row r="45" spans="2:21">
      <c r="L45" s="1889" t="s">
        <v>766</v>
      </c>
      <c r="N45" s="1890" t="s">
        <v>1538</v>
      </c>
      <c r="P45" s="1889" t="s">
        <v>740</v>
      </c>
      <c r="Q45" s="1889" t="s">
        <v>1539</v>
      </c>
      <c r="R45" s="1889" t="s">
        <v>1540</v>
      </c>
      <c r="T45" s="1889" t="s">
        <v>1541</v>
      </c>
      <c r="U45" s="1901"/>
    </row>
    <row r="46" spans="2:21">
      <c r="B46" s="1898"/>
      <c r="P46" s="1614"/>
      <c r="Q46" s="1614"/>
      <c r="R46" s="1614"/>
      <c r="T46" s="1891"/>
      <c r="U46" s="1891"/>
    </row>
    <row r="47" spans="2:21">
      <c r="B47" s="1616"/>
      <c r="E47" s="1614"/>
      <c r="F47" s="1614"/>
      <c r="H47" s="1902"/>
      <c r="I47" s="1614"/>
      <c r="J47" s="1902"/>
      <c r="L47" s="3425">
        <v>1</v>
      </c>
      <c r="M47" s="1739"/>
      <c r="N47" s="1616" t="s">
        <v>110</v>
      </c>
      <c r="O47" s="1614"/>
      <c r="P47" s="1892">
        <f ca="1">T47-Q47</f>
        <v>57206210</v>
      </c>
      <c r="Q47" s="1892">
        <f>AM179-Q59</f>
        <v>36315653</v>
      </c>
      <c r="T47" s="1614">
        <f ca="1">'SCH_C2.1 - Forecasted Period'!J64-T49-T61</f>
        <v>93521863</v>
      </c>
      <c r="U47" s="1614"/>
    </row>
    <row r="48" spans="2:21">
      <c r="L48" s="3425">
        <v>2</v>
      </c>
      <c r="M48" s="1739"/>
      <c r="T48" s="1891"/>
      <c r="U48" s="1891"/>
    </row>
    <row r="49" spans="10:21">
      <c r="L49" s="3425">
        <v>3</v>
      </c>
      <c r="N49" s="1616" t="s">
        <v>1866</v>
      </c>
      <c r="O49" s="1614"/>
      <c r="P49" s="1892">
        <f>AM187</f>
        <v>309531</v>
      </c>
      <c r="Q49" s="1892">
        <f>AM195</f>
        <v>80547</v>
      </c>
      <c r="R49" s="1891"/>
      <c r="T49" s="1614">
        <f>SUM(P49:R49)</f>
        <v>390078</v>
      </c>
      <c r="U49" s="1614"/>
    </row>
    <row r="50" spans="10:21">
      <c r="L50" s="3425">
        <v>4</v>
      </c>
      <c r="N50" s="1616"/>
      <c r="O50" s="1614"/>
      <c r="P50" s="1892"/>
      <c r="Q50" s="1892"/>
      <c r="R50" s="1903"/>
      <c r="T50" s="1614"/>
      <c r="U50" s="1614"/>
    </row>
    <row r="51" spans="10:21">
      <c r="L51" s="3425">
        <v>5</v>
      </c>
      <c r="N51" s="1616" t="s">
        <v>111</v>
      </c>
      <c r="T51" s="1604" t="s">
        <v>749</v>
      </c>
      <c r="U51" s="1604"/>
    </row>
    <row r="52" spans="10:21">
      <c r="J52" s="1616"/>
      <c r="L52" s="3425">
        <v>6</v>
      </c>
      <c r="N52" s="1616" t="s">
        <v>1542</v>
      </c>
      <c r="P52" s="1614"/>
      <c r="Q52" s="1614"/>
      <c r="R52" s="1614">
        <f>'SCH_C2.1 - Forecasted Period'!J47</f>
        <v>0</v>
      </c>
      <c r="T52" s="1614">
        <f t="shared" ref="T52:T60" si="1">SUM(P52:R52)</f>
        <v>0</v>
      </c>
      <c r="U52" s="1614"/>
    </row>
    <row r="53" spans="10:21">
      <c r="J53" s="1616"/>
      <c r="L53" s="3425">
        <v>7</v>
      </c>
      <c r="N53" s="1616" t="s">
        <v>2233</v>
      </c>
      <c r="O53" s="1614"/>
      <c r="P53" s="1614"/>
      <c r="Q53" s="1614"/>
      <c r="R53" s="1618">
        <v>28032</v>
      </c>
      <c r="S53" s="1614"/>
      <c r="T53" s="1614">
        <f t="shared" si="1"/>
        <v>28032</v>
      </c>
      <c r="U53" s="1614"/>
    </row>
    <row r="54" spans="10:21">
      <c r="J54" s="1616"/>
      <c r="L54" s="3508">
        <v>8</v>
      </c>
      <c r="N54" s="1616" t="s">
        <v>2232</v>
      </c>
      <c r="R54" s="1618">
        <v>22068</v>
      </c>
      <c r="T54" s="1614">
        <f t="shared" si="1"/>
        <v>22068</v>
      </c>
      <c r="U54" s="1614"/>
    </row>
    <row r="55" spans="10:21">
      <c r="J55" s="1616"/>
      <c r="L55" s="3508">
        <v>9</v>
      </c>
      <c r="N55" s="1616" t="s">
        <v>2248</v>
      </c>
      <c r="R55" s="1618">
        <v>924</v>
      </c>
      <c r="T55" s="1614">
        <f t="shared" si="1"/>
        <v>924</v>
      </c>
      <c r="U55" s="1614"/>
    </row>
    <row r="56" spans="10:21">
      <c r="J56" s="1616"/>
      <c r="K56" s="1603">
        <v>488100</v>
      </c>
      <c r="L56" s="3508">
        <v>10</v>
      </c>
      <c r="N56" s="1616" t="s">
        <v>1543</v>
      </c>
      <c r="R56" s="1614">
        <f>ROUND(VLOOKUP(K56,FPERIOD,5,FALSE),0)</f>
        <v>514092</v>
      </c>
      <c r="T56" s="1614">
        <f t="shared" si="1"/>
        <v>514092</v>
      </c>
      <c r="U56" s="1614"/>
    </row>
    <row r="57" spans="10:21">
      <c r="J57" s="1616"/>
      <c r="L57" s="3508">
        <v>11</v>
      </c>
      <c r="N57" s="1616" t="s">
        <v>1629</v>
      </c>
      <c r="P57" s="1614"/>
      <c r="Q57" s="1614"/>
      <c r="R57" s="1614">
        <f>'SCH_C2.1 - Forecasted Period'!J59</f>
        <v>14496</v>
      </c>
      <c r="T57" s="1614">
        <f t="shared" si="1"/>
        <v>14496</v>
      </c>
      <c r="U57" s="1614"/>
    </row>
    <row r="58" spans="10:21">
      <c r="J58" s="1616"/>
      <c r="L58" s="3508">
        <v>12</v>
      </c>
      <c r="N58" s="1616" t="s">
        <v>2230</v>
      </c>
      <c r="P58" s="1614"/>
      <c r="Q58" s="1614"/>
      <c r="R58" s="1614"/>
      <c r="T58" s="1614">
        <f t="shared" si="1"/>
        <v>0</v>
      </c>
      <c r="U58" s="1614"/>
    </row>
    <row r="59" spans="10:21">
      <c r="J59" s="1897"/>
      <c r="L59" s="3508">
        <v>13</v>
      </c>
      <c r="N59" s="1897" t="s">
        <v>2231</v>
      </c>
      <c r="P59" s="1619">
        <f>AM168</f>
        <v>9326</v>
      </c>
      <c r="Q59" s="1619">
        <f>AM178</f>
        <v>18439</v>
      </c>
      <c r="R59" s="1619"/>
      <c r="S59" s="1610"/>
      <c r="T59" s="1619">
        <f t="shared" si="1"/>
        <v>27765</v>
      </c>
      <c r="U59" s="1614"/>
    </row>
    <row r="60" spans="10:21">
      <c r="J60" s="1897"/>
      <c r="L60" s="3508">
        <v>14</v>
      </c>
      <c r="N60" s="1897" t="s">
        <v>3011</v>
      </c>
      <c r="P60" s="1619"/>
      <c r="Q60" s="1619"/>
      <c r="R60" s="1619">
        <f t="array" aca="1" ref="R60" ca="1">'SCH_C2.1 - Forecasted Period'!J62-SUM(R52:R58)-SUM(IF(FERCFP=489,AmountFP))</f>
        <v>972</v>
      </c>
      <c r="T60" s="1619">
        <f t="shared" ca="1" si="1"/>
        <v>972</v>
      </c>
      <c r="U60" s="1614"/>
    </row>
    <row r="61" spans="10:21">
      <c r="L61" s="3508">
        <v>15</v>
      </c>
      <c r="N61" s="1616" t="s">
        <v>1544</v>
      </c>
      <c r="P61" s="1599"/>
      <c r="Q61" s="1599"/>
      <c r="R61" s="3025">
        <f ca="1">SUM(R52:R60)</f>
        <v>580584</v>
      </c>
      <c r="T61" s="3025">
        <f ca="1">SUM(T52:T60)</f>
        <v>608349</v>
      </c>
      <c r="U61" s="1614"/>
    </row>
    <row r="62" spans="10:21">
      <c r="L62" s="3508">
        <v>16</v>
      </c>
    </row>
    <row r="63" spans="10:21" ht="13.8" thickBot="1">
      <c r="L63" s="3508">
        <v>17</v>
      </c>
      <c r="N63" s="3425" t="s">
        <v>1545</v>
      </c>
      <c r="P63" s="1620">
        <f ca="1">SUM(P47:P61)</f>
        <v>57525067</v>
      </c>
      <c r="Q63" s="1620">
        <f>SUM(Q47:Q61)</f>
        <v>36414639</v>
      </c>
      <c r="R63" s="1620">
        <f ca="1">R49+R61</f>
        <v>580584</v>
      </c>
      <c r="T63" s="1620">
        <f ca="1">IF(T47+T49+T61=SCH_C2!H20,T47+T49+T61,"Check WPC-2a Rev")</f>
        <v>94520290</v>
      </c>
      <c r="U63" s="1619"/>
    </row>
    <row r="64" spans="10:21" ht="13.8" thickTop="1">
      <c r="L64" s="3425"/>
      <c r="T64" s="1614"/>
      <c r="U64" s="1614"/>
    </row>
    <row r="65" spans="12:38">
      <c r="L65" s="1898"/>
      <c r="T65" s="1614"/>
      <c r="U65" s="1614"/>
    </row>
    <row r="66" spans="12:38">
      <c r="L66" s="1898"/>
      <c r="N66" s="1603" t="s">
        <v>1546</v>
      </c>
      <c r="T66" s="1614"/>
      <c r="U66" s="1614"/>
    </row>
    <row r="67" spans="12:38">
      <c r="L67" s="1898"/>
      <c r="N67" s="1616" t="s">
        <v>432</v>
      </c>
    </row>
    <row r="68" spans="12:38">
      <c r="L68" s="1898"/>
      <c r="N68" s="1616" t="s">
        <v>434</v>
      </c>
    </row>
    <row r="69" spans="12:38">
      <c r="N69" s="1610"/>
      <c r="O69" s="1610"/>
      <c r="P69" s="1904"/>
      <c r="Q69" s="1904"/>
      <c r="R69" s="1904"/>
      <c r="S69" s="1610"/>
      <c r="T69" s="1901"/>
      <c r="U69" s="1901"/>
    </row>
    <row r="70" spans="12:38">
      <c r="N70" s="1610"/>
      <c r="O70" s="1610"/>
      <c r="P70" s="1905"/>
      <c r="Q70" s="1904"/>
      <c r="R70" s="1904"/>
      <c r="S70" s="1610"/>
      <c r="T70" s="1901"/>
      <c r="U70" s="1901"/>
    </row>
    <row r="71" spans="12:38">
      <c r="N71" s="1610"/>
      <c r="O71" s="1610"/>
      <c r="P71" s="1901"/>
      <c r="Q71" s="1901"/>
      <c r="R71" s="1901"/>
      <c r="S71" s="1610"/>
      <c r="T71" s="1901"/>
      <c r="U71" s="1901"/>
    </row>
    <row r="72" spans="12:38">
      <c r="N72" s="1906"/>
      <c r="O72" s="1610"/>
      <c r="P72" s="1894"/>
      <c r="Q72" s="1894"/>
      <c r="R72" s="1894"/>
      <c r="S72" s="1894"/>
      <c r="T72" s="1894"/>
      <c r="U72" s="1894"/>
      <c r="W72" s="1616" t="str">
        <f>COMPANY</f>
        <v>DUKE ENERGY KENTUCKY, INC.</v>
      </c>
      <c r="AL72" s="1616" t="s">
        <v>1036</v>
      </c>
    </row>
    <row r="73" spans="12:38">
      <c r="N73" s="1906"/>
      <c r="O73" s="1610"/>
      <c r="P73" s="1894"/>
      <c r="Q73" s="1894"/>
      <c r="R73" s="1894"/>
      <c r="S73" s="1894"/>
      <c r="T73" s="1894"/>
      <c r="U73" s="1894"/>
      <c r="W73" s="1886" t="str">
        <f>CASE</f>
        <v>CASE NO. 2018-00261</v>
      </c>
      <c r="AL73" s="1616" t="s">
        <v>566</v>
      </c>
    </row>
    <row r="74" spans="12:38">
      <c r="N74" s="1610"/>
      <c r="O74" s="1610"/>
      <c r="P74" s="1894"/>
      <c r="Q74" s="1894"/>
      <c r="R74" s="1894"/>
      <c r="S74" s="1907"/>
      <c r="T74" s="1894"/>
      <c r="U74" s="1894"/>
      <c r="W74" s="1616" t="str">
        <f>DEPT</f>
        <v>GAS DEPARTMENT</v>
      </c>
      <c r="AL74" s="1603" t="str">
        <f>_WIT1</f>
        <v>S. E. LAWLER</v>
      </c>
    </row>
    <row r="75" spans="12:38">
      <c r="N75" s="1906"/>
      <c r="O75" s="1610"/>
      <c r="P75" s="1894"/>
      <c r="Q75" s="1894"/>
      <c r="R75" s="1894"/>
      <c r="S75" s="1894"/>
      <c r="T75" s="1894"/>
      <c r="U75" s="1894"/>
      <c r="W75" s="1616" t="s">
        <v>1038</v>
      </c>
    </row>
    <row r="76" spans="12:38">
      <c r="N76" s="1610"/>
      <c r="O76" s="1610"/>
      <c r="P76" s="1894"/>
      <c r="Q76" s="1894"/>
      <c r="R76" s="1894"/>
      <c r="S76" s="1907"/>
      <c r="T76" s="1894"/>
      <c r="U76" s="1894"/>
      <c r="W76" s="1616" t="str">
        <f>PERIOD</f>
        <v>FOR THE TWELVE MONTHS ENDED NOVEMBER 30, 2018</v>
      </c>
    </row>
    <row r="77" spans="12:38">
      <c r="N77" s="1906"/>
      <c r="O77" s="1610"/>
      <c r="P77" s="1894"/>
      <c r="Q77" s="1894"/>
      <c r="R77" s="1894"/>
      <c r="S77" s="1610"/>
      <c r="T77" s="1894"/>
      <c r="U77" s="1894"/>
      <c r="W77" s="1616" t="str">
        <f>Data</f>
        <v>DATA: "X" BASE PERIOD   FORECASTED PERIOD</v>
      </c>
    </row>
    <row r="78" spans="12:38">
      <c r="N78" s="1610"/>
      <c r="O78" s="1610"/>
      <c r="P78" s="1610"/>
      <c r="Q78" s="1610"/>
      <c r="R78" s="1894"/>
      <c r="S78" s="1906"/>
      <c r="T78" s="1894"/>
      <c r="U78" s="1894"/>
      <c r="W78" s="1616" t="str">
        <f>Type</f>
        <v xml:space="preserve">TYPE OF FILING:  "X" ORIGINAL   UPDATED    REVISED  </v>
      </c>
    </row>
    <row r="79" spans="12:38">
      <c r="N79" s="1610"/>
      <c r="O79" s="1610"/>
      <c r="P79" s="1610"/>
      <c r="Q79" s="1610"/>
      <c r="R79" s="1610"/>
      <c r="S79" s="1610"/>
      <c r="T79" s="1610"/>
      <c r="U79" s="1610"/>
    </row>
    <row r="80" spans="12:38">
      <c r="N80" s="1610"/>
      <c r="O80" s="1610"/>
      <c r="P80" s="1894"/>
      <c r="Q80" s="1894"/>
      <c r="R80" s="1894"/>
      <c r="S80" s="1894"/>
      <c r="T80" s="1894"/>
      <c r="U80" s="1894"/>
      <c r="AE80" s="1891"/>
      <c r="AF80" s="1891"/>
      <c r="AG80" s="1891"/>
    </row>
    <row r="81" spans="14:39">
      <c r="N81" s="1610"/>
      <c r="O81" s="1610"/>
      <c r="P81" s="1610"/>
      <c r="Q81" s="1610"/>
      <c r="R81" s="1610"/>
      <c r="S81" s="1610"/>
      <c r="T81" s="1610"/>
      <c r="U81" s="1610"/>
      <c r="W81" s="3425" t="s">
        <v>1938</v>
      </c>
    </row>
    <row r="82" spans="14:39">
      <c r="N82" s="1610"/>
      <c r="O82" s="1610"/>
      <c r="P82" s="1908"/>
      <c r="Q82" s="1908"/>
      <c r="R82" s="1610"/>
      <c r="S82" s="1610"/>
      <c r="T82" s="1610"/>
      <c r="U82" s="1610"/>
      <c r="W82" s="1909" t="s">
        <v>1939</v>
      </c>
      <c r="Y82" s="1910" t="s">
        <v>1988</v>
      </c>
      <c r="AA82" s="1911">
        <f>LOGO!I7</f>
        <v>43100</v>
      </c>
      <c r="AB82" s="1911">
        <f>LOGO!I8</f>
        <v>43131</v>
      </c>
      <c r="AC82" s="1911">
        <f>LOGO!I9</f>
        <v>43159</v>
      </c>
      <c r="AD82" s="1911">
        <f>LOGO!I10</f>
        <v>43190</v>
      </c>
      <c r="AE82" s="1911">
        <f>LOGO!I11</f>
        <v>43220</v>
      </c>
      <c r="AF82" s="1911">
        <f>LOGO!I12</f>
        <v>43251</v>
      </c>
      <c r="AG82" s="1911">
        <f>LOGO!I13</f>
        <v>43281</v>
      </c>
      <c r="AH82" s="1911">
        <f>LOGO!I14</f>
        <v>43312</v>
      </c>
      <c r="AI82" s="1911">
        <f>LOGO!I15</f>
        <v>43343</v>
      </c>
      <c r="AJ82" s="1911">
        <f>LOGO!I16</f>
        <v>43373</v>
      </c>
      <c r="AK82" s="1911">
        <f>LOGO!I17</f>
        <v>43404</v>
      </c>
      <c r="AL82" s="1911">
        <f>LOGO!I18</f>
        <v>43434</v>
      </c>
      <c r="AM82" s="1182" t="s">
        <v>2153</v>
      </c>
    </row>
    <row r="83" spans="14:39">
      <c r="N83" s="1899"/>
      <c r="O83" s="1610"/>
      <c r="P83" s="1900"/>
      <c r="Q83" s="1900"/>
      <c r="R83" s="1900"/>
      <c r="S83" s="1610"/>
      <c r="T83" s="1610"/>
      <c r="U83" s="1610"/>
      <c r="AA83" s="1912">
        <v>6</v>
      </c>
      <c r="AB83" s="1912">
        <v>7</v>
      </c>
      <c r="AC83" s="1912">
        <v>8</v>
      </c>
      <c r="AD83" s="1912">
        <v>9</v>
      </c>
      <c r="AE83" s="1912">
        <v>10</v>
      </c>
      <c r="AF83" s="1912">
        <v>11</v>
      </c>
      <c r="AG83" s="1912">
        <v>12</v>
      </c>
      <c r="AH83" s="1912">
        <v>13</v>
      </c>
      <c r="AI83" s="1912">
        <v>14</v>
      </c>
      <c r="AJ83" s="1912">
        <v>15</v>
      </c>
      <c r="AK83" s="1912">
        <v>16</v>
      </c>
      <c r="AL83" s="1912">
        <v>17</v>
      </c>
    </row>
    <row r="84" spans="14:39">
      <c r="N84" s="1610"/>
      <c r="O84" s="1610"/>
      <c r="P84" s="1610"/>
      <c r="Q84" s="1610"/>
      <c r="R84" s="1610"/>
      <c r="S84" s="1610"/>
      <c r="T84" s="1610"/>
      <c r="U84" s="1610"/>
      <c r="W84" s="3425">
        <v>1</v>
      </c>
      <c r="Y84" s="1913" t="s">
        <v>986</v>
      </c>
      <c r="AA84" s="1903"/>
      <c r="AB84" s="1903"/>
      <c r="AC84" s="1903"/>
      <c r="AD84" s="1903"/>
      <c r="AE84" s="1903"/>
      <c r="AF84" s="1903"/>
      <c r="AG84" s="1903"/>
      <c r="AH84" s="1903"/>
      <c r="AI84" s="1903"/>
      <c r="AJ84" s="1903"/>
      <c r="AK84" s="1903"/>
      <c r="AL84" s="1903"/>
      <c r="AM84" s="1891"/>
    </row>
    <row r="85" spans="14:39">
      <c r="N85" s="1610"/>
      <c r="O85" s="1610"/>
      <c r="P85" s="1610"/>
      <c r="Q85" s="1610"/>
      <c r="R85" s="1610"/>
      <c r="S85" s="1610"/>
      <c r="T85" s="1723" t="s">
        <v>2467</v>
      </c>
      <c r="U85" s="1747">
        <v>480000</v>
      </c>
      <c r="W85" s="3425">
        <v>2</v>
      </c>
      <c r="Y85" s="1914" t="s">
        <v>1044</v>
      </c>
      <c r="AA85" s="1891">
        <f>'BP Rev by Product'!G12</f>
        <v>3238288</v>
      </c>
      <c r="AB85" s="1891">
        <f>'BP Rev by Product'!H12</f>
        <v>5618353</v>
      </c>
      <c r="AC85" s="1891">
        <f>'BP Rev by Product'!I12</f>
        <v>4299321</v>
      </c>
      <c r="AD85" s="1891">
        <f>'BP Rev by Product'!J12</f>
        <v>2969416</v>
      </c>
      <c r="AE85" s="1891">
        <f>'BP Rev by Product'!K12</f>
        <v>2848610</v>
      </c>
      <c r="AF85" s="1891">
        <f>'BP Rev by Product'!L12</f>
        <v>1090021</v>
      </c>
      <c r="AG85" s="1891">
        <f>'BP Rev by Product'!M12</f>
        <v>536101</v>
      </c>
      <c r="AH85" s="1891">
        <f>'BP Rev by Product'!N12</f>
        <v>290934</v>
      </c>
      <c r="AI85" s="1891">
        <f>'BP Rev by Product'!O12</f>
        <v>203335</v>
      </c>
      <c r="AJ85" s="1891">
        <f>'BP Rev by Product'!P12</f>
        <v>200731</v>
      </c>
      <c r="AK85" s="1891">
        <f>'BP Rev by Product'!Q12</f>
        <v>428987</v>
      </c>
      <c r="AL85" s="1891">
        <f>'BP Rev by Product'!R12</f>
        <v>1206080</v>
      </c>
      <c r="AM85" s="1891">
        <f t="shared" ref="AM85:AM91" si="2">SUM(AA85:AL85)</f>
        <v>22930177</v>
      </c>
    </row>
    <row r="86" spans="14:39">
      <c r="N86" s="1610"/>
      <c r="O86" s="1610"/>
      <c r="P86" s="1610"/>
      <c r="Q86" s="1610"/>
      <c r="R86" s="1610"/>
      <c r="S86" s="1610"/>
      <c r="U86" s="1747">
        <v>481200</v>
      </c>
      <c r="W86" s="3425">
        <v>3</v>
      </c>
      <c r="Y86" s="1914" t="s">
        <v>1045</v>
      </c>
      <c r="AA86" s="1891">
        <f>'BP Rev by Product'!G23+'BP Rev by Product'!G45+'BP Rev by Product'!G46</f>
        <v>1050774</v>
      </c>
      <c r="AB86" s="1891">
        <f>'BP Rev by Product'!H23+'BP Rev by Product'!H45+'BP Rev by Product'!H46</f>
        <v>1728926</v>
      </c>
      <c r="AC86" s="1891">
        <f>'BP Rev by Product'!I23+'BP Rev by Product'!I45+'BP Rev by Product'!I46</f>
        <v>1325783</v>
      </c>
      <c r="AD86" s="1891">
        <f>'BP Rev by Product'!J23+'BP Rev by Product'!J45+'BP Rev by Product'!J46</f>
        <v>1023080</v>
      </c>
      <c r="AE86" s="1891">
        <f>'BP Rev by Product'!K23+'BP Rev by Product'!K45+'BP Rev by Product'!K46</f>
        <v>953282</v>
      </c>
      <c r="AF86" s="1891">
        <f>'BP Rev by Product'!L23+'BP Rev by Product'!L45+'BP Rev by Product'!L46</f>
        <v>418835</v>
      </c>
      <c r="AG86" s="1891">
        <f>'BP Rev by Product'!M23+'BP Rev by Product'!M45+'BP Rev by Product'!M46</f>
        <v>286787</v>
      </c>
      <c r="AH86" s="1891">
        <f>'BP Rev by Product'!N23+'BP Rev by Product'!N45+'BP Rev by Product'!N46</f>
        <v>207705</v>
      </c>
      <c r="AI86" s="1891">
        <f>'BP Rev by Product'!O23+'BP Rev by Product'!O45+'BP Rev by Product'!O46</f>
        <v>260509</v>
      </c>
      <c r="AJ86" s="1891">
        <f>'BP Rev by Product'!P23+'BP Rev by Product'!P45+'BP Rev by Product'!P46</f>
        <v>174713</v>
      </c>
      <c r="AK86" s="1891">
        <f>'BP Rev by Product'!Q23+'BP Rev by Product'!Q45+'BP Rev by Product'!Q46</f>
        <v>334052</v>
      </c>
      <c r="AL86" s="1891">
        <f>'BP Rev by Product'!R23+'BP Rev by Product'!R45+'BP Rev by Product'!R46</f>
        <v>557285</v>
      </c>
      <c r="AM86" s="1891">
        <f t="shared" si="2"/>
        <v>8321731</v>
      </c>
    </row>
    <row r="87" spans="14:39">
      <c r="U87" s="1723"/>
      <c r="W87" s="3425">
        <v>4</v>
      </c>
      <c r="Y87" s="1914" t="s">
        <v>433</v>
      </c>
      <c r="AA87" s="1903">
        <v>0</v>
      </c>
      <c r="AB87" s="1903">
        <v>0</v>
      </c>
      <c r="AC87" s="1903">
        <v>0</v>
      </c>
      <c r="AD87" s="1903">
        <v>0</v>
      </c>
      <c r="AE87" s="1903">
        <v>0</v>
      </c>
      <c r="AF87" s="1903">
        <v>0</v>
      </c>
      <c r="AG87" s="1903">
        <v>0</v>
      </c>
      <c r="AH87" s="1903">
        <v>0</v>
      </c>
      <c r="AI87" s="1903">
        <v>0</v>
      </c>
      <c r="AJ87" s="1903">
        <v>0</v>
      </c>
      <c r="AK87" s="1903">
        <v>0</v>
      </c>
      <c r="AL87" s="1903">
        <v>0</v>
      </c>
      <c r="AM87" s="1891">
        <f t="shared" si="2"/>
        <v>0</v>
      </c>
    </row>
    <row r="88" spans="14:39">
      <c r="U88" s="1723">
        <v>481000</v>
      </c>
      <c r="W88" s="3508">
        <v>5</v>
      </c>
      <c r="Y88" s="1914" t="s">
        <v>1046</v>
      </c>
      <c r="AA88" s="1891">
        <f>'BP Rev by Product'!G18+'BP Rev by Product'!G51+'BP Rev by Product'!G52</f>
        <v>376584</v>
      </c>
      <c r="AB88" s="1891">
        <f>'BP Rev by Product'!H18+'BP Rev by Product'!H51+'BP Rev by Product'!H52</f>
        <v>470398</v>
      </c>
      <c r="AC88" s="1891">
        <f>'BP Rev by Product'!I18+'BP Rev by Product'!I51+'BP Rev by Product'!I52</f>
        <v>377991</v>
      </c>
      <c r="AD88" s="1891">
        <f>'BP Rev by Product'!J18+'BP Rev by Product'!J51+'BP Rev by Product'!J52</f>
        <v>372599</v>
      </c>
      <c r="AE88" s="1891">
        <f>'BP Rev by Product'!K18+'BP Rev by Product'!K51+'BP Rev by Product'!K52</f>
        <v>314254</v>
      </c>
      <c r="AF88" s="1891">
        <f>'BP Rev by Product'!L18+'BP Rev by Product'!L51+'BP Rev by Product'!L52</f>
        <v>223650</v>
      </c>
      <c r="AG88" s="1891">
        <f>'BP Rev by Product'!M18+'BP Rev by Product'!M51+'BP Rev by Product'!M52</f>
        <v>204035</v>
      </c>
      <c r="AH88" s="1891">
        <f>'BP Rev by Product'!N18+'BP Rev by Product'!N51+'BP Rev by Product'!N52</f>
        <v>202500</v>
      </c>
      <c r="AI88" s="1891">
        <f>'BP Rev by Product'!O18+'BP Rev by Product'!O51+'BP Rev by Product'!O52</f>
        <v>190906</v>
      </c>
      <c r="AJ88" s="1891">
        <f>'BP Rev by Product'!P18+'BP Rev by Product'!P51+'BP Rev by Product'!P52</f>
        <v>197930</v>
      </c>
      <c r="AK88" s="1891">
        <f>'BP Rev by Product'!Q18+'BP Rev by Product'!Q51+'BP Rev by Product'!Q52</f>
        <v>214393</v>
      </c>
      <c r="AL88" s="1891">
        <f>'BP Rev by Product'!R18+'BP Rev by Product'!R51+'BP Rev by Product'!R52</f>
        <v>217964</v>
      </c>
      <c r="AM88" s="1891">
        <f t="shared" si="2"/>
        <v>3363204</v>
      </c>
    </row>
    <row r="89" spans="14:39">
      <c r="U89" s="1723">
        <v>482200</v>
      </c>
      <c r="W89" s="3508">
        <v>6</v>
      </c>
      <c r="Y89" s="1914" t="s">
        <v>1296</v>
      </c>
      <c r="AA89" s="1891">
        <f>'BP Rev by Product'!G35</f>
        <v>58</v>
      </c>
      <c r="AB89" s="1891">
        <f>'BP Rev by Product'!H35</f>
        <v>59</v>
      </c>
      <c r="AC89" s="1891">
        <f>'BP Rev by Product'!I35</f>
        <v>57</v>
      </c>
      <c r="AD89" s="1891">
        <f>'BP Rev by Product'!J35</f>
        <v>58</v>
      </c>
      <c r="AE89" s="1891">
        <f>'BP Rev by Product'!K35</f>
        <v>58</v>
      </c>
      <c r="AF89" s="1891">
        <f>'BP Rev by Product'!L35</f>
        <v>57</v>
      </c>
      <c r="AG89" s="1891">
        <f>'BP Rev by Product'!M35</f>
        <v>11</v>
      </c>
      <c r="AH89" s="1891">
        <f>'BP Rev by Product'!N35</f>
        <v>11</v>
      </c>
      <c r="AI89" s="1891">
        <f>'BP Rev by Product'!O35</f>
        <v>10</v>
      </c>
      <c r="AJ89" s="1891">
        <f>'BP Rev by Product'!P35</f>
        <v>11</v>
      </c>
      <c r="AK89" s="1891">
        <f>'BP Rev by Product'!Q35</f>
        <v>10</v>
      </c>
      <c r="AL89" s="1891">
        <f>'BP Rev by Product'!R35</f>
        <v>11</v>
      </c>
      <c r="AM89" s="1891">
        <f t="shared" si="2"/>
        <v>411</v>
      </c>
    </row>
    <row r="90" spans="14:39">
      <c r="U90" s="1723">
        <v>482000</v>
      </c>
      <c r="W90" s="3508">
        <v>7</v>
      </c>
      <c r="Y90" s="1914" t="s">
        <v>1047</v>
      </c>
      <c r="AA90" s="1891">
        <f>'BP Rev by Product'!G29+'BP Rev by Product'!G56+'BP Rev by Product'!G57</f>
        <v>152843</v>
      </c>
      <c r="AB90" s="1891">
        <f>'BP Rev by Product'!H29+'BP Rev by Product'!H56+'BP Rev by Product'!H57</f>
        <v>240599</v>
      </c>
      <c r="AC90" s="1891">
        <f>'BP Rev by Product'!I29+'BP Rev by Product'!I56+'BP Rev by Product'!I57</f>
        <v>175478</v>
      </c>
      <c r="AD90" s="1891">
        <f>'BP Rev by Product'!J29+'BP Rev by Product'!J56+'BP Rev by Product'!J57</f>
        <v>145192</v>
      </c>
      <c r="AE90" s="1891">
        <f>'BP Rev by Product'!K29+'BP Rev by Product'!K56+'BP Rev by Product'!K57</f>
        <v>127493</v>
      </c>
      <c r="AF90" s="1891">
        <f>'BP Rev by Product'!L29+'BP Rev by Product'!L56+'BP Rev by Product'!L57</f>
        <v>46095</v>
      </c>
      <c r="AG90" s="1891">
        <f>'BP Rev by Product'!M29+'BP Rev by Product'!M56+'BP Rev by Product'!M57</f>
        <v>24811</v>
      </c>
      <c r="AH90" s="1891">
        <f>'BP Rev by Product'!N29+'BP Rev by Product'!N56+'BP Rev by Product'!N57</f>
        <v>11440</v>
      </c>
      <c r="AI90" s="1891">
        <f>'BP Rev by Product'!O29+'BP Rev by Product'!O56+'BP Rev by Product'!O57</f>
        <v>8217</v>
      </c>
      <c r="AJ90" s="1891">
        <f>'BP Rev by Product'!P29+'BP Rev by Product'!P56+'BP Rev by Product'!P57</f>
        <v>11456</v>
      </c>
      <c r="AK90" s="1891">
        <f>'BP Rev by Product'!Q29+'BP Rev by Product'!Q56+'BP Rev by Product'!Q57</f>
        <v>35435</v>
      </c>
      <c r="AL90" s="1891">
        <f>'BP Rev by Product'!R29+'BP Rev by Product'!R56+'BP Rev by Product'!R57</f>
        <v>66941</v>
      </c>
      <c r="AM90" s="1891">
        <f t="shared" si="2"/>
        <v>1046000</v>
      </c>
    </row>
    <row r="91" spans="14:39">
      <c r="U91" s="1723">
        <v>484000</v>
      </c>
      <c r="W91" s="3508">
        <v>8</v>
      </c>
      <c r="Y91" s="1914" t="s">
        <v>1035</v>
      </c>
      <c r="AA91" s="1891">
        <f t="shared" ref="AA91:AL91" si="3">VLOOKUP($U$91,BasePeriod,AA83,FALSE)-AA104</f>
        <v>1490</v>
      </c>
      <c r="AB91" s="1891">
        <f t="shared" si="3"/>
        <v>2241</v>
      </c>
      <c r="AC91" s="1891">
        <f t="shared" si="3"/>
        <v>2901</v>
      </c>
      <c r="AD91" s="1891">
        <f t="shared" si="3"/>
        <v>2089</v>
      </c>
      <c r="AE91" s="1891">
        <f t="shared" si="3"/>
        <v>1804</v>
      </c>
      <c r="AF91" s="1891">
        <f t="shared" si="3"/>
        <v>1011</v>
      </c>
      <c r="AG91" s="1891">
        <f t="shared" si="3"/>
        <v>-334</v>
      </c>
      <c r="AH91" s="1891">
        <f t="shared" si="3"/>
        <v>-399</v>
      </c>
      <c r="AI91" s="1891">
        <f t="shared" si="3"/>
        <v>-400</v>
      </c>
      <c r="AJ91" s="1891">
        <f t="shared" si="3"/>
        <v>-514</v>
      </c>
      <c r="AK91" s="1891">
        <f t="shared" si="3"/>
        <v>-915</v>
      </c>
      <c r="AL91" s="1891">
        <f t="shared" si="3"/>
        <v>-2088</v>
      </c>
      <c r="AM91" s="1894">
        <f t="shared" si="2"/>
        <v>6886</v>
      </c>
    </row>
    <row r="92" spans="14:39">
      <c r="U92" s="1723"/>
      <c r="W92" s="3508">
        <v>9</v>
      </c>
      <c r="Y92" s="1603" t="s">
        <v>1048</v>
      </c>
      <c r="AA92" s="1915">
        <f t="shared" ref="AA92:AL92" si="4">SUM(AA84:AA91)</f>
        <v>4820037</v>
      </c>
      <c r="AB92" s="1915">
        <f t="shared" si="4"/>
        <v>8060576</v>
      </c>
      <c r="AC92" s="1915">
        <f t="shared" si="4"/>
        <v>6181531</v>
      </c>
      <c r="AD92" s="1915">
        <f t="shared" si="4"/>
        <v>4512434</v>
      </c>
      <c r="AE92" s="1915">
        <f t="shared" si="4"/>
        <v>4245501</v>
      </c>
      <c r="AF92" s="1915">
        <f t="shared" si="4"/>
        <v>1779669</v>
      </c>
      <c r="AG92" s="1915">
        <f t="shared" si="4"/>
        <v>1051411</v>
      </c>
      <c r="AH92" s="1915">
        <f t="shared" si="4"/>
        <v>712191</v>
      </c>
      <c r="AI92" s="1915">
        <f t="shared" si="4"/>
        <v>662577</v>
      </c>
      <c r="AJ92" s="1915">
        <f t="shared" si="4"/>
        <v>584327</v>
      </c>
      <c r="AK92" s="1915">
        <f t="shared" si="4"/>
        <v>1011962</v>
      </c>
      <c r="AL92" s="1915">
        <f t="shared" si="4"/>
        <v>2046193</v>
      </c>
      <c r="AM92" s="1915">
        <f>SUM(AA92:AL92)</f>
        <v>35668409</v>
      </c>
    </row>
    <row r="93" spans="14:39">
      <c r="U93" s="1723"/>
      <c r="W93" s="3508">
        <v>10</v>
      </c>
      <c r="AA93" s="1891"/>
      <c r="AB93" s="1891"/>
      <c r="AC93" s="1891"/>
      <c r="AD93" s="1891"/>
      <c r="AE93" s="1891"/>
      <c r="AF93" s="1891"/>
      <c r="AG93" s="1891"/>
      <c r="AH93" s="1891"/>
      <c r="AI93" s="1891"/>
      <c r="AJ93" s="1891"/>
      <c r="AK93" s="1891"/>
      <c r="AL93" s="1891"/>
      <c r="AM93" s="1891"/>
    </row>
    <row r="94" spans="14:39">
      <c r="U94" s="1723"/>
      <c r="W94" s="3508">
        <v>11</v>
      </c>
      <c r="Y94" s="1913" t="s">
        <v>3022</v>
      </c>
      <c r="AA94" s="1891"/>
      <c r="AB94" s="1891"/>
      <c r="AC94" s="1891"/>
      <c r="AD94" s="1891"/>
      <c r="AE94" s="1891"/>
      <c r="AF94" s="1891"/>
      <c r="AG94" s="1891"/>
      <c r="AH94" s="1891"/>
      <c r="AI94" s="1891"/>
      <c r="AJ94" s="1891"/>
      <c r="AK94" s="1891"/>
      <c r="AL94" s="1891"/>
      <c r="AM94" s="1891"/>
    </row>
    <row r="95" spans="14:39">
      <c r="T95" s="1723" t="s">
        <v>2473</v>
      </c>
      <c r="U95" s="1723">
        <v>480000</v>
      </c>
      <c r="W95" s="3508">
        <v>12</v>
      </c>
      <c r="Y95" s="1914" t="s">
        <v>1044</v>
      </c>
      <c r="AA95" s="1891">
        <f t="array" ref="AA95">SUM(IF(BPREVACCT=U95,IF(BPREVPROD=T95,BPRev1)))</f>
        <v>3677582</v>
      </c>
      <c r="AB95" s="1891">
        <f t="array" ref="AB95">SUM(IF(BPREVACCT=U95,IF(BPREVPROD=T95,BPRev2)))</f>
        <v>6074643</v>
      </c>
      <c r="AC95" s="1891">
        <f t="array" ref="AC95">SUM(IF(BPREVACCT=U95,IF(BPREVPROD=T95,BPRev3)))</f>
        <v>4633259</v>
      </c>
      <c r="AD95" s="1891">
        <f t="array" ref="AD95">SUM(IF(BPREVACCT=U95,IF(BPREVPROD=T95,BPRev4)))</f>
        <v>3164455</v>
      </c>
      <c r="AE95" s="1891">
        <f t="array" ref="AE95">SUM(IF(BPREVACCT=U95,IF(BPREVPROD=T95,BPRev5)))</f>
        <v>2973708</v>
      </c>
      <c r="AF95" s="1891">
        <f t="array" ref="AF95">SUM(IF(BPREVACCT=U95,IF(BPREVPROD=T95,BPRev6)))</f>
        <v>1107216</v>
      </c>
      <c r="AG95" s="1891">
        <f t="array" ref="AG95">SUM(IF(BPREVACCT=U95,IF(BPREVPROD=T95,BPRev7)))</f>
        <v>599801</v>
      </c>
      <c r="AH95" s="1891">
        <f t="array" ref="AH95">SUM(IF(BPREVACCT=U95,IF(BPREVPROD=T95,BPRev8)))</f>
        <v>471528</v>
      </c>
      <c r="AI95" s="1891">
        <f t="array" ref="AI95">SUM(IF(BPREVACCT=U95,IF(BPREVPROD=T95,BPRev9)))</f>
        <v>329225</v>
      </c>
      <c r="AJ95" s="1891">
        <f t="array" ref="AJ95">SUM(IF(BPREVACCT=U95,IF(BPREVPROD=T95,BPRev10)))</f>
        <v>397414</v>
      </c>
      <c r="AK95" s="1891">
        <f t="array" ref="AK95">SUM(IF(BPREVACCT=U95,IF(BPREVPROD=T95,BPrev11)))</f>
        <v>791590</v>
      </c>
      <c r="AL95" s="1891">
        <f t="array" ref="AL95">SUM(IF(BPREVACCT=U95,IF(BPREVPROD=T95,BPRev12)))</f>
        <v>2081833</v>
      </c>
      <c r="AM95" s="1891">
        <f t="shared" ref="AM95:AM104" si="5">SUM(AA95:AL95)</f>
        <v>26302254</v>
      </c>
    </row>
    <row r="96" spans="14:39">
      <c r="U96" s="1723">
        <v>481200</v>
      </c>
      <c r="W96" s="3508">
        <v>13</v>
      </c>
      <c r="Y96" s="1914" t="s">
        <v>1045</v>
      </c>
      <c r="AA96" s="1891">
        <f t="array" ref="AA96">SUM(IF(BPREVACCT=U96,IF(BPREVPROD=T95,BPRev1)))</f>
        <v>1781269</v>
      </c>
      <c r="AB96" s="1891">
        <f t="array" ref="AB96">SUM(IF(BPREVACCT=U96,IF(BPREVPROD=T95,BPRev2)))</f>
        <v>2953628</v>
      </c>
      <c r="AC96" s="1891">
        <f t="array" ref="AC96">SUM(IF(BPREVACCT=U96,IF(BPREVPROD=T95,BPRev3)))</f>
        <v>2189881</v>
      </c>
      <c r="AD96" s="1891">
        <f t="array" ref="AD96">SUM(IF(BPREVACCT=U96,IF(BPREVPROD=T95,BPRev4)))</f>
        <v>1607074</v>
      </c>
      <c r="AE96" s="1891">
        <f t="array" ref="AE96">SUM(IF(BPREVACCT=U96,IF(BPREVPROD=T95,BPRev5)))</f>
        <v>1544384</v>
      </c>
      <c r="AF96" s="1891">
        <f t="array" ref="AF96">SUM(IF(BPREVACCT=U96,IF(BPREVPROD=T95,BPRev6)))</f>
        <v>623438</v>
      </c>
      <c r="AG96" s="1891">
        <f t="array" ref="AG96">SUM(IF(BPREVACCT=U96,IF(BPREVPROD=T95,BPRev7)))</f>
        <v>405188</v>
      </c>
      <c r="AH96" s="1891">
        <f t="array" ref="AH96">SUM(IF(BPREVACCT=U96,IF(BPREVPROD=T95,BPRev8)))</f>
        <v>426544</v>
      </c>
      <c r="AI96" s="1891">
        <f t="array" ref="AI96">SUM(IF(BPREVACCT=U96,IF(BPREVPROD=T95,BPRev9)))</f>
        <v>513077</v>
      </c>
      <c r="AJ96" s="1891">
        <f t="array" ref="AJ96">SUM(IF(BPREVACCT=U96,IF(BPREVPROD=T95,BPRev10)))</f>
        <v>420761</v>
      </c>
      <c r="AK96" s="1891">
        <f t="array" ref="AK96">SUM(IF(BPREVACCT=U96,IF(BPREVPROD=T95,BPrev11)))</f>
        <v>721089</v>
      </c>
      <c r="AL96" s="1891">
        <f t="array" ref="AL96">SUM(IF(BPREVACCT=U96,IF(BPREVPROD=T95,BPRev12)))</f>
        <v>1171891</v>
      </c>
      <c r="AM96" s="1891">
        <f t="shared" ref="AM96" si="6">SUM(AA96:AL96)</f>
        <v>14358224</v>
      </c>
    </row>
    <row r="97" spans="20:41">
      <c r="U97" s="1723"/>
      <c r="W97" s="3508">
        <v>14</v>
      </c>
      <c r="Y97" s="1914" t="s">
        <v>433</v>
      </c>
      <c r="AA97" s="1285">
        <v>0</v>
      </c>
      <c r="AB97" s="1285">
        <v>0</v>
      </c>
      <c r="AC97" s="1285">
        <v>0</v>
      </c>
      <c r="AD97" s="1285">
        <v>0</v>
      </c>
      <c r="AE97" s="1285">
        <v>0</v>
      </c>
      <c r="AF97" s="1285">
        <v>0</v>
      </c>
      <c r="AG97" s="1285">
        <v>0</v>
      </c>
      <c r="AH97" s="1285">
        <v>0</v>
      </c>
      <c r="AI97" s="1285">
        <v>0</v>
      </c>
      <c r="AJ97" s="1285">
        <v>0</v>
      </c>
      <c r="AK97" s="1285">
        <v>0</v>
      </c>
      <c r="AL97" s="1285">
        <v>0</v>
      </c>
      <c r="AM97" s="1891">
        <f t="shared" si="5"/>
        <v>0</v>
      </c>
    </row>
    <row r="98" spans="20:41">
      <c r="U98" s="1723">
        <v>481000</v>
      </c>
      <c r="W98" s="3508">
        <v>15</v>
      </c>
      <c r="Y98" s="1914" t="s">
        <v>1046</v>
      </c>
      <c r="AA98" s="1891">
        <f t="array" ref="AA98">SUM(IF(BPREVACCT=U98,IF(BPREVPROD=T95,BPRev1)))</f>
        <v>152946</v>
      </c>
      <c r="AB98" s="1891">
        <f t="array" ref="AB98">SUM(IF(BPREVACCT=U98,IF(BPREVPROD=T95,BPRev2)))</f>
        <v>246826</v>
      </c>
      <c r="AC98" s="1891">
        <f t="array" ref="AC98">SUM(IF(BPREVACCT=U98,IF(BPREVPROD=T95,BPRev3)))</f>
        <v>182582</v>
      </c>
      <c r="AD98" s="1891">
        <f t="array" ref="AD98">SUM(IF(BPREVACCT=U98,IF(BPREVPROD=T95,BPRev4)))</f>
        <v>124643</v>
      </c>
      <c r="AE98" s="1891">
        <f t="array" ref="AE98">SUM(IF(BPREVACCT=U98,IF(BPREVPROD=T95,BPRev5)))</f>
        <v>112153</v>
      </c>
      <c r="AF98" s="1891">
        <f t="array" ref="AF98">SUM(IF(BPREVACCT=U98,IF(BPREVPROD=T95,BPRev6)))</f>
        <v>38101</v>
      </c>
      <c r="AG98" s="1891">
        <f t="array" ref="AG98">SUM(IF(BPREVACCT=U98,IF(BPREVPROD=T95,BPRev7)))</f>
        <v>24234</v>
      </c>
      <c r="AH98" s="1891">
        <f t="array" ref="AH98">SUM(IF(BPREVACCT=U98,IF(BPREVPROD=T95,BPRev8)))</f>
        <v>14012</v>
      </c>
      <c r="AI98" s="1891">
        <f t="array" ref="AI98">SUM(IF(BPREVACCT=U98,IF(BPREVPROD=T95,BPRev9)))</f>
        <v>19759</v>
      </c>
      <c r="AJ98" s="1891">
        <f t="array" ref="AJ98">SUM(IF(BPREVACCT=U98,IF(BPREVPROD=T95,BPRev10)))</f>
        <v>25051</v>
      </c>
      <c r="AK98" s="1891">
        <f t="array" ref="AK98">SUM(IF(BPREVACCT=U98,IF(BPREVPROD=T95,BPrev11)))</f>
        <v>25290</v>
      </c>
      <c r="AL98" s="1891">
        <f t="array" ref="AL98">SUM(IF(BPREVACCT=U98,IF(BPREVPROD=T95,BPRev12)))</f>
        <v>47842</v>
      </c>
      <c r="AM98" s="1891">
        <f t="shared" si="5"/>
        <v>1013439</v>
      </c>
    </row>
    <row r="99" spans="20:41">
      <c r="U99" s="1723">
        <v>482200</v>
      </c>
      <c r="W99" s="3508">
        <v>16</v>
      </c>
      <c r="Y99" s="1914" t="s">
        <v>1296</v>
      </c>
      <c r="AA99" s="1891">
        <f t="array" ref="AA99">SUM(IF(BPREVACCT=U99,IF(BPREVPROD=T95,BPRev1)))</f>
        <v>21</v>
      </c>
      <c r="AB99" s="1891">
        <f t="array" ref="AB99">SUM(IF(BPREVACCT=U99,IF(BPREVPROD=T95,BPRev2)))</f>
        <v>23</v>
      </c>
      <c r="AC99" s="1891">
        <f t="array" ref="AC99">SUM(IF(BPREVACCT=U99,IF(BPREVPROD=T95,BPRev3)))</f>
        <v>19</v>
      </c>
      <c r="AD99" s="1891">
        <f t="array" ref="AD99">SUM(IF(BPREVACCT=U99,IF(BPREVPROD=T95,BPRev4)))</f>
        <v>21</v>
      </c>
      <c r="AE99" s="1891">
        <f t="array" ref="AE99">SUM(IF(BPREVACCT=U99,IF(BPREVPROD=T95,BPRev5)))</f>
        <v>20</v>
      </c>
      <c r="AF99" s="1891">
        <f t="array" ref="AF99">SUM(IF(BPREVACCT=U99,IF(BPREVPROD=T95,BPRev6)))</f>
        <v>18</v>
      </c>
      <c r="AG99" s="1891">
        <f t="array" ref="AG99">SUM(IF(BPREVACCT=U99,IF(BPREVPROD=T95,BPRev7)))</f>
        <v>22</v>
      </c>
      <c r="AH99" s="1891">
        <f t="array" ref="AH99">SUM(IF(BPREVACCT=U99,IF(BPREVPROD=T95,BPRev8)))</f>
        <v>32</v>
      </c>
      <c r="AI99" s="1891">
        <f t="array" ref="AI99">SUM(IF(BPREVACCT=U99,IF(BPREVPROD=T95,BPRev9)))</f>
        <v>31</v>
      </c>
      <c r="AJ99" s="1891">
        <f t="array" ref="AJ99">SUM(IF(BPREVACCT=U99,IF(BPREVPROD=T95,BPRev10)))</f>
        <v>39</v>
      </c>
      <c r="AK99" s="1891">
        <f t="array" ref="AK99">SUM(IF(BPREVACCT=U99,IF(BPREVPROD=T95,BPrev11)))</f>
        <v>34</v>
      </c>
      <c r="AL99" s="1891">
        <f t="array" ref="AL99">SUM(IF(BPREVACCT=U99,IF(BPREVPROD=T95,BPRev12)))</f>
        <v>33</v>
      </c>
      <c r="AM99" s="1891">
        <f t="shared" si="5"/>
        <v>313</v>
      </c>
    </row>
    <row r="100" spans="20:41">
      <c r="U100" s="1723">
        <v>482000</v>
      </c>
      <c r="W100" s="3508">
        <v>17</v>
      </c>
      <c r="Y100" s="1914" t="s">
        <v>1047</v>
      </c>
      <c r="AA100" s="1891">
        <f t="array" ref="AA100">SUM(IF(BPREVACCT=U100,IF(BPREVPROD=T95,BPRev1)))</f>
        <v>192556</v>
      </c>
      <c r="AB100" s="1891">
        <f t="array" ref="AB100">SUM(IF(BPREVACCT=U100,IF(BPREVPROD=T95,BPRev2)))</f>
        <v>338468</v>
      </c>
      <c r="AC100" s="1891">
        <f t="array" ref="AC100">SUM(IF(BPREVACCT=U100,IF(BPREVPROD=T95,BPRev3)))</f>
        <v>252922</v>
      </c>
      <c r="AD100" s="1891">
        <f t="array" ref="AD100">SUM(IF(BPREVACCT=U100,IF(BPREVPROD=T95,BPRev4)))</f>
        <v>180119</v>
      </c>
      <c r="AE100" s="1891">
        <f t="array" ref="AE100">SUM(IF(BPREVACCT=U100,IF(BPREVPROD=T95,BPRev5)))</f>
        <v>171327</v>
      </c>
      <c r="AF100" s="1891">
        <f t="array" ref="AF100">SUM(IF(BPREVACCT=U100,IF(BPREVPROD=T95,BPRev6)))</f>
        <v>61739</v>
      </c>
      <c r="AG100" s="1891">
        <f t="array" ref="AG100">SUM(IF(BPREVACCT=U100,IF(BPREVPROD=T95,BPRev7)))</f>
        <v>41079</v>
      </c>
      <c r="AH100" s="1891">
        <f t="array" ref="AH100">SUM(IF(BPREVACCT=U100,IF(BPREVPROD=T95,BPRev8)))</f>
        <v>26523</v>
      </c>
      <c r="AI100" s="1891">
        <f t="array" ref="AI100">SUM(IF(BPREVACCT=U100,IF(BPREVPROD=T95,BPRev9)))</f>
        <v>17474</v>
      </c>
      <c r="AJ100" s="1891">
        <f t="array" ref="AJ100">SUM(IF(BPREVACCT=U100,IF(BPREVPROD=T95,BPRev10)))</f>
        <v>30553</v>
      </c>
      <c r="AK100" s="1891">
        <f t="array" ref="AK100">SUM(IF(BPREVACCT=U100,IF(BPREVPROD=T95,BPrev11)))</f>
        <v>70039</v>
      </c>
      <c r="AL100" s="1891">
        <f t="array" ref="AL100">SUM(IF(BPREVACCT=U100,IF(BPREVPROD=T95,BPRev12)))</f>
        <v>113456</v>
      </c>
      <c r="AM100" s="1891">
        <f t="shared" si="5"/>
        <v>1496255</v>
      </c>
    </row>
    <row r="101" spans="20:41">
      <c r="U101" s="1723">
        <v>489020</v>
      </c>
      <c r="W101" s="3508">
        <v>18</v>
      </c>
      <c r="Y101" s="1914" t="s">
        <v>1740</v>
      </c>
      <c r="AA101" s="1891">
        <f t="array" ref="AA101">SUM(IF(BPREVACCT=U101,IF(BPREVPROD=T95,BPRev1)))</f>
        <v>-80</v>
      </c>
      <c r="AB101" s="1891">
        <f t="array" ref="AB101">SUM(IF(BPREVACCT=U101,IF(BPREVPROD=T95,BPRev2)))</f>
        <v>55</v>
      </c>
      <c r="AC101" s="1891">
        <f t="array" ref="AC101">SUM(IF(BPREVACCT=U101,IF(BPREVPROD=T95,BPRev3)))</f>
        <v>59</v>
      </c>
      <c r="AD101" s="1891">
        <f t="array" ref="AD101">SUM(IF(BPREVACCT=U101,IF(BPREVPROD=T95,BPRev4)))</f>
        <v>40</v>
      </c>
      <c r="AE101" s="1891">
        <f t="array" ref="AE101">SUM(IF(BPREVACCT=U101,IF(BPREVPROD=T95,BPRev5)))</f>
        <v>144</v>
      </c>
      <c r="AF101" s="1891">
        <f t="array" ref="AF101">SUM(IF(BPREVACCT=U101,IF(BPREVPROD=T95,BPRev6)))</f>
        <v>74</v>
      </c>
      <c r="AG101" s="1891">
        <f t="array" ref="AG101">SUM(IF(BPREVACCT=U101,IF(BPREVPROD=T95,BPRev7)))</f>
        <v>0</v>
      </c>
      <c r="AH101" s="1891">
        <f t="array" ref="AH101">SUM(IF(BPREVACCT=U101,IF(BPREVPROD=T95,BPRev8)))</f>
        <v>0</v>
      </c>
      <c r="AI101" s="1891">
        <f t="array" ref="AI101">SUM(IF(BPREVACCT=U101,IF(BPREVPROD=T95,BPRev9)))</f>
        <v>0</v>
      </c>
      <c r="AJ101" s="1891">
        <f t="array" ref="AJ101">SUM(IF(BPREVACCT=U101,IF(BPREVPROD=T95,BPRev10)))</f>
        <v>0</v>
      </c>
      <c r="AK101" s="1891">
        <f t="array" ref="AK101">SUM(IF(BPREVACCT=U101,IF(BPREVPROD=T95,BPrev11)))</f>
        <v>0</v>
      </c>
      <c r="AL101" s="1891">
        <f t="array" ref="AL101">SUM(IF(BPREVACCT=U101,IF(BPREVPROD=T95,BPRev12)))</f>
        <v>0</v>
      </c>
      <c r="AM101" s="1891">
        <f>SUM(AA101:AL101)</f>
        <v>292</v>
      </c>
    </row>
    <row r="102" spans="20:41">
      <c r="U102" s="1723">
        <v>489030</v>
      </c>
      <c r="W102" s="3508">
        <v>19</v>
      </c>
      <c r="Y102" s="1914" t="s">
        <v>1742</v>
      </c>
      <c r="AA102" s="1891">
        <f t="array" ref="AA102">SUM(IF(BPREVACCT=U102,IF(BPREVPROD=T95,BPRev1)))</f>
        <v>0</v>
      </c>
      <c r="AB102" s="1891">
        <f t="array" ref="AB102">SUM(IF(BPREVACCT=U102,IF(BPREVPROD=T95,BPRev2)))</f>
        <v>0</v>
      </c>
      <c r="AC102" s="1891">
        <f t="array" ref="AC102">SUM(IF(BPREVACCT=U102,IF(BPREVPROD=T95,BPRev3)))</f>
        <v>0</v>
      </c>
      <c r="AD102" s="1891">
        <f t="array" ref="AD102">SUM(IF(BPREVACCT=U102,IF(BPREVPROD=T95,BPRev4)))</f>
        <v>0</v>
      </c>
      <c r="AE102" s="1891">
        <f t="array" ref="AE102">SUM(IF(BPREVACCT=U102,IF(BPREVPROD=T95,BPRev5)))</f>
        <v>0</v>
      </c>
      <c r="AF102" s="1891">
        <f t="array" ref="AF102">SUM(IF(BPREVACCT=U102,IF(BPREVPROD=T95,BPRev6)))</f>
        <v>0</v>
      </c>
      <c r="AG102" s="1891">
        <f t="array" ref="AG102">SUM(IF(BPREVACCT=U102,IF(BPREVPROD=T95,BPRev7)))</f>
        <v>0</v>
      </c>
      <c r="AH102" s="1891">
        <f t="array" ref="AH102">SUM(IF(BPREVACCT=U102,IF(BPREVPROD=T95,BPRev8)))</f>
        <v>0</v>
      </c>
      <c r="AI102" s="1891">
        <f t="array" ref="AI102">SUM(IF(BPREVACCT=U102,IF(BPREVPROD=T95,BPRev9)))</f>
        <v>0</v>
      </c>
      <c r="AJ102" s="1891">
        <f t="array" ref="AJ102">SUM(IF(BPREVACCT=U102,IF(BPREVPROD=T95,BPRev10)))</f>
        <v>0</v>
      </c>
      <c r="AK102" s="1891">
        <f t="array" ref="AK102">SUM(IF(BPREVACCT=U102,IF(BPREVPROD=T95,BPrev11)))</f>
        <v>0</v>
      </c>
      <c r="AL102" s="1891">
        <f t="array" ref="AL102">SUM(IF(BPREVACCT=U102,IF(BPREVPROD=T95,BPRev12)))</f>
        <v>0</v>
      </c>
      <c r="AM102" s="1891">
        <f>SUM(AA102:AL102)</f>
        <v>0</v>
      </c>
    </row>
    <row r="103" spans="20:41">
      <c r="U103" s="1723">
        <v>489040</v>
      </c>
      <c r="W103" s="3508">
        <v>20</v>
      </c>
      <c r="Y103" s="1914" t="s">
        <v>1741</v>
      </c>
      <c r="AA103" s="1891">
        <f t="array" ref="AA103">SUM(IF(BPREVACCT=U103,IF(BPREVPROD=T95,BPRev1)))</f>
        <v>0</v>
      </c>
      <c r="AB103" s="1891">
        <f t="array" ref="AB103">SUM(IF(BPREVACCT=U103,IF(BPREVPROD=T95,BPRev2)))</f>
        <v>0</v>
      </c>
      <c r="AC103" s="1891">
        <f t="array" ref="AC103">SUM(IF(BPREVACCT=U103,IF(BPREVPROD=T95,BPRev3)))</f>
        <v>0</v>
      </c>
      <c r="AD103" s="1891">
        <f t="array" ref="AD103">SUM(IF(BPREVACCT=U103,IF(BPREVPROD=T95,BPRev4)))</f>
        <v>0</v>
      </c>
      <c r="AE103" s="1891">
        <f t="array" ref="AE103">SUM(IF(BPREVACCT=U103,IF(BPREVPROD=T95,BPRev5)))</f>
        <v>0</v>
      </c>
      <c r="AF103" s="1891">
        <f t="array" ref="AF103">SUM(IF(BPREVACCT=U103,IF(BPREVPROD=T95,BPRev6)))</f>
        <v>0</v>
      </c>
      <c r="AG103" s="1891">
        <f t="array" ref="AG103">SUM(IF(BPREVACCT=U103,IF(BPREVPROD=T95,BPRev7)))</f>
        <v>0</v>
      </c>
      <c r="AH103" s="1891">
        <f t="array" ref="AH103">SUM(IF(BPREVACCT=U103,IF(BPREVPROD=T95,BPRev8)))</f>
        <v>0</v>
      </c>
      <c r="AI103" s="1891">
        <f t="array" ref="AI103">SUM(IF(BPREVACCT=U103,IF(BPREVPROD=T95,BPRev9)))</f>
        <v>0</v>
      </c>
      <c r="AJ103" s="1891">
        <f t="array" ref="AJ103">SUM(IF(BPREVACCT=U103,IF(BPREVPROD=T95,BPRev10)))</f>
        <v>0</v>
      </c>
      <c r="AK103" s="1891">
        <f t="array" ref="AK103">SUM(IF(BPREVACCT=U103,IF(BPREVPROD=T95,BPrev11)))</f>
        <v>0</v>
      </c>
      <c r="AL103" s="1891">
        <f t="array" ref="AL103">SUM(IF(BPREVACCT=U103,IF(BPREVPROD=T95,BPRev12)))</f>
        <v>0</v>
      </c>
      <c r="AM103" s="1891">
        <f>SUM(AA103:AL103)</f>
        <v>0</v>
      </c>
    </row>
    <row r="104" spans="20:41">
      <c r="U104" s="1723">
        <v>484000</v>
      </c>
      <c r="W104" s="3508">
        <v>21</v>
      </c>
      <c r="Y104" s="1914" t="s">
        <v>1035</v>
      </c>
      <c r="AA104" s="3115">
        <v>2769</v>
      </c>
      <c r="AB104" s="3115">
        <v>4485</v>
      </c>
      <c r="AC104" s="3115">
        <v>5544</v>
      </c>
      <c r="AD104" s="3115">
        <v>3981</v>
      </c>
      <c r="AE104" s="3115">
        <v>3400</v>
      </c>
      <c r="AF104" s="3115">
        <v>1871</v>
      </c>
      <c r="AG104" s="3115">
        <v>334</v>
      </c>
      <c r="AH104" s="3115">
        <v>399</v>
      </c>
      <c r="AI104" s="3115">
        <v>400</v>
      </c>
      <c r="AJ104" s="3115">
        <v>514</v>
      </c>
      <c r="AK104" s="3115">
        <v>915</v>
      </c>
      <c r="AL104" s="3115">
        <v>2088</v>
      </c>
      <c r="AM104" s="1916">
        <f t="shared" si="5"/>
        <v>26700</v>
      </c>
    </row>
    <row r="105" spans="20:41">
      <c r="U105" s="1723"/>
      <c r="W105" s="3508">
        <v>22</v>
      </c>
      <c r="Y105" s="1603" t="s">
        <v>3024</v>
      </c>
      <c r="AA105" s="1891">
        <f t="shared" ref="AA105:AK105" si="7">SUM(AA95:AA104)</f>
        <v>5807063</v>
      </c>
      <c r="AB105" s="1891">
        <f t="shared" si="7"/>
        <v>9618128</v>
      </c>
      <c r="AC105" s="1891">
        <f t="shared" si="7"/>
        <v>7264266</v>
      </c>
      <c r="AD105" s="1891">
        <f t="shared" si="7"/>
        <v>5080333</v>
      </c>
      <c r="AE105" s="1891">
        <f t="shared" si="7"/>
        <v>4805136</v>
      </c>
      <c r="AF105" s="1891">
        <f t="shared" si="7"/>
        <v>1832457</v>
      </c>
      <c r="AG105" s="1891">
        <f t="shared" si="7"/>
        <v>1070658</v>
      </c>
      <c r="AH105" s="1891">
        <f t="shared" si="7"/>
        <v>939038</v>
      </c>
      <c r="AI105" s="1891">
        <f t="shared" si="7"/>
        <v>879966</v>
      </c>
      <c r="AJ105" s="1891">
        <f t="shared" si="7"/>
        <v>874332</v>
      </c>
      <c r="AK105" s="1891">
        <f t="shared" si="7"/>
        <v>1608957</v>
      </c>
      <c r="AL105" s="1891">
        <f>SUM(AL95:AL104)</f>
        <v>3417143</v>
      </c>
      <c r="AM105" s="1891">
        <f>SUM(AA105:AL105)</f>
        <v>43197477</v>
      </c>
    </row>
    <row r="106" spans="20:41">
      <c r="U106" s="1723"/>
      <c r="W106" s="3508">
        <v>23</v>
      </c>
      <c r="AA106" s="1891"/>
      <c r="AB106" s="1891"/>
      <c r="AC106" s="1891"/>
      <c r="AD106" s="1891"/>
      <c r="AE106" s="1891"/>
      <c r="AF106" s="1891"/>
      <c r="AG106" s="1891"/>
      <c r="AH106" s="1891"/>
      <c r="AI106" s="1891"/>
      <c r="AJ106" s="1891"/>
      <c r="AK106" s="1891"/>
      <c r="AL106" s="1891"/>
      <c r="AM106" s="1891"/>
    </row>
    <row r="107" spans="20:41">
      <c r="U107" s="1723"/>
      <c r="W107" s="3508">
        <v>24</v>
      </c>
      <c r="Y107" s="1913" t="s">
        <v>861</v>
      </c>
      <c r="AA107" s="1891"/>
      <c r="AB107" s="1891"/>
      <c r="AC107" s="1891"/>
      <c r="AD107" s="1891"/>
      <c r="AE107" s="1891"/>
      <c r="AF107" s="1891"/>
      <c r="AG107" s="1891"/>
      <c r="AH107" s="1891"/>
      <c r="AI107" s="1891"/>
      <c r="AJ107" s="1891"/>
      <c r="AK107" s="1891"/>
      <c r="AL107" s="1891"/>
      <c r="AM107" s="1891"/>
    </row>
    <row r="108" spans="20:41">
      <c r="T108" s="1723" t="s">
        <v>2477</v>
      </c>
      <c r="U108" s="1723">
        <v>480990</v>
      </c>
      <c r="W108" s="3508">
        <v>25</v>
      </c>
      <c r="Y108" s="1914" t="s">
        <v>1044</v>
      </c>
      <c r="AA108" s="1891">
        <f>'BP Rev by Product'!G17-AA116</f>
        <v>1218674.8330000001</v>
      </c>
      <c r="AB108" s="1891">
        <f>'BP Rev by Product'!H17-AB116</f>
        <v>-490380.18099999987</v>
      </c>
      <c r="AC108" s="1891">
        <f>'BP Rev by Product'!I17-AC116</f>
        <v>-561216.1370000001</v>
      </c>
      <c r="AD108" s="1891">
        <f>'BP Rev by Product'!J17-AD116</f>
        <v>74762.757999999914</v>
      </c>
      <c r="AE108" s="1891">
        <f>'BP Rev by Product'!K17-AE116</f>
        <v>-582787.152</v>
      </c>
      <c r="AF108" s="1891">
        <f>'BP Rev by Product'!L17-AF116</f>
        <v>-697170.95900000003</v>
      </c>
      <c r="AG108" s="1891">
        <f>'BP Rev by Product'!M17-AG116</f>
        <v>-138295</v>
      </c>
      <c r="AH108" s="1891">
        <f>'BP Rev by Product'!N17-AH116</f>
        <v>-24943</v>
      </c>
      <c r="AI108" s="1891">
        <f>'BP Rev by Product'!O17-AI116</f>
        <v>11079</v>
      </c>
      <c r="AJ108" s="1891">
        <f>'BP Rev by Product'!P17-AJ116</f>
        <v>24650</v>
      </c>
      <c r="AK108" s="1891">
        <f>'BP Rev by Product'!Q17-AK116</f>
        <v>272341</v>
      </c>
      <c r="AL108" s="1891">
        <f>'BP Rev by Product'!R17-AL116</f>
        <v>782329</v>
      </c>
      <c r="AM108" s="1891">
        <f t="shared" ref="AM108:AM109" si="8">SUM(AA108:AL108)</f>
        <v>-110955.83799999999</v>
      </c>
      <c r="AO108" s="1891"/>
    </row>
    <row r="109" spans="20:41">
      <c r="U109" s="1723">
        <v>481290</v>
      </c>
      <c r="V109" s="1723">
        <v>489025</v>
      </c>
      <c r="W109" s="3508">
        <v>26</v>
      </c>
      <c r="Y109" s="1914" t="s">
        <v>1045</v>
      </c>
      <c r="AA109" s="1891">
        <f>'BP Rev by Product'!G28+'BP Rev by Product'!G50-AA117</f>
        <v>276853.95500000007</v>
      </c>
      <c r="AB109" s="1891">
        <f>'BP Rev by Product'!H28+'BP Rev by Product'!H50-AB117</f>
        <v>-192316.83299999998</v>
      </c>
      <c r="AC109" s="1891">
        <f>'BP Rev by Product'!I28+'BP Rev by Product'!I50-AC117</f>
        <v>-120048.875</v>
      </c>
      <c r="AD109" s="1891">
        <f>'BP Rev by Product'!J28+'BP Rev by Product'!J50-AD117</f>
        <v>-7471.346000000136</v>
      </c>
      <c r="AE109" s="1891">
        <f>'BP Rev by Product'!K28+'BP Rev by Product'!K50-AE117</f>
        <v>-189867.36199999991</v>
      </c>
      <c r="AF109" s="1891">
        <f>'BP Rev by Product'!L28+'BP Rev by Product'!L50-AF117</f>
        <v>-114384.11200000002</v>
      </c>
      <c r="AG109" s="1891">
        <f>'BP Rev by Product'!M28+'BP Rev by Product'!M50-AG117</f>
        <v>-41908</v>
      </c>
      <c r="AH109" s="1891">
        <f>'BP Rev by Product'!N28+'BP Rev by Product'!N50-AH117</f>
        <v>22443</v>
      </c>
      <c r="AI109" s="1891">
        <f>'BP Rev by Product'!O28+'BP Rev by Product'!O50-AI117</f>
        <v>-28490</v>
      </c>
      <c r="AJ109" s="1891">
        <f>'BP Rev by Product'!P28+'BP Rev by Product'!P50-AJ117</f>
        <v>34076</v>
      </c>
      <c r="AK109" s="1891">
        <f>'BP Rev by Product'!Q28+'BP Rev by Product'!Q50-AK117</f>
        <v>49548</v>
      </c>
      <c r="AL109" s="1891">
        <f>'BP Rev by Product'!R28+'BP Rev by Product'!R50-AL117</f>
        <v>242831</v>
      </c>
      <c r="AM109" s="1891">
        <f t="shared" si="8"/>
        <v>-68734.572999999975</v>
      </c>
      <c r="AO109" s="1891"/>
    </row>
    <row r="110" spans="20:41">
      <c r="U110" s="1723"/>
      <c r="V110" s="1723"/>
      <c r="W110" s="3508">
        <v>27</v>
      </c>
      <c r="Y110" s="1914" t="s">
        <v>433</v>
      </c>
      <c r="AA110" s="1285">
        <v>0</v>
      </c>
      <c r="AB110" s="1285">
        <v>0</v>
      </c>
      <c r="AC110" s="1285">
        <v>0</v>
      </c>
      <c r="AD110" s="1285">
        <v>0</v>
      </c>
      <c r="AE110" s="1285">
        <v>0</v>
      </c>
      <c r="AF110" s="1285">
        <v>0</v>
      </c>
      <c r="AG110" s="1285">
        <v>0</v>
      </c>
      <c r="AH110" s="1285">
        <v>0</v>
      </c>
      <c r="AI110" s="1285">
        <v>0</v>
      </c>
      <c r="AJ110" s="1285">
        <v>0</v>
      </c>
      <c r="AK110" s="1285">
        <v>0</v>
      </c>
      <c r="AL110" s="1285">
        <v>0</v>
      </c>
      <c r="AM110" s="1891">
        <f t="shared" ref="AM110:AM113" si="9">SUM(AA110:AL110)</f>
        <v>0</v>
      </c>
      <c r="AO110" s="1891"/>
    </row>
    <row r="111" spans="20:41">
      <c r="U111" s="1723">
        <v>481090</v>
      </c>
      <c r="V111" s="1723">
        <v>489035</v>
      </c>
      <c r="W111" s="3508">
        <v>28</v>
      </c>
      <c r="Y111" s="1914" t="s">
        <v>1046</v>
      </c>
      <c r="AA111" s="1891">
        <f>'BP Rev by Product'!G22+'BP Rev by Product'!G55-AA119</f>
        <v>-9454.464999999982</v>
      </c>
      <c r="AB111" s="1891">
        <f>'BP Rev by Product'!H22+'BP Rev by Product'!H55-AB119</f>
        <v>-47502.816000000006</v>
      </c>
      <c r="AC111" s="1891">
        <f>'BP Rev by Product'!I22+'BP Rev by Product'!I55-AC119</f>
        <v>-66970.989000000001</v>
      </c>
      <c r="AD111" s="1891">
        <f>'BP Rev by Product'!J22+'BP Rev by Product'!J55-AD119</f>
        <v>26734.199000000001</v>
      </c>
      <c r="AE111" s="1891">
        <f>'BP Rev by Product'!K22+'BP Rev by Product'!K55-AE119</f>
        <v>-57539.576000000001</v>
      </c>
      <c r="AF111" s="1891">
        <f>'BP Rev by Product'!L22+'BP Rev by Product'!L55-AF119</f>
        <v>-16388.582999999999</v>
      </c>
      <c r="AG111" s="1891">
        <f>'BP Rev by Product'!M22+'BP Rev by Product'!M55-AG119</f>
        <v>-5346</v>
      </c>
      <c r="AH111" s="1891">
        <f>'BP Rev by Product'!N22+'BP Rev by Product'!N55-AH119</f>
        <v>-4369</v>
      </c>
      <c r="AI111" s="1891">
        <f>'BP Rev by Product'!O22+'BP Rev by Product'!O55-AI119</f>
        <v>11099</v>
      </c>
      <c r="AJ111" s="1891">
        <f>'BP Rev by Product'!P22+'BP Rev by Product'!P55-AJ119</f>
        <v>2875</v>
      </c>
      <c r="AK111" s="1891">
        <f>'BP Rev by Product'!Q22+'BP Rev by Product'!Q55-AK119</f>
        <v>39390</v>
      </c>
      <c r="AL111" s="1891">
        <f>'BP Rev by Product'!R22+'BP Rev by Product'!R55-AL119</f>
        <v>94220</v>
      </c>
      <c r="AM111" s="1891">
        <f t="shared" si="9"/>
        <v>-33253.229999999981</v>
      </c>
      <c r="AO111" s="1891"/>
    </row>
    <row r="112" spans="20:41">
      <c r="U112" s="1723">
        <v>482090</v>
      </c>
      <c r="V112" s="1723">
        <v>489045</v>
      </c>
      <c r="W112" s="3508">
        <v>29</v>
      </c>
      <c r="Y112" s="1914" t="s">
        <v>1047</v>
      </c>
      <c r="AA112" s="1891">
        <f>'BP Rev by Product'!G60+'BP Rev by Product'!G34-AA120</f>
        <v>38994.67200000002</v>
      </c>
      <c r="AB112" s="1891">
        <f>'BP Rev by Product'!H60+'BP Rev by Product'!H34-AB120</f>
        <v>-248523.318</v>
      </c>
      <c r="AC112" s="1891">
        <f>'BP Rev by Product'!I60+'BP Rev by Product'!I34-AC120</f>
        <v>-32156.224999999991</v>
      </c>
      <c r="AD112" s="1891">
        <f>'BP Rev by Product'!J60+'BP Rev by Product'!J34-AD120</f>
        <v>40667.972999999984</v>
      </c>
      <c r="AE112" s="1891">
        <f>'BP Rev by Product'!K60+'BP Rev by Product'!K34-AE120</f>
        <v>-52110.95199999999</v>
      </c>
      <c r="AF112" s="1891">
        <f>'BP Rev by Product'!L60+'BP Rev by Product'!L34-AF120</f>
        <v>-19032.722999999998</v>
      </c>
      <c r="AG112" s="1891">
        <f>'BP Rev by Product'!M60+'BP Rev by Product'!M34-AG120</f>
        <v>-10245</v>
      </c>
      <c r="AH112" s="1891">
        <f>'BP Rev by Product'!N60+'BP Rev by Product'!N34-AH120</f>
        <v>1277</v>
      </c>
      <c r="AI112" s="1891">
        <f>'BP Rev by Product'!O60+'BP Rev by Product'!O34-AI120</f>
        <v>3646</v>
      </c>
      <c r="AJ112" s="1891">
        <f>'BP Rev by Product'!P60+'BP Rev by Product'!P34-AJ120</f>
        <v>3930</v>
      </c>
      <c r="AK112" s="1891">
        <f>'BP Rev by Product'!Q60+'BP Rev by Product'!Q34-AK120</f>
        <v>14615</v>
      </c>
      <c r="AL112" s="1891">
        <f>'BP Rev by Product'!R60+'BP Rev by Product'!R34-AL120</f>
        <v>56468</v>
      </c>
      <c r="AM112" s="1891">
        <f t="shared" si="9"/>
        <v>-202469.57299999997</v>
      </c>
      <c r="AO112" s="1891"/>
    </row>
    <row r="113" spans="21:42">
      <c r="U113" s="1723"/>
      <c r="W113" s="3508">
        <v>30</v>
      </c>
      <c r="Y113" s="1615" t="s">
        <v>862</v>
      </c>
      <c r="AA113" s="1915">
        <f t="shared" ref="AA113:AL113" si="10">SUM(AA108:AA112)</f>
        <v>1525068.9950000001</v>
      </c>
      <c r="AB113" s="1915">
        <f t="shared" si="10"/>
        <v>-978723.14799999981</v>
      </c>
      <c r="AC113" s="1915">
        <f t="shared" si="10"/>
        <v>-780392.22600000014</v>
      </c>
      <c r="AD113" s="1915">
        <f t="shared" si="10"/>
        <v>134693.58399999974</v>
      </c>
      <c r="AE113" s="1915">
        <f t="shared" si="10"/>
        <v>-882305.0419999999</v>
      </c>
      <c r="AF113" s="1915">
        <f t="shared" si="10"/>
        <v>-846976.37699999998</v>
      </c>
      <c r="AG113" s="1915">
        <f t="shared" si="10"/>
        <v>-195794</v>
      </c>
      <c r="AH113" s="1915">
        <f t="shared" si="10"/>
        <v>-5592</v>
      </c>
      <c r="AI113" s="1915">
        <f t="shared" si="10"/>
        <v>-2666</v>
      </c>
      <c r="AJ113" s="1915">
        <f t="shared" si="10"/>
        <v>65531</v>
      </c>
      <c r="AK113" s="1915">
        <f t="shared" si="10"/>
        <v>375894</v>
      </c>
      <c r="AL113" s="1915">
        <f t="shared" si="10"/>
        <v>1175848</v>
      </c>
      <c r="AM113" s="1915">
        <f t="shared" si="9"/>
        <v>-415413.21400000015</v>
      </c>
    </row>
    <row r="114" spans="21:42">
      <c r="U114" s="1723"/>
      <c r="W114" s="3508">
        <v>31</v>
      </c>
      <c r="AA114" s="1891"/>
      <c r="AB114" s="1891"/>
      <c r="AC114" s="1891"/>
      <c r="AD114" s="1891"/>
      <c r="AE114" s="1891"/>
      <c r="AF114" s="1891"/>
      <c r="AG114" s="1891"/>
      <c r="AH114" s="1891"/>
      <c r="AI114" s="1891"/>
      <c r="AJ114" s="1891"/>
      <c r="AK114" s="1891"/>
      <c r="AL114" s="1891"/>
      <c r="AM114" s="1891"/>
    </row>
    <row r="115" spans="21:42">
      <c r="U115" s="1723"/>
      <c r="W115" s="3508">
        <v>32</v>
      </c>
      <c r="Y115" s="1913" t="s">
        <v>3020</v>
      </c>
      <c r="AA115" s="1891"/>
      <c r="AB115" s="1891"/>
      <c r="AC115" s="1891"/>
      <c r="AD115" s="1891"/>
      <c r="AE115" s="1891"/>
      <c r="AF115" s="1891"/>
      <c r="AG115" s="1891"/>
      <c r="AH115" s="1891"/>
      <c r="AI115" s="1891"/>
      <c r="AJ115" s="1891"/>
      <c r="AK115" s="1891"/>
      <c r="AL115" s="1891"/>
      <c r="AM115" s="1891"/>
    </row>
    <row r="116" spans="21:42">
      <c r="U116" s="1723"/>
      <c r="W116" s="3508">
        <v>33</v>
      </c>
      <c r="Y116" s="1914" t="s">
        <v>1044</v>
      </c>
      <c r="AA116" s="1724">
        <v>1281174.1669999999</v>
      </c>
      <c r="AB116" s="1724">
        <v>-555360.81900000013</v>
      </c>
      <c r="AC116" s="1724">
        <v>-696810.8629999999</v>
      </c>
      <c r="AD116" s="1724">
        <v>85230.242000000086</v>
      </c>
      <c r="AE116" s="1724">
        <v>-601140.848</v>
      </c>
      <c r="AF116" s="1724">
        <v>-792722.04099999997</v>
      </c>
      <c r="AG116" s="1724">
        <v>138302</v>
      </c>
      <c r="AH116" s="1724">
        <v>638695</v>
      </c>
      <c r="AI116" s="1724">
        <v>15203</v>
      </c>
      <c r="AJ116" s="1724">
        <v>529456</v>
      </c>
      <c r="AK116" s="1724">
        <v>302824</v>
      </c>
      <c r="AL116" s="1724">
        <v>1112368</v>
      </c>
      <c r="AM116" s="1891">
        <f t="shared" ref="AM116:AM121" si="11">SUM(AA116:AL116)</f>
        <v>1457217.838</v>
      </c>
      <c r="AO116" s="1891"/>
      <c r="AP116" s="1891"/>
    </row>
    <row r="117" spans="21:42">
      <c r="U117" s="1723"/>
      <c r="W117" s="3508">
        <v>34</v>
      </c>
      <c r="Y117" s="1914" t="s">
        <v>1045</v>
      </c>
      <c r="AA117" s="1724">
        <v>426064.04499999993</v>
      </c>
      <c r="AB117" s="1724">
        <v>-315581.16700000002</v>
      </c>
      <c r="AC117" s="1724">
        <v>-204783.125</v>
      </c>
      <c r="AD117" s="1724">
        <v>-19680.653999999864</v>
      </c>
      <c r="AE117" s="1724">
        <v>-307973.63800000009</v>
      </c>
      <c r="AF117" s="1724">
        <v>-170360.88799999998</v>
      </c>
      <c r="AG117" s="1724">
        <v>44460</v>
      </c>
      <c r="AH117" s="1724">
        <v>312139</v>
      </c>
      <c r="AI117" s="1724">
        <v>-64578</v>
      </c>
      <c r="AJ117" s="1724">
        <v>277464</v>
      </c>
      <c r="AK117" s="1724">
        <v>46521</v>
      </c>
      <c r="AL117" s="1724">
        <v>518299</v>
      </c>
      <c r="AM117" s="1891">
        <f t="shared" si="11"/>
        <v>541989.57299999997</v>
      </c>
      <c r="AO117" s="1891"/>
      <c r="AP117" s="1891"/>
    </row>
    <row r="118" spans="21:42">
      <c r="U118" s="1723"/>
      <c r="W118" s="3508">
        <v>35</v>
      </c>
      <c r="Y118" s="1914" t="s">
        <v>433</v>
      </c>
      <c r="AA118" s="1724">
        <v>0</v>
      </c>
      <c r="AB118" s="1724">
        <v>0</v>
      </c>
      <c r="AC118" s="1724">
        <v>0</v>
      </c>
      <c r="AD118" s="1724">
        <v>0</v>
      </c>
      <c r="AE118" s="1724">
        <v>0</v>
      </c>
      <c r="AF118" s="1724">
        <v>0</v>
      </c>
      <c r="AG118" s="1724">
        <v>0</v>
      </c>
      <c r="AH118" s="1724">
        <v>0</v>
      </c>
      <c r="AI118" s="1724">
        <v>0</v>
      </c>
      <c r="AJ118" s="1724">
        <v>0</v>
      </c>
      <c r="AK118" s="1724">
        <v>0</v>
      </c>
      <c r="AL118" s="1724">
        <v>0</v>
      </c>
      <c r="AM118" s="1891">
        <f t="shared" si="11"/>
        <v>0</v>
      </c>
      <c r="AO118" s="1891"/>
      <c r="AP118" s="1891"/>
    </row>
    <row r="119" spans="21:42">
      <c r="U119" s="1723"/>
      <c r="W119" s="3508">
        <v>36</v>
      </c>
      <c r="Y119" s="1914" t="s">
        <v>1046</v>
      </c>
      <c r="AA119" s="1724">
        <v>-3868.535000000018</v>
      </c>
      <c r="AB119" s="1724">
        <v>-11906.183999999994</v>
      </c>
      <c r="AC119" s="1724">
        <v>-16739.010999999999</v>
      </c>
      <c r="AD119" s="1724">
        <v>8041.8009999999995</v>
      </c>
      <c r="AE119" s="1724">
        <v>-16951.423999999999</v>
      </c>
      <c r="AF119" s="1724">
        <v>-2470.4170000000013</v>
      </c>
      <c r="AG119" s="1724">
        <v>7180</v>
      </c>
      <c r="AH119" s="1724">
        <v>19631</v>
      </c>
      <c r="AI119" s="1724">
        <v>1085</v>
      </c>
      <c r="AJ119" s="1724">
        <v>14878</v>
      </c>
      <c r="AK119" s="1724">
        <v>-793</v>
      </c>
      <c r="AL119" s="1724">
        <v>15565</v>
      </c>
      <c r="AM119" s="1891">
        <f t="shared" si="11"/>
        <v>13652.229999999989</v>
      </c>
      <c r="AO119" s="1891"/>
      <c r="AP119" s="1891"/>
    </row>
    <row r="120" spans="21:42">
      <c r="U120" s="1723"/>
      <c r="W120" s="3508">
        <v>37</v>
      </c>
      <c r="Y120" s="1914" t="s">
        <v>1047</v>
      </c>
      <c r="AA120" s="3115">
        <v>43219.32799999998</v>
      </c>
      <c r="AB120" s="3115">
        <v>113223.318</v>
      </c>
      <c r="AC120" s="3115">
        <v>-42595.775000000009</v>
      </c>
      <c r="AD120" s="3115">
        <v>51806.027000000016</v>
      </c>
      <c r="AE120" s="3115">
        <v>-68488.04800000001</v>
      </c>
      <c r="AF120" s="3115">
        <v>-22933.277000000002</v>
      </c>
      <c r="AG120" s="3115">
        <v>2765</v>
      </c>
      <c r="AH120" s="3115">
        <v>46389</v>
      </c>
      <c r="AI120" s="3115">
        <v>7609</v>
      </c>
      <c r="AJ120" s="3115">
        <v>44078</v>
      </c>
      <c r="AK120" s="3115">
        <v>15640</v>
      </c>
      <c r="AL120" s="3115">
        <v>82113</v>
      </c>
      <c r="AM120" s="1916">
        <f t="shared" si="11"/>
        <v>272825.57299999997</v>
      </c>
      <c r="AO120" s="1891"/>
      <c r="AP120" s="1891"/>
    </row>
    <row r="121" spans="21:42">
      <c r="U121" s="1723"/>
      <c r="W121" s="3508">
        <v>38</v>
      </c>
      <c r="Y121" s="1615" t="s">
        <v>3023</v>
      </c>
      <c r="AA121" s="1915">
        <f t="shared" ref="AA121:AL121" si="12">SUM(AA116:AA120)</f>
        <v>1746589.0049999999</v>
      </c>
      <c r="AB121" s="1915">
        <f t="shared" si="12"/>
        <v>-769624.85200000019</v>
      </c>
      <c r="AC121" s="1915">
        <f t="shared" si="12"/>
        <v>-960928.77399999986</v>
      </c>
      <c r="AD121" s="1915">
        <f t="shared" si="12"/>
        <v>125397.41600000024</v>
      </c>
      <c r="AE121" s="1915">
        <f t="shared" si="12"/>
        <v>-994553.9580000001</v>
      </c>
      <c r="AF121" s="1915">
        <f t="shared" si="12"/>
        <v>-988486.62300000002</v>
      </c>
      <c r="AG121" s="1915">
        <f t="shared" si="12"/>
        <v>192707</v>
      </c>
      <c r="AH121" s="1915">
        <f t="shared" si="12"/>
        <v>1016854</v>
      </c>
      <c r="AI121" s="1915">
        <f t="shared" si="12"/>
        <v>-40681</v>
      </c>
      <c r="AJ121" s="1915">
        <f t="shared" si="12"/>
        <v>865876</v>
      </c>
      <c r="AK121" s="1915">
        <f t="shared" si="12"/>
        <v>364192</v>
      </c>
      <c r="AL121" s="1915">
        <f t="shared" si="12"/>
        <v>1728345</v>
      </c>
      <c r="AM121" s="1915">
        <f t="shared" si="11"/>
        <v>2285685.2140000002</v>
      </c>
    </row>
    <row r="122" spans="21:42">
      <c r="U122" s="1723"/>
      <c r="W122" s="3508">
        <v>39</v>
      </c>
      <c r="AA122" s="1891"/>
      <c r="AB122" s="1891"/>
      <c r="AC122" s="1891"/>
      <c r="AD122" s="1891"/>
      <c r="AE122" s="1891"/>
      <c r="AF122" s="1891"/>
      <c r="AG122" s="1891"/>
      <c r="AH122" s="1891"/>
      <c r="AI122" s="1891"/>
      <c r="AJ122" s="1891"/>
      <c r="AK122" s="1891"/>
      <c r="AL122" s="1891"/>
      <c r="AM122" s="1891"/>
    </row>
    <row r="123" spans="21:42">
      <c r="U123" s="1723"/>
      <c r="W123" s="3508">
        <v>40</v>
      </c>
      <c r="Y123" s="1913" t="s">
        <v>105</v>
      </c>
      <c r="AA123" s="1891"/>
      <c r="AB123" s="1891"/>
      <c r="AC123" s="1891"/>
      <c r="AD123" s="1891"/>
      <c r="AE123" s="1891"/>
      <c r="AF123" s="1891"/>
      <c r="AG123" s="1891"/>
      <c r="AH123" s="1891"/>
      <c r="AI123" s="1891"/>
      <c r="AJ123" s="1891"/>
      <c r="AK123" s="1891"/>
      <c r="AL123" s="1891"/>
      <c r="AM123" s="1891"/>
    </row>
    <row r="124" spans="21:42">
      <c r="U124" s="1723">
        <v>489000</v>
      </c>
      <c r="W124" s="3508">
        <v>41</v>
      </c>
      <c r="Y124" s="1914" t="s">
        <v>1328</v>
      </c>
      <c r="AA124" s="1891">
        <f>VLOOKUP(U124,BasePeriod,AA83,FALSE)</f>
        <v>139934</v>
      </c>
      <c r="AB124" s="1891">
        <f>VLOOKUP(U124,BasePeriod,AB83,FALSE)</f>
        <v>147775</v>
      </c>
      <c r="AC124" s="1891">
        <f>VLOOKUP(U124,BasePeriod,AC83,FALSE)</f>
        <v>123614</v>
      </c>
      <c r="AD124" s="1891">
        <f>VLOOKUP(U124,BasePeriod,AD83,FALSE)</f>
        <v>138802</v>
      </c>
      <c r="AE124" s="1891">
        <f>VLOOKUP(U124,BasePeriod,AE83,FALSE)</f>
        <v>134169</v>
      </c>
      <c r="AF124" s="1891">
        <f>VLOOKUP(U124,BasePeriod,AF83,FALSE)</f>
        <v>116181</v>
      </c>
      <c r="AG124" s="1891">
        <f>VLOOKUP(U124,BasePeriod,AG83,FALSE)</f>
        <v>109121</v>
      </c>
      <c r="AH124" s="1891">
        <f>VLOOKUP(U124,BasePeriod,AH83,FALSE)</f>
        <v>108404</v>
      </c>
      <c r="AI124" s="1891">
        <f>VLOOKUP(U124,BasePeriod,AI83,FALSE)</f>
        <v>115576</v>
      </c>
      <c r="AJ124" s="1891">
        <f>VLOOKUP(U124,BasePeriod,AJ83,FALSE)</f>
        <v>110434</v>
      </c>
      <c r="AK124" s="1891">
        <f>VLOOKUP(U124,BasePeriod,AK83,FALSE)</f>
        <v>127165</v>
      </c>
      <c r="AL124" s="1891">
        <f>VLOOKUP(U124,BasePeriod,AL83,FALSE)</f>
        <v>129504</v>
      </c>
      <c r="AM124" s="1891">
        <f t="shared" ref="AM124:AM128" si="13">SUM(AA124:AL124)</f>
        <v>1500679</v>
      </c>
      <c r="AO124" s="1891"/>
    </row>
    <row r="125" spans="21:42">
      <c r="U125" s="1723">
        <v>489010</v>
      </c>
      <c r="W125" s="3508">
        <v>42</v>
      </c>
      <c r="Y125" s="1914" t="s">
        <v>1739</v>
      </c>
      <c r="AA125" s="1891">
        <f>VLOOKUP(U125,BasePeriod,AA83,FALSE)</f>
        <v>43506</v>
      </c>
      <c r="AB125" s="1891">
        <f>VLOOKUP(U125,BasePeriod,AB83,FALSE)</f>
        <v>43506</v>
      </c>
      <c r="AC125" s="1891">
        <f>VLOOKUP(U125,BasePeriod,AC83,FALSE)</f>
        <v>43506</v>
      </c>
      <c r="AD125" s="1891">
        <f>VLOOKUP(U125,BasePeriod,AD83,FALSE)</f>
        <v>43506</v>
      </c>
      <c r="AE125" s="1891">
        <f>VLOOKUP(U125,BasePeriod,AE83,FALSE)</f>
        <v>43506</v>
      </c>
      <c r="AF125" s="1891">
        <f>VLOOKUP(U125,BasePeriod,AF83,FALSE)</f>
        <v>43506</v>
      </c>
      <c r="AG125" s="1891">
        <f>VLOOKUP(U125,BasePeriod,AG83,FALSE)</f>
        <v>0</v>
      </c>
      <c r="AH125" s="1891">
        <f>VLOOKUP(U125,BasePeriod,AH83,FALSE)</f>
        <v>0</v>
      </c>
      <c r="AI125" s="1891">
        <f>VLOOKUP(U125,BasePeriod,AI83,FALSE)</f>
        <v>0</v>
      </c>
      <c r="AJ125" s="1891">
        <f>VLOOKUP(U125,BasePeriod,AJ83,FALSE)</f>
        <v>0</v>
      </c>
      <c r="AK125" s="1891">
        <f>VLOOKUP(U125,BasePeriod,AK83,FALSE)</f>
        <v>0</v>
      </c>
      <c r="AL125" s="1891">
        <f>VLOOKUP(U125,BasePeriod,AL83,FALSE)</f>
        <v>0</v>
      </c>
      <c r="AM125" s="1891">
        <f t="shared" si="13"/>
        <v>261036</v>
      </c>
      <c r="AO125" s="1891"/>
    </row>
    <row r="126" spans="21:42">
      <c r="U126" s="1723"/>
      <c r="W126" s="3508">
        <v>43</v>
      </c>
      <c r="Y126" s="1914" t="s">
        <v>1037</v>
      </c>
      <c r="AA126" s="1915">
        <f t="shared" ref="AA126:AL126" si="14">SUM(AA124:AA125)</f>
        <v>183440</v>
      </c>
      <c r="AB126" s="1915">
        <f t="shared" si="14"/>
        <v>191281</v>
      </c>
      <c r="AC126" s="1915">
        <f t="shared" si="14"/>
        <v>167120</v>
      </c>
      <c r="AD126" s="1915">
        <f t="shared" si="14"/>
        <v>182308</v>
      </c>
      <c r="AE126" s="1915">
        <f t="shared" si="14"/>
        <v>177675</v>
      </c>
      <c r="AF126" s="1915">
        <f t="shared" si="14"/>
        <v>159687</v>
      </c>
      <c r="AG126" s="1915">
        <f t="shared" si="14"/>
        <v>109121</v>
      </c>
      <c r="AH126" s="1915">
        <f t="shared" si="14"/>
        <v>108404</v>
      </c>
      <c r="AI126" s="1915">
        <f t="shared" si="14"/>
        <v>115576</v>
      </c>
      <c r="AJ126" s="1915">
        <f t="shared" si="14"/>
        <v>110434</v>
      </c>
      <c r="AK126" s="1915">
        <f t="shared" si="14"/>
        <v>127165</v>
      </c>
      <c r="AL126" s="1915">
        <f t="shared" si="14"/>
        <v>129504</v>
      </c>
      <c r="AM126" s="1915">
        <f t="shared" si="13"/>
        <v>1761715</v>
      </c>
    </row>
    <row r="127" spans="21:42">
      <c r="U127" s="1723"/>
      <c r="W127" s="3508">
        <v>44</v>
      </c>
      <c r="AA127" s="1891"/>
      <c r="AB127" s="1891"/>
      <c r="AC127" s="1891"/>
      <c r="AD127" s="1891"/>
      <c r="AE127" s="1891"/>
      <c r="AF127" s="1891"/>
      <c r="AG127" s="1891"/>
      <c r="AH127" s="1891"/>
      <c r="AI127" s="1891"/>
      <c r="AJ127" s="1891"/>
      <c r="AK127" s="1891"/>
      <c r="AL127" s="1891"/>
      <c r="AM127" s="1891"/>
    </row>
    <row r="128" spans="21:42">
      <c r="U128" s="1723"/>
      <c r="W128" s="3508">
        <v>45</v>
      </c>
      <c r="Y128" s="1603" t="s">
        <v>3018</v>
      </c>
      <c r="AA128" s="1894">
        <f>'BASE PERIOD'!F182-AA92-AA105-AA113-AA121-AA126-AA130</f>
        <v>1779642</v>
      </c>
      <c r="AB128" s="1894">
        <f>'BASE PERIOD'!G182-AB92-AB105-AB113-AB121-AB126-AB130</f>
        <v>1803563</v>
      </c>
      <c r="AC128" s="1894">
        <f>'BASE PERIOD'!H182-AC92-AC105-AC113-AC121-AC126-AC130</f>
        <v>1771968</v>
      </c>
      <c r="AD128" s="1894">
        <f>'BASE PERIOD'!I182-AD92-AD105-AD113-AD121-AD126-AD130</f>
        <v>1682370</v>
      </c>
      <c r="AE128" s="1894">
        <f>'BASE PERIOD'!J182-AE92-AE105-AE113-AE121-AE126-AE130</f>
        <v>1696408</v>
      </c>
      <c r="AF128" s="1894">
        <f>'BASE PERIOD'!K182-AF92-AF105-AF113-AF121-AF126-AF130</f>
        <v>1875886</v>
      </c>
      <c r="AG128" s="1894">
        <f>'BASE PERIOD'!L182-AG92-AG105-AG113-AG121-AG126-AG130</f>
        <v>1991057</v>
      </c>
      <c r="AH128" s="1894">
        <f>'BASE PERIOD'!M182-AH92-AH105-AH113-AH121-AH126-AH130</f>
        <v>1971829</v>
      </c>
      <c r="AI128" s="1894">
        <f>'BASE PERIOD'!N182-AI92-AI105-AI113-AI121-AI126-AI130</f>
        <v>1963952</v>
      </c>
      <c r="AJ128" s="1894">
        <f>'BASE PERIOD'!O182-AJ92-AJ105-AJ113-AJ121-AJ126-AJ130</f>
        <v>1963767</v>
      </c>
      <c r="AK128" s="1894">
        <f>'BASE PERIOD'!P182-AK92-AK105-AK113-AK121-AK126-AK130</f>
        <v>1982182</v>
      </c>
      <c r="AL128" s="1894">
        <f>'BASE PERIOD'!Q182-AL92-AL105-AL113-AL121-AL126-AL130</f>
        <v>2031509</v>
      </c>
      <c r="AM128" s="1891">
        <f t="shared" si="13"/>
        <v>22514133</v>
      </c>
    </row>
    <row r="129" spans="21:42">
      <c r="U129" s="1723"/>
      <c r="W129" s="3508">
        <v>46</v>
      </c>
      <c r="AA129" s="1891"/>
      <c r="AB129" s="1891"/>
      <c r="AC129" s="1891"/>
      <c r="AD129" s="1891"/>
      <c r="AE129" s="1891"/>
      <c r="AF129" s="1891"/>
      <c r="AG129" s="1891"/>
      <c r="AH129" s="1891"/>
      <c r="AI129" s="1891"/>
      <c r="AJ129" s="1891"/>
      <c r="AK129" s="1891"/>
      <c r="AL129" s="1891"/>
      <c r="AM129" s="1891"/>
    </row>
    <row r="130" spans="21:42">
      <c r="U130" s="1723"/>
      <c r="W130" s="3508">
        <v>47</v>
      </c>
      <c r="Y130" s="1603" t="s">
        <v>1021</v>
      </c>
      <c r="AA130" s="1891">
        <f>'BASE PERIOD'!F73+'BASE PERIOD'!F74+'BASE PERIOD'!F83+'BASE PERIOD'!F84+'BASE PERIOD'!F85+'BASE PERIOD'!F86</f>
        <v>5490</v>
      </c>
      <c r="AB130" s="1891">
        <f>'BASE PERIOD'!G73+'BASE PERIOD'!G74+'BASE PERIOD'!G83+'BASE PERIOD'!G84+'BASE PERIOD'!G85+'BASE PERIOD'!G86</f>
        <v>-543780</v>
      </c>
      <c r="AC130" s="1891">
        <f>'BASE PERIOD'!H73+'BASE PERIOD'!H74+'BASE PERIOD'!H83+'BASE PERIOD'!H84+'BASE PERIOD'!H85+'BASE PERIOD'!H86</f>
        <v>-411076</v>
      </c>
      <c r="AD130" s="1891">
        <f>'BASE PERIOD'!I73+'BASE PERIOD'!I74+'BASE PERIOD'!I83+'BASE PERIOD'!I84+'BASE PERIOD'!I85+'BASE PERIOD'!I86</f>
        <v>-345035</v>
      </c>
      <c r="AE130" s="1891">
        <f>'BASE PERIOD'!J73+'BASE PERIOD'!J74+'BASE PERIOD'!J83+'BASE PERIOD'!J84+'BASE PERIOD'!J85+'BASE PERIOD'!J86</f>
        <v>-499891</v>
      </c>
      <c r="AF130" s="1891">
        <f>'BASE PERIOD'!K73+'BASE PERIOD'!K74+'BASE PERIOD'!K83+'BASE PERIOD'!K84+'BASE PERIOD'!K85+'BASE PERIOD'!K86</f>
        <v>-209641</v>
      </c>
      <c r="AG130" s="1891">
        <f>'BASE PERIOD'!L73+'BASE PERIOD'!L74+'BASE PERIOD'!L83+'BASE PERIOD'!L84+'BASE PERIOD'!L85+'BASE PERIOD'!L86</f>
        <v>-62044</v>
      </c>
      <c r="AH130" s="1891">
        <f>'BASE PERIOD'!M73+'BASE PERIOD'!M74+'BASE PERIOD'!M83+'BASE PERIOD'!M84+'BASE PERIOD'!M85+'BASE PERIOD'!M86</f>
        <v>-75589</v>
      </c>
      <c r="AI130" s="1891">
        <f>'BASE PERIOD'!N73+'BASE PERIOD'!N74+'BASE PERIOD'!N83+'BASE PERIOD'!N84+'BASE PERIOD'!N85+'BASE PERIOD'!N86</f>
        <v>-45476</v>
      </c>
      <c r="AJ130" s="1891">
        <f>'BASE PERIOD'!O73+'BASE PERIOD'!O74+'BASE PERIOD'!O83+'BASE PERIOD'!O84+'BASE PERIOD'!O85+'BASE PERIOD'!O86</f>
        <v>-68389</v>
      </c>
      <c r="AK130" s="1891">
        <f>'BASE PERIOD'!P73+'BASE PERIOD'!P74+'BASE PERIOD'!P83+'BASE PERIOD'!P84+'BASE PERIOD'!P85+'BASE PERIOD'!P86</f>
        <v>-94430</v>
      </c>
      <c r="AL130" s="1891">
        <f>'BASE PERIOD'!Q73+'BASE PERIOD'!Q74+'BASE PERIOD'!Q83+'BASE PERIOD'!Q84+'BASE PERIOD'!Q85+'BASE PERIOD'!Q86</f>
        <v>-225326</v>
      </c>
      <c r="AM130" s="1891">
        <f>SUM(AA130:AL130)</f>
        <v>-2575187</v>
      </c>
    </row>
    <row r="131" spans="21:42">
      <c r="U131" s="1723"/>
      <c r="W131" s="3508">
        <v>48</v>
      </c>
      <c r="AA131" s="1891"/>
      <c r="AB131" s="1891"/>
      <c r="AC131" s="1891"/>
      <c r="AD131" s="1891"/>
      <c r="AE131" s="1891"/>
      <c r="AF131" s="1891"/>
      <c r="AG131" s="1891"/>
      <c r="AH131" s="1891"/>
      <c r="AI131" s="1891"/>
      <c r="AJ131" s="1891"/>
      <c r="AK131" s="1891"/>
      <c r="AL131" s="1891"/>
      <c r="AM131" s="1891"/>
    </row>
    <row r="132" spans="21:42" ht="13.8" thickBot="1">
      <c r="U132" s="1723"/>
      <c r="W132" s="3522">
        <v>49</v>
      </c>
      <c r="Y132" s="1603" t="s">
        <v>1941</v>
      </c>
      <c r="AA132" s="1917">
        <f>AA130+AA128+AA126+AA121+AA113+AA105+AA92</f>
        <v>15867330</v>
      </c>
      <c r="AB132" s="1917">
        <f t="shared" ref="AB132:AL132" si="15">AB130+AB128+AB126+AB121+AB113+AB105+AB92</f>
        <v>17381420</v>
      </c>
      <c r="AC132" s="1917">
        <f t="shared" si="15"/>
        <v>13232488</v>
      </c>
      <c r="AD132" s="1917">
        <f t="shared" si="15"/>
        <v>11372501</v>
      </c>
      <c r="AE132" s="1917">
        <f t="shared" si="15"/>
        <v>8547970</v>
      </c>
      <c r="AF132" s="1917">
        <f t="shared" si="15"/>
        <v>3602595</v>
      </c>
      <c r="AG132" s="1917">
        <f t="shared" si="15"/>
        <v>4157116</v>
      </c>
      <c r="AH132" s="1917">
        <f t="shared" si="15"/>
        <v>4667135</v>
      </c>
      <c r="AI132" s="1917">
        <f t="shared" si="15"/>
        <v>3533248</v>
      </c>
      <c r="AJ132" s="1917">
        <f t="shared" si="15"/>
        <v>4395878</v>
      </c>
      <c r="AK132" s="1917">
        <f t="shared" si="15"/>
        <v>5375922</v>
      </c>
      <c r="AL132" s="1917">
        <f t="shared" si="15"/>
        <v>10303216</v>
      </c>
      <c r="AM132" s="1917">
        <f>SUM(AA132:AL132)</f>
        <v>102436819</v>
      </c>
    </row>
    <row r="133" spans="21:42" ht="14.4" thickTop="1" thickBot="1">
      <c r="U133" s="1723"/>
      <c r="W133" s="3522"/>
    </row>
    <row r="134" spans="21:42" ht="13.8" thickBot="1">
      <c r="U134" s="1723"/>
      <c r="W134" s="3522"/>
      <c r="Y134" s="1603" t="s">
        <v>1738</v>
      </c>
      <c r="AA134" s="1918">
        <f>'BASE PERIOD'!F182</f>
        <v>15867330</v>
      </c>
      <c r="AB134" s="1918">
        <f>'BASE PERIOD'!G182</f>
        <v>17381420</v>
      </c>
      <c r="AC134" s="1918">
        <f>'BASE PERIOD'!H182</f>
        <v>13232488</v>
      </c>
      <c r="AD134" s="1919">
        <f>'BASE PERIOD'!I182</f>
        <v>11372501</v>
      </c>
      <c r="AE134" s="1919">
        <f>'BASE PERIOD'!J182</f>
        <v>8547970</v>
      </c>
      <c r="AF134" s="1919">
        <f>'BASE PERIOD'!K182</f>
        <v>3602595</v>
      </c>
      <c r="AG134" s="1919">
        <f>'BASE PERIOD'!L182</f>
        <v>4157116</v>
      </c>
      <c r="AH134" s="1919">
        <f>'BASE PERIOD'!M182</f>
        <v>4667135</v>
      </c>
      <c r="AI134" s="1919">
        <f>'BASE PERIOD'!N182</f>
        <v>3533248</v>
      </c>
      <c r="AJ134" s="1919">
        <f>'BASE PERIOD'!O182</f>
        <v>4395878</v>
      </c>
      <c r="AK134" s="1919">
        <f>'BASE PERIOD'!P182</f>
        <v>5375922</v>
      </c>
      <c r="AL134" s="1920">
        <f>'BASE PERIOD'!Q182</f>
        <v>10303216</v>
      </c>
      <c r="AM134" s="1920">
        <f>'BASE PERIOD'!E182</f>
        <v>102436819</v>
      </c>
      <c r="AP134" s="1891"/>
    </row>
    <row r="135" spans="21:42">
      <c r="U135" s="1723"/>
    </row>
    <row r="136" spans="21:42">
      <c r="U136" s="1723"/>
      <c r="Y136" s="1603" t="s">
        <v>1841</v>
      </c>
      <c r="AA136" s="1891">
        <f t="shared" ref="AA136:AL136" si="16">AA132-AA134</f>
        <v>0</v>
      </c>
      <c r="AB136" s="1891">
        <f t="shared" si="16"/>
        <v>0</v>
      </c>
      <c r="AC136" s="1891">
        <f t="shared" si="16"/>
        <v>0</v>
      </c>
      <c r="AD136" s="1891">
        <f t="shared" si="16"/>
        <v>0</v>
      </c>
      <c r="AE136" s="1891">
        <f t="shared" si="16"/>
        <v>0</v>
      </c>
      <c r="AF136" s="1891">
        <f t="shared" si="16"/>
        <v>0</v>
      </c>
      <c r="AG136" s="1891">
        <f t="shared" si="16"/>
        <v>0</v>
      </c>
      <c r="AH136" s="1891">
        <f t="shared" si="16"/>
        <v>0</v>
      </c>
      <c r="AI136" s="1891">
        <f t="shared" si="16"/>
        <v>0</v>
      </c>
      <c r="AJ136" s="1891">
        <f t="shared" si="16"/>
        <v>0</v>
      </c>
      <c r="AK136" s="1891">
        <f t="shared" si="16"/>
        <v>0</v>
      </c>
      <c r="AL136" s="1891">
        <f t="shared" si="16"/>
        <v>0</v>
      </c>
    </row>
    <row r="137" spans="21:42">
      <c r="U137" s="1723"/>
      <c r="Y137" s="1603" t="s">
        <v>3025</v>
      </c>
      <c r="AA137" s="1603">
        <f>ROUND((AA105)/'Base Period Cust'!C57,4)</f>
        <v>3.1654</v>
      </c>
      <c r="AB137" s="1603">
        <f>ROUND((AB105)/'Base Period Cust'!D57,4)</f>
        <v>4.4747000000000003</v>
      </c>
      <c r="AC137" s="1603">
        <f>ROUND((AC105)/'Base Period Cust'!E57,4)</f>
        <v>4.5952000000000002</v>
      </c>
      <c r="AD137" s="1603">
        <f>ROUND((AD105)/'Base Period Cust'!F57,4)</f>
        <v>3.8454000000000002</v>
      </c>
      <c r="AE137" s="1603">
        <f>ROUND((AE105)/'Base Period Cust'!G57,4)</f>
        <v>4.8939000000000004</v>
      </c>
      <c r="AF137" s="1603">
        <f>ROUND((AF105)/'Base Period Cust'!H57,4)</f>
        <v>8.5288000000000004</v>
      </c>
      <c r="AG137" s="1603">
        <f>ROUND((AG105)/'Base Period Cust'!I57,4)</f>
        <v>5.3346999999999998</v>
      </c>
      <c r="AH137" s="1603">
        <f>ROUND((AH105)/'Base Period Cust'!J57,4)</f>
        <v>5.9326999999999996</v>
      </c>
      <c r="AI137" s="1603">
        <f>ROUND((AI105)/'Base Period Cust'!K57,4)</f>
        <v>6.2930000000000001</v>
      </c>
      <c r="AJ137" s="1603">
        <f>ROUND((AJ105)/'Base Period Cust'!L57,4)</f>
        <v>6.2813999999999997</v>
      </c>
      <c r="AK137" s="1603">
        <f>ROUND((AK105)/'Base Period Cust'!M57,4)</f>
        <v>4.9101999999999997</v>
      </c>
      <c r="AL137" s="1603">
        <f>ROUND((AL105)/'Base Period Cust'!N57,4)</f>
        <v>4.0407999999999999</v>
      </c>
      <c r="AM137" s="1603">
        <f>ROUND((AM105)/'Base Period Cust'!O33,4)</f>
        <v>4.3209</v>
      </c>
    </row>
    <row r="138" spans="21:42">
      <c r="U138" s="1723"/>
    </row>
    <row r="139" spans="21:42">
      <c r="U139" s="1723"/>
    </row>
    <row r="140" spans="21:42">
      <c r="U140" s="1723"/>
      <c r="Y140" s="1603" t="s">
        <v>2226</v>
      </c>
    </row>
    <row r="141" spans="21:42">
      <c r="U141" s="1723"/>
      <c r="Y141" s="1914" t="s">
        <v>1044</v>
      </c>
      <c r="AA141" s="1891">
        <f t="shared" ref="AA141:AL141" si="17">AA85+AA95+AA108+AA116</f>
        <v>9415719</v>
      </c>
      <c r="AB141" s="1891">
        <f t="shared" si="17"/>
        <v>10647255</v>
      </c>
      <c r="AC141" s="1891">
        <f t="shared" si="17"/>
        <v>7674553</v>
      </c>
      <c r="AD141" s="1891">
        <f t="shared" si="17"/>
        <v>6293864</v>
      </c>
      <c r="AE141" s="1891">
        <f t="shared" si="17"/>
        <v>4638390</v>
      </c>
      <c r="AF141" s="1891">
        <f t="shared" si="17"/>
        <v>707344</v>
      </c>
      <c r="AG141" s="1891">
        <f t="shared" si="17"/>
        <v>1135909</v>
      </c>
      <c r="AH141" s="1891">
        <f t="shared" si="17"/>
        <v>1376214</v>
      </c>
      <c r="AI141" s="1891">
        <f t="shared" si="17"/>
        <v>558842</v>
      </c>
      <c r="AJ141" s="1891">
        <f t="shared" si="17"/>
        <v>1152251</v>
      </c>
      <c r="AK141" s="1891">
        <f t="shared" si="17"/>
        <v>1795742</v>
      </c>
      <c r="AL141" s="1891">
        <f t="shared" si="17"/>
        <v>5182610</v>
      </c>
      <c r="AM141" s="1891">
        <f t="shared" ref="AM141:AM144" si="18">SUM(AA141:AL141)</f>
        <v>50578693</v>
      </c>
    </row>
    <row r="142" spans="21:42">
      <c r="U142" s="1723"/>
      <c r="Y142" s="1914" t="s">
        <v>1045</v>
      </c>
      <c r="AA142" s="1891">
        <f t="shared" ref="AA142:AL142" si="19">AA86+AA87+AA96+AA97+AA109+AA110+AA117+AA118</f>
        <v>3534961</v>
      </c>
      <c r="AB142" s="1891">
        <f t="shared" si="19"/>
        <v>4174656.0000000005</v>
      </c>
      <c r="AC142" s="1891">
        <f t="shared" si="19"/>
        <v>3190832</v>
      </c>
      <c r="AD142" s="1891">
        <f t="shared" si="19"/>
        <v>2603002</v>
      </c>
      <c r="AE142" s="1891">
        <f t="shared" si="19"/>
        <v>1999825.0000000002</v>
      </c>
      <c r="AF142" s="1891">
        <f t="shared" si="19"/>
        <v>757528</v>
      </c>
      <c r="AG142" s="1891">
        <f t="shared" si="19"/>
        <v>694527</v>
      </c>
      <c r="AH142" s="1891">
        <f t="shared" si="19"/>
        <v>968831</v>
      </c>
      <c r="AI142" s="1891">
        <f t="shared" si="19"/>
        <v>680518</v>
      </c>
      <c r="AJ142" s="1891">
        <f t="shared" si="19"/>
        <v>907014</v>
      </c>
      <c r="AK142" s="1891">
        <f t="shared" si="19"/>
        <v>1151210</v>
      </c>
      <c r="AL142" s="1891">
        <f t="shared" si="19"/>
        <v>2490306</v>
      </c>
      <c r="AM142" s="1891">
        <f t="shared" si="18"/>
        <v>23153210</v>
      </c>
    </row>
    <row r="143" spans="21:42">
      <c r="U143" s="1723"/>
      <c r="Y143" s="1914" t="s">
        <v>1046</v>
      </c>
      <c r="AA143" s="1891">
        <f t="shared" ref="AA143:AL143" si="20">AA88+AA98+AA111+AA119</f>
        <v>516207</v>
      </c>
      <c r="AB143" s="1891">
        <f t="shared" si="20"/>
        <v>657815</v>
      </c>
      <c r="AC143" s="1891">
        <f t="shared" si="20"/>
        <v>476863</v>
      </c>
      <c r="AD143" s="1891">
        <f t="shared" si="20"/>
        <v>532018</v>
      </c>
      <c r="AE143" s="1891">
        <f t="shared" si="20"/>
        <v>351916</v>
      </c>
      <c r="AF143" s="1891">
        <f t="shared" si="20"/>
        <v>242892</v>
      </c>
      <c r="AG143" s="1891">
        <f t="shared" si="20"/>
        <v>230103</v>
      </c>
      <c r="AH143" s="1891">
        <f t="shared" si="20"/>
        <v>231774</v>
      </c>
      <c r="AI143" s="1891">
        <f t="shared" si="20"/>
        <v>222849</v>
      </c>
      <c r="AJ143" s="1891">
        <f t="shared" si="20"/>
        <v>240734</v>
      </c>
      <c r="AK143" s="1891">
        <f t="shared" si="20"/>
        <v>278280</v>
      </c>
      <c r="AL143" s="1891">
        <f t="shared" si="20"/>
        <v>375591</v>
      </c>
      <c r="AM143" s="1891">
        <f t="shared" si="18"/>
        <v>4357042</v>
      </c>
    </row>
    <row r="144" spans="21:42">
      <c r="U144" s="1723"/>
      <c r="Y144" s="1914" t="s">
        <v>1559</v>
      </c>
      <c r="AA144" s="1891">
        <f t="shared" ref="AA144:AL144" si="21">AA89+AA90+AA91+AA99+AA100+AA104+AA112+AA120</f>
        <v>431951</v>
      </c>
      <c r="AB144" s="1891">
        <f t="shared" si="21"/>
        <v>450575</v>
      </c>
      <c r="AC144" s="1891">
        <f t="shared" si="21"/>
        <v>362169</v>
      </c>
      <c r="AD144" s="1891">
        <f t="shared" si="21"/>
        <v>423934</v>
      </c>
      <c r="AE144" s="1891">
        <f t="shared" si="21"/>
        <v>183503</v>
      </c>
      <c r="AF144" s="1891">
        <f t="shared" si="21"/>
        <v>68825</v>
      </c>
      <c r="AG144" s="1891">
        <f t="shared" si="21"/>
        <v>58443</v>
      </c>
      <c r="AH144" s="1891">
        <f t="shared" si="21"/>
        <v>85672</v>
      </c>
      <c r="AI144" s="1891">
        <f t="shared" si="21"/>
        <v>36987</v>
      </c>
      <c r="AJ144" s="1891">
        <f t="shared" si="21"/>
        <v>90067</v>
      </c>
      <c r="AK144" s="1891">
        <f t="shared" si="21"/>
        <v>135773</v>
      </c>
      <c r="AL144" s="1891">
        <f t="shared" si="21"/>
        <v>319022</v>
      </c>
      <c r="AM144" s="1891">
        <f t="shared" si="18"/>
        <v>2646921</v>
      </c>
    </row>
    <row r="145" spans="21:39">
      <c r="U145" s="1723"/>
      <c r="Y145" s="1914" t="s">
        <v>2227</v>
      </c>
      <c r="AA145" s="1891">
        <f>SUM(AA141:AA144)</f>
        <v>13898838</v>
      </c>
      <c r="AB145" s="1891">
        <f t="shared" ref="AB145:AL145" si="22">SUM(AB141:AB144)</f>
        <v>15930301</v>
      </c>
      <c r="AC145" s="1891">
        <f t="shared" si="22"/>
        <v>11704417</v>
      </c>
      <c r="AD145" s="1891">
        <f t="shared" si="22"/>
        <v>9852818</v>
      </c>
      <c r="AE145" s="1891">
        <f t="shared" si="22"/>
        <v>7173634</v>
      </c>
      <c r="AF145" s="1891">
        <f t="shared" si="22"/>
        <v>1776589</v>
      </c>
      <c r="AG145" s="1891">
        <f t="shared" si="22"/>
        <v>2118982</v>
      </c>
      <c r="AH145" s="1891">
        <f t="shared" si="22"/>
        <v>2662491</v>
      </c>
      <c r="AI145" s="1891">
        <f t="shared" si="22"/>
        <v>1499196</v>
      </c>
      <c r="AJ145" s="1891">
        <f t="shared" si="22"/>
        <v>2390066</v>
      </c>
      <c r="AK145" s="1891">
        <f t="shared" si="22"/>
        <v>3361005</v>
      </c>
      <c r="AL145" s="1891">
        <f t="shared" si="22"/>
        <v>8367529</v>
      </c>
      <c r="AM145" s="1891">
        <f t="shared" ref="AM145" si="23">SUM(AM141:AM144)</f>
        <v>80735866</v>
      </c>
    </row>
    <row r="146" spans="21:39">
      <c r="U146" s="1723"/>
      <c r="Y146" s="1914"/>
      <c r="AA146" s="1891"/>
      <c r="AB146" s="1891"/>
      <c r="AC146" s="1891"/>
      <c r="AD146" s="1891"/>
      <c r="AE146" s="1891"/>
      <c r="AF146" s="1891"/>
      <c r="AG146" s="1891"/>
      <c r="AH146" s="1891"/>
      <c r="AI146" s="1891"/>
      <c r="AJ146" s="1891"/>
      <c r="AK146" s="1891"/>
      <c r="AL146" s="1891"/>
      <c r="AM146" s="1891"/>
    </row>
    <row r="147" spans="21:39">
      <c r="U147" s="1723"/>
    </row>
    <row r="148" spans="21:39">
      <c r="U148" s="1723"/>
    </row>
    <row r="149" spans="21:39">
      <c r="U149" s="1723"/>
      <c r="W149" s="1616" t="str">
        <f>COMPANY</f>
        <v>DUKE ENERGY KENTUCKY, INC.</v>
      </c>
      <c r="AL149" s="1616" t="s">
        <v>1022</v>
      </c>
    </row>
    <row r="150" spans="21:39">
      <c r="U150" s="1723"/>
      <c r="W150" s="1886" t="str">
        <f>CASE</f>
        <v>CASE NO. 2018-00261</v>
      </c>
      <c r="AL150" s="1616" t="s">
        <v>566</v>
      </c>
    </row>
    <row r="151" spans="21:39">
      <c r="U151" s="1723"/>
      <c r="W151" s="1616" t="str">
        <f>DEPT</f>
        <v>GAS DEPARTMENT</v>
      </c>
      <c r="AL151" s="1603" t="str">
        <f>_WIT1</f>
        <v>S. E. LAWLER</v>
      </c>
    </row>
    <row r="152" spans="21:39">
      <c r="U152" s="1723"/>
      <c r="W152" s="1616" t="s">
        <v>1038</v>
      </c>
    </row>
    <row r="153" spans="21:39">
      <c r="U153" s="1723"/>
      <c r="W153" s="1616" t="str">
        <f>PeriodF</f>
        <v>FOR THE TWELVE MONTHS ENDED MARCH 31, 2020</v>
      </c>
    </row>
    <row r="154" spans="21:39">
      <c r="U154" s="1723"/>
      <c r="W154" s="1616" t="str">
        <f>DataF</f>
        <v>DATA:  BASE PERIOD  "X" FORECASTED PERIOD</v>
      </c>
    </row>
    <row r="155" spans="21:39">
      <c r="U155" s="1723"/>
      <c r="W155" s="1616" t="str">
        <f>Type</f>
        <v xml:space="preserve">TYPE OF FILING:  "X" ORIGINAL   UPDATED    REVISED  </v>
      </c>
    </row>
    <row r="156" spans="21:39">
      <c r="U156" s="1723"/>
    </row>
    <row r="157" spans="21:39">
      <c r="U157" s="1723"/>
    </row>
    <row r="158" spans="21:39">
      <c r="U158" s="1723"/>
      <c r="W158" s="3425" t="s">
        <v>1938</v>
      </c>
    </row>
    <row r="159" spans="21:39">
      <c r="U159" s="1723"/>
      <c r="W159" s="1909" t="s">
        <v>1939</v>
      </c>
      <c r="Y159" s="1910" t="s">
        <v>1988</v>
      </c>
      <c r="AA159" s="1911">
        <f>LOGO!J7</f>
        <v>43585</v>
      </c>
      <c r="AB159" s="1911">
        <f>LOGO!J8</f>
        <v>43616</v>
      </c>
      <c r="AC159" s="1911">
        <f>LOGO!J9</f>
        <v>43646</v>
      </c>
      <c r="AD159" s="1911">
        <f>LOGO!J10</f>
        <v>43677</v>
      </c>
      <c r="AE159" s="1911">
        <f>LOGO!J11</f>
        <v>43708</v>
      </c>
      <c r="AF159" s="1911">
        <f>LOGO!J12</f>
        <v>43738</v>
      </c>
      <c r="AG159" s="1911">
        <f>LOGO!J13</f>
        <v>43769</v>
      </c>
      <c r="AH159" s="1911">
        <f>LOGO!J14</f>
        <v>43799</v>
      </c>
      <c r="AI159" s="1911">
        <f>LOGO!J15</f>
        <v>43830</v>
      </c>
      <c r="AJ159" s="1911">
        <f>LOGO!J16</f>
        <v>43861</v>
      </c>
      <c r="AK159" s="1911">
        <f>LOGO!J17</f>
        <v>43890</v>
      </c>
      <c r="AL159" s="1911">
        <f>LOGO!J18</f>
        <v>43921</v>
      </c>
      <c r="AM159" s="1910" t="s">
        <v>2153</v>
      </c>
    </row>
    <row r="160" spans="21:39">
      <c r="U160" s="1723"/>
      <c r="AA160" s="1912">
        <v>6</v>
      </c>
      <c r="AB160" s="1912">
        <v>7</v>
      </c>
      <c r="AC160" s="1912">
        <v>8</v>
      </c>
      <c r="AD160" s="1912">
        <v>9</v>
      </c>
      <c r="AE160" s="1912">
        <v>10</v>
      </c>
      <c r="AF160" s="1912">
        <v>11</v>
      </c>
      <c r="AG160" s="1912">
        <v>12</v>
      </c>
      <c r="AH160" s="1912">
        <v>13</v>
      </c>
      <c r="AI160" s="1912">
        <v>14</v>
      </c>
      <c r="AJ160" s="1912">
        <v>15</v>
      </c>
      <c r="AK160" s="1912">
        <v>16</v>
      </c>
      <c r="AL160" s="1912">
        <v>17</v>
      </c>
    </row>
    <row r="161" spans="20:42">
      <c r="U161" s="1723"/>
      <c r="W161" s="3425">
        <v>1</v>
      </c>
      <c r="Y161" s="1913" t="s">
        <v>986</v>
      </c>
      <c r="AA161" s="1903"/>
      <c r="AB161" s="1903"/>
      <c r="AC161" s="1903"/>
      <c r="AD161" s="1903"/>
      <c r="AE161" s="1903"/>
      <c r="AF161" s="1903"/>
      <c r="AG161" s="1903"/>
      <c r="AH161" s="1903"/>
      <c r="AI161" s="1903"/>
      <c r="AJ161" s="1903"/>
      <c r="AK161" s="1903"/>
      <c r="AL161" s="1903"/>
      <c r="AM161" s="1891"/>
    </row>
    <row r="162" spans="20:42">
      <c r="T162" s="1723" t="s">
        <v>2467</v>
      </c>
      <c r="U162" s="1747">
        <v>480000</v>
      </c>
      <c r="W162" s="3425">
        <v>2</v>
      </c>
      <c r="Y162" s="1914" t="s">
        <v>1044</v>
      </c>
      <c r="AA162" s="1891">
        <f>'FP Rev by Product'!G12</f>
        <v>1646826</v>
      </c>
      <c r="AB162" s="1891">
        <f>'FP Rev by Product'!H12</f>
        <v>852594</v>
      </c>
      <c r="AC162" s="1891">
        <f>'FP Rev by Product'!I12</f>
        <v>518587</v>
      </c>
      <c r="AD162" s="1891">
        <f>'FP Rev by Product'!J12</f>
        <v>301960</v>
      </c>
      <c r="AE162" s="1891">
        <f>'FP Rev by Product'!K12</f>
        <v>202820</v>
      </c>
      <c r="AF162" s="1891">
        <f>'FP Rev by Product'!L12</f>
        <v>211103</v>
      </c>
      <c r="AG162" s="1891">
        <f>'FP Rev by Product'!M12</f>
        <v>410041</v>
      </c>
      <c r="AH162" s="1891">
        <f>'FP Rev by Product'!N12</f>
        <v>1262287</v>
      </c>
      <c r="AI162" s="1891">
        <f>'FP Rev by Product'!O12</f>
        <v>3319001</v>
      </c>
      <c r="AJ162" s="1891">
        <f>'FP Rev by Product'!P12</f>
        <v>4807904</v>
      </c>
      <c r="AK162" s="1891">
        <f>'FP Rev by Product'!Q12</f>
        <v>4581106</v>
      </c>
      <c r="AL162" s="1891">
        <f>'FP Rev by Product'!R12</f>
        <v>3439772</v>
      </c>
      <c r="AM162" s="1891">
        <f t="shared" ref="AM162:AM168" si="24">SUM(AA162:AL162)</f>
        <v>21554001</v>
      </c>
    </row>
    <row r="163" spans="20:42">
      <c r="U163" s="1747">
        <v>481200</v>
      </c>
      <c r="W163" s="3425">
        <v>3</v>
      </c>
      <c r="Y163" s="1914" t="s">
        <v>1045</v>
      </c>
      <c r="AA163" s="1891">
        <f>'FP Rev by Product'!G23+'FP Rev by Product'!G46</f>
        <v>624131</v>
      </c>
      <c r="AB163" s="1891">
        <f>'FP Rev by Product'!H23+'FP Rev by Product'!H46</f>
        <v>295724</v>
      </c>
      <c r="AC163" s="1891">
        <f>'FP Rev by Product'!I23+'FP Rev by Product'!I46</f>
        <v>286981</v>
      </c>
      <c r="AD163" s="1891">
        <f>'FP Rev by Product'!J23+'FP Rev by Product'!J46</f>
        <v>211877</v>
      </c>
      <c r="AE163" s="1891">
        <f>'FP Rev by Product'!K23+'FP Rev by Product'!K46</f>
        <v>257691</v>
      </c>
      <c r="AF163" s="1891">
        <f>'FP Rev by Product'!L23+'FP Rev by Product'!L46</f>
        <v>178936</v>
      </c>
      <c r="AG163" s="1891">
        <f>'FP Rev by Product'!M23+'FP Rev by Product'!M46</f>
        <v>331692</v>
      </c>
      <c r="AH163" s="1891">
        <f>'FP Rev by Product'!N23+'FP Rev by Product'!N46</f>
        <v>567475</v>
      </c>
      <c r="AI163" s="1891">
        <f>'FP Rev by Product'!O23+'FP Rev by Product'!O46</f>
        <v>1130996</v>
      </c>
      <c r="AJ163" s="1891">
        <f>'FP Rev by Product'!P23+'FP Rev by Product'!P46</f>
        <v>1522640</v>
      </c>
      <c r="AK163" s="1891">
        <f>'FP Rev by Product'!Q23+'FP Rev by Product'!Q46</f>
        <v>1334545</v>
      </c>
      <c r="AL163" s="1891">
        <f>'FP Rev by Product'!R23+'FP Rev by Product'!R46</f>
        <v>1027430</v>
      </c>
      <c r="AM163" s="1891">
        <f t="shared" si="24"/>
        <v>7770118</v>
      </c>
    </row>
    <row r="164" spans="20:42">
      <c r="U164" s="1723"/>
      <c r="W164" s="3425">
        <v>4</v>
      </c>
      <c r="Y164" s="1914" t="s">
        <v>433</v>
      </c>
      <c r="AA164" s="1903">
        <v>0</v>
      </c>
      <c r="AB164" s="1903">
        <v>0</v>
      </c>
      <c r="AC164" s="1903">
        <v>0</v>
      </c>
      <c r="AD164" s="1903">
        <v>0</v>
      </c>
      <c r="AE164" s="1903">
        <v>0</v>
      </c>
      <c r="AF164" s="1903">
        <v>0</v>
      </c>
      <c r="AG164" s="1903">
        <v>0</v>
      </c>
      <c r="AH164" s="1903">
        <v>0</v>
      </c>
      <c r="AI164" s="1903">
        <v>0</v>
      </c>
      <c r="AJ164" s="1903">
        <v>0</v>
      </c>
      <c r="AK164" s="1903">
        <v>0</v>
      </c>
      <c r="AL164" s="1903">
        <v>0</v>
      </c>
      <c r="AM164" s="1891">
        <f t="shared" si="24"/>
        <v>0</v>
      </c>
    </row>
    <row r="165" spans="20:42">
      <c r="U165" s="1723">
        <v>481000</v>
      </c>
      <c r="W165" s="3425">
        <v>5</v>
      </c>
      <c r="Y165" s="1914" t="s">
        <v>1046</v>
      </c>
      <c r="AA165" s="1891">
        <f>'FP Rev by Product'!G18+'FP Rev by Product'!G51</f>
        <v>290879</v>
      </c>
      <c r="AB165" s="1891">
        <f>'FP Rev by Product'!H18+'FP Rev by Product'!H51</f>
        <v>224016</v>
      </c>
      <c r="AC165" s="1891">
        <f>'FP Rev by Product'!I18+'FP Rev by Product'!I51</f>
        <v>209153</v>
      </c>
      <c r="AD165" s="1891">
        <f>'FP Rev by Product'!J18+'FP Rev by Product'!J51</f>
        <v>205571</v>
      </c>
      <c r="AE165" s="1891">
        <f>'FP Rev by Product'!K18+'FP Rev by Product'!K51</f>
        <v>193093</v>
      </c>
      <c r="AF165" s="1891">
        <f>'FP Rev by Product'!L18+'FP Rev by Product'!L51</f>
        <v>201243</v>
      </c>
      <c r="AG165" s="1891">
        <f>'FP Rev by Product'!M18+'FP Rev by Product'!M51</f>
        <v>216919</v>
      </c>
      <c r="AH165" s="1891">
        <f>'FP Rev by Product'!N18+'FP Rev by Product'!N51</f>
        <v>236575</v>
      </c>
      <c r="AI165" s="1891">
        <f>'FP Rev by Product'!O18+'FP Rev by Product'!O51</f>
        <v>413269</v>
      </c>
      <c r="AJ165" s="1891">
        <f>'FP Rev by Product'!P18+'FP Rev by Product'!P51</f>
        <v>462194</v>
      </c>
      <c r="AK165" s="1891">
        <f>'FP Rev by Product'!Q18+'FP Rev by Product'!Q51</f>
        <v>405287</v>
      </c>
      <c r="AL165" s="1891">
        <f>'FP Rev by Product'!R18+'FP Rev by Product'!R51</f>
        <v>327395</v>
      </c>
      <c r="AM165" s="1891">
        <f t="shared" si="24"/>
        <v>3385594</v>
      </c>
    </row>
    <row r="166" spans="20:42">
      <c r="U166" s="1723">
        <v>482200</v>
      </c>
      <c r="W166" s="3425">
        <v>6</v>
      </c>
      <c r="Y166" s="1914" t="s">
        <v>1296</v>
      </c>
      <c r="AA166" s="1891">
        <f>'FP Rev by Product'!G35</f>
        <v>11</v>
      </c>
      <c r="AB166" s="1891">
        <f>'FP Rev by Product'!H35</f>
        <v>11</v>
      </c>
      <c r="AC166" s="1891">
        <f>'FP Rev by Product'!I35</f>
        <v>11</v>
      </c>
      <c r="AD166" s="1891">
        <f>'FP Rev by Product'!J35</f>
        <v>11</v>
      </c>
      <c r="AE166" s="1891">
        <f>'FP Rev by Product'!K35</f>
        <v>11</v>
      </c>
      <c r="AF166" s="1891">
        <f>'FP Rev by Product'!L35</f>
        <v>11</v>
      </c>
      <c r="AG166" s="1891">
        <f>'FP Rev by Product'!M35</f>
        <v>10</v>
      </c>
      <c r="AH166" s="1891">
        <f>'FP Rev by Product'!N35</f>
        <v>11</v>
      </c>
      <c r="AI166" s="1891">
        <f>'FP Rev by Product'!O35</f>
        <v>12</v>
      </c>
      <c r="AJ166" s="1891">
        <f>'FP Rev by Product'!P35</f>
        <v>11</v>
      </c>
      <c r="AK166" s="1891">
        <f>'FP Rev by Product'!Q35</f>
        <v>11</v>
      </c>
      <c r="AL166" s="1891">
        <f>'FP Rev by Product'!R35</f>
        <v>11</v>
      </c>
      <c r="AM166" s="1891">
        <f t="shared" si="24"/>
        <v>132</v>
      </c>
    </row>
    <row r="167" spans="20:42">
      <c r="U167" s="1723">
        <v>482000</v>
      </c>
      <c r="W167" s="3425">
        <v>7</v>
      </c>
      <c r="Y167" s="1914" t="s">
        <v>1047</v>
      </c>
      <c r="AA167" s="1891">
        <f>'FP Rev by Product'!G29+'FP Rev by Product'!G55</f>
        <v>93081</v>
      </c>
      <c r="AB167" s="1891">
        <f>'FP Rev by Product'!H29+'FP Rev by Product'!H55</f>
        <v>9088</v>
      </c>
      <c r="AC167" s="1891">
        <f>'FP Rev by Product'!I29+'FP Rev by Product'!I55</f>
        <v>24634</v>
      </c>
      <c r="AD167" s="1891">
        <f>'FP Rev by Product'!J29+'FP Rev by Product'!J55</f>
        <v>10825</v>
      </c>
      <c r="AE167" s="1891">
        <f>'FP Rev by Product'!K29+'FP Rev by Product'!K55</f>
        <v>7867</v>
      </c>
      <c r="AF167" s="1891">
        <f>'FP Rev by Product'!L29+'FP Rev by Product'!L55</f>
        <v>11206</v>
      </c>
      <c r="AG167" s="1891">
        <f>'FP Rev by Product'!M29+'FP Rev by Product'!M55</f>
        <v>34470</v>
      </c>
      <c r="AH167" s="1891">
        <f>'FP Rev by Product'!N29+'FP Rev by Product'!N55</f>
        <v>68849</v>
      </c>
      <c r="AI167" s="1891">
        <f>'FP Rev by Product'!O29+'FP Rev by Product'!O55</f>
        <v>174917</v>
      </c>
      <c r="AJ167" s="1891">
        <f>'FP Rev by Product'!P29+'FP Rev by Product'!P55</f>
        <v>220371</v>
      </c>
      <c r="AK167" s="1891">
        <f>'FP Rev by Product'!Q29+'FP Rev by Product'!Q55</f>
        <v>203702</v>
      </c>
      <c r="AL167" s="1891">
        <f>'FP Rev by Product'!R29+'FP Rev by Product'!R55</f>
        <v>142453</v>
      </c>
      <c r="AM167" s="1891">
        <f t="shared" si="24"/>
        <v>1001463</v>
      </c>
    </row>
    <row r="168" spans="20:42">
      <c r="U168" s="1723">
        <v>484000</v>
      </c>
      <c r="W168" s="3425">
        <v>8</v>
      </c>
      <c r="Y168" s="1914" t="s">
        <v>1035</v>
      </c>
      <c r="AA168" s="1891">
        <f t="shared" ref="AA168:AL168" si="25">VLOOKUP($U$168,FPERIOD,AA160,FALSE)-AA178</f>
        <v>678</v>
      </c>
      <c r="AB168" s="1891">
        <f t="shared" si="25"/>
        <v>345</v>
      </c>
      <c r="AC168" s="1891">
        <f t="shared" si="25"/>
        <v>180</v>
      </c>
      <c r="AD168" s="1891">
        <f t="shared" si="25"/>
        <v>152</v>
      </c>
      <c r="AE168" s="1891">
        <f t="shared" si="25"/>
        <v>152</v>
      </c>
      <c r="AF168" s="1891">
        <f t="shared" si="25"/>
        <v>160</v>
      </c>
      <c r="AG168" s="1891">
        <f t="shared" si="25"/>
        <v>294</v>
      </c>
      <c r="AH168" s="1891">
        <f t="shared" si="25"/>
        <v>673</v>
      </c>
      <c r="AI168" s="1891">
        <f t="shared" si="25"/>
        <v>1321</v>
      </c>
      <c r="AJ168" s="1891">
        <f t="shared" si="25"/>
        <v>1788</v>
      </c>
      <c r="AK168" s="1891">
        <f t="shared" si="25"/>
        <v>2021</v>
      </c>
      <c r="AL168" s="1891">
        <f t="shared" si="25"/>
        <v>1562</v>
      </c>
      <c r="AM168" s="1894">
        <f t="shared" si="24"/>
        <v>9326</v>
      </c>
    </row>
    <row r="169" spans="20:42">
      <c r="U169" s="1723"/>
      <c r="W169" s="3425">
        <v>9</v>
      </c>
      <c r="Y169" s="1603" t="s">
        <v>1048</v>
      </c>
      <c r="AA169" s="1915">
        <f t="shared" ref="AA169:AL169" si="26">SUM(AA161:AA168)</f>
        <v>2655606</v>
      </c>
      <c r="AB169" s="1915">
        <f t="shared" si="26"/>
        <v>1381778</v>
      </c>
      <c r="AC169" s="1915">
        <f t="shared" si="26"/>
        <v>1039546</v>
      </c>
      <c r="AD169" s="1915">
        <f t="shared" si="26"/>
        <v>730396</v>
      </c>
      <c r="AE169" s="1915">
        <f t="shared" si="26"/>
        <v>661634</v>
      </c>
      <c r="AF169" s="1915">
        <f t="shared" si="26"/>
        <v>602659</v>
      </c>
      <c r="AG169" s="1915">
        <f t="shared" si="26"/>
        <v>993426</v>
      </c>
      <c r="AH169" s="1915">
        <f t="shared" si="26"/>
        <v>2135870</v>
      </c>
      <c r="AI169" s="1915">
        <f t="shared" si="26"/>
        <v>5039516</v>
      </c>
      <c r="AJ169" s="1915">
        <f t="shared" si="26"/>
        <v>7014908</v>
      </c>
      <c r="AK169" s="1915">
        <f t="shared" si="26"/>
        <v>6526672</v>
      </c>
      <c r="AL169" s="1915">
        <f t="shared" si="26"/>
        <v>4938623</v>
      </c>
      <c r="AM169" s="1915">
        <f>SUM(AA169:AL169)</f>
        <v>33720634</v>
      </c>
      <c r="AP169" s="1891"/>
    </row>
    <row r="170" spans="20:42">
      <c r="U170" s="1723"/>
      <c r="W170" s="3508">
        <v>10</v>
      </c>
      <c r="AA170" s="1891"/>
      <c r="AB170" s="1891"/>
      <c r="AC170" s="1891"/>
      <c r="AD170" s="1891"/>
      <c r="AE170" s="1891"/>
      <c r="AF170" s="1891"/>
      <c r="AG170" s="1891"/>
      <c r="AH170" s="1891"/>
      <c r="AI170" s="1891"/>
      <c r="AJ170" s="1891"/>
      <c r="AK170" s="1891"/>
      <c r="AL170" s="1891"/>
      <c r="AM170" s="1891"/>
    </row>
    <row r="171" spans="20:42">
      <c r="U171" s="1723"/>
      <c r="W171" s="3508">
        <v>11</v>
      </c>
      <c r="Y171" s="1913" t="s">
        <v>3022</v>
      </c>
      <c r="AA171" s="1891"/>
      <c r="AB171" s="1891"/>
      <c r="AC171" s="1891"/>
      <c r="AD171" s="1891"/>
      <c r="AE171" s="1891"/>
      <c r="AF171" s="1891"/>
      <c r="AG171" s="1891"/>
      <c r="AH171" s="1891"/>
      <c r="AI171" s="1891"/>
      <c r="AJ171" s="1891"/>
      <c r="AK171" s="1891"/>
      <c r="AL171" s="1891"/>
      <c r="AM171" s="1891"/>
    </row>
    <row r="172" spans="20:42">
      <c r="T172" s="1723" t="s">
        <v>2473</v>
      </c>
      <c r="U172" s="1723">
        <v>480000</v>
      </c>
      <c r="W172" s="3508">
        <v>12</v>
      </c>
      <c r="Y172" s="1914" t="s">
        <v>1044</v>
      </c>
      <c r="AA172" s="1891">
        <f t="array" ref="AA172">SUM(IF(FPRevAcct=U172,IF(FPRevProd=T172,FPRev1)))</f>
        <v>1171760</v>
      </c>
      <c r="AB172" s="1891">
        <f t="array" ref="AB172">SUM(IF(FPRevAcct=U172,IF(FPRevProd=T172,FPRev2)))</f>
        <v>768538</v>
      </c>
      <c r="AC172" s="1891">
        <f t="array" ref="AC172">SUM(IF(FPRevAcct=U172,IF(FPRevProd=T172,FPRev3)))</f>
        <v>576847</v>
      </c>
      <c r="AD172" s="1891">
        <f t="array" ref="AD172">SUM(IF(FPRevAcct=U172,IF(FPRevProd=T172,FPRev4)))</f>
        <v>466893</v>
      </c>
      <c r="AE172" s="1891">
        <f t="array" ref="AE172">SUM(IF(FPRevAcct=U172,IF(FPRevProd=T172,FPRev5)))</f>
        <v>326766</v>
      </c>
      <c r="AF172" s="1891">
        <f t="array" ref="AF172">SUM(IF(FPRevAcct=U172,IF(FPRevProd=T172,FPRev6)))</f>
        <v>397467</v>
      </c>
      <c r="AG172" s="1891">
        <f t="array" ref="AG172">SUM(IF(FPRevAcct=U172,IF(FPRevProd=T172,FPrev7)))</f>
        <v>754072</v>
      </c>
      <c r="AH172" s="1891">
        <f t="array" ref="AH172">SUM(IF(FPRevAcct=U172,IF(FPRevProd=T172,FPRev8)))</f>
        <v>2027317</v>
      </c>
      <c r="AI172" s="1891">
        <f t="array" ref="AI172">SUM(IF(FPRevAcct=U172,IF(FPRevProd=T172,FPrev9)))</f>
        <v>3813124</v>
      </c>
      <c r="AJ172" s="1891">
        <f t="array" ref="AJ172">SUM(IF(FPRevAcct=U172,IF(FPRevProd=T172,FPrev10)))</f>
        <v>4953011</v>
      </c>
      <c r="AK172" s="1891">
        <f t="array" ref="AK172">SUM(IF(FPRevAcct=U172,IF(FPRevProd=T172,FPRev11)))</f>
        <v>4518499</v>
      </c>
      <c r="AL172" s="1891">
        <f t="array" ref="AL172">SUM(IF(FPRevAcct=U172,IF(FPRevProd=T172,FPRev12)))</f>
        <v>3138972</v>
      </c>
      <c r="AM172" s="1891">
        <f t="shared" ref="AM172:AM177" si="27">SUM(AA172:AL172)</f>
        <v>22913266</v>
      </c>
    </row>
    <row r="173" spans="20:42">
      <c r="U173" s="1723">
        <v>481200</v>
      </c>
      <c r="W173" s="3508">
        <v>13</v>
      </c>
      <c r="Y173" s="1914" t="s">
        <v>1045</v>
      </c>
      <c r="AA173" s="1891">
        <f t="array" ref="AA173">SUM(IF(FPRevAcct=U173,IF(FPRevProd=T172,FPRev1)))</f>
        <v>594075</v>
      </c>
      <c r="AB173" s="1891">
        <f t="array" ref="AB173">SUM(IF(FPRevAcct=U173,IF(FPRevProd=T172,FPRev2)))</f>
        <v>330644</v>
      </c>
      <c r="AC173" s="1891">
        <f t="array" ref="AC173">SUM(IF(FPRevAcct=U173,IF(FPRevProd=T172,FPRev3)))</f>
        <v>398522</v>
      </c>
      <c r="AD173" s="1891">
        <f t="array" ref="AD173">SUM(IF(FPRevAcct=U173,IF(FPRevProd=T172,FPRev4)))</f>
        <v>410313</v>
      </c>
      <c r="AE173" s="1891">
        <f t="array" ref="AE173">SUM(IF(FPRevAcct=U173,IF(FPRevProd=T172,FPRev5)))</f>
        <v>492872</v>
      </c>
      <c r="AF173" s="1891">
        <f t="array" ref="AF173">SUM(IF(FPRevAcct=U173,IF(FPRevProd=T172,FPRev6)))</f>
        <v>404891</v>
      </c>
      <c r="AG173" s="1891">
        <f t="array" ref="AG173">SUM(IF(FPRevAcct=U173,IF(FPRevProd=T172,FPrev7)))</f>
        <v>704539</v>
      </c>
      <c r="AH173" s="1891">
        <f t="array" ref="AH173">SUM(IF(FPRevAcct=U173,IF(FPRevProd=T172,FPRev8)))</f>
        <v>1097034</v>
      </c>
      <c r="AI173" s="1891">
        <f t="array" ref="AI173">SUM(IF(FPRevAcct=U173,IF(FPRevProd=T172,FPrev9)))</f>
        <v>1683420</v>
      </c>
      <c r="AJ173" s="1891">
        <f t="array" ref="AJ173">SUM(IF(FPRevAcct=U173,IF(FPRevProd=T172,FPrev10)))</f>
        <v>2190923</v>
      </c>
      <c r="AK173" s="1891">
        <f t="array" ref="AK173">SUM(IF(FPRevAcct=U173,IF(FPRevProd=T172,FPRev11)))</f>
        <v>1838541</v>
      </c>
      <c r="AL173" s="1891">
        <f t="array" ref="AL173">SUM(IF(FPRevAcct=U173,IF(FPRevProd=T172,FPRev12)))</f>
        <v>1258555</v>
      </c>
      <c r="AM173" s="1891">
        <f t="shared" si="27"/>
        <v>11404329</v>
      </c>
    </row>
    <row r="174" spans="20:42">
      <c r="U174" s="1723"/>
      <c r="W174" s="3508">
        <v>14</v>
      </c>
      <c r="Y174" s="1914" t="s">
        <v>433</v>
      </c>
      <c r="AA174" s="1285">
        <v>0</v>
      </c>
      <c r="AB174" s="1285">
        <v>0</v>
      </c>
      <c r="AC174" s="1285">
        <v>0</v>
      </c>
      <c r="AD174" s="1285">
        <v>0</v>
      </c>
      <c r="AE174" s="1285">
        <v>0</v>
      </c>
      <c r="AF174" s="1285">
        <v>0</v>
      </c>
      <c r="AG174" s="1285">
        <v>0</v>
      </c>
      <c r="AH174" s="1285">
        <v>0</v>
      </c>
      <c r="AI174" s="1285">
        <v>0</v>
      </c>
      <c r="AJ174" s="1285">
        <v>0</v>
      </c>
      <c r="AK174" s="1285">
        <v>0</v>
      </c>
      <c r="AL174" s="1285">
        <v>0</v>
      </c>
      <c r="AM174" s="1891">
        <f t="shared" si="27"/>
        <v>0</v>
      </c>
    </row>
    <row r="175" spans="20:42">
      <c r="U175" s="1723">
        <v>481000</v>
      </c>
      <c r="W175" s="3508">
        <v>15</v>
      </c>
      <c r="Y175" s="1914" t="s">
        <v>1046</v>
      </c>
      <c r="AA175" s="1891">
        <f t="array" ref="AA175">SUM(IF(FPRevAcct=U175,IF(FPRevProd=T172,FPRev1)))</f>
        <v>43550</v>
      </c>
      <c r="AB175" s="1891">
        <f t="array" ref="AB175">SUM(IF(FPRevAcct=U175,IF(FPRevProd=T172,FPRev2)))</f>
        <v>21437</v>
      </c>
      <c r="AC175" s="1891">
        <f t="array" ref="AC175">SUM(IF(FPRevAcct=U175,IF(FPRevProd=T172,FPRev3)))</f>
        <v>24698</v>
      </c>
      <c r="AD175" s="1891">
        <f t="array" ref="AD175">SUM(IF(FPRevAcct=U175,IF(FPRevProd=T172,FPRev4)))</f>
        <v>13571</v>
      </c>
      <c r="AE175" s="1891">
        <f t="array" ref="AE175">SUM(IF(FPRevAcct=U175,IF(FPRevProd=T172,FPRev5)))</f>
        <v>19887</v>
      </c>
      <c r="AF175" s="1891">
        <f t="array" ref="AF175">SUM(IF(FPRevAcct=U175,IF(FPRevProd=T172,FPRev6)))</f>
        <v>24222</v>
      </c>
      <c r="AG175" s="1891">
        <f t="array" ref="AG175">SUM(IF(FPRevAcct=U175,IF(FPRevProd=T172,FPrev7)))</f>
        <v>25501</v>
      </c>
      <c r="AH175" s="1891">
        <f t="array" ref="AH175">SUM(IF(FPRevAcct=U175,IF(FPRevProd=T172,FPRev8)))</f>
        <v>40336</v>
      </c>
      <c r="AI175" s="1891">
        <f t="array" ref="AI175">SUM(IF(FPRevAcct=U175,IF(FPRevProd=T172,FPrev9)))</f>
        <v>119461</v>
      </c>
      <c r="AJ175" s="1891">
        <f t="array" ref="AJ175">SUM(IF(FPRevAcct=U175,IF(FPRevProd=T172,FPrev10)))</f>
        <v>158604</v>
      </c>
      <c r="AK175" s="1891">
        <f t="array" ref="AK175">SUM(IF(FPRevAcct=U175,IF(FPRevProd=T172,FPRev11)))</f>
        <v>116925</v>
      </c>
      <c r="AL175" s="1891">
        <f t="array" ref="AL175">SUM(IF(FPRevAcct=U175,IF(FPRevProd=T172,FPRev12)))</f>
        <v>75171</v>
      </c>
      <c r="AM175" s="1891">
        <f t="shared" si="27"/>
        <v>683363</v>
      </c>
    </row>
    <row r="176" spans="20:42">
      <c r="U176" s="1723">
        <v>482200</v>
      </c>
      <c r="W176" s="3508">
        <v>16</v>
      </c>
      <c r="Y176" s="1914" t="s">
        <v>1296</v>
      </c>
      <c r="AA176" s="1891">
        <f t="array" ref="AA176">SUM(IF(FPRevAcct=U176,IF(FPRevProd=T172,FPRev1)))</f>
        <v>14</v>
      </c>
      <c r="AB176" s="1891">
        <f t="array" ref="AB176">SUM(IF(FPRevAcct=U176,IF(FPRevProd=T172,FPRev2)))</f>
        <v>17</v>
      </c>
      <c r="AC176" s="1891">
        <f t="array" ref="AC176">SUM(IF(FPRevAcct=U176,IF(FPRevProd=T172,FPRev3)))</f>
        <v>22</v>
      </c>
      <c r="AD176" s="1891">
        <f t="array" ref="AD176">SUM(IF(FPRevAcct=U176,IF(FPRevProd=T172,FPRev4)))</f>
        <v>31</v>
      </c>
      <c r="AE176" s="1891">
        <f t="array" ref="AE176">SUM(IF(FPRevAcct=U176,IF(FPRevProd=T172,FPRev5)))</f>
        <v>31</v>
      </c>
      <c r="AF176" s="1891">
        <f t="array" ref="AF176">SUM(IF(FPRevAcct=U176,IF(FPRevProd=T172,FPRev6)))</f>
        <v>38</v>
      </c>
      <c r="AG176" s="1891">
        <f t="array" ref="AG176">SUM(IF(FPRevAcct=U176,IF(FPRevProd=T172,FPrev7)))</f>
        <v>35</v>
      </c>
      <c r="AH176" s="1891">
        <f t="array" ref="AH176">SUM(IF(FPRevAcct=U176,IF(FPRevProd=T172,FPRev8)))</f>
        <v>31</v>
      </c>
      <c r="AI176" s="1891">
        <f t="array" ref="AI176">SUM(IF(FPRevAcct=U176,IF(FPRevProd=T172,FPrev9)))</f>
        <v>25</v>
      </c>
      <c r="AJ176" s="1891">
        <f t="array" ref="AJ176">SUM(IF(FPRevAcct=U176,IF(FPRevProd=T172,FPrev10)))</f>
        <v>21</v>
      </c>
      <c r="AK176" s="1891">
        <f t="array" ref="AK176">SUM(IF(FPRevAcct=U176,IF(FPRevProd=T172,FPRev11)))</f>
        <v>19</v>
      </c>
      <c r="AL176" s="1891">
        <f t="array" ref="AL176">SUM(IF(FPRevAcct=U176,IF(FPRevProd=T172,FPRev12)))</f>
        <v>18</v>
      </c>
      <c r="AM176" s="1891">
        <f t="shared" si="27"/>
        <v>302</v>
      </c>
    </row>
    <row r="177" spans="20:42">
      <c r="U177" s="1723">
        <v>482000</v>
      </c>
      <c r="W177" s="3508">
        <v>17</v>
      </c>
      <c r="Y177" s="1914" t="s">
        <v>1047</v>
      </c>
      <c r="AA177" s="1891">
        <f t="array" ref="AA177">SUM(IF(FPRevAcct=U177,IF(FPRevProd=T172,FPRev1)))</f>
        <v>76757</v>
      </c>
      <c r="AB177" s="1891">
        <f t="array" ref="AB177">SUM(IF(FPRevAcct=U177,IF(FPRevProd=T172,FPRev2)))</f>
        <v>12656</v>
      </c>
      <c r="AC177" s="1891">
        <f t="array" ref="AC177">SUM(IF(FPRevAcct=U177,IF(FPRevProd=T172,FPRev3)))</f>
        <v>40100</v>
      </c>
      <c r="AD177" s="1891">
        <f t="array" ref="AD177">SUM(IF(FPRevAcct=U177,IF(FPRevProd=T172,FPRev4)))</f>
        <v>23667</v>
      </c>
      <c r="AE177" s="1891">
        <f t="array" ref="AE177">SUM(IF(FPRevAcct=U177,IF(FPRevProd=T172,FPRev5)))</f>
        <v>16433</v>
      </c>
      <c r="AF177" s="1891">
        <f t="array" ref="AF177">SUM(IF(FPRevAcct=U177,IF(FPRevProd=T172,FPRev6)))</f>
        <v>28422</v>
      </c>
      <c r="AG177" s="1891">
        <f t="array" ref="AG177">SUM(IF(FPRevAcct=U177,IF(FPRevProd=T172,FPrev7)))</f>
        <v>67901</v>
      </c>
      <c r="AH177" s="1891">
        <f t="array" ref="AH177">SUM(IF(FPRevAcct=U177,IF(FPRevProd=T172,FPRev8)))</f>
        <v>108574</v>
      </c>
      <c r="AI177" s="1891">
        <f t="array" ref="AI177">SUM(IF(FPRevAcct=U177,IF(FPRevProd=T172,FPrev9)))</f>
        <v>225878</v>
      </c>
      <c r="AJ177" s="1891">
        <f t="array" ref="AJ177">SUM(IF(FPRevAcct=U177,IF(FPRevProd=T172,FPrev10)))</f>
        <v>290466</v>
      </c>
      <c r="AK177" s="1891">
        <f t="array" ref="AK177">SUM(IF(FPRevAcct=U177,IF(FPRevProd=T172,FPRev11)))</f>
        <v>263885</v>
      </c>
      <c r="AL177" s="1891">
        <f t="array" ref="AL177">SUM(IF(FPRevAcct=U177,IF(FPRevProd=T172,FPRev12)))</f>
        <v>159654</v>
      </c>
      <c r="AM177" s="1891">
        <f t="shared" si="27"/>
        <v>1314393</v>
      </c>
    </row>
    <row r="178" spans="20:42">
      <c r="U178" s="1723">
        <v>484000</v>
      </c>
      <c r="W178" s="3508">
        <v>18</v>
      </c>
      <c r="Y178" s="1914" t="s">
        <v>1035</v>
      </c>
      <c r="AA178" s="3115">
        <v>873</v>
      </c>
      <c r="AB178" s="3115">
        <v>565</v>
      </c>
      <c r="AC178" s="3115">
        <v>362</v>
      </c>
      <c r="AD178" s="3115">
        <v>425</v>
      </c>
      <c r="AE178" s="3115">
        <v>445</v>
      </c>
      <c r="AF178" s="3115">
        <v>544</v>
      </c>
      <c r="AG178" s="3115">
        <v>980</v>
      </c>
      <c r="AH178" s="3115">
        <v>1959</v>
      </c>
      <c r="AI178" s="3115">
        <v>2752</v>
      </c>
      <c r="AJ178" s="3115">
        <v>3339</v>
      </c>
      <c r="AK178" s="3115">
        <v>3613</v>
      </c>
      <c r="AL178" s="3115">
        <v>2582</v>
      </c>
      <c r="AM178" s="1916">
        <f t="shared" ref="AM178" si="28">SUM(AA178:AL178)</f>
        <v>18439</v>
      </c>
    </row>
    <row r="179" spans="20:42">
      <c r="U179" s="1723"/>
      <c r="W179" s="3508">
        <v>19</v>
      </c>
      <c r="Y179" s="1603" t="s">
        <v>3024</v>
      </c>
      <c r="AA179" s="1891">
        <f t="shared" ref="AA179:AL179" si="29">SUM(AA172:AA178)</f>
        <v>1887029</v>
      </c>
      <c r="AB179" s="1891">
        <f t="shared" si="29"/>
        <v>1133857</v>
      </c>
      <c r="AC179" s="1891">
        <f t="shared" si="29"/>
        <v>1040551</v>
      </c>
      <c r="AD179" s="1891">
        <f t="shared" si="29"/>
        <v>914900</v>
      </c>
      <c r="AE179" s="1891">
        <f t="shared" si="29"/>
        <v>856434</v>
      </c>
      <c r="AF179" s="1891">
        <f t="shared" si="29"/>
        <v>855584</v>
      </c>
      <c r="AG179" s="1891">
        <f t="shared" si="29"/>
        <v>1553028</v>
      </c>
      <c r="AH179" s="1891">
        <f t="shared" si="29"/>
        <v>3275251</v>
      </c>
      <c r="AI179" s="1891">
        <f t="shared" si="29"/>
        <v>5844660</v>
      </c>
      <c r="AJ179" s="1891">
        <f t="shared" si="29"/>
        <v>7596364</v>
      </c>
      <c r="AK179" s="1891">
        <f t="shared" si="29"/>
        <v>6741482</v>
      </c>
      <c r="AL179" s="1891">
        <f t="shared" si="29"/>
        <v>4634952</v>
      </c>
      <c r="AM179" s="1891">
        <f>SUM(AA179:AL179)</f>
        <v>36334092</v>
      </c>
      <c r="AP179" s="1891"/>
    </row>
    <row r="180" spans="20:42">
      <c r="U180" s="1723"/>
      <c r="W180" s="3508">
        <v>20</v>
      </c>
      <c r="AA180" s="1891"/>
      <c r="AB180" s="1891"/>
      <c r="AC180" s="1891"/>
      <c r="AD180" s="1891"/>
      <c r="AE180" s="1891"/>
      <c r="AF180" s="1891"/>
      <c r="AG180" s="1891"/>
      <c r="AH180" s="1891"/>
      <c r="AI180" s="1891"/>
      <c r="AJ180" s="1891"/>
      <c r="AK180" s="1891"/>
      <c r="AL180" s="1891"/>
      <c r="AM180" s="1891"/>
    </row>
    <row r="181" spans="20:42">
      <c r="U181" s="1723"/>
      <c r="W181" s="3508">
        <v>21</v>
      </c>
      <c r="Y181" s="1913" t="s">
        <v>861</v>
      </c>
      <c r="AA181" s="1891"/>
      <c r="AB181" s="1891"/>
      <c r="AC181" s="1891"/>
      <c r="AD181" s="1891"/>
      <c r="AE181" s="1891"/>
      <c r="AF181" s="1891"/>
      <c r="AG181" s="1891"/>
      <c r="AH181" s="1891"/>
      <c r="AI181" s="1891"/>
      <c r="AJ181" s="1891"/>
      <c r="AK181" s="1891"/>
      <c r="AL181" s="1891"/>
      <c r="AM181" s="1891"/>
    </row>
    <row r="182" spans="20:42">
      <c r="T182" s="1723" t="s">
        <v>2477</v>
      </c>
      <c r="U182" s="1723">
        <v>480990</v>
      </c>
      <c r="W182" s="3508">
        <v>22</v>
      </c>
      <c r="Y182" s="1914" t="s">
        <v>1044</v>
      </c>
      <c r="AA182" s="1891">
        <f>'FP Rev by Product'!G17-AA190</f>
        <v>-520283</v>
      </c>
      <c r="AB182" s="1891">
        <f>'FP Rev by Product'!H17-AB190</f>
        <v>-316206</v>
      </c>
      <c r="AC182" s="1891">
        <f>'FP Rev by Product'!I17-AC190</f>
        <v>-103558</v>
      </c>
      <c r="AD182" s="1891">
        <f>'FP Rev by Product'!J17-AD190</f>
        <v>-23197</v>
      </c>
      <c r="AE182" s="1891">
        <f>'FP Rev by Product'!K17-AE190</f>
        <v>22954</v>
      </c>
      <c r="AF182" s="1891">
        <f>'FP Rev by Product'!L17-AF190</f>
        <v>25398</v>
      </c>
      <c r="AG182" s="1891">
        <f>'FP Rev by Product'!M17-AG190</f>
        <v>297220</v>
      </c>
      <c r="AH182" s="1891">
        <f>'FP Rev by Product'!N17-AH190</f>
        <v>722620</v>
      </c>
      <c r="AI182" s="1891">
        <f>'FP Rev by Product'!O17-AI190</f>
        <v>568274</v>
      </c>
      <c r="AJ182" s="1891">
        <f>'FP Rev by Product'!P17-AJ190</f>
        <v>126681</v>
      </c>
      <c r="AK182" s="1891">
        <f>'FP Rev by Product'!Q17-AK190</f>
        <v>-136350</v>
      </c>
      <c r="AL182" s="1891">
        <f>'FP Rev by Product'!R17-AL190</f>
        <v>-450127</v>
      </c>
      <c r="AM182" s="1891">
        <f t="shared" ref="AM182:AM187" si="30">SUM(AA182:AL182)</f>
        <v>213426</v>
      </c>
    </row>
    <row r="183" spans="20:42">
      <c r="U183" s="1723">
        <v>481290</v>
      </c>
      <c r="W183" s="3508">
        <v>23</v>
      </c>
      <c r="Y183" s="1914" t="s">
        <v>1045</v>
      </c>
      <c r="AA183" s="1891">
        <f>'FP Rev by Product'!G28+'FP Rev by Product'!G50-AA191</f>
        <v>-165594</v>
      </c>
      <c r="AB183" s="1891">
        <f>'FP Rev by Product'!H28+'FP Rev by Product'!H50-AB191</f>
        <v>-36402</v>
      </c>
      <c r="AC183" s="1891">
        <f>'FP Rev by Product'!I28+'FP Rev by Product'!I50-AC191</f>
        <v>-38442</v>
      </c>
      <c r="AD183" s="1891">
        <f>'FP Rev by Product'!J28+'FP Rev by Product'!J50-AD191</f>
        <v>22316</v>
      </c>
      <c r="AE183" s="1891">
        <f>'FP Rev by Product'!K28+'FP Rev by Product'!K50-AE191</f>
        <v>-22865</v>
      </c>
      <c r="AF183" s="1891">
        <f>'FP Rev by Product'!L28+'FP Rev by Product'!L50-AF191</f>
        <v>33896</v>
      </c>
      <c r="AG183" s="1891">
        <f>'FP Rev by Product'!M28+'FP Rev by Product'!M50-AG191</f>
        <v>54856</v>
      </c>
      <c r="AH183" s="1891">
        <f>'FP Rev by Product'!N28+'FP Rev by Product'!N50-AH191</f>
        <v>236792</v>
      </c>
      <c r="AI183" s="1891">
        <f>'FP Rev by Product'!O28+'FP Rev by Product'!O50-AI191</f>
        <v>172262</v>
      </c>
      <c r="AJ183" s="1891">
        <f>'FP Rev by Product'!P28+'FP Rev by Product'!P50-AJ191</f>
        <v>-59841</v>
      </c>
      <c r="AK183" s="1891">
        <f>'FP Rev by Product'!Q28+'FP Rev by Product'!Q50-AK191</f>
        <v>-32218</v>
      </c>
      <c r="AL183" s="1891">
        <f>'FP Rev by Product'!R28+'FP Rev by Product'!R50-AL191</f>
        <v>-81991</v>
      </c>
      <c r="AM183" s="1891">
        <f t="shared" si="30"/>
        <v>82769</v>
      </c>
    </row>
    <row r="184" spans="20:42">
      <c r="U184" s="1723"/>
      <c r="W184" s="3508">
        <v>24</v>
      </c>
      <c r="Y184" s="1914" t="s">
        <v>433</v>
      </c>
      <c r="AA184" s="1285">
        <v>0</v>
      </c>
      <c r="AB184" s="1285">
        <v>0</v>
      </c>
      <c r="AC184" s="1285">
        <v>0</v>
      </c>
      <c r="AD184" s="1285">
        <v>0</v>
      </c>
      <c r="AE184" s="1285">
        <v>0</v>
      </c>
      <c r="AF184" s="1285">
        <v>0</v>
      </c>
      <c r="AG184" s="1285">
        <v>0</v>
      </c>
      <c r="AH184" s="1285">
        <v>0</v>
      </c>
      <c r="AI184" s="1285">
        <v>0</v>
      </c>
      <c r="AJ184" s="1285">
        <v>0</v>
      </c>
      <c r="AK184" s="1285">
        <v>0</v>
      </c>
      <c r="AL184" s="1285">
        <v>0</v>
      </c>
      <c r="AM184" s="1891">
        <f t="shared" si="30"/>
        <v>0</v>
      </c>
    </row>
    <row r="185" spans="20:42">
      <c r="U185" s="1723">
        <v>481090</v>
      </c>
      <c r="W185" s="3508">
        <v>25</v>
      </c>
      <c r="Y185" s="1914" t="s">
        <v>1046</v>
      </c>
      <c r="AA185" s="1891">
        <f>'FP Rev by Product'!G22+'FP Rev by Product'!G54-AA193</f>
        <v>-56437</v>
      </c>
      <c r="AB185" s="1891">
        <f>'FP Rev by Product'!H22+'FP Rev by Product'!H54-AB193</f>
        <v>-10501</v>
      </c>
      <c r="AC185" s="1891">
        <f>'FP Rev by Product'!I22+'FP Rev by Product'!I54-AC193</f>
        <v>-6433</v>
      </c>
      <c r="AD185" s="1891">
        <f>'FP Rev by Product'!J22+'FP Rev by Product'!J54-AD193</f>
        <v>-3532</v>
      </c>
      <c r="AE185" s="1891">
        <f>'FP Rev by Product'!K22+'FP Rev by Product'!K54-AE193</f>
        <v>12658</v>
      </c>
      <c r="AF185" s="1891">
        <f>'FP Rev by Product'!L22+'FP Rev by Product'!L54-AF193</f>
        <v>3320</v>
      </c>
      <c r="AG185" s="1891">
        <f>'FP Rev by Product'!M22+'FP Rev by Product'!M54-AG193</f>
        <v>40657</v>
      </c>
      <c r="AH185" s="1891">
        <f>'FP Rev by Product'!N22+'FP Rev by Product'!N54-AH193</f>
        <v>78906</v>
      </c>
      <c r="AI185" s="1891">
        <f>'FP Rev by Product'!O22+'FP Rev by Product'!O54-AI193</f>
        <v>-19230</v>
      </c>
      <c r="AJ185" s="1891">
        <f>'FP Rev by Product'!P22+'FP Rev by Product'!P54-AJ193</f>
        <v>-1193</v>
      </c>
      <c r="AK185" s="1891">
        <f>'FP Rev by Product'!Q22+'FP Rev by Product'!Q54-AK193</f>
        <v>-36255</v>
      </c>
      <c r="AL185" s="1891">
        <f>'FP Rev by Product'!R22+'FP Rev by Product'!R54-AL193</f>
        <v>-16</v>
      </c>
      <c r="AM185" s="1891">
        <f t="shared" si="30"/>
        <v>1944</v>
      </c>
    </row>
    <row r="186" spans="20:42">
      <c r="U186" s="1723">
        <v>482090</v>
      </c>
      <c r="W186" s="3508">
        <v>26</v>
      </c>
      <c r="Y186" s="1914" t="s">
        <v>1047</v>
      </c>
      <c r="AA186" s="1891">
        <f>'FP Rev by Product'!G34+'FP Rev by Product'!G58-AA194</f>
        <v>-60329</v>
      </c>
      <c r="AB186" s="1891">
        <f>'FP Rev by Product'!H34+'FP Rev by Product'!H58-AB194</f>
        <v>-3565</v>
      </c>
      <c r="AC186" s="1891">
        <f>'FP Rev by Product'!I34+'FP Rev by Product'!I58-AC194</f>
        <v>-10118</v>
      </c>
      <c r="AD186" s="1891">
        <f>'FP Rev by Product'!J34+'FP Rev by Product'!J58-AD194</f>
        <v>1872</v>
      </c>
      <c r="AE186" s="1891">
        <f>'FP Rev by Product'!K34+'FP Rev by Product'!K58-AE194</f>
        <v>4000</v>
      </c>
      <c r="AF186" s="1891">
        <f>'FP Rev by Product'!L34+'FP Rev by Product'!L58-AF194</f>
        <v>4214</v>
      </c>
      <c r="AG186" s="1891">
        <f>'FP Rev by Product'!M34+'FP Rev by Product'!M58-AG194</f>
        <v>15627</v>
      </c>
      <c r="AH186" s="1891">
        <f>'FP Rev by Product'!N34+'FP Rev by Product'!N58-AH194</f>
        <v>54618</v>
      </c>
      <c r="AI186" s="1891">
        <f>'FP Rev by Product'!O34+'FP Rev by Product'!O58-AI194</f>
        <v>4679</v>
      </c>
      <c r="AJ186" s="1891">
        <f>'FP Rev by Product'!P34+'FP Rev by Product'!P58-AJ194</f>
        <v>9090</v>
      </c>
      <c r="AK186" s="1891">
        <f>'FP Rev by Product'!Q34+'FP Rev by Product'!Q58-AK194</f>
        <v>-6795</v>
      </c>
      <c r="AL186" s="1891">
        <f>'FP Rev by Product'!R34+'FP Rev by Product'!R58-AL194</f>
        <v>-1901</v>
      </c>
      <c r="AM186" s="1891">
        <f t="shared" si="30"/>
        <v>11392</v>
      </c>
    </row>
    <row r="187" spans="20:42">
      <c r="U187" s="1723"/>
      <c r="W187" s="3508">
        <v>27</v>
      </c>
      <c r="Y187" s="1615" t="s">
        <v>862</v>
      </c>
      <c r="AA187" s="1915">
        <f t="shared" ref="AA187:AL187" si="31">SUM(AA182:AA186)</f>
        <v>-802643</v>
      </c>
      <c r="AB187" s="1915">
        <f t="shared" si="31"/>
        <v>-366674</v>
      </c>
      <c r="AC187" s="1915">
        <f t="shared" si="31"/>
        <v>-158551</v>
      </c>
      <c r="AD187" s="1915">
        <f t="shared" si="31"/>
        <v>-2541</v>
      </c>
      <c r="AE187" s="1915">
        <f t="shared" si="31"/>
        <v>16747</v>
      </c>
      <c r="AF187" s="1915">
        <f t="shared" si="31"/>
        <v>66828</v>
      </c>
      <c r="AG187" s="1915">
        <f t="shared" si="31"/>
        <v>408360</v>
      </c>
      <c r="AH187" s="1915">
        <f t="shared" si="31"/>
        <v>1092936</v>
      </c>
      <c r="AI187" s="1915">
        <f t="shared" si="31"/>
        <v>725985</v>
      </c>
      <c r="AJ187" s="1915">
        <f t="shared" si="31"/>
        <v>74737</v>
      </c>
      <c r="AK187" s="1915">
        <f t="shared" si="31"/>
        <v>-211618</v>
      </c>
      <c r="AL187" s="1915">
        <f t="shared" si="31"/>
        <v>-534035</v>
      </c>
      <c r="AM187" s="1915">
        <f t="shared" si="30"/>
        <v>309531</v>
      </c>
      <c r="AP187" s="1891"/>
    </row>
    <row r="188" spans="20:42">
      <c r="U188" s="1723"/>
      <c r="W188" s="3508">
        <v>28</v>
      </c>
      <c r="AA188" s="1891"/>
      <c r="AB188" s="1891"/>
      <c r="AC188" s="1891"/>
      <c r="AD188" s="1891"/>
      <c r="AE188" s="1891"/>
      <c r="AF188" s="1891"/>
      <c r="AG188" s="1891"/>
      <c r="AH188" s="1891"/>
      <c r="AI188" s="1891"/>
      <c r="AJ188" s="1891"/>
      <c r="AK188" s="1891"/>
      <c r="AL188" s="1891"/>
      <c r="AM188" s="1891"/>
    </row>
    <row r="189" spans="20:42">
      <c r="U189" s="1723"/>
      <c r="W189" s="3508">
        <v>29</v>
      </c>
      <c r="Y189" s="1913" t="s">
        <v>3020</v>
      </c>
      <c r="AA189" s="1891"/>
      <c r="AB189" s="1891"/>
      <c r="AC189" s="1891"/>
      <c r="AD189" s="1891"/>
      <c r="AE189" s="1891"/>
      <c r="AF189" s="1891"/>
      <c r="AG189" s="1891"/>
      <c r="AH189" s="1891"/>
      <c r="AI189" s="1891"/>
      <c r="AJ189" s="1891"/>
      <c r="AK189" s="1891"/>
      <c r="AL189" s="1891"/>
      <c r="AM189" s="1891"/>
    </row>
    <row r="190" spans="20:42">
      <c r="U190" s="1723"/>
      <c r="W190" s="3508">
        <v>30</v>
      </c>
      <c r="Y190" s="1914" t="s">
        <v>1044</v>
      </c>
      <c r="AA190" s="1724">
        <v>-989726</v>
      </c>
      <c r="AB190" s="1724">
        <v>90039</v>
      </c>
      <c r="AC190" s="1724">
        <v>234759</v>
      </c>
      <c r="AD190" s="1724">
        <v>638996</v>
      </c>
      <c r="AE190" s="1724">
        <v>136445</v>
      </c>
      <c r="AF190" s="1724">
        <v>470360</v>
      </c>
      <c r="AG190" s="1724">
        <v>477383</v>
      </c>
      <c r="AH190" s="1724">
        <v>723122</v>
      </c>
      <c r="AI190" s="1724">
        <v>-536036</v>
      </c>
      <c r="AJ190" s="1724">
        <v>-245615</v>
      </c>
      <c r="AK190" s="1724">
        <v>-278984</v>
      </c>
      <c r="AL190" s="1724">
        <v>-643846</v>
      </c>
      <c r="AM190" s="1891">
        <f t="shared" ref="AM190:AM195" si="32">SUM(AA190:AL190)</f>
        <v>76897</v>
      </c>
    </row>
    <row r="191" spans="20:42">
      <c r="U191" s="1723"/>
      <c r="W191" s="3508">
        <v>31</v>
      </c>
      <c r="Y191" s="1914" t="s">
        <v>1045</v>
      </c>
      <c r="AA191" s="1724">
        <v>-414283</v>
      </c>
      <c r="AB191" s="1724">
        <v>83558</v>
      </c>
      <c r="AC191" s="1724">
        <v>73288</v>
      </c>
      <c r="AD191" s="1724">
        <v>301480</v>
      </c>
      <c r="AE191" s="1724">
        <v>-9771</v>
      </c>
      <c r="AF191" s="1724">
        <v>245487</v>
      </c>
      <c r="AG191" s="1724">
        <v>104939</v>
      </c>
      <c r="AH191" s="1724">
        <v>367977</v>
      </c>
      <c r="AI191" s="1724">
        <v>-172637</v>
      </c>
      <c r="AJ191" s="1724">
        <v>-249692</v>
      </c>
      <c r="AK191" s="1724">
        <v>-102200</v>
      </c>
      <c r="AL191" s="1724">
        <v>-197950</v>
      </c>
      <c r="AM191" s="1891">
        <f t="shared" si="32"/>
        <v>30196</v>
      </c>
    </row>
    <row r="192" spans="20:42">
      <c r="U192" s="1723"/>
      <c r="W192" s="3508">
        <v>32</v>
      </c>
      <c r="Y192" s="1914" t="s">
        <v>433</v>
      </c>
      <c r="AA192" s="1724">
        <v>0</v>
      </c>
      <c r="AB192" s="1724">
        <v>0</v>
      </c>
      <c r="AC192" s="1724">
        <v>0</v>
      </c>
      <c r="AD192" s="1724">
        <v>0</v>
      </c>
      <c r="AE192" s="1724">
        <v>0</v>
      </c>
      <c r="AF192" s="1724">
        <v>0</v>
      </c>
      <c r="AG192" s="1724">
        <v>0</v>
      </c>
      <c r="AH192" s="1724">
        <v>0</v>
      </c>
      <c r="AI192" s="1724">
        <v>0</v>
      </c>
      <c r="AJ192" s="1724">
        <v>0</v>
      </c>
      <c r="AK192" s="1724">
        <v>0</v>
      </c>
      <c r="AL192" s="1724">
        <v>0</v>
      </c>
      <c r="AM192" s="1891">
        <f t="shared" si="32"/>
        <v>0</v>
      </c>
    </row>
    <row r="193" spans="21:43">
      <c r="U193" s="1723"/>
      <c r="W193" s="3508">
        <v>33</v>
      </c>
      <c r="Y193" s="1914" t="s">
        <v>1046</v>
      </c>
      <c r="AA193" s="1724">
        <v>-16746</v>
      </c>
      <c r="AB193" s="1724">
        <v>3085</v>
      </c>
      <c r="AC193" s="1724">
        <v>3549</v>
      </c>
      <c r="AD193" s="1724">
        <v>8333</v>
      </c>
      <c r="AE193" s="1724">
        <v>2575</v>
      </c>
      <c r="AF193" s="1724">
        <v>5943</v>
      </c>
      <c r="AG193" s="1724">
        <v>3877</v>
      </c>
      <c r="AH193" s="1724">
        <v>8046</v>
      </c>
      <c r="AI193" s="1724">
        <v>-20001</v>
      </c>
      <c r="AJ193" s="1724">
        <v>-3585</v>
      </c>
      <c r="AK193" s="1724">
        <v>-11615</v>
      </c>
      <c r="AL193" s="1724">
        <v>-1166</v>
      </c>
      <c r="AM193" s="1891">
        <f t="shared" si="32"/>
        <v>-17705</v>
      </c>
    </row>
    <row r="194" spans="21:43">
      <c r="U194" s="1723"/>
      <c r="W194" s="3508">
        <v>34</v>
      </c>
      <c r="Y194" s="1914" t="s">
        <v>1047</v>
      </c>
      <c r="AA194" s="3115">
        <v>-92710</v>
      </c>
      <c r="AB194" s="3115">
        <v>14616</v>
      </c>
      <c r="AC194" s="3115">
        <v>4125</v>
      </c>
      <c r="AD194" s="3115">
        <v>40022</v>
      </c>
      <c r="AE194" s="3115">
        <v>13908</v>
      </c>
      <c r="AF194" s="3115">
        <v>35323</v>
      </c>
      <c r="AG194" s="3115">
        <v>26565</v>
      </c>
      <c r="AH194" s="3115">
        <v>59787</v>
      </c>
      <c r="AI194" s="3115">
        <v>-70171</v>
      </c>
      <c r="AJ194" s="3115">
        <v>-8431</v>
      </c>
      <c r="AK194" s="3115">
        <v>-16857</v>
      </c>
      <c r="AL194" s="3115">
        <v>-15018</v>
      </c>
      <c r="AM194" s="1916">
        <f t="shared" si="32"/>
        <v>-8841</v>
      </c>
    </row>
    <row r="195" spans="21:43">
      <c r="U195" s="1723"/>
      <c r="W195" s="3508">
        <v>35</v>
      </c>
      <c r="Y195" s="1615" t="s">
        <v>3023</v>
      </c>
      <c r="AA195" s="1915">
        <f t="shared" ref="AA195:AL195" si="33">SUM(AA190:AA194)</f>
        <v>-1513465</v>
      </c>
      <c r="AB195" s="1915">
        <f t="shared" si="33"/>
        <v>191298</v>
      </c>
      <c r="AC195" s="1915">
        <f t="shared" si="33"/>
        <v>315721</v>
      </c>
      <c r="AD195" s="1915">
        <f t="shared" si="33"/>
        <v>988831</v>
      </c>
      <c r="AE195" s="1915">
        <f t="shared" si="33"/>
        <v>143157</v>
      </c>
      <c r="AF195" s="1915">
        <f t="shared" si="33"/>
        <v>757113</v>
      </c>
      <c r="AG195" s="1915">
        <f t="shared" si="33"/>
        <v>612764</v>
      </c>
      <c r="AH195" s="1915">
        <f t="shared" si="33"/>
        <v>1158932</v>
      </c>
      <c r="AI195" s="1915">
        <f t="shared" si="33"/>
        <v>-798845</v>
      </c>
      <c r="AJ195" s="1915">
        <f t="shared" si="33"/>
        <v>-507323</v>
      </c>
      <c r="AK195" s="1915">
        <f t="shared" si="33"/>
        <v>-409656</v>
      </c>
      <c r="AL195" s="1915">
        <f t="shared" si="33"/>
        <v>-857980</v>
      </c>
      <c r="AM195" s="1915">
        <f t="shared" si="32"/>
        <v>80547</v>
      </c>
      <c r="AP195" s="1891"/>
    </row>
    <row r="196" spans="21:43">
      <c r="U196" s="1723"/>
      <c r="W196" s="3508">
        <v>36</v>
      </c>
      <c r="AA196" s="1891"/>
      <c r="AB196" s="1891"/>
      <c r="AC196" s="1891"/>
      <c r="AD196" s="1891"/>
      <c r="AE196" s="1891"/>
      <c r="AF196" s="1891"/>
      <c r="AG196" s="1891"/>
      <c r="AH196" s="1891"/>
      <c r="AI196" s="1891"/>
      <c r="AJ196" s="1891"/>
      <c r="AK196" s="1891"/>
      <c r="AL196" s="1891"/>
      <c r="AM196" s="1891"/>
    </row>
    <row r="197" spans="21:43">
      <c r="U197" s="1723"/>
      <c r="W197" s="3508">
        <v>37</v>
      </c>
      <c r="Y197" s="1913" t="s">
        <v>105</v>
      </c>
      <c r="AA197" s="1891"/>
      <c r="AB197" s="1891"/>
      <c r="AC197" s="1891"/>
      <c r="AD197" s="1891"/>
      <c r="AE197" s="1891"/>
      <c r="AF197" s="1891"/>
      <c r="AG197" s="1891"/>
      <c r="AH197" s="1891"/>
      <c r="AI197" s="1891"/>
      <c r="AJ197" s="1891"/>
      <c r="AK197" s="1891"/>
      <c r="AL197" s="1891"/>
      <c r="AM197" s="1891"/>
    </row>
    <row r="198" spans="21:43">
      <c r="U198" s="1723">
        <v>489000</v>
      </c>
      <c r="W198" s="3508">
        <v>38</v>
      </c>
      <c r="Y198" s="1914" t="s">
        <v>1328</v>
      </c>
      <c r="AA198" s="1891">
        <f>VLOOKUP(U198,FPERIOD,AA160,FALSE)</f>
        <v>108193</v>
      </c>
      <c r="AB198" s="1891">
        <f>VLOOKUP(U198,FPERIOD,AB160,FALSE)</f>
        <v>112973</v>
      </c>
      <c r="AC198" s="1891">
        <f>VLOOKUP(U198,FPERIOD,AC160,FALSE)</f>
        <v>109117</v>
      </c>
      <c r="AD198" s="1891">
        <f>VLOOKUP(U198,FPERIOD,AD160,FALSE)</f>
        <v>108417</v>
      </c>
      <c r="AE198" s="1891">
        <f>VLOOKUP(U198,FPERIOD,AE160,FALSE)</f>
        <v>115593</v>
      </c>
      <c r="AF198" s="1891">
        <f>VLOOKUP(U198,FPERIOD,AF160,FALSE)</f>
        <v>110457</v>
      </c>
      <c r="AG198" s="1891">
        <f>VLOOKUP(U198,FPERIOD,AG160,FALSE)</f>
        <v>127247</v>
      </c>
      <c r="AH198" s="1891">
        <f>VLOOKUP(U198,FPERIOD,AH160,FALSE)</f>
        <v>129403</v>
      </c>
      <c r="AI198" s="1891">
        <f>VLOOKUP(U198,FPERIOD,AI160,FALSE)</f>
        <v>115324</v>
      </c>
      <c r="AJ198" s="1891">
        <f>VLOOKUP(U198,FPERIOD,AJ160,FALSE)</f>
        <v>131227</v>
      </c>
      <c r="AK198" s="1891">
        <f>VLOOKUP(U198,FPERIOD,AK160,FALSE)</f>
        <v>115964</v>
      </c>
      <c r="AL198" s="1891">
        <f>VLOOKUP(U198,FPERIOD,AL160,FALSE)</f>
        <v>121043</v>
      </c>
      <c r="AM198" s="1891">
        <f t="shared" ref="AM198:AM202" si="34">SUM(AA198:AL198)</f>
        <v>1404958</v>
      </c>
    </row>
    <row r="199" spans="21:43">
      <c r="U199" s="1723">
        <v>489010</v>
      </c>
      <c r="W199" s="3508">
        <v>39</v>
      </c>
      <c r="Y199" s="1914" t="s">
        <v>1739</v>
      </c>
      <c r="AA199" s="1891">
        <f>VLOOKUP(U199,FPERIOD,AA160,FALSE)</f>
        <v>0</v>
      </c>
      <c r="AB199" s="1891">
        <f>VLOOKUP(U199,FPERIOD,AB160,FALSE)</f>
        <v>0</v>
      </c>
      <c r="AC199" s="1891">
        <f>VLOOKUP(U199,FPERIOD,AC160,FALSE)</f>
        <v>0</v>
      </c>
      <c r="AD199" s="1891">
        <f>VLOOKUP(U199,FPERIOD,AD160,FALSE)</f>
        <v>0</v>
      </c>
      <c r="AE199" s="1891">
        <f>VLOOKUP(U199,FPERIOD,AE160,FALSE)</f>
        <v>0</v>
      </c>
      <c r="AF199" s="1891">
        <f>VLOOKUP(U199,FPERIOD,AF160,FALSE)</f>
        <v>0</v>
      </c>
      <c r="AG199" s="1891">
        <f>VLOOKUP(U199,FPERIOD,AG160,FALSE)</f>
        <v>0</v>
      </c>
      <c r="AH199" s="1891">
        <f>VLOOKUP(U199,FPERIOD,AH160,FALSE)</f>
        <v>0</v>
      </c>
      <c r="AI199" s="1891">
        <f>VLOOKUP(U199,FPERIOD,AI160,FALSE)</f>
        <v>0</v>
      </c>
      <c r="AJ199" s="1891">
        <f>VLOOKUP(U199,FPERIOD,AJ160,FALSE)</f>
        <v>0</v>
      </c>
      <c r="AK199" s="1891">
        <f>VLOOKUP(U199,FPERIOD,AK160,FALSE)</f>
        <v>0</v>
      </c>
      <c r="AL199" s="1891">
        <f>VLOOKUP(U199,FPERIOD,AL160,FALSE)</f>
        <v>0</v>
      </c>
      <c r="AM199" s="1891">
        <f t="shared" si="34"/>
        <v>0</v>
      </c>
    </row>
    <row r="200" spans="21:43">
      <c r="U200" s="1723"/>
      <c r="W200" s="3508">
        <v>40</v>
      </c>
      <c r="Y200" s="1914" t="s">
        <v>1037</v>
      </c>
      <c r="AA200" s="1915">
        <f t="shared" ref="AA200:AL200" si="35">SUM(AA198:AA199)</f>
        <v>108193</v>
      </c>
      <c r="AB200" s="1915">
        <f t="shared" si="35"/>
        <v>112973</v>
      </c>
      <c r="AC200" s="1915">
        <f t="shared" si="35"/>
        <v>109117</v>
      </c>
      <c r="AD200" s="1915">
        <f t="shared" si="35"/>
        <v>108417</v>
      </c>
      <c r="AE200" s="1915">
        <f t="shared" si="35"/>
        <v>115593</v>
      </c>
      <c r="AF200" s="1915">
        <f t="shared" si="35"/>
        <v>110457</v>
      </c>
      <c r="AG200" s="1915">
        <f t="shared" si="35"/>
        <v>127247</v>
      </c>
      <c r="AH200" s="1915">
        <f t="shared" si="35"/>
        <v>129403</v>
      </c>
      <c r="AI200" s="1915">
        <f t="shared" si="35"/>
        <v>115324</v>
      </c>
      <c r="AJ200" s="1915">
        <f t="shared" si="35"/>
        <v>131227</v>
      </c>
      <c r="AK200" s="1915">
        <f t="shared" si="35"/>
        <v>115964</v>
      </c>
      <c r="AL200" s="1915">
        <f t="shared" si="35"/>
        <v>121043</v>
      </c>
      <c r="AM200" s="1915">
        <f t="shared" si="34"/>
        <v>1404958</v>
      </c>
      <c r="AP200" s="1891"/>
    </row>
    <row r="201" spans="21:43">
      <c r="U201" s="1723"/>
      <c r="W201" s="3508">
        <v>41</v>
      </c>
      <c r="AA201" s="1891"/>
      <c r="AB201" s="1891"/>
      <c r="AC201" s="1891"/>
      <c r="AD201" s="1891"/>
      <c r="AE201" s="1891"/>
      <c r="AF201" s="1891"/>
      <c r="AG201" s="1891"/>
      <c r="AH201" s="1891"/>
      <c r="AI201" s="1891"/>
      <c r="AJ201" s="1891"/>
      <c r="AK201" s="1891"/>
      <c r="AL201" s="1891"/>
      <c r="AM201" s="1891"/>
    </row>
    <row r="202" spans="21:43">
      <c r="U202" s="1723"/>
      <c r="W202" s="3508">
        <v>42</v>
      </c>
      <c r="Y202" s="1603" t="s">
        <v>3018</v>
      </c>
      <c r="AA202" s="1894" t="e">
        <f>'FORECASTED PERIOD'!#REF!-AA169-AA179-AA187-AA195-AA200-AA204</f>
        <v>#REF!</v>
      </c>
      <c r="AB202" s="1894" t="e">
        <f>'FORECASTED PERIOD'!#REF!-AB169-AB179-AB187-AB195-AB200-AB204</f>
        <v>#REF!</v>
      </c>
      <c r="AC202" s="1894" t="e">
        <f>'FORECASTED PERIOD'!#REF!-AC169-AC179-AC187-AC195-AC200-AC204</f>
        <v>#REF!</v>
      </c>
      <c r="AD202" s="1894" t="e">
        <f>'FORECASTED PERIOD'!#REF!-AD169-AD179-AD187-AD195-AD200-AD204</f>
        <v>#REF!</v>
      </c>
      <c r="AE202" s="1894" t="e">
        <f>'FORECASTED PERIOD'!#REF!-AE169-AE179-AE187-AE195-AE200-AE204</f>
        <v>#REF!</v>
      </c>
      <c r="AF202" s="1894" t="e">
        <f>'FORECASTED PERIOD'!#REF!-AF169-AF179-AF187-AF195-AF200-AF204</f>
        <v>#REF!</v>
      </c>
      <c r="AG202" s="1894" t="e">
        <f>'FORECASTED PERIOD'!#REF!-AG169-AG179-AG187-AG195-AG200-AG204</f>
        <v>#REF!</v>
      </c>
      <c r="AH202" s="1894" t="e">
        <f>'FORECASTED PERIOD'!#REF!-AH169-AH179-AH187-AH195-AH200-AH204</f>
        <v>#REF!</v>
      </c>
      <c r="AI202" s="1894" t="e">
        <f>'FORECASTED PERIOD'!#REF!-AI169-AI179-AI187-AI195-AI200-AI204</f>
        <v>#REF!</v>
      </c>
      <c r="AJ202" s="1894" t="e">
        <f>'FORECASTED PERIOD'!#REF!-AJ169-AJ179-AJ187-AJ195-AJ200-AJ204</f>
        <v>#REF!</v>
      </c>
      <c r="AK202" s="1894" t="e">
        <f>'FORECASTED PERIOD'!#REF!-AK169-AK179-AK187-AK195-AK200-AK204</f>
        <v>#REF!</v>
      </c>
      <c r="AL202" s="1894" t="e">
        <f>'FORECASTED PERIOD'!#REF!-AL169-AL179-AL187-AL195-AL200-AL204</f>
        <v>#REF!</v>
      </c>
      <c r="AM202" s="1891" t="e">
        <f t="shared" si="34"/>
        <v>#REF!</v>
      </c>
    </row>
    <row r="203" spans="21:43">
      <c r="U203" s="1723"/>
      <c r="W203" s="3508">
        <v>43</v>
      </c>
      <c r="AA203" s="1891"/>
      <c r="AB203" s="1891"/>
      <c r="AC203" s="1891"/>
      <c r="AD203" s="1891"/>
      <c r="AE203" s="1891"/>
      <c r="AF203" s="1891"/>
      <c r="AG203" s="1891"/>
      <c r="AH203" s="1891"/>
      <c r="AI203" s="1891"/>
      <c r="AJ203" s="1891"/>
      <c r="AK203" s="1891"/>
      <c r="AL203" s="1891"/>
      <c r="AM203" s="1891"/>
    </row>
    <row r="204" spans="21:43">
      <c r="U204" s="1723"/>
      <c r="W204" s="3508">
        <v>44</v>
      </c>
      <c r="Y204" s="1603" t="s">
        <v>1021</v>
      </c>
      <c r="AA204" s="1891">
        <f>'FORECASTED PERIOD'!F74+'FORECASTED PERIOD'!F75+'FORECASTED PERIOD'!F84+'FORECASTED PERIOD'!F85+'FORECASTED PERIOD'!F86+'FORECASTED PERIOD'!F87</f>
        <v>48382</v>
      </c>
      <c r="AB204" s="1891">
        <f>'FORECASTED PERIOD'!G74+'FORECASTED PERIOD'!G75+'FORECASTED PERIOD'!G84+'FORECASTED PERIOD'!G85+'FORECASTED PERIOD'!G86+'FORECASTED PERIOD'!G87</f>
        <v>48382</v>
      </c>
      <c r="AC204" s="1891">
        <f>'FORECASTED PERIOD'!H74+'FORECASTED PERIOD'!H75+'FORECASTED PERIOD'!H84+'FORECASTED PERIOD'!H85+'FORECASTED PERIOD'!H86+'FORECASTED PERIOD'!H87</f>
        <v>48382</v>
      </c>
      <c r="AD204" s="1891">
        <f>'FORECASTED PERIOD'!I74+'FORECASTED PERIOD'!I75+'FORECASTED PERIOD'!I84+'FORECASTED PERIOD'!I85+'FORECASTED PERIOD'!I86+'FORECASTED PERIOD'!I87</f>
        <v>48382</v>
      </c>
      <c r="AE204" s="1891">
        <f>'FORECASTED PERIOD'!J74+'FORECASTED PERIOD'!J75+'FORECASTED PERIOD'!J84+'FORECASTED PERIOD'!J85+'FORECASTED PERIOD'!J86+'FORECASTED PERIOD'!J87</f>
        <v>48382</v>
      </c>
      <c r="AF204" s="1891">
        <f>'FORECASTED PERIOD'!K74+'FORECASTED PERIOD'!K75+'FORECASTED PERIOD'!K84+'FORECASTED PERIOD'!K85+'FORECASTED PERIOD'!K86+'FORECASTED PERIOD'!K87</f>
        <v>48382</v>
      </c>
      <c r="AG204" s="1891">
        <f>'FORECASTED PERIOD'!L74+'FORECASTED PERIOD'!L75+'FORECASTED PERIOD'!L84+'FORECASTED PERIOD'!L85+'FORECASTED PERIOD'!L86+'FORECASTED PERIOD'!L87</f>
        <v>48382</v>
      </c>
      <c r="AH204" s="1891">
        <f>'FORECASTED PERIOD'!M74+'FORECASTED PERIOD'!M75+'FORECASTED PERIOD'!M84+'FORECASTED PERIOD'!M85+'FORECASTED PERIOD'!M86+'FORECASTED PERIOD'!M87</f>
        <v>48382</v>
      </c>
      <c r="AI204" s="1891">
        <f>'FORECASTED PERIOD'!N74+'FORECASTED PERIOD'!N75+'FORECASTED PERIOD'!N84+'FORECASTED PERIOD'!N85+'FORECASTED PERIOD'!N86+'FORECASTED PERIOD'!N87</f>
        <v>48382</v>
      </c>
      <c r="AJ204" s="1891">
        <f>'FORECASTED PERIOD'!O74+'FORECASTED PERIOD'!O75+'FORECASTED PERIOD'!O84+'FORECASTED PERIOD'!O85+'FORECASTED PERIOD'!O86+'FORECASTED PERIOD'!O87</f>
        <v>48382</v>
      </c>
      <c r="AK204" s="1891">
        <f>'FORECASTED PERIOD'!P74+'FORECASTED PERIOD'!P75+'FORECASTED PERIOD'!P84+'FORECASTED PERIOD'!P85+'FORECASTED PERIOD'!P86+'FORECASTED PERIOD'!P87</f>
        <v>48382</v>
      </c>
      <c r="AL204" s="1891">
        <f>'FORECASTED PERIOD'!Q74+'FORECASTED PERIOD'!Q75+'FORECASTED PERIOD'!Q84+'FORECASTED PERIOD'!Q85+'FORECASTED PERIOD'!Q86+'FORECASTED PERIOD'!Q87</f>
        <v>48382</v>
      </c>
      <c r="AM204" s="1891">
        <f>SUM(AA204:AL204)</f>
        <v>580584</v>
      </c>
      <c r="AP204" s="1891"/>
    </row>
    <row r="205" spans="21:43">
      <c r="U205" s="1723"/>
      <c r="W205" s="3508">
        <v>45</v>
      </c>
      <c r="AA205" s="1891"/>
      <c r="AB205" s="1891"/>
      <c r="AC205" s="1891"/>
      <c r="AD205" s="1891"/>
      <c r="AE205" s="1891"/>
      <c r="AF205" s="1891"/>
      <c r="AG205" s="1891"/>
      <c r="AH205" s="1891"/>
      <c r="AI205" s="1891"/>
      <c r="AJ205" s="1891"/>
      <c r="AK205" s="1891"/>
      <c r="AL205" s="1891"/>
      <c r="AM205" s="1891"/>
    </row>
    <row r="206" spans="21:43" ht="13.8" thickBot="1">
      <c r="U206" s="1723"/>
      <c r="W206" s="3508">
        <v>46</v>
      </c>
      <c r="Y206" s="1603" t="s">
        <v>1941</v>
      </c>
      <c r="AA206" s="1917" t="e">
        <f>AA204+AA202+AA200+AA195+AA187+AA179+AA169</f>
        <v>#REF!</v>
      </c>
      <c r="AB206" s="1917" t="e">
        <f t="shared" ref="AB206:AL206" si="36">AB204+AB202+AB200+AB195+AB187+AB179+AB169</f>
        <v>#REF!</v>
      </c>
      <c r="AC206" s="1917" t="e">
        <f t="shared" si="36"/>
        <v>#REF!</v>
      </c>
      <c r="AD206" s="1917" t="e">
        <f t="shared" si="36"/>
        <v>#REF!</v>
      </c>
      <c r="AE206" s="1917" t="e">
        <f t="shared" si="36"/>
        <v>#REF!</v>
      </c>
      <c r="AF206" s="1917" t="e">
        <f t="shared" si="36"/>
        <v>#REF!</v>
      </c>
      <c r="AG206" s="1917" t="e">
        <f t="shared" si="36"/>
        <v>#REF!</v>
      </c>
      <c r="AH206" s="1917" t="e">
        <f t="shared" si="36"/>
        <v>#REF!</v>
      </c>
      <c r="AI206" s="1917" t="e">
        <f t="shared" si="36"/>
        <v>#REF!</v>
      </c>
      <c r="AJ206" s="1917" t="e">
        <f t="shared" si="36"/>
        <v>#REF!</v>
      </c>
      <c r="AK206" s="1917" t="e">
        <f t="shared" si="36"/>
        <v>#REF!</v>
      </c>
      <c r="AL206" s="1917" t="e">
        <f t="shared" si="36"/>
        <v>#REF!</v>
      </c>
      <c r="AM206" s="1917" t="e">
        <f>SUM(AA206:AL206)</f>
        <v>#REF!</v>
      </c>
    </row>
    <row r="207" spans="21:43" ht="14.4" thickTop="1" thickBot="1">
      <c r="U207" s="1723"/>
      <c r="W207" s="3425"/>
      <c r="AP207" s="1891"/>
    </row>
    <row r="208" spans="21:43" ht="13.8" thickBot="1">
      <c r="U208" s="1723"/>
      <c r="Y208" s="1603" t="s">
        <v>1743</v>
      </c>
      <c r="AA208" s="1918" t="e">
        <f>'FORECASTED PERIOD'!#REF!</f>
        <v>#REF!</v>
      </c>
      <c r="AB208" s="1918" t="e">
        <f>'FORECASTED PERIOD'!#REF!</f>
        <v>#REF!</v>
      </c>
      <c r="AC208" s="1918" t="e">
        <f>'FORECASTED PERIOD'!#REF!</f>
        <v>#REF!</v>
      </c>
      <c r="AD208" s="1918" t="e">
        <f>'FORECASTED PERIOD'!#REF!</f>
        <v>#REF!</v>
      </c>
      <c r="AE208" s="1918" t="e">
        <f>'FORECASTED PERIOD'!#REF!</f>
        <v>#REF!</v>
      </c>
      <c r="AF208" s="1918" t="e">
        <f>'FORECASTED PERIOD'!#REF!</f>
        <v>#REF!</v>
      </c>
      <c r="AG208" s="1918" t="e">
        <f>'FORECASTED PERIOD'!#REF!</f>
        <v>#REF!</v>
      </c>
      <c r="AH208" s="1918" t="e">
        <f>'FORECASTED PERIOD'!#REF!</f>
        <v>#REF!</v>
      </c>
      <c r="AI208" s="1918" t="e">
        <f>'FORECASTED PERIOD'!#REF!</f>
        <v>#REF!</v>
      </c>
      <c r="AJ208" s="1918" t="e">
        <f>'FORECASTED PERIOD'!#REF!</f>
        <v>#REF!</v>
      </c>
      <c r="AK208" s="1918" t="e">
        <f>'FORECASTED PERIOD'!#REF!</f>
        <v>#REF!</v>
      </c>
      <c r="AL208" s="1918" t="e">
        <f>'FORECASTED PERIOD'!#REF!</f>
        <v>#REF!</v>
      </c>
      <c r="AM208" s="1918" t="e">
        <f>SUM(AA208:AL208)</f>
        <v>#REF!</v>
      </c>
      <c r="AP208" s="1891"/>
      <c r="AQ208" s="1891"/>
    </row>
    <row r="209" spans="21:43">
      <c r="U209" s="1723"/>
    </row>
    <row r="210" spans="21:43">
      <c r="U210" s="1723"/>
      <c r="Y210" s="1603" t="s">
        <v>1841</v>
      </c>
      <c r="AA210" s="1891" t="e">
        <f t="shared" ref="AA210:AK210" si="37">AA206-AA208</f>
        <v>#REF!</v>
      </c>
      <c r="AB210" s="1891" t="e">
        <f t="shared" si="37"/>
        <v>#REF!</v>
      </c>
      <c r="AC210" s="1891" t="e">
        <f t="shared" si="37"/>
        <v>#REF!</v>
      </c>
      <c r="AD210" s="1891" t="e">
        <f t="shared" si="37"/>
        <v>#REF!</v>
      </c>
      <c r="AE210" s="1891" t="e">
        <f t="shared" si="37"/>
        <v>#REF!</v>
      </c>
      <c r="AF210" s="1891" t="e">
        <f t="shared" si="37"/>
        <v>#REF!</v>
      </c>
      <c r="AG210" s="1891" t="e">
        <f t="shared" si="37"/>
        <v>#REF!</v>
      </c>
      <c r="AH210" s="1891" t="e">
        <f t="shared" si="37"/>
        <v>#REF!</v>
      </c>
      <c r="AI210" s="1891" t="e">
        <f t="shared" si="37"/>
        <v>#REF!</v>
      </c>
      <c r="AJ210" s="1891" t="e">
        <f>AJ206-AJ208</f>
        <v>#REF!</v>
      </c>
      <c r="AK210" s="1891" t="e">
        <f t="shared" si="37"/>
        <v>#REF!</v>
      </c>
      <c r="AL210" s="1891" t="e">
        <f>AL206-AL208</f>
        <v>#REF!</v>
      </c>
      <c r="AQ210" s="1891"/>
    </row>
    <row r="211" spans="21:43">
      <c r="U211" s="1723"/>
      <c r="AA211" s="1891"/>
      <c r="AB211" s="1891"/>
      <c r="AC211" s="1891"/>
      <c r="AD211" s="1891"/>
      <c r="AE211" s="1891"/>
      <c r="AF211" s="1891"/>
      <c r="AG211" s="1891"/>
      <c r="AH211" s="1891"/>
      <c r="AI211" s="1891"/>
      <c r="AJ211" s="1891"/>
      <c r="AK211" s="1891"/>
      <c r="AL211" s="1891"/>
      <c r="AQ211" s="1891"/>
    </row>
    <row r="212" spans="21:43">
      <c r="U212" s="1723"/>
      <c r="AA212" s="1891"/>
      <c r="AB212" s="1891"/>
      <c r="AC212" s="1891"/>
      <c r="AD212" s="1891"/>
      <c r="AE212" s="1891"/>
      <c r="AF212" s="1891"/>
      <c r="AG212" s="1891"/>
      <c r="AH212" s="1891"/>
      <c r="AI212" s="1891"/>
      <c r="AJ212" s="1891"/>
      <c r="AK212" s="1891"/>
      <c r="AL212" s="1891"/>
      <c r="AQ212" s="1891"/>
    </row>
    <row r="213" spans="21:43">
      <c r="U213" s="1723"/>
      <c r="Y213" s="1603" t="s">
        <v>1422</v>
      </c>
      <c r="AA213" s="1724">
        <v>757258</v>
      </c>
      <c r="AB213" s="1724">
        <v>497532</v>
      </c>
      <c r="AC213" s="1724">
        <v>456782</v>
      </c>
      <c r="AD213" s="1724">
        <v>417914</v>
      </c>
      <c r="AE213" s="1724">
        <v>410540</v>
      </c>
      <c r="AF213" s="1724">
        <v>402507</v>
      </c>
      <c r="AG213" s="1724">
        <v>675219</v>
      </c>
      <c r="AH213" s="1724">
        <v>1283383</v>
      </c>
      <c r="AI213" s="1724">
        <v>2054829</v>
      </c>
      <c r="AJ213" s="1724">
        <v>2491284</v>
      </c>
      <c r="AK213" s="1724">
        <v>2205687</v>
      </c>
      <c r="AL213" s="1724">
        <v>1605002</v>
      </c>
      <c r="AM213" s="1891">
        <f t="shared" ref="AM213:AM214" si="38">SUM(AA213:AL213)</f>
        <v>13257937</v>
      </c>
      <c r="AQ213" s="1891"/>
    </row>
    <row r="214" spans="21:43">
      <c r="U214" s="1723"/>
      <c r="Y214" s="1603" t="s">
        <v>1423</v>
      </c>
      <c r="AA214" s="1724">
        <v>274398</v>
      </c>
      <c r="AB214" s="1724">
        <v>260420</v>
      </c>
      <c r="AC214" s="1724">
        <v>252170</v>
      </c>
      <c r="AD214" s="1724">
        <v>255993</v>
      </c>
      <c r="AE214" s="1724">
        <v>268190</v>
      </c>
      <c r="AF214" s="1724">
        <v>259562</v>
      </c>
      <c r="AG214" s="1724">
        <v>343858</v>
      </c>
      <c r="AH214" s="1724">
        <v>435619</v>
      </c>
      <c r="AI214" s="1724">
        <v>464923</v>
      </c>
      <c r="AJ214" s="1724">
        <v>497811</v>
      </c>
      <c r="AK214" s="1724">
        <v>424397</v>
      </c>
      <c r="AL214" s="1724">
        <v>395039</v>
      </c>
      <c r="AM214" s="1891">
        <f t="shared" si="38"/>
        <v>4132380</v>
      </c>
      <c r="AQ214" s="1891"/>
    </row>
    <row r="215" spans="21:43">
      <c r="U215" s="1723"/>
      <c r="Y215" s="1603" t="s">
        <v>1424</v>
      </c>
      <c r="AA215" s="1891">
        <f>AA213-AA214</f>
        <v>482860</v>
      </c>
      <c r="AB215" s="1891">
        <f t="shared" ref="AB215:AM215" si="39">AB213-AB214</f>
        <v>237112</v>
      </c>
      <c r="AC215" s="1891">
        <f t="shared" si="39"/>
        <v>204612</v>
      </c>
      <c r="AD215" s="1891">
        <f t="shared" si="39"/>
        <v>161921</v>
      </c>
      <c r="AE215" s="1891">
        <f t="shared" si="39"/>
        <v>142350</v>
      </c>
      <c r="AF215" s="1891">
        <f t="shared" si="39"/>
        <v>142945</v>
      </c>
      <c r="AG215" s="1891">
        <f t="shared" si="39"/>
        <v>331361</v>
      </c>
      <c r="AH215" s="1891">
        <f t="shared" si="39"/>
        <v>847764</v>
      </c>
      <c r="AI215" s="1891">
        <f t="shared" si="39"/>
        <v>1589906</v>
      </c>
      <c r="AJ215" s="1891">
        <f t="shared" si="39"/>
        <v>1993473</v>
      </c>
      <c r="AK215" s="1891">
        <f t="shared" si="39"/>
        <v>1781290</v>
      </c>
      <c r="AL215" s="1891">
        <f t="shared" si="39"/>
        <v>1209963</v>
      </c>
      <c r="AM215" s="1891">
        <f t="shared" si="39"/>
        <v>9125557</v>
      </c>
      <c r="AQ215" s="1891"/>
    </row>
    <row r="216" spans="21:43">
      <c r="U216" s="1723"/>
      <c r="Y216" s="1603" t="s">
        <v>3026</v>
      </c>
      <c r="AA216" s="1603">
        <f t="shared" ref="AA216:AM216" si="40">ROUND(AA179/AA215,4)</f>
        <v>3.9079999999999999</v>
      </c>
      <c r="AB216" s="1603">
        <f t="shared" si="40"/>
        <v>4.7819000000000003</v>
      </c>
      <c r="AC216" s="1603">
        <f t="shared" si="40"/>
        <v>5.0854999999999997</v>
      </c>
      <c r="AD216" s="1603">
        <f t="shared" si="40"/>
        <v>5.6502999999999997</v>
      </c>
      <c r="AE216" s="1603">
        <f t="shared" si="40"/>
        <v>6.0164</v>
      </c>
      <c r="AF216" s="1603">
        <f t="shared" si="40"/>
        <v>5.9854000000000003</v>
      </c>
      <c r="AG216" s="1603">
        <f t="shared" si="40"/>
        <v>4.6867999999999999</v>
      </c>
      <c r="AH216" s="1603">
        <f t="shared" si="40"/>
        <v>3.8633999999999999</v>
      </c>
      <c r="AI216" s="1603">
        <f t="shared" si="40"/>
        <v>3.6760999999999999</v>
      </c>
      <c r="AJ216" s="1603">
        <f t="shared" si="40"/>
        <v>3.8106</v>
      </c>
      <c r="AK216" s="1603">
        <f t="shared" si="40"/>
        <v>3.7846000000000002</v>
      </c>
      <c r="AL216" s="1603">
        <f t="shared" si="40"/>
        <v>3.8307000000000002</v>
      </c>
      <c r="AM216" s="1603">
        <f t="shared" si="40"/>
        <v>3.9815999999999998</v>
      </c>
      <c r="AQ216" s="1891"/>
    </row>
    <row r="217" spans="21:43">
      <c r="U217" s="1723"/>
    </row>
    <row r="218" spans="21:43">
      <c r="U218" s="1723"/>
    </row>
    <row r="219" spans="21:43">
      <c r="U219" s="1723"/>
      <c r="Y219" s="1603" t="s">
        <v>2226</v>
      </c>
    </row>
    <row r="220" spans="21:43">
      <c r="U220" s="1723"/>
      <c r="Y220" s="1914" t="s">
        <v>1044</v>
      </c>
      <c r="AA220" s="1891">
        <f t="shared" ref="AA220:AL220" si="41">AA162+AA172+AA182+AA190</f>
        <v>1308577</v>
      </c>
      <c r="AB220" s="1891">
        <f t="shared" si="41"/>
        <v>1394965</v>
      </c>
      <c r="AC220" s="1891">
        <f t="shared" si="41"/>
        <v>1226635</v>
      </c>
      <c r="AD220" s="1891">
        <f t="shared" si="41"/>
        <v>1384652</v>
      </c>
      <c r="AE220" s="1891">
        <f t="shared" si="41"/>
        <v>688985</v>
      </c>
      <c r="AF220" s="1891">
        <f t="shared" si="41"/>
        <v>1104328</v>
      </c>
      <c r="AG220" s="1891">
        <f t="shared" si="41"/>
        <v>1938716</v>
      </c>
      <c r="AH220" s="1891">
        <f t="shared" si="41"/>
        <v>4735346</v>
      </c>
      <c r="AI220" s="1891">
        <f t="shared" si="41"/>
        <v>7164363</v>
      </c>
      <c r="AJ220" s="1891">
        <f t="shared" si="41"/>
        <v>9641981</v>
      </c>
      <c r="AK220" s="1891">
        <f t="shared" si="41"/>
        <v>8684271</v>
      </c>
      <c r="AL220" s="1891">
        <f t="shared" si="41"/>
        <v>5484771</v>
      </c>
      <c r="AM220" s="1891">
        <f t="shared" ref="AM220:AM223" si="42">SUM(AA220:AL220)</f>
        <v>44757590</v>
      </c>
    </row>
    <row r="221" spans="21:43">
      <c r="U221" s="1723"/>
      <c r="Y221" s="1914" t="s">
        <v>1045</v>
      </c>
      <c r="AA221" s="1891">
        <f t="shared" ref="AA221:AL221" si="43">AA163+AA164+AA173+AA174+AA183+AA184+AA191+AA192</f>
        <v>638329</v>
      </c>
      <c r="AB221" s="1891">
        <f t="shared" si="43"/>
        <v>673524</v>
      </c>
      <c r="AC221" s="1891">
        <f t="shared" si="43"/>
        <v>720349</v>
      </c>
      <c r="AD221" s="1891">
        <f t="shared" si="43"/>
        <v>945986</v>
      </c>
      <c r="AE221" s="1891">
        <f t="shared" si="43"/>
        <v>717927</v>
      </c>
      <c r="AF221" s="1891">
        <f t="shared" si="43"/>
        <v>863210</v>
      </c>
      <c r="AG221" s="1891">
        <f t="shared" si="43"/>
        <v>1196026</v>
      </c>
      <c r="AH221" s="1891">
        <f t="shared" si="43"/>
        <v>2269278</v>
      </c>
      <c r="AI221" s="1891">
        <f t="shared" si="43"/>
        <v>2814041</v>
      </c>
      <c r="AJ221" s="1891">
        <f t="shared" si="43"/>
        <v>3404030</v>
      </c>
      <c r="AK221" s="1891">
        <f t="shared" si="43"/>
        <v>3038668</v>
      </c>
      <c r="AL221" s="1891">
        <f t="shared" si="43"/>
        <v>2006044</v>
      </c>
      <c r="AM221" s="1891">
        <f t="shared" si="42"/>
        <v>19287412</v>
      </c>
    </row>
    <row r="222" spans="21:43">
      <c r="U222" s="1723"/>
      <c r="Y222" s="1914" t="s">
        <v>1046</v>
      </c>
      <c r="AA222" s="1891">
        <f t="shared" ref="AA222:AL222" si="44">AA165+AA175+AA185+AA193</f>
        <v>261246</v>
      </c>
      <c r="AB222" s="1891">
        <f t="shared" si="44"/>
        <v>238037</v>
      </c>
      <c r="AC222" s="1891">
        <f t="shared" si="44"/>
        <v>230967</v>
      </c>
      <c r="AD222" s="1891">
        <f t="shared" si="44"/>
        <v>223943</v>
      </c>
      <c r="AE222" s="1891">
        <f t="shared" si="44"/>
        <v>228213</v>
      </c>
      <c r="AF222" s="1891">
        <f t="shared" si="44"/>
        <v>234728</v>
      </c>
      <c r="AG222" s="1891">
        <f t="shared" si="44"/>
        <v>286954</v>
      </c>
      <c r="AH222" s="1891">
        <f t="shared" si="44"/>
        <v>363863</v>
      </c>
      <c r="AI222" s="1891">
        <f t="shared" si="44"/>
        <v>493499</v>
      </c>
      <c r="AJ222" s="1891">
        <f t="shared" si="44"/>
        <v>616020</v>
      </c>
      <c r="AK222" s="1891">
        <f t="shared" si="44"/>
        <v>474342</v>
      </c>
      <c r="AL222" s="1891">
        <f t="shared" si="44"/>
        <v>401384</v>
      </c>
      <c r="AM222" s="1891">
        <f t="shared" si="42"/>
        <v>4053196</v>
      </c>
    </row>
    <row r="223" spans="21:43">
      <c r="U223" s="1723"/>
      <c r="Y223" s="1914" t="s">
        <v>1559</v>
      </c>
      <c r="AA223" s="1891">
        <f t="shared" ref="AA223:AL223" si="45">AA166+AA167+AA168+AA176+AA177+AA178+AA186+AA194</f>
        <v>18375</v>
      </c>
      <c r="AB223" s="1891">
        <f t="shared" si="45"/>
        <v>33733</v>
      </c>
      <c r="AC223" s="1891">
        <f t="shared" si="45"/>
        <v>59316</v>
      </c>
      <c r="AD223" s="1891">
        <f t="shared" si="45"/>
        <v>77005</v>
      </c>
      <c r="AE223" s="1891">
        <f t="shared" si="45"/>
        <v>42847</v>
      </c>
      <c r="AF223" s="1891">
        <f t="shared" si="45"/>
        <v>79918</v>
      </c>
      <c r="AG223" s="1891">
        <f t="shared" si="45"/>
        <v>145882</v>
      </c>
      <c r="AH223" s="1891">
        <f t="shared" si="45"/>
        <v>294502</v>
      </c>
      <c r="AI223" s="1891">
        <f t="shared" si="45"/>
        <v>339413</v>
      </c>
      <c r="AJ223" s="1891">
        <f t="shared" si="45"/>
        <v>516655</v>
      </c>
      <c r="AK223" s="1891">
        <f t="shared" si="45"/>
        <v>449599</v>
      </c>
      <c r="AL223" s="1891">
        <f t="shared" si="45"/>
        <v>289361</v>
      </c>
      <c r="AM223" s="1891">
        <f t="shared" si="42"/>
        <v>2346606</v>
      </c>
    </row>
    <row r="224" spans="21:43">
      <c r="U224" s="1723"/>
      <c r="Y224" s="1914" t="s">
        <v>2227</v>
      </c>
      <c r="AA224" s="1891">
        <f>SUM(AA220:AA223)</f>
        <v>2226527</v>
      </c>
      <c r="AB224" s="1891">
        <f t="shared" ref="AB224" si="46">SUM(AB220:AB223)</f>
        <v>2340259</v>
      </c>
      <c r="AC224" s="1891">
        <f t="shared" ref="AC224" si="47">SUM(AC220:AC223)</f>
        <v>2237267</v>
      </c>
      <c r="AD224" s="1891">
        <f t="shared" ref="AD224" si="48">SUM(AD220:AD223)</f>
        <v>2631586</v>
      </c>
      <c r="AE224" s="1891">
        <f t="shared" ref="AE224" si="49">SUM(AE220:AE223)</f>
        <v>1677972</v>
      </c>
      <c r="AF224" s="1891">
        <f t="shared" ref="AF224" si="50">SUM(AF220:AF223)</f>
        <v>2282184</v>
      </c>
      <c r="AG224" s="1891">
        <f t="shared" ref="AG224" si="51">SUM(AG220:AG223)</f>
        <v>3567578</v>
      </c>
      <c r="AH224" s="1891">
        <f t="shared" ref="AH224" si="52">SUM(AH220:AH223)</f>
        <v>7662989</v>
      </c>
      <c r="AI224" s="1891">
        <f t="shared" ref="AI224" si="53">SUM(AI220:AI223)</f>
        <v>10811316</v>
      </c>
      <c r="AJ224" s="1891">
        <f t="shared" ref="AJ224" si="54">SUM(AJ220:AJ223)</f>
        <v>14178686</v>
      </c>
      <c r="AK224" s="1891">
        <f t="shared" ref="AK224" si="55">SUM(AK220:AK223)</f>
        <v>12646880</v>
      </c>
      <c r="AL224" s="1891">
        <f t="shared" ref="AL224" si="56">SUM(AL220:AL223)</f>
        <v>8181560</v>
      </c>
      <c r="AM224" s="1891">
        <f t="shared" ref="AM224" si="57">SUM(AM220:AM223)</f>
        <v>70444804</v>
      </c>
    </row>
    <row r="225" spans="20:40">
      <c r="U225" s="1723"/>
      <c r="Y225" s="1914"/>
      <c r="AA225" s="1891"/>
      <c r="AB225" s="1891"/>
      <c r="AC225" s="1891"/>
      <c r="AD225" s="1891"/>
      <c r="AE225" s="1891"/>
      <c r="AF225" s="1891"/>
      <c r="AG225" s="1891"/>
      <c r="AH225" s="1891"/>
      <c r="AI225" s="1891"/>
      <c r="AJ225" s="1891"/>
      <c r="AK225" s="1891"/>
      <c r="AL225" s="1891"/>
      <c r="AM225" s="1891"/>
    </row>
    <row r="226" spans="20:40">
      <c r="U226" s="1723"/>
    </row>
    <row r="227" spans="20:40">
      <c r="U227" s="1723"/>
    </row>
    <row r="228" spans="20:40">
      <c r="U228" s="1723"/>
    </row>
    <row r="229" spans="20:40">
      <c r="U229" s="1723"/>
    </row>
    <row r="230" spans="20:40">
      <c r="T230" s="3580"/>
      <c r="U230" s="1747"/>
      <c r="V230" s="1610"/>
      <c r="W230" s="1610"/>
      <c r="X230" s="1610"/>
      <c r="Y230" s="1610"/>
      <c r="Z230" s="1610"/>
      <c r="AA230" s="1610"/>
      <c r="AB230" s="1610"/>
      <c r="AC230" s="1610"/>
      <c r="AD230" s="1610"/>
      <c r="AE230" s="1610"/>
      <c r="AF230" s="1610"/>
      <c r="AG230" s="1610"/>
      <c r="AH230" s="1610"/>
      <c r="AI230" s="1610"/>
      <c r="AJ230" s="1610"/>
      <c r="AK230" s="1610"/>
      <c r="AL230" s="1610"/>
      <c r="AM230" s="1610"/>
      <c r="AN230" s="1610"/>
    </row>
    <row r="231" spans="20:40">
      <c r="T231" s="1610"/>
      <c r="U231" s="1747"/>
      <c r="V231" s="1610"/>
      <c r="W231" s="1901"/>
      <c r="X231" s="1610"/>
      <c r="Y231" s="1906"/>
      <c r="Z231" s="1610"/>
      <c r="AA231" s="1894"/>
      <c r="AB231" s="1894"/>
      <c r="AC231" s="1894"/>
      <c r="AD231" s="1894"/>
      <c r="AE231" s="1894"/>
      <c r="AF231" s="1894"/>
      <c r="AG231" s="1894"/>
      <c r="AH231" s="1894"/>
      <c r="AI231" s="1894"/>
      <c r="AJ231" s="1894"/>
      <c r="AK231" s="1894"/>
      <c r="AL231" s="1894"/>
      <c r="AM231" s="1894"/>
      <c r="AN231" s="1610"/>
    </row>
    <row r="232" spans="20:40">
      <c r="T232" s="1747"/>
      <c r="U232" s="1747"/>
      <c r="V232" s="1610"/>
      <c r="W232" s="1901"/>
      <c r="X232" s="1610"/>
      <c r="Y232" s="3581"/>
      <c r="Z232" s="1610"/>
      <c r="AA232" s="1894"/>
      <c r="AB232" s="1894"/>
      <c r="AC232" s="1894"/>
      <c r="AD232" s="1894"/>
      <c r="AE232" s="1894"/>
      <c r="AF232" s="1894"/>
      <c r="AG232" s="1894"/>
      <c r="AH232" s="1894"/>
      <c r="AI232" s="1894"/>
      <c r="AJ232" s="1894"/>
      <c r="AK232" s="1894"/>
      <c r="AL232" s="1894"/>
      <c r="AM232" s="1894"/>
      <c r="AN232" s="1610"/>
    </row>
    <row r="233" spans="20:40">
      <c r="T233" s="1610"/>
      <c r="U233" s="1747"/>
      <c r="V233" s="1610"/>
      <c r="W233" s="1901"/>
      <c r="X233" s="1610"/>
      <c r="Y233" s="3581"/>
      <c r="Z233" s="1610"/>
      <c r="AA233" s="1894"/>
      <c r="AB233" s="1894"/>
      <c r="AC233" s="1894"/>
      <c r="AD233" s="1894"/>
      <c r="AE233" s="1894"/>
      <c r="AF233" s="1894"/>
      <c r="AG233" s="1894"/>
      <c r="AH233" s="1894"/>
      <c r="AI233" s="1894"/>
      <c r="AJ233" s="1894"/>
      <c r="AK233" s="1894"/>
      <c r="AL233" s="1894"/>
      <c r="AM233" s="1894"/>
      <c r="AN233" s="1610"/>
    </row>
    <row r="234" spans="20:40">
      <c r="T234" s="1610"/>
      <c r="U234" s="1747"/>
      <c r="V234" s="1610"/>
      <c r="W234" s="1901"/>
      <c r="X234" s="1610"/>
      <c r="Y234" s="3581"/>
      <c r="Z234" s="1610"/>
      <c r="AA234" s="3582"/>
      <c r="AB234" s="3582"/>
      <c r="AC234" s="3582"/>
      <c r="AD234" s="3582"/>
      <c r="AE234" s="3582"/>
      <c r="AF234" s="3582"/>
      <c r="AG234" s="3582"/>
      <c r="AH234" s="3582"/>
      <c r="AI234" s="3582"/>
      <c r="AJ234" s="3582"/>
      <c r="AK234" s="3582"/>
      <c r="AL234" s="3582"/>
      <c r="AM234" s="1894"/>
      <c r="AN234" s="1610"/>
    </row>
    <row r="235" spans="20:40">
      <c r="T235" s="1610"/>
      <c r="U235" s="1747"/>
      <c r="V235" s="1610"/>
      <c r="W235" s="1901"/>
      <c r="X235" s="1610"/>
      <c r="Y235" s="3581"/>
      <c r="Z235" s="1610"/>
      <c r="AA235" s="1894"/>
      <c r="AB235" s="1894"/>
      <c r="AC235" s="1894"/>
      <c r="AD235" s="1894"/>
      <c r="AE235" s="1894"/>
      <c r="AF235" s="1894"/>
      <c r="AG235" s="1894"/>
      <c r="AH235" s="1894"/>
      <c r="AI235" s="1894"/>
      <c r="AJ235" s="1894"/>
      <c r="AK235" s="1894"/>
      <c r="AL235" s="1894"/>
      <c r="AM235" s="1894"/>
      <c r="AN235" s="1610"/>
    </row>
    <row r="236" spans="20:40">
      <c r="T236" s="1610"/>
      <c r="U236" s="1747"/>
      <c r="V236" s="1610"/>
      <c r="W236" s="1901"/>
      <c r="X236" s="1610"/>
      <c r="Y236" s="3581"/>
      <c r="Z236" s="1610"/>
      <c r="AA236" s="1894"/>
      <c r="AB236" s="1894"/>
      <c r="AC236" s="1894"/>
      <c r="AD236" s="1894"/>
      <c r="AE236" s="1894"/>
      <c r="AF236" s="1894"/>
      <c r="AG236" s="1894"/>
      <c r="AH236" s="1894"/>
      <c r="AI236" s="1894"/>
      <c r="AJ236" s="1894"/>
      <c r="AK236" s="1894"/>
      <c r="AL236" s="1894"/>
      <c r="AM236" s="1894"/>
      <c r="AN236" s="1610"/>
    </row>
    <row r="237" spans="20:40">
      <c r="T237" s="1610"/>
      <c r="U237" s="1747"/>
      <c r="V237" s="1610"/>
      <c r="W237" s="1901"/>
      <c r="X237" s="1610"/>
      <c r="Y237" s="3581"/>
      <c r="Z237" s="1610"/>
      <c r="AA237" s="1894"/>
      <c r="AB237" s="1894"/>
      <c r="AC237" s="1894"/>
      <c r="AD237" s="1894"/>
      <c r="AE237" s="1894"/>
      <c r="AF237" s="1894"/>
      <c r="AG237" s="1894"/>
      <c r="AH237" s="1894"/>
      <c r="AI237" s="1894"/>
      <c r="AJ237" s="1894"/>
      <c r="AK237" s="1894"/>
      <c r="AL237" s="1894"/>
      <c r="AM237" s="1894"/>
      <c r="AN237" s="1610"/>
    </row>
    <row r="238" spans="20:40">
      <c r="T238" s="1610"/>
      <c r="U238" s="1747"/>
      <c r="V238" s="1610"/>
      <c r="W238" s="1901"/>
      <c r="X238" s="1610"/>
      <c r="Y238" s="3581"/>
      <c r="Z238" s="1610"/>
      <c r="AA238" s="1894"/>
      <c r="AB238" s="1894"/>
      <c r="AC238" s="1894"/>
      <c r="AD238" s="1894"/>
      <c r="AE238" s="1894"/>
      <c r="AF238" s="1894"/>
      <c r="AG238" s="1894"/>
      <c r="AH238" s="1894"/>
      <c r="AI238" s="1894"/>
      <c r="AJ238" s="1894"/>
      <c r="AK238" s="1894"/>
      <c r="AL238" s="1894"/>
      <c r="AM238" s="1894"/>
      <c r="AN238" s="1610"/>
    </row>
    <row r="239" spans="20:40">
      <c r="T239" s="1610"/>
      <c r="U239" s="1747"/>
      <c r="V239" s="1610"/>
      <c r="W239" s="1901"/>
      <c r="X239" s="1610"/>
      <c r="Y239" s="3581"/>
      <c r="Z239" s="1610"/>
      <c r="AA239" s="1894"/>
      <c r="AB239" s="1894"/>
      <c r="AC239" s="1894"/>
      <c r="AD239" s="1894"/>
      <c r="AE239" s="1894"/>
      <c r="AF239" s="1894"/>
      <c r="AG239" s="1894"/>
      <c r="AH239" s="1894"/>
      <c r="AI239" s="1894"/>
      <c r="AJ239" s="1894"/>
      <c r="AK239" s="1894"/>
      <c r="AL239" s="1894"/>
      <c r="AM239" s="1894"/>
      <c r="AN239" s="1610"/>
    </row>
    <row r="240" spans="20:40">
      <c r="T240" s="3580"/>
      <c r="U240" s="1747"/>
      <c r="V240" s="1610"/>
      <c r="W240" s="1610"/>
      <c r="X240" s="1610"/>
      <c r="Y240" s="1610"/>
      <c r="Z240" s="1610"/>
      <c r="AA240" s="1610"/>
      <c r="AB240" s="1610"/>
      <c r="AC240" s="1610"/>
      <c r="AD240" s="1610"/>
      <c r="AE240" s="1610"/>
      <c r="AF240" s="1610"/>
      <c r="AG240" s="1610"/>
      <c r="AH240" s="1610"/>
      <c r="AI240" s="1610"/>
      <c r="AJ240" s="1610"/>
      <c r="AK240" s="1610"/>
      <c r="AL240" s="1610"/>
      <c r="AM240" s="1610"/>
      <c r="AN240" s="1610"/>
    </row>
    <row r="241" spans="20:40">
      <c r="T241" s="1610"/>
      <c r="U241" s="1747"/>
      <c r="V241" s="1610"/>
      <c r="W241" s="1901"/>
      <c r="X241" s="1610"/>
      <c r="Y241" s="1906"/>
      <c r="Z241" s="1610"/>
      <c r="AA241" s="1894"/>
      <c r="AB241" s="1894"/>
      <c r="AC241" s="1894"/>
      <c r="AD241" s="1894"/>
      <c r="AE241" s="1894"/>
      <c r="AF241" s="1894"/>
      <c r="AG241" s="1894"/>
      <c r="AH241" s="1894"/>
      <c r="AI241" s="1894"/>
      <c r="AJ241" s="1894"/>
      <c r="AK241" s="1894"/>
      <c r="AL241" s="1894"/>
      <c r="AM241" s="1894"/>
      <c r="AN241" s="1610"/>
    </row>
    <row r="242" spans="20:40">
      <c r="T242" s="1747"/>
      <c r="U242" s="1747"/>
      <c r="V242" s="1610"/>
      <c r="W242" s="1901"/>
      <c r="X242" s="1610"/>
      <c r="Y242" s="3581"/>
      <c r="Z242" s="1610"/>
      <c r="AA242" s="1894"/>
      <c r="AB242" s="1894"/>
      <c r="AC242" s="1894"/>
      <c r="AD242" s="1894"/>
      <c r="AE242" s="1894"/>
      <c r="AF242" s="1894"/>
      <c r="AG242" s="1894"/>
      <c r="AH242" s="1894"/>
      <c r="AI242" s="1894"/>
      <c r="AJ242" s="1894"/>
      <c r="AK242" s="1894"/>
      <c r="AL242" s="1894"/>
      <c r="AM242" s="1894"/>
      <c r="AN242" s="1610"/>
    </row>
    <row r="243" spans="20:40">
      <c r="T243" s="1610"/>
      <c r="U243" s="1747"/>
      <c r="V243" s="1610"/>
      <c r="W243" s="1901"/>
      <c r="X243" s="1610"/>
      <c r="Y243" s="3581"/>
      <c r="Z243" s="1610"/>
      <c r="AA243" s="1894"/>
      <c r="AB243" s="1894"/>
      <c r="AC243" s="1894"/>
      <c r="AD243" s="1894"/>
      <c r="AE243" s="1894"/>
      <c r="AF243" s="1894"/>
      <c r="AG243" s="1894"/>
      <c r="AH243" s="1894"/>
      <c r="AI243" s="1894"/>
      <c r="AJ243" s="1894"/>
      <c r="AK243" s="1894"/>
      <c r="AL243" s="1894"/>
      <c r="AM243" s="1894"/>
      <c r="AN243" s="1610"/>
    </row>
    <row r="244" spans="20:40">
      <c r="T244" s="1610"/>
      <c r="U244" s="1747"/>
      <c r="V244" s="1610"/>
      <c r="W244" s="1901"/>
      <c r="X244" s="1610"/>
      <c r="Y244" s="3581"/>
      <c r="Z244" s="1610"/>
      <c r="AA244" s="3583"/>
      <c r="AB244" s="3583"/>
      <c r="AC244" s="3583"/>
      <c r="AD244" s="3583"/>
      <c r="AE244" s="3583"/>
      <c r="AF244" s="3583"/>
      <c r="AG244" s="3583"/>
      <c r="AH244" s="3583"/>
      <c r="AI244" s="3583"/>
      <c r="AJ244" s="3583"/>
      <c r="AK244" s="3583"/>
      <c r="AL244" s="3583"/>
      <c r="AM244" s="1894"/>
      <c r="AN244" s="1610"/>
    </row>
    <row r="245" spans="20:40">
      <c r="T245" s="1610"/>
      <c r="U245" s="1747"/>
      <c r="V245" s="1610"/>
      <c r="W245" s="1901"/>
      <c r="X245" s="1610"/>
      <c r="Y245" s="3581"/>
      <c r="Z245" s="1610"/>
      <c r="AA245" s="1894"/>
      <c r="AB245" s="1894"/>
      <c r="AC245" s="1894"/>
      <c r="AD245" s="1894"/>
      <c r="AE245" s="1894"/>
      <c r="AF245" s="1894"/>
      <c r="AG245" s="1894"/>
      <c r="AH245" s="1894"/>
      <c r="AI245" s="1894"/>
      <c r="AJ245" s="1894"/>
      <c r="AK245" s="1894"/>
      <c r="AL245" s="1894"/>
      <c r="AM245" s="1894"/>
      <c r="AN245" s="1610"/>
    </row>
    <row r="246" spans="20:40">
      <c r="T246" s="1610"/>
      <c r="U246" s="1747"/>
      <c r="V246" s="1610"/>
      <c r="W246" s="1901"/>
      <c r="X246" s="1610"/>
      <c r="Y246" s="3581"/>
      <c r="Z246" s="1610"/>
      <c r="AA246" s="1894"/>
      <c r="AB246" s="1894"/>
      <c r="AC246" s="1894"/>
      <c r="AD246" s="1894"/>
      <c r="AE246" s="1894"/>
      <c r="AF246" s="1894"/>
      <c r="AG246" s="1894"/>
      <c r="AH246" s="1894"/>
      <c r="AI246" s="1894"/>
      <c r="AJ246" s="1894"/>
      <c r="AK246" s="1894"/>
      <c r="AL246" s="1894"/>
      <c r="AM246" s="1894"/>
      <c r="AN246" s="1610"/>
    </row>
    <row r="247" spans="20:40">
      <c r="T247" s="1610"/>
      <c r="U247" s="1747"/>
      <c r="V247" s="1610"/>
      <c r="W247" s="1901"/>
      <c r="X247" s="1610"/>
      <c r="Y247" s="3581"/>
      <c r="Z247" s="1610"/>
      <c r="AA247" s="1894"/>
      <c r="AB247" s="1894"/>
      <c r="AC247" s="1894"/>
      <c r="AD247" s="1894"/>
      <c r="AE247" s="1894"/>
      <c r="AF247" s="1894"/>
      <c r="AG247" s="1894"/>
      <c r="AH247" s="1894"/>
      <c r="AI247" s="1894"/>
      <c r="AJ247" s="1894"/>
      <c r="AK247" s="1894"/>
      <c r="AL247" s="1894"/>
      <c r="AM247" s="1894"/>
      <c r="AN247" s="1610"/>
    </row>
    <row r="248" spans="20:40">
      <c r="T248" s="1610"/>
      <c r="U248" s="1747"/>
      <c r="V248" s="1610"/>
      <c r="W248" s="1901"/>
      <c r="X248" s="1610"/>
      <c r="Y248" s="3581"/>
      <c r="Z248" s="1610"/>
      <c r="AA248" s="1894"/>
      <c r="AB248" s="1894"/>
      <c r="AC248" s="1894"/>
      <c r="AD248" s="1894"/>
      <c r="AE248" s="1894"/>
      <c r="AF248" s="1894"/>
      <c r="AG248" s="1894"/>
      <c r="AH248" s="1894"/>
      <c r="AI248" s="1894"/>
      <c r="AJ248" s="1894"/>
      <c r="AK248" s="1894"/>
      <c r="AL248" s="1894"/>
      <c r="AM248" s="1894"/>
      <c r="AN248" s="1610"/>
    </row>
    <row r="249" spans="20:40">
      <c r="T249" s="1610"/>
      <c r="U249" s="1747"/>
      <c r="V249" s="1610"/>
      <c r="W249" s="1901"/>
      <c r="X249" s="1610"/>
      <c r="Y249" s="3581"/>
      <c r="Z249" s="1610"/>
      <c r="AA249" s="1894"/>
      <c r="AB249" s="1894"/>
      <c r="AC249" s="1894"/>
      <c r="AD249" s="1894"/>
      <c r="AE249" s="1894"/>
      <c r="AF249" s="1894"/>
      <c r="AG249" s="1894"/>
      <c r="AH249" s="1894"/>
      <c r="AI249" s="1894"/>
      <c r="AJ249" s="1894"/>
      <c r="AK249" s="1894"/>
      <c r="AL249" s="1894"/>
      <c r="AM249" s="1894"/>
      <c r="AN249" s="1610"/>
    </row>
    <row r="250" spans="20:40">
      <c r="T250" s="1610"/>
      <c r="U250" s="1747"/>
      <c r="V250" s="1610"/>
      <c r="W250" s="1901"/>
      <c r="X250" s="1610"/>
      <c r="Y250" s="3581"/>
      <c r="Z250" s="1610"/>
      <c r="AA250" s="1894"/>
      <c r="AB250" s="1894"/>
      <c r="AC250" s="1894"/>
      <c r="AD250" s="1894"/>
      <c r="AE250" s="1894"/>
      <c r="AF250" s="1894"/>
      <c r="AG250" s="1894"/>
      <c r="AH250" s="1894"/>
      <c r="AI250" s="1894"/>
      <c r="AJ250" s="1894"/>
      <c r="AK250" s="1894"/>
      <c r="AL250" s="1894"/>
      <c r="AM250" s="1894"/>
      <c r="AN250" s="1610"/>
    </row>
    <row r="251" spans="20:40">
      <c r="T251" s="1610"/>
      <c r="U251" s="1747"/>
      <c r="V251" s="1610"/>
      <c r="W251" s="1901"/>
      <c r="X251" s="1610"/>
      <c r="Y251" s="3581"/>
      <c r="Z251" s="1610"/>
      <c r="AA251" s="1894"/>
      <c r="AB251" s="1894"/>
      <c r="AC251" s="1894"/>
      <c r="AD251" s="1894"/>
      <c r="AE251" s="1894"/>
      <c r="AF251" s="1894"/>
      <c r="AG251" s="1894"/>
      <c r="AH251" s="1894"/>
      <c r="AI251" s="1894"/>
      <c r="AJ251" s="1894"/>
      <c r="AK251" s="1894"/>
      <c r="AL251" s="1894"/>
      <c r="AM251" s="1894"/>
      <c r="AN251" s="1610"/>
    </row>
    <row r="252" spans="20:40">
      <c r="T252" s="1610"/>
      <c r="U252" s="1747"/>
      <c r="V252" s="1610"/>
      <c r="W252" s="1901"/>
      <c r="X252" s="1610"/>
      <c r="Y252" s="3581"/>
      <c r="Z252" s="1610"/>
      <c r="AA252" s="1894"/>
      <c r="AB252" s="1894"/>
      <c r="AC252" s="1894"/>
      <c r="AD252" s="1894"/>
      <c r="AE252" s="1894"/>
      <c r="AF252" s="1894"/>
      <c r="AG252" s="1894"/>
      <c r="AH252" s="1894"/>
      <c r="AI252" s="1894"/>
      <c r="AJ252" s="1894"/>
      <c r="AK252" s="1894"/>
      <c r="AL252" s="1894"/>
      <c r="AM252" s="1894"/>
      <c r="AN252" s="1610"/>
    </row>
    <row r="253" spans="20:40">
      <c r="T253" s="1610"/>
      <c r="U253" s="1747"/>
      <c r="V253" s="1610"/>
      <c r="W253" s="1901"/>
      <c r="X253" s="1610"/>
      <c r="Y253" s="1610"/>
      <c r="Z253" s="1610"/>
      <c r="AA253" s="1894"/>
      <c r="AB253" s="1894"/>
      <c r="AC253" s="1894"/>
      <c r="AD253" s="1894"/>
      <c r="AE253" s="1894"/>
      <c r="AF253" s="1894"/>
      <c r="AG253" s="1894"/>
      <c r="AH253" s="1894"/>
      <c r="AI253" s="1894"/>
      <c r="AJ253" s="1894"/>
      <c r="AK253" s="1894"/>
      <c r="AL253" s="1894"/>
      <c r="AM253" s="1894"/>
      <c r="AN253" s="1610"/>
    </row>
    <row r="254" spans="20:40">
      <c r="T254" s="1610"/>
      <c r="U254" s="1747"/>
      <c r="V254" s="1610"/>
      <c r="W254" s="1901"/>
      <c r="X254" s="1610"/>
      <c r="Y254" s="1906"/>
      <c r="Z254" s="1610"/>
      <c r="AA254" s="1894"/>
      <c r="AB254" s="1894"/>
      <c r="AC254" s="1894"/>
      <c r="AD254" s="1894"/>
      <c r="AE254" s="1894"/>
      <c r="AF254" s="1894"/>
      <c r="AG254" s="1894"/>
      <c r="AH254" s="1894"/>
      <c r="AI254" s="1894"/>
      <c r="AJ254" s="1894"/>
      <c r="AK254" s="1894"/>
      <c r="AL254" s="1894"/>
      <c r="AM254" s="1894"/>
      <c r="AN254" s="1610"/>
    </row>
    <row r="255" spans="20:40">
      <c r="T255" s="1747"/>
      <c r="U255" s="1747"/>
      <c r="V255" s="1610"/>
      <c r="W255" s="1901"/>
      <c r="X255" s="1610"/>
      <c r="Y255" s="3581"/>
      <c r="Z255" s="1610"/>
      <c r="AA255" s="1894"/>
      <c r="AB255" s="1894"/>
      <c r="AC255" s="1894"/>
      <c r="AD255" s="1894"/>
      <c r="AE255" s="1894"/>
      <c r="AF255" s="1894"/>
      <c r="AG255" s="1894"/>
      <c r="AH255" s="1894"/>
      <c r="AI255" s="1894"/>
      <c r="AJ255" s="1894"/>
      <c r="AK255" s="1894"/>
      <c r="AL255" s="1894"/>
      <c r="AM255" s="1894"/>
      <c r="AN255" s="1610"/>
    </row>
    <row r="256" spans="20:40">
      <c r="T256" s="1610"/>
      <c r="U256" s="1747"/>
      <c r="V256" s="1610"/>
      <c r="W256" s="1901"/>
      <c r="X256" s="1610"/>
      <c r="Y256" s="3581"/>
      <c r="Z256" s="1610"/>
      <c r="AA256" s="1894"/>
      <c r="AB256" s="1894"/>
      <c r="AC256" s="1894"/>
      <c r="AD256" s="1894"/>
      <c r="AE256" s="1894"/>
      <c r="AF256" s="1894"/>
      <c r="AG256" s="1894"/>
      <c r="AH256" s="1894"/>
      <c r="AI256" s="1894"/>
      <c r="AJ256" s="1894"/>
      <c r="AK256" s="1894"/>
      <c r="AL256" s="1894"/>
      <c r="AM256" s="1894"/>
      <c r="AN256" s="1610"/>
    </row>
    <row r="257" spans="20:40">
      <c r="T257" s="1610"/>
      <c r="U257" s="1747"/>
      <c r="V257" s="1610"/>
      <c r="W257" s="1901"/>
      <c r="X257" s="1610"/>
      <c r="Y257" s="3581"/>
      <c r="Z257" s="1610"/>
      <c r="AA257" s="3582"/>
      <c r="AB257" s="3582"/>
      <c r="AC257" s="3582"/>
      <c r="AD257" s="3582"/>
      <c r="AE257" s="3582"/>
      <c r="AF257" s="3582"/>
      <c r="AG257" s="3582"/>
      <c r="AH257" s="3582"/>
      <c r="AI257" s="3582"/>
      <c r="AJ257" s="3582"/>
      <c r="AK257" s="3582"/>
      <c r="AL257" s="3582"/>
      <c r="AM257" s="1894"/>
      <c r="AN257" s="1610"/>
    </row>
    <row r="258" spans="20:40">
      <c r="T258" s="1610"/>
      <c r="U258" s="1747"/>
      <c r="V258" s="1610"/>
      <c r="W258" s="1901"/>
      <c r="X258" s="1610"/>
      <c r="Y258" s="3581"/>
      <c r="Z258" s="1610"/>
      <c r="AA258" s="1894"/>
      <c r="AB258" s="1894"/>
      <c r="AC258" s="1894"/>
      <c r="AD258" s="1894"/>
      <c r="AE258" s="1894"/>
      <c r="AF258" s="1894"/>
      <c r="AG258" s="1894"/>
      <c r="AH258" s="1894"/>
      <c r="AI258" s="1894"/>
      <c r="AJ258" s="1894"/>
      <c r="AK258" s="1894"/>
      <c r="AL258" s="1894"/>
      <c r="AM258" s="1894"/>
      <c r="AN258" s="1610"/>
    </row>
    <row r="259" spans="20:40">
      <c r="T259" s="1610"/>
      <c r="U259" s="1747"/>
      <c r="V259" s="1610"/>
      <c r="W259" s="1901"/>
      <c r="X259" s="1610"/>
      <c r="Y259" s="3581"/>
      <c r="Z259" s="1610"/>
      <c r="AA259" s="1894"/>
      <c r="AB259" s="1894"/>
      <c r="AC259" s="1894"/>
      <c r="AD259" s="1894"/>
      <c r="AE259" s="1894"/>
      <c r="AF259" s="1894"/>
      <c r="AG259" s="1894"/>
      <c r="AH259" s="1894"/>
      <c r="AI259" s="1894"/>
      <c r="AJ259" s="1894"/>
      <c r="AK259" s="1894"/>
      <c r="AL259" s="1894"/>
      <c r="AM259" s="1894"/>
      <c r="AN259" s="1610"/>
    </row>
    <row r="260" spans="20:40">
      <c r="T260" s="1610"/>
      <c r="U260" s="1747"/>
      <c r="V260" s="1610"/>
      <c r="W260" s="1901"/>
      <c r="X260" s="1610"/>
      <c r="Y260" s="3581"/>
      <c r="Z260" s="1610"/>
      <c r="AA260" s="1894"/>
      <c r="AB260" s="1894"/>
      <c r="AC260" s="1894"/>
      <c r="AD260" s="1894"/>
      <c r="AE260" s="1894"/>
      <c r="AF260" s="1894"/>
      <c r="AG260" s="1894"/>
      <c r="AH260" s="1894"/>
      <c r="AI260" s="1894"/>
      <c r="AJ260" s="1894"/>
      <c r="AK260" s="1894"/>
      <c r="AL260" s="1894"/>
      <c r="AM260" s="1894"/>
      <c r="AN260" s="1610"/>
    </row>
    <row r="261" spans="20:40">
      <c r="T261" s="1610"/>
      <c r="U261" s="1747"/>
      <c r="V261" s="1610"/>
      <c r="W261" s="1901"/>
      <c r="X261" s="1610"/>
      <c r="Y261" s="3581"/>
      <c r="Z261" s="1610"/>
      <c r="AA261" s="1894"/>
      <c r="AB261" s="1894"/>
      <c r="AC261" s="1894"/>
      <c r="AD261" s="1894"/>
      <c r="AE261" s="1894"/>
      <c r="AF261" s="1894"/>
      <c r="AG261" s="1894"/>
      <c r="AH261" s="1894"/>
      <c r="AI261" s="1894"/>
      <c r="AJ261" s="1894"/>
      <c r="AK261" s="1894"/>
      <c r="AL261" s="1894"/>
      <c r="AM261" s="1894"/>
      <c r="AN261" s="1610"/>
    </row>
    <row r="262" spans="20:40">
      <c r="T262" s="1610"/>
      <c r="U262" s="1747"/>
      <c r="V262" s="1610"/>
      <c r="W262" s="1901"/>
      <c r="X262" s="1610"/>
      <c r="Y262" s="3581"/>
      <c r="Z262" s="1610"/>
      <c r="AA262" s="1894"/>
      <c r="AB262" s="1894"/>
      <c r="AC262" s="1894"/>
      <c r="AD262" s="1894"/>
      <c r="AE262" s="1894"/>
      <c r="AF262" s="1894"/>
      <c r="AG262" s="1894"/>
      <c r="AH262" s="1894"/>
      <c r="AI262" s="1894"/>
      <c r="AJ262" s="1894"/>
      <c r="AK262" s="1894"/>
      <c r="AL262" s="1894"/>
      <c r="AM262" s="1894"/>
      <c r="AN262" s="1610"/>
    </row>
    <row r="263" spans="20:40">
      <c r="T263" s="1610"/>
      <c r="U263" s="1747"/>
      <c r="V263" s="1610"/>
      <c r="W263" s="1901"/>
      <c r="X263" s="1610"/>
      <c r="Y263" s="3581"/>
      <c r="Z263" s="1610"/>
      <c r="AA263" s="1894"/>
      <c r="AB263" s="1894"/>
      <c r="AC263" s="1894"/>
      <c r="AD263" s="1894"/>
      <c r="AE263" s="1894"/>
      <c r="AF263" s="1894"/>
      <c r="AG263" s="1894"/>
      <c r="AH263" s="1894"/>
      <c r="AI263" s="1894"/>
      <c r="AJ263" s="1894"/>
      <c r="AK263" s="1894"/>
      <c r="AL263" s="1894"/>
      <c r="AM263" s="1894"/>
      <c r="AN263" s="1610"/>
    </row>
    <row r="264" spans="20:40">
      <c r="T264" s="1610"/>
      <c r="U264" s="1747"/>
      <c r="V264" s="1610"/>
      <c r="W264" s="1901"/>
      <c r="X264" s="1610"/>
      <c r="Y264" s="3581"/>
      <c r="Z264" s="1610"/>
      <c r="AA264" s="1894"/>
      <c r="AB264" s="1894"/>
      <c r="AC264" s="1894"/>
      <c r="AD264" s="1894"/>
      <c r="AE264" s="1894"/>
      <c r="AF264" s="1894"/>
      <c r="AG264" s="1894"/>
      <c r="AH264" s="1894"/>
      <c r="AI264" s="1894"/>
      <c r="AJ264" s="1894"/>
      <c r="AK264" s="1894"/>
      <c r="AL264" s="1894"/>
      <c r="AM264" s="1894"/>
      <c r="AN264" s="1610"/>
    </row>
    <row r="265" spans="20:40">
      <c r="T265" s="1610"/>
      <c r="U265" s="1747"/>
      <c r="V265" s="1610"/>
      <c r="W265" s="1901"/>
      <c r="X265" s="1610"/>
      <c r="Y265" s="3581"/>
      <c r="Z265" s="1610"/>
      <c r="AA265" s="1894"/>
      <c r="AB265" s="1894"/>
      <c r="AC265" s="1894"/>
      <c r="AD265" s="1894"/>
      <c r="AE265" s="1894"/>
      <c r="AF265" s="1894"/>
      <c r="AG265" s="1894"/>
      <c r="AH265" s="1894"/>
      <c r="AI265" s="1894"/>
      <c r="AJ265" s="1894"/>
      <c r="AK265" s="1894"/>
      <c r="AL265" s="1894"/>
      <c r="AM265" s="1894"/>
      <c r="AN265" s="1610"/>
    </row>
    <row r="266" spans="20:40">
      <c r="T266" s="1610"/>
      <c r="U266" s="1610"/>
      <c r="V266" s="1610"/>
      <c r="W266" s="1610"/>
      <c r="X266" s="1610"/>
      <c r="Y266" s="1610"/>
      <c r="Z266" s="1610"/>
      <c r="AA266" s="1610"/>
      <c r="AB266" s="1610"/>
      <c r="AC266" s="1610"/>
      <c r="AD266" s="1610"/>
      <c r="AE266" s="1610"/>
      <c r="AF266" s="1610"/>
      <c r="AG266" s="1610"/>
      <c r="AH266" s="1610"/>
      <c r="AI266" s="1610"/>
      <c r="AJ266" s="1610"/>
      <c r="AK266" s="1610"/>
      <c r="AL266" s="1610"/>
      <c r="AM266" s="1610"/>
      <c r="AN266" s="1610"/>
    </row>
    <row r="267" spans="20:40">
      <c r="T267" s="3580"/>
      <c r="U267" s="1610"/>
      <c r="V267" s="1610"/>
      <c r="W267" s="1610"/>
      <c r="X267" s="1610"/>
      <c r="Y267" s="1610"/>
      <c r="Z267" s="1610"/>
      <c r="AA267" s="1610"/>
      <c r="AB267" s="1610"/>
      <c r="AC267" s="1610"/>
      <c r="AD267" s="1610"/>
      <c r="AE267" s="1610"/>
      <c r="AF267" s="1610"/>
      <c r="AG267" s="1610"/>
      <c r="AH267" s="1610"/>
      <c r="AI267" s="1610"/>
      <c r="AJ267" s="1610"/>
      <c r="AK267" s="1610"/>
      <c r="AL267" s="1610"/>
      <c r="AM267" s="1610"/>
      <c r="AN267" s="1610"/>
    </row>
    <row r="268" spans="20:40">
      <c r="T268" s="1610"/>
      <c r="U268" s="1747"/>
      <c r="V268" s="1610"/>
      <c r="W268" s="1901"/>
      <c r="X268" s="1610"/>
      <c r="Y268" s="1906"/>
      <c r="Z268" s="1610"/>
      <c r="AA268" s="1894"/>
      <c r="AB268" s="1894"/>
      <c r="AC268" s="1894"/>
      <c r="AD268" s="1894"/>
      <c r="AE268" s="1894"/>
      <c r="AF268" s="1894"/>
      <c r="AG268" s="1894"/>
      <c r="AH268" s="1894"/>
      <c r="AI268" s="1894"/>
      <c r="AJ268" s="1894"/>
      <c r="AK268" s="1894"/>
      <c r="AL268" s="1894"/>
      <c r="AM268" s="1894"/>
      <c r="AN268" s="1610"/>
    </row>
    <row r="269" spans="20:40">
      <c r="T269" s="1747"/>
      <c r="U269" s="1747"/>
      <c r="V269" s="1610"/>
      <c r="W269" s="1901"/>
      <c r="X269" s="1610"/>
      <c r="Y269" s="3581"/>
      <c r="Z269" s="1610"/>
      <c r="AA269" s="1894"/>
      <c r="AB269" s="1894"/>
      <c r="AC269" s="1894"/>
      <c r="AD269" s="1894"/>
      <c r="AE269" s="1894"/>
      <c r="AF269" s="1894"/>
      <c r="AG269" s="1894"/>
      <c r="AH269" s="1894"/>
      <c r="AI269" s="1894"/>
      <c r="AJ269" s="1894"/>
      <c r="AK269" s="1894"/>
      <c r="AL269" s="1894"/>
      <c r="AM269" s="1894"/>
      <c r="AN269" s="1610"/>
    </row>
    <row r="270" spans="20:40">
      <c r="T270" s="1610"/>
      <c r="U270" s="1747"/>
      <c r="V270" s="1610"/>
      <c r="W270" s="1901"/>
      <c r="X270" s="1610"/>
      <c r="Y270" s="3581"/>
      <c r="Z270" s="1610"/>
      <c r="AA270" s="1894"/>
      <c r="AB270" s="1894"/>
      <c r="AC270" s="1894"/>
      <c r="AD270" s="1894"/>
      <c r="AE270" s="1894"/>
      <c r="AF270" s="1894"/>
      <c r="AG270" s="1894"/>
      <c r="AH270" s="1894"/>
      <c r="AI270" s="1894"/>
      <c r="AJ270" s="1894"/>
      <c r="AK270" s="1894"/>
      <c r="AL270" s="1894"/>
      <c r="AM270" s="1894"/>
      <c r="AN270" s="1610"/>
    </row>
    <row r="271" spans="20:40">
      <c r="T271" s="1610"/>
      <c r="U271" s="1747"/>
      <c r="V271" s="1610"/>
      <c r="W271" s="1901"/>
      <c r="X271" s="1610"/>
      <c r="Y271" s="3581"/>
      <c r="Z271" s="1610"/>
      <c r="AA271" s="3583"/>
      <c r="AB271" s="3583"/>
      <c r="AC271" s="3583"/>
      <c r="AD271" s="3583"/>
      <c r="AE271" s="3583"/>
      <c r="AF271" s="3583"/>
      <c r="AG271" s="3583"/>
      <c r="AH271" s="3583"/>
      <c r="AI271" s="3583"/>
      <c r="AJ271" s="3583"/>
      <c r="AK271" s="3583"/>
      <c r="AL271" s="3583"/>
      <c r="AM271" s="1894"/>
      <c r="AN271" s="1610"/>
    </row>
    <row r="272" spans="20:40">
      <c r="T272" s="1610"/>
      <c r="U272" s="1747"/>
      <c r="V272" s="1610"/>
      <c r="W272" s="1901"/>
      <c r="X272" s="1610"/>
      <c r="Y272" s="3581"/>
      <c r="Z272" s="1610"/>
      <c r="AA272" s="1894"/>
      <c r="AB272" s="1894"/>
      <c r="AC272" s="1894"/>
      <c r="AD272" s="1894"/>
      <c r="AE272" s="1894"/>
      <c r="AF272" s="1894"/>
      <c r="AG272" s="1894"/>
      <c r="AH272" s="1894"/>
      <c r="AI272" s="1894"/>
      <c r="AJ272" s="1894"/>
      <c r="AK272" s="1894"/>
      <c r="AL272" s="1894"/>
      <c r="AM272" s="1894"/>
      <c r="AN272" s="1610"/>
    </row>
    <row r="273" spans="20:40">
      <c r="T273" s="1610"/>
      <c r="U273" s="1747"/>
      <c r="V273" s="1610"/>
      <c r="W273" s="1901"/>
      <c r="X273" s="1610"/>
      <c r="Y273" s="3581"/>
      <c r="Z273" s="1610"/>
      <c r="AA273" s="1894"/>
      <c r="AB273" s="1894"/>
      <c r="AC273" s="1894"/>
      <c r="AD273" s="1894"/>
      <c r="AE273" s="1894"/>
      <c r="AF273" s="1894"/>
      <c r="AG273" s="1894"/>
      <c r="AH273" s="1894"/>
      <c r="AI273" s="1894"/>
      <c r="AJ273" s="1894"/>
      <c r="AK273" s="1894"/>
      <c r="AL273" s="1894"/>
      <c r="AM273" s="1894"/>
      <c r="AN273" s="1610"/>
    </row>
    <row r="274" spans="20:40">
      <c r="T274" s="1610"/>
      <c r="U274" s="1747"/>
      <c r="V274" s="1610"/>
      <c r="W274" s="1901"/>
      <c r="X274" s="1610"/>
      <c r="Y274" s="3581"/>
      <c r="Z274" s="1610"/>
      <c r="AA274" s="1894"/>
      <c r="AB274" s="1894"/>
      <c r="AC274" s="1894"/>
      <c r="AD274" s="1894"/>
      <c r="AE274" s="1894"/>
      <c r="AF274" s="1894"/>
      <c r="AG274" s="1894"/>
      <c r="AH274" s="1894"/>
      <c r="AI274" s="1894"/>
      <c r="AJ274" s="1894"/>
      <c r="AK274" s="1894"/>
      <c r="AL274" s="1894"/>
      <c r="AM274" s="1894"/>
      <c r="AN274" s="1610"/>
    </row>
    <row r="275" spans="20:40">
      <c r="T275" s="1610"/>
      <c r="U275" s="1747"/>
      <c r="V275" s="1610"/>
      <c r="W275" s="1901"/>
      <c r="X275" s="1610"/>
      <c r="Y275" s="3581"/>
      <c r="Z275" s="1610"/>
      <c r="AA275" s="1894"/>
      <c r="AB275" s="1894"/>
      <c r="AC275" s="1894"/>
      <c r="AD275" s="1894"/>
      <c r="AE275" s="1894"/>
      <c r="AF275" s="1894"/>
      <c r="AG275" s="1894"/>
      <c r="AH275" s="1894"/>
      <c r="AI275" s="1894"/>
      <c r="AJ275" s="1894"/>
      <c r="AK275" s="1894"/>
      <c r="AL275" s="1894"/>
      <c r="AM275" s="1894"/>
      <c r="AN275" s="1610"/>
    </row>
    <row r="276" spans="20:40">
      <c r="T276" s="1610"/>
      <c r="U276" s="1747"/>
      <c r="V276" s="1610"/>
      <c r="W276" s="1901"/>
      <c r="X276" s="1610"/>
      <c r="Y276" s="3581"/>
      <c r="Z276" s="1610"/>
      <c r="AA276" s="1894"/>
      <c r="AB276" s="1894"/>
      <c r="AC276" s="1894"/>
      <c r="AD276" s="1894"/>
      <c r="AE276" s="1894"/>
      <c r="AF276" s="1894"/>
      <c r="AG276" s="1894"/>
      <c r="AH276" s="1894"/>
      <c r="AI276" s="1894"/>
      <c r="AJ276" s="1894"/>
      <c r="AK276" s="1894"/>
      <c r="AL276" s="1894"/>
      <c r="AM276" s="1894"/>
      <c r="AN276" s="1610"/>
    </row>
    <row r="277" spans="20:40">
      <c r="T277" s="1610"/>
      <c r="U277" s="1747"/>
      <c r="V277" s="1610"/>
      <c r="W277" s="1901"/>
      <c r="X277" s="1610"/>
      <c r="Y277" s="3581"/>
      <c r="Z277" s="1610"/>
      <c r="AA277" s="1894"/>
      <c r="AB277" s="1894"/>
      <c r="AC277" s="1894"/>
      <c r="AD277" s="1894"/>
      <c r="AE277" s="1894"/>
      <c r="AF277" s="1894"/>
      <c r="AG277" s="1894"/>
      <c r="AH277" s="1894"/>
      <c r="AI277" s="1894"/>
      <c r="AJ277" s="1894"/>
      <c r="AK277" s="1894"/>
      <c r="AL277" s="1894"/>
      <c r="AM277" s="1894"/>
      <c r="AN277" s="1610"/>
    </row>
    <row r="278" spans="20:40">
      <c r="T278" s="1610"/>
      <c r="U278" s="1747"/>
      <c r="V278" s="1610"/>
      <c r="W278" s="1901"/>
      <c r="X278" s="1610"/>
      <c r="Y278" s="3581"/>
      <c r="Z278" s="1610"/>
      <c r="AA278" s="1894"/>
      <c r="AB278" s="1894"/>
      <c r="AC278" s="1894"/>
      <c r="AD278" s="1894"/>
      <c r="AE278" s="1894"/>
      <c r="AF278" s="1894"/>
      <c r="AG278" s="1894"/>
      <c r="AH278" s="1894"/>
      <c r="AI278" s="1894"/>
      <c r="AJ278" s="1894"/>
      <c r="AK278" s="1894"/>
      <c r="AL278" s="1894"/>
      <c r="AM278" s="1894"/>
      <c r="AN278" s="1610"/>
    </row>
    <row r="279" spans="20:40">
      <c r="T279" s="1610"/>
      <c r="U279" s="1747"/>
      <c r="V279" s="1610"/>
      <c r="W279" s="1901"/>
      <c r="X279" s="1610"/>
      <c r="Y279" s="3581"/>
      <c r="Z279" s="1610"/>
      <c r="AA279" s="1894"/>
      <c r="AB279" s="1894"/>
      <c r="AC279" s="1894"/>
      <c r="AD279" s="1894"/>
      <c r="AE279" s="1894"/>
      <c r="AF279" s="1894"/>
      <c r="AG279" s="1894"/>
      <c r="AH279" s="1894"/>
      <c r="AI279" s="1894"/>
      <c r="AJ279" s="1894"/>
      <c r="AK279" s="1894"/>
      <c r="AL279" s="1894"/>
      <c r="AM279" s="1894"/>
      <c r="AN279" s="1610"/>
    </row>
    <row r="280" spans="20:40">
      <c r="T280" s="1610"/>
      <c r="U280" s="1610"/>
      <c r="V280" s="1610"/>
      <c r="W280" s="1610"/>
      <c r="X280" s="1610"/>
      <c r="Y280" s="1610"/>
      <c r="Z280" s="1610"/>
      <c r="AA280" s="1610"/>
      <c r="AB280" s="1610"/>
      <c r="AC280" s="1610"/>
      <c r="AD280" s="1610"/>
      <c r="AE280" s="1610"/>
      <c r="AF280" s="1610"/>
      <c r="AG280" s="1610"/>
      <c r="AH280" s="1610"/>
      <c r="AI280" s="1610"/>
      <c r="AJ280" s="1610"/>
      <c r="AK280" s="1610"/>
      <c r="AL280" s="1610"/>
      <c r="AM280" s="1610"/>
      <c r="AN280" s="1610"/>
    </row>
  </sheetData>
  <phoneticPr fontId="4" type="noConversion"/>
  <pageMargins left="1" right="0.75" top="1" bottom="1" header="0.5" footer="0.5"/>
  <pageSetup scale="53" orientation="landscape" verticalDpi="300" r:id="rId1"/>
  <headerFooter alignWithMargins="0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>
    <tabColor theme="6" tint="0.39997558519241921"/>
    <pageSetUpPr fitToPage="1"/>
  </sheetPr>
  <dimension ref="A1:P29"/>
  <sheetViews>
    <sheetView zoomScale="80" zoomScaleNormal="80" workbookViewId="0"/>
  </sheetViews>
  <sheetFormatPr defaultRowHeight="13.2"/>
  <cols>
    <col min="1" max="1" width="7.33203125" customWidth="1"/>
    <col min="2" max="2" width="12.88671875" customWidth="1"/>
    <col min="3" max="3" width="29" customWidth="1"/>
    <col min="4" max="5" width="11" customWidth="1"/>
    <col min="6" max="6" width="10.44140625" customWidth="1"/>
    <col min="7" max="7" width="11.44140625" customWidth="1"/>
    <col min="8" max="9" width="12.6640625" customWidth="1"/>
    <col min="10" max="10" width="11" customWidth="1"/>
    <col min="11" max="11" width="12.6640625" customWidth="1"/>
    <col min="12" max="13" width="11.109375" customWidth="1"/>
    <col min="14" max="14" width="9.33203125" customWidth="1"/>
    <col min="15" max="17" width="12.6640625" customWidth="1"/>
  </cols>
  <sheetData>
    <row r="1" spans="1:16">
      <c r="A1" s="1594" t="str">
        <f>COMPANY</f>
        <v>DUKE ENERGY KENTUCKY, INC.</v>
      </c>
      <c r="B1" s="1594"/>
      <c r="C1" s="1594"/>
      <c r="D1" s="1594"/>
      <c r="E1" s="1594"/>
      <c r="F1" s="1594"/>
      <c r="G1" s="1594"/>
      <c r="H1" s="1594"/>
      <c r="I1" s="1594"/>
      <c r="J1" s="1594"/>
      <c r="K1" s="1594"/>
      <c r="L1" s="1594"/>
      <c r="M1" s="1594"/>
      <c r="N1" s="1594"/>
      <c r="O1" s="1594" t="s">
        <v>980</v>
      </c>
      <c r="P1" s="1594"/>
    </row>
    <row r="2" spans="1:16">
      <c r="A2" s="1594" t="str">
        <f>CASE</f>
        <v>CASE NO. 2018-00261</v>
      </c>
      <c r="B2" s="1594"/>
      <c r="C2" s="1594"/>
      <c r="D2" s="1594"/>
      <c r="E2" s="1594"/>
      <c r="F2" s="1594"/>
      <c r="G2" s="1594"/>
      <c r="H2" s="1594"/>
      <c r="I2" s="1594"/>
      <c r="J2" s="1594"/>
      <c r="K2" s="1594"/>
      <c r="L2" s="1594"/>
      <c r="M2" s="1594"/>
      <c r="N2" s="1594"/>
      <c r="O2" s="1594" t="s">
        <v>566</v>
      </c>
      <c r="P2" s="1594"/>
    </row>
    <row r="3" spans="1:16">
      <c r="A3" s="1594" t="s">
        <v>2824</v>
      </c>
      <c r="B3" s="1594"/>
      <c r="C3" s="1594"/>
      <c r="D3" s="1594"/>
      <c r="E3" s="1594"/>
      <c r="F3" s="1594"/>
      <c r="G3" s="1594"/>
      <c r="H3" s="1594"/>
      <c r="I3" s="1594"/>
      <c r="J3" s="1594"/>
      <c r="K3" s="1594"/>
      <c r="L3" s="1594"/>
      <c r="M3" s="1594"/>
      <c r="N3" s="1594"/>
      <c r="O3" s="1594" t="str">
        <f>_WIT1</f>
        <v>S. E. LAWLER</v>
      </c>
      <c r="P3" s="1594"/>
    </row>
    <row r="4" spans="1:16">
      <c r="A4" s="1594"/>
      <c r="B4" s="1594"/>
      <c r="C4" s="1594"/>
      <c r="D4" s="1594"/>
      <c r="E4" s="1594"/>
      <c r="F4" s="1594"/>
      <c r="G4" s="1594"/>
      <c r="H4" s="1594"/>
      <c r="I4" s="1594"/>
      <c r="J4" s="1594"/>
      <c r="K4" s="1594"/>
      <c r="L4" s="1594"/>
      <c r="M4" s="1594"/>
      <c r="N4" s="1594"/>
      <c r="O4" s="1594"/>
      <c r="P4" s="1594"/>
    </row>
    <row r="5" spans="1:16">
      <c r="A5" s="1594"/>
      <c r="B5" s="1594"/>
      <c r="C5" s="1594"/>
      <c r="D5" s="1594"/>
      <c r="E5" s="1594"/>
      <c r="F5" s="1594"/>
      <c r="G5" s="1594"/>
      <c r="H5" s="1594"/>
      <c r="I5" s="1594"/>
      <c r="J5" s="1594"/>
      <c r="K5" s="1594"/>
      <c r="L5" s="1594"/>
      <c r="M5" s="1594"/>
      <c r="N5" s="1594"/>
      <c r="O5" s="1594"/>
      <c r="P5" s="1594"/>
    </row>
    <row r="6" spans="1:16">
      <c r="A6" s="1594"/>
      <c r="B6" s="1594"/>
      <c r="C6" s="1594"/>
      <c r="D6" s="1594"/>
      <c r="E6" s="1594"/>
      <c r="F6" s="1594"/>
      <c r="G6" s="1594"/>
      <c r="H6" s="1594"/>
      <c r="I6" s="1594"/>
      <c r="J6" s="1594"/>
      <c r="K6" s="1594"/>
      <c r="L6" s="1594"/>
      <c r="M6" s="1594"/>
      <c r="N6" s="1594"/>
      <c r="O6" s="1594"/>
      <c r="P6" s="1603"/>
    </row>
    <row r="7" spans="1:16">
      <c r="A7" s="1594"/>
      <c r="B7" s="1601"/>
      <c r="C7" s="1601"/>
      <c r="D7" s="1601"/>
      <c r="E7" s="1601" t="s">
        <v>2135</v>
      </c>
      <c r="F7" s="1601"/>
      <c r="G7" s="1601"/>
      <c r="H7" s="1601" t="s">
        <v>2252</v>
      </c>
      <c r="I7" s="1601"/>
      <c r="J7" s="1601" t="s">
        <v>1838</v>
      </c>
      <c r="K7" s="1601" t="s">
        <v>1838</v>
      </c>
      <c r="L7" s="1601"/>
      <c r="M7" s="1601"/>
      <c r="N7" s="1601"/>
      <c r="O7" s="1921"/>
      <c r="P7" s="1601" t="s">
        <v>1502</v>
      </c>
    </row>
    <row r="8" spans="1:16">
      <c r="A8" s="1601" t="s">
        <v>1938</v>
      </c>
      <c r="B8" s="1601"/>
      <c r="C8" s="1601"/>
      <c r="D8" s="1601" t="s">
        <v>1986</v>
      </c>
      <c r="E8" s="1601" t="s">
        <v>28</v>
      </c>
      <c r="F8" s="1601" t="s">
        <v>1559</v>
      </c>
      <c r="G8" s="1601" t="s">
        <v>1559</v>
      </c>
      <c r="H8" s="1601" t="s">
        <v>2135</v>
      </c>
      <c r="I8" s="1601" t="s">
        <v>965</v>
      </c>
      <c r="J8" s="1601" t="s">
        <v>2980</v>
      </c>
      <c r="K8" s="1601" t="s">
        <v>578</v>
      </c>
      <c r="L8" s="1601" t="s">
        <v>396</v>
      </c>
      <c r="M8" s="1601" t="s">
        <v>331</v>
      </c>
      <c r="N8" s="1601"/>
      <c r="O8" s="1922" t="s">
        <v>1439</v>
      </c>
      <c r="P8" s="1601" t="s">
        <v>2134</v>
      </c>
    </row>
    <row r="9" spans="1:16">
      <c r="A9" s="1923" t="s">
        <v>1939</v>
      </c>
      <c r="B9" s="1923" t="s">
        <v>1940</v>
      </c>
      <c r="C9" s="1923" t="s">
        <v>1988</v>
      </c>
      <c r="D9" s="1923" t="s">
        <v>1425</v>
      </c>
      <c r="E9" s="1923" t="s">
        <v>1425</v>
      </c>
      <c r="F9" s="1923" t="s">
        <v>1425</v>
      </c>
      <c r="G9" s="1923" t="s">
        <v>1840</v>
      </c>
      <c r="H9" s="1923" t="s">
        <v>28</v>
      </c>
      <c r="I9" s="1923" t="s">
        <v>398</v>
      </c>
      <c r="J9" s="1923" t="s">
        <v>2981</v>
      </c>
      <c r="K9" s="1923" t="s">
        <v>398</v>
      </c>
      <c r="L9" s="1923" t="s">
        <v>398</v>
      </c>
      <c r="M9" s="1923" t="s">
        <v>398</v>
      </c>
      <c r="N9" s="1923" t="s">
        <v>1559</v>
      </c>
      <c r="O9" s="1923" t="s">
        <v>398</v>
      </c>
      <c r="P9" s="1923" t="s">
        <v>977</v>
      </c>
    </row>
    <row r="10" spans="1:16">
      <c r="A10" s="1601">
        <v>1</v>
      </c>
      <c r="B10" s="1601" t="s">
        <v>1912</v>
      </c>
      <c r="C10" s="1594" t="s">
        <v>2253</v>
      </c>
      <c r="D10" s="1595"/>
      <c r="E10" s="1594"/>
      <c r="F10" s="1595"/>
      <c r="G10" s="1595"/>
      <c r="H10" s="1595"/>
      <c r="I10" s="1595"/>
      <c r="J10" s="1595"/>
      <c r="K10" s="1595">
        <f ca="1">SCH_D1!W231</f>
        <v>-588781</v>
      </c>
      <c r="L10" s="1595"/>
      <c r="M10" s="1595"/>
      <c r="N10" s="1595"/>
      <c r="O10" s="1595"/>
      <c r="P10" s="1595"/>
    </row>
    <row r="11" spans="1:16">
      <c r="A11" s="1601">
        <v>2</v>
      </c>
      <c r="B11" s="1601" t="s">
        <v>1913</v>
      </c>
      <c r="C11" s="1594" t="s">
        <v>1082</v>
      </c>
      <c r="D11" s="1595"/>
      <c r="E11" s="1594"/>
      <c r="F11" s="1595"/>
      <c r="G11" s="1595"/>
      <c r="H11" s="1595"/>
      <c r="I11" s="1595"/>
      <c r="J11" s="1595"/>
      <c r="K11" s="1595"/>
      <c r="L11" s="1595"/>
      <c r="M11" s="1595">
        <f>SCH_D1!Y234</f>
        <v>115100</v>
      </c>
      <c r="N11" s="1595"/>
      <c r="O11" s="1595"/>
      <c r="P11" s="1595"/>
    </row>
    <row r="12" spans="1:16">
      <c r="A12" s="1601">
        <v>3</v>
      </c>
      <c r="B12" s="1601" t="s">
        <v>1532</v>
      </c>
      <c r="C12" s="1594" t="s">
        <v>2823</v>
      </c>
      <c r="D12" s="1595"/>
      <c r="E12" s="1594"/>
      <c r="F12" s="1595"/>
      <c r="G12" s="1595"/>
      <c r="H12" s="1595"/>
      <c r="I12" s="1595"/>
      <c r="J12" s="1595"/>
      <c r="K12" s="1595"/>
      <c r="L12" s="1595"/>
      <c r="M12" s="1595"/>
      <c r="N12" s="1595">
        <f>SCH_D1!AA235</f>
        <v>577423</v>
      </c>
      <c r="O12" s="1595"/>
      <c r="P12" s="1595"/>
    </row>
    <row r="13" spans="1:16">
      <c r="A13" s="1601">
        <v>4</v>
      </c>
      <c r="B13" s="1601" t="s">
        <v>1916</v>
      </c>
      <c r="C13" s="1594" t="s">
        <v>2254</v>
      </c>
      <c r="D13" s="1595"/>
      <c r="E13" s="1594"/>
      <c r="F13" s="1595">
        <f>SCH_D1!AE215</f>
        <v>-514092</v>
      </c>
      <c r="G13" s="1595">
        <f>SCH_D1!AE222</f>
        <v>-382795</v>
      </c>
      <c r="H13" s="1595"/>
      <c r="I13" s="1595">
        <f>SCH_D1!AE230</f>
        <v>-102870</v>
      </c>
      <c r="J13" s="1595"/>
      <c r="K13" s="1595"/>
      <c r="L13" s="1595"/>
      <c r="M13" s="1595"/>
      <c r="N13" s="1595"/>
      <c r="O13" s="1595"/>
      <c r="P13" s="1595">
        <f>SCH_D1!AE243</f>
        <v>-44738</v>
      </c>
    </row>
    <row r="14" spans="1:16">
      <c r="A14" s="1601">
        <v>5</v>
      </c>
      <c r="B14" s="1601" t="s">
        <v>1917</v>
      </c>
      <c r="C14" s="1594" t="s">
        <v>2979</v>
      </c>
      <c r="D14" s="1595"/>
      <c r="E14" s="1594"/>
      <c r="F14" s="1595"/>
      <c r="G14" s="1595"/>
      <c r="H14" s="1595"/>
      <c r="I14" s="1595">
        <f>SCH_D1!U295</f>
        <v>1065488</v>
      </c>
      <c r="J14" s="1595"/>
      <c r="K14" s="1595"/>
      <c r="L14" s="1595"/>
      <c r="M14" s="1595"/>
      <c r="N14" s="1595"/>
      <c r="O14" s="1595"/>
      <c r="P14" s="1595"/>
    </row>
    <row r="15" spans="1:16">
      <c r="A15" s="1601">
        <v>6</v>
      </c>
      <c r="B15" s="1601" t="s">
        <v>1918</v>
      </c>
      <c r="C15" s="1594" t="s">
        <v>3016</v>
      </c>
      <c r="D15" s="1595"/>
      <c r="E15" s="1594"/>
      <c r="F15" s="1595"/>
      <c r="G15" s="1595"/>
      <c r="H15" s="1595"/>
      <c r="I15" s="1595"/>
      <c r="J15" s="1595"/>
      <c r="K15" s="1595"/>
      <c r="L15" s="1595"/>
      <c r="M15" s="1595"/>
      <c r="N15" s="1595">
        <f>SCH_D1!W300</f>
        <v>-34380</v>
      </c>
      <c r="O15" s="1595"/>
      <c r="P15" s="1595"/>
    </row>
    <row r="16" spans="1:16">
      <c r="A16" s="1601">
        <v>7</v>
      </c>
      <c r="B16" s="1601" t="s">
        <v>1919</v>
      </c>
      <c r="C16" s="1594" t="s">
        <v>1083</v>
      </c>
      <c r="D16" s="1595"/>
      <c r="E16" s="1594"/>
      <c r="F16" s="1595"/>
      <c r="G16" s="1595"/>
      <c r="H16" s="1595"/>
      <c r="I16" s="1595"/>
      <c r="J16" s="1595">
        <f>SCH_D1!Y297</f>
        <v>-20595</v>
      </c>
      <c r="K16" s="1595">
        <f>SCH_D1!Y296</f>
        <v>-19734</v>
      </c>
      <c r="L16" s="1595">
        <f>SCH_D1!Y298</f>
        <v>-6339</v>
      </c>
      <c r="M16" s="1595">
        <f>SCH_D1!Y299</f>
        <v>-322075</v>
      </c>
      <c r="N16" s="1595"/>
      <c r="O16" s="1595"/>
      <c r="P16" s="1595"/>
    </row>
    <row r="17" spans="1:16">
      <c r="A17" s="1601">
        <v>8</v>
      </c>
      <c r="B17" s="1601" t="s">
        <v>1920</v>
      </c>
      <c r="C17" s="1594" t="s">
        <v>2255</v>
      </c>
      <c r="D17" s="1595"/>
      <c r="E17" s="1594"/>
      <c r="F17" s="1595"/>
      <c r="G17" s="1595"/>
      <c r="H17" s="1595"/>
      <c r="I17" s="1595"/>
      <c r="J17" s="1595"/>
      <c r="K17" s="1595"/>
      <c r="L17" s="1595"/>
      <c r="M17" s="1595"/>
      <c r="N17" s="1595"/>
      <c r="O17" s="1595">
        <f ca="1">SCH_D1!AA303</f>
        <v>-1084440</v>
      </c>
      <c r="P17" s="1595"/>
    </row>
    <row r="18" spans="1:16">
      <c r="A18" s="1601">
        <v>9</v>
      </c>
      <c r="B18" s="1601" t="s">
        <v>109</v>
      </c>
      <c r="C18" s="1594" t="s">
        <v>1084</v>
      </c>
      <c r="D18" s="1595">
        <f>SCH_D1!AC278</f>
        <v>-309531</v>
      </c>
      <c r="E18" s="1595">
        <f>SCH_D1!AC279</f>
        <v>-80547</v>
      </c>
      <c r="F18" s="1595"/>
      <c r="G18" s="1595"/>
      <c r="H18" s="1595">
        <f>SCH_D1!AC291</f>
        <v>-80549</v>
      </c>
      <c r="I18" s="1595"/>
      <c r="J18" s="1595"/>
      <c r="K18" s="1595"/>
      <c r="L18" s="1595"/>
      <c r="M18" s="1595"/>
      <c r="N18" s="1595"/>
      <c r="O18" s="1595"/>
      <c r="P18" s="1595"/>
    </row>
    <row r="19" spans="1:16">
      <c r="A19" s="1601">
        <v>10</v>
      </c>
      <c r="B19" s="1601" t="s">
        <v>1524</v>
      </c>
      <c r="C19" s="1594" t="s">
        <v>3015</v>
      </c>
      <c r="D19" s="1595">
        <f>SCH_D1!AE278</f>
        <v>1766010</v>
      </c>
      <c r="E19" s="1595"/>
      <c r="F19" s="1595"/>
      <c r="G19" s="1595"/>
      <c r="H19" s="1595"/>
      <c r="I19" s="1595"/>
      <c r="J19" s="1595"/>
      <c r="K19" s="1595"/>
      <c r="L19" s="1595"/>
      <c r="M19" s="1595"/>
      <c r="N19" s="1595"/>
      <c r="O19" s="1595"/>
      <c r="P19" s="1595"/>
    </row>
    <row r="20" spans="1:16">
      <c r="A20" s="1601">
        <v>11</v>
      </c>
      <c r="B20" s="1601" t="s">
        <v>1921</v>
      </c>
      <c r="C20" s="1594" t="s">
        <v>2256</v>
      </c>
      <c r="D20" s="1595"/>
      <c r="E20" s="1594"/>
      <c r="F20" s="1595"/>
      <c r="G20" s="1595"/>
      <c r="H20" s="1595"/>
      <c r="I20" s="1595"/>
      <c r="J20" s="1595"/>
      <c r="K20" s="1595"/>
      <c r="L20" s="1595"/>
      <c r="M20" s="1595">
        <f>SCH_D1!U364</f>
        <v>-277270</v>
      </c>
      <c r="N20" s="1595"/>
      <c r="O20" s="1595"/>
      <c r="P20" s="1595"/>
    </row>
    <row r="21" spans="1:16">
      <c r="A21" s="1601"/>
      <c r="B21" s="1601"/>
      <c r="C21" s="1594"/>
      <c r="D21" s="1595"/>
      <c r="E21" s="1594"/>
      <c r="F21" s="1595"/>
      <c r="G21" s="1595"/>
      <c r="H21" s="1595"/>
      <c r="I21" s="1595"/>
      <c r="J21" s="1595"/>
      <c r="K21" s="1595"/>
      <c r="L21" s="1595"/>
      <c r="M21" s="1595"/>
      <c r="N21" s="1595"/>
      <c r="O21" s="1595"/>
      <c r="P21" s="1595"/>
    </row>
    <row r="22" spans="1:16" ht="13.8" thickBot="1">
      <c r="A22" s="1594"/>
      <c r="B22" s="1594"/>
      <c r="C22" s="1594"/>
      <c r="D22" s="1925">
        <f t="shared" ref="D22:P22" si="0">SUM(D10:D21)</f>
        <v>1456479</v>
      </c>
      <c r="E22" s="1925">
        <f t="shared" si="0"/>
        <v>-80547</v>
      </c>
      <c r="F22" s="1925">
        <f t="shared" si="0"/>
        <v>-514092</v>
      </c>
      <c r="G22" s="1925">
        <f t="shared" si="0"/>
        <v>-382795</v>
      </c>
      <c r="H22" s="1925">
        <f t="shared" si="0"/>
        <v>-80549</v>
      </c>
      <c r="I22" s="1925">
        <f t="shared" si="0"/>
        <v>962618</v>
      </c>
      <c r="J22" s="1925">
        <f t="shared" si="0"/>
        <v>-20595</v>
      </c>
      <c r="K22" s="1925">
        <f t="shared" ca="1" si="0"/>
        <v>-608515</v>
      </c>
      <c r="L22" s="1925">
        <f t="shared" si="0"/>
        <v>-6339</v>
      </c>
      <c r="M22" s="1925">
        <f t="shared" si="0"/>
        <v>-484245</v>
      </c>
      <c r="N22" s="1925">
        <f t="shared" si="0"/>
        <v>543043</v>
      </c>
      <c r="O22" s="1925">
        <f t="shared" ca="1" si="0"/>
        <v>-1084440</v>
      </c>
      <c r="P22" s="1925">
        <f t="shared" si="0"/>
        <v>-44738</v>
      </c>
    </row>
    <row r="23" spans="1:16" ht="13.8" thickTop="1">
      <c r="A23" s="1603"/>
      <c r="B23" s="1603"/>
      <c r="C23" s="1603"/>
      <c r="D23" s="1603"/>
      <c r="E23" s="1603"/>
      <c r="F23" s="1603"/>
      <c r="G23" s="1603"/>
      <c r="H23" s="1603"/>
      <c r="I23" s="1603"/>
      <c r="J23" s="1603"/>
      <c r="K23" s="1603"/>
      <c r="L23" s="1603"/>
      <c r="M23" s="1603"/>
      <c r="N23" s="1603"/>
      <c r="O23" s="1603"/>
      <c r="P23" s="1603"/>
    </row>
    <row r="24" spans="1:16">
      <c r="A24" s="1603"/>
      <c r="B24" s="1603"/>
      <c r="C24" s="1603"/>
      <c r="D24" s="1603"/>
      <c r="E24" s="1603"/>
      <c r="F24" s="1603"/>
      <c r="G24" s="1603"/>
      <c r="H24" s="1603"/>
      <c r="I24" s="1603"/>
      <c r="J24" s="1603"/>
      <c r="K24" s="1603"/>
      <c r="L24" s="1603"/>
      <c r="M24" s="1603"/>
      <c r="N24" s="1603"/>
      <c r="O24" s="1603"/>
      <c r="P24" s="1891" t="str">
        <f ca="1">IF(SUM(D22:P22)=SCH_D1!U216+SCH_D1!U236+SCH_D1!U238+SCH_D1!U243," ","Check D-1")</f>
        <v xml:space="preserve"> </v>
      </c>
    </row>
    <row r="25" spans="1:16">
      <c r="A25" s="1603"/>
      <c r="B25" s="1603"/>
      <c r="C25" s="1603"/>
      <c r="D25" s="1603"/>
      <c r="E25" s="1603"/>
      <c r="F25" s="1603"/>
      <c r="G25" s="1603"/>
      <c r="H25" s="1603"/>
      <c r="I25" s="1603"/>
      <c r="J25" s="1603"/>
      <c r="K25" s="1603"/>
      <c r="L25" s="1603"/>
      <c r="M25" s="1603"/>
      <c r="N25" s="1603"/>
      <c r="O25" s="1603"/>
      <c r="P25" s="1603"/>
    </row>
    <row r="26" spans="1:16">
      <c r="A26" s="1603"/>
      <c r="B26" s="1603"/>
      <c r="C26" s="1603"/>
      <c r="D26" s="1603"/>
      <c r="E26" s="1603"/>
      <c r="F26" s="1603"/>
      <c r="G26" s="1603"/>
      <c r="H26" s="1603"/>
      <c r="I26" s="1603"/>
      <c r="J26" s="1603"/>
      <c r="K26" s="1603"/>
      <c r="L26" s="1603"/>
      <c r="M26" s="1603"/>
      <c r="N26" s="1603"/>
      <c r="O26" s="1603"/>
      <c r="P26" s="1603"/>
    </row>
    <row r="27" spans="1:16">
      <c r="A27" s="1603"/>
      <c r="B27" s="1603"/>
      <c r="C27" s="1603"/>
      <c r="D27" s="1603"/>
      <c r="E27" s="1603"/>
      <c r="F27" s="1603"/>
      <c r="G27" s="1603"/>
      <c r="H27" s="1603"/>
      <c r="I27" s="1603"/>
      <c r="J27" s="1603"/>
      <c r="K27" s="1603"/>
      <c r="L27" s="1603"/>
      <c r="M27" s="1603"/>
      <c r="N27" s="1603"/>
      <c r="O27" s="1603"/>
      <c r="P27" s="1603"/>
    </row>
    <row r="28" spans="1:16">
      <c r="A28" s="1603"/>
      <c r="B28" s="1603"/>
      <c r="C28" s="1603"/>
      <c r="D28" s="1603"/>
      <c r="E28" s="1603"/>
      <c r="F28" s="1603"/>
      <c r="G28" s="1603"/>
      <c r="H28" s="1603"/>
      <c r="I28" s="1603"/>
      <c r="J28" s="1603"/>
      <c r="K28" s="1603"/>
      <c r="L28" s="1603"/>
      <c r="M28" s="1603"/>
      <c r="N28" s="1603"/>
      <c r="O28" s="1603"/>
      <c r="P28" s="1603"/>
    </row>
    <row r="29" spans="1:16">
      <c r="A29" s="1603"/>
      <c r="B29" s="1603"/>
      <c r="C29" s="1603"/>
      <c r="D29" s="1603"/>
      <c r="E29" s="1603"/>
      <c r="F29" s="1603"/>
      <c r="G29" s="1603"/>
      <c r="H29" s="1603"/>
      <c r="I29" s="1603"/>
      <c r="J29" s="1603"/>
      <c r="K29" s="1603"/>
      <c r="L29" s="1603"/>
      <c r="M29" s="1603"/>
      <c r="N29" s="1603"/>
      <c r="O29" s="1603"/>
      <c r="P29" s="1603"/>
    </row>
  </sheetData>
  <pageMargins left="0.7" right="0.7" top="0.75" bottom="0.75" header="0.3" footer="0.3"/>
  <pageSetup scale="61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theme="6" tint="0.39997558519241921"/>
    <pageSetUpPr fitToPage="1"/>
  </sheetPr>
  <dimension ref="A1:M327"/>
  <sheetViews>
    <sheetView zoomScale="75" workbookViewId="0"/>
  </sheetViews>
  <sheetFormatPr defaultColWidth="8" defaultRowHeight="15"/>
  <cols>
    <col min="1" max="1" width="10.5546875" style="98" customWidth="1"/>
    <col min="2" max="2" width="13.88671875" style="98" customWidth="1"/>
    <col min="3" max="3" width="6.5546875" style="97" customWidth="1"/>
    <col min="4" max="4" width="21.5546875" style="97" customWidth="1"/>
    <col min="5" max="5" width="1" style="97" customWidth="1"/>
    <col min="6" max="6" width="49.33203125" style="97" customWidth="1"/>
    <col min="7" max="7" width="17.88671875" style="97" customWidth="1"/>
    <col min="8" max="8" width="15.5546875" style="97" customWidth="1"/>
    <col min="9" max="9" width="1.109375" style="97" customWidth="1"/>
    <col min="10" max="10" width="20" style="97" customWidth="1"/>
    <col min="11" max="11" width="21" style="97" customWidth="1"/>
    <col min="12" max="16384" width="8" style="97"/>
  </cols>
  <sheetData>
    <row r="1" spans="3:11">
      <c r="C1" s="1581" t="str">
        <f>COMPANY</f>
        <v>DUKE ENERGY KENTUCKY, INC.</v>
      </c>
      <c r="D1" s="1150"/>
      <c r="E1" s="1150"/>
      <c r="F1" s="1581"/>
      <c r="G1" s="1150"/>
      <c r="H1" s="1150"/>
      <c r="I1" s="1150"/>
      <c r="J1" s="1150"/>
      <c r="K1" s="1150"/>
    </row>
    <row r="2" spans="3:11">
      <c r="C2" s="1581" t="str">
        <f>CASE</f>
        <v>CASE NO. 2018-00261</v>
      </c>
      <c r="D2" s="1150"/>
      <c r="E2" s="1150"/>
      <c r="F2" s="1581"/>
      <c r="G2" s="1150"/>
      <c r="H2" s="1150"/>
      <c r="I2" s="1150"/>
      <c r="J2" s="1150"/>
      <c r="K2" s="1150"/>
    </row>
    <row r="3" spans="3:11">
      <c r="C3" s="1581" t="s">
        <v>1652</v>
      </c>
      <c r="D3" s="1150"/>
      <c r="E3" s="1581"/>
      <c r="F3" s="1150"/>
      <c r="G3" s="1150"/>
      <c r="H3" s="1150"/>
      <c r="I3" s="1150"/>
      <c r="J3" s="1150"/>
      <c r="K3" s="1150"/>
    </row>
    <row r="4" spans="3:11">
      <c r="C4" s="1581" t="str">
        <f>PERIOD</f>
        <v>FOR THE TWELVE MONTHS ENDED NOVEMBER 30, 2018</v>
      </c>
      <c r="D4" s="1150"/>
      <c r="E4" s="1150"/>
      <c r="F4" s="1581"/>
      <c r="G4" s="1150"/>
      <c r="H4" s="1150"/>
      <c r="I4" s="1150"/>
      <c r="J4" s="1150"/>
      <c r="K4" s="1150"/>
    </row>
    <row r="5" spans="3:11">
      <c r="C5" s="1150"/>
      <c r="D5" s="1150"/>
      <c r="E5" s="1150"/>
      <c r="F5" s="1150"/>
      <c r="G5" s="1150"/>
      <c r="H5" s="1150"/>
      <c r="I5" s="1150"/>
      <c r="J5" s="1151"/>
      <c r="K5" s="1151"/>
    </row>
    <row r="6" spans="3:11">
      <c r="C6" s="1151"/>
      <c r="D6" s="1151"/>
      <c r="E6" s="1151"/>
      <c r="F6" s="1151"/>
      <c r="G6" s="1151"/>
      <c r="H6" s="1151"/>
      <c r="I6" s="1151"/>
      <c r="J6" s="1152" t="str">
        <f>"                    "&amp;"SCHEDULE C-2.1"</f>
        <v xml:space="preserve">                    SCHEDULE C-2.1</v>
      </c>
      <c r="K6" s="1151"/>
    </row>
    <row r="7" spans="3:11">
      <c r="C7" s="1213" t="str">
        <f>Data</f>
        <v>DATA: "X" BASE PERIOD   FORECASTED PERIOD</v>
      </c>
      <c r="D7" s="1151"/>
      <c r="E7" s="1151"/>
      <c r="F7" s="1151"/>
      <c r="G7" s="1151"/>
      <c r="H7" s="1151"/>
      <c r="I7" s="1151"/>
      <c r="J7" s="1152" t="str">
        <f>"                    "&amp;"PAGE  1  OF  16"</f>
        <v xml:space="preserve">                    PAGE  1  OF  16</v>
      </c>
      <c r="K7" s="1151"/>
    </row>
    <row r="8" spans="3:11">
      <c r="C8" s="1213" t="str">
        <f>Type</f>
        <v xml:space="preserve">TYPE OF FILING:  "X" ORIGINAL   UPDATED    REVISED  </v>
      </c>
      <c r="D8" s="1151"/>
      <c r="E8" s="1151"/>
      <c r="F8" s="1151"/>
      <c r="G8" s="1151"/>
      <c r="H8" s="1151"/>
      <c r="I8" s="1151"/>
      <c r="J8" s="1152" t="str">
        <f>"                    "&amp;"WITNESS RESPONSIBLE:"</f>
        <v xml:space="preserve">                    WITNESS RESPONSIBLE:</v>
      </c>
      <c r="K8" s="1151"/>
    </row>
    <row r="9" spans="3:11">
      <c r="C9" s="1152" t="s">
        <v>852</v>
      </c>
      <c r="D9" s="1151"/>
      <c r="E9" s="1151"/>
      <c r="F9" s="1151"/>
      <c r="G9" s="1151"/>
      <c r="H9" s="1151"/>
      <c r="I9" s="1151"/>
      <c r="J9" s="1152" t="str">
        <f>"                    "&amp;_WIT1</f>
        <v xml:space="preserve">                    S. E. LAWLER</v>
      </c>
      <c r="K9" s="1151"/>
    </row>
    <row r="10" spans="3:11">
      <c r="C10" s="1582"/>
      <c r="D10" s="1153"/>
      <c r="E10" s="1153"/>
      <c r="F10" s="1153"/>
      <c r="G10" s="1153"/>
      <c r="H10" s="1153"/>
      <c r="I10" s="1153"/>
      <c r="J10" s="1153"/>
      <c r="K10" s="1153"/>
    </row>
    <row r="11" spans="3:11">
      <c r="C11" s="1151"/>
      <c r="D11" s="1151"/>
      <c r="E11" s="1151"/>
      <c r="F11" s="1151"/>
      <c r="G11" s="1154" t="s">
        <v>1927</v>
      </c>
      <c r="H11" s="1583" t="s">
        <v>2094</v>
      </c>
      <c r="I11" s="1151"/>
      <c r="J11" s="1151"/>
      <c r="K11" s="1154" t="s">
        <v>686</v>
      </c>
    </row>
    <row r="12" spans="3:11">
      <c r="C12" s="1154" t="s">
        <v>567</v>
      </c>
      <c r="D12" s="1154" t="s">
        <v>2160</v>
      </c>
      <c r="E12" s="1151"/>
      <c r="F12" s="1151"/>
      <c r="G12" s="1154" t="s">
        <v>884</v>
      </c>
      <c r="H12" s="1154" t="s">
        <v>2096</v>
      </c>
      <c r="I12" s="1151"/>
      <c r="J12" s="1154" t="s">
        <v>1927</v>
      </c>
      <c r="K12" s="1154" t="s">
        <v>1928</v>
      </c>
    </row>
    <row r="13" spans="3:11">
      <c r="C13" s="1154" t="s">
        <v>2169</v>
      </c>
      <c r="D13" s="1154" t="s">
        <v>766</v>
      </c>
      <c r="E13" s="1151"/>
      <c r="F13" s="1581" t="s">
        <v>1929</v>
      </c>
      <c r="G13" s="1583" t="s">
        <v>637</v>
      </c>
      <c r="H13" s="1154" t="s">
        <v>2097</v>
      </c>
      <c r="I13" s="1151"/>
      <c r="J13" s="1154" t="s">
        <v>1930</v>
      </c>
      <c r="K13" s="1154" t="s">
        <v>741</v>
      </c>
    </row>
    <row r="14" spans="3:11">
      <c r="C14" s="1584"/>
      <c r="D14" s="1584"/>
      <c r="E14" s="1584"/>
      <c r="F14" s="1584"/>
      <c r="G14" s="1155" t="s">
        <v>2099</v>
      </c>
      <c r="H14" s="1155" t="s">
        <v>678</v>
      </c>
      <c r="I14" s="1584"/>
      <c r="J14" s="1155" t="s">
        <v>679</v>
      </c>
      <c r="K14" s="1155" t="s">
        <v>680</v>
      </c>
    </row>
    <row r="15" spans="3:11">
      <c r="C15" s="1151"/>
      <c r="D15" s="1583"/>
      <c r="E15" s="1151"/>
      <c r="F15" s="1151"/>
      <c r="G15" s="1151"/>
      <c r="H15" s="1151"/>
      <c r="I15" s="1151"/>
      <c r="J15" s="1151"/>
      <c r="K15" s="1151"/>
    </row>
    <row r="16" spans="3:11" ht="15.6">
      <c r="C16" s="1154">
        <v>1</v>
      </c>
      <c r="D16" s="1583"/>
      <c r="E16" s="1151"/>
      <c r="F16" s="1284" t="s">
        <v>687</v>
      </c>
      <c r="G16" s="1151"/>
      <c r="H16" s="1151"/>
      <c r="I16" s="1151"/>
      <c r="J16" s="1151"/>
      <c r="K16" s="1151"/>
    </row>
    <row r="17" spans="2:13">
      <c r="C17" s="1583">
        <v>2</v>
      </c>
      <c r="D17" s="1583"/>
      <c r="E17" s="1151"/>
      <c r="F17" s="1151"/>
      <c r="G17" s="1151"/>
      <c r="H17" s="1151"/>
      <c r="I17" s="1151"/>
      <c r="J17" s="1151"/>
      <c r="K17" s="1151"/>
    </row>
    <row r="18" spans="2:13" ht="15.6">
      <c r="C18" s="1154">
        <v>3</v>
      </c>
      <c r="D18" s="1583"/>
      <c r="E18" s="1151"/>
      <c r="F18" s="1284" t="s">
        <v>1931</v>
      </c>
      <c r="G18" s="1151"/>
      <c r="H18" s="1151"/>
      <c r="I18" s="1151"/>
      <c r="J18" s="1151"/>
      <c r="K18" s="1151"/>
    </row>
    <row r="19" spans="2:13">
      <c r="B19" s="98">
        <v>480000</v>
      </c>
      <c r="C19" s="1154">
        <v>4</v>
      </c>
      <c r="D19" s="1583">
        <v>480000</v>
      </c>
      <c r="E19" s="1151"/>
      <c r="F19" s="828" t="s">
        <v>1222</v>
      </c>
      <c r="G19" s="1156">
        <f t="shared" ref="G19:G28" si="0">ROUND(VLOOKUP(B19,BasePeriod,5,FALSE),0)</f>
        <v>67338429</v>
      </c>
      <c r="H19" s="1202">
        <f t="shared" ref="H19:H28" si="1">VLOOKUP(K19,ALLOCTABLE,2)</f>
        <v>100</v>
      </c>
      <c r="I19" s="1151"/>
      <c r="J19" s="1156">
        <f t="shared" ref="J19:J28" si="2">ROUND(G19*(H19/100),0)</f>
        <v>67338429</v>
      </c>
      <c r="K19" s="1154" t="s">
        <v>591</v>
      </c>
    </row>
    <row r="20" spans="2:13">
      <c r="B20" s="98">
        <v>480990</v>
      </c>
      <c r="C20" s="1583">
        <v>5</v>
      </c>
      <c r="D20" s="1583">
        <v>480990</v>
      </c>
      <c r="E20" s="1151"/>
      <c r="F20" s="828" t="s">
        <v>1223</v>
      </c>
      <c r="G20" s="1156">
        <f t="shared" si="0"/>
        <v>1346262</v>
      </c>
      <c r="H20" s="1202">
        <f t="shared" si="1"/>
        <v>100</v>
      </c>
      <c r="I20" s="1151"/>
      <c r="J20" s="1156">
        <f t="shared" si="2"/>
        <v>1346262</v>
      </c>
      <c r="K20" s="1154" t="s">
        <v>591</v>
      </c>
    </row>
    <row r="21" spans="2:13">
      <c r="B21" s="98">
        <v>481200</v>
      </c>
      <c r="C21" s="1154">
        <v>6</v>
      </c>
      <c r="D21" s="1583">
        <v>481200</v>
      </c>
      <c r="E21" s="1151"/>
      <c r="F21" s="828" t="s">
        <v>1224</v>
      </c>
      <c r="G21" s="1156">
        <f t="shared" si="0"/>
        <v>25288754</v>
      </c>
      <c r="H21" s="1202">
        <f t="shared" si="1"/>
        <v>100</v>
      </c>
      <c r="I21" s="1151"/>
      <c r="J21" s="1156">
        <f t="shared" si="2"/>
        <v>25288754</v>
      </c>
      <c r="K21" s="1154" t="s">
        <v>591</v>
      </c>
    </row>
    <row r="22" spans="2:13">
      <c r="B22" s="98">
        <v>481290</v>
      </c>
      <c r="C22" s="1154">
        <v>7</v>
      </c>
      <c r="D22" s="1583">
        <v>481290</v>
      </c>
      <c r="E22" s="1151"/>
      <c r="F22" s="828" t="s">
        <v>1225</v>
      </c>
      <c r="G22" s="1156">
        <f t="shared" si="0"/>
        <v>457261</v>
      </c>
      <c r="H22" s="1202">
        <f t="shared" si="1"/>
        <v>100</v>
      </c>
      <c r="I22" s="1151"/>
      <c r="J22" s="1156">
        <f t="shared" si="2"/>
        <v>457261</v>
      </c>
      <c r="K22" s="1154" t="s">
        <v>591</v>
      </c>
    </row>
    <row r="23" spans="2:13">
      <c r="B23" s="1144">
        <v>481000</v>
      </c>
      <c r="C23" s="1583">
        <v>8</v>
      </c>
      <c r="D23" s="830">
        <v>481000</v>
      </c>
      <c r="E23" s="1151"/>
      <c r="F23" s="828" t="s">
        <v>1226</v>
      </c>
      <c r="G23" s="1156">
        <f t="shared" si="0"/>
        <v>1653956</v>
      </c>
      <c r="H23" s="1202">
        <f t="shared" si="1"/>
        <v>100</v>
      </c>
      <c r="I23" s="1151"/>
      <c r="J23" s="1156">
        <f t="shared" si="2"/>
        <v>1653956</v>
      </c>
      <c r="K23" s="1154" t="s">
        <v>591</v>
      </c>
    </row>
    <row r="24" spans="2:13">
      <c r="B24" s="1144">
        <v>481090</v>
      </c>
      <c r="C24" s="1154">
        <v>9</v>
      </c>
      <c r="D24" s="830">
        <v>481090</v>
      </c>
      <c r="E24" s="1151"/>
      <c r="F24" s="828" t="s">
        <v>1227</v>
      </c>
      <c r="G24" s="1156">
        <f t="shared" si="0"/>
        <v>361</v>
      </c>
      <c r="H24" s="1202">
        <f t="shared" si="1"/>
        <v>100</v>
      </c>
      <c r="I24" s="1151"/>
      <c r="J24" s="1156">
        <f t="shared" si="2"/>
        <v>361</v>
      </c>
      <c r="K24" s="1154" t="s">
        <v>591</v>
      </c>
    </row>
    <row r="25" spans="2:13">
      <c r="B25" s="98">
        <v>482200</v>
      </c>
      <c r="C25" s="1154">
        <v>10</v>
      </c>
      <c r="D25" s="1583">
        <v>482200</v>
      </c>
      <c r="E25" s="1151"/>
      <c r="F25" s="828" t="s">
        <v>1228</v>
      </c>
      <c r="G25" s="1156">
        <f t="shared" si="0"/>
        <v>736</v>
      </c>
      <c r="H25" s="1202">
        <f t="shared" si="1"/>
        <v>100</v>
      </c>
      <c r="I25" s="1151"/>
      <c r="J25" s="1156">
        <f t="shared" si="2"/>
        <v>736</v>
      </c>
      <c r="K25" s="1154" t="s">
        <v>591</v>
      </c>
    </row>
    <row r="26" spans="2:13">
      <c r="B26" s="98">
        <v>482000</v>
      </c>
      <c r="C26" s="1583">
        <v>11</v>
      </c>
      <c r="D26" s="1583">
        <v>482000</v>
      </c>
      <c r="E26" s="1151"/>
      <c r="F26" s="828" t="s">
        <v>1294</v>
      </c>
      <c r="G26" s="1156">
        <f t="shared" si="0"/>
        <v>2431917</v>
      </c>
      <c r="H26" s="1202">
        <f t="shared" si="1"/>
        <v>100</v>
      </c>
      <c r="I26" s="1151"/>
      <c r="J26" s="1156">
        <f t="shared" si="2"/>
        <v>2431917</v>
      </c>
      <c r="K26" s="1154" t="s">
        <v>591</v>
      </c>
    </row>
    <row r="27" spans="2:13">
      <c r="B27" s="98">
        <v>482090</v>
      </c>
      <c r="C27" s="1154">
        <v>12</v>
      </c>
      <c r="D27" s="1583">
        <v>482090</v>
      </c>
      <c r="E27" s="1151"/>
      <c r="F27" s="828" t="s">
        <v>1295</v>
      </c>
      <c r="G27" s="1156">
        <f t="shared" si="0"/>
        <v>64744</v>
      </c>
      <c r="H27" s="1202">
        <f t="shared" si="1"/>
        <v>100</v>
      </c>
      <c r="I27" s="1151"/>
      <c r="J27" s="1156">
        <f t="shared" si="2"/>
        <v>64744</v>
      </c>
      <c r="K27" s="1154" t="s">
        <v>591</v>
      </c>
    </row>
    <row r="28" spans="2:13">
      <c r="B28" s="98">
        <v>484000</v>
      </c>
      <c r="C28" s="1154">
        <v>13</v>
      </c>
      <c r="D28" s="1583">
        <v>484000</v>
      </c>
      <c r="E28" s="1151"/>
      <c r="F28" s="1247" t="s">
        <v>2433</v>
      </c>
      <c r="G28" s="1156">
        <f t="shared" si="0"/>
        <v>33586</v>
      </c>
      <c r="H28" s="1202">
        <f t="shared" si="1"/>
        <v>100</v>
      </c>
      <c r="I28" s="1151"/>
      <c r="J28" s="1156">
        <f t="shared" si="2"/>
        <v>33586</v>
      </c>
      <c r="K28" s="1154" t="s">
        <v>591</v>
      </c>
      <c r="M28" s="1203" t="s">
        <v>2234</v>
      </c>
    </row>
    <row r="29" spans="2:13">
      <c r="C29" s="1583">
        <v>14</v>
      </c>
      <c r="D29" s="1583"/>
      <c r="E29" s="1151"/>
      <c r="F29" s="1585" t="s">
        <v>1280</v>
      </c>
      <c r="G29" s="1157">
        <f>SUM(G19:G28)</f>
        <v>98616006</v>
      </c>
      <c r="H29" s="1202"/>
      <c r="I29" s="1151"/>
      <c r="J29" s="1157">
        <f>SUM(J19:J28)</f>
        <v>98616006</v>
      </c>
      <c r="K29" s="1154"/>
    </row>
    <row r="30" spans="2:13">
      <c r="B30" s="96"/>
      <c r="C30" s="1151"/>
      <c r="D30" s="1583"/>
      <c r="E30" s="1151"/>
      <c r="F30" s="1151"/>
      <c r="G30" s="1156"/>
      <c r="H30" s="1202"/>
      <c r="I30" s="1151"/>
      <c r="J30" s="1156"/>
      <c r="K30" s="1151"/>
    </row>
    <row r="31" spans="2:13">
      <c r="B31" s="96"/>
      <c r="C31" s="99" t="str">
        <f>COMPANY</f>
        <v>DUKE ENERGY KENTUCKY, INC.</v>
      </c>
      <c r="D31" s="100"/>
      <c r="E31" s="100"/>
      <c r="F31" s="99"/>
      <c r="G31" s="100"/>
      <c r="H31" s="100"/>
      <c r="I31" s="100"/>
      <c r="J31" s="100"/>
      <c r="K31" s="100"/>
    </row>
    <row r="32" spans="2:13">
      <c r="B32" s="96"/>
      <c r="C32" s="99" t="str">
        <f>CASE</f>
        <v>CASE NO. 2018-00261</v>
      </c>
      <c r="D32" s="100"/>
      <c r="E32" s="100"/>
      <c r="F32" s="99"/>
      <c r="G32" s="100"/>
      <c r="H32" s="100"/>
      <c r="I32" s="100"/>
      <c r="J32" s="100"/>
      <c r="K32" s="100"/>
    </row>
    <row r="33" spans="1:13">
      <c r="B33" s="96"/>
      <c r="C33" s="99" t="s">
        <v>2043</v>
      </c>
      <c r="D33" s="100"/>
      <c r="E33" s="99"/>
      <c r="F33" s="100"/>
      <c r="G33" s="100"/>
      <c r="H33" s="100"/>
      <c r="I33" s="100"/>
      <c r="J33" s="100"/>
      <c r="K33" s="100"/>
    </row>
    <row r="34" spans="1:13">
      <c r="B34" s="96"/>
      <c r="C34" s="99" t="str">
        <f>PERIOD</f>
        <v>FOR THE TWELVE MONTHS ENDED NOVEMBER 30, 2018</v>
      </c>
      <c r="D34" s="100"/>
      <c r="E34" s="100"/>
      <c r="F34" s="99"/>
      <c r="G34" s="100"/>
      <c r="H34" s="100"/>
      <c r="I34" s="100"/>
      <c r="J34" s="100"/>
      <c r="K34" s="100"/>
    </row>
    <row r="35" spans="1:13">
      <c r="B35" s="96"/>
      <c r="C35" s="100"/>
      <c r="D35" s="100"/>
      <c r="E35" s="100"/>
      <c r="F35" s="100"/>
      <c r="G35" s="100"/>
      <c r="H35" s="100"/>
      <c r="I35" s="100"/>
    </row>
    <row r="36" spans="1:13">
      <c r="B36" s="96"/>
      <c r="J36" s="101" t="str">
        <f>"                    "&amp;"SCHEDULE C-2.1"</f>
        <v xml:space="preserve">                    SCHEDULE C-2.1</v>
      </c>
    </row>
    <row r="37" spans="1:13">
      <c r="B37" s="96"/>
      <c r="C37" s="102" t="str">
        <f>Data</f>
        <v>DATA: "X" BASE PERIOD   FORECASTED PERIOD</v>
      </c>
      <c r="J37" s="101" t="str">
        <f>"                    "&amp;"PAGE  2  OF  16"</f>
        <v xml:space="preserve">                    PAGE  2  OF  16</v>
      </c>
    </row>
    <row r="38" spans="1:13">
      <c r="B38" s="96"/>
      <c r="C38" s="102" t="str">
        <f>Type</f>
        <v xml:space="preserve">TYPE OF FILING:  "X" ORIGINAL   UPDATED    REVISED  </v>
      </c>
      <c r="J38" s="101" t="str">
        <f>"                    "&amp;"WITNESS RESPONSIBLE:"</f>
        <v xml:space="preserve">                    WITNESS RESPONSIBLE:</v>
      </c>
    </row>
    <row r="39" spans="1:13">
      <c r="B39" s="96"/>
      <c r="C39" s="101" t="s">
        <v>852</v>
      </c>
      <c r="J39" s="101" t="str">
        <f>"                    "&amp;_WIT1</f>
        <v xml:space="preserve">                    S. E. LAWLER</v>
      </c>
    </row>
    <row r="40" spans="1:13">
      <c r="B40" s="96"/>
      <c r="C40" s="103"/>
      <c r="D40" s="104"/>
      <c r="E40" s="104"/>
      <c r="F40" s="104"/>
      <c r="G40" s="104"/>
      <c r="H40" s="104"/>
      <c r="I40" s="104"/>
      <c r="J40" s="104"/>
      <c r="K40" s="104"/>
    </row>
    <row r="41" spans="1:13">
      <c r="B41" s="96"/>
      <c r="G41" s="105" t="s">
        <v>1927</v>
      </c>
      <c r="H41" s="106" t="s">
        <v>2094</v>
      </c>
      <c r="K41" s="105" t="s">
        <v>686</v>
      </c>
    </row>
    <row r="42" spans="1:13">
      <c r="B42" s="96"/>
      <c r="C42" s="105" t="s">
        <v>567</v>
      </c>
      <c r="D42" s="105" t="s">
        <v>2160</v>
      </c>
      <c r="G42" s="105" t="s">
        <v>884</v>
      </c>
      <c r="H42" s="105" t="s">
        <v>2096</v>
      </c>
      <c r="J42" s="105" t="s">
        <v>1927</v>
      </c>
      <c r="K42" s="105" t="s">
        <v>1928</v>
      </c>
    </row>
    <row r="43" spans="1:13">
      <c r="B43" s="96"/>
      <c r="C43" s="105" t="s">
        <v>2169</v>
      </c>
      <c r="D43" s="105" t="s">
        <v>766</v>
      </c>
      <c r="F43" s="99" t="s">
        <v>1929</v>
      </c>
      <c r="G43" s="106" t="s">
        <v>637</v>
      </c>
      <c r="H43" s="105" t="s">
        <v>2097</v>
      </c>
      <c r="J43" s="105" t="s">
        <v>1930</v>
      </c>
      <c r="K43" s="105" t="s">
        <v>741</v>
      </c>
    </row>
    <row r="44" spans="1:13">
      <c r="B44" s="96"/>
      <c r="C44" s="107"/>
      <c r="D44" s="107"/>
      <c r="E44" s="107"/>
      <c r="F44" s="107"/>
      <c r="G44" s="108" t="s">
        <v>2099</v>
      </c>
      <c r="H44" s="108" t="s">
        <v>678</v>
      </c>
      <c r="I44" s="107"/>
      <c r="J44" s="108" t="s">
        <v>679</v>
      </c>
      <c r="K44" s="108" t="s">
        <v>680</v>
      </c>
    </row>
    <row r="45" spans="1:13">
      <c r="B45" s="96"/>
      <c r="D45" s="106"/>
      <c r="G45" s="110"/>
      <c r="H45" s="111"/>
      <c r="J45" s="110"/>
    </row>
    <row r="46" spans="1:13" ht="15.6">
      <c r="C46" s="105">
        <v>1</v>
      </c>
      <c r="D46" s="106"/>
      <c r="F46" s="1283" t="s">
        <v>1933</v>
      </c>
      <c r="H46" s="111"/>
      <c r="J46" s="110"/>
    </row>
    <row r="47" spans="1:13">
      <c r="A47" s="116"/>
      <c r="B47" s="1884">
        <v>487001</v>
      </c>
      <c r="C47" s="105">
        <v>2</v>
      </c>
      <c r="D47" s="116">
        <v>487001</v>
      </c>
      <c r="F47" s="1146" t="s">
        <v>294</v>
      </c>
      <c r="G47" s="1156">
        <f t="shared" ref="G47:G49" si="3">ROUND(VLOOKUP(B47,BasePeriod,5,FALSE),0)</f>
        <v>0</v>
      </c>
      <c r="H47" s="1202">
        <f t="shared" ref="H47:H49" si="4">VLOOKUP(K47,ALLOCTABLE,2)</f>
        <v>100</v>
      </c>
      <c r="I47" s="1151"/>
      <c r="J47" s="1156">
        <f t="shared" ref="J47:J61" si="5">ROUND(G47*(H47/100),0)</f>
        <v>0</v>
      </c>
      <c r="K47" s="105" t="s">
        <v>591</v>
      </c>
      <c r="M47" s="1203" t="s">
        <v>2234</v>
      </c>
    </row>
    <row r="48" spans="1:13">
      <c r="A48" s="116"/>
      <c r="B48" s="1884">
        <v>488000</v>
      </c>
      <c r="C48" s="106">
        <v>3</v>
      </c>
      <c r="D48" s="116">
        <v>488000</v>
      </c>
      <c r="F48" s="1146" t="s">
        <v>295</v>
      </c>
      <c r="G48" s="1156">
        <f t="shared" si="3"/>
        <v>38782</v>
      </c>
      <c r="H48" s="1202">
        <f t="shared" si="4"/>
        <v>100</v>
      </c>
      <c r="I48" s="1151"/>
      <c r="J48" s="1156">
        <f t="shared" si="5"/>
        <v>38782</v>
      </c>
      <c r="K48" s="105" t="s">
        <v>591</v>
      </c>
      <c r="M48" s="1203" t="s">
        <v>2234</v>
      </c>
    </row>
    <row r="49" spans="1:13">
      <c r="A49" s="116"/>
      <c r="B49" s="1884">
        <v>488100</v>
      </c>
      <c r="C49" s="105">
        <v>4</v>
      </c>
      <c r="D49" s="116">
        <v>488100</v>
      </c>
      <c r="F49" s="1180" t="s">
        <v>2432</v>
      </c>
      <c r="G49" s="1156">
        <f t="shared" si="3"/>
        <v>472796</v>
      </c>
      <c r="H49" s="1202">
        <f t="shared" si="4"/>
        <v>100</v>
      </c>
      <c r="I49" s="1151"/>
      <c r="J49" s="1156">
        <f t="shared" si="5"/>
        <v>472796</v>
      </c>
      <c r="K49" s="105" t="s">
        <v>591</v>
      </c>
      <c r="M49" s="1203" t="s">
        <v>2234</v>
      </c>
    </row>
    <row r="50" spans="1:13">
      <c r="A50" s="116"/>
      <c r="B50" s="1884">
        <v>489000</v>
      </c>
      <c r="C50" s="105">
        <v>5</v>
      </c>
      <c r="D50" s="116">
        <v>489000</v>
      </c>
      <c r="F50" s="1146" t="s">
        <v>1297</v>
      </c>
      <c r="G50" s="1156">
        <f t="shared" ref="G50:G51" si="6">ROUND(VLOOKUP(B50,BasePeriod,5,FALSE),0)</f>
        <v>1500679</v>
      </c>
      <c r="H50" s="1202">
        <f>VLOOKUP(K50,ALLOCTABLE,2)</f>
        <v>100</v>
      </c>
      <c r="I50" s="1151"/>
      <c r="J50" s="1156">
        <f t="shared" si="5"/>
        <v>1500679</v>
      </c>
      <c r="K50" s="105" t="s">
        <v>591</v>
      </c>
    </row>
    <row r="51" spans="1:13">
      <c r="A51" s="116"/>
      <c r="B51" s="1884">
        <v>489010</v>
      </c>
      <c r="C51" s="105">
        <v>6</v>
      </c>
      <c r="D51" s="116">
        <v>489010</v>
      </c>
      <c r="F51" s="1180" t="s">
        <v>2193</v>
      </c>
      <c r="G51" s="1156">
        <f t="shared" si="6"/>
        <v>261036</v>
      </c>
      <c r="H51" s="1202">
        <f>VLOOKUP(K51,ALLOCTABLE,2)</f>
        <v>100</v>
      </c>
      <c r="I51" s="1151"/>
      <c r="J51" s="1156">
        <f t="shared" si="5"/>
        <v>261036</v>
      </c>
      <c r="K51" s="105" t="s">
        <v>591</v>
      </c>
      <c r="M51" s="1203" t="s">
        <v>2234</v>
      </c>
    </row>
    <row r="52" spans="1:13">
      <c r="A52" s="116"/>
      <c r="B52" s="1884">
        <v>489020</v>
      </c>
      <c r="C52" s="106">
        <v>7</v>
      </c>
      <c r="D52" s="116">
        <v>489020</v>
      </c>
      <c r="F52" s="1180" t="s">
        <v>2430</v>
      </c>
      <c r="G52" s="1156">
        <f t="shared" ref="G52:G61" si="7">ROUND(VLOOKUP(B52,BasePeriod,5,FALSE),0)</f>
        <v>1310216</v>
      </c>
      <c r="H52" s="1202">
        <f t="shared" ref="H52:H61" si="8">VLOOKUP(K52,ALLOCTABLE,2)</f>
        <v>100</v>
      </c>
      <c r="I52" s="1151"/>
      <c r="J52" s="1156">
        <f t="shared" si="5"/>
        <v>1310216</v>
      </c>
      <c r="K52" s="105" t="s">
        <v>591</v>
      </c>
    </row>
    <row r="53" spans="1:13">
      <c r="A53" s="116"/>
      <c r="B53" s="1884">
        <v>489025</v>
      </c>
      <c r="C53" s="105">
        <v>8</v>
      </c>
      <c r="D53" s="116">
        <v>489025</v>
      </c>
      <c r="F53" s="1180" t="s">
        <v>2431</v>
      </c>
      <c r="G53" s="1156">
        <f t="shared" si="7"/>
        <v>15994</v>
      </c>
      <c r="H53" s="1202">
        <f t="shared" si="8"/>
        <v>100</v>
      </c>
      <c r="I53" s="1151"/>
      <c r="J53" s="1156">
        <f t="shared" si="5"/>
        <v>15994</v>
      </c>
      <c r="K53" s="105" t="s">
        <v>591</v>
      </c>
    </row>
    <row r="54" spans="1:13">
      <c r="B54" s="1884">
        <v>489030</v>
      </c>
      <c r="C54" s="105">
        <v>9</v>
      </c>
      <c r="D54" s="116">
        <v>489030</v>
      </c>
      <c r="F54" s="1180" t="s">
        <v>2429</v>
      </c>
      <c r="G54" s="1156">
        <f t="shared" si="7"/>
        <v>2961469</v>
      </c>
      <c r="H54" s="1202">
        <f t="shared" si="8"/>
        <v>100</v>
      </c>
      <c r="I54" s="1151"/>
      <c r="J54" s="1156">
        <f t="shared" si="5"/>
        <v>2961469</v>
      </c>
      <c r="K54" s="105" t="s">
        <v>591</v>
      </c>
    </row>
    <row r="55" spans="1:13">
      <c r="A55" s="97"/>
      <c r="B55" s="1884">
        <v>489035</v>
      </c>
      <c r="C55" s="105">
        <v>10</v>
      </c>
      <c r="D55" s="116">
        <v>489035</v>
      </c>
      <c r="F55" s="1180" t="s">
        <v>2428</v>
      </c>
      <c r="G55" s="1156">
        <f t="shared" si="7"/>
        <v>-19962</v>
      </c>
      <c r="H55" s="1202">
        <f t="shared" si="8"/>
        <v>100</v>
      </c>
      <c r="I55" s="1151"/>
      <c r="J55" s="1156">
        <f t="shared" si="5"/>
        <v>-19962</v>
      </c>
      <c r="K55" s="105" t="s">
        <v>591</v>
      </c>
    </row>
    <row r="56" spans="1:13">
      <c r="A56" s="97"/>
      <c r="B56" s="1884">
        <v>489040</v>
      </c>
      <c r="C56" s="106">
        <v>11</v>
      </c>
      <c r="D56" s="116">
        <v>489040</v>
      </c>
      <c r="F56" s="1180" t="s">
        <v>2418</v>
      </c>
      <c r="G56" s="1156">
        <f t="shared" si="7"/>
        <v>360956</v>
      </c>
      <c r="H56" s="1202">
        <f t="shared" si="8"/>
        <v>100</v>
      </c>
      <c r="I56" s="1151"/>
      <c r="J56" s="1156">
        <f t="shared" si="5"/>
        <v>360956</v>
      </c>
      <c r="K56" s="105" t="s">
        <v>591</v>
      </c>
    </row>
    <row r="57" spans="1:13">
      <c r="A57" s="97"/>
      <c r="B57" s="1884">
        <v>489045</v>
      </c>
      <c r="C57" s="105">
        <v>12</v>
      </c>
      <c r="D57" s="116">
        <v>489045</v>
      </c>
      <c r="F57" s="1180" t="s">
        <v>2419</v>
      </c>
      <c r="G57" s="1156">
        <f t="shared" si="7"/>
        <v>5612</v>
      </c>
      <c r="H57" s="1202">
        <f t="shared" si="8"/>
        <v>100</v>
      </c>
      <c r="I57" s="1151"/>
      <c r="J57" s="1156">
        <f t="shared" si="5"/>
        <v>5612</v>
      </c>
      <c r="K57" s="105" t="s">
        <v>591</v>
      </c>
    </row>
    <row r="58" spans="1:13">
      <c r="B58" s="1884">
        <v>489200</v>
      </c>
      <c r="C58" s="105">
        <v>13</v>
      </c>
      <c r="D58" s="116">
        <v>489200</v>
      </c>
      <c r="F58" s="1180" t="s">
        <v>2420</v>
      </c>
      <c r="G58" s="1156">
        <f t="shared" si="7"/>
        <v>0</v>
      </c>
      <c r="H58" s="1202">
        <f t="shared" si="8"/>
        <v>100</v>
      </c>
      <c r="I58" s="1151"/>
      <c r="J58" s="1156">
        <f t="shared" si="5"/>
        <v>0</v>
      </c>
      <c r="K58" s="105" t="s">
        <v>591</v>
      </c>
      <c r="M58" s="1203" t="s">
        <v>2234</v>
      </c>
    </row>
    <row r="59" spans="1:13">
      <c r="B59" s="1884">
        <v>493010</v>
      </c>
      <c r="C59" s="105">
        <v>14</v>
      </c>
      <c r="D59" s="116">
        <v>493010</v>
      </c>
      <c r="F59" s="1180" t="s">
        <v>2671</v>
      </c>
      <c r="G59" s="1156">
        <f t="shared" ref="G59" si="9">ROUND(VLOOKUP(B59,BasePeriod,5,FALSE),0)</f>
        <v>7248</v>
      </c>
      <c r="H59" s="1202">
        <f t="shared" ref="H59" si="10">VLOOKUP(K59,ALLOCTABLE,2)</f>
        <v>100</v>
      </c>
      <c r="I59" s="1151"/>
      <c r="J59" s="1156">
        <f t="shared" ref="J59" si="11">ROUND(G59*(H59/100),0)</f>
        <v>7248</v>
      </c>
      <c r="K59" s="105" t="s">
        <v>591</v>
      </c>
      <c r="M59" s="1203"/>
    </row>
    <row r="60" spans="1:13">
      <c r="B60" s="1884">
        <v>495031</v>
      </c>
      <c r="C60" s="105">
        <v>15</v>
      </c>
      <c r="D60" s="116">
        <v>495031</v>
      </c>
      <c r="F60" s="1180" t="s">
        <v>207</v>
      </c>
      <c r="G60" s="1156">
        <f t="shared" si="7"/>
        <v>15019</v>
      </c>
      <c r="H60" s="1202">
        <f t="shared" si="8"/>
        <v>100</v>
      </c>
      <c r="I60" s="1151"/>
      <c r="J60" s="1156">
        <f t="shared" si="5"/>
        <v>15019</v>
      </c>
      <c r="K60" s="105" t="s">
        <v>591</v>
      </c>
      <c r="M60" s="1203" t="s">
        <v>2234</v>
      </c>
    </row>
    <row r="61" spans="1:13">
      <c r="B61" s="1884">
        <v>496020</v>
      </c>
      <c r="C61" s="106">
        <v>16</v>
      </c>
      <c r="D61" s="116">
        <v>496020</v>
      </c>
      <c r="F61" s="1146" t="s">
        <v>2190</v>
      </c>
      <c r="G61" s="1156">
        <f t="shared" si="7"/>
        <v>-3109032</v>
      </c>
      <c r="H61" s="1202">
        <f t="shared" si="8"/>
        <v>100</v>
      </c>
      <c r="I61" s="1151"/>
      <c r="J61" s="1156">
        <f t="shared" si="5"/>
        <v>-3109032</v>
      </c>
      <c r="K61" s="105" t="s">
        <v>591</v>
      </c>
      <c r="M61" s="1203" t="s">
        <v>2234</v>
      </c>
    </row>
    <row r="62" spans="1:13">
      <c r="C62" s="105">
        <v>17</v>
      </c>
      <c r="D62" s="106"/>
      <c r="F62" s="101" t="s">
        <v>526</v>
      </c>
      <c r="G62" s="113">
        <f>SUM(G47:G61)</f>
        <v>3820813</v>
      </c>
      <c r="H62" s="111"/>
      <c r="J62" s="113">
        <f>SUM(J47:J61)</f>
        <v>3820813</v>
      </c>
    </row>
    <row r="63" spans="1:13">
      <c r="C63" s="105">
        <v>18</v>
      </c>
      <c r="D63" s="117"/>
      <c r="F63" s="101"/>
      <c r="G63" s="118"/>
      <c r="H63" s="111"/>
      <c r="J63" s="118"/>
    </row>
    <row r="64" spans="1:13" ht="15.6" thickBot="1">
      <c r="C64" s="105">
        <v>19</v>
      </c>
      <c r="D64" s="106"/>
      <c r="F64" s="101" t="s">
        <v>527</v>
      </c>
      <c r="G64" s="119">
        <f>G29+G62</f>
        <v>102436819</v>
      </c>
      <c r="H64" s="110"/>
      <c r="J64" s="119">
        <f>J29+J62</f>
        <v>102436819</v>
      </c>
    </row>
    <row r="65" spans="3:11" ht="15.6" thickTop="1">
      <c r="G65" s="118"/>
      <c r="H65" s="111"/>
      <c r="J65" s="118"/>
    </row>
    <row r="66" spans="3:11">
      <c r="C66" s="99" t="str">
        <f>COMPANY</f>
        <v>DUKE ENERGY KENTUCKY, INC.</v>
      </c>
      <c r="D66" s="100"/>
      <c r="E66" s="100"/>
      <c r="F66" s="99"/>
      <c r="G66" s="100"/>
      <c r="H66" s="100"/>
      <c r="I66" s="100"/>
      <c r="J66" s="100"/>
      <c r="K66" s="100"/>
    </row>
    <row r="67" spans="3:11">
      <c r="C67" s="99" t="str">
        <f>CASE</f>
        <v>CASE NO. 2018-00261</v>
      </c>
      <c r="D67" s="100"/>
      <c r="E67" s="100"/>
      <c r="F67" s="99"/>
      <c r="G67" s="100"/>
      <c r="H67" s="100"/>
      <c r="I67" s="100"/>
      <c r="J67" s="100"/>
      <c r="K67" s="100"/>
    </row>
    <row r="68" spans="3:11">
      <c r="C68" s="99" t="s">
        <v>2043</v>
      </c>
      <c r="D68" s="100"/>
      <c r="E68" s="99"/>
      <c r="F68" s="100"/>
      <c r="G68" s="100"/>
      <c r="H68" s="100"/>
      <c r="I68" s="100"/>
      <c r="J68" s="100"/>
      <c r="K68" s="100"/>
    </row>
    <row r="69" spans="3:11">
      <c r="C69" s="99" t="str">
        <f>PERIOD</f>
        <v>FOR THE TWELVE MONTHS ENDED NOVEMBER 30, 2018</v>
      </c>
      <c r="D69" s="100"/>
      <c r="E69" s="100"/>
      <c r="F69" s="99"/>
      <c r="G69" s="100"/>
      <c r="H69" s="100"/>
      <c r="I69" s="100"/>
      <c r="J69" s="100"/>
      <c r="K69" s="100"/>
    </row>
    <row r="70" spans="3:11">
      <c r="C70" s="100"/>
      <c r="D70" s="100"/>
      <c r="E70" s="100"/>
      <c r="F70" s="100"/>
      <c r="G70" s="100"/>
      <c r="H70" s="100"/>
      <c r="I70" s="100"/>
    </row>
    <row r="71" spans="3:11">
      <c r="J71" s="101" t="str">
        <f>"                    "&amp;"SCHEDULE C-2.1"</f>
        <v xml:space="preserve">                    SCHEDULE C-2.1</v>
      </c>
    </row>
    <row r="72" spans="3:11">
      <c r="C72" s="102" t="str">
        <f>Data</f>
        <v>DATA: "X" BASE PERIOD   FORECASTED PERIOD</v>
      </c>
      <c r="J72" s="101" t="str">
        <f>"                    "&amp;"PAGE  3  OF  16"</f>
        <v xml:space="preserve">                    PAGE  3  OF  16</v>
      </c>
    </row>
    <row r="73" spans="3:11">
      <c r="C73" s="102" t="str">
        <f>Type</f>
        <v xml:space="preserve">TYPE OF FILING:  "X" ORIGINAL   UPDATED    REVISED  </v>
      </c>
      <c r="J73" s="101" t="str">
        <f>"                    "&amp;"WITNESS RESPONSIBLE:"</f>
        <v xml:space="preserve">                    WITNESS RESPONSIBLE:</v>
      </c>
    </row>
    <row r="74" spans="3:11">
      <c r="C74" s="101" t="str">
        <f>$C$9</f>
        <v xml:space="preserve">WORK PAPER REFERENCE NO(S).: </v>
      </c>
      <c r="J74" s="101" t="str">
        <f>"                    "&amp;_WIT1</f>
        <v xml:space="preserve">                    S. E. LAWLER</v>
      </c>
    </row>
    <row r="75" spans="3:11">
      <c r="C75" s="103"/>
      <c r="D75" s="104"/>
      <c r="E75" s="104"/>
      <c r="F75" s="104"/>
      <c r="G75" s="104"/>
      <c r="H75" s="104"/>
      <c r="I75" s="104"/>
      <c r="J75" s="104"/>
      <c r="K75" s="104"/>
    </row>
    <row r="76" spans="3:11">
      <c r="G76" s="105" t="s">
        <v>1927</v>
      </c>
      <c r="H76" s="106" t="s">
        <v>2094</v>
      </c>
      <c r="K76" s="105" t="s">
        <v>686</v>
      </c>
    </row>
    <row r="77" spans="3:11">
      <c r="C77" s="105" t="s">
        <v>567</v>
      </c>
      <c r="D77" s="105" t="s">
        <v>2160</v>
      </c>
      <c r="G77" s="105" t="s">
        <v>884</v>
      </c>
      <c r="H77" s="105" t="s">
        <v>2096</v>
      </c>
      <c r="J77" s="105" t="s">
        <v>1927</v>
      </c>
      <c r="K77" s="105" t="s">
        <v>1928</v>
      </c>
    </row>
    <row r="78" spans="3:11">
      <c r="C78" s="105" t="s">
        <v>2169</v>
      </c>
      <c r="D78" s="105" t="s">
        <v>766</v>
      </c>
      <c r="F78" s="99" t="s">
        <v>1929</v>
      </c>
      <c r="G78" s="106" t="s">
        <v>637</v>
      </c>
      <c r="H78" s="105" t="s">
        <v>2097</v>
      </c>
      <c r="J78" s="105" t="s">
        <v>1930</v>
      </c>
      <c r="K78" s="105" t="s">
        <v>741</v>
      </c>
    </row>
    <row r="79" spans="3:11">
      <c r="C79" s="107"/>
      <c r="D79" s="107"/>
      <c r="E79" s="107"/>
      <c r="F79" s="107"/>
      <c r="G79" s="108" t="s">
        <v>2099</v>
      </c>
      <c r="H79" s="108" t="s">
        <v>678</v>
      </c>
      <c r="I79" s="107"/>
      <c r="J79" s="108" t="s">
        <v>679</v>
      </c>
      <c r="K79" s="108" t="s">
        <v>680</v>
      </c>
    </row>
    <row r="81" spans="2:11" ht="15.6">
      <c r="C81" s="105">
        <v>1</v>
      </c>
      <c r="F81" s="1283" t="s">
        <v>1262</v>
      </c>
    </row>
    <row r="82" spans="2:11" ht="15.6">
      <c r="C82" s="105">
        <v>2</v>
      </c>
      <c r="F82" s="1283" t="s">
        <v>528</v>
      </c>
    </row>
    <row r="83" spans="2:11" ht="15.6">
      <c r="C83" s="105">
        <v>3</v>
      </c>
      <c r="F83" s="1283" t="s">
        <v>529</v>
      </c>
    </row>
    <row r="84" spans="2:11" ht="15.6">
      <c r="C84" s="105">
        <v>4</v>
      </c>
      <c r="F84" s="1283" t="s">
        <v>530</v>
      </c>
    </row>
    <row r="85" spans="2:11">
      <c r="B85" s="98">
        <v>711000</v>
      </c>
      <c r="C85" s="105">
        <v>5</v>
      </c>
      <c r="D85" s="105">
        <v>711000</v>
      </c>
      <c r="F85" s="101" t="s">
        <v>531</v>
      </c>
      <c r="G85" s="110">
        <f t="shared" ref="G85:G89" si="12">ROUND(VLOOKUP(B85,BasePeriod,5,FALSE),0)</f>
        <v>8534</v>
      </c>
      <c r="H85" s="111">
        <f t="shared" ref="H85:H89" si="13">VLOOKUP(K85,ALLOCTABLE,2)</f>
        <v>100</v>
      </c>
      <c r="J85" s="110">
        <f>ROUND(G85*(H85/100),0)</f>
        <v>8534</v>
      </c>
      <c r="K85" s="105" t="s">
        <v>591</v>
      </c>
    </row>
    <row r="86" spans="2:11">
      <c r="B86" s="98">
        <v>712000</v>
      </c>
      <c r="C86" s="105">
        <v>6</v>
      </c>
      <c r="D86" s="120">
        <v>712000</v>
      </c>
      <c r="F86" s="101" t="s">
        <v>532</v>
      </c>
      <c r="G86" s="110">
        <f t="shared" si="12"/>
        <v>13405</v>
      </c>
      <c r="H86" s="111">
        <f t="shared" si="13"/>
        <v>100</v>
      </c>
      <c r="J86" s="110">
        <f>ROUND(G86*(H86/100),0)</f>
        <v>13405</v>
      </c>
      <c r="K86" s="105" t="s">
        <v>591</v>
      </c>
    </row>
    <row r="87" spans="2:11">
      <c r="B87" s="98">
        <v>717000</v>
      </c>
      <c r="C87" s="105">
        <v>7</v>
      </c>
      <c r="D87" s="120">
        <v>717000</v>
      </c>
      <c r="F87" s="101" t="s">
        <v>533</v>
      </c>
      <c r="G87" s="110">
        <f t="shared" si="12"/>
        <v>116764</v>
      </c>
      <c r="H87" s="111">
        <f t="shared" si="13"/>
        <v>100</v>
      </c>
      <c r="J87" s="110">
        <f>ROUND(G87*(H87/100),0)</f>
        <v>116764</v>
      </c>
      <c r="K87" s="105" t="s">
        <v>591</v>
      </c>
    </row>
    <row r="88" spans="2:11">
      <c r="B88" s="98">
        <v>728000</v>
      </c>
      <c r="C88" s="105">
        <v>8</v>
      </c>
      <c r="D88" s="120">
        <v>728000</v>
      </c>
      <c r="F88" s="101" t="s">
        <v>534</v>
      </c>
      <c r="G88" s="110">
        <f t="shared" si="12"/>
        <v>1677312</v>
      </c>
      <c r="H88" s="111">
        <f t="shared" si="13"/>
        <v>100</v>
      </c>
      <c r="J88" s="110">
        <f>ROUND(G88*(H88/100),0)</f>
        <v>1677312</v>
      </c>
      <c r="K88" s="105" t="s">
        <v>591</v>
      </c>
    </row>
    <row r="89" spans="2:11">
      <c r="B89" s="98">
        <v>735000</v>
      </c>
      <c r="C89" s="105">
        <v>9</v>
      </c>
      <c r="D89" s="120">
        <v>735000</v>
      </c>
      <c r="F89" s="101" t="s">
        <v>535</v>
      </c>
      <c r="G89" s="110">
        <f t="shared" si="12"/>
        <v>120585</v>
      </c>
      <c r="H89" s="111">
        <f t="shared" si="13"/>
        <v>100</v>
      </c>
      <c r="J89" s="110">
        <f>ROUND(G89*(H89/100),0)</f>
        <v>120585</v>
      </c>
      <c r="K89" s="105" t="s">
        <v>591</v>
      </c>
    </row>
    <row r="90" spans="2:11">
      <c r="C90" s="105">
        <v>10</v>
      </c>
      <c r="F90" s="101" t="s">
        <v>536</v>
      </c>
      <c r="G90" s="113">
        <f>SUM(G85:G89)</f>
        <v>1936600</v>
      </c>
      <c r="J90" s="113">
        <f>SUM(J85:J89)</f>
        <v>1936600</v>
      </c>
    </row>
    <row r="91" spans="2:11">
      <c r="C91" s="105">
        <v>11</v>
      </c>
      <c r="F91" s="101"/>
    </row>
    <row r="92" spans="2:11" ht="15.6">
      <c r="C92" s="105">
        <v>12</v>
      </c>
      <c r="F92" s="1283" t="s">
        <v>537</v>
      </c>
    </row>
    <row r="93" spans="2:11">
      <c r="B93" s="98">
        <v>742000</v>
      </c>
      <c r="C93" s="105">
        <v>13</v>
      </c>
      <c r="D93" s="105">
        <v>742000</v>
      </c>
      <c r="F93" s="101" t="s">
        <v>538</v>
      </c>
      <c r="G93" s="110">
        <f>ROUND(VLOOKUP(B93,BasePeriod,5,FALSE),0)</f>
        <v>111249</v>
      </c>
      <c r="H93" s="111">
        <f>VLOOKUP(K93,ALLOCTABLE,2)</f>
        <v>100</v>
      </c>
      <c r="J93" s="110">
        <f>ROUND(G93*(H93/100),0)</f>
        <v>111249</v>
      </c>
      <c r="K93" s="105" t="s">
        <v>591</v>
      </c>
    </row>
    <row r="94" spans="2:11">
      <c r="C94" s="105">
        <v>14</v>
      </c>
      <c r="F94" s="101" t="s">
        <v>539</v>
      </c>
      <c r="G94" s="113">
        <f>SUM(G93:G93)</f>
        <v>111249</v>
      </c>
      <c r="J94" s="113">
        <f>SUM(J93:J93)</f>
        <v>111249</v>
      </c>
    </row>
    <row r="95" spans="2:11">
      <c r="C95" s="105">
        <v>15</v>
      </c>
      <c r="F95" s="101" t="s">
        <v>540</v>
      </c>
      <c r="G95" s="121">
        <f>G90+G94</f>
        <v>2047849</v>
      </c>
      <c r="J95" s="121">
        <f>J90+J94</f>
        <v>2047849</v>
      </c>
    </row>
    <row r="96" spans="2:11">
      <c r="C96" s="105">
        <v>16</v>
      </c>
    </row>
    <row r="97" spans="2:11" ht="15.6">
      <c r="B97" s="96"/>
      <c r="C97" s="105">
        <v>17</v>
      </c>
      <c r="F97" s="1283" t="s">
        <v>541</v>
      </c>
    </row>
    <row r="98" spans="2:11" ht="15.6">
      <c r="B98" s="96"/>
      <c r="C98" s="105">
        <v>18</v>
      </c>
      <c r="F98" s="1283" t="s">
        <v>542</v>
      </c>
    </row>
    <row r="99" spans="2:11">
      <c r="B99" s="122">
        <v>801</v>
      </c>
      <c r="C99" s="105">
        <v>19</v>
      </c>
      <c r="D99" s="123">
        <v>801</v>
      </c>
      <c r="F99" s="1181" t="s">
        <v>2365</v>
      </c>
      <c r="G99" s="126">
        <f t="array" ref="G99">SUM(IF(FERCBP=B99,AmountBP))</f>
        <v>39410142</v>
      </c>
      <c r="H99" s="111">
        <f>VLOOKUP(K99,ALLOCTABLE,2)</f>
        <v>100</v>
      </c>
      <c r="J99" s="110">
        <f>ROUND(G99*(H99/100),0)</f>
        <v>39410142</v>
      </c>
      <c r="K99" s="105" t="s">
        <v>591</v>
      </c>
    </row>
    <row r="100" spans="2:11">
      <c r="B100" s="122">
        <v>805002</v>
      </c>
      <c r="C100" s="105">
        <v>20</v>
      </c>
      <c r="D100" s="123">
        <v>805000</v>
      </c>
      <c r="F100" s="101" t="s">
        <v>543</v>
      </c>
      <c r="G100" s="110">
        <f>ROUND(VLOOKUP(B100,BasePeriod,5,FALSE),0)</f>
        <v>2279145</v>
      </c>
      <c r="H100" s="111">
        <f>VLOOKUP(K100,ALLOCTABLE,2)</f>
        <v>100</v>
      </c>
      <c r="J100" s="110">
        <f>ROUND(G100*(H100/100),0)</f>
        <v>2279145</v>
      </c>
      <c r="K100" s="105" t="s">
        <v>591</v>
      </c>
    </row>
    <row r="101" spans="2:11">
      <c r="B101" s="122">
        <v>805003</v>
      </c>
      <c r="C101" s="105">
        <v>21</v>
      </c>
      <c r="D101" s="123">
        <v>805200</v>
      </c>
      <c r="F101" s="101" t="s">
        <v>15</v>
      </c>
      <c r="G101" s="110">
        <f>ROUND(VLOOKUP(B101,BasePeriod,5,FALSE),0)</f>
        <v>2095556</v>
      </c>
      <c r="H101" s="111">
        <f>VLOOKUP(K101,ALLOCTABLE,2)</f>
        <v>100</v>
      </c>
      <c r="J101" s="110">
        <f>ROUND(G101*(H101/100),0)</f>
        <v>2095556</v>
      </c>
      <c r="K101" s="105" t="s">
        <v>591</v>
      </c>
    </row>
    <row r="102" spans="2:11">
      <c r="B102" s="122">
        <v>807</v>
      </c>
      <c r="C102" s="105">
        <v>22</v>
      </c>
      <c r="D102" s="123">
        <v>807</v>
      </c>
      <c r="F102" s="101" t="s">
        <v>443</v>
      </c>
      <c r="G102" s="126">
        <f t="array" ref="G102">SUM(IF(FERCBP=B102,AmountBP))</f>
        <v>507218</v>
      </c>
      <c r="H102" s="111">
        <f>VLOOKUP(K102,ALLOCTABLE,2)</f>
        <v>100</v>
      </c>
      <c r="J102" s="110">
        <f>ROUND(G102*(H102/100),0)</f>
        <v>507218</v>
      </c>
      <c r="K102" s="105" t="s">
        <v>591</v>
      </c>
    </row>
    <row r="103" spans="2:11">
      <c r="B103" s="122">
        <v>813001</v>
      </c>
      <c r="C103" s="105">
        <v>23</v>
      </c>
      <c r="D103" s="123">
        <v>813000</v>
      </c>
      <c r="F103" s="1181" t="s">
        <v>541</v>
      </c>
      <c r="G103" s="110">
        <f>ROUND(VLOOKUP(B103,BasePeriod,5,FALSE),0)</f>
        <v>163893</v>
      </c>
      <c r="H103" s="111">
        <f>VLOOKUP(K103,ALLOCTABLE,2)</f>
        <v>100</v>
      </c>
      <c r="J103" s="110">
        <f>ROUND(G103*(H103/100),0)</f>
        <v>163893</v>
      </c>
      <c r="K103" s="105" t="s">
        <v>591</v>
      </c>
    </row>
    <row r="104" spans="2:11">
      <c r="B104" s="122"/>
      <c r="C104" s="105">
        <v>24</v>
      </c>
      <c r="D104" s="124"/>
      <c r="F104" s="101" t="s">
        <v>444</v>
      </c>
      <c r="G104" s="113">
        <f>SUM(G99:G103)</f>
        <v>44455954</v>
      </c>
      <c r="J104" s="113">
        <f>SUM(J99:J103)</f>
        <v>44455954</v>
      </c>
      <c r="K104" s="105"/>
    </row>
    <row r="105" spans="2:11">
      <c r="B105" s="122"/>
      <c r="C105" s="105">
        <v>25</v>
      </c>
      <c r="D105" s="123"/>
      <c r="F105" s="1181"/>
      <c r="G105" s="110"/>
      <c r="H105" s="111"/>
      <c r="J105" s="110"/>
      <c r="K105" s="105"/>
    </row>
    <row r="106" spans="2:11" ht="15.6">
      <c r="B106" s="122"/>
      <c r="C106" s="105">
        <v>26</v>
      </c>
      <c r="D106" s="123"/>
      <c r="F106" s="1283" t="s">
        <v>999</v>
      </c>
      <c r="G106" s="110"/>
      <c r="H106" s="111"/>
      <c r="J106" s="110"/>
      <c r="K106" s="105"/>
    </row>
    <row r="107" spans="2:11" ht="15.6">
      <c r="B107" s="122"/>
      <c r="C107" s="105">
        <v>27</v>
      </c>
      <c r="D107" s="123"/>
      <c r="F107" s="1283" t="s">
        <v>530</v>
      </c>
      <c r="G107" s="110"/>
      <c r="H107" s="111"/>
      <c r="J107" s="110"/>
      <c r="K107" s="105"/>
    </row>
    <row r="108" spans="2:11">
      <c r="B108" s="96">
        <v>850001</v>
      </c>
      <c r="C108" s="105">
        <v>28</v>
      </c>
      <c r="D108" s="116">
        <v>850001</v>
      </c>
      <c r="F108" s="101" t="s">
        <v>446</v>
      </c>
      <c r="G108" s="110">
        <f>ROUND(VLOOKUP(B108,BasePeriod,5,FALSE),0)</f>
        <v>0</v>
      </c>
      <c r="H108" s="111">
        <f>VLOOKUP(K108,ALLOCTABLE,2)</f>
        <v>100</v>
      </c>
      <c r="J108" s="110">
        <f>ROUND(G108*(H108/100),0)</f>
        <v>0</v>
      </c>
      <c r="K108" s="105" t="s">
        <v>591</v>
      </c>
    </row>
    <row r="109" spans="2:11">
      <c r="B109" s="122"/>
      <c r="C109" s="105">
        <v>29</v>
      </c>
      <c r="D109" s="123"/>
      <c r="F109" s="101" t="s">
        <v>536</v>
      </c>
      <c r="G109" s="113">
        <f>SUM(G108)</f>
        <v>0</v>
      </c>
      <c r="J109" s="113">
        <f>SUM(J108)</f>
        <v>0</v>
      </c>
      <c r="K109" s="105"/>
    </row>
    <row r="110" spans="2:11">
      <c r="B110" s="122"/>
      <c r="C110" s="105">
        <v>30</v>
      </c>
      <c r="D110" s="123"/>
      <c r="F110" s="1181"/>
      <c r="G110" s="110"/>
      <c r="H110" s="111"/>
      <c r="J110" s="110"/>
      <c r="K110" s="105"/>
    </row>
    <row r="111" spans="2:11" ht="15.6">
      <c r="B111" s="122"/>
      <c r="C111" s="105">
        <v>31</v>
      </c>
      <c r="D111" s="123"/>
      <c r="F111" s="1283" t="s">
        <v>537</v>
      </c>
      <c r="G111" s="110"/>
      <c r="H111" s="111"/>
      <c r="J111" s="110"/>
      <c r="K111" s="105"/>
    </row>
    <row r="112" spans="2:11">
      <c r="B112" s="96">
        <v>863000</v>
      </c>
      <c r="C112" s="105">
        <v>32</v>
      </c>
      <c r="D112" s="116">
        <v>863000</v>
      </c>
      <c r="F112" s="101" t="s">
        <v>446</v>
      </c>
      <c r="G112" s="110">
        <f>ROUND(VLOOKUP(B112,BasePeriod,5,FALSE),0)</f>
        <v>0</v>
      </c>
      <c r="H112" s="111">
        <f>VLOOKUP(K112,ALLOCTABLE,2)</f>
        <v>100</v>
      </c>
      <c r="J112" s="110">
        <f>ROUND(G112*(H112/100),0)</f>
        <v>0</v>
      </c>
      <c r="K112" s="105" t="s">
        <v>591</v>
      </c>
    </row>
    <row r="113" spans="2:11">
      <c r="B113" s="96"/>
      <c r="C113" s="105">
        <v>33</v>
      </c>
      <c r="D113" s="116"/>
      <c r="F113" s="101" t="s">
        <v>539</v>
      </c>
      <c r="G113" s="113">
        <f>SUM(G112)</f>
        <v>0</v>
      </c>
      <c r="J113" s="113">
        <f>SUM(J112)</f>
        <v>0</v>
      </c>
      <c r="K113" s="105"/>
    </row>
    <row r="114" spans="2:11">
      <c r="B114" s="96"/>
      <c r="C114" s="105">
        <v>34</v>
      </c>
      <c r="D114" s="116"/>
      <c r="F114" s="101" t="s">
        <v>2674</v>
      </c>
      <c r="G114" s="113">
        <f>G109+G113</f>
        <v>0</v>
      </c>
      <c r="J114" s="113">
        <f>J109+J113</f>
        <v>0</v>
      </c>
      <c r="K114" s="105"/>
    </row>
    <row r="115" spans="2:11">
      <c r="B115" s="122"/>
      <c r="C115" s="105"/>
      <c r="D115" s="123"/>
      <c r="F115" s="1181"/>
      <c r="G115" s="110"/>
      <c r="H115" s="111"/>
      <c r="J115" s="110"/>
      <c r="K115" s="105"/>
    </row>
    <row r="116" spans="2:11">
      <c r="B116" s="96"/>
    </row>
    <row r="117" spans="2:11">
      <c r="C117" s="101"/>
    </row>
    <row r="118" spans="2:11">
      <c r="C118" s="99" t="str">
        <f>COMPANY</f>
        <v>DUKE ENERGY KENTUCKY, INC.</v>
      </c>
      <c r="D118" s="100"/>
      <c r="E118" s="100"/>
      <c r="F118" s="99"/>
      <c r="G118" s="100"/>
      <c r="H118" s="100"/>
      <c r="I118" s="100"/>
      <c r="J118" s="100"/>
      <c r="K118" s="100"/>
    </row>
    <row r="119" spans="2:11">
      <c r="C119" s="99" t="str">
        <f>CASE</f>
        <v>CASE NO. 2018-00261</v>
      </c>
      <c r="D119" s="100"/>
      <c r="E119" s="100"/>
      <c r="F119" s="99"/>
      <c r="G119" s="100"/>
      <c r="H119" s="100"/>
      <c r="I119" s="100"/>
      <c r="J119" s="100"/>
      <c r="K119" s="100"/>
    </row>
    <row r="120" spans="2:11">
      <c r="C120" s="99" t="s">
        <v>2043</v>
      </c>
      <c r="D120" s="100"/>
      <c r="E120" s="99"/>
      <c r="F120" s="100"/>
      <c r="G120" s="100"/>
      <c r="H120" s="100"/>
      <c r="I120" s="100"/>
      <c r="J120" s="100"/>
      <c r="K120" s="100"/>
    </row>
    <row r="121" spans="2:11">
      <c r="C121" s="99" t="str">
        <f>PERIOD</f>
        <v>FOR THE TWELVE MONTHS ENDED NOVEMBER 30, 2018</v>
      </c>
      <c r="D121" s="100"/>
      <c r="E121" s="100"/>
      <c r="F121" s="99"/>
      <c r="G121" s="100"/>
      <c r="H121" s="100"/>
      <c r="I121" s="100"/>
      <c r="J121" s="100"/>
      <c r="K121" s="100"/>
    </row>
    <row r="122" spans="2:11">
      <c r="C122" s="100"/>
      <c r="D122" s="100"/>
      <c r="E122" s="100"/>
      <c r="F122" s="100"/>
      <c r="G122" s="100"/>
      <c r="H122" s="100"/>
      <c r="I122" s="100"/>
    </row>
    <row r="123" spans="2:11">
      <c r="J123" s="101" t="str">
        <f>"                    "&amp;"SCHEDULE C-2.1"</f>
        <v xml:space="preserve">                    SCHEDULE C-2.1</v>
      </c>
    </row>
    <row r="124" spans="2:11">
      <c r="C124" s="102" t="str">
        <f>Data</f>
        <v>DATA: "X" BASE PERIOD   FORECASTED PERIOD</v>
      </c>
      <c r="J124" s="101" t="str">
        <f>"                    "&amp;"PAGE  4  OF  16"</f>
        <v xml:space="preserve">                    PAGE  4  OF  16</v>
      </c>
    </row>
    <row r="125" spans="2:11">
      <c r="C125" s="102" t="str">
        <f>Type</f>
        <v xml:space="preserve">TYPE OF FILING:  "X" ORIGINAL   UPDATED    REVISED  </v>
      </c>
      <c r="J125" s="101" t="str">
        <f>"                    "&amp;"WITNESS RESPONSIBLE:"</f>
        <v xml:space="preserve">                    WITNESS RESPONSIBLE:</v>
      </c>
    </row>
    <row r="126" spans="2:11">
      <c r="C126" s="101" t="str">
        <f>$C$9</f>
        <v xml:space="preserve">WORK PAPER REFERENCE NO(S).: </v>
      </c>
      <c r="J126" s="101" t="str">
        <f>"                    "&amp;_WIT1</f>
        <v xml:space="preserve">                    S. E. LAWLER</v>
      </c>
    </row>
    <row r="127" spans="2:11">
      <c r="C127" s="103"/>
      <c r="D127" s="104"/>
      <c r="E127" s="104"/>
      <c r="F127" s="104"/>
      <c r="G127" s="104"/>
      <c r="H127" s="104"/>
      <c r="I127" s="104"/>
      <c r="J127" s="104"/>
      <c r="K127" s="104"/>
    </row>
    <row r="128" spans="2:11">
      <c r="G128" s="105" t="s">
        <v>1927</v>
      </c>
      <c r="H128" s="106" t="s">
        <v>2094</v>
      </c>
      <c r="K128" s="105" t="s">
        <v>686</v>
      </c>
    </row>
    <row r="129" spans="1:11">
      <c r="C129" s="105" t="s">
        <v>567</v>
      </c>
      <c r="D129" s="105" t="s">
        <v>2160</v>
      </c>
      <c r="G129" s="105" t="s">
        <v>884</v>
      </c>
      <c r="H129" s="105" t="s">
        <v>2096</v>
      </c>
      <c r="J129" s="105" t="s">
        <v>1927</v>
      </c>
      <c r="K129" s="105" t="s">
        <v>1928</v>
      </c>
    </row>
    <row r="130" spans="1:11">
      <c r="C130" s="105" t="s">
        <v>2169</v>
      </c>
      <c r="D130" s="105" t="s">
        <v>766</v>
      </c>
      <c r="F130" s="99" t="s">
        <v>1929</v>
      </c>
      <c r="G130" s="106" t="s">
        <v>637</v>
      </c>
      <c r="H130" s="105" t="s">
        <v>2097</v>
      </c>
      <c r="J130" s="105" t="s">
        <v>1930</v>
      </c>
      <c r="K130" s="105" t="s">
        <v>741</v>
      </c>
    </row>
    <row r="131" spans="1:11">
      <c r="C131" s="107"/>
      <c r="D131" s="107"/>
      <c r="E131" s="107"/>
      <c r="F131" s="107"/>
      <c r="G131" s="108" t="s">
        <v>2099</v>
      </c>
      <c r="H131" s="108" t="s">
        <v>678</v>
      </c>
      <c r="I131" s="107"/>
      <c r="J131" s="108" t="s">
        <v>679</v>
      </c>
      <c r="K131" s="108" t="s">
        <v>680</v>
      </c>
    </row>
    <row r="133" spans="1:11" ht="15.6">
      <c r="C133" s="106">
        <v>1</v>
      </c>
      <c r="D133" s="124"/>
      <c r="F133" s="1283" t="s">
        <v>445</v>
      </c>
    </row>
    <row r="134" spans="1:11">
      <c r="C134" s="105">
        <v>2</v>
      </c>
    </row>
    <row r="135" spans="1:11" ht="15.6">
      <c r="C135" s="106">
        <v>3</v>
      </c>
      <c r="D135" s="124"/>
      <c r="F135" s="1283" t="s">
        <v>530</v>
      </c>
    </row>
    <row r="136" spans="1:11">
      <c r="B136" s="96">
        <v>871000</v>
      </c>
      <c r="C136" s="106">
        <v>4</v>
      </c>
      <c r="D136" s="116">
        <v>871000</v>
      </c>
      <c r="F136" s="101" t="s">
        <v>447</v>
      </c>
      <c r="G136" s="110">
        <f t="shared" ref="G136:G142" si="14">ROUND(VLOOKUP(B136,BasePeriod,5,FALSE),0)</f>
        <v>168926</v>
      </c>
      <c r="H136" s="111">
        <f t="shared" ref="H136:H142" si="15">VLOOKUP(K136,ALLOCTABLE,2)</f>
        <v>100</v>
      </c>
      <c r="J136" s="110">
        <f t="shared" ref="J136:J142" si="16">ROUND(G136*(H136/100),0)</f>
        <v>168926</v>
      </c>
      <c r="K136" s="105" t="s">
        <v>591</v>
      </c>
    </row>
    <row r="137" spans="1:11">
      <c r="B137" s="96">
        <v>874000</v>
      </c>
      <c r="C137" s="105">
        <v>5</v>
      </c>
      <c r="D137" s="116">
        <v>874000</v>
      </c>
      <c r="F137" s="101" t="s">
        <v>448</v>
      </c>
      <c r="G137" s="110">
        <f t="shared" si="14"/>
        <v>2353623</v>
      </c>
      <c r="H137" s="111">
        <f t="shared" si="15"/>
        <v>100</v>
      </c>
      <c r="J137" s="110">
        <f t="shared" si="16"/>
        <v>2353623</v>
      </c>
      <c r="K137" s="105" t="s">
        <v>591</v>
      </c>
    </row>
    <row r="138" spans="1:11">
      <c r="B138" s="96">
        <v>875000</v>
      </c>
      <c r="C138" s="106">
        <v>6</v>
      </c>
      <c r="D138" s="116">
        <v>875000</v>
      </c>
      <c r="F138" s="101" t="s">
        <v>449</v>
      </c>
      <c r="G138" s="110">
        <f t="shared" si="14"/>
        <v>6382</v>
      </c>
      <c r="H138" s="111">
        <f t="shared" si="15"/>
        <v>100</v>
      </c>
      <c r="J138" s="110">
        <f t="shared" si="16"/>
        <v>6382</v>
      </c>
      <c r="K138" s="105" t="s">
        <v>591</v>
      </c>
    </row>
    <row r="139" spans="1:11">
      <c r="B139" s="96">
        <v>876000</v>
      </c>
      <c r="C139" s="106">
        <v>7</v>
      </c>
      <c r="D139" s="116">
        <v>876000</v>
      </c>
      <c r="F139" s="101" t="s">
        <v>1000</v>
      </c>
      <c r="G139" s="110">
        <f t="shared" si="14"/>
        <v>4540</v>
      </c>
      <c r="H139" s="111">
        <f t="shared" si="15"/>
        <v>100</v>
      </c>
      <c r="J139" s="110">
        <f t="shared" si="16"/>
        <v>4540</v>
      </c>
      <c r="K139" s="105" t="s">
        <v>591</v>
      </c>
    </row>
    <row r="140" spans="1:11">
      <c r="B140" s="96">
        <v>878000</v>
      </c>
      <c r="C140" s="105">
        <v>8</v>
      </c>
      <c r="D140" s="116">
        <v>878000</v>
      </c>
      <c r="F140" s="101" t="s">
        <v>1001</v>
      </c>
      <c r="G140" s="110">
        <f t="shared" si="14"/>
        <v>1681076</v>
      </c>
      <c r="H140" s="111">
        <f t="shared" si="15"/>
        <v>100</v>
      </c>
      <c r="J140" s="110">
        <f t="shared" si="16"/>
        <v>1681076</v>
      </c>
      <c r="K140" s="105" t="s">
        <v>591</v>
      </c>
    </row>
    <row r="141" spans="1:11">
      <c r="B141" s="96">
        <v>879000</v>
      </c>
      <c r="C141" s="106">
        <v>9</v>
      </c>
      <c r="D141" s="116">
        <v>879000</v>
      </c>
      <c r="F141" s="101" t="s">
        <v>1002</v>
      </c>
      <c r="G141" s="110">
        <f t="shared" si="14"/>
        <v>1210113</v>
      </c>
      <c r="H141" s="111">
        <f t="shared" si="15"/>
        <v>100</v>
      </c>
      <c r="J141" s="110">
        <f t="shared" si="16"/>
        <v>1210113</v>
      </c>
      <c r="K141" s="105" t="s">
        <v>591</v>
      </c>
    </row>
    <row r="142" spans="1:11">
      <c r="B142" s="96">
        <v>880000</v>
      </c>
      <c r="C142" s="106">
        <v>10</v>
      </c>
      <c r="D142" s="116">
        <v>880000</v>
      </c>
      <c r="F142" s="101" t="s">
        <v>1003</v>
      </c>
      <c r="G142" s="110">
        <f t="shared" si="14"/>
        <v>1987140</v>
      </c>
      <c r="H142" s="111">
        <f t="shared" si="15"/>
        <v>100</v>
      </c>
      <c r="J142" s="110">
        <f t="shared" si="16"/>
        <v>1987140</v>
      </c>
      <c r="K142" s="105" t="s">
        <v>591</v>
      </c>
    </row>
    <row r="143" spans="1:11">
      <c r="C143" s="105">
        <v>11</v>
      </c>
      <c r="F143" s="101" t="s">
        <v>536</v>
      </c>
      <c r="G143" s="113">
        <f>SUM(G136:G142)</f>
        <v>7411800</v>
      </c>
      <c r="J143" s="113">
        <f>SUM(J136:J142)</f>
        <v>7411800</v>
      </c>
    </row>
    <row r="144" spans="1:11">
      <c r="A144" s="125"/>
      <c r="C144" s="106">
        <v>12</v>
      </c>
      <c r="G144" s="114"/>
      <c r="J144" s="114"/>
    </row>
    <row r="145" spans="1:11">
      <c r="A145" s="125"/>
      <c r="C145" s="106">
        <v>13</v>
      </c>
      <c r="G145" s="126"/>
    </row>
    <row r="146" spans="1:11" ht="15.6">
      <c r="A146" s="125"/>
      <c r="C146" s="105">
        <v>14</v>
      </c>
      <c r="F146" s="1283" t="s">
        <v>537</v>
      </c>
    </row>
    <row r="147" spans="1:11">
      <c r="A147" s="125"/>
      <c r="B147" s="96">
        <v>887000</v>
      </c>
      <c r="C147" s="106">
        <v>15</v>
      </c>
      <c r="D147" s="116">
        <v>887000</v>
      </c>
      <c r="F147" s="66" t="s">
        <v>1004</v>
      </c>
      <c r="G147" s="110">
        <f t="shared" ref="G147:G151" si="17">ROUND(VLOOKUP(B147,BasePeriod,5,FALSE),0)</f>
        <v>1679396</v>
      </c>
      <c r="H147" s="111">
        <f t="shared" ref="H147:H151" si="18">VLOOKUP(K147,ALLOCTABLE,2)</f>
        <v>100</v>
      </c>
      <c r="J147" s="110">
        <f>ROUND(G147*(H147/100),0)</f>
        <v>1679396</v>
      </c>
      <c r="K147" s="105" t="s">
        <v>591</v>
      </c>
    </row>
    <row r="148" spans="1:11">
      <c r="A148" s="125"/>
      <c r="B148" s="96">
        <v>889000</v>
      </c>
      <c r="C148" s="106">
        <v>16</v>
      </c>
      <c r="D148" s="116">
        <v>889000</v>
      </c>
      <c r="F148" s="66" t="s">
        <v>1005</v>
      </c>
      <c r="G148" s="110">
        <f t="shared" si="17"/>
        <v>46829</v>
      </c>
      <c r="H148" s="111">
        <f t="shared" si="18"/>
        <v>100</v>
      </c>
      <c r="J148" s="110">
        <f>ROUND(G148*(H148/100),0)</f>
        <v>46829</v>
      </c>
      <c r="K148" s="105" t="s">
        <v>591</v>
      </c>
    </row>
    <row r="149" spans="1:11">
      <c r="B149" s="96">
        <v>892000</v>
      </c>
      <c r="C149" s="105">
        <v>17</v>
      </c>
      <c r="D149" s="116">
        <v>892000</v>
      </c>
      <c r="F149" s="66" t="s">
        <v>1557</v>
      </c>
      <c r="G149" s="110">
        <f t="shared" si="17"/>
        <v>542588</v>
      </c>
      <c r="H149" s="111">
        <f t="shared" si="18"/>
        <v>100</v>
      </c>
      <c r="J149" s="110">
        <f>ROUND(G149*(H149/100),0)</f>
        <v>542588</v>
      </c>
      <c r="K149" s="105" t="s">
        <v>591</v>
      </c>
    </row>
    <row r="150" spans="1:11">
      <c r="B150" s="96">
        <v>893000</v>
      </c>
      <c r="C150" s="106">
        <v>18</v>
      </c>
      <c r="D150" s="116">
        <v>893000</v>
      </c>
      <c r="F150" s="66" t="s">
        <v>1558</v>
      </c>
      <c r="G150" s="110">
        <f t="shared" si="17"/>
        <v>341546</v>
      </c>
      <c r="H150" s="111">
        <f t="shared" si="18"/>
        <v>100</v>
      </c>
      <c r="J150" s="110">
        <f>ROUND(G150*(H150/100),0)</f>
        <v>341546</v>
      </c>
      <c r="K150" s="105" t="s">
        <v>591</v>
      </c>
    </row>
    <row r="151" spans="1:11">
      <c r="B151" s="96">
        <v>894000</v>
      </c>
      <c r="C151" s="106">
        <v>19</v>
      </c>
      <c r="D151" s="116">
        <v>894000</v>
      </c>
      <c r="F151" s="66" t="s">
        <v>1559</v>
      </c>
      <c r="G151" s="110">
        <f t="shared" si="17"/>
        <v>-50557</v>
      </c>
      <c r="H151" s="111">
        <f t="shared" si="18"/>
        <v>100</v>
      </c>
      <c r="J151" s="110">
        <f>ROUND(G151*(H151/100),0)</f>
        <v>-50557</v>
      </c>
      <c r="K151" s="105" t="s">
        <v>591</v>
      </c>
    </row>
    <row r="152" spans="1:11">
      <c r="B152" s="97"/>
      <c r="C152" s="105">
        <v>20</v>
      </c>
      <c r="F152" s="101" t="s">
        <v>539</v>
      </c>
      <c r="G152" s="113">
        <f>SUM(G147:G151)</f>
        <v>2559802</v>
      </c>
      <c r="I152" s="110"/>
      <c r="J152" s="113">
        <f>SUM(J147:J151)</f>
        <v>2559802</v>
      </c>
    </row>
    <row r="153" spans="1:11">
      <c r="C153" s="106">
        <v>21</v>
      </c>
      <c r="F153" s="101" t="s">
        <v>1608</v>
      </c>
      <c r="G153" s="113">
        <f>G143+G152</f>
        <v>9971602</v>
      </c>
      <c r="J153" s="113">
        <f>J143+J152</f>
        <v>9971602</v>
      </c>
    </row>
    <row r="154" spans="1:11">
      <c r="G154" s="114"/>
      <c r="J154" s="114"/>
    </row>
    <row r="155" spans="1:11">
      <c r="C155" s="99" t="str">
        <f>COMPANY</f>
        <v>DUKE ENERGY KENTUCKY, INC.</v>
      </c>
      <c r="D155" s="100"/>
      <c r="E155" s="100"/>
      <c r="F155" s="99"/>
      <c r="G155" s="100"/>
      <c r="H155" s="100"/>
      <c r="I155" s="100"/>
      <c r="J155" s="100"/>
      <c r="K155" s="100"/>
    </row>
    <row r="156" spans="1:11">
      <c r="C156" s="99" t="str">
        <f>CASE</f>
        <v>CASE NO. 2018-00261</v>
      </c>
      <c r="D156" s="100"/>
      <c r="E156" s="100"/>
      <c r="F156" s="99"/>
      <c r="G156" s="100"/>
      <c r="H156" s="100"/>
      <c r="I156" s="100"/>
      <c r="J156" s="100"/>
      <c r="K156" s="100"/>
    </row>
    <row r="157" spans="1:11">
      <c r="C157" s="99" t="s">
        <v>2043</v>
      </c>
      <c r="D157" s="100"/>
      <c r="E157" s="99"/>
      <c r="F157" s="100"/>
      <c r="G157" s="100"/>
      <c r="H157" s="100"/>
      <c r="I157" s="100"/>
      <c r="J157" s="100"/>
      <c r="K157" s="100"/>
    </row>
    <row r="158" spans="1:11">
      <c r="C158" s="99" t="str">
        <f>PERIOD</f>
        <v>FOR THE TWELVE MONTHS ENDED NOVEMBER 30, 2018</v>
      </c>
      <c r="D158" s="100"/>
      <c r="E158" s="100"/>
      <c r="F158" s="99"/>
      <c r="G158" s="100"/>
      <c r="H158" s="100"/>
      <c r="I158" s="100"/>
      <c r="J158" s="100"/>
      <c r="K158" s="100"/>
    </row>
    <row r="159" spans="1:11">
      <c r="C159" s="100"/>
      <c r="D159" s="100"/>
      <c r="E159" s="100"/>
      <c r="F159" s="100"/>
      <c r="G159" s="100"/>
      <c r="H159" s="100"/>
      <c r="I159" s="100"/>
    </row>
    <row r="160" spans="1:11">
      <c r="J160" s="101" t="str">
        <f>"                    "&amp;"SCHEDULE C-2.1"</f>
        <v xml:space="preserve">                    SCHEDULE C-2.1</v>
      </c>
    </row>
    <row r="161" spans="2:11">
      <c r="C161" s="102" t="str">
        <f>Data</f>
        <v>DATA: "X" BASE PERIOD   FORECASTED PERIOD</v>
      </c>
      <c r="J161" s="101" t="str">
        <f>"                    "&amp;"PAGE  5  OF  16"</f>
        <v xml:space="preserve">                    PAGE  5  OF  16</v>
      </c>
    </row>
    <row r="162" spans="2:11">
      <c r="C162" s="102" t="str">
        <f>Type</f>
        <v xml:space="preserve">TYPE OF FILING:  "X" ORIGINAL   UPDATED    REVISED  </v>
      </c>
      <c r="J162" s="101" t="str">
        <f>"                    "&amp;"WITNESS RESPONSIBLE:"</f>
        <v xml:space="preserve">                    WITNESS RESPONSIBLE:</v>
      </c>
    </row>
    <row r="163" spans="2:11">
      <c r="C163" s="101" t="str">
        <f>C9</f>
        <v xml:space="preserve">WORK PAPER REFERENCE NO(S).: </v>
      </c>
      <c r="J163" s="101" t="str">
        <f>"                    "&amp;_WIT1</f>
        <v xml:space="preserve">                    S. E. LAWLER</v>
      </c>
    </row>
    <row r="164" spans="2:11">
      <c r="C164" s="103"/>
      <c r="D164" s="104"/>
      <c r="E164" s="104"/>
      <c r="F164" s="104"/>
      <c r="G164" s="104"/>
      <c r="H164" s="104"/>
      <c r="I164" s="104"/>
      <c r="J164" s="104"/>
      <c r="K164" s="104"/>
    </row>
    <row r="165" spans="2:11">
      <c r="G165" s="105" t="s">
        <v>1927</v>
      </c>
      <c r="H165" s="106" t="s">
        <v>2094</v>
      </c>
      <c r="K165" s="105" t="s">
        <v>686</v>
      </c>
    </row>
    <row r="166" spans="2:11">
      <c r="C166" s="105" t="s">
        <v>567</v>
      </c>
      <c r="D166" s="105" t="s">
        <v>2160</v>
      </c>
      <c r="G166" s="105" t="s">
        <v>884</v>
      </c>
      <c r="H166" s="105" t="s">
        <v>2096</v>
      </c>
      <c r="J166" s="105" t="s">
        <v>1927</v>
      </c>
      <c r="K166" s="105" t="s">
        <v>1928</v>
      </c>
    </row>
    <row r="167" spans="2:11">
      <c r="C167" s="105" t="s">
        <v>2169</v>
      </c>
      <c r="D167" s="105" t="s">
        <v>766</v>
      </c>
      <c r="F167" s="99" t="s">
        <v>1929</v>
      </c>
      <c r="G167" s="106" t="s">
        <v>637</v>
      </c>
      <c r="H167" s="105" t="s">
        <v>2097</v>
      </c>
      <c r="J167" s="105" t="s">
        <v>1930</v>
      </c>
      <c r="K167" s="105" t="s">
        <v>741</v>
      </c>
    </row>
    <row r="168" spans="2:11">
      <c r="C168" s="107"/>
      <c r="D168" s="107"/>
      <c r="E168" s="107"/>
      <c r="F168" s="107"/>
      <c r="G168" s="108" t="s">
        <v>2099</v>
      </c>
      <c r="H168" s="108" t="s">
        <v>678</v>
      </c>
      <c r="I168" s="107"/>
      <c r="J168" s="108" t="s">
        <v>679</v>
      </c>
      <c r="K168" s="108" t="s">
        <v>680</v>
      </c>
    </row>
    <row r="170" spans="2:11" ht="15.6">
      <c r="C170" s="105">
        <v>1</v>
      </c>
      <c r="F170" s="1283" t="s">
        <v>1275</v>
      </c>
    </row>
    <row r="171" spans="2:11">
      <c r="C171" s="106">
        <v>2</v>
      </c>
    </row>
    <row r="172" spans="2:11" ht="15.6">
      <c r="C172" s="105">
        <v>3</v>
      </c>
      <c r="F172" s="1283" t="s">
        <v>530</v>
      </c>
    </row>
    <row r="173" spans="2:11">
      <c r="B173" s="96">
        <v>901</v>
      </c>
      <c r="C173" s="105">
        <v>4</v>
      </c>
      <c r="D173" s="116">
        <v>901</v>
      </c>
      <c r="F173" s="101" t="s">
        <v>1609</v>
      </c>
      <c r="G173" s="126">
        <f t="array" ref="G173">SUM(IF(FERCBP=B173,AmountBP))</f>
        <v>367778</v>
      </c>
      <c r="H173" s="111">
        <f t="shared" ref="H173:H178" si="19">VLOOKUP(K173,ALLOCTABLE,2)</f>
        <v>100</v>
      </c>
      <c r="J173" s="110">
        <f t="shared" ref="J173:J178" si="20">ROUND(G173*(H173/100),0)</f>
        <v>367778</v>
      </c>
      <c r="K173" s="105" t="s">
        <v>591</v>
      </c>
    </row>
    <row r="174" spans="2:11">
      <c r="B174" s="96">
        <v>902</v>
      </c>
      <c r="C174" s="106">
        <v>5</v>
      </c>
      <c r="D174" s="116">
        <v>902</v>
      </c>
      <c r="F174" s="101" t="s">
        <v>1610</v>
      </c>
      <c r="G174" s="126">
        <f t="array" ref="G174">SUM(IF(FERCBP=B174,AmountBP))</f>
        <v>206301</v>
      </c>
      <c r="H174" s="111">
        <f t="shared" si="19"/>
        <v>100</v>
      </c>
      <c r="J174" s="110">
        <f t="shared" si="20"/>
        <v>206301</v>
      </c>
      <c r="K174" s="105" t="s">
        <v>591</v>
      </c>
    </row>
    <row r="175" spans="2:11">
      <c r="B175" s="96">
        <v>903</v>
      </c>
      <c r="C175" s="105">
        <v>6</v>
      </c>
      <c r="D175" s="116">
        <v>903</v>
      </c>
      <c r="F175" s="101" t="s">
        <v>1611</v>
      </c>
      <c r="G175" s="126">
        <f t="array" ref="G175">SUM(IF(FERCBP=B175,AmountBP))</f>
        <v>2803936</v>
      </c>
      <c r="H175" s="111">
        <f t="shared" si="19"/>
        <v>100</v>
      </c>
      <c r="J175" s="110">
        <f t="shared" si="20"/>
        <v>2803936</v>
      </c>
      <c r="K175" s="105" t="s">
        <v>591</v>
      </c>
    </row>
    <row r="176" spans="2:11">
      <c r="B176" s="96">
        <v>904</v>
      </c>
      <c r="C176" s="105">
        <v>7</v>
      </c>
      <c r="D176" s="116">
        <v>904</v>
      </c>
      <c r="F176" s="101" t="s">
        <v>1612</v>
      </c>
      <c r="G176" s="126">
        <f t="array" ref="G176">SUM(IF(FERCBP=B176,AmountBP))</f>
        <v>289362</v>
      </c>
      <c r="H176" s="111">
        <f t="shared" ref="H176" si="21">VLOOKUP(K176,ALLOCTABLE,2)</f>
        <v>100</v>
      </c>
      <c r="J176" s="110">
        <f t="shared" ref="J176" si="22">ROUND(G176*(H176/100),0)</f>
        <v>289362</v>
      </c>
      <c r="K176" s="105" t="s">
        <v>591</v>
      </c>
    </row>
    <row r="177" spans="2:11">
      <c r="B177" s="96">
        <v>426</v>
      </c>
      <c r="C177" s="105">
        <v>8</v>
      </c>
      <c r="D177" s="116">
        <v>426</v>
      </c>
      <c r="F177" s="1181" t="s">
        <v>2501</v>
      </c>
      <c r="G177" s="126">
        <f t="array" ref="G177">SUM(IF(FERCBP=B177,AmountBP))</f>
        <v>111507</v>
      </c>
      <c r="H177" s="111">
        <f t="shared" si="19"/>
        <v>100</v>
      </c>
      <c r="J177" s="110">
        <f t="shared" si="20"/>
        <v>111507</v>
      </c>
      <c r="K177" s="105" t="s">
        <v>591</v>
      </c>
    </row>
    <row r="178" spans="2:11">
      <c r="B178" s="96">
        <v>905000</v>
      </c>
      <c r="C178" s="106">
        <v>9</v>
      </c>
      <c r="D178" s="116">
        <v>905000</v>
      </c>
      <c r="F178" s="1181" t="s">
        <v>3035</v>
      </c>
      <c r="G178" s="110">
        <f>ROUND(VLOOKUP(B178,BasePeriod,5,FALSE),0)</f>
        <v>152</v>
      </c>
      <c r="H178" s="111">
        <f t="shared" si="19"/>
        <v>100</v>
      </c>
      <c r="J178" s="110">
        <f t="shared" si="20"/>
        <v>152</v>
      </c>
      <c r="K178" s="105" t="s">
        <v>591</v>
      </c>
    </row>
    <row r="179" spans="2:11">
      <c r="C179" s="105">
        <v>10</v>
      </c>
      <c r="D179" s="120"/>
      <c r="F179" s="101" t="s">
        <v>1613</v>
      </c>
      <c r="G179" s="113">
        <f>SUM(G173:G178)</f>
        <v>3779036</v>
      </c>
      <c r="J179" s="113">
        <f>SUM(J173:J178)</f>
        <v>3779036</v>
      </c>
    </row>
    <row r="180" spans="2:11">
      <c r="C180" s="105">
        <v>11</v>
      </c>
      <c r="D180" s="120"/>
      <c r="G180" s="114"/>
      <c r="J180" s="114"/>
    </row>
    <row r="181" spans="2:11" ht="15.6">
      <c r="C181" s="106">
        <v>12</v>
      </c>
      <c r="D181" s="120"/>
      <c r="F181" s="1283" t="s">
        <v>1614</v>
      </c>
    </row>
    <row r="182" spans="2:11">
      <c r="C182" s="105">
        <v>13</v>
      </c>
      <c r="D182" s="120"/>
    </row>
    <row r="183" spans="2:11" ht="15.6">
      <c r="C183" s="105">
        <v>14</v>
      </c>
      <c r="D183" s="120"/>
      <c r="F183" s="1283" t="s">
        <v>530</v>
      </c>
    </row>
    <row r="184" spans="2:11">
      <c r="B184" s="122">
        <v>908</v>
      </c>
      <c r="C184" s="105">
        <v>15</v>
      </c>
      <c r="D184" s="123">
        <v>908</v>
      </c>
      <c r="F184" s="1181" t="s">
        <v>2438</v>
      </c>
      <c r="G184" s="126">
        <f t="array" ref="G184">SUM(IF(FERCBP=B184,AmountBP))</f>
        <v>132042</v>
      </c>
      <c r="H184" s="127" t="s">
        <v>1616</v>
      </c>
      <c r="J184" s="110">
        <f>SCH_F3!L18</f>
        <v>132042</v>
      </c>
      <c r="K184" s="105" t="s">
        <v>591</v>
      </c>
    </row>
    <row r="185" spans="2:11">
      <c r="B185" s="122">
        <v>909650</v>
      </c>
      <c r="C185" s="106">
        <v>16</v>
      </c>
      <c r="D185" s="123">
        <v>909650</v>
      </c>
      <c r="F185" s="1181" t="s">
        <v>2439</v>
      </c>
      <c r="G185" s="110">
        <f>ROUND(VLOOKUP(B185,BasePeriod,5,FALSE),0)</f>
        <v>575</v>
      </c>
      <c r="H185" s="127" t="s">
        <v>1616</v>
      </c>
      <c r="J185" s="110">
        <f>SCH_F3!L19</f>
        <v>575</v>
      </c>
      <c r="K185" s="105" t="s">
        <v>591</v>
      </c>
    </row>
    <row r="186" spans="2:11">
      <c r="B186" s="122">
        <v>910</v>
      </c>
      <c r="C186" s="105">
        <v>17</v>
      </c>
      <c r="D186" s="123">
        <v>910</v>
      </c>
      <c r="F186" s="101" t="s">
        <v>450</v>
      </c>
      <c r="G186" s="126">
        <f t="array" ref="G186">SUM(IF(FERCBP=B186,AmountBP))</f>
        <v>302182</v>
      </c>
      <c r="H186" s="127" t="s">
        <v>1616</v>
      </c>
      <c r="J186" s="110">
        <f>SCH_F3!L20</f>
        <v>302182</v>
      </c>
      <c r="K186" s="105" t="s">
        <v>591</v>
      </c>
    </row>
    <row r="187" spans="2:11">
      <c r="B187" s="96"/>
      <c r="C187" s="105">
        <v>18</v>
      </c>
      <c r="D187" s="106"/>
      <c r="F187" s="101" t="s">
        <v>1617</v>
      </c>
      <c r="G187" s="113">
        <f>SUM(G184:G186)</f>
        <v>434799</v>
      </c>
      <c r="J187" s="113">
        <f>SUM(J184:J186)</f>
        <v>434799</v>
      </c>
    </row>
    <row r="188" spans="2:11">
      <c r="B188" s="96"/>
      <c r="C188" s="106">
        <v>19</v>
      </c>
      <c r="F188" s="101" t="s">
        <v>1618</v>
      </c>
      <c r="G188" s="114"/>
      <c r="J188" s="114"/>
    </row>
    <row r="189" spans="2:11">
      <c r="B189" s="96"/>
      <c r="C189" s="105">
        <v>20</v>
      </c>
    </row>
    <row r="190" spans="2:11" ht="15.6">
      <c r="B190" s="96"/>
      <c r="C190" s="105">
        <v>21</v>
      </c>
      <c r="F190" s="1283" t="s">
        <v>1278</v>
      </c>
    </row>
    <row r="191" spans="2:11">
      <c r="B191" s="96"/>
      <c r="C191" s="105">
        <v>22</v>
      </c>
    </row>
    <row r="192" spans="2:11" ht="15.6">
      <c r="B192" s="96"/>
      <c r="C192" s="106">
        <v>23</v>
      </c>
      <c r="F192" s="1283" t="s">
        <v>530</v>
      </c>
    </row>
    <row r="193" spans="2:11">
      <c r="B193" s="96">
        <v>911000</v>
      </c>
      <c r="C193" s="105">
        <v>24</v>
      </c>
      <c r="D193" s="105">
        <v>911000</v>
      </c>
      <c r="F193" s="101" t="s">
        <v>1619</v>
      </c>
      <c r="G193" s="110">
        <f>ROUND(VLOOKUP(B193,BasePeriod,5,FALSE),0)</f>
        <v>10459</v>
      </c>
      <c r="H193" s="127" t="s">
        <v>1616</v>
      </c>
      <c r="J193" s="110">
        <f>SCH_F3!L24</f>
        <v>10459</v>
      </c>
      <c r="K193" s="105" t="s">
        <v>591</v>
      </c>
    </row>
    <row r="194" spans="2:11">
      <c r="B194" s="96">
        <v>912000</v>
      </c>
      <c r="C194" s="105">
        <v>25</v>
      </c>
      <c r="D194" s="105">
        <v>912000</v>
      </c>
      <c r="F194" s="1181" t="s">
        <v>2434</v>
      </c>
      <c r="G194" s="110">
        <f>ROUND(VLOOKUP(B194,BasePeriod,5,FALSE),0)</f>
        <v>152353</v>
      </c>
      <c r="H194" s="127" t="s">
        <v>1616</v>
      </c>
      <c r="J194" s="110">
        <f>SCH_F3!L25</f>
        <v>152353</v>
      </c>
      <c r="K194" s="105" t="s">
        <v>591</v>
      </c>
    </row>
    <row r="195" spans="2:11">
      <c r="B195" s="96">
        <v>913001</v>
      </c>
      <c r="C195" s="106">
        <v>26</v>
      </c>
      <c r="D195" s="105">
        <v>913001</v>
      </c>
      <c r="F195" s="1181" t="s">
        <v>2435</v>
      </c>
      <c r="G195" s="110">
        <f>ROUND(VLOOKUP(B195,BasePeriod,5,FALSE),0)</f>
        <v>5418</v>
      </c>
      <c r="H195" s="127" t="s">
        <v>1616</v>
      </c>
      <c r="J195" s="110">
        <f>SCH_F3!L26</f>
        <v>5418</v>
      </c>
      <c r="K195" s="105" t="s">
        <v>591</v>
      </c>
    </row>
    <row r="196" spans="2:11">
      <c r="B196" s="96"/>
      <c r="C196" s="105">
        <v>27</v>
      </c>
      <c r="F196" s="101" t="s">
        <v>1620</v>
      </c>
      <c r="G196" s="113">
        <f>SUM(G193:G195)</f>
        <v>168230</v>
      </c>
      <c r="J196" s="113">
        <f>SUM(J193:J195)</f>
        <v>168230</v>
      </c>
    </row>
    <row r="197" spans="2:11">
      <c r="B197" s="96"/>
    </row>
    <row r="198" spans="2:11">
      <c r="C198" s="99" t="str">
        <f>COMPANY</f>
        <v>DUKE ENERGY KENTUCKY, INC.</v>
      </c>
      <c r="D198" s="100"/>
      <c r="E198" s="100"/>
      <c r="F198" s="99"/>
      <c r="G198" s="100"/>
      <c r="H198" s="100"/>
      <c r="I198" s="100"/>
      <c r="J198" s="100"/>
      <c r="K198" s="100"/>
    </row>
    <row r="199" spans="2:11">
      <c r="C199" s="99" t="str">
        <f>CASE</f>
        <v>CASE NO. 2018-00261</v>
      </c>
      <c r="D199" s="100"/>
      <c r="E199" s="100"/>
      <c r="F199" s="99"/>
      <c r="G199" s="100"/>
      <c r="H199" s="100"/>
      <c r="I199" s="100"/>
      <c r="J199" s="100"/>
      <c r="K199" s="100"/>
    </row>
    <row r="200" spans="2:11">
      <c r="C200" s="99" t="s">
        <v>2043</v>
      </c>
      <c r="D200" s="100"/>
      <c r="E200" s="99"/>
      <c r="F200" s="100"/>
      <c r="G200" s="100"/>
      <c r="H200" s="100"/>
      <c r="I200" s="100"/>
      <c r="J200" s="100"/>
      <c r="K200" s="100"/>
    </row>
    <row r="201" spans="2:11">
      <c r="C201" s="99" t="str">
        <f>PERIOD</f>
        <v>FOR THE TWELVE MONTHS ENDED NOVEMBER 30, 2018</v>
      </c>
      <c r="D201" s="100"/>
      <c r="E201" s="100"/>
      <c r="F201" s="99"/>
      <c r="G201" s="100"/>
      <c r="H201" s="100"/>
      <c r="I201" s="100"/>
      <c r="J201" s="100"/>
      <c r="K201" s="100"/>
    </row>
    <row r="202" spans="2:11">
      <c r="C202" s="100"/>
      <c r="D202" s="100"/>
      <c r="E202" s="100"/>
      <c r="F202" s="100"/>
      <c r="G202" s="100"/>
      <c r="H202" s="100"/>
      <c r="I202" s="100"/>
    </row>
    <row r="203" spans="2:11">
      <c r="J203" s="101" t="str">
        <f>"                    "&amp;"SCHEDULE C-2.1"</f>
        <v xml:space="preserve">                    SCHEDULE C-2.1</v>
      </c>
    </row>
    <row r="204" spans="2:11">
      <c r="C204" s="102" t="str">
        <f>Data</f>
        <v>DATA: "X" BASE PERIOD   FORECASTED PERIOD</v>
      </c>
      <c r="J204" s="101" t="str">
        <f>"                    "&amp;"PAGE  6  OF  16"</f>
        <v xml:space="preserve">                    PAGE  6  OF  16</v>
      </c>
    </row>
    <row r="205" spans="2:11">
      <c r="C205" s="102" t="str">
        <f>Type</f>
        <v xml:space="preserve">TYPE OF FILING:  "X" ORIGINAL   UPDATED    REVISED  </v>
      </c>
      <c r="J205" s="101" t="str">
        <f>"                    "&amp;"WITNESS RESPONSIBLE:"</f>
        <v xml:space="preserve">                    WITNESS RESPONSIBLE:</v>
      </c>
    </row>
    <row r="206" spans="2:11">
      <c r="C206" s="101" t="str">
        <f>C9</f>
        <v xml:space="preserve">WORK PAPER REFERENCE NO(S).: </v>
      </c>
      <c r="J206" s="101" t="str">
        <f>"                    "&amp;_WIT1</f>
        <v xml:space="preserve">                    S. E. LAWLER</v>
      </c>
    </row>
    <row r="207" spans="2:11">
      <c r="C207" s="103"/>
      <c r="D207" s="104"/>
      <c r="E207" s="104"/>
      <c r="F207" s="104"/>
      <c r="G207" s="104"/>
      <c r="H207" s="104"/>
      <c r="I207" s="104"/>
      <c r="J207" s="104"/>
      <c r="K207" s="104"/>
    </row>
    <row r="208" spans="2:11">
      <c r="G208" s="105" t="s">
        <v>1927</v>
      </c>
      <c r="H208" s="106" t="s">
        <v>2094</v>
      </c>
      <c r="K208" s="105" t="s">
        <v>686</v>
      </c>
    </row>
    <row r="209" spans="1:11">
      <c r="C209" s="105" t="s">
        <v>567</v>
      </c>
      <c r="D209" s="105" t="s">
        <v>2160</v>
      </c>
      <c r="G209" s="105" t="s">
        <v>884</v>
      </c>
      <c r="H209" s="105" t="s">
        <v>2096</v>
      </c>
      <c r="J209" s="105" t="s">
        <v>1927</v>
      </c>
      <c r="K209" s="105" t="s">
        <v>1928</v>
      </c>
    </row>
    <row r="210" spans="1:11">
      <c r="C210" s="105" t="s">
        <v>2169</v>
      </c>
      <c r="D210" s="105" t="s">
        <v>766</v>
      </c>
      <c r="F210" s="99" t="s">
        <v>1929</v>
      </c>
      <c r="G210" s="106" t="s">
        <v>637</v>
      </c>
      <c r="H210" s="105" t="s">
        <v>2097</v>
      </c>
      <c r="J210" s="105" t="s">
        <v>1930</v>
      </c>
      <c r="K210" s="105" t="s">
        <v>741</v>
      </c>
    </row>
    <row r="211" spans="1:11">
      <c r="C211" s="107"/>
      <c r="D211" s="107"/>
      <c r="E211" s="107"/>
      <c r="F211" s="107"/>
      <c r="G211" s="108" t="s">
        <v>2099</v>
      </c>
      <c r="H211" s="108" t="s">
        <v>678</v>
      </c>
      <c r="I211" s="107"/>
      <c r="J211" s="108" t="s">
        <v>679</v>
      </c>
      <c r="K211" s="108" t="s">
        <v>680</v>
      </c>
    </row>
    <row r="213" spans="1:11" ht="15.6">
      <c r="C213" s="105">
        <v>1</v>
      </c>
      <c r="F213" s="1283" t="s">
        <v>1281</v>
      </c>
    </row>
    <row r="214" spans="1:11">
      <c r="C214" s="106">
        <v>2</v>
      </c>
    </row>
    <row r="215" spans="1:11" ht="15.6">
      <c r="C215" s="106">
        <v>3</v>
      </c>
      <c r="F215" s="1283" t="s">
        <v>530</v>
      </c>
    </row>
    <row r="216" spans="1:11">
      <c r="B216" s="96">
        <v>920000</v>
      </c>
      <c r="C216" s="105">
        <v>4</v>
      </c>
      <c r="D216" s="105">
        <v>920000</v>
      </c>
      <c r="F216" s="101" t="s">
        <v>1621</v>
      </c>
      <c r="G216" s="110">
        <f>ROUND(VLOOKUP(B216,BasePeriod,5,FALSE),0)</f>
        <v>2105665</v>
      </c>
      <c r="H216" s="111">
        <f t="shared" ref="H216:H233" si="23">VLOOKUP(K216,ALLOCTABLE,2)</f>
        <v>100</v>
      </c>
      <c r="J216" s="110">
        <f t="shared" ref="J216:J224" si="24">ROUND(G216*(H216/100),0)</f>
        <v>2105665</v>
      </c>
      <c r="K216" s="105" t="s">
        <v>591</v>
      </c>
    </row>
    <row r="217" spans="1:11">
      <c r="B217" s="96">
        <v>921</v>
      </c>
      <c r="C217" s="106">
        <v>5</v>
      </c>
      <c r="D217" s="105">
        <v>921</v>
      </c>
      <c r="F217" s="1181" t="s">
        <v>1622</v>
      </c>
      <c r="G217" s="126">
        <f t="array" ref="G217">SUM(IF(FERCBP=B217,AmountBP))</f>
        <v>1082826</v>
      </c>
      <c r="H217" s="111">
        <f t="shared" si="23"/>
        <v>100</v>
      </c>
      <c r="J217" s="110">
        <f t="shared" si="24"/>
        <v>1082826</v>
      </c>
      <c r="K217" s="105" t="s">
        <v>591</v>
      </c>
    </row>
    <row r="218" spans="1:11">
      <c r="B218" s="96">
        <v>922000</v>
      </c>
      <c r="C218" s="106">
        <v>6</v>
      </c>
      <c r="D218" s="105">
        <v>922000</v>
      </c>
      <c r="F218" s="1181" t="s">
        <v>2194</v>
      </c>
      <c r="G218" s="110">
        <f>ROUND(VLOOKUP(B218,BasePeriod,5,FALSE),0)</f>
        <v>287</v>
      </c>
      <c r="H218" s="111">
        <f>VLOOKUP(K218,ALLOCTABLE,2)</f>
        <v>100</v>
      </c>
      <c r="J218" s="110">
        <f t="shared" si="24"/>
        <v>287</v>
      </c>
      <c r="K218" s="105" t="s">
        <v>591</v>
      </c>
    </row>
    <row r="219" spans="1:11">
      <c r="B219" s="96">
        <v>923</v>
      </c>
      <c r="C219" s="105">
        <v>7</v>
      </c>
      <c r="D219" s="105">
        <v>923</v>
      </c>
      <c r="F219" s="101" t="s">
        <v>1623</v>
      </c>
      <c r="G219" s="126">
        <f t="array" ref="G219">SUM(IF(FERCBP=B219,AmountBP))</f>
        <v>921498</v>
      </c>
      <c r="H219" s="111">
        <f t="shared" si="23"/>
        <v>100</v>
      </c>
      <c r="J219" s="110">
        <f t="shared" si="24"/>
        <v>921498</v>
      </c>
      <c r="K219" s="105" t="s">
        <v>591</v>
      </c>
    </row>
    <row r="220" spans="1:11">
      <c r="B220" s="96">
        <v>924</v>
      </c>
      <c r="C220" s="105">
        <v>8</v>
      </c>
      <c r="D220" s="105">
        <v>924</v>
      </c>
      <c r="F220" s="101" t="s">
        <v>1624</v>
      </c>
      <c r="G220" s="126">
        <f t="array" ref="G220">SUM(IF(FERCBP=B220,AmountBP))</f>
        <v>65063</v>
      </c>
      <c r="H220" s="111">
        <f t="shared" si="23"/>
        <v>100</v>
      </c>
      <c r="J220" s="110">
        <f t="shared" si="24"/>
        <v>65063</v>
      </c>
      <c r="K220" s="105" t="s">
        <v>591</v>
      </c>
    </row>
    <row r="221" spans="1:11">
      <c r="B221" s="96">
        <v>925</v>
      </c>
      <c r="C221" s="106">
        <v>9</v>
      </c>
      <c r="D221" s="105">
        <v>925</v>
      </c>
      <c r="F221" s="101" t="s">
        <v>1625</v>
      </c>
      <c r="G221" s="126">
        <f t="array" ref="G221">SUM(IF(FERCBP=B221,AmountBP))</f>
        <v>121890</v>
      </c>
      <c r="H221" s="111">
        <f t="shared" si="23"/>
        <v>100</v>
      </c>
      <c r="J221" s="110">
        <f t="shared" si="24"/>
        <v>121890</v>
      </c>
      <c r="K221" s="105" t="s">
        <v>591</v>
      </c>
    </row>
    <row r="222" spans="1:11">
      <c r="B222" s="98">
        <v>926</v>
      </c>
      <c r="C222" s="106">
        <v>10</v>
      </c>
      <c r="D222" s="109">
        <v>926</v>
      </c>
      <c r="F222" s="101" t="s">
        <v>1626</v>
      </c>
      <c r="G222" s="126">
        <f t="array" ref="G222">SUM(IF(FERCBP=B222,AmountBP))</f>
        <v>2609947</v>
      </c>
      <c r="H222" s="111">
        <f t="shared" si="23"/>
        <v>100</v>
      </c>
      <c r="J222" s="110">
        <f t="shared" si="24"/>
        <v>2609947</v>
      </c>
      <c r="K222" s="105" t="s">
        <v>591</v>
      </c>
    </row>
    <row r="223" spans="1:11">
      <c r="A223" s="96"/>
      <c r="B223" s="96">
        <v>928</v>
      </c>
      <c r="C223" s="106">
        <v>11</v>
      </c>
      <c r="D223" s="105">
        <v>928</v>
      </c>
      <c r="F223" s="101" t="s">
        <v>1627</v>
      </c>
      <c r="G223" s="126">
        <f t="array" ref="G223">SUM(IF(FERCBP=B223,AmountBP))</f>
        <v>194196</v>
      </c>
      <c r="H223" s="111">
        <f t="shared" si="23"/>
        <v>100</v>
      </c>
      <c r="J223" s="110">
        <f t="shared" si="24"/>
        <v>194196</v>
      </c>
      <c r="K223" s="105" t="s">
        <v>591</v>
      </c>
    </row>
    <row r="224" spans="1:11">
      <c r="B224" s="96">
        <v>929</v>
      </c>
      <c r="C224" s="106">
        <v>12</v>
      </c>
      <c r="D224" s="105">
        <v>929</v>
      </c>
      <c r="F224" s="101" t="s">
        <v>1628</v>
      </c>
      <c r="G224" s="126">
        <f t="array" ref="G224">SUM(IF(FERCBP=B224,AmountBP))</f>
        <v>-148071</v>
      </c>
      <c r="H224" s="111">
        <f t="shared" si="23"/>
        <v>100</v>
      </c>
      <c r="J224" s="110">
        <f t="shared" si="24"/>
        <v>-148071</v>
      </c>
      <c r="K224" s="105" t="s">
        <v>591</v>
      </c>
    </row>
    <row r="225" spans="1:11">
      <c r="B225" s="96">
        <v>930150</v>
      </c>
      <c r="C225" s="105">
        <v>13</v>
      </c>
      <c r="D225" s="105">
        <v>930150</v>
      </c>
      <c r="F225" s="101" t="s">
        <v>2502</v>
      </c>
      <c r="G225" s="110">
        <f t="shared" ref="G225:G233" si="25">ROUND(VLOOKUP(B225,BasePeriod,5,FALSE),0)</f>
        <v>34145</v>
      </c>
      <c r="H225" s="111">
        <f t="shared" si="23"/>
        <v>100</v>
      </c>
      <c r="J225" s="110">
        <f t="shared" ref="J225:J233" si="26">ROUND(G225*(H225/100),0)</f>
        <v>34145</v>
      </c>
      <c r="K225" s="105" t="s">
        <v>591</v>
      </c>
    </row>
    <row r="226" spans="1:11">
      <c r="B226" s="96">
        <v>930200</v>
      </c>
      <c r="C226" s="106">
        <v>14</v>
      </c>
      <c r="D226" s="105">
        <v>930200</v>
      </c>
      <c r="F226" s="101" t="s">
        <v>2503</v>
      </c>
      <c r="G226" s="110">
        <f t="shared" si="25"/>
        <v>169088</v>
      </c>
      <c r="H226" s="111">
        <f t="shared" si="23"/>
        <v>100</v>
      </c>
      <c r="J226" s="110">
        <f t="shared" si="26"/>
        <v>169088</v>
      </c>
      <c r="K226" s="105" t="s">
        <v>591</v>
      </c>
    </row>
    <row r="227" spans="1:11">
      <c r="B227" s="96">
        <v>930210</v>
      </c>
      <c r="C227" s="106">
        <v>15</v>
      </c>
      <c r="D227" s="105">
        <v>930210</v>
      </c>
      <c r="F227" s="101" t="s">
        <v>2504</v>
      </c>
      <c r="G227" s="110">
        <f t="shared" si="25"/>
        <v>19329</v>
      </c>
      <c r="H227" s="111">
        <f t="shared" si="23"/>
        <v>100</v>
      </c>
      <c r="J227" s="110">
        <f t="shared" si="26"/>
        <v>19329</v>
      </c>
      <c r="K227" s="105" t="s">
        <v>591</v>
      </c>
    </row>
    <row r="228" spans="1:11">
      <c r="B228" s="96">
        <v>930220</v>
      </c>
      <c r="C228" s="105">
        <v>16</v>
      </c>
      <c r="D228" s="105">
        <v>930220</v>
      </c>
      <c r="F228" s="101" t="s">
        <v>2505</v>
      </c>
      <c r="G228" s="110">
        <f t="shared" si="25"/>
        <v>158</v>
      </c>
      <c r="H228" s="111">
        <f t="shared" si="23"/>
        <v>100</v>
      </c>
      <c r="J228" s="110">
        <f t="shared" si="26"/>
        <v>158</v>
      </c>
      <c r="K228" s="105" t="s">
        <v>591</v>
      </c>
    </row>
    <row r="229" spans="1:11">
      <c r="B229" s="96">
        <v>930230</v>
      </c>
      <c r="C229" s="105">
        <v>17</v>
      </c>
      <c r="D229" s="105">
        <v>930230</v>
      </c>
      <c r="F229" s="101" t="s">
        <v>2506</v>
      </c>
      <c r="G229" s="110">
        <f t="shared" si="25"/>
        <v>23628</v>
      </c>
      <c r="H229" s="111">
        <f t="shared" si="23"/>
        <v>100</v>
      </c>
      <c r="J229" s="110">
        <f t="shared" si="26"/>
        <v>23628</v>
      </c>
      <c r="K229" s="105" t="s">
        <v>591</v>
      </c>
    </row>
    <row r="230" spans="1:11">
      <c r="B230" s="96">
        <v>930240</v>
      </c>
      <c r="C230" s="106">
        <v>18</v>
      </c>
      <c r="D230" s="105">
        <v>930240</v>
      </c>
      <c r="F230" s="101" t="s">
        <v>2507</v>
      </c>
      <c r="G230" s="110">
        <f t="shared" si="25"/>
        <v>13572</v>
      </c>
      <c r="H230" s="111">
        <f t="shared" si="23"/>
        <v>100</v>
      </c>
      <c r="J230" s="110">
        <f t="shared" si="26"/>
        <v>13572</v>
      </c>
      <c r="K230" s="105" t="s">
        <v>591</v>
      </c>
    </row>
    <row r="231" spans="1:11">
      <c r="B231" s="96">
        <v>930250</v>
      </c>
      <c r="C231" s="106">
        <v>19</v>
      </c>
      <c r="D231" s="105">
        <v>930250</v>
      </c>
      <c r="F231" s="101" t="s">
        <v>2508</v>
      </c>
      <c r="G231" s="110">
        <f t="shared" si="25"/>
        <v>1924</v>
      </c>
      <c r="H231" s="111">
        <f t="shared" si="23"/>
        <v>100</v>
      </c>
      <c r="J231" s="110">
        <f t="shared" si="26"/>
        <v>1924</v>
      </c>
      <c r="K231" s="105" t="s">
        <v>591</v>
      </c>
    </row>
    <row r="232" spans="1:11">
      <c r="B232" s="96">
        <v>930700</v>
      </c>
      <c r="C232" s="106">
        <v>20</v>
      </c>
      <c r="D232" s="105">
        <v>930700</v>
      </c>
      <c r="F232" s="101" t="s">
        <v>2509</v>
      </c>
      <c r="G232" s="110">
        <f t="shared" si="25"/>
        <v>367</v>
      </c>
      <c r="H232" s="111">
        <f t="shared" si="23"/>
        <v>100</v>
      </c>
      <c r="J232" s="110">
        <f t="shared" si="26"/>
        <v>367</v>
      </c>
      <c r="K232" s="105" t="s">
        <v>591</v>
      </c>
    </row>
    <row r="233" spans="1:11">
      <c r="B233" s="96">
        <v>930940</v>
      </c>
      <c r="C233" s="106">
        <v>21</v>
      </c>
      <c r="D233" s="105">
        <v>930940</v>
      </c>
      <c r="F233" s="101" t="s">
        <v>2510</v>
      </c>
      <c r="G233" s="110">
        <f t="shared" si="25"/>
        <v>401</v>
      </c>
      <c r="H233" s="111">
        <f t="shared" si="23"/>
        <v>100</v>
      </c>
      <c r="J233" s="110">
        <f t="shared" si="26"/>
        <v>401</v>
      </c>
      <c r="K233" s="105" t="s">
        <v>591</v>
      </c>
    </row>
    <row r="234" spans="1:11">
      <c r="B234" s="96">
        <v>931</v>
      </c>
      <c r="C234" s="105">
        <v>22</v>
      </c>
      <c r="D234" s="112">
        <v>931</v>
      </c>
      <c r="F234" s="101" t="s">
        <v>1629</v>
      </c>
      <c r="G234" s="126">
        <f t="array" ref="G234">SUM(IF(FERCBP=B234,AmountBP))</f>
        <v>331598</v>
      </c>
      <c r="H234" s="111">
        <f>VLOOKUP(K234,ALLOCTABLE,2)</f>
        <v>100</v>
      </c>
      <c r="J234" s="110">
        <f>ROUND(G234*(H234/100),0)</f>
        <v>331598</v>
      </c>
      <c r="K234" s="105" t="s">
        <v>591</v>
      </c>
    </row>
    <row r="235" spans="1:11">
      <c r="B235" s="96"/>
      <c r="C235" s="106">
        <v>23</v>
      </c>
      <c r="F235" s="101" t="s">
        <v>536</v>
      </c>
      <c r="G235" s="113">
        <f>SUM(G216:G234)</f>
        <v>7547511</v>
      </c>
      <c r="J235" s="113">
        <f>SUM(J216:J234)</f>
        <v>7547511</v>
      </c>
    </row>
    <row r="236" spans="1:11">
      <c r="B236" s="96"/>
      <c r="C236" s="106">
        <v>24</v>
      </c>
      <c r="G236" s="114"/>
      <c r="J236" s="114"/>
    </row>
    <row r="237" spans="1:11" ht="15.6">
      <c r="B237" s="96"/>
      <c r="C237" s="105">
        <v>25</v>
      </c>
      <c r="F237" s="1283" t="s">
        <v>537</v>
      </c>
    </row>
    <row r="238" spans="1:11">
      <c r="A238" s="98">
        <v>935100</v>
      </c>
      <c r="B238" s="96">
        <v>932000</v>
      </c>
      <c r="C238" s="105">
        <v>26</v>
      </c>
      <c r="D238" s="105">
        <v>935000</v>
      </c>
      <c r="F238" s="101" t="s">
        <v>1630</v>
      </c>
      <c r="G238" s="115">
        <f>VLOOKUP(A238,BasePeriod,5,FALSE)+VLOOKUP(B238,BasePeriod,5,FALSE)+VLOOKUP(A239,BasePeriod,5,FALSE)+VLOOKUP(A240,BasePeriod,5,FALSE)</f>
        <v>10092</v>
      </c>
      <c r="H238" s="111">
        <f>VLOOKUP(K238,ALLOCTABLE,2)</f>
        <v>100</v>
      </c>
      <c r="J238" s="110">
        <f>ROUND(G238*(H238/100),0)</f>
        <v>10092</v>
      </c>
      <c r="K238" s="105" t="s">
        <v>591</v>
      </c>
    </row>
    <row r="239" spans="1:11">
      <c r="A239" s="98">
        <v>935200</v>
      </c>
      <c r="C239" s="106">
        <v>27</v>
      </c>
      <c r="F239" s="101" t="s">
        <v>1631</v>
      </c>
      <c r="G239" s="113">
        <f>G235+G238</f>
        <v>7557603</v>
      </c>
      <c r="J239" s="113">
        <f>J235+J238</f>
        <v>7557603</v>
      </c>
    </row>
    <row r="240" spans="1:11">
      <c r="A240" s="98">
        <v>935001</v>
      </c>
      <c r="B240" s="96"/>
      <c r="C240" s="106">
        <v>28</v>
      </c>
      <c r="F240" s="101" t="s">
        <v>1632</v>
      </c>
      <c r="G240" s="113">
        <f>G95+G104+G114+G153+G179+G187+G196+G239</f>
        <v>68415073</v>
      </c>
      <c r="J240" s="113">
        <f>J95+J104+J114+J153+J179+J187+J196+J239</f>
        <v>68415073</v>
      </c>
    </row>
    <row r="241" spans="2:11">
      <c r="B241" s="96"/>
      <c r="C241" s="106">
        <v>29</v>
      </c>
      <c r="G241" s="114"/>
      <c r="J241" s="114"/>
    </row>
    <row r="242" spans="2:11" ht="15.6">
      <c r="B242" s="96"/>
      <c r="C242" s="106">
        <v>30</v>
      </c>
      <c r="F242" s="1283" t="s">
        <v>2195</v>
      </c>
      <c r="G242" s="114"/>
      <c r="J242" s="114"/>
    </row>
    <row r="243" spans="2:11" ht="15.6">
      <c r="B243" s="96"/>
      <c r="C243" s="105">
        <v>31</v>
      </c>
      <c r="F243" s="1283" t="s">
        <v>530</v>
      </c>
      <c r="G243" s="114"/>
      <c r="J243" s="114"/>
    </row>
    <row r="244" spans="2:11">
      <c r="B244" s="96">
        <v>407355</v>
      </c>
      <c r="C244" s="106">
        <v>32</v>
      </c>
      <c r="D244" s="105">
        <v>407355</v>
      </c>
      <c r="F244" s="101" t="s">
        <v>2196</v>
      </c>
      <c r="G244" s="113">
        <f>ROUND(VLOOKUP(B244,BasePeriod,5,FALSE),0)</f>
        <v>-801635</v>
      </c>
      <c r="H244" s="111">
        <f>VLOOKUP(K244,ALLOCTABLE,2)</f>
        <v>100</v>
      </c>
      <c r="J244" s="113">
        <f>ROUND(G244*(H244/100),0)</f>
        <v>-801635</v>
      </c>
      <c r="K244" s="105" t="s">
        <v>591</v>
      </c>
    </row>
    <row r="245" spans="2:11">
      <c r="B245" s="96"/>
      <c r="C245" s="106">
        <v>33</v>
      </c>
      <c r="G245" s="114"/>
      <c r="J245" s="114"/>
    </row>
    <row r="246" spans="2:11" ht="15.6">
      <c r="B246" s="96"/>
      <c r="C246" s="105">
        <v>34</v>
      </c>
      <c r="D246" s="105"/>
      <c r="F246" s="1283" t="s">
        <v>1283</v>
      </c>
    </row>
    <row r="247" spans="2:11">
      <c r="B247" s="96">
        <v>403</v>
      </c>
      <c r="C247" s="105">
        <v>35</v>
      </c>
      <c r="D247" s="105">
        <v>403</v>
      </c>
      <c r="F247" s="1203" t="s">
        <v>2436</v>
      </c>
      <c r="G247" s="126">
        <f t="array" ref="G247">SUM(IF(FERCBP=B247,AmountBP))</f>
        <v>12841958</v>
      </c>
      <c r="H247" s="111">
        <f>VLOOKUP(K247,ALLOCTABLE,2)</f>
        <v>100</v>
      </c>
      <c r="J247" s="110">
        <f>ROUND(G247*(H247/100),0)</f>
        <v>12841958</v>
      </c>
      <c r="K247" s="105" t="s">
        <v>591</v>
      </c>
    </row>
    <row r="248" spans="2:11">
      <c r="B248" s="96">
        <v>404</v>
      </c>
      <c r="C248" s="106">
        <v>36</v>
      </c>
      <c r="D248" s="105">
        <v>404</v>
      </c>
      <c r="F248" s="1203" t="s">
        <v>2437</v>
      </c>
      <c r="G248" s="126">
        <f t="array" ref="G248">SUM(IF(FERCBP=B248,AmountBP))</f>
        <v>1553689</v>
      </c>
      <c r="H248" s="111">
        <f>VLOOKUP(K248,ALLOCTABLE,2)</f>
        <v>100</v>
      </c>
      <c r="J248" s="110">
        <f>ROUND(G248*(H248/100),0)</f>
        <v>1553689</v>
      </c>
      <c r="K248" s="105" t="s">
        <v>591</v>
      </c>
    </row>
    <row r="249" spans="2:11">
      <c r="B249" s="96"/>
      <c r="C249" s="106">
        <v>37</v>
      </c>
      <c r="D249" s="105"/>
      <c r="F249" s="101" t="s">
        <v>1633</v>
      </c>
      <c r="G249" s="113">
        <f>SUM(G247:G248)</f>
        <v>14395647</v>
      </c>
      <c r="H249" s="111"/>
      <c r="J249" s="113">
        <f>SUM(J247:J248)</f>
        <v>14395647</v>
      </c>
      <c r="K249" s="105"/>
    </row>
    <row r="250" spans="2:11">
      <c r="B250" s="96"/>
    </row>
    <row r="251" spans="2:11">
      <c r="C251" s="99" t="str">
        <f>COMPANY</f>
        <v>DUKE ENERGY KENTUCKY, INC.</v>
      </c>
      <c r="D251" s="100"/>
      <c r="E251" s="100"/>
      <c r="F251" s="99"/>
      <c r="G251" s="100"/>
      <c r="H251" s="100"/>
      <c r="I251" s="100"/>
      <c r="J251" s="100"/>
      <c r="K251" s="100"/>
    </row>
    <row r="252" spans="2:11">
      <c r="C252" s="99" t="str">
        <f>CASE</f>
        <v>CASE NO. 2018-00261</v>
      </c>
      <c r="D252" s="100"/>
      <c r="E252" s="100"/>
      <c r="F252" s="99"/>
      <c r="G252" s="100"/>
      <c r="H252" s="100"/>
      <c r="I252" s="100"/>
      <c r="J252" s="100"/>
      <c r="K252" s="100"/>
    </row>
    <row r="253" spans="2:11">
      <c r="C253" s="99" t="s">
        <v>2043</v>
      </c>
      <c r="D253" s="100"/>
      <c r="E253" s="99"/>
      <c r="F253" s="100"/>
      <c r="G253" s="100"/>
      <c r="H253" s="100"/>
      <c r="I253" s="100"/>
      <c r="J253" s="100"/>
      <c r="K253" s="100"/>
    </row>
    <row r="254" spans="2:11">
      <c r="C254" s="99" t="str">
        <f>PERIOD</f>
        <v>FOR THE TWELVE MONTHS ENDED NOVEMBER 30, 2018</v>
      </c>
      <c r="D254" s="100"/>
      <c r="E254" s="100"/>
      <c r="F254" s="99"/>
      <c r="G254" s="100"/>
      <c r="H254" s="100"/>
      <c r="I254" s="100"/>
      <c r="J254" s="100"/>
      <c r="K254" s="100"/>
    </row>
    <row r="255" spans="2:11">
      <c r="C255" s="100"/>
      <c r="D255" s="100"/>
      <c r="E255" s="100"/>
      <c r="F255" s="100"/>
      <c r="G255" s="100"/>
      <c r="H255" s="100"/>
      <c r="I255" s="100"/>
    </row>
    <row r="256" spans="2:11">
      <c r="J256" s="101" t="str">
        <f>"                    "&amp;"SCHEDULE C-2.1"</f>
        <v xml:space="preserve">                    SCHEDULE C-2.1</v>
      </c>
    </row>
    <row r="257" spans="1:11">
      <c r="C257" s="102" t="str">
        <f>Data</f>
        <v>DATA: "X" BASE PERIOD   FORECASTED PERIOD</v>
      </c>
      <c r="J257" s="101" t="str">
        <f>"                    "&amp;"PAGE  7  OF  16"</f>
        <v xml:space="preserve">                    PAGE  7  OF  16</v>
      </c>
    </row>
    <row r="258" spans="1:11">
      <c r="C258" s="102" t="str">
        <f>Type</f>
        <v xml:space="preserve">TYPE OF FILING:  "X" ORIGINAL   UPDATED    REVISED  </v>
      </c>
      <c r="J258" s="101" t="str">
        <f>"                    "&amp;"WITNESS RESPONSIBLE:"</f>
        <v xml:space="preserve">                    WITNESS RESPONSIBLE:</v>
      </c>
    </row>
    <row r="259" spans="1:11">
      <c r="C259" s="101" t="str">
        <f>$C$9</f>
        <v xml:space="preserve">WORK PAPER REFERENCE NO(S).: </v>
      </c>
      <c r="J259" s="101" t="str">
        <f>"                    "&amp;_WIT1</f>
        <v xml:space="preserve">                    S. E. LAWLER</v>
      </c>
    </row>
    <row r="260" spans="1:11">
      <c r="C260" s="103"/>
      <c r="D260" s="104"/>
      <c r="E260" s="104"/>
      <c r="F260" s="104"/>
      <c r="G260" s="104"/>
      <c r="H260" s="104"/>
      <c r="I260" s="104"/>
      <c r="J260" s="104"/>
      <c r="K260" s="104"/>
    </row>
    <row r="261" spans="1:11">
      <c r="G261" s="105" t="s">
        <v>1927</v>
      </c>
      <c r="H261" s="106" t="s">
        <v>2094</v>
      </c>
      <c r="K261" s="105" t="s">
        <v>686</v>
      </c>
    </row>
    <row r="262" spans="1:11">
      <c r="C262" s="105" t="s">
        <v>567</v>
      </c>
      <c r="D262" s="105" t="s">
        <v>2160</v>
      </c>
      <c r="G262" s="105" t="s">
        <v>884</v>
      </c>
      <c r="H262" s="105" t="s">
        <v>2096</v>
      </c>
      <c r="J262" s="105" t="s">
        <v>1927</v>
      </c>
      <c r="K262" s="105" t="s">
        <v>1928</v>
      </c>
    </row>
    <row r="263" spans="1:11">
      <c r="C263" s="105" t="s">
        <v>2169</v>
      </c>
      <c r="D263" s="105" t="s">
        <v>766</v>
      </c>
      <c r="F263" s="99" t="s">
        <v>1929</v>
      </c>
      <c r="G263" s="106" t="s">
        <v>637</v>
      </c>
      <c r="H263" s="105" t="s">
        <v>2097</v>
      </c>
      <c r="J263" s="105" t="s">
        <v>1930</v>
      </c>
      <c r="K263" s="105" t="s">
        <v>741</v>
      </c>
    </row>
    <row r="264" spans="1:11">
      <c r="C264" s="107"/>
      <c r="D264" s="107"/>
      <c r="E264" s="107"/>
      <c r="F264" s="107"/>
      <c r="G264" s="108" t="s">
        <v>2099</v>
      </c>
      <c r="H264" s="108" t="s">
        <v>678</v>
      </c>
      <c r="I264" s="107"/>
      <c r="J264" s="108" t="s">
        <v>679</v>
      </c>
      <c r="K264" s="108" t="s">
        <v>680</v>
      </c>
    </row>
    <row r="266" spans="1:11" ht="15.6">
      <c r="C266" s="105">
        <v>1</v>
      </c>
      <c r="F266" s="1283" t="s">
        <v>1634</v>
      </c>
    </row>
    <row r="267" spans="1:11">
      <c r="C267" s="106">
        <v>2</v>
      </c>
    </row>
    <row r="268" spans="1:11" ht="15.6">
      <c r="C268" s="105">
        <v>3</v>
      </c>
      <c r="F268" s="1283" t="s">
        <v>1635</v>
      </c>
    </row>
    <row r="269" spans="1:11">
      <c r="A269" s="98">
        <v>408700</v>
      </c>
      <c r="B269" s="1212">
        <v>408152</v>
      </c>
      <c r="C269" s="1154">
        <v>4</v>
      </c>
      <c r="D269" s="1154">
        <v>408152</v>
      </c>
      <c r="E269" s="1156">
        <f>VLOOKUP(B269,FPERIOD,5,FALSE)</f>
        <v>0</v>
      </c>
      <c r="F269" s="1152" t="s">
        <v>1636</v>
      </c>
      <c r="G269" s="110">
        <f>ROUND(VLOOKUP(B269,BasePeriod,5,FALSE)+VLOOKUP(A269,BasePeriod,5,FALSE),0)</f>
        <v>203569</v>
      </c>
      <c r="H269" s="111">
        <f>VLOOKUP(K269,ALLOCTABLE,2)</f>
        <v>100</v>
      </c>
      <c r="J269" s="110">
        <f>ROUND(G269*(H269/100),0)</f>
        <v>203569</v>
      </c>
      <c r="K269" s="105" t="s">
        <v>591</v>
      </c>
    </row>
    <row r="270" spans="1:11">
      <c r="B270" s="1212">
        <v>408151</v>
      </c>
      <c r="C270" s="105">
        <v>5</v>
      </c>
      <c r="D270" s="1154">
        <v>408151</v>
      </c>
      <c r="E270" s="1151"/>
      <c r="F270" s="1152" t="s">
        <v>1637</v>
      </c>
      <c r="G270" s="110">
        <f>ROUND(VLOOKUP(B270,BasePeriod,5,FALSE),0)</f>
        <v>2430</v>
      </c>
      <c r="H270" s="111">
        <f>VLOOKUP(K270,ALLOCTABLE,2)</f>
        <v>100</v>
      </c>
      <c r="J270" s="110">
        <f>ROUND(G270*(H270/100),0)</f>
        <v>2430</v>
      </c>
      <c r="K270" s="105" t="s">
        <v>591</v>
      </c>
    </row>
    <row r="271" spans="1:11">
      <c r="B271" s="1212">
        <v>408800</v>
      </c>
      <c r="C271" s="106">
        <v>6</v>
      </c>
      <c r="D271" s="1154">
        <v>408800</v>
      </c>
      <c r="E271" s="1151"/>
      <c r="F271" s="1219" t="s">
        <v>2497</v>
      </c>
      <c r="G271" s="110">
        <f>ROUND(VLOOKUP(B271,BasePeriod,5,FALSE),0)</f>
        <v>1</v>
      </c>
      <c r="H271" s="111">
        <f>VLOOKUP(K271,ALLOCTABLE,2)</f>
        <v>100</v>
      </c>
      <c r="J271" s="110">
        <f>ROUND(G271*(H271/100),0)</f>
        <v>1</v>
      </c>
      <c r="K271" s="105" t="s">
        <v>591</v>
      </c>
    </row>
    <row r="272" spans="1:11">
      <c r="B272" s="1214"/>
      <c r="C272" s="105">
        <v>7</v>
      </c>
      <c r="D272" s="1151"/>
      <c r="E272" s="1151"/>
      <c r="F272" s="1152" t="s">
        <v>1638</v>
      </c>
      <c r="G272" s="113">
        <f>SUM(G269:G271)</f>
        <v>206000</v>
      </c>
      <c r="J272" s="113">
        <f>SUM(J269:J271)</f>
        <v>206000</v>
      </c>
    </row>
    <row r="273" spans="1:11">
      <c r="B273" s="1214"/>
      <c r="C273" s="1154">
        <v>8</v>
      </c>
      <c r="D273" s="1151"/>
      <c r="E273" s="1151"/>
      <c r="F273" s="1151"/>
      <c r="G273" s="114"/>
      <c r="J273" s="114"/>
    </row>
    <row r="274" spans="1:11" ht="15.6">
      <c r="B274" s="1214"/>
      <c r="C274" s="105">
        <v>9</v>
      </c>
      <c r="D274" s="1151"/>
      <c r="E274" s="1151"/>
      <c r="F274" s="1284" t="s">
        <v>1639</v>
      </c>
    </row>
    <row r="275" spans="1:11">
      <c r="B275" s="1214">
        <v>408040</v>
      </c>
      <c r="C275" s="105">
        <v>10</v>
      </c>
      <c r="D275" s="1583">
        <v>408040</v>
      </c>
      <c r="E275" s="1151"/>
      <c r="F275" s="1219" t="s">
        <v>2770</v>
      </c>
      <c r="G275" s="110">
        <f t="shared" ref="G275:G282" si="27">ROUND(VLOOKUP(B275,BasePeriod,5,FALSE),0)</f>
        <v>0</v>
      </c>
      <c r="H275" s="1202">
        <f t="shared" ref="H275" si="28">VLOOKUP(K275,ALLOCTABLE,2)</f>
        <v>100</v>
      </c>
      <c r="I275" s="1151"/>
      <c r="J275" s="1156">
        <f>ROUND(G275*(H275/100),0)</f>
        <v>0</v>
      </c>
      <c r="K275" s="1154" t="s">
        <v>591</v>
      </c>
    </row>
    <row r="276" spans="1:11">
      <c r="B276" s="1212">
        <v>408150</v>
      </c>
      <c r="C276" s="105">
        <v>11</v>
      </c>
      <c r="D276" s="1154">
        <v>408150</v>
      </c>
      <c r="E276" s="1151"/>
      <c r="F276" s="1152" t="s">
        <v>1637</v>
      </c>
      <c r="G276" s="110">
        <f t="shared" si="27"/>
        <v>2450</v>
      </c>
      <c r="H276" s="111">
        <f t="shared" ref="H276:H282" si="29">VLOOKUP(K276,ALLOCTABLE,2)</f>
        <v>100</v>
      </c>
      <c r="J276" s="110">
        <f>ROUND(G276*(H276/100),0)</f>
        <v>2450</v>
      </c>
      <c r="K276" s="105" t="s">
        <v>591</v>
      </c>
    </row>
    <row r="277" spans="1:11">
      <c r="B277" s="1215">
        <v>408121</v>
      </c>
      <c r="C277" s="106">
        <v>12</v>
      </c>
      <c r="D277" s="1163">
        <v>408121</v>
      </c>
      <c r="E277" s="1216"/>
      <c r="F277" s="1217" t="s">
        <v>1640</v>
      </c>
      <c r="G277" s="110">
        <f t="shared" si="27"/>
        <v>2921892</v>
      </c>
      <c r="H277" s="111">
        <f t="shared" si="29"/>
        <v>100</v>
      </c>
      <c r="J277" s="110">
        <f>ROUND(G277*(H277/100),0)</f>
        <v>2921892</v>
      </c>
      <c r="K277" s="105" t="s">
        <v>591</v>
      </c>
    </row>
    <row r="278" spans="1:11">
      <c r="B278" s="1215">
        <v>408550</v>
      </c>
      <c r="C278" s="105">
        <v>13</v>
      </c>
      <c r="D278" s="1163">
        <v>408550</v>
      </c>
      <c r="E278" s="1216"/>
      <c r="F278" s="1218" t="s">
        <v>2197</v>
      </c>
      <c r="G278" s="110">
        <f t="shared" si="27"/>
        <v>0</v>
      </c>
      <c r="H278" s="111">
        <f t="shared" si="29"/>
        <v>100</v>
      </c>
      <c r="J278" s="110">
        <f>ROUND(G278*(H278/100),0)</f>
        <v>0</v>
      </c>
      <c r="K278" s="105" t="s">
        <v>591</v>
      </c>
    </row>
    <row r="279" spans="1:11">
      <c r="B279" s="1215">
        <v>408205</v>
      </c>
      <c r="C279" s="1154">
        <v>14</v>
      </c>
      <c r="D279" s="1969">
        <v>408205</v>
      </c>
      <c r="E279" s="1216"/>
      <c r="F279" s="1218" t="s">
        <v>2498</v>
      </c>
      <c r="G279" s="110">
        <f t="shared" si="27"/>
        <v>240</v>
      </c>
      <c r="H279" s="111">
        <f t="shared" si="29"/>
        <v>100</v>
      </c>
      <c r="J279" s="110">
        <f t="shared" ref="J279:J281" si="30">ROUND(G279*(H279/100),0)</f>
        <v>240</v>
      </c>
      <c r="K279" s="105" t="s">
        <v>591</v>
      </c>
    </row>
    <row r="280" spans="1:11">
      <c r="B280" s="1215">
        <v>408470</v>
      </c>
      <c r="C280" s="105">
        <v>15</v>
      </c>
      <c r="D280" s="1969">
        <v>408470</v>
      </c>
      <c r="E280" s="1216"/>
      <c r="F280" s="1218" t="s">
        <v>2499</v>
      </c>
      <c r="G280" s="110">
        <f t="shared" si="27"/>
        <v>2197</v>
      </c>
      <c r="H280" s="111">
        <f t="shared" si="29"/>
        <v>100</v>
      </c>
      <c r="J280" s="110">
        <f t="shared" si="30"/>
        <v>2197</v>
      </c>
      <c r="K280" s="105" t="s">
        <v>591</v>
      </c>
    </row>
    <row r="281" spans="1:11">
      <c r="B281" s="1215">
        <v>408851</v>
      </c>
      <c r="C281" s="106">
        <v>16</v>
      </c>
      <c r="D281" s="1969">
        <v>408851</v>
      </c>
      <c r="E281" s="1216"/>
      <c r="F281" s="1218" t="s">
        <v>2500</v>
      </c>
      <c r="G281" s="110">
        <f t="shared" si="27"/>
        <v>-239</v>
      </c>
      <c r="H281" s="111">
        <f t="shared" si="29"/>
        <v>100</v>
      </c>
      <c r="J281" s="110">
        <f t="shared" si="30"/>
        <v>-239</v>
      </c>
      <c r="K281" s="105" t="s">
        <v>591</v>
      </c>
    </row>
    <row r="282" spans="1:11">
      <c r="B282" s="1212">
        <v>408960</v>
      </c>
      <c r="C282" s="105">
        <v>17</v>
      </c>
      <c r="D282" s="1154">
        <v>48960</v>
      </c>
      <c r="E282" s="1151"/>
      <c r="F282" s="1219" t="s">
        <v>2198</v>
      </c>
      <c r="G282" s="110">
        <f t="shared" si="27"/>
        <v>473789</v>
      </c>
      <c r="H282" s="111">
        <f t="shared" si="29"/>
        <v>100</v>
      </c>
      <c r="J282" s="110">
        <f>ROUND(G282*(H282/100),0)</f>
        <v>473789</v>
      </c>
      <c r="K282" s="105" t="s">
        <v>591</v>
      </c>
    </row>
    <row r="283" spans="1:11">
      <c r="B283" s="1212"/>
      <c r="C283" s="1154">
        <v>18</v>
      </c>
      <c r="D283" s="1151"/>
      <c r="E283" s="1151"/>
      <c r="F283" s="1152" t="s">
        <v>1641</v>
      </c>
      <c r="G283" s="113">
        <f>SUM(G275:G282)</f>
        <v>3400329</v>
      </c>
      <c r="J283" s="113">
        <f>SUM(J275:J282)</f>
        <v>3400329</v>
      </c>
    </row>
    <row r="284" spans="1:11">
      <c r="A284" s="96"/>
      <c r="B284" s="1212"/>
      <c r="C284" s="105">
        <v>19</v>
      </c>
      <c r="D284" s="1151"/>
      <c r="E284" s="1151"/>
      <c r="F284" s="1151"/>
      <c r="G284" s="114"/>
      <c r="J284" s="114"/>
    </row>
    <row r="285" spans="1:11">
      <c r="B285" s="1212"/>
      <c r="C285" s="105">
        <v>20</v>
      </c>
      <c r="D285" s="1151"/>
      <c r="E285" s="1151"/>
      <c r="F285" s="1152" t="s">
        <v>1642</v>
      </c>
    </row>
    <row r="286" spans="1:11">
      <c r="B286" s="1214"/>
      <c r="C286" s="105">
        <v>21</v>
      </c>
      <c r="D286" s="1151"/>
      <c r="E286" s="1151"/>
      <c r="F286" s="1152" t="s">
        <v>235</v>
      </c>
      <c r="G286" s="115">
        <f>G272+G283</f>
        <v>3606329</v>
      </c>
      <c r="J286" s="115">
        <f>J272+J283</f>
        <v>3606329</v>
      </c>
    </row>
    <row r="288" spans="1:11">
      <c r="C288" s="99" t="str">
        <f>COMPANY</f>
        <v>DUKE ENERGY KENTUCKY, INC.</v>
      </c>
      <c r="D288" s="100"/>
      <c r="E288" s="100"/>
      <c r="F288" s="99"/>
      <c r="G288" s="100"/>
      <c r="H288" s="100"/>
      <c r="I288" s="100"/>
      <c r="J288" s="100"/>
      <c r="K288" s="100"/>
    </row>
    <row r="289" spans="1:11">
      <c r="C289" s="99" t="str">
        <f>CASE</f>
        <v>CASE NO. 2018-00261</v>
      </c>
      <c r="D289" s="100"/>
      <c r="E289" s="100"/>
      <c r="F289" s="99"/>
      <c r="G289" s="100"/>
      <c r="H289" s="100"/>
      <c r="I289" s="100"/>
      <c r="J289" s="100"/>
      <c r="K289" s="100"/>
    </row>
    <row r="290" spans="1:11">
      <c r="C290" s="99" t="s">
        <v>2043</v>
      </c>
      <c r="D290" s="100"/>
      <c r="E290" s="99"/>
      <c r="F290" s="100"/>
      <c r="G290" s="100"/>
      <c r="H290" s="100"/>
      <c r="I290" s="100"/>
      <c r="J290" s="100"/>
      <c r="K290" s="100"/>
    </row>
    <row r="291" spans="1:11">
      <c r="C291" s="99" t="str">
        <f>PERIOD</f>
        <v>FOR THE TWELVE MONTHS ENDED NOVEMBER 30, 2018</v>
      </c>
      <c r="D291" s="100"/>
      <c r="E291" s="100"/>
      <c r="F291" s="99"/>
      <c r="G291" s="100"/>
      <c r="H291" s="100"/>
      <c r="I291" s="100"/>
      <c r="J291" s="100"/>
      <c r="K291" s="100"/>
    </row>
    <row r="292" spans="1:11">
      <c r="C292" s="100"/>
      <c r="D292" s="100"/>
      <c r="E292" s="100"/>
      <c r="F292" s="100"/>
      <c r="G292" s="100"/>
      <c r="H292" s="100"/>
      <c r="I292" s="100"/>
    </row>
    <row r="293" spans="1:11">
      <c r="J293" s="101" t="str">
        <f>"                    "&amp;"SCHEDULE C-2.1"</f>
        <v xml:space="preserve">                    SCHEDULE C-2.1</v>
      </c>
    </row>
    <row r="294" spans="1:11">
      <c r="C294" s="102" t="str">
        <f>Data</f>
        <v>DATA: "X" BASE PERIOD   FORECASTED PERIOD</v>
      </c>
      <c r="J294" s="101" t="str">
        <f>"                    "&amp;"PAGE  8  OF  16"</f>
        <v xml:space="preserve">                    PAGE  8  OF  16</v>
      </c>
    </row>
    <row r="295" spans="1:11">
      <c r="C295" s="102" t="str">
        <f>Type</f>
        <v xml:space="preserve">TYPE OF FILING:  "X" ORIGINAL   UPDATED    REVISED  </v>
      </c>
      <c r="J295" s="101" t="str">
        <f>"                    "&amp;"WITNESS RESPONSIBLE:"</f>
        <v xml:space="preserve">                    WITNESS RESPONSIBLE:</v>
      </c>
    </row>
    <row r="296" spans="1:11">
      <c r="A296" s="96"/>
      <c r="C296" s="101" t="str">
        <f>$C$9</f>
        <v xml:space="preserve">WORK PAPER REFERENCE NO(S).: </v>
      </c>
      <c r="J296" s="101" t="str">
        <f>"                    "&amp;_WIT1</f>
        <v xml:space="preserve">                    S. E. LAWLER</v>
      </c>
    </row>
    <row r="297" spans="1:11">
      <c r="A297" s="96"/>
      <c r="C297" s="103"/>
      <c r="D297" s="104"/>
      <c r="E297" s="104"/>
      <c r="F297" s="104"/>
      <c r="G297" s="104"/>
      <c r="H297" s="104"/>
      <c r="I297" s="104"/>
      <c r="J297" s="104"/>
      <c r="K297" s="104"/>
    </row>
    <row r="298" spans="1:11">
      <c r="A298" s="96"/>
      <c r="G298" s="105" t="s">
        <v>1927</v>
      </c>
      <c r="H298" s="106" t="s">
        <v>2094</v>
      </c>
      <c r="K298" s="105" t="s">
        <v>686</v>
      </c>
    </row>
    <row r="299" spans="1:11">
      <c r="C299" s="105" t="s">
        <v>567</v>
      </c>
      <c r="D299" s="105" t="s">
        <v>2160</v>
      </c>
      <c r="G299" s="105" t="s">
        <v>884</v>
      </c>
      <c r="H299" s="105" t="s">
        <v>2096</v>
      </c>
      <c r="J299" s="105" t="s">
        <v>1927</v>
      </c>
      <c r="K299" s="105" t="s">
        <v>1928</v>
      </c>
    </row>
    <row r="300" spans="1:11">
      <c r="C300" s="105" t="s">
        <v>2169</v>
      </c>
      <c r="D300" s="105" t="s">
        <v>766</v>
      </c>
      <c r="F300" s="99" t="s">
        <v>1929</v>
      </c>
      <c r="G300" s="106" t="s">
        <v>637</v>
      </c>
      <c r="H300" s="105" t="s">
        <v>2097</v>
      </c>
      <c r="J300" s="105" t="s">
        <v>1930</v>
      </c>
      <c r="K300" s="105" t="s">
        <v>741</v>
      </c>
    </row>
    <row r="301" spans="1:11">
      <c r="B301" s="96"/>
      <c r="C301" s="107"/>
      <c r="D301" s="107"/>
      <c r="E301" s="107"/>
      <c r="F301" s="107"/>
      <c r="G301" s="108" t="s">
        <v>2099</v>
      </c>
      <c r="H301" s="108" t="s">
        <v>678</v>
      </c>
      <c r="I301" s="107"/>
      <c r="J301" s="108" t="s">
        <v>679</v>
      </c>
      <c r="K301" s="108" t="s">
        <v>680</v>
      </c>
    </row>
    <row r="302" spans="1:11">
      <c r="B302" s="96"/>
      <c r="C302" s="128"/>
      <c r="D302" s="128"/>
      <c r="E302" s="128"/>
      <c r="F302" s="128"/>
      <c r="G302" s="129"/>
      <c r="H302" s="129"/>
      <c r="I302" s="128"/>
      <c r="J302" s="129"/>
      <c r="K302" s="129"/>
    </row>
    <row r="303" spans="1:11" ht="15.6">
      <c r="B303" s="96"/>
      <c r="C303" s="105">
        <v>1</v>
      </c>
      <c r="F303" s="1283" t="s">
        <v>1172</v>
      </c>
    </row>
    <row r="304" spans="1:11">
      <c r="B304" s="96">
        <v>409160</v>
      </c>
      <c r="C304" s="105">
        <v>2</v>
      </c>
      <c r="D304" s="105">
        <v>409160</v>
      </c>
      <c r="F304" s="101" t="s">
        <v>1465</v>
      </c>
      <c r="G304" s="110">
        <f>VLOOKUP(B304,BasePeriod,5,FALSE)</f>
        <v>89034</v>
      </c>
      <c r="H304" s="127" t="s">
        <v>1466</v>
      </c>
      <c r="J304" s="110">
        <f>SCH_E1!G73</f>
        <v>89034</v>
      </c>
    </row>
    <row r="305" spans="1:11">
      <c r="B305" s="96">
        <v>409104</v>
      </c>
      <c r="C305" s="105">
        <v>3</v>
      </c>
      <c r="D305" s="116">
        <v>409104</v>
      </c>
      <c r="F305" s="101" t="s">
        <v>1467</v>
      </c>
      <c r="G305" s="110">
        <f>VLOOKUP(B305,BasePeriod,5,FALSE)</f>
        <v>258385</v>
      </c>
      <c r="H305" s="111">
        <f>VLOOKUP(K305,ALLOCTABLE,2)</f>
        <v>100</v>
      </c>
      <c r="J305" s="110">
        <f>ROUND(G305*(H305/100),0)</f>
        <v>258385</v>
      </c>
      <c r="K305" s="105" t="s">
        <v>591</v>
      </c>
    </row>
    <row r="306" spans="1:11">
      <c r="C306" s="105">
        <v>4</v>
      </c>
      <c r="F306" s="101" t="s">
        <v>1290</v>
      </c>
      <c r="G306" s="113">
        <f>SUM(G304:G305)</f>
        <v>347419</v>
      </c>
      <c r="J306" s="113">
        <f>SUM(J304:J305)</f>
        <v>347419</v>
      </c>
    </row>
    <row r="307" spans="1:11">
      <c r="C307" s="105">
        <v>5</v>
      </c>
      <c r="G307" s="114"/>
      <c r="J307" s="114"/>
    </row>
    <row r="308" spans="1:11">
      <c r="A308" s="98">
        <v>410112</v>
      </c>
      <c r="B308" s="98">
        <v>411107</v>
      </c>
      <c r="C308" s="105">
        <v>6</v>
      </c>
      <c r="D308" s="1183" t="s">
        <v>1932</v>
      </c>
      <c r="F308" s="826" t="s">
        <v>1034</v>
      </c>
      <c r="G308" s="110">
        <f>VLOOKUP(A308,BasePeriod,5,FALSE)+VLOOKUP(A309,BasePeriod,5,FALSE)+VLOOKUP(B308,BasePeriod,5,FALSE)+VLOOKUP(B309,BasePeriod,5,FALSE)</f>
        <v>-92502</v>
      </c>
      <c r="H308" s="111">
        <f>VLOOKUP(K308,ALLOCTABLE,2)</f>
        <v>100</v>
      </c>
      <c r="J308" s="110">
        <f>ROUND(G308*(H308/100),0)</f>
        <v>-92502</v>
      </c>
      <c r="K308" s="105" t="s">
        <v>591</v>
      </c>
    </row>
    <row r="309" spans="1:11">
      <c r="A309" s="97">
        <v>410160</v>
      </c>
      <c r="B309" s="98">
        <v>411160</v>
      </c>
      <c r="C309" s="105">
        <v>7</v>
      </c>
      <c r="D309" s="105"/>
      <c r="F309" s="826"/>
    </row>
    <row r="310" spans="1:11">
      <c r="A310" s="96"/>
      <c r="C310" s="105">
        <v>8</v>
      </c>
      <c r="F310" s="101" t="s">
        <v>17</v>
      </c>
      <c r="G310" s="113">
        <f>G306+G308</f>
        <v>254917</v>
      </c>
      <c r="J310" s="113">
        <f>J306+J308</f>
        <v>254917</v>
      </c>
      <c r="K310" s="110"/>
    </row>
    <row r="311" spans="1:11">
      <c r="A311" s="96"/>
      <c r="C311" s="105">
        <v>9</v>
      </c>
    </row>
    <row r="312" spans="1:11">
      <c r="C312" s="105">
        <v>10</v>
      </c>
    </row>
    <row r="313" spans="1:11" ht="15.6">
      <c r="B313" s="96"/>
      <c r="C313" s="105">
        <v>11</v>
      </c>
      <c r="F313" s="1283" t="s">
        <v>18</v>
      </c>
    </row>
    <row r="314" spans="1:11">
      <c r="B314" s="96">
        <v>409060</v>
      </c>
      <c r="C314" s="105">
        <v>12</v>
      </c>
      <c r="D314" s="105">
        <v>409060</v>
      </c>
      <c r="F314" s="101" t="s">
        <v>1465</v>
      </c>
      <c r="G314" s="130">
        <f>VLOOKUP(B314,BasePeriod,5,FALSE)</f>
        <v>3692225</v>
      </c>
      <c r="H314" s="105" t="s">
        <v>19</v>
      </c>
      <c r="J314" s="130">
        <f>SCH_E1!G113</f>
        <v>3692225</v>
      </c>
    </row>
    <row r="315" spans="1:11">
      <c r="B315" s="96">
        <v>409193</v>
      </c>
      <c r="C315" s="105">
        <v>13</v>
      </c>
      <c r="D315" s="116">
        <v>409193</v>
      </c>
      <c r="F315" s="101" t="s">
        <v>1688</v>
      </c>
      <c r="G315" s="130">
        <f>VLOOKUP(B315,BasePeriod,5,FALSE)</f>
        <v>0</v>
      </c>
      <c r="H315" s="111">
        <f>VLOOKUP(K315,ALLOCTABLE,2)</f>
        <v>100</v>
      </c>
      <c r="J315" s="110">
        <f>ROUND(G315*(H315/100),0)</f>
        <v>0</v>
      </c>
      <c r="K315" s="105" t="s">
        <v>591</v>
      </c>
    </row>
    <row r="316" spans="1:11">
      <c r="B316" s="96">
        <v>409980</v>
      </c>
      <c r="C316" s="105">
        <v>14</v>
      </c>
      <c r="D316" s="116">
        <v>409980</v>
      </c>
      <c r="F316" s="101" t="s">
        <v>1689</v>
      </c>
      <c r="G316" s="130">
        <f>VLOOKUP(B316,BasePeriod,5,FALSE)</f>
        <v>0</v>
      </c>
      <c r="H316" s="111">
        <f>VLOOKUP(K316,ALLOCTABLE,2)</f>
        <v>100</v>
      </c>
      <c r="J316" s="1156">
        <f>ROUND(G316*(H316/100),0)</f>
        <v>0</v>
      </c>
      <c r="K316" s="1154" t="s">
        <v>591</v>
      </c>
    </row>
    <row r="317" spans="1:11">
      <c r="A317" s="96"/>
      <c r="B317" s="96"/>
      <c r="C317" s="105">
        <v>15</v>
      </c>
      <c r="F317" s="97" t="s">
        <v>1690</v>
      </c>
      <c r="G317" s="113">
        <f>SUM(G314:G316)</f>
        <v>3692225</v>
      </c>
      <c r="J317" s="113">
        <f>SUM(J314:J316)</f>
        <v>3692225</v>
      </c>
    </row>
    <row r="318" spans="1:11">
      <c r="A318" s="98">
        <v>410060</v>
      </c>
      <c r="B318" s="98">
        <v>411060</v>
      </c>
      <c r="C318" s="105">
        <v>16</v>
      </c>
    </row>
    <row r="319" spans="1:11">
      <c r="A319" s="96">
        <v>410109</v>
      </c>
      <c r="B319" s="98">
        <v>411106</v>
      </c>
      <c r="C319" s="105">
        <v>17</v>
      </c>
      <c r="D319" s="1183" t="s">
        <v>1932</v>
      </c>
      <c r="F319" s="826" t="s">
        <v>1173</v>
      </c>
      <c r="G319" s="110">
        <f>VLOOKUP(A318,BasePeriod,5,FALSE)+VLOOKUP(A319,BasePeriod,5,FALSE)+VLOOKUP(B318,BasePeriod,5,FALSE)+VLOOKUP(B319,BasePeriod,5,FALSE)</f>
        <v>-17062</v>
      </c>
      <c r="H319" s="111">
        <f>VLOOKUP(K319,ALLOCTABLE,2)</f>
        <v>100</v>
      </c>
      <c r="J319" s="110">
        <f>ROUND(G319*(H319/100),0)</f>
        <v>-17062</v>
      </c>
      <c r="K319" s="105" t="s">
        <v>591</v>
      </c>
    </row>
    <row r="320" spans="1:11">
      <c r="A320" s="96"/>
      <c r="B320" s="96">
        <v>411065</v>
      </c>
      <c r="C320" s="105">
        <v>18</v>
      </c>
      <c r="D320" s="106">
        <v>411065</v>
      </c>
      <c r="F320" s="826" t="s">
        <v>1174</v>
      </c>
      <c r="G320" s="110">
        <f>VLOOKUP(B320,BasePeriod,5,FALSE)</f>
        <v>-67241</v>
      </c>
      <c r="H320" s="111">
        <f>VLOOKUP(K320,ALLOCTABLE,2)</f>
        <v>100</v>
      </c>
      <c r="J320" s="110">
        <f>ROUND(G320*(H320/100),0)</f>
        <v>-67241</v>
      </c>
      <c r="K320" s="105" t="s">
        <v>591</v>
      </c>
    </row>
    <row r="321" spans="3:11">
      <c r="C321" s="105">
        <v>19</v>
      </c>
      <c r="D321" s="105"/>
      <c r="G321" s="110"/>
    </row>
    <row r="322" spans="3:11">
      <c r="C322" s="105">
        <v>20</v>
      </c>
      <c r="F322" s="101" t="s">
        <v>1691</v>
      </c>
      <c r="G322" s="113">
        <f>G317+G319+G320</f>
        <v>3607922</v>
      </c>
      <c r="H322" s="110"/>
      <c r="J322" s="113">
        <f>J317+J319+J320</f>
        <v>3607922</v>
      </c>
      <c r="K322" s="110"/>
    </row>
    <row r="323" spans="3:11">
      <c r="C323" s="105">
        <v>21</v>
      </c>
      <c r="F323" s="101" t="s">
        <v>1692</v>
      </c>
      <c r="G323" s="113">
        <f>G240+G244+G249+G286+G310+G322</f>
        <v>89478253</v>
      </c>
      <c r="H323" s="110"/>
      <c r="J323" s="113">
        <f>J240+J244+J249+J286+J310+J322</f>
        <v>89478253</v>
      </c>
    </row>
    <row r="324" spans="3:11" ht="15.6" thickBot="1">
      <c r="C324" s="105">
        <v>22</v>
      </c>
      <c r="F324" s="101" t="s">
        <v>1693</v>
      </c>
      <c r="G324" s="119">
        <f>G64-G323</f>
        <v>12958566</v>
      </c>
      <c r="H324" s="110"/>
      <c r="J324" s="119">
        <f>J64-J323</f>
        <v>12958566</v>
      </c>
    </row>
    <row r="325" spans="3:11" ht="15.6" thickTop="1"/>
    <row r="327" spans="3:11">
      <c r="G327" s="118"/>
      <c r="J327" s="114"/>
    </row>
  </sheetData>
  <phoneticPr fontId="4" type="noConversion"/>
  <pageMargins left="1" right="0.75" top="1" bottom="0" header="0" footer="0"/>
  <pageSetup scale="55" orientation="portrait" blackAndWhite="1" r:id="rId1"/>
  <headerFooter alignWithMargins="0"/>
  <rowBreaks count="2" manualBreakCount="2">
    <brk id="134" max="65535" man="1"/>
    <brk id="230" max="65535" man="1"/>
  </rowBreaks>
  <colBreaks count="1" manualBreakCount="1">
    <brk id="2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tabColor theme="6" tint="0.39997558519241921"/>
    <pageSetUpPr fitToPage="1"/>
  </sheetPr>
  <dimension ref="A1:N327"/>
  <sheetViews>
    <sheetView zoomScale="75" workbookViewId="0"/>
  </sheetViews>
  <sheetFormatPr defaultColWidth="8" defaultRowHeight="15"/>
  <cols>
    <col min="1" max="1" width="10.5546875" style="98" customWidth="1"/>
    <col min="2" max="2" width="15.88671875" style="98" customWidth="1"/>
    <col min="3" max="3" width="6.5546875" style="97" customWidth="1"/>
    <col min="4" max="4" width="21.5546875" style="97" customWidth="1"/>
    <col min="5" max="5" width="1" style="97" customWidth="1"/>
    <col min="6" max="6" width="50.33203125" style="97" customWidth="1"/>
    <col min="7" max="7" width="17.88671875" style="97" customWidth="1"/>
    <col min="8" max="8" width="15.5546875" style="97" customWidth="1"/>
    <col min="9" max="9" width="1.109375" style="97" customWidth="1"/>
    <col min="10" max="10" width="20" style="1151" customWidth="1"/>
    <col min="11" max="11" width="21" style="1151" customWidth="1"/>
    <col min="12" max="13" width="8" style="97"/>
    <col min="14" max="14" width="16.33203125" style="97" customWidth="1"/>
    <col min="15" max="16384" width="8" style="97"/>
  </cols>
  <sheetData>
    <row r="1" spans="3:14">
      <c r="C1" s="99" t="str">
        <f>COMPANY</f>
        <v>DUKE ENERGY KENTUCKY, INC.</v>
      </c>
      <c r="D1" s="100"/>
      <c r="E1" s="100"/>
      <c r="F1" s="99"/>
      <c r="G1" s="100"/>
      <c r="H1" s="100"/>
      <c r="I1" s="100"/>
      <c r="J1" s="1150"/>
      <c r="K1" s="1150"/>
      <c r="L1" s="1151"/>
      <c r="M1" s="1151"/>
      <c r="N1" s="1151"/>
    </row>
    <row r="2" spans="3:14">
      <c r="C2" s="99" t="str">
        <f>CASE</f>
        <v>CASE NO. 2018-00261</v>
      </c>
      <c r="D2" s="100"/>
      <c r="E2" s="100"/>
      <c r="F2" s="99"/>
      <c r="G2" s="100"/>
      <c r="H2" s="100"/>
      <c r="I2" s="100"/>
      <c r="J2" s="1150"/>
      <c r="K2" s="1150"/>
      <c r="L2" s="1151"/>
      <c r="M2" s="1151"/>
      <c r="N2" s="1151"/>
    </row>
    <row r="3" spans="3:14">
      <c r="C3" s="99" t="s">
        <v>1652</v>
      </c>
      <c r="D3" s="100"/>
      <c r="E3" s="99"/>
      <c r="F3" s="100"/>
      <c r="G3" s="100"/>
      <c r="H3" s="100"/>
      <c r="I3" s="100"/>
      <c r="J3" s="1150"/>
      <c r="K3" s="1150"/>
      <c r="L3" s="1151"/>
      <c r="M3" s="1151"/>
      <c r="N3" s="1151"/>
    </row>
    <row r="4" spans="3:14">
      <c r="C4" s="99" t="str">
        <f>PeriodF</f>
        <v>FOR THE TWELVE MONTHS ENDED MARCH 31, 2020</v>
      </c>
      <c r="D4" s="100"/>
      <c r="E4" s="100"/>
      <c r="F4" s="99"/>
      <c r="G4" s="100"/>
      <c r="H4" s="100"/>
      <c r="I4" s="100"/>
      <c r="J4" s="1150"/>
      <c r="K4" s="1150"/>
      <c r="L4" s="1151"/>
      <c r="M4" s="1151"/>
      <c r="N4" s="1151"/>
    </row>
    <row r="5" spans="3:14">
      <c r="C5" s="100"/>
      <c r="D5" s="100"/>
      <c r="E5" s="100"/>
      <c r="F5" s="100"/>
      <c r="G5" s="100"/>
      <c r="H5" s="100"/>
      <c r="I5" s="100"/>
      <c r="L5" s="1151"/>
      <c r="M5" s="1151"/>
      <c r="N5" s="1151"/>
    </row>
    <row r="6" spans="3:14">
      <c r="J6" s="1152" t="str">
        <f>"                    "&amp;"SCHEDULE C-2.1"</f>
        <v xml:space="preserve">                    SCHEDULE C-2.1</v>
      </c>
      <c r="L6" s="1151"/>
      <c r="M6" s="1151"/>
      <c r="N6" s="1151"/>
    </row>
    <row r="7" spans="3:14">
      <c r="C7" s="102" t="str">
        <f>DataF</f>
        <v>DATA:  BASE PERIOD  "X" FORECASTED PERIOD</v>
      </c>
      <c r="J7" s="1152" t="str">
        <f>"                    "&amp;"PAGE  9  OF  16"</f>
        <v xml:space="preserve">                    PAGE  9  OF  16</v>
      </c>
      <c r="L7" s="1151"/>
      <c r="M7" s="1151"/>
      <c r="N7" s="1151"/>
    </row>
    <row r="8" spans="3:14">
      <c r="C8" s="102" t="str">
        <f>Type</f>
        <v xml:space="preserve">TYPE OF FILING:  "X" ORIGINAL   UPDATED    REVISED  </v>
      </c>
      <c r="J8" s="1152" t="str">
        <f>"                    "&amp;"WITNESS RESPONSIBLE:"</f>
        <v xml:space="preserve">                    WITNESS RESPONSIBLE:</v>
      </c>
      <c r="L8" s="1151"/>
      <c r="M8" s="1151"/>
      <c r="N8" s="1151"/>
    </row>
    <row r="9" spans="3:14">
      <c r="C9" s="101" t="s">
        <v>1896</v>
      </c>
      <c r="J9" s="1152" t="str">
        <f>"                    "&amp;_WIT1</f>
        <v xml:space="preserve">                    S. E. LAWLER</v>
      </c>
      <c r="L9" s="1151"/>
      <c r="M9" s="1151"/>
      <c r="N9" s="1151"/>
    </row>
    <row r="10" spans="3:14">
      <c r="C10" s="103"/>
      <c r="D10" s="104"/>
      <c r="E10" s="104"/>
      <c r="F10" s="104"/>
      <c r="G10" s="104"/>
      <c r="H10" s="104"/>
      <c r="I10" s="104"/>
      <c r="J10" s="1153"/>
      <c r="K10" s="1153"/>
      <c r="L10" s="1151"/>
      <c r="M10" s="1151"/>
      <c r="N10" s="1151"/>
    </row>
    <row r="11" spans="3:14">
      <c r="G11" s="105" t="s">
        <v>1927</v>
      </c>
      <c r="H11" s="106" t="s">
        <v>2094</v>
      </c>
      <c r="K11" s="1154" t="s">
        <v>686</v>
      </c>
      <c r="L11" s="1151"/>
      <c r="M11" s="1151"/>
      <c r="N11" s="1151"/>
    </row>
    <row r="12" spans="3:14">
      <c r="C12" s="105" t="s">
        <v>567</v>
      </c>
      <c r="D12" s="105" t="s">
        <v>2160</v>
      </c>
      <c r="G12" s="105" t="s">
        <v>884</v>
      </c>
      <c r="H12" s="105" t="s">
        <v>2096</v>
      </c>
      <c r="J12" s="1154" t="s">
        <v>1927</v>
      </c>
      <c r="K12" s="1154" t="s">
        <v>1928</v>
      </c>
      <c r="L12" s="1151"/>
      <c r="M12" s="1151"/>
      <c r="N12" s="1151"/>
    </row>
    <row r="13" spans="3:14">
      <c r="C13" s="105" t="s">
        <v>2169</v>
      </c>
      <c r="D13" s="105" t="s">
        <v>766</v>
      </c>
      <c r="F13" s="99" t="s">
        <v>1929</v>
      </c>
      <c r="G13" s="106" t="s">
        <v>637</v>
      </c>
      <c r="H13" s="105" t="s">
        <v>2097</v>
      </c>
      <c r="J13" s="1154" t="s">
        <v>1930</v>
      </c>
      <c r="K13" s="1154" t="s">
        <v>741</v>
      </c>
      <c r="L13" s="1151"/>
      <c r="M13" s="1151"/>
      <c r="N13" s="1151"/>
    </row>
    <row r="14" spans="3:14">
      <c r="C14" s="107"/>
      <c r="D14" s="107"/>
      <c r="E14" s="107"/>
      <c r="F14" s="107"/>
      <c r="G14" s="108" t="s">
        <v>2099</v>
      </c>
      <c r="H14" s="108" t="s">
        <v>678</v>
      </c>
      <c r="I14" s="107"/>
      <c r="J14" s="1155" t="s">
        <v>679</v>
      </c>
      <c r="K14" s="1155" t="s">
        <v>680</v>
      </c>
      <c r="L14" s="1151"/>
      <c r="M14" s="1151"/>
      <c r="N14" s="1151"/>
    </row>
    <row r="15" spans="3:14">
      <c r="D15" s="106"/>
      <c r="L15" s="1151"/>
      <c r="M15" s="1151"/>
      <c r="N15" s="1151"/>
    </row>
    <row r="16" spans="3:14" ht="15.6">
      <c r="C16" s="105">
        <v>1</v>
      </c>
      <c r="D16" s="106"/>
      <c r="F16" s="1283" t="s">
        <v>687</v>
      </c>
      <c r="L16" s="1151"/>
      <c r="M16" s="1151"/>
      <c r="N16" s="1151"/>
    </row>
    <row r="17" spans="2:14">
      <c r="C17" s="106">
        <v>2</v>
      </c>
      <c r="D17" s="106"/>
      <c r="L17" s="1151"/>
      <c r="M17" s="1151"/>
      <c r="N17" s="1151"/>
    </row>
    <row r="18" spans="2:14" ht="15.6">
      <c r="C18" s="105">
        <v>3</v>
      </c>
      <c r="D18" s="106"/>
      <c r="F18" s="1283" t="s">
        <v>1931</v>
      </c>
      <c r="L18" s="1151"/>
      <c r="M18" s="1151"/>
      <c r="N18" s="1151"/>
    </row>
    <row r="19" spans="2:14">
      <c r="B19" s="98">
        <v>480000</v>
      </c>
      <c r="C19" s="105">
        <v>4</v>
      </c>
      <c r="D19" s="106">
        <v>480000</v>
      </c>
      <c r="F19" s="1142" t="s">
        <v>1222</v>
      </c>
      <c r="G19" s="110">
        <f t="shared" ref="G19:G28" si="0">ROUND(VLOOKUP(B19,FPERIOD,5,FALSE),0)</f>
        <v>62113657</v>
      </c>
      <c r="H19" s="111">
        <f t="shared" ref="H19:H28" si="1">VLOOKUP(K19,ALLOCTABLE,2)</f>
        <v>100</v>
      </c>
      <c r="J19" s="1156">
        <f t="shared" ref="J19:J28" si="2">ROUND(G19*(H19/100),0)</f>
        <v>62113657</v>
      </c>
      <c r="K19" s="1154" t="s">
        <v>591</v>
      </c>
      <c r="L19" s="1151"/>
      <c r="M19" s="1151"/>
      <c r="N19" s="1151"/>
    </row>
    <row r="20" spans="2:14">
      <c r="B20" s="98">
        <v>480990</v>
      </c>
      <c r="C20" s="106">
        <v>5</v>
      </c>
      <c r="D20" s="106">
        <v>480990</v>
      </c>
      <c r="F20" s="1142" t="s">
        <v>1223</v>
      </c>
      <c r="G20" s="110">
        <f t="shared" si="0"/>
        <v>290323</v>
      </c>
      <c r="H20" s="111">
        <f t="shared" si="1"/>
        <v>100</v>
      </c>
      <c r="J20" s="1156">
        <f t="shared" si="2"/>
        <v>290323</v>
      </c>
      <c r="K20" s="1154" t="s">
        <v>591</v>
      </c>
      <c r="L20" s="1151"/>
      <c r="M20" s="1151"/>
      <c r="N20" s="1151"/>
    </row>
    <row r="21" spans="2:14">
      <c r="B21" s="98">
        <v>481200</v>
      </c>
      <c r="C21" s="105">
        <v>6</v>
      </c>
      <c r="D21" s="106">
        <v>481200</v>
      </c>
      <c r="F21" s="1142" t="s">
        <v>1224</v>
      </c>
      <c r="G21" s="110">
        <f t="shared" si="0"/>
        <v>21456292</v>
      </c>
      <c r="H21" s="111">
        <f t="shared" si="1"/>
        <v>100</v>
      </c>
      <c r="J21" s="1156">
        <f t="shared" si="2"/>
        <v>21456292</v>
      </c>
      <c r="K21" s="1154" t="s">
        <v>591</v>
      </c>
      <c r="L21" s="1151"/>
      <c r="M21" s="1151"/>
      <c r="N21" s="1151"/>
    </row>
    <row r="22" spans="2:14">
      <c r="B22" s="98">
        <v>481290</v>
      </c>
      <c r="C22" s="105">
        <v>7</v>
      </c>
      <c r="D22" s="106">
        <v>481290</v>
      </c>
      <c r="F22" s="1142" t="s">
        <v>1225</v>
      </c>
      <c r="G22" s="110">
        <f t="shared" si="0"/>
        <v>75382</v>
      </c>
      <c r="H22" s="111">
        <f t="shared" si="1"/>
        <v>100</v>
      </c>
      <c r="J22" s="1156">
        <f t="shared" si="2"/>
        <v>75382</v>
      </c>
      <c r="K22" s="1154" t="s">
        <v>591</v>
      </c>
      <c r="L22" s="1151"/>
      <c r="M22" s="1151"/>
      <c r="N22" s="1151"/>
    </row>
    <row r="23" spans="2:14">
      <c r="B23" s="1144">
        <v>481000</v>
      </c>
      <c r="C23" s="106">
        <v>8</v>
      </c>
      <c r="D23" s="67">
        <v>481000</v>
      </c>
      <c r="F23" s="1142" t="s">
        <v>1226</v>
      </c>
      <c r="G23" s="110">
        <f t="shared" si="0"/>
        <v>1155283</v>
      </c>
      <c r="H23" s="111">
        <f t="shared" si="1"/>
        <v>100</v>
      </c>
      <c r="J23" s="1156">
        <f t="shared" si="2"/>
        <v>1155283</v>
      </c>
      <c r="K23" s="1154" t="s">
        <v>591</v>
      </c>
      <c r="L23" s="1151"/>
      <c r="M23" s="1151"/>
      <c r="N23" s="1151"/>
    </row>
    <row r="24" spans="2:14">
      <c r="B24" s="1144">
        <v>481090</v>
      </c>
      <c r="C24" s="105">
        <v>9</v>
      </c>
      <c r="D24" s="67">
        <v>481090</v>
      </c>
      <c r="F24" s="1142" t="s">
        <v>1227</v>
      </c>
      <c r="G24" s="110">
        <f t="shared" si="0"/>
        <v>-27452</v>
      </c>
      <c r="H24" s="111">
        <f t="shared" si="1"/>
        <v>100</v>
      </c>
      <c r="J24" s="1156">
        <f t="shared" si="2"/>
        <v>-27452</v>
      </c>
      <c r="K24" s="1154" t="s">
        <v>591</v>
      </c>
      <c r="L24" s="1151"/>
      <c r="M24" s="1151"/>
      <c r="N24" s="1151"/>
    </row>
    <row r="25" spans="2:14">
      <c r="B25" s="98">
        <v>482200</v>
      </c>
      <c r="C25" s="105">
        <v>10</v>
      </c>
      <c r="D25" s="106">
        <v>482200</v>
      </c>
      <c r="F25" s="1142" t="s">
        <v>1228</v>
      </c>
      <c r="G25" s="110">
        <f t="shared" si="0"/>
        <v>5789</v>
      </c>
      <c r="H25" s="111">
        <f t="shared" si="1"/>
        <v>100</v>
      </c>
      <c r="J25" s="1156">
        <f t="shared" si="2"/>
        <v>5789</v>
      </c>
      <c r="K25" s="1154" t="s">
        <v>591</v>
      </c>
      <c r="L25" s="1151"/>
      <c r="M25" s="1151"/>
      <c r="N25" s="1151"/>
    </row>
    <row r="26" spans="2:14">
      <c r="B26" s="98">
        <v>482000</v>
      </c>
      <c r="C26" s="106">
        <v>11</v>
      </c>
      <c r="D26" s="106">
        <v>482000</v>
      </c>
      <c r="F26" s="1142" t="s">
        <v>1294</v>
      </c>
      <c r="G26" s="110">
        <f t="shared" si="0"/>
        <v>2202694</v>
      </c>
      <c r="H26" s="111">
        <f t="shared" si="1"/>
        <v>100</v>
      </c>
      <c r="J26" s="1156">
        <f t="shared" si="2"/>
        <v>2202694</v>
      </c>
      <c r="K26" s="1154" t="s">
        <v>591</v>
      </c>
      <c r="L26" s="1151"/>
      <c r="M26" s="1151"/>
      <c r="N26" s="1151"/>
    </row>
    <row r="27" spans="2:14">
      <c r="B27" s="98">
        <v>482090</v>
      </c>
      <c r="C27" s="105">
        <v>12</v>
      </c>
      <c r="D27" s="106">
        <v>482090</v>
      </c>
      <c r="F27" s="1142" t="s">
        <v>1295</v>
      </c>
      <c r="G27" s="110">
        <f t="shared" si="0"/>
        <v>-9243</v>
      </c>
      <c r="H27" s="111">
        <f t="shared" si="1"/>
        <v>100</v>
      </c>
      <c r="J27" s="1156">
        <f t="shared" si="2"/>
        <v>-9243</v>
      </c>
      <c r="K27" s="1154" t="s">
        <v>591</v>
      </c>
      <c r="L27" s="1151"/>
      <c r="M27" s="1151"/>
      <c r="N27" s="1151"/>
    </row>
    <row r="28" spans="2:14">
      <c r="B28" s="98">
        <v>484000</v>
      </c>
      <c r="C28" s="105">
        <v>13</v>
      </c>
      <c r="D28" s="106">
        <v>484000</v>
      </c>
      <c r="F28" s="3556" t="s">
        <v>1279</v>
      </c>
      <c r="G28" s="110">
        <f t="shared" si="0"/>
        <v>27765</v>
      </c>
      <c r="H28" s="111">
        <f t="shared" si="1"/>
        <v>100</v>
      </c>
      <c r="J28" s="1156">
        <f t="shared" si="2"/>
        <v>27765</v>
      </c>
      <c r="K28" s="1154" t="s">
        <v>591</v>
      </c>
      <c r="L28" s="1151"/>
      <c r="M28" s="3018" t="s">
        <v>2234</v>
      </c>
      <c r="N28" s="1151"/>
    </row>
    <row r="29" spans="2:14">
      <c r="C29" s="106">
        <v>14</v>
      </c>
      <c r="D29" s="106"/>
      <c r="F29" s="1145" t="s">
        <v>1280</v>
      </c>
      <c r="G29" s="113">
        <f>SUM(G19:G28)</f>
        <v>87290490</v>
      </c>
      <c r="H29" s="111"/>
      <c r="J29" s="1157">
        <f>SUM(J19:J28)</f>
        <v>87290490</v>
      </c>
      <c r="K29" s="1154"/>
      <c r="L29" s="1151"/>
      <c r="M29" s="1151"/>
      <c r="N29" s="1151"/>
    </row>
    <row r="30" spans="2:14">
      <c r="D30" s="106"/>
      <c r="F30" s="1143"/>
      <c r="G30" s="110"/>
      <c r="H30" s="111"/>
      <c r="J30" s="1156"/>
      <c r="K30" s="1154"/>
      <c r="L30" s="1151"/>
      <c r="M30" s="1151"/>
      <c r="N30" s="1151"/>
    </row>
    <row r="31" spans="2:14">
      <c r="C31" s="99" t="str">
        <f>COMPANY</f>
        <v>DUKE ENERGY KENTUCKY, INC.</v>
      </c>
      <c r="D31" s="100"/>
      <c r="E31" s="100"/>
      <c r="F31" s="99"/>
      <c r="G31" s="100"/>
      <c r="H31" s="100"/>
      <c r="I31" s="100"/>
      <c r="J31" s="1150"/>
      <c r="K31" s="1150"/>
      <c r="L31" s="1151"/>
      <c r="M31" s="1151"/>
      <c r="N31" s="1151"/>
    </row>
    <row r="32" spans="2:14">
      <c r="C32" s="99" t="str">
        <f>CASE</f>
        <v>CASE NO. 2018-00261</v>
      </c>
      <c r="D32" s="100"/>
      <c r="E32" s="100"/>
      <c r="F32" s="99"/>
      <c r="G32" s="100"/>
      <c r="H32" s="100"/>
      <c r="I32" s="100"/>
      <c r="J32" s="1150"/>
      <c r="K32" s="1150"/>
      <c r="L32" s="1151"/>
      <c r="M32" s="1151"/>
      <c r="N32" s="1151"/>
    </row>
    <row r="33" spans="1:14">
      <c r="C33" s="99" t="s">
        <v>2043</v>
      </c>
      <c r="D33" s="100"/>
      <c r="E33" s="99"/>
      <c r="F33" s="100"/>
      <c r="G33" s="100"/>
      <c r="H33" s="100"/>
      <c r="I33" s="100"/>
      <c r="J33" s="1150"/>
      <c r="K33" s="1150"/>
      <c r="L33" s="1151"/>
      <c r="M33" s="1151"/>
      <c r="N33" s="1151"/>
    </row>
    <row r="34" spans="1:14">
      <c r="C34" s="99" t="str">
        <f>PeriodF</f>
        <v>FOR THE TWELVE MONTHS ENDED MARCH 31, 2020</v>
      </c>
      <c r="D34" s="100"/>
      <c r="E34" s="100"/>
      <c r="F34" s="99"/>
      <c r="G34" s="100"/>
      <c r="H34" s="100"/>
      <c r="I34" s="100"/>
      <c r="J34" s="1150"/>
      <c r="K34" s="1150"/>
      <c r="L34" s="1151"/>
      <c r="M34" s="1151"/>
      <c r="N34" s="1151"/>
    </row>
    <row r="35" spans="1:14">
      <c r="C35" s="100"/>
      <c r="D35" s="100"/>
      <c r="E35" s="100"/>
      <c r="F35" s="100"/>
      <c r="G35" s="100"/>
      <c r="H35" s="100"/>
      <c r="I35" s="100"/>
      <c r="L35" s="1151"/>
      <c r="M35" s="1151"/>
      <c r="N35" s="1151"/>
    </row>
    <row r="36" spans="1:14">
      <c r="J36" s="1152" t="str">
        <f>"                    "&amp;"SCHEDULE C-2.1"</f>
        <v xml:space="preserve">                    SCHEDULE C-2.1</v>
      </c>
      <c r="L36" s="1151"/>
      <c r="M36" s="1151"/>
      <c r="N36" s="1151"/>
    </row>
    <row r="37" spans="1:14">
      <c r="C37" s="102" t="str">
        <f>DataF</f>
        <v>DATA:  BASE PERIOD  "X" FORECASTED PERIOD</v>
      </c>
      <c r="J37" s="1152" t="str">
        <f>"                    "&amp;"PAGE  10  OF  16"</f>
        <v xml:space="preserve">                    PAGE  10  OF  16</v>
      </c>
      <c r="L37" s="1151"/>
      <c r="M37" s="1151"/>
      <c r="N37" s="1151"/>
    </row>
    <row r="38" spans="1:14">
      <c r="C38" s="102" t="str">
        <f>Type</f>
        <v xml:space="preserve">TYPE OF FILING:  "X" ORIGINAL   UPDATED    REVISED  </v>
      </c>
      <c r="J38" s="1152" t="str">
        <f>"                    "&amp;"WITNESS RESPONSIBLE:"</f>
        <v xml:space="preserve">                    WITNESS RESPONSIBLE:</v>
      </c>
      <c r="L38" s="1151"/>
      <c r="M38" s="1151"/>
      <c r="N38" s="1151"/>
    </row>
    <row r="39" spans="1:14">
      <c r="C39" s="101" t="s">
        <v>1896</v>
      </c>
      <c r="J39" s="1152" t="str">
        <f>"                    "&amp;_WIT1</f>
        <v xml:space="preserve">                    S. E. LAWLER</v>
      </c>
      <c r="L39" s="1151"/>
      <c r="M39" s="1151"/>
      <c r="N39" s="1151"/>
    </row>
    <row r="40" spans="1:14">
      <c r="C40" s="103"/>
      <c r="D40" s="104"/>
      <c r="E40" s="104"/>
      <c r="F40" s="104"/>
      <c r="G40" s="104"/>
      <c r="H40" s="104"/>
      <c r="I40" s="104"/>
      <c r="J40" s="1153"/>
      <c r="K40" s="1153"/>
      <c r="L40" s="1151"/>
      <c r="M40" s="1151"/>
      <c r="N40" s="1151"/>
    </row>
    <row r="41" spans="1:14">
      <c r="G41" s="105" t="s">
        <v>1927</v>
      </c>
      <c r="H41" s="106" t="s">
        <v>2094</v>
      </c>
      <c r="K41" s="1154" t="s">
        <v>686</v>
      </c>
      <c r="L41" s="1151"/>
      <c r="M41" s="1151"/>
      <c r="N41" s="1151"/>
    </row>
    <row r="42" spans="1:14">
      <c r="C42" s="105" t="s">
        <v>567</v>
      </c>
      <c r="D42" s="105" t="s">
        <v>2160</v>
      </c>
      <c r="G42" s="105" t="s">
        <v>884</v>
      </c>
      <c r="H42" s="105" t="s">
        <v>2096</v>
      </c>
      <c r="J42" s="1154" t="s">
        <v>1927</v>
      </c>
      <c r="K42" s="1154" t="s">
        <v>1928</v>
      </c>
      <c r="L42" s="1151"/>
      <c r="M42" s="1151"/>
      <c r="N42" s="1151"/>
    </row>
    <row r="43" spans="1:14">
      <c r="C43" s="105" t="s">
        <v>2169</v>
      </c>
      <c r="D43" s="105" t="s">
        <v>766</v>
      </c>
      <c r="F43" s="99" t="s">
        <v>1929</v>
      </c>
      <c r="G43" s="106" t="s">
        <v>637</v>
      </c>
      <c r="H43" s="105" t="s">
        <v>2097</v>
      </c>
      <c r="J43" s="1154" t="s">
        <v>1930</v>
      </c>
      <c r="K43" s="1154" t="s">
        <v>741</v>
      </c>
      <c r="L43" s="1151"/>
      <c r="M43" s="1151"/>
      <c r="N43" s="1151"/>
    </row>
    <row r="44" spans="1:14">
      <c r="C44" s="107"/>
      <c r="D44" s="107"/>
      <c r="E44" s="107"/>
      <c r="F44" s="107"/>
      <c r="G44" s="108" t="s">
        <v>2099</v>
      </c>
      <c r="H44" s="108" t="s">
        <v>678</v>
      </c>
      <c r="I44" s="107"/>
      <c r="J44" s="1155" t="s">
        <v>679</v>
      </c>
      <c r="K44" s="1155" t="s">
        <v>680</v>
      </c>
      <c r="L44" s="1151"/>
      <c r="M44" s="1151"/>
      <c r="N44" s="1151"/>
    </row>
    <row r="45" spans="1:14">
      <c r="D45" s="106"/>
      <c r="F45" s="1143"/>
      <c r="G45" s="110"/>
      <c r="H45" s="111"/>
      <c r="J45" s="1156"/>
      <c r="K45" s="1154"/>
      <c r="L45" s="1151"/>
      <c r="M45" s="1151"/>
      <c r="N45" s="1151"/>
    </row>
    <row r="46" spans="1:14" ht="15.6">
      <c r="C46" s="105">
        <v>1</v>
      </c>
      <c r="D46" s="106"/>
      <c r="F46" s="1283" t="s">
        <v>1933</v>
      </c>
      <c r="H46" s="111"/>
      <c r="J46" s="1156"/>
      <c r="L46" s="1151"/>
      <c r="M46" s="1151"/>
      <c r="N46" s="1151"/>
    </row>
    <row r="47" spans="1:14">
      <c r="A47" s="116"/>
      <c r="B47" s="1884">
        <v>487001</v>
      </c>
      <c r="C47" s="105">
        <v>2</v>
      </c>
      <c r="D47" s="116">
        <v>487001</v>
      </c>
      <c r="F47" s="1146" t="s">
        <v>294</v>
      </c>
      <c r="G47" s="110">
        <f t="shared" ref="G47" si="3">ROUND(VLOOKUP(B47,FPERIOD,5,FALSE),0)</f>
        <v>0</v>
      </c>
      <c r="H47" s="111">
        <f t="shared" ref="H47" si="4">VLOOKUP(K47,ALLOCTABLE,2)</f>
        <v>100</v>
      </c>
      <c r="J47" s="1156">
        <f t="shared" ref="J47:J61" si="5">ROUND(G47*(H47/100),0)</f>
        <v>0</v>
      </c>
      <c r="K47" s="1154" t="s">
        <v>591</v>
      </c>
      <c r="L47" s="1151"/>
      <c r="M47" s="3018" t="s">
        <v>2234</v>
      </c>
      <c r="N47" s="1151"/>
    </row>
    <row r="48" spans="1:14">
      <c r="A48" s="116"/>
      <c r="B48" s="1884">
        <v>488000</v>
      </c>
      <c r="C48" s="105">
        <v>3</v>
      </c>
      <c r="D48" s="116">
        <v>488000</v>
      </c>
      <c r="F48" s="1146" t="s">
        <v>295</v>
      </c>
      <c r="G48" s="110">
        <f t="shared" ref="G48:G57" si="6">ROUND(VLOOKUP(B48,FPERIOD,5,FALSE),0)</f>
        <v>51996</v>
      </c>
      <c r="H48" s="111">
        <f t="shared" ref="H48:H57" si="7">VLOOKUP(K48,ALLOCTABLE,2)</f>
        <v>100</v>
      </c>
      <c r="J48" s="1156">
        <f t="shared" si="5"/>
        <v>51996</v>
      </c>
      <c r="K48" s="1154" t="s">
        <v>591</v>
      </c>
      <c r="L48" s="1151"/>
      <c r="M48" s="1151"/>
      <c r="N48" s="1151"/>
    </row>
    <row r="49" spans="1:14">
      <c r="A49" s="97"/>
      <c r="B49" s="1884">
        <v>488100</v>
      </c>
      <c r="C49" s="105">
        <v>4</v>
      </c>
      <c r="D49" s="116">
        <v>488100</v>
      </c>
      <c r="F49" s="1146" t="s">
        <v>2432</v>
      </c>
      <c r="G49" s="110">
        <f>ROUND(VLOOKUP(B49,FPERIOD,5,FALSE),0)</f>
        <v>514092</v>
      </c>
      <c r="H49" s="111">
        <f>VLOOKUP(K49,ALLOCTABLE,2)</f>
        <v>100</v>
      </c>
      <c r="J49" s="1156">
        <f t="shared" si="5"/>
        <v>514092</v>
      </c>
      <c r="K49" s="1154" t="s">
        <v>591</v>
      </c>
      <c r="L49" s="1151"/>
      <c r="M49" s="1151"/>
      <c r="N49" s="1151"/>
    </row>
    <row r="50" spans="1:14">
      <c r="A50" s="97"/>
      <c r="B50" s="1884">
        <v>489000</v>
      </c>
      <c r="C50" s="105">
        <v>5</v>
      </c>
      <c r="D50" s="116">
        <v>489000</v>
      </c>
      <c r="F50" s="1146" t="s">
        <v>1297</v>
      </c>
      <c r="G50" s="110">
        <f>ROUND(VLOOKUP(B50,FPERIOD,5,FALSE),0)</f>
        <v>1404958</v>
      </c>
      <c r="H50" s="111">
        <f>VLOOKUP(K50,ALLOCTABLE,2)</f>
        <v>100</v>
      </c>
      <c r="J50" s="1156">
        <f t="shared" si="5"/>
        <v>1404958</v>
      </c>
      <c r="K50" s="1154" t="s">
        <v>591</v>
      </c>
      <c r="L50" s="1151"/>
      <c r="M50" s="1151"/>
      <c r="N50" s="1151"/>
    </row>
    <row r="51" spans="1:14">
      <c r="A51" s="97"/>
      <c r="B51" s="1884">
        <v>489010</v>
      </c>
      <c r="C51" s="105">
        <v>6</v>
      </c>
      <c r="D51" s="116">
        <v>489010</v>
      </c>
      <c r="F51" s="1146" t="s">
        <v>2193</v>
      </c>
      <c r="G51" s="110">
        <f>ROUND(VLOOKUP(B51,FPERIOD,5,FALSE),0)</f>
        <v>0</v>
      </c>
      <c r="H51" s="111">
        <f>VLOOKUP(K51,ALLOCTABLE,2)</f>
        <v>100</v>
      </c>
      <c r="J51" s="1156">
        <f t="shared" si="5"/>
        <v>0</v>
      </c>
      <c r="K51" s="1154" t="s">
        <v>591</v>
      </c>
      <c r="L51" s="1151"/>
      <c r="M51" s="1151"/>
      <c r="N51" s="1151"/>
    </row>
    <row r="52" spans="1:14">
      <c r="B52" s="1884">
        <v>489020</v>
      </c>
      <c r="C52" s="105">
        <v>7</v>
      </c>
      <c r="D52" s="116">
        <v>489020</v>
      </c>
      <c r="F52" s="1146" t="s">
        <v>2430</v>
      </c>
      <c r="G52" s="110">
        <f t="shared" si="6"/>
        <v>1558548</v>
      </c>
      <c r="H52" s="111">
        <f t="shared" si="7"/>
        <v>100</v>
      </c>
      <c r="J52" s="1156">
        <f t="shared" si="5"/>
        <v>1558548</v>
      </c>
      <c r="K52" s="1154" t="s">
        <v>591</v>
      </c>
      <c r="L52" s="1151"/>
      <c r="M52" s="1151"/>
      <c r="N52" s="1151"/>
    </row>
    <row r="53" spans="1:14">
      <c r="A53" s="97"/>
      <c r="B53" s="1884">
        <v>489025</v>
      </c>
      <c r="C53" s="105">
        <v>8</v>
      </c>
      <c r="D53" s="116">
        <v>489025</v>
      </c>
      <c r="F53" s="1146" t="s">
        <v>2431</v>
      </c>
      <c r="G53" s="110">
        <f t="shared" si="6"/>
        <v>37583</v>
      </c>
      <c r="H53" s="111">
        <f t="shared" si="7"/>
        <v>100</v>
      </c>
      <c r="J53" s="1156">
        <f t="shared" si="5"/>
        <v>37583</v>
      </c>
      <c r="K53" s="1154" t="s">
        <v>591</v>
      </c>
      <c r="L53" s="1151"/>
      <c r="M53" s="1151"/>
      <c r="N53" s="1151"/>
    </row>
    <row r="54" spans="1:14">
      <c r="A54" s="97"/>
      <c r="B54" s="1884">
        <v>489030</v>
      </c>
      <c r="C54" s="105">
        <v>9</v>
      </c>
      <c r="D54" s="116">
        <v>489030</v>
      </c>
      <c r="F54" s="1146" t="s">
        <v>2429</v>
      </c>
      <c r="G54" s="110">
        <f t="shared" si="6"/>
        <v>3238910</v>
      </c>
      <c r="H54" s="111">
        <f t="shared" si="7"/>
        <v>100</v>
      </c>
      <c r="J54" s="1156">
        <f t="shared" si="5"/>
        <v>3238910</v>
      </c>
      <c r="K54" s="1154" t="s">
        <v>591</v>
      </c>
      <c r="L54" s="1151"/>
      <c r="M54" s="1151"/>
      <c r="N54" s="1151"/>
    </row>
    <row r="55" spans="1:14">
      <c r="A55" s="97"/>
      <c r="B55" s="1884">
        <v>489035</v>
      </c>
      <c r="C55" s="105">
        <v>10</v>
      </c>
      <c r="D55" s="116">
        <v>489035</v>
      </c>
      <c r="F55" s="1146" t="s">
        <v>2428</v>
      </c>
      <c r="G55" s="110">
        <f t="shared" si="6"/>
        <v>11691</v>
      </c>
      <c r="H55" s="111">
        <f t="shared" si="7"/>
        <v>100</v>
      </c>
      <c r="J55" s="1156">
        <f t="shared" si="5"/>
        <v>11691</v>
      </c>
      <c r="K55" s="1154" t="s">
        <v>591</v>
      </c>
      <c r="L55" s="1151"/>
      <c r="M55" s="1151"/>
      <c r="N55" s="1151"/>
    </row>
    <row r="56" spans="1:14">
      <c r="A56" s="97"/>
      <c r="B56" s="1884">
        <v>489040</v>
      </c>
      <c r="C56" s="105">
        <v>11</v>
      </c>
      <c r="D56" s="116">
        <v>489040</v>
      </c>
      <c r="F56" s="1146" t="s">
        <v>2418</v>
      </c>
      <c r="G56" s="110">
        <f t="shared" si="6"/>
        <v>385736</v>
      </c>
      <c r="H56" s="111">
        <f t="shared" si="7"/>
        <v>100</v>
      </c>
      <c r="J56" s="1156">
        <f t="shared" si="5"/>
        <v>385736</v>
      </c>
      <c r="K56" s="1154" t="s">
        <v>591</v>
      </c>
      <c r="L56" s="1151"/>
      <c r="M56" s="1151"/>
      <c r="N56" s="1151"/>
    </row>
    <row r="57" spans="1:14">
      <c r="A57" s="97"/>
      <c r="B57" s="1884">
        <v>489045</v>
      </c>
      <c r="C57" s="105">
        <v>12</v>
      </c>
      <c r="D57" s="116">
        <v>489045</v>
      </c>
      <c r="F57" s="1146" t="s">
        <v>2419</v>
      </c>
      <c r="G57" s="110">
        <f t="shared" si="6"/>
        <v>11790</v>
      </c>
      <c r="H57" s="111">
        <f t="shared" si="7"/>
        <v>100</v>
      </c>
      <c r="J57" s="1156">
        <f t="shared" si="5"/>
        <v>11790</v>
      </c>
      <c r="K57" s="1154" t="s">
        <v>591</v>
      </c>
      <c r="L57" s="1151"/>
      <c r="M57" s="1151"/>
      <c r="N57" s="1151"/>
    </row>
    <row r="58" spans="1:14">
      <c r="A58" s="97"/>
      <c r="B58" s="1884">
        <v>489200</v>
      </c>
      <c r="C58" s="105">
        <v>13</v>
      </c>
      <c r="D58" s="116">
        <v>489200</v>
      </c>
      <c r="F58" s="1146" t="s">
        <v>2420</v>
      </c>
      <c r="G58" s="110">
        <f>ROUND(VLOOKUP(B58,FPERIOD,5,FALSE),0)</f>
        <v>0</v>
      </c>
      <c r="H58" s="111">
        <f>VLOOKUP(K58,ALLOCTABLE,2)</f>
        <v>100</v>
      </c>
      <c r="J58" s="1156">
        <f t="shared" si="5"/>
        <v>0</v>
      </c>
      <c r="K58" s="1154" t="s">
        <v>591</v>
      </c>
      <c r="L58" s="1151"/>
      <c r="M58" s="3018" t="s">
        <v>2234</v>
      </c>
      <c r="N58" s="1151"/>
    </row>
    <row r="59" spans="1:14">
      <c r="A59" s="97"/>
      <c r="B59" s="1884">
        <v>493010</v>
      </c>
      <c r="C59" s="105">
        <v>14</v>
      </c>
      <c r="D59" s="116">
        <v>493010</v>
      </c>
      <c r="F59" s="1180" t="s">
        <v>2671</v>
      </c>
      <c r="G59" s="110">
        <f>ROUND(VLOOKUP(B59,FPERIOD,5,FALSE),0)</f>
        <v>14496</v>
      </c>
      <c r="H59" s="111">
        <f>VLOOKUP(K59,ALLOCTABLE,2)</f>
        <v>100</v>
      </c>
      <c r="J59" s="1156">
        <f t="shared" ref="J59" si="8">ROUND(G59*(H59/100),0)</f>
        <v>14496</v>
      </c>
      <c r="K59" s="1154" t="s">
        <v>591</v>
      </c>
      <c r="L59" s="1151"/>
      <c r="M59" s="3018"/>
      <c r="N59" s="1151"/>
    </row>
    <row r="60" spans="1:14">
      <c r="A60" s="97"/>
      <c r="B60" s="1884">
        <v>495031</v>
      </c>
      <c r="C60" s="105">
        <v>15</v>
      </c>
      <c r="D60" s="116">
        <v>495031</v>
      </c>
      <c r="F60" s="1146" t="s">
        <v>207</v>
      </c>
      <c r="G60" s="110">
        <f>ROUND(VLOOKUP(B60,FPERIOD,5,FALSE),0)</f>
        <v>0</v>
      </c>
      <c r="H60" s="111">
        <f>VLOOKUP(K60,ALLOCTABLE,2)</f>
        <v>100</v>
      </c>
      <c r="J60" s="1156">
        <f t="shared" si="5"/>
        <v>0</v>
      </c>
      <c r="K60" s="1154" t="s">
        <v>591</v>
      </c>
      <c r="L60" s="1151"/>
      <c r="M60" s="3018"/>
      <c r="N60" s="1151"/>
    </row>
    <row r="61" spans="1:14">
      <c r="B61" s="1884">
        <v>496020</v>
      </c>
      <c r="C61" s="105">
        <v>16</v>
      </c>
      <c r="D61" s="116">
        <v>496020</v>
      </c>
      <c r="F61" s="1180" t="s">
        <v>2190</v>
      </c>
      <c r="G61" s="110">
        <f>ROUND(VLOOKUP(B61,FPERIOD,5,FALSE),0)</f>
        <v>0</v>
      </c>
      <c r="H61" s="111">
        <f>VLOOKUP(K61,ALLOCTABLE,2)</f>
        <v>100</v>
      </c>
      <c r="J61" s="1156">
        <f t="shared" si="5"/>
        <v>0</v>
      </c>
      <c r="K61" s="1154" t="s">
        <v>591</v>
      </c>
      <c r="L61" s="1151"/>
      <c r="M61" s="3018" t="s">
        <v>2234</v>
      </c>
      <c r="N61" s="1151"/>
    </row>
    <row r="62" spans="1:14">
      <c r="C62" s="105">
        <v>17</v>
      </c>
      <c r="D62" s="106"/>
      <c r="F62" s="101" t="s">
        <v>526</v>
      </c>
      <c r="G62" s="113">
        <f>SUM(G47:G61)</f>
        <v>7229800</v>
      </c>
      <c r="H62" s="111"/>
      <c r="J62" s="1157">
        <f>SUM(J47:J61)</f>
        <v>7229800</v>
      </c>
      <c r="L62" s="1151"/>
      <c r="M62" s="1151"/>
      <c r="N62" s="1151"/>
    </row>
    <row r="63" spans="1:14">
      <c r="C63" s="105">
        <v>18</v>
      </c>
      <c r="D63" s="117"/>
      <c r="G63" s="118"/>
      <c r="H63" s="111"/>
      <c r="J63" s="1158"/>
      <c r="L63" s="1151"/>
      <c r="M63" s="1151"/>
      <c r="N63" s="1151"/>
    </row>
    <row r="64" spans="1:14" ht="15.6" thickBot="1">
      <c r="C64" s="105">
        <v>19</v>
      </c>
      <c r="D64" s="106"/>
      <c r="F64" s="101" t="s">
        <v>527</v>
      </c>
      <c r="G64" s="119">
        <f>G29+G62</f>
        <v>94520290</v>
      </c>
      <c r="H64" s="110"/>
      <c r="J64" s="1159">
        <f>J29+J62</f>
        <v>94520290</v>
      </c>
      <c r="L64" s="1151"/>
      <c r="M64" s="1151"/>
      <c r="N64" s="1151"/>
    </row>
    <row r="65" spans="3:14" ht="15.6" thickTop="1">
      <c r="G65" s="118"/>
      <c r="H65" s="111"/>
      <c r="J65" s="1158"/>
      <c r="L65" s="1151"/>
      <c r="M65" s="1151"/>
      <c r="N65" s="1151"/>
    </row>
    <row r="66" spans="3:14">
      <c r="C66" s="99" t="str">
        <f>COMPANY</f>
        <v>DUKE ENERGY KENTUCKY, INC.</v>
      </c>
      <c r="D66" s="100"/>
      <c r="E66" s="100"/>
      <c r="F66" s="99"/>
      <c r="G66" s="100"/>
      <c r="H66" s="100"/>
      <c r="I66" s="100"/>
      <c r="J66" s="1150"/>
      <c r="K66" s="1150"/>
      <c r="L66" s="1151"/>
      <c r="M66" s="1151"/>
      <c r="N66" s="1151"/>
    </row>
    <row r="67" spans="3:14">
      <c r="C67" s="99" t="str">
        <f>CASE</f>
        <v>CASE NO. 2018-00261</v>
      </c>
      <c r="D67" s="100"/>
      <c r="E67" s="100"/>
      <c r="F67" s="99"/>
      <c r="G67" s="100"/>
      <c r="H67" s="100"/>
      <c r="I67" s="100"/>
      <c r="J67" s="1150"/>
      <c r="K67" s="1150"/>
      <c r="L67" s="1151"/>
      <c r="M67" s="1151"/>
      <c r="N67" s="1151"/>
    </row>
    <row r="68" spans="3:14">
      <c r="C68" s="99" t="s">
        <v>2043</v>
      </c>
      <c r="D68" s="100"/>
      <c r="E68" s="99"/>
      <c r="F68" s="100"/>
      <c r="G68" s="100"/>
      <c r="H68" s="100"/>
      <c r="I68" s="100"/>
      <c r="J68" s="1150"/>
      <c r="K68" s="1150"/>
      <c r="L68" s="1151"/>
      <c r="M68" s="1151"/>
      <c r="N68" s="1151"/>
    </row>
    <row r="69" spans="3:14">
      <c r="C69" s="99" t="str">
        <f>LOGO!$B$8</f>
        <v>FOR THE TWELVE MONTHS ENDED MARCH 31, 2020</v>
      </c>
      <c r="D69" s="100"/>
      <c r="E69" s="100"/>
      <c r="F69" s="99"/>
      <c r="G69" s="100"/>
      <c r="H69" s="100"/>
      <c r="I69" s="100"/>
      <c r="J69" s="1150"/>
      <c r="K69" s="1150"/>
      <c r="L69" s="1151"/>
      <c r="M69" s="1151"/>
      <c r="N69" s="1151"/>
    </row>
    <row r="70" spans="3:14">
      <c r="C70" s="100"/>
      <c r="D70" s="100"/>
      <c r="E70" s="100"/>
      <c r="F70" s="100"/>
      <c r="G70" s="100"/>
      <c r="H70" s="100"/>
      <c r="I70" s="100"/>
      <c r="L70" s="1151"/>
      <c r="M70" s="1151"/>
      <c r="N70" s="1151"/>
    </row>
    <row r="71" spans="3:14">
      <c r="J71" s="1152" t="str">
        <f>"                    "&amp;"SCHEDULE C-2.1"</f>
        <v xml:space="preserve">                    SCHEDULE C-2.1</v>
      </c>
      <c r="L71" s="1151"/>
      <c r="M71" s="1151"/>
      <c r="N71" s="1151"/>
    </row>
    <row r="72" spans="3:14">
      <c r="C72" s="102" t="str">
        <f>DataF</f>
        <v>DATA:  BASE PERIOD  "X" FORECASTED PERIOD</v>
      </c>
      <c r="J72" s="1152" t="str">
        <f>"                    "&amp;"PAGE  11  OF  16"</f>
        <v xml:space="preserve">                    PAGE  11  OF  16</v>
      </c>
      <c r="L72" s="1151"/>
      <c r="M72" s="1151"/>
      <c r="N72" s="1151"/>
    </row>
    <row r="73" spans="3:14">
      <c r="C73" s="102" t="str">
        <f>Type</f>
        <v xml:space="preserve">TYPE OF FILING:  "X" ORIGINAL   UPDATED    REVISED  </v>
      </c>
      <c r="J73" s="1152" t="str">
        <f>"                    "&amp;"WITNESS RESPONSIBLE:"</f>
        <v xml:space="preserve">                    WITNESS RESPONSIBLE:</v>
      </c>
      <c r="L73" s="1151"/>
      <c r="M73" s="1151"/>
      <c r="N73" s="1151"/>
    </row>
    <row r="74" spans="3:14">
      <c r="C74" s="101" t="str">
        <f>$C$9</f>
        <v>WORK PAPER REFERENCE NO(S).: WPC-2.1a</v>
      </c>
      <c r="J74" s="1152" t="str">
        <f>"                    "&amp;_WIT1</f>
        <v xml:space="preserve">                    S. E. LAWLER</v>
      </c>
      <c r="L74" s="1151"/>
      <c r="M74" s="1151"/>
      <c r="N74" s="1151"/>
    </row>
    <row r="75" spans="3:14">
      <c r="C75" s="103"/>
      <c r="D75" s="104"/>
      <c r="E75" s="104"/>
      <c r="F75" s="104"/>
      <c r="G75" s="104"/>
      <c r="H75" s="104"/>
      <c r="I75" s="104"/>
      <c r="J75" s="1153"/>
      <c r="K75" s="1153"/>
      <c r="L75" s="1151"/>
      <c r="M75" s="1151"/>
      <c r="N75" s="1151"/>
    </row>
    <row r="76" spans="3:14">
      <c r="G76" s="105" t="s">
        <v>1927</v>
      </c>
      <c r="H76" s="106" t="s">
        <v>2094</v>
      </c>
      <c r="K76" s="1154" t="s">
        <v>686</v>
      </c>
      <c r="L76" s="1151"/>
      <c r="M76" s="1151"/>
      <c r="N76" s="1151"/>
    </row>
    <row r="77" spans="3:14">
      <c r="C77" s="105" t="s">
        <v>567</v>
      </c>
      <c r="D77" s="105" t="s">
        <v>2160</v>
      </c>
      <c r="G77" s="105" t="s">
        <v>884</v>
      </c>
      <c r="H77" s="105" t="s">
        <v>2096</v>
      </c>
      <c r="J77" s="1154" t="s">
        <v>1927</v>
      </c>
      <c r="K77" s="1154" t="s">
        <v>1928</v>
      </c>
      <c r="L77" s="1151"/>
      <c r="M77" s="1151"/>
      <c r="N77" s="1151"/>
    </row>
    <row r="78" spans="3:14">
      <c r="C78" s="105" t="s">
        <v>2169</v>
      </c>
      <c r="D78" s="105" t="s">
        <v>766</v>
      </c>
      <c r="F78" s="99" t="s">
        <v>1929</v>
      </c>
      <c r="G78" s="106" t="s">
        <v>637</v>
      </c>
      <c r="H78" s="105" t="s">
        <v>2097</v>
      </c>
      <c r="J78" s="1154" t="s">
        <v>1930</v>
      </c>
      <c r="K78" s="1154" t="s">
        <v>741</v>
      </c>
      <c r="L78" s="1151"/>
      <c r="M78" s="1151"/>
      <c r="N78" s="1151"/>
    </row>
    <row r="79" spans="3:14">
      <c r="C79" s="107"/>
      <c r="D79" s="107"/>
      <c r="E79" s="107"/>
      <c r="F79" s="107"/>
      <c r="G79" s="108" t="s">
        <v>2099</v>
      </c>
      <c r="H79" s="108" t="s">
        <v>678</v>
      </c>
      <c r="I79" s="107"/>
      <c r="J79" s="1155" t="s">
        <v>679</v>
      </c>
      <c r="K79" s="1155" t="s">
        <v>680</v>
      </c>
      <c r="L79" s="1151"/>
      <c r="M79" s="1151"/>
      <c r="N79" s="1151"/>
    </row>
    <row r="80" spans="3:14">
      <c r="L80" s="1151"/>
      <c r="M80" s="1151"/>
      <c r="N80" s="1151"/>
    </row>
    <row r="81" spans="2:14" ht="15.6">
      <c r="C81" s="105">
        <v>1</v>
      </c>
      <c r="F81" s="1283" t="s">
        <v>1262</v>
      </c>
      <c r="L81" s="1151"/>
      <c r="M81" s="1151"/>
      <c r="N81" s="1151"/>
    </row>
    <row r="82" spans="2:14" ht="15.6">
      <c r="C82" s="105">
        <v>2</v>
      </c>
      <c r="F82" s="1283" t="s">
        <v>528</v>
      </c>
      <c r="L82" s="1151"/>
      <c r="M82" s="1151"/>
      <c r="N82" s="1151"/>
    </row>
    <row r="83" spans="2:14" ht="15.6">
      <c r="C83" s="105">
        <v>3</v>
      </c>
      <c r="F83" s="1283" t="s">
        <v>529</v>
      </c>
      <c r="L83" s="1151"/>
      <c r="M83" s="1151"/>
      <c r="N83" s="1151"/>
    </row>
    <row r="84" spans="2:14" ht="15.6">
      <c r="C84" s="105">
        <v>4</v>
      </c>
      <c r="F84" s="1283" t="s">
        <v>530</v>
      </c>
      <c r="L84" s="1151"/>
      <c r="M84" s="1151"/>
      <c r="N84" s="1151"/>
    </row>
    <row r="85" spans="2:14">
      <c r="B85" s="98">
        <v>711000</v>
      </c>
      <c r="C85" s="105">
        <v>5</v>
      </c>
      <c r="D85" s="105">
        <v>711000</v>
      </c>
      <c r="F85" s="101" t="s">
        <v>531</v>
      </c>
      <c r="G85" s="110">
        <f t="shared" ref="G85:G89" si="9">ROUND(VLOOKUP(B85,FPERIOD,5,FALSE),0)</f>
        <v>0</v>
      </c>
      <c r="H85" s="111">
        <f t="shared" ref="H85:H89" si="10">VLOOKUP(K85,ALLOCTABLE,2)</f>
        <v>100</v>
      </c>
      <c r="J85" s="1156">
        <f>ROUND(G85*(H85/100),0)</f>
        <v>0</v>
      </c>
      <c r="K85" s="1154" t="s">
        <v>591</v>
      </c>
      <c r="L85" s="1151"/>
      <c r="M85" s="1151"/>
      <c r="N85" s="1151"/>
    </row>
    <row r="86" spans="2:14">
      <c r="B86" s="98">
        <v>712000</v>
      </c>
      <c r="C86" s="105">
        <v>6</v>
      </c>
      <c r="D86" s="120">
        <v>712000</v>
      </c>
      <c r="F86" s="101" t="s">
        <v>532</v>
      </c>
      <c r="G86" s="110">
        <f t="shared" si="9"/>
        <v>0</v>
      </c>
      <c r="H86" s="111">
        <f t="shared" si="10"/>
        <v>100</v>
      </c>
      <c r="J86" s="1156">
        <f>ROUND(G86*(H86/100),0)</f>
        <v>0</v>
      </c>
      <c r="K86" s="1154" t="s">
        <v>591</v>
      </c>
      <c r="L86" s="1151"/>
      <c r="M86" s="1151"/>
      <c r="N86" s="1151"/>
    </row>
    <row r="87" spans="2:14">
      <c r="B87" s="98">
        <v>717000</v>
      </c>
      <c r="C87" s="105">
        <v>7</v>
      </c>
      <c r="D87" s="120">
        <v>717000</v>
      </c>
      <c r="F87" s="101" t="s">
        <v>533</v>
      </c>
      <c r="G87" s="110">
        <f t="shared" si="9"/>
        <v>145617</v>
      </c>
      <c r="H87" s="111">
        <f t="shared" si="10"/>
        <v>100</v>
      </c>
      <c r="J87" s="1156">
        <f>ROUND(G87*(H87/100),0)</f>
        <v>145617</v>
      </c>
      <c r="K87" s="1154" t="s">
        <v>591</v>
      </c>
      <c r="L87" s="1151"/>
      <c r="M87" s="1151"/>
      <c r="N87" s="1151"/>
    </row>
    <row r="88" spans="2:14">
      <c r="B88" s="98">
        <v>728000</v>
      </c>
      <c r="C88" s="105">
        <v>8</v>
      </c>
      <c r="D88" s="120">
        <v>728000</v>
      </c>
      <c r="F88" s="101" t="s">
        <v>534</v>
      </c>
      <c r="G88" s="110">
        <f t="shared" si="9"/>
        <v>541028</v>
      </c>
      <c r="H88" s="111">
        <f t="shared" si="10"/>
        <v>100</v>
      </c>
      <c r="J88" s="1156">
        <f>ROUND(G88*(H88/100),0)</f>
        <v>541028</v>
      </c>
      <c r="K88" s="1154" t="s">
        <v>591</v>
      </c>
      <c r="L88" s="1151"/>
      <c r="M88" s="1151"/>
      <c r="N88" s="1151"/>
    </row>
    <row r="89" spans="2:14">
      <c r="B89" s="98">
        <v>735000</v>
      </c>
      <c r="C89" s="105">
        <v>9</v>
      </c>
      <c r="D89" s="120">
        <v>735000</v>
      </c>
      <c r="F89" s="1181" t="s">
        <v>535</v>
      </c>
      <c r="G89" s="110">
        <f t="shared" si="9"/>
        <v>132380</v>
      </c>
      <c r="H89" s="111">
        <f t="shared" si="10"/>
        <v>100</v>
      </c>
      <c r="J89" s="1156">
        <f>ROUND(G89*(H89/100),0)</f>
        <v>132380</v>
      </c>
      <c r="K89" s="1154" t="s">
        <v>591</v>
      </c>
      <c r="L89" s="1151"/>
      <c r="M89" s="1151"/>
      <c r="N89" s="1151"/>
    </row>
    <row r="90" spans="2:14">
      <c r="C90" s="105">
        <v>10</v>
      </c>
      <c r="F90" s="101" t="s">
        <v>536</v>
      </c>
      <c r="G90" s="113">
        <f>SUM(G85:G89)</f>
        <v>819025</v>
      </c>
      <c r="J90" s="1157">
        <f>SUM(J85:J89)</f>
        <v>819025</v>
      </c>
      <c r="L90" s="1151"/>
      <c r="M90" s="1151"/>
      <c r="N90" s="1151"/>
    </row>
    <row r="91" spans="2:14">
      <c r="C91" s="105">
        <v>11</v>
      </c>
      <c r="F91" s="101"/>
      <c r="L91" s="1151"/>
      <c r="M91" s="1151"/>
      <c r="N91" s="1151"/>
    </row>
    <row r="92" spans="2:14" ht="15.6">
      <c r="C92" s="105">
        <v>12</v>
      </c>
      <c r="F92" s="1283" t="s">
        <v>537</v>
      </c>
      <c r="L92" s="1151"/>
      <c r="M92" s="1151"/>
      <c r="N92" s="1151"/>
    </row>
    <row r="93" spans="2:14">
      <c r="B93" s="98">
        <v>742000</v>
      </c>
      <c r="C93" s="105">
        <v>13</v>
      </c>
      <c r="D93" s="105">
        <v>742000</v>
      </c>
      <c r="F93" s="101" t="s">
        <v>538</v>
      </c>
      <c r="G93" s="110">
        <f>ROUND(VLOOKUP(B93,FPERIOD,5,FALSE),0)</f>
        <v>92578</v>
      </c>
      <c r="H93" s="111">
        <f>VLOOKUP(K93,ALLOCTABLE,2)</f>
        <v>100</v>
      </c>
      <c r="J93" s="1156">
        <f>ROUND(G93*(H93/100),0)</f>
        <v>92578</v>
      </c>
      <c r="K93" s="1154" t="s">
        <v>591</v>
      </c>
      <c r="L93" s="1151"/>
      <c r="M93" s="1151"/>
      <c r="N93" s="1151"/>
    </row>
    <row r="94" spans="2:14">
      <c r="C94" s="105">
        <v>14</v>
      </c>
      <c r="F94" s="101" t="s">
        <v>539</v>
      </c>
      <c r="G94" s="113">
        <f>SUM(G93:G93)</f>
        <v>92578</v>
      </c>
      <c r="J94" s="1157">
        <f>SUM(J93:J93)</f>
        <v>92578</v>
      </c>
      <c r="L94" s="1151"/>
      <c r="M94" s="1151"/>
      <c r="N94" s="1151"/>
    </row>
    <row r="95" spans="2:14">
      <c r="C95" s="105">
        <v>15</v>
      </c>
      <c r="F95" s="101" t="s">
        <v>540</v>
      </c>
      <c r="G95" s="121">
        <f>G90+G94</f>
        <v>911603</v>
      </c>
      <c r="J95" s="1160">
        <f>J90+J94</f>
        <v>911603</v>
      </c>
      <c r="L95" s="1151"/>
      <c r="M95" s="1151"/>
      <c r="N95" s="1151"/>
    </row>
    <row r="96" spans="2:14">
      <c r="C96" s="105">
        <v>16</v>
      </c>
      <c r="L96" s="1151"/>
      <c r="M96" s="1151"/>
      <c r="N96" s="1151"/>
    </row>
    <row r="97" spans="2:14" ht="15.6">
      <c r="B97" s="96"/>
      <c r="C97" s="105">
        <v>17</v>
      </c>
      <c r="F97" s="1283" t="s">
        <v>541</v>
      </c>
      <c r="L97" s="1151"/>
      <c r="M97" s="1151"/>
      <c r="N97" s="1151"/>
    </row>
    <row r="98" spans="2:14" ht="15.6">
      <c r="B98" s="96"/>
      <c r="C98" s="105">
        <v>18</v>
      </c>
      <c r="F98" s="1283" t="s">
        <v>542</v>
      </c>
      <c r="L98" s="1151"/>
      <c r="M98" s="1151"/>
      <c r="N98" s="1151"/>
    </row>
    <row r="99" spans="2:14">
      <c r="B99" s="122">
        <v>801</v>
      </c>
      <c r="C99" s="105">
        <v>19</v>
      </c>
      <c r="D99" s="123">
        <v>801</v>
      </c>
      <c r="F99" s="101" t="s">
        <v>2365</v>
      </c>
      <c r="G99" s="126">
        <f t="array" aca="1" ref="G99" ca="1">SUM(IF(FERCFP=B99,AmountFP))</f>
        <v>36334092</v>
      </c>
      <c r="H99" s="111">
        <f>VLOOKUP(K99,ALLOCTABLE,2)</f>
        <v>100</v>
      </c>
      <c r="J99" s="1156">
        <f ca="1">ROUND(G99*(H99/100),0)</f>
        <v>36334092</v>
      </c>
      <c r="K99" s="1154" t="s">
        <v>591</v>
      </c>
      <c r="L99" s="1151"/>
      <c r="M99" s="1151"/>
      <c r="N99" s="1151"/>
    </row>
    <row r="100" spans="2:14">
      <c r="B100" s="122">
        <v>805002</v>
      </c>
      <c r="C100" s="105">
        <v>20</v>
      </c>
      <c r="D100" s="123">
        <v>805002</v>
      </c>
      <c r="F100" s="101" t="s">
        <v>543</v>
      </c>
      <c r="G100" s="110">
        <f>ROUND(VLOOKUP(B100,FPERIOD,5,FALSE),0)</f>
        <v>0</v>
      </c>
      <c r="H100" s="111">
        <f>VLOOKUP(K100,ALLOCTABLE,2)</f>
        <v>100</v>
      </c>
      <c r="J100" s="1156">
        <f>ROUND(G100*(H100/100),0)</f>
        <v>0</v>
      </c>
      <c r="K100" s="1154" t="s">
        <v>591</v>
      </c>
      <c r="L100" s="1151"/>
      <c r="M100" s="1151"/>
      <c r="N100" s="1151"/>
    </row>
    <row r="101" spans="2:14">
      <c r="B101" s="122">
        <v>805003</v>
      </c>
      <c r="C101" s="105">
        <v>21</v>
      </c>
      <c r="D101" s="123">
        <v>805003</v>
      </c>
      <c r="F101" s="101" t="s">
        <v>15</v>
      </c>
      <c r="G101" s="110">
        <f>ROUND(VLOOKUP(B101,FPERIOD,5,FALSE),0)</f>
        <v>80549</v>
      </c>
      <c r="H101" s="111">
        <f>VLOOKUP(K101,ALLOCTABLE,2)</f>
        <v>100</v>
      </c>
      <c r="J101" s="1156">
        <f>ROUND(G101*(H101/100),0)</f>
        <v>80549</v>
      </c>
      <c r="K101" s="1154" t="s">
        <v>591</v>
      </c>
      <c r="L101" s="1151"/>
      <c r="M101" s="1151"/>
      <c r="N101" s="1151"/>
    </row>
    <row r="102" spans="2:14">
      <c r="B102" s="122">
        <v>807</v>
      </c>
      <c r="C102" s="105">
        <v>22</v>
      </c>
      <c r="D102" s="123">
        <v>807</v>
      </c>
      <c r="F102" s="101" t="s">
        <v>443</v>
      </c>
      <c r="G102" s="126">
        <f t="array" aca="1" ref="G102" ca="1">SUM(IF(FERCFP=B102,AmountFP))</f>
        <v>444020</v>
      </c>
      <c r="H102" s="111">
        <f>VLOOKUP(K102,ALLOCTABLE,2)</f>
        <v>100</v>
      </c>
      <c r="J102" s="1156">
        <f ca="1">ROUND(G102*(H102/100),0)</f>
        <v>444020</v>
      </c>
      <c r="K102" s="1154" t="s">
        <v>591</v>
      </c>
      <c r="L102" s="1151"/>
      <c r="M102" s="1151"/>
      <c r="N102" s="1151"/>
    </row>
    <row r="103" spans="2:14">
      <c r="B103" s="122">
        <v>813001</v>
      </c>
      <c r="C103" s="105">
        <v>23</v>
      </c>
      <c r="D103" s="123">
        <v>813001</v>
      </c>
      <c r="F103" s="101" t="s">
        <v>541</v>
      </c>
      <c r="G103" s="110">
        <f>ROUND(VLOOKUP(B103,FPERIOD,5,FALSE),0)</f>
        <v>0</v>
      </c>
      <c r="H103" s="111">
        <f>VLOOKUP(K103,ALLOCTABLE,2)</f>
        <v>100</v>
      </c>
      <c r="J103" s="1156">
        <f>ROUND(G103*(H103/100),0)</f>
        <v>0</v>
      </c>
      <c r="K103" s="1154" t="s">
        <v>591</v>
      </c>
      <c r="L103" s="1151"/>
      <c r="M103" s="1151"/>
      <c r="N103" s="1151"/>
    </row>
    <row r="104" spans="2:14">
      <c r="B104" s="122"/>
      <c r="C104" s="105">
        <v>24</v>
      </c>
      <c r="D104" s="124"/>
      <c r="F104" s="101" t="s">
        <v>444</v>
      </c>
      <c r="G104" s="113">
        <f ca="1">SUM(G99:G103)</f>
        <v>36858661</v>
      </c>
      <c r="J104" s="1157">
        <f ca="1">SUM(J99:J103)</f>
        <v>36858661</v>
      </c>
      <c r="K104" s="1154"/>
      <c r="L104" s="1151"/>
      <c r="M104" s="1151"/>
      <c r="N104" s="1151"/>
    </row>
    <row r="105" spans="2:14">
      <c r="B105" s="122"/>
      <c r="C105" s="105">
        <v>25</v>
      </c>
      <c r="D105" s="123"/>
      <c r="F105" s="101"/>
      <c r="G105" s="110"/>
      <c r="H105" s="111"/>
      <c r="J105" s="1156"/>
      <c r="K105" s="1154"/>
      <c r="L105" s="1151"/>
      <c r="M105" s="1151"/>
      <c r="N105" s="1151"/>
    </row>
    <row r="106" spans="2:14" ht="15.6">
      <c r="B106" s="122"/>
      <c r="C106" s="105">
        <v>26</v>
      </c>
      <c r="D106" s="123"/>
      <c r="F106" s="1283" t="s">
        <v>999</v>
      </c>
      <c r="G106" s="110"/>
      <c r="H106" s="111"/>
      <c r="J106" s="1156"/>
      <c r="K106" s="1154"/>
      <c r="L106" s="1151"/>
      <c r="M106" s="1151"/>
      <c r="N106" s="1151"/>
    </row>
    <row r="107" spans="2:14" ht="15.6">
      <c r="B107" s="122"/>
      <c r="C107" s="105">
        <v>27</v>
      </c>
      <c r="D107" s="123"/>
      <c r="F107" s="1283" t="s">
        <v>530</v>
      </c>
      <c r="G107" s="110"/>
      <c r="H107" s="111"/>
      <c r="J107" s="1156"/>
      <c r="K107" s="1154"/>
      <c r="L107" s="1151"/>
      <c r="M107" s="1151"/>
      <c r="N107" s="1151"/>
    </row>
    <row r="108" spans="2:14">
      <c r="B108" s="1885">
        <v>850001</v>
      </c>
      <c r="C108" s="105">
        <v>28</v>
      </c>
      <c r="D108" s="116">
        <v>850001</v>
      </c>
      <c r="F108" s="101" t="s">
        <v>446</v>
      </c>
      <c r="G108" s="110">
        <f>ROUND(VLOOKUP(B108,FPERIOD,5,FALSE),0)</f>
        <v>0</v>
      </c>
      <c r="H108" s="111">
        <f>VLOOKUP(K108,ALLOCTABLE,2)</f>
        <v>100</v>
      </c>
      <c r="J108" s="1156">
        <f>ROUND(G108*(H108/100),0)</f>
        <v>0</v>
      </c>
      <c r="K108" s="1154" t="s">
        <v>591</v>
      </c>
      <c r="L108" s="1151"/>
      <c r="M108" s="1151"/>
      <c r="N108" s="1151"/>
    </row>
    <row r="109" spans="2:14">
      <c r="B109" s="122"/>
      <c r="C109" s="105">
        <v>29</v>
      </c>
      <c r="D109" s="123"/>
      <c r="F109" s="101" t="s">
        <v>536</v>
      </c>
      <c r="G109" s="113">
        <f>SUM(G108)</f>
        <v>0</v>
      </c>
      <c r="J109" s="1157">
        <f>SUM(J108)</f>
        <v>0</v>
      </c>
      <c r="K109" s="1154"/>
      <c r="L109" s="1151"/>
      <c r="M109" s="1151"/>
      <c r="N109" s="1151"/>
    </row>
    <row r="110" spans="2:14">
      <c r="B110" s="122"/>
      <c r="C110" s="105">
        <v>30</v>
      </c>
      <c r="D110" s="123"/>
      <c r="F110" s="101"/>
      <c r="G110" s="110"/>
      <c r="H110" s="111"/>
      <c r="J110" s="1156"/>
      <c r="K110" s="1154"/>
      <c r="L110" s="1151"/>
      <c r="M110" s="1151"/>
      <c r="N110" s="1151"/>
    </row>
    <row r="111" spans="2:14" ht="15.6">
      <c r="B111" s="122"/>
      <c r="C111" s="105">
        <v>31</v>
      </c>
      <c r="D111" s="123"/>
      <c r="F111" s="1283" t="s">
        <v>537</v>
      </c>
      <c r="G111" s="110"/>
      <c r="H111" s="111"/>
      <c r="J111" s="1156"/>
      <c r="K111" s="1154"/>
      <c r="L111" s="1151"/>
      <c r="M111" s="1151"/>
      <c r="N111" s="1151"/>
    </row>
    <row r="112" spans="2:14">
      <c r="B112" s="1885">
        <v>863000</v>
      </c>
      <c r="C112" s="105">
        <v>32</v>
      </c>
      <c r="D112" s="116">
        <v>863000</v>
      </c>
      <c r="F112" s="101" t="s">
        <v>446</v>
      </c>
      <c r="G112" s="110">
        <f>ROUND(VLOOKUP(B112,FPERIOD,5,FALSE),0)</f>
        <v>0</v>
      </c>
      <c r="H112" s="111">
        <f>VLOOKUP(K112,ALLOCTABLE,2)</f>
        <v>100</v>
      </c>
      <c r="J112" s="1156">
        <f>ROUND(G112*(H112/100),0)</f>
        <v>0</v>
      </c>
      <c r="K112" s="1154" t="s">
        <v>591</v>
      </c>
      <c r="L112" s="1151"/>
      <c r="M112" s="1151"/>
      <c r="N112" s="1151"/>
    </row>
    <row r="113" spans="2:14">
      <c r="B113" s="1885"/>
      <c r="C113" s="105">
        <v>33</v>
      </c>
      <c r="D113" s="116"/>
      <c r="F113" s="101" t="s">
        <v>539</v>
      </c>
      <c r="G113" s="113">
        <f>SUM(G112)</f>
        <v>0</v>
      </c>
      <c r="J113" s="1157">
        <f>SUM(J112)</f>
        <v>0</v>
      </c>
      <c r="K113" s="1154"/>
      <c r="L113" s="1151"/>
      <c r="M113" s="1151"/>
      <c r="N113" s="1151"/>
    </row>
    <row r="114" spans="2:14">
      <c r="B114" s="1885"/>
      <c r="C114" s="105">
        <v>34</v>
      </c>
      <c r="D114" s="116"/>
      <c r="F114" s="1181" t="s">
        <v>2674</v>
      </c>
      <c r="G114" s="113">
        <f>G109+G113</f>
        <v>0</v>
      </c>
      <c r="J114" s="1157">
        <f>J109+J113</f>
        <v>0</v>
      </c>
      <c r="K114" s="1154"/>
      <c r="L114" s="1151"/>
      <c r="M114" s="1151"/>
      <c r="N114" s="1151"/>
    </row>
    <row r="115" spans="2:14">
      <c r="B115" s="122"/>
      <c r="C115" s="105"/>
      <c r="D115" s="123"/>
      <c r="F115" s="101"/>
      <c r="G115" s="110"/>
      <c r="H115" s="111"/>
      <c r="J115" s="1156"/>
      <c r="K115" s="1154"/>
      <c r="L115" s="1151"/>
      <c r="M115" s="1151"/>
      <c r="N115" s="1151"/>
    </row>
    <row r="116" spans="2:14">
      <c r="B116" s="96"/>
      <c r="L116" s="1151"/>
      <c r="M116" s="1151"/>
      <c r="N116" s="1151"/>
    </row>
    <row r="117" spans="2:14">
      <c r="C117" s="101"/>
      <c r="L117" s="1151"/>
      <c r="M117" s="1151"/>
      <c r="N117" s="1151"/>
    </row>
    <row r="118" spans="2:14">
      <c r="C118" s="99" t="str">
        <f>COMPANY</f>
        <v>DUKE ENERGY KENTUCKY, INC.</v>
      </c>
      <c r="D118" s="100"/>
      <c r="E118" s="100"/>
      <c r="F118" s="99"/>
      <c r="G118" s="100"/>
      <c r="H118" s="100"/>
      <c r="I118" s="100"/>
      <c r="J118" s="1150"/>
      <c r="K118" s="1150"/>
      <c r="L118" s="1151"/>
      <c r="M118" s="1151"/>
      <c r="N118" s="1151"/>
    </row>
    <row r="119" spans="2:14">
      <c r="C119" s="99" t="str">
        <f>CASE</f>
        <v>CASE NO. 2018-00261</v>
      </c>
      <c r="D119" s="100"/>
      <c r="E119" s="100"/>
      <c r="F119" s="99"/>
      <c r="G119" s="100"/>
      <c r="H119" s="100"/>
      <c r="I119" s="100"/>
      <c r="J119" s="1150"/>
      <c r="K119" s="1150"/>
      <c r="L119" s="1151"/>
      <c r="M119" s="1151"/>
      <c r="N119" s="1151"/>
    </row>
    <row r="120" spans="2:14">
      <c r="C120" s="99" t="s">
        <v>2043</v>
      </c>
      <c r="D120" s="100"/>
      <c r="E120" s="99"/>
      <c r="F120" s="100"/>
      <c r="G120" s="100"/>
      <c r="H120" s="100"/>
      <c r="I120" s="100"/>
      <c r="J120" s="1150"/>
      <c r="K120" s="1150"/>
      <c r="L120" s="1151"/>
      <c r="M120" s="1151"/>
      <c r="N120" s="1151"/>
    </row>
    <row r="121" spans="2:14">
      <c r="C121" s="99" t="str">
        <f>LOGO!$B$8</f>
        <v>FOR THE TWELVE MONTHS ENDED MARCH 31, 2020</v>
      </c>
      <c r="D121" s="100"/>
      <c r="E121" s="100"/>
      <c r="F121" s="99"/>
      <c r="G121" s="100"/>
      <c r="H121" s="100"/>
      <c r="I121" s="100"/>
      <c r="J121" s="1150"/>
      <c r="K121" s="1150"/>
      <c r="L121" s="1151"/>
      <c r="M121" s="1151"/>
      <c r="N121" s="1151"/>
    </row>
    <row r="122" spans="2:14">
      <c r="C122" s="100"/>
      <c r="D122" s="100"/>
      <c r="E122" s="100"/>
      <c r="F122" s="100"/>
      <c r="G122" s="100"/>
      <c r="H122" s="100"/>
      <c r="I122" s="100"/>
      <c r="L122" s="1151"/>
      <c r="M122" s="1151"/>
      <c r="N122" s="1151"/>
    </row>
    <row r="123" spans="2:14">
      <c r="J123" s="1152" t="str">
        <f>"                    "&amp;"SCHEDULE C-2.1"</f>
        <v xml:space="preserve">                    SCHEDULE C-2.1</v>
      </c>
      <c r="L123" s="1151"/>
      <c r="M123" s="1151"/>
      <c r="N123" s="1151"/>
    </row>
    <row r="124" spans="2:14">
      <c r="C124" s="102" t="str">
        <f>DataF</f>
        <v>DATA:  BASE PERIOD  "X" FORECASTED PERIOD</v>
      </c>
      <c r="J124" s="1152" t="str">
        <f>"                    "&amp;"PAGE  12  OF  16"</f>
        <v xml:space="preserve">                    PAGE  12  OF  16</v>
      </c>
      <c r="L124" s="1151"/>
      <c r="M124" s="1151"/>
      <c r="N124" s="1151"/>
    </row>
    <row r="125" spans="2:14">
      <c r="C125" s="102" t="str">
        <f>Type</f>
        <v xml:space="preserve">TYPE OF FILING:  "X" ORIGINAL   UPDATED    REVISED  </v>
      </c>
      <c r="J125" s="1152" t="str">
        <f>"                    "&amp;"WITNESS RESPONSIBLE:"</f>
        <v xml:space="preserve">                    WITNESS RESPONSIBLE:</v>
      </c>
      <c r="L125" s="1151"/>
      <c r="M125" s="1151"/>
      <c r="N125" s="1151"/>
    </row>
    <row r="126" spans="2:14">
      <c r="C126" s="101" t="str">
        <f>$C$9</f>
        <v>WORK PAPER REFERENCE NO(S).: WPC-2.1a</v>
      </c>
      <c r="J126" s="1152" t="str">
        <f>"                    "&amp;_WIT1</f>
        <v xml:space="preserve">                    S. E. LAWLER</v>
      </c>
      <c r="L126" s="1151"/>
      <c r="M126" s="1151"/>
      <c r="N126" s="1151"/>
    </row>
    <row r="127" spans="2:14">
      <c r="C127" s="103"/>
      <c r="D127" s="104"/>
      <c r="E127" s="104"/>
      <c r="F127" s="104"/>
      <c r="G127" s="104"/>
      <c r="H127" s="104"/>
      <c r="I127" s="104"/>
      <c r="J127" s="1153"/>
      <c r="K127" s="1153"/>
      <c r="L127" s="1151"/>
      <c r="M127" s="1151"/>
      <c r="N127" s="1151"/>
    </row>
    <row r="128" spans="2:14">
      <c r="G128" s="105" t="s">
        <v>1927</v>
      </c>
      <c r="H128" s="106" t="s">
        <v>2094</v>
      </c>
      <c r="K128" s="1154" t="s">
        <v>686</v>
      </c>
      <c r="L128" s="1151"/>
      <c r="M128" s="1151"/>
      <c r="N128" s="1151"/>
    </row>
    <row r="129" spans="1:14">
      <c r="C129" s="105" t="s">
        <v>567</v>
      </c>
      <c r="D129" s="105" t="s">
        <v>2160</v>
      </c>
      <c r="G129" s="105" t="s">
        <v>884</v>
      </c>
      <c r="H129" s="105" t="s">
        <v>2096</v>
      </c>
      <c r="J129" s="1154" t="s">
        <v>1927</v>
      </c>
      <c r="K129" s="1154" t="s">
        <v>1928</v>
      </c>
      <c r="L129" s="1151"/>
      <c r="M129" s="1151"/>
      <c r="N129" s="1151"/>
    </row>
    <row r="130" spans="1:14">
      <c r="C130" s="105" t="s">
        <v>2169</v>
      </c>
      <c r="D130" s="105" t="s">
        <v>766</v>
      </c>
      <c r="F130" s="99" t="s">
        <v>1929</v>
      </c>
      <c r="G130" s="106" t="s">
        <v>637</v>
      </c>
      <c r="H130" s="105" t="s">
        <v>2097</v>
      </c>
      <c r="J130" s="1154" t="s">
        <v>1930</v>
      </c>
      <c r="K130" s="1154" t="s">
        <v>741</v>
      </c>
      <c r="L130" s="1151"/>
      <c r="M130" s="1151"/>
      <c r="N130" s="1151"/>
    </row>
    <row r="131" spans="1:14">
      <c r="C131" s="107"/>
      <c r="D131" s="107"/>
      <c r="E131" s="107"/>
      <c r="F131" s="107"/>
      <c r="G131" s="108" t="s">
        <v>2099</v>
      </c>
      <c r="H131" s="108" t="s">
        <v>678</v>
      </c>
      <c r="I131" s="107"/>
      <c r="J131" s="1155" t="s">
        <v>679</v>
      </c>
      <c r="K131" s="1155" t="s">
        <v>680</v>
      </c>
      <c r="L131" s="1151"/>
      <c r="M131" s="1151"/>
      <c r="N131" s="1151"/>
    </row>
    <row r="132" spans="1:14">
      <c r="L132" s="1151"/>
      <c r="M132" s="1151"/>
      <c r="N132" s="1151"/>
    </row>
    <row r="133" spans="1:14" ht="15.6">
      <c r="C133" s="105">
        <v>1</v>
      </c>
      <c r="D133" s="124"/>
      <c r="F133" s="1283" t="s">
        <v>445</v>
      </c>
      <c r="L133" s="1151"/>
      <c r="M133" s="1151"/>
      <c r="N133" s="1151"/>
    </row>
    <row r="134" spans="1:14">
      <c r="C134" s="106">
        <v>2</v>
      </c>
      <c r="L134" s="1151"/>
      <c r="M134" s="1151"/>
      <c r="N134" s="1151"/>
    </row>
    <row r="135" spans="1:14" ht="15.6">
      <c r="C135" s="105">
        <v>3</v>
      </c>
      <c r="D135" s="124"/>
      <c r="F135" s="1283" t="s">
        <v>530</v>
      </c>
      <c r="L135" s="1151"/>
      <c r="M135" s="1151"/>
      <c r="N135" s="1151"/>
    </row>
    <row r="136" spans="1:14">
      <c r="B136" s="1885">
        <v>871000</v>
      </c>
      <c r="C136" s="105">
        <v>5</v>
      </c>
      <c r="D136" s="116">
        <v>871000</v>
      </c>
      <c r="F136" s="101" t="s">
        <v>447</v>
      </c>
      <c r="G136" s="110">
        <f t="shared" ref="G136:G142" si="11">ROUND(VLOOKUP(B136,FPERIOD,5,FALSE),0)</f>
        <v>185332</v>
      </c>
      <c r="H136" s="111">
        <f t="shared" ref="H136:H142" si="12">VLOOKUP(K136,ALLOCTABLE,2)</f>
        <v>100</v>
      </c>
      <c r="J136" s="1156">
        <f t="shared" ref="J136:J142" si="13">ROUND(G136*(H136/100),0)</f>
        <v>185332</v>
      </c>
      <c r="K136" s="1154" t="s">
        <v>591</v>
      </c>
      <c r="L136" s="1151"/>
      <c r="M136" s="1151"/>
      <c r="N136" s="1151"/>
    </row>
    <row r="137" spans="1:14">
      <c r="B137" s="1885">
        <v>874000</v>
      </c>
      <c r="C137" s="106">
        <v>6</v>
      </c>
      <c r="D137" s="116">
        <v>874000</v>
      </c>
      <c r="F137" s="101" t="s">
        <v>448</v>
      </c>
      <c r="G137" s="110">
        <f t="shared" si="11"/>
        <v>2548186</v>
      </c>
      <c r="H137" s="111">
        <f t="shared" si="12"/>
        <v>100</v>
      </c>
      <c r="J137" s="1156">
        <f t="shared" si="13"/>
        <v>2548186</v>
      </c>
      <c r="K137" s="1154" t="s">
        <v>591</v>
      </c>
      <c r="L137" s="1151"/>
      <c r="M137" s="1151"/>
      <c r="N137" s="1151"/>
    </row>
    <row r="138" spans="1:14">
      <c r="B138" s="1885">
        <v>875000</v>
      </c>
      <c r="C138" s="105">
        <v>7</v>
      </c>
      <c r="D138" s="116">
        <v>875000</v>
      </c>
      <c r="F138" s="101" t="s">
        <v>449</v>
      </c>
      <c r="G138" s="110">
        <f t="shared" si="11"/>
        <v>0</v>
      </c>
      <c r="H138" s="111">
        <f t="shared" si="12"/>
        <v>100</v>
      </c>
      <c r="J138" s="1156">
        <f t="shared" si="13"/>
        <v>0</v>
      </c>
      <c r="K138" s="1154" t="s">
        <v>591</v>
      </c>
      <c r="L138" s="1151"/>
      <c r="M138" s="1151"/>
      <c r="N138" s="1151"/>
    </row>
    <row r="139" spans="1:14">
      <c r="B139" s="1885">
        <v>876000</v>
      </c>
      <c r="C139" s="105">
        <v>8</v>
      </c>
      <c r="D139" s="116">
        <v>876000</v>
      </c>
      <c r="F139" s="101" t="s">
        <v>1000</v>
      </c>
      <c r="G139" s="110">
        <f t="shared" si="11"/>
        <v>0</v>
      </c>
      <c r="H139" s="111">
        <f t="shared" si="12"/>
        <v>100</v>
      </c>
      <c r="J139" s="1156">
        <f t="shared" si="13"/>
        <v>0</v>
      </c>
      <c r="K139" s="1154" t="s">
        <v>591</v>
      </c>
      <c r="L139" s="1151"/>
      <c r="M139" s="1151"/>
      <c r="N139" s="1151"/>
    </row>
    <row r="140" spans="1:14">
      <c r="B140" s="1885">
        <v>878000</v>
      </c>
      <c r="C140" s="105">
        <v>9</v>
      </c>
      <c r="D140" s="116">
        <v>878000</v>
      </c>
      <c r="F140" s="101" t="s">
        <v>1001</v>
      </c>
      <c r="G140" s="110">
        <f t="shared" si="11"/>
        <v>2305785</v>
      </c>
      <c r="H140" s="111">
        <f t="shared" si="12"/>
        <v>100</v>
      </c>
      <c r="J140" s="1156">
        <f t="shared" si="13"/>
        <v>2305785</v>
      </c>
      <c r="K140" s="1154" t="s">
        <v>591</v>
      </c>
      <c r="L140" s="1151"/>
      <c r="M140" s="1151"/>
      <c r="N140" s="1151"/>
    </row>
    <row r="141" spans="1:14">
      <c r="B141" s="1885">
        <v>879000</v>
      </c>
      <c r="C141" s="106">
        <v>10</v>
      </c>
      <c r="D141" s="116">
        <v>879000</v>
      </c>
      <c r="F141" s="101" t="s">
        <v>1002</v>
      </c>
      <c r="G141" s="110">
        <f t="shared" si="11"/>
        <v>1353005</v>
      </c>
      <c r="H141" s="111">
        <f t="shared" si="12"/>
        <v>100</v>
      </c>
      <c r="J141" s="1156">
        <f t="shared" si="13"/>
        <v>1353005</v>
      </c>
      <c r="K141" s="1154" t="s">
        <v>591</v>
      </c>
      <c r="L141" s="1151"/>
      <c r="M141" s="1151"/>
      <c r="N141" s="1151"/>
    </row>
    <row r="142" spans="1:14">
      <c r="B142" s="1885">
        <v>880000</v>
      </c>
      <c r="C142" s="105">
        <v>11</v>
      </c>
      <c r="D142" s="116">
        <v>880000</v>
      </c>
      <c r="F142" s="101" t="s">
        <v>1003</v>
      </c>
      <c r="G142" s="110">
        <f t="shared" si="11"/>
        <v>2398505</v>
      </c>
      <c r="H142" s="111">
        <f t="shared" si="12"/>
        <v>100</v>
      </c>
      <c r="J142" s="1156">
        <f t="shared" si="13"/>
        <v>2398505</v>
      </c>
      <c r="K142" s="1154" t="s">
        <v>591</v>
      </c>
      <c r="L142" s="1151"/>
      <c r="M142" s="1151"/>
      <c r="N142" s="1151"/>
    </row>
    <row r="143" spans="1:14">
      <c r="C143" s="105">
        <v>12</v>
      </c>
      <c r="F143" s="101" t="s">
        <v>536</v>
      </c>
      <c r="G143" s="113">
        <f>SUM(G136:G142)</f>
        <v>8790813</v>
      </c>
      <c r="J143" s="1157">
        <f>SUM(J136:J142)</f>
        <v>8790813</v>
      </c>
      <c r="L143" s="1151"/>
      <c r="M143" s="1151"/>
      <c r="N143" s="1151"/>
    </row>
    <row r="144" spans="1:14">
      <c r="A144" s="125"/>
      <c r="C144" s="105">
        <v>13</v>
      </c>
      <c r="G144" s="114"/>
      <c r="J144" s="1161"/>
      <c r="L144" s="1151"/>
      <c r="M144" s="1151"/>
      <c r="N144" s="1151"/>
    </row>
    <row r="145" spans="1:14">
      <c r="A145" s="125"/>
      <c r="C145" s="106">
        <v>14</v>
      </c>
      <c r="G145" s="126"/>
      <c r="L145" s="1151"/>
      <c r="M145" s="1151"/>
      <c r="N145" s="1151"/>
    </row>
    <row r="146" spans="1:14" ht="15.6">
      <c r="A146" s="125"/>
      <c r="C146" s="105">
        <v>15</v>
      </c>
      <c r="F146" s="1283" t="s">
        <v>537</v>
      </c>
      <c r="L146" s="1151"/>
      <c r="M146" s="1151"/>
      <c r="N146" s="1151"/>
    </row>
    <row r="147" spans="1:14">
      <c r="A147" s="125"/>
      <c r="B147" s="1885">
        <v>887000</v>
      </c>
      <c r="C147" s="105">
        <v>16</v>
      </c>
      <c r="D147" s="116">
        <v>887000</v>
      </c>
      <c r="F147" s="66" t="s">
        <v>1004</v>
      </c>
      <c r="G147" s="110">
        <f t="shared" ref="G147:G151" si="14">ROUND(VLOOKUP(B147,FPERIOD,5,FALSE),0)</f>
        <v>2158350</v>
      </c>
      <c r="H147" s="111">
        <f t="shared" ref="H147:H151" si="15">VLOOKUP(K147,ALLOCTABLE,2)</f>
        <v>100</v>
      </c>
      <c r="J147" s="1156">
        <f>ROUND(G147*(H147/100),0)</f>
        <v>2158350</v>
      </c>
      <c r="K147" s="1154" t="s">
        <v>591</v>
      </c>
      <c r="L147" s="1151"/>
      <c r="M147" s="1151"/>
      <c r="N147" s="1151"/>
    </row>
    <row r="148" spans="1:14">
      <c r="A148" s="125"/>
      <c r="B148" s="1885">
        <v>889000</v>
      </c>
      <c r="C148" s="105">
        <v>17</v>
      </c>
      <c r="D148" s="116">
        <v>889000</v>
      </c>
      <c r="F148" s="66" t="s">
        <v>1005</v>
      </c>
      <c r="G148" s="110">
        <f t="shared" si="14"/>
        <v>66190</v>
      </c>
      <c r="H148" s="111">
        <f t="shared" si="15"/>
        <v>100</v>
      </c>
      <c r="J148" s="1156">
        <f>ROUND(G148*(H148/100),0)</f>
        <v>66190</v>
      </c>
      <c r="K148" s="1154" t="s">
        <v>591</v>
      </c>
      <c r="L148" s="1151"/>
      <c r="M148" s="1151"/>
      <c r="N148" s="1151"/>
    </row>
    <row r="149" spans="1:14">
      <c r="A149" s="125"/>
      <c r="B149" s="1885">
        <v>892000</v>
      </c>
      <c r="C149" s="106">
        <v>18</v>
      </c>
      <c r="D149" s="116">
        <v>892000</v>
      </c>
      <c r="F149" s="66" t="s">
        <v>1557</v>
      </c>
      <c r="G149" s="110">
        <f t="shared" si="14"/>
        <v>596174</v>
      </c>
      <c r="H149" s="111">
        <f t="shared" si="15"/>
        <v>100</v>
      </c>
      <c r="J149" s="1156">
        <f>ROUND(G149*(H149/100),0)</f>
        <v>596174</v>
      </c>
      <c r="K149" s="1154" t="s">
        <v>591</v>
      </c>
      <c r="L149" s="1151"/>
      <c r="M149" s="1151"/>
      <c r="N149" s="1151"/>
    </row>
    <row r="150" spans="1:14">
      <c r="B150" s="1885">
        <v>893000</v>
      </c>
      <c r="C150" s="105">
        <v>19</v>
      </c>
      <c r="D150" s="116">
        <v>893000</v>
      </c>
      <c r="F150" s="66" t="s">
        <v>1558</v>
      </c>
      <c r="G150" s="110">
        <f t="shared" si="14"/>
        <v>277999</v>
      </c>
      <c r="H150" s="111">
        <f t="shared" si="15"/>
        <v>100</v>
      </c>
      <c r="J150" s="1156">
        <f>ROUND(G150*(H150/100),0)</f>
        <v>277999</v>
      </c>
      <c r="K150" s="1154" t="s">
        <v>591</v>
      </c>
      <c r="L150" s="1151"/>
      <c r="M150" s="1151"/>
      <c r="N150" s="1151"/>
    </row>
    <row r="151" spans="1:14">
      <c r="B151" s="1885">
        <v>894000</v>
      </c>
      <c r="C151" s="105">
        <v>20</v>
      </c>
      <c r="D151" s="116">
        <v>894000</v>
      </c>
      <c r="F151" s="66" t="s">
        <v>1559</v>
      </c>
      <c r="G151" s="110">
        <f t="shared" si="14"/>
        <v>52951</v>
      </c>
      <c r="H151" s="111">
        <f t="shared" si="15"/>
        <v>100</v>
      </c>
      <c r="J151" s="1156">
        <f>ROUND(G151*(H151/100),0)</f>
        <v>52951</v>
      </c>
      <c r="K151" s="1154" t="s">
        <v>591</v>
      </c>
      <c r="L151" s="1151"/>
      <c r="M151" s="1151"/>
      <c r="N151" s="1151"/>
    </row>
    <row r="152" spans="1:14">
      <c r="B152" s="97"/>
      <c r="C152" s="105">
        <v>21</v>
      </c>
      <c r="F152" s="101" t="s">
        <v>539</v>
      </c>
      <c r="G152" s="113">
        <f>SUM(G147:G151)</f>
        <v>3151664</v>
      </c>
      <c r="I152" s="110"/>
      <c r="J152" s="1157">
        <f>SUM(J147:J151)</f>
        <v>3151664</v>
      </c>
      <c r="L152" s="1151"/>
      <c r="M152" s="1151"/>
      <c r="N152" s="1151"/>
    </row>
    <row r="153" spans="1:14">
      <c r="C153" s="106">
        <v>22</v>
      </c>
      <c r="F153" s="101" t="s">
        <v>1608</v>
      </c>
      <c r="G153" s="113">
        <f>G143+G152</f>
        <v>11942477</v>
      </c>
      <c r="J153" s="1157">
        <f>J143+J152</f>
        <v>11942477</v>
      </c>
      <c r="L153" s="1151"/>
      <c r="M153" s="1151"/>
      <c r="N153" s="1151"/>
    </row>
    <row r="154" spans="1:14">
      <c r="G154" s="114"/>
      <c r="J154" s="1161"/>
      <c r="L154" s="1151"/>
      <c r="M154" s="1151"/>
      <c r="N154" s="1151"/>
    </row>
    <row r="155" spans="1:14">
      <c r="C155" s="99" t="str">
        <f>COMPANY</f>
        <v>DUKE ENERGY KENTUCKY, INC.</v>
      </c>
      <c r="D155" s="100"/>
      <c r="E155" s="100"/>
      <c r="F155" s="99"/>
      <c r="G155" s="100"/>
      <c r="H155" s="100"/>
      <c r="I155" s="100"/>
      <c r="J155" s="1150"/>
      <c r="K155" s="1150"/>
      <c r="L155" s="1151"/>
      <c r="M155" s="1151"/>
      <c r="N155" s="1151"/>
    </row>
    <row r="156" spans="1:14">
      <c r="C156" s="99" t="str">
        <f>CASE</f>
        <v>CASE NO. 2018-00261</v>
      </c>
      <c r="D156" s="100"/>
      <c r="E156" s="100"/>
      <c r="F156" s="99"/>
      <c r="G156" s="100"/>
      <c r="H156" s="100"/>
      <c r="I156" s="100"/>
      <c r="J156" s="1150"/>
      <c r="K156" s="1150"/>
      <c r="L156" s="1151"/>
      <c r="M156" s="1151"/>
      <c r="N156" s="1151"/>
    </row>
    <row r="157" spans="1:14">
      <c r="C157" s="99" t="s">
        <v>2043</v>
      </c>
      <c r="D157" s="100"/>
      <c r="E157" s="99"/>
      <c r="F157" s="100"/>
      <c r="G157" s="100"/>
      <c r="H157" s="100"/>
      <c r="I157" s="100"/>
      <c r="J157" s="1150"/>
      <c r="K157" s="1150"/>
      <c r="L157" s="1151"/>
      <c r="M157" s="1151"/>
      <c r="N157" s="1151"/>
    </row>
    <row r="158" spans="1:14">
      <c r="C158" s="99" t="str">
        <f>LOGO!$B$8</f>
        <v>FOR THE TWELVE MONTHS ENDED MARCH 31, 2020</v>
      </c>
      <c r="D158" s="100"/>
      <c r="E158" s="100"/>
      <c r="F158" s="99"/>
      <c r="G158" s="100"/>
      <c r="H158" s="100"/>
      <c r="I158" s="100"/>
      <c r="J158" s="1150"/>
      <c r="K158" s="1150"/>
      <c r="L158" s="1151"/>
      <c r="M158" s="1151"/>
      <c r="N158" s="1151"/>
    </row>
    <row r="159" spans="1:14">
      <c r="C159" s="100"/>
      <c r="D159" s="100"/>
      <c r="E159" s="100"/>
      <c r="F159" s="100"/>
      <c r="G159" s="100"/>
      <c r="H159" s="100"/>
      <c r="I159" s="100"/>
      <c r="L159" s="1151"/>
      <c r="M159" s="1151"/>
      <c r="N159" s="1151"/>
    </row>
    <row r="160" spans="1:14">
      <c r="J160" s="1152" t="str">
        <f>"                    "&amp;"SCHEDULE C-2.1"</f>
        <v xml:space="preserve">                    SCHEDULE C-2.1</v>
      </c>
      <c r="L160" s="1151"/>
      <c r="M160" s="1151"/>
      <c r="N160" s="1151"/>
    </row>
    <row r="161" spans="2:14">
      <c r="C161" s="102" t="str">
        <f>DataF</f>
        <v>DATA:  BASE PERIOD  "X" FORECASTED PERIOD</v>
      </c>
      <c r="J161" s="1152" t="str">
        <f>"                    "&amp;"PAGE  13  OF  16"</f>
        <v xml:space="preserve">                    PAGE  13  OF  16</v>
      </c>
      <c r="L161" s="1151"/>
      <c r="M161" s="1151"/>
      <c r="N161" s="1151"/>
    </row>
    <row r="162" spans="2:14">
      <c r="C162" s="102" t="str">
        <f>Type</f>
        <v xml:space="preserve">TYPE OF FILING:  "X" ORIGINAL   UPDATED    REVISED  </v>
      </c>
      <c r="J162" s="1152" t="str">
        <f>"                    "&amp;"WITNESS RESPONSIBLE:"</f>
        <v xml:space="preserve">                    WITNESS RESPONSIBLE:</v>
      </c>
      <c r="L162" s="1151"/>
      <c r="M162" s="1151"/>
      <c r="N162" s="1151"/>
    </row>
    <row r="163" spans="2:14">
      <c r="C163" s="101" t="str">
        <f>C9</f>
        <v>WORK PAPER REFERENCE NO(S).: WPC-2.1a</v>
      </c>
      <c r="J163" s="1152" t="str">
        <f>"                    "&amp;_WIT1</f>
        <v xml:space="preserve">                    S. E. LAWLER</v>
      </c>
      <c r="L163" s="1151"/>
      <c r="M163" s="1151"/>
      <c r="N163" s="1151"/>
    </row>
    <row r="164" spans="2:14">
      <c r="C164" s="103"/>
      <c r="D164" s="104"/>
      <c r="E164" s="104"/>
      <c r="F164" s="104"/>
      <c r="G164" s="104"/>
      <c r="H164" s="104"/>
      <c r="I164" s="104"/>
      <c r="J164" s="1153"/>
      <c r="K164" s="1153"/>
      <c r="L164" s="1151"/>
      <c r="M164" s="1151"/>
      <c r="N164" s="1151"/>
    </row>
    <row r="165" spans="2:14">
      <c r="G165" s="105" t="s">
        <v>1927</v>
      </c>
      <c r="H165" s="106" t="s">
        <v>2094</v>
      </c>
      <c r="K165" s="1154" t="s">
        <v>686</v>
      </c>
      <c r="L165" s="1151"/>
      <c r="M165" s="1151"/>
      <c r="N165" s="1151"/>
    </row>
    <row r="166" spans="2:14">
      <c r="C166" s="105" t="s">
        <v>567</v>
      </c>
      <c r="D166" s="105" t="s">
        <v>2160</v>
      </c>
      <c r="G166" s="105" t="s">
        <v>884</v>
      </c>
      <c r="H166" s="105" t="s">
        <v>2096</v>
      </c>
      <c r="J166" s="1154" t="s">
        <v>1927</v>
      </c>
      <c r="K166" s="1154" t="s">
        <v>1928</v>
      </c>
      <c r="L166" s="1151"/>
      <c r="M166" s="1151"/>
      <c r="N166" s="1151"/>
    </row>
    <row r="167" spans="2:14">
      <c r="C167" s="105" t="s">
        <v>2169</v>
      </c>
      <c r="D167" s="105" t="s">
        <v>766</v>
      </c>
      <c r="F167" s="99" t="s">
        <v>1929</v>
      </c>
      <c r="G167" s="106" t="s">
        <v>637</v>
      </c>
      <c r="H167" s="105" t="s">
        <v>2097</v>
      </c>
      <c r="J167" s="1154" t="s">
        <v>1930</v>
      </c>
      <c r="K167" s="1154" t="s">
        <v>741</v>
      </c>
      <c r="L167" s="1151"/>
      <c r="M167" s="1151"/>
      <c r="N167" s="1151"/>
    </row>
    <row r="168" spans="2:14">
      <c r="C168" s="107"/>
      <c r="D168" s="107"/>
      <c r="E168" s="107"/>
      <c r="F168" s="107"/>
      <c r="G168" s="108" t="s">
        <v>2099</v>
      </c>
      <c r="H168" s="108" t="s">
        <v>678</v>
      </c>
      <c r="I168" s="107"/>
      <c r="J168" s="1155" t="s">
        <v>679</v>
      </c>
      <c r="K168" s="1155" t="s">
        <v>680</v>
      </c>
      <c r="L168" s="1151"/>
      <c r="M168" s="1151"/>
      <c r="N168" s="1151"/>
    </row>
    <row r="169" spans="2:14">
      <c r="L169" s="1151"/>
      <c r="M169" s="1151"/>
      <c r="N169" s="1151"/>
    </row>
    <row r="170" spans="2:14" ht="15.6">
      <c r="C170" s="105">
        <v>1</v>
      </c>
      <c r="F170" s="1283" t="s">
        <v>1275</v>
      </c>
      <c r="L170" s="1151"/>
      <c r="M170" s="1151"/>
      <c r="N170" s="1151"/>
    </row>
    <row r="171" spans="2:14">
      <c r="C171" s="106">
        <v>2</v>
      </c>
      <c r="L171" s="1151"/>
      <c r="M171" s="1151"/>
      <c r="N171" s="1151"/>
    </row>
    <row r="172" spans="2:14" ht="15.6">
      <c r="C172" s="105">
        <v>3</v>
      </c>
      <c r="F172" s="1283" t="s">
        <v>530</v>
      </c>
      <c r="L172" s="1151"/>
      <c r="M172" s="1151"/>
      <c r="N172" s="1151"/>
    </row>
    <row r="173" spans="2:14">
      <c r="B173" s="96">
        <v>901000</v>
      </c>
      <c r="C173" s="105">
        <v>4</v>
      </c>
      <c r="D173" s="116">
        <v>901000</v>
      </c>
      <c r="F173" s="101" t="s">
        <v>1609</v>
      </c>
      <c r="G173" s="110">
        <f>ROUND(VLOOKUP(B173,FPERIOD,5,FALSE),0)</f>
        <v>185894</v>
      </c>
      <c r="H173" s="111">
        <f t="shared" ref="H173:H178" si="16">VLOOKUP(K173,ALLOCTABLE,2)</f>
        <v>100</v>
      </c>
      <c r="J173" s="1156">
        <f t="shared" ref="J173:J178" si="17">ROUND(G173*(H173/100),0)</f>
        <v>185894</v>
      </c>
      <c r="K173" s="1154" t="s">
        <v>591</v>
      </c>
      <c r="L173" s="1151"/>
      <c r="M173" s="1151"/>
      <c r="N173" s="1151"/>
    </row>
    <row r="174" spans="2:14">
      <c r="B174" s="96">
        <v>902000</v>
      </c>
      <c r="C174" s="105">
        <v>5</v>
      </c>
      <c r="D174" s="116">
        <v>902000</v>
      </c>
      <c r="F174" s="101" t="s">
        <v>1610</v>
      </c>
      <c r="G174" s="110">
        <f>ROUND(VLOOKUP(B174,FPERIOD,5,FALSE),0)</f>
        <v>15923</v>
      </c>
      <c r="H174" s="111">
        <f t="shared" si="16"/>
        <v>100</v>
      </c>
      <c r="J174" s="1156">
        <f t="shared" si="17"/>
        <v>15923</v>
      </c>
      <c r="K174" s="1154" t="s">
        <v>591</v>
      </c>
      <c r="L174" s="1151"/>
      <c r="M174" s="1151"/>
      <c r="N174" s="1151"/>
    </row>
    <row r="175" spans="2:14">
      <c r="B175" s="96">
        <v>903</v>
      </c>
      <c r="C175" s="106">
        <v>6</v>
      </c>
      <c r="D175" s="116">
        <v>903</v>
      </c>
      <c r="F175" s="101" t="s">
        <v>1611</v>
      </c>
      <c r="G175" s="126">
        <f t="array" aca="1" ref="G175" ca="1">SUM(IF(FERCFP=B175,AmountFP))</f>
        <v>2595599</v>
      </c>
      <c r="H175" s="111">
        <f t="shared" si="16"/>
        <v>100</v>
      </c>
      <c r="J175" s="1156">
        <f t="shared" ca="1" si="17"/>
        <v>2595599</v>
      </c>
      <c r="K175" s="1154" t="s">
        <v>591</v>
      </c>
      <c r="L175" s="1151"/>
      <c r="M175" s="1151"/>
      <c r="N175" s="1151"/>
    </row>
    <row r="176" spans="2:14">
      <c r="B176" s="96">
        <v>904</v>
      </c>
      <c r="C176" s="105">
        <v>7</v>
      </c>
      <c r="D176" s="116">
        <v>904</v>
      </c>
      <c r="F176" s="101" t="s">
        <v>1612</v>
      </c>
      <c r="G176" s="126">
        <f t="array" aca="1" ref="G176" ca="1">SUM(IF(FERCFP=B176,AmountFP))</f>
        <v>378591</v>
      </c>
      <c r="H176" s="111">
        <f t="shared" ref="H176" si="18">VLOOKUP(K176,ALLOCTABLE,2)</f>
        <v>100</v>
      </c>
      <c r="J176" s="1156">
        <f t="shared" ref="J176" ca="1" si="19">ROUND(G176*(H176/100),0)</f>
        <v>378591</v>
      </c>
      <c r="K176" s="1154" t="s">
        <v>591</v>
      </c>
      <c r="L176" s="1151"/>
      <c r="M176" s="1151"/>
      <c r="N176" s="1151"/>
    </row>
    <row r="177" spans="2:14">
      <c r="B177" s="96">
        <v>426</v>
      </c>
      <c r="C177" s="105">
        <v>8</v>
      </c>
      <c r="D177" s="116">
        <v>426</v>
      </c>
      <c r="F177" s="101" t="s">
        <v>2501</v>
      </c>
      <c r="G177" s="126">
        <f t="array" aca="1" ref="G177" ca="1">SUM(IF(FERCFP=B177,AmountFP))</f>
        <v>105421</v>
      </c>
      <c r="H177" s="111">
        <f t="shared" si="16"/>
        <v>100</v>
      </c>
      <c r="J177" s="1156">
        <f t="shared" ca="1" si="17"/>
        <v>105421</v>
      </c>
      <c r="K177" s="1154" t="s">
        <v>591</v>
      </c>
      <c r="L177" s="1151"/>
      <c r="M177" s="1151"/>
      <c r="N177" s="1151"/>
    </row>
    <row r="178" spans="2:14">
      <c r="B178" s="96">
        <v>905000</v>
      </c>
      <c r="C178" s="105">
        <v>9</v>
      </c>
      <c r="D178" s="116">
        <v>905000</v>
      </c>
      <c r="F178" s="101" t="s">
        <v>3035</v>
      </c>
      <c r="G178" s="110">
        <f>ROUND(VLOOKUP(B178,FPERIOD,5,FALSE),0)</f>
        <v>0</v>
      </c>
      <c r="H178" s="111">
        <f t="shared" si="16"/>
        <v>100</v>
      </c>
      <c r="J178" s="1156">
        <f t="shared" si="17"/>
        <v>0</v>
      </c>
      <c r="K178" s="1154" t="s">
        <v>591</v>
      </c>
      <c r="L178" s="1151"/>
      <c r="M178" s="1151"/>
      <c r="N178" s="1151"/>
    </row>
    <row r="179" spans="2:14">
      <c r="C179" s="106">
        <v>10</v>
      </c>
      <c r="D179" s="120"/>
      <c r="F179" s="101" t="s">
        <v>1613</v>
      </c>
      <c r="G179" s="113">
        <f ca="1">SUM(G173:G178)</f>
        <v>3281428</v>
      </c>
      <c r="J179" s="1157">
        <f ca="1">SUM(J173:J178)</f>
        <v>3281428</v>
      </c>
      <c r="L179" s="1151"/>
      <c r="M179" s="1151"/>
      <c r="N179" s="1151"/>
    </row>
    <row r="180" spans="2:14">
      <c r="C180" s="105">
        <v>11</v>
      </c>
      <c r="D180" s="120"/>
      <c r="G180" s="114"/>
      <c r="J180" s="1161"/>
      <c r="L180" s="1151"/>
      <c r="M180" s="1151"/>
      <c r="N180" s="1151"/>
    </row>
    <row r="181" spans="2:14" ht="15.6">
      <c r="C181" s="105">
        <v>12</v>
      </c>
      <c r="D181" s="120"/>
      <c r="F181" s="1283" t="s">
        <v>1614</v>
      </c>
      <c r="L181" s="1151"/>
      <c r="M181" s="1151"/>
      <c r="N181" s="1151"/>
    </row>
    <row r="182" spans="2:14">
      <c r="C182" s="105">
        <v>13</v>
      </c>
      <c r="D182" s="120"/>
      <c r="L182" s="1151"/>
      <c r="M182" s="1151"/>
      <c r="N182" s="1151"/>
    </row>
    <row r="183" spans="2:14" ht="15.6">
      <c r="C183" s="106">
        <v>14</v>
      </c>
      <c r="D183" s="120"/>
      <c r="F183" s="1283" t="s">
        <v>530</v>
      </c>
      <c r="L183" s="1151"/>
      <c r="M183" s="1151"/>
      <c r="N183" s="1151"/>
    </row>
    <row r="184" spans="2:14">
      <c r="B184" s="122">
        <v>908</v>
      </c>
      <c r="C184" s="105">
        <v>15</v>
      </c>
      <c r="D184" s="123">
        <v>908</v>
      </c>
      <c r="F184" s="1181" t="s">
        <v>2438</v>
      </c>
      <c r="G184" s="126">
        <f t="array" aca="1" ref="G184" ca="1">SUM(IF(FERCFP=B184,AmountFP))</f>
        <v>105903</v>
      </c>
      <c r="H184" s="127" t="s">
        <v>1616</v>
      </c>
      <c r="J184" s="1156">
        <f ca="1">SCH_F3!P18</f>
        <v>105903</v>
      </c>
      <c r="K184" s="1154" t="s">
        <v>591</v>
      </c>
      <c r="L184" s="1151"/>
      <c r="M184" s="1151"/>
      <c r="N184" s="1151"/>
    </row>
    <row r="185" spans="2:14">
      <c r="B185" s="122">
        <v>909</v>
      </c>
      <c r="C185" s="105">
        <v>16</v>
      </c>
      <c r="D185" s="123">
        <v>909</v>
      </c>
      <c r="F185" s="1181" t="s">
        <v>2439</v>
      </c>
      <c r="G185" s="126">
        <f t="array" aca="1" ref="G185" ca="1">SUM(IF(FERCFP=B185,AmountFP))</f>
        <v>0</v>
      </c>
      <c r="H185" s="127" t="s">
        <v>1616</v>
      </c>
      <c r="J185" s="1156">
        <f ca="1">SCH_F3!P19</f>
        <v>0</v>
      </c>
      <c r="K185" s="1154" t="s">
        <v>591</v>
      </c>
      <c r="L185" s="1151"/>
      <c r="M185" s="1151"/>
      <c r="N185" s="1151"/>
    </row>
    <row r="186" spans="2:14">
      <c r="B186" s="122">
        <v>910</v>
      </c>
      <c r="C186" s="105">
        <v>17</v>
      </c>
      <c r="D186" s="123">
        <v>910</v>
      </c>
      <c r="F186" s="101" t="s">
        <v>450</v>
      </c>
      <c r="G186" s="126">
        <f t="array" aca="1" ref="G186" ca="1">SUM(IF(FERCFP=B186,AmountFP))</f>
        <v>320933</v>
      </c>
      <c r="H186" s="127" t="s">
        <v>1616</v>
      </c>
      <c r="J186" s="1156">
        <f ca="1">SCH_F3!P20</f>
        <v>320933</v>
      </c>
      <c r="K186" s="1154" t="s">
        <v>591</v>
      </c>
      <c r="L186" s="1151"/>
      <c r="M186" s="1151"/>
      <c r="N186" s="1151"/>
    </row>
    <row r="187" spans="2:14">
      <c r="B187" s="96"/>
      <c r="C187" s="106">
        <v>18</v>
      </c>
      <c r="D187" s="106"/>
      <c r="F187" s="101" t="s">
        <v>1617</v>
      </c>
      <c r="G187" s="113">
        <f ca="1">SUM(G184:G186)</f>
        <v>426836</v>
      </c>
      <c r="J187" s="1157">
        <f ca="1">SUM(J184:J186)</f>
        <v>426836</v>
      </c>
      <c r="L187" s="1151"/>
      <c r="M187" s="1151"/>
      <c r="N187" s="1151"/>
    </row>
    <row r="188" spans="2:14">
      <c r="B188" s="96"/>
      <c r="C188" s="105">
        <v>19</v>
      </c>
      <c r="F188" s="101" t="s">
        <v>1618</v>
      </c>
      <c r="G188" s="114"/>
      <c r="J188" s="1161"/>
      <c r="L188" s="1151"/>
      <c r="M188" s="1151"/>
      <c r="N188" s="1151"/>
    </row>
    <row r="189" spans="2:14">
      <c r="B189" s="96"/>
      <c r="C189" s="105">
        <v>20</v>
      </c>
      <c r="L189" s="1151"/>
      <c r="M189" s="1151"/>
      <c r="N189" s="1151"/>
    </row>
    <row r="190" spans="2:14" ht="15.6">
      <c r="B190" s="96"/>
      <c r="C190" s="105">
        <v>21</v>
      </c>
      <c r="F190" s="1283" t="s">
        <v>1278</v>
      </c>
      <c r="L190" s="1151"/>
      <c r="M190" s="1151"/>
      <c r="N190" s="1151"/>
    </row>
    <row r="191" spans="2:14">
      <c r="B191" s="96"/>
      <c r="C191" s="106">
        <v>22</v>
      </c>
      <c r="L191" s="1151"/>
      <c r="M191" s="1151"/>
      <c r="N191" s="1151"/>
    </row>
    <row r="192" spans="2:14" ht="15.6">
      <c r="B192" s="96"/>
      <c r="C192" s="105">
        <v>23</v>
      </c>
      <c r="F192" s="1283" t="s">
        <v>530</v>
      </c>
      <c r="L192" s="1151"/>
      <c r="M192" s="1151"/>
      <c r="N192" s="1151"/>
    </row>
    <row r="193" spans="2:14">
      <c r="B193" s="96">
        <v>911000</v>
      </c>
      <c r="C193" s="105">
        <v>24</v>
      </c>
      <c r="D193" s="105">
        <v>911000</v>
      </c>
      <c r="F193" s="101" t="s">
        <v>1619</v>
      </c>
      <c r="G193" s="110">
        <f>ROUND(VLOOKUP(B193,FPERIOD,5,FALSE),0)</f>
        <v>20643</v>
      </c>
      <c r="H193" s="127" t="s">
        <v>1616</v>
      </c>
      <c r="J193" s="1156">
        <f ca="1">SCH_F3!P24</f>
        <v>20643</v>
      </c>
      <c r="K193" s="1154" t="s">
        <v>591</v>
      </c>
      <c r="L193" s="1151"/>
      <c r="M193" s="1151"/>
      <c r="N193" s="1151"/>
    </row>
    <row r="194" spans="2:14">
      <c r="B194" s="96">
        <v>912000</v>
      </c>
      <c r="C194" s="105">
        <v>25</v>
      </c>
      <c r="D194" s="105">
        <v>912000</v>
      </c>
      <c r="F194" s="101" t="s">
        <v>2434</v>
      </c>
      <c r="G194" s="110">
        <f>ROUND(VLOOKUP(B194,FPERIOD,5,FALSE),0)</f>
        <v>173485</v>
      </c>
      <c r="H194" s="127" t="s">
        <v>1616</v>
      </c>
      <c r="J194" s="1156">
        <f ca="1">SCH_F3!P25</f>
        <v>173485</v>
      </c>
      <c r="K194" s="1154" t="s">
        <v>591</v>
      </c>
      <c r="L194" s="1151"/>
      <c r="M194" s="1151"/>
      <c r="N194" s="1151"/>
    </row>
    <row r="195" spans="2:14">
      <c r="B195" s="96">
        <v>913001</v>
      </c>
      <c r="C195" s="106">
        <v>26</v>
      </c>
      <c r="D195" s="105">
        <v>913001</v>
      </c>
      <c r="F195" s="101" t="s">
        <v>2435</v>
      </c>
      <c r="G195" s="110">
        <f>ROUND(VLOOKUP(B195,FPERIOD,5,FALSE),0)</f>
        <v>6339</v>
      </c>
      <c r="H195" s="127" t="s">
        <v>1616</v>
      </c>
      <c r="J195" s="1156">
        <f ca="1">SCH_F3!P26</f>
        <v>6339</v>
      </c>
      <c r="K195" s="1154" t="s">
        <v>591</v>
      </c>
      <c r="L195" s="1151"/>
      <c r="M195" s="1151"/>
      <c r="N195" s="1151"/>
    </row>
    <row r="196" spans="2:14">
      <c r="B196" s="96"/>
      <c r="C196" s="105">
        <v>27</v>
      </c>
      <c r="F196" s="101" t="s">
        <v>1620</v>
      </c>
      <c r="G196" s="113">
        <f>SUM(G193:G195)</f>
        <v>200467</v>
      </c>
      <c r="J196" s="1157">
        <f ca="1">SUM(J193:J195)</f>
        <v>200467</v>
      </c>
      <c r="L196" s="1151"/>
      <c r="M196" s="1151"/>
      <c r="N196" s="1151"/>
    </row>
    <row r="197" spans="2:14">
      <c r="B197" s="96"/>
      <c r="L197" s="1151"/>
      <c r="M197" s="1151"/>
      <c r="N197" s="1151"/>
    </row>
    <row r="198" spans="2:14">
      <c r="C198" s="99" t="str">
        <f>COMPANY</f>
        <v>DUKE ENERGY KENTUCKY, INC.</v>
      </c>
      <c r="D198" s="100"/>
      <c r="E198" s="100"/>
      <c r="F198" s="99"/>
      <c r="G198" s="100"/>
      <c r="H198" s="100"/>
      <c r="I198" s="100"/>
      <c r="J198" s="1150"/>
      <c r="K198" s="1150"/>
      <c r="L198" s="1151"/>
      <c r="M198" s="1151"/>
      <c r="N198" s="1151"/>
    </row>
    <row r="199" spans="2:14">
      <c r="C199" s="99" t="str">
        <f>CASE</f>
        <v>CASE NO. 2018-00261</v>
      </c>
      <c r="D199" s="100"/>
      <c r="E199" s="100"/>
      <c r="F199" s="99"/>
      <c r="G199" s="100"/>
      <c r="H199" s="100"/>
      <c r="I199" s="100"/>
      <c r="J199" s="1150"/>
      <c r="K199" s="1150"/>
      <c r="L199" s="1151"/>
      <c r="M199" s="1151"/>
      <c r="N199" s="1151"/>
    </row>
    <row r="200" spans="2:14">
      <c r="C200" s="99" t="s">
        <v>2043</v>
      </c>
      <c r="D200" s="100"/>
      <c r="E200" s="99"/>
      <c r="F200" s="100"/>
      <c r="G200" s="100"/>
      <c r="H200" s="100"/>
      <c r="I200" s="100"/>
      <c r="J200" s="1150"/>
      <c r="K200" s="1150"/>
      <c r="L200" s="1151"/>
      <c r="M200" s="1151"/>
      <c r="N200" s="1151"/>
    </row>
    <row r="201" spans="2:14">
      <c r="C201" s="99" t="str">
        <f>LOGO!$B$8</f>
        <v>FOR THE TWELVE MONTHS ENDED MARCH 31, 2020</v>
      </c>
      <c r="D201" s="100"/>
      <c r="E201" s="100"/>
      <c r="F201" s="99"/>
      <c r="G201" s="100"/>
      <c r="H201" s="100"/>
      <c r="I201" s="100"/>
      <c r="J201" s="1150"/>
      <c r="K201" s="1150"/>
      <c r="L201" s="1151"/>
      <c r="M201" s="1151"/>
      <c r="N201" s="1151"/>
    </row>
    <row r="202" spans="2:14">
      <c r="C202" s="100"/>
      <c r="D202" s="100"/>
      <c r="E202" s="100"/>
      <c r="F202" s="100"/>
      <c r="G202" s="100"/>
      <c r="H202" s="100"/>
      <c r="I202" s="100"/>
      <c r="L202" s="1151"/>
      <c r="M202" s="1151"/>
      <c r="N202" s="1151"/>
    </row>
    <row r="203" spans="2:14">
      <c r="J203" s="1152" t="str">
        <f>"                    "&amp;"SCHEDULE C-2.1"</f>
        <v xml:space="preserve">                    SCHEDULE C-2.1</v>
      </c>
      <c r="L203" s="1151"/>
      <c r="M203" s="1151"/>
      <c r="N203" s="1151"/>
    </row>
    <row r="204" spans="2:14">
      <c r="C204" s="102" t="str">
        <f>DataF</f>
        <v>DATA:  BASE PERIOD  "X" FORECASTED PERIOD</v>
      </c>
      <c r="J204" s="1152" t="str">
        <f>"                    "&amp;"PAGE  14  OF  16"</f>
        <v xml:space="preserve">                    PAGE  14  OF  16</v>
      </c>
      <c r="L204" s="1151"/>
      <c r="M204" s="1151"/>
      <c r="N204" s="1151"/>
    </row>
    <row r="205" spans="2:14">
      <c r="C205" s="102" t="str">
        <f>Type</f>
        <v xml:space="preserve">TYPE OF FILING:  "X" ORIGINAL   UPDATED    REVISED  </v>
      </c>
      <c r="J205" s="1152" t="str">
        <f>"                    "&amp;"WITNESS RESPONSIBLE:"</f>
        <v xml:space="preserve">                    WITNESS RESPONSIBLE:</v>
      </c>
      <c r="L205" s="1151"/>
      <c r="M205" s="1151"/>
      <c r="N205" s="1151"/>
    </row>
    <row r="206" spans="2:14">
      <c r="C206" s="101" t="str">
        <f>C9</f>
        <v>WORK PAPER REFERENCE NO(S).: WPC-2.1a</v>
      </c>
      <c r="J206" s="1152" t="str">
        <f>"                    "&amp;_WIT1</f>
        <v xml:space="preserve">                    S. E. LAWLER</v>
      </c>
      <c r="L206" s="1151"/>
      <c r="M206" s="1151"/>
      <c r="N206" s="1151"/>
    </row>
    <row r="207" spans="2:14">
      <c r="C207" s="103"/>
      <c r="D207" s="104"/>
      <c r="E207" s="104"/>
      <c r="F207" s="104"/>
      <c r="G207" s="104"/>
      <c r="H207" s="104"/>
      <c r="I207" s="104"/>
      <c r="J207" s="1153"/>
      <c r="K207" s="1153"/>
      <c r="L207" s="1151"/>
      <c r="M207" s="1151"/>
      <c r="N207" s="1151"/>
    </row>
    <row r="208" spans="2:14">
      <c r="G208" s="105" t="s">
        <v>1927</v>
      </c>
      <c r="H208" s="106" t="s">
        <v>2094</v>
      </c>
      <c r="K208" s="1154" t="s">
        <v>686</v>
      </c>
      <c r="L208" s="1151"/>
      <c r="M208" s="1151"/>
      <c r="N208" s="1151"/>
    </row>
    <row r="209" spans="1:14">
      <c r="C209" s="105" t="s">
        <v>567</v>
      </c>
      <c r="D209" s="105" t="s">
        <v>2160</v>
      </c>
      <c r="G209" s="105" t="s">
        <v>884</v>
      </c>
      <c r="H209" s="105" t="s">
        <v>2096</v>
      </c>
      <c r="J209" s="1154" t="s">
        <v>1927</v>
      </c>
      <c r="K209" s="1154" t="s">
        <v>1928</v>
      </c>
      <c r="L209" s="1151"/>
      <c r="M209" s="1151"/>
      <c r="N209" s="1151"/>
    </row>
    <row r="210" spans="1:14">
      <c r="C210" s="105" t="s">
        <v>2169</v>
      </c>
      <c r="D210" s="105" t="s">
        <v>766</v>
      </c>
      <c r="F210" s="99" t="s">
        <v>1929</v>
      </c>
      <c r="G210" s="106" t="s">
        <v>637</v>
      </c>
      <c r="H210" s="105" t="s">
        <v>2097</v>
      </c>
      <c r="J210" s="1154" t="s">
        <v>1930</v>
      </c>
      <c r="K210" s="1154" t="s">
        <v>741</v>
      </c>
      <c r="L210" s="1151"/>
      <c r="M210" s="1151"/>
      <c r="N210" s="1151"/>
    </row>
    <row r="211" spans="1:14">
      <c r="C211" s="107"/>
      <c r="D211" s="107"/>
      <c r="E211" s="107"/>
      <c r="F211" s="107"/>
      <c r="G211" s="108" t="s">
        <v>2099</v>
      </c>
      <c r="H211" s="108" t="s">
        <v>678</v>
      </c>
      <c r="I211" s="107"/>
      <c r="J211" s="1155" t="s">
        <v>679</v>
      </c>
      <c r="K211" s="1155" t="s">
        <v>680</v>
      </c>
      <c r="L211" s="1151"/>
      <c r="M211" s="1151"/>
      <c r="N211" s="1151"/>
    </row>
    <row r="212" spans="1:14">
      <c r="L212" s="1151"/>
      <c r="M212" s="1151"/>
      <c r="N212" s="1151"/>
    </row>
    <row r="213" spans="1:14" ht="15.6">
      <c r="C213" s="105">
        <v>1</v>
      </c>
      <c r="F213" s="1283" t="s">
        <v>1281</v>
      </c>
      <c r="L213" s="1151"/>
      <c r="M213" s="1151"/>
      <c r="N213" s="1151"/>
    </row>
    <row r="214" spans="1:14">
      <c r="C214" s="106">
        <v>2</v>
      </c>
      <c r="L214" s="1151"/>
      <c r="M214" s="1151"/>
      <c r="N214" s="1151"/>
    </row>
    <row r="215" spans="1:14" ht="15.6">
      <c r="C215" s="106">
        <v>3</v>
      </c>
      <c r="F215" s="1283" t="s">
        <v>530</v>
      </c>
      <c r="L215" s="1151"/>
      <c r="M215" s="1151"/>
      <c r="N215" s="1151"/>
    </row>
    <row r="216" spans="1:14">
      <c r="B216" s="96">
        <v>920000</v>
      </c>
      <c r="C216" s="105">
        <v>4</v>
      </c>
      <c r="D216" s="105">
        <v>920000</v>
      </c>
      <c r="F216" s="101" t="s">
        <v>1621</v>
      </c>
      <c r="G216" s="110">
        <f>ROUND(VLOOKUP(B216,FPERIOD,5,FALSE),0)</f>
        <v>2190228</v>
      </c>
      <c r="H216" s="111">
        <f t="shared" ref="H216:H224" si="20">VLOOKUP(K216,ALLOCTABLE,2)</f>
        <v>100</v>
      </c>
      <c r="J216" s="1156">
        <f t="shared" ref="J216:J224" si="21">ROUND(G216*(H216/100),0)</f>
        <v>2190228</v>
      </c>
      <c r="K216" s="1154" t="s">
        <v>591</v>
      </c>
      <c r="L216" s="1151"/>
      <c r="M216" s="1151"/>
      <c r="N216" s="1151"/>
    </row>
    <row r="217" spans="1:14">
      <c r="B217" s="96">
        <v>921</v>
      </c>
      <c r="C217" s="106">
        <v>5</v>
      </c>
      <c r="D217" s="105">
        <v>921</v>
      </c>
      <c r="F217" s="101" t="s">
        <v>1622</v>
      </c>
      <c r="G217" s="126">
        <f t="array" aca="1" ref="G217" ca="1">SUM(IF(FERCFP=B217,AmountFP))</f>
        <v>999204</v>
      </c>
      <c r="H217" s="111">
        <f t="shared" si="20"/>
        <v>100</v>
      </c>
      <c r="J217" s="1156">
        <f t="shared" ca="1" si="21"/>
        <v>999204</v>
      </c>
      <c r="K217" s="1154" t="s">
        <v>591</v>
      </c>
      <c r="L217" s="1151"/>
      <c r="M217" s="1151"/>
      <c r="N217" s="1151"/>
    </row>
    <row r="218" spans="1:14">
      <c r="B218" s="96">
        <v>922000</v>
      </c>
      <c r="C218" s="106">
        <v>6</v>
      </c>
      <c r="D218" s="105">
        <v>922000</v>
      </c>
      <c r="F218" s="101" t="s">
        <v>2194</v>
      </c>
      <c r="G218" s="110">
        <f>ROUND(VLOOKUP(B218,FPERIOD,5,FALSE),0)</f>
        <v>0</v>
      </c>
      <c r="H218" s="111">
        <f t="shared" si="20"/>
        <v>100</v>
      </c>
      <c r="J218" s="1156">
        <f t="shared" si="21"/>
        <v>0</v>
      </c>
      <c r="K218" s="1154" t="s">
        <v>591</v>
      </c>
      <c r="L218" s="1151"/>
      <c r="M218" s="1151"/>
      <c r="N218" s="1151"/>
    </row>
    <row r="219" spans="1:14">
      <c r="B219" s="96">
        <v>923</v>
      </c>
      <c r="C219" s="105">
        <v>7</v>
      </c>
      <c r="D219" s="105">
        <v>923</v>
      </c>
      <c r="F219" s="101" t="s">
        <v>1623</v>
      </c>
      <c r="G219" s="126">
        <f t="array" aca="1" ref="G219" ca="1">SUM(IF(FERCFP=B219,AmountFP))</f>
        <v>461280</v>
      </c>
      <c r="H219" s="111">
        <f t="shared" si="20"/>
        <v>100</v>
      </c>
      <c r="J219" s="1156">
        <f t="shared" ca="1" si="21"/>
        <v>461280</v>
      </c>
      <c r="K219" s="1154" t="s">
        <v>591</v>
      </c>
      <c r="L219" s="1151"/>
      <c r="M219" s="1151"/>
      <c r="N219" s="1151"/>
    </row>
    <row r="220" spans="1:14">
      <c r="B220" s="96">
        <v>924</v>
      </c>
      <c r="C220" s="106">
        <v>8</v>
      </c>
      <c r="D220" s="105">
        <v>924</v>
      </c>
      <c r="F220" s="101" t="s">
        <v>1624</v>
      </c>
      <c r="G220" s="126">
        <f t="array" aca="1" ref="G220" ca="1">SUM(IF(FERCFP=B220,AmountFP))</f>
        <v>61536</v>
      </c>
      <c r="H220" s="111">
        <f t="shared" si="20"/>
        <v>100</v>
      </c>
      <c r="J220" s="1156">
        <f t="shared" ca="1" si="21"/>
        <v>61536</v>
      </c>
      <c r="K220" s="1154" t="s">
        <v>591</v>
      </c>
      <c r="L220" s="1151"/>
      <c r="M220" s="1151"/>
      <c r="N220" s="1151"/>
    </row>
    <row r="221" spans="1:14">
      <c r="B221" s="96">
        <v>925</v>
      </c>
      <c r="C221" s="106">
        <v>9</v>
      </c>
      <c r="D221" s="105">
        <v>925</v>
      </c>
      <c r="F221" s="101" t="s">
        <v>1625</v>
      </c>
      <c r="G221" s="126">
        <f t="array" aca="1" ref="G221" ca="1">SUM(IF(FERCFP=B221,AmountFP))</f>
        <v>90396</v>
      </c>
      <c r="H221" s="111">
        <f t="shared" ref="H221" si="22">VLOOKUP(K221,ALLOCTABLE,2)</f>
        <v>100</v>
      </c>
      <c r="J221" s="1156">
        <f t="shared" ca="1" si="21"/>
        <v>90396</v>
      </c>
      <c r="K221" s="1154" t="s">
        <v>591</v>
      </c>
      <c r="L221" s="1151"/>
      <c r="M221" s="1151"/>
      <c r="N221" s="1151"/>
    </row>
    <row r="222" spans="1:14">
      <c r="B222" s="98">
        <v>926</v>
      </c>
      <c r="C222" s="105">
        <v>10</v>
      </c>
      <c r="D222" s="109">
        <v>926</v>
      </c>
      <c r="F222" s="101" t="s">
        <v>1626</v>
      </c>
      <c r="G222" s="126">
        <f t="array" aca="1" ref="G222" ca="1">SUM(IF(FERCFP=B222,AmountFP))</f>
        <v>2381447</v>
      </c>
      <c r="H222" s="111">
        <f t="shared" si="20"/>
        <v>100</v>
      </c>
      <c r="J222" s="1156">
        <f t="shared" ca="1" si="21"/>
        <v>2381447</v>
      </c>
      <c r="K222" s="1154" t="s">
        <v>591</v>
      </c>
      <c r="L222" s="1151"/>
      <c r="M222" s="1151"/>
      <c r="N222" s="1151"/>
    </row>
    <row r="223" spans="1:14">
      <c r="A223" s="96"/>
      <c r="B223" s="96">
        <v>928</v>
      </c>
      <c r="C223" s="106">
        <v>11</v>
      </c>
      <c r="D223" s="105">
        <v>928</v>
      </c>
      <c r="F223" s="101" t="s">
        <v>1627</v>
      </c>
      <c r="G223" s="126">
        <f t="array" aca="1" ref="G223" ca="1">SUM(IF(FERCFP=B223,AmountFP))</f>
        <v>203247</v>
      </c>
      <c r="H223" s="111">
        <f t="shared" si="20"/>
        <v>100</v>
      </c>
      <c r="J223" s="1156">
        <f t="shared" ca="1" si="21"/>
        <v>203247</v>
      </c>
      <c r="K223" s="1154" t="s">
        <v>591</v>
      </c>
      <c r="L223" s="1151"/>
      <c r="M223" s="1151"/>
      <c r="N223" s="1151"/>
    </row>
    <row r="224" spans="1:14">
      <c r="B224" s="96">
        <v>929</v>
      </c>
      <c r="C224" s="106">
        <v>12</v>
      </c>
      <c r="D224" s="105">
        <v>929</v>
      </c>
      <c r="F224" s="101" t="s">
        <v>1628</v>
      </c>
      <c r="G224" s="126">
        <f t="array" aca="1" ref="G224" ca="1">SUM(IF(FERCFP=B224,AmountFP))</f>
        <v>-11725</v>
      </c>
      <c r="H224" s="111">
        <f t="shared" si="20"/>
        <v>100</v>
      </c>
      <c r="J224" s="1156">
        <f t="shared" ca="1" si="21"/>
        <v>-11725</v>
      </c>
      <c r="K224" s="1154" t="s">
        <v>591</v>
      </c>
      <c r="L224" s="1151"/>
      <c r="M224" s="1151"/>
      <c r="N224" s="1151"/>
    </row>
    <row r="225" spans="1:14">
      <c r="B225" s="96">
        <v>930150</v>
      </c>
      <c r="C225" s="106">
        <v>13</v>
      </c>
      <c r="D225" s="105">
        <v>930150</v>
      </c>
      <c r="F225" s="101" t="s">
        <v>2502</v>
      </c>
      <c r="G225" s="110">
        <f t="shared" ref="G225:G233" si="23">ROUND(VLOOKUP(B225,FPERIOD,5,FALSE),0)</f>
        <v>38844</v>
      </c>
      <c r="H225" s="111">
        <f t="shared" ref="H225:H233" si="24">VLOOKUP(K225,ALLOCTABLE,2)</f>
        <v>100</v>
      </c>
      <c r="J225" s="1156">
        <f t="shared" ref="J225:J233" si="25">ROUND(G225*(H225/100),0)</f>
        <v>38844</v>
      </c>
      <c r="K225" s="1154" t="s">
        <v>591</v>
      </c>
      <c r="L225" s="1151"/>
      <c r="M225" s="1151"/>
      <c r="N225" s="1151"/>
    </row>
    <row r="226" spans="1:14">
      <c r="B226" s="96">
        <v>930200</v>
      </c>
      <c r="C226" s="106">
        <v>14</v>
      </c>
      <c r="D226" s="105">
        <v>930200</v>
      </c>
      <c r="F226" s="101" t="s">
        <v>2503</v>
      </c>
      <c r="G226" s="110">
        <f t="shared" si="23"/>
        <v>489723</v>
      </c>
      <c r="H226" s="111">
        <f t="shared" si="24"/>
        <v>100</v>
      </c>
      <c r="J226" s="1156">
        <f t="shared" si="25"/>
        <v>489723</v>
      </c>
      <c r="K226" s="1154" t="s">
        <v>591</v>
      </c>
      <c r="L226" s="1151"/>
      <c r="M226" s="1151"/>
      <c r="N226" s="1151"/>
    </row>
    <row r="227" spans="1:14">
      <c r="B227" s="96">
        <v>930210</v>
      </c>
      <c r="C227" s="106">
        <v>15</v>
      </c>
      <c r="D227" s="105">
        <v>930210</v>
      </c>
      <c r="F227" s="101" t="s">
        <v>2504</v>
      </c>
      <c r="G227" s="110">
        <f t="shared" si="23"/>
        <v>0</v>
      </c>
      <c r="H227" s="111">
        <f t="shared" si="24"/>
        <v>100</v>
      </c>
      <c r="J227" s="1156">
        <f t="shared" si="25"/>
        <v>0</v>
      </c>
      <c r="K227" s="1154" t="s">
        <v>591</v>
      </c>
      <c r="L227" s="1151"/>
      <c r="M227" s="1151"/>
      <c r="N227" s="1151"/>
    </row>
    <row r="228" spans="1:14">
      <c r="B228" s="96">
        <v>930220</v>
      </c>
      <c r="C228" s="106">
        <v>16</v>
      </c>
      <c r="D228" s="105">
        <v>930220</v>
      </c>
      <c r="F228" s="101" t="s">
        <v>2505</v>
      </c>
      <c r="G228" s="110">
        <f t="shared" si="23"/>
        <v>0</v>
      </c>
      <c r="H228" s="111">
        <f t="shared" si="24"/>
        <v>100</v>
      </c>
      <c r="J228" s="1156">
        <f t="shared" si="25"/>
        <v>0</v>
      </c>
      <c r="K228" s="1154" t="s">
        <v>591</v>
      </c>
      <c r="L228" s="1151"/>
      <c r="M228" s="1151"/>
      <c r="N228" s="1151"/>
    </row>
    <row r="229" spans="1:14">
      <c r="B229" s="96">
        <v>930230</v>
      </c>
      <c r="C229" s="106">
        <v>17</v>
      </c>
      <c r="D229" s="105">
        <v>930230</v>
      </c>
      <c r="F229" s="101" t="s">
        <v>2506</v>
      </c>
      <c r="G229" s="110">
        <f t="shared" si="23"/>
        <v>13419</v>
      </c>
      <c r="H229" s="111">
        <f t="shared" si="24"/>
        <v>100</v>
      </c>
      <c r="J229" s="1156">
        <f t="shared" si="25"/>
        <v>13419</v>
      </c>
      <c r="K229" s="1154" t="s">
        <v>591</v>
      </c>
      <c r="L229" s="1151"/>
      <c r="M229" s="1151"/>
      <c r="N229" s="1151"/>
    </row>
    <row r="230" spans="1:14">
      <c r="B230" s="96">
        <v>930240</v>
      </c>
      <c r="C230" s="106">
        <v>18</v>
      </c>
      <c r="D230" s="105">
        <v>930240</v>
      </c>
      <c r="F230" s="101" t="s">
        <v>2507</v>
      </c>
      <c r="G230" s="110">
        <f t="shared" si="23"/>
        <v>8400</v>
      </c>
      <c r="H230" s="111">
        <f t="shared" si="24"/>
        <v>100</v>
      </c>
      <c r="J230" s="1156">
        <f t="shared" si="25"/>
        <v>8400</v>
      </c>
      <c r="K230" s="1154" t="s">
        <v>591</v>
      </c>
      <c r="L230" s="1151"/>
      <c r="M230" s="1151"/>
      <c r="N230" s="1151"/>
    </row>
    <row r="231" spans="1:14">
      <c r="B231" s="96">
        <v>930250</v>
      </c>
      <c r="C231" s="106">
        <v>19</v>
      </c>
      <c r="D231" s="105">
        <v>930250</v>
      </c>
      <c r="F231" s="101" t="s">
        <v>2508</v>
      </c>
      <c r="G231" s="110">
        <f t="shared" si="23"/>
        <v>555</v>
      </c>
      <c r="H231" s="111">
        <f t="shared" si="24"/>
        <v>100</v>
      </c>
      <c r="J231" s="1156">
        <f t="shared" si="25"/>
        <v>555</v>
      </c>
      <c r="K231" s="1154" t="s">
        <v>591</v>
      </c>
      <c r="L231" s="1151"/>
      <c r="M231" s="1151"/>
      <c r="N231" s="1151"/>
    </row>
    <row r="232" spans="1:14">
      <c r="B232" s="96">
        <v>930700</v>
      </c>
      <c r="C232" s="106">
        <v>20</v>
      </c>
      <c r="D232" s="105">
        <v>930700</v>
      </c>
      <c r="F232" s="101" t="s">
        <v>2509</v>
      </c>
      <c r="G232" s="110">
        <f t="shared" si="23"/>
        <v>0</v>
      </c>
      <c r="H232" s="111">
        <f t="shared" si="24"/>
        <v>100</v>
      </c>
      <c r="J232" s="1156">
        <f t="shared" si="25"/>
        <v>0</v>
      </c>
      <c r="K232" s="1154" t="s">
        <v>591</v>
      </c>
      <c r="L232" s="1151"/>
      <c r="M232" s="1151"/>
      <c r="N232" s="1151"/>
    </row>
    <row r="233" spans="1:14">
      <c r="B233" s="96">
        <v>930940</v>
      </c>
      <c r="C233" s="106">
        <v>21</v>
      </c>
      <c r="D233" s="105">
        <v>930940</v>
      </c>
      <c r="F233" s="101" t="s">
        <v>2510</v>
      </c>
      <c r="G233" s="110">
        <f t="shared" si="23"/>
        <v>0</v>
      </c>
      <c r="H233" s="111">
        <f t="shared" si="24"/>
        <v>100</v>
      </c>
      <c r="J233" s="1156">
        <f t="shared" si="25"/>
        <v>0</v>
      </c>
      <c r="K233" s="1154" t="s">
        <v>591</v>
      </c>
      <c r="L233" s="1151"/>
      <c r="M233" s="1151"/>
      <c r="N233" s="1151"/>
    </row>
    <row r="234" spans="1:14">
      <c r="B234" s="96">
        <v>931</v>
      </c>
      <c r="C234" s="106">
        <v>14</v>
      </c>
      <c r="D234" s="112">
        <v>931</v>
      </c>
      <c r="F234" s="101" t="s">
        <v>1629</v>
      </c>
      <c r="G234" s="126">
        <f t="array" aca="1" ref="G234" ca="1">SUM(IF(FERCFP=B234,AmountFP))</f>
        <v>37222</v>
      </c>
      <c r="H234" s="111">
        <f>VLOOKUP(K234,ALLOCTABLE,2)</f>
        <v>100</v>
      </c>
      <c r="J234" s="1156">
        <f ca="1">ROUND(G234*(H234/100),0)</f>
        <v>37222</v>
      </c>
      <c r="K234" s="1154" t="s">
        <v>591</v>
      </c>
      <c r="L234" s="1151"/>
      <c r="M234" s="1151"/>
      <c r="N234" s="1151"/>
    </row>
    <row r="235" spans="1:14">
      <c r="B235" s="96"/>
      <c r="C235" s="106">
        <v>15</v>
      </c>
      <c r="F235" s="101" t="s">
        <v>536</v>
      </c>
      <c r="G235" s="113">
        <f ca="1">SUM(G216:G234)</f>
        <v>6963776</v>
      </c>
      <c r="J235" s="1157">
        <f ca="1">SUM(J216:J234)</f>
        <v>6963776</v>
      </c>
      <c r="L235" s="1151"/>
      <c r="M235" s="1151"/>
      <c r="N235" s="1151"/>
    </row>
    <row r="236" spans="1:14">
      <c r="B236" s="96"/>
      <c r="C236" s="105">
        <v>16</v>
      </c>
      <c r="G236" s="114"/>
      <c r="J236" s="1161"/>
      <c r="L236" s="1151"/>
      <c r="M236" s="1151"/>
      <c r="N236" s="1151"/>
    </row>
    <row r="237" spans="1:14" ht="15.6">
      <c r="B237" s="96"/>
      <c r="C237" s="106">
        <v>17</v>
      </c>
      <c r="F237" s="1283" t="s">
        <v>537</v>
      </c>
      <c r="L237" s="1151"/>
      <c r="M237" s="1151"/>
      <c r="N237" s="1151"/>
    </row>
    <row r="238" spans="1:14">
      <c r="A238" s="98">
        <v>935100</v>
      </c>
      <c r="B238" s="96">
        <v>932000</v>
      </c>
      <c r="C238" s="106">
        <v>18</v>
      </c>
      <c r="D238" s="105">
        <v>935000</v>
      </c>
      <c r="F238" s="101" t="s">
        <v>1630</v>
      </c>
      <c r="G238" s="115">
        <f>VLOOKUP(A238,FPERIOD,5,FALSE)+VLOOKUP(B238,FPERIOD,5,FALSE)+VLOOKUP(A239,FPERIOD,5,FALSE)</f>
        <v>97</v>
      </c>
      <c r="H238" s="111">
        <f>VLOOKUP(K238,ALLOCTABLE,2)</f>
        <v>100</v>
      </c>
      <c r="J238" s="1156">
        <f>ROUND(G238*(H238/100),0)</f>
        <v>97</v>
      </c>
      <c r="K238" s="1154" t="s">
        <v>591</v>
      </c>
      <c r="L238" s="1151"/>
      <c r="M238" s="1151"/>
      <c r="N238" s="1151"/>
    </row>
    <row r="239" spans="1:14">
      <c r="A239" s="98">
        <v>935200</v>
      </c>
      <c r="C239" s="105">
        <v>19</v>
      </c>
      <c r="F239" s="101" t="s">
        <v>1631</v>
      </c>
      <c r="G239" s="113">
        <f ca="1">G235+G238</f>
        <v>6963873</v>
      </c>
      <c r="J239" s="1157">
        <f ca="1">J235+J238</f>
        <v>6963873</v>
      </c>
      <c r="L239" s="1151"/>
      <c r="M239" s="1151"/>
      <c r="N239" s="1151"/>
    </row>
    <row r="240" spans="1:14">
      <c r="B240" s="96"/>
      <c r="C240" s="106">
        <v>20</v>
      </c>
      <c r="F240" s="101" t="s">
        <v>1632</v>
      </c>
      <c r="G240" s="113">
        <f ca="1">G95+G104+G114+G153+G179+G187+G196+G239</f>
        <v>60585345</v>
      </c>
      <c r="J240" s="1157">
        <f ca="1">J95+J104+J114+J153+J179+J187+J196+J239</f>
        <v>60585345</v>
      </c>
      <c r="L240" s="1151"/>
      <c r="M240" s="1151"/>
      <c r="N240" s="1151"/>
    </row>
    <row r="241" spans="2:14">
      <c r="B241" s="96"/>
      <c r="C241" s="106">
        <v>21</v>
      </c>
      <c r="G241" s="114"/>
      <c r="J241" s="1161"/>
      <c r="L241" s="1151"/>
      <c r="M241" s="1151"/>
      <c r="N241" s="1151"/>
    </row>
    <row r="242" spans="2:14" ht="15.6">
      <c r="B242" s="96"/>
      <c r="C242" s="106">
        <v>22</v>
      </c>
      <c r="F242" s="1283" t="s">
        <v>2195</v>
      </c>
      <c r="G242" s="114"/>
      <c r="J242" s="1161"/>
      <c r="L242" s="1151"/>
      <c r="M242" s="1151"/>
      <c r="N242" s="1151"/>
    </row>
    <row r="243" spans="2:14" ht="15.6">
      <c r="B243" s="96"/>
      <c r="C243" s="106">
        <v>23</v>
      </c>
      <c r="F243" s="1283" t="s">
        <v>530</v>
      </c>
      <c r="G243" s="114"/>
      <c r="J243" s="1161"/>
      <c r="L243" s="1151"/>
      <c r="M243" s="1151"/>
      <c r="N243" s="1151"/>
    </row>
    <row r="244" spans="2:14">
      <c r="B244" s="96">
        <v>407355</v>
      </c>
      <c r="C244" s="105">
        <v>24</v>
      </c>
      <c r="D244" s="105">
        <v>407355</v>
      </c>
      <c r="F244" s="101" t="s">
        <v>2196</v>
      </c>
      <c r="G244" s="113">
        <f>ROUND(VLOOKUP(B244,FPERIOD,5,FALSE),0)</f>
        <v>0</v>
      </c>
      <c r="H244" s="111">
        <f>VLOOKUP(K244,ALLOCTABLE,2)</f>
        <v>100</v>
      </c>
      <c r="J244" s="1157">
        <f>ROUND(G244*(H244/100),0)</f>
        <v>0</v>
      </c>
      <c r="K244" s="1154" t="s">
        <v>591</v>
      </c>
      <c r="L244" s="1151"/>
      <c r="M244" s="1151"/>
      <c r="N244" s="1151"/>
    </row>
    <row r="245" spans="2:14">
      <c r="B245" s="96"/>
      <c r="C245" s="106">
        <v>25</v>
      </c>
      <c r="G245" s="114"/>
      <c r="J245" s="1161"/>
      <c r="L245" s="1151"/>
      <c r="M245" s="1151"/>
      <c r="N245" s="1151"/>
    </row>
    <row r="246" spans="2:14" ht="15.6">
      <c r="B246" s="96"/>
      <c r="C246" s="106">
        <v>26</v>
      </c>
      <c r="D246" s="105"/>
      <c r="F246" s="1283" t="s">
        <v>1283</v>
      </c>
      <c r="L246" s="1151"/>
      <c r="M246" s="1151"/>
      <c r="N246" s="1151"/>
    </row>
    <row r="247" spans="2:14">
      <c r="B247" s="96">
        <v>403</v>
      </c>
      <c r="C247" s="106">
        <v>27</v>
      </c>
      <c r="D247" s="105">
        <v>403</v>
      </c>
      <c r="F247" s="1203" t="s">
        <v>2436</v>
      </c>
      <c r="G247" s="126">
        <f t="array" aca="1" ref="G247" ca="1">SUM(IF(FERCFP=B247,AmountFP))</f>
        <v>14349517</v>
      </c>
      <c r="H247" s="111">
        <f>VLOOKUP(K247,ALLOCTABLE,2)</f>
        <v>100</v>
      </c>
      <c r="J247" s="1156">
        <f t="shared" ref="J247:J248" ca="1" si="26">ROUND(G247*(H247/100),0)</f>
        <v>14349517</v>
      </c>
      <c r="K247" s="1154" t="s">
        <v>591</v>
      </c>
      <c r="L247" s="1151"/>
      <c r="M247" s="1151"/>
      <c r="N247" s="1151"/>
    </row>
    <row r="248" spans="2:14">
      <c r="B248" s="96">
        <v>404</v>
      </c>
      <c r="C248" s="106">
        <v>28</v>
      </c>
      <c r="D248" s="105">
        <v>404</v>
      </c>
      <c r="F248" s="1203" t="s">
        <v>2437</v>
      </c>
      <c r="G248" s="126">
        <f t="array" aca="1" ref="G248" ca="1">SUM(IF(FERCFP=B248,AmountFP))</f>
        <v>1350115</v>
      </c>
      <c r="H248" s="111">
        <f>VLOOKUP(K248,ALLOCTABLE,2)</f>
        <v>100</v>
      </c>
      <c r="J248" s="1156">
        <f t="shared" ca="1" si="26"/>
        <v>1350115</v>
      </c>
      <c r="K248" s="1154" t="s">
        <v>591</v>
      </c>
      <c r="L248" s="1151"/>
      <c r="M248" s="1151"/>
      <c r="N248" s="1151"/>
    </row>
    <row r="249" spans="2:14">
      <c r="B249" s="96"/>
      <c r="C249" s="105">
        <v>29</v>
      </c>
      <c r="D249" s="105"/>
      <c r="F249" s="101" t="s">
        <v>1633</v>
      </c>
      <c r="G249" s="113">
        <f ca="1">SUM(G247:G248)</f>
        <v>15699632</v>
      </c>
      <c r="H249" s="111"/>
      <c r="J249" s="1157">
        <f ca="1">SUM(J247:J248)</f>
        <v>15699632</v>
      </c>
      <c r="K249" s="1154"/>
      <c r="L249" s="1151"/>
      <c r="M249" s="1151"/>
      <c r="N249" s="1151"/>
    </row>
    <row r="250" spans="2:14">
      <c r="B250" s="96"/>
      <c r="C250" s="106"/>
      <c r="D250" s="105"/>
      <c r="F250" s="101"/>
      <c r="G250" s="130"/>
      <c r="H250" s="111"/>
      <c r="J250" s="1162"/>
      <c r="K250" s="1154"/>
      <c r="L250" s="1151"/>
      <c r="M250" s="1151"/>
      <c r="N250" s="1151"/>
    </row>
    <row r="251" spans="2:14">
      <c r="C251" s="99" t="str">
        <f>COMPANY</f>
        <v>DUKE ENERGY KENTUCKY, INC.</v>
      </c>
      <c r="D251" s="100"/>
      <c r="E251" s="100"/>
      <c r="F251" s="99"/>
      <c r="G251" s="100"/>
      <c r="H251" s="100"/>
      <c r="I251" s="100"/>
      <c r="J251" s="1150"/>
      <c r="K251" s="1150"/>
      <c r="L251" s="1151"/>
      <c r="M251" s="1151"/>
      <c r="N251" s="1151"/>
    </row>
    <row r="252" spans="2:14">
      <c r="C252" s="99" t="str">
        <f>CASE</f>
        <v>CASE NO. 2018-00261</v>
      </c>
      <c r="D252" s="100"/>
      <c r="E252" s="100"/>
      <c r="F252" s="99"/>
      <c r="G252" s="100"/>
      <c r="H252" s="100"/>
      <c r="I252" s="100"/>
      <c r="J252" s="1150"/>
      <c r="K252" s="1150"/>
      <c r="L252" s="1151"/>
      <c r="M252" s="1151"/>
      <c r="N252" s="1151"/>
    </row>
    <row r="253" spans="2:14">
      <c r="C253" s="99" t="s">
        <v>2043</v>
      </c>
      <c r="D253" s="100"/>
      <c r="E253" s="99"/>
      <c r="F253" s="100"/>
      <c r="G253" s="100"/>
      <c r="H253" s="100"/>
      <c r="I253" s="100"/>
      <c r="J253" s="1150"/>
      <c r="K253" s="1150"/>
      <c r="L253" s="1151"/>
      <c r="M253" s="1151"/>
      <c r="N253" s="1151"/>
    </row>
    <row r="254" spans="2:14">
      <c r="C254" s="99" t="str">
        <f>LOGO!$B$8</f>
        <v>FOR THE TWELVE MONTHS ENDED MARCH 31, 2020</v>
      </c>
      <c r="D254" s="100"/>
      <c r="E254" s="100"/>
      <c r="F254" s="99"/>
      <c r="G254" s="100"/>
      <c r="H254" s="100"/>
      <c r="I254" s="100"/>
      <c r="J254" s="1150"/>
      <c r="K254" s="1150"/>
      <c r="L254" s="1151"/>
      <c r="M254" s="1151"/>
      <c r="N254" s="1151"/>
    </row>
    <row r="255" spans="2:14">
      <c r="C255" s="100"/>
      <c r="D255" s="100"/>
      <c r="E255" s="100"/>
      <c r="F255" s="100"/>
      <c r="G255" s="100"/>
      <c r="H255" s="100"/>
      <c r="I255" s="100"/>
      <c r="L255" s="1151"/>
      <c r="M255" s="1151"/>
      <c r="N255" s="1151"/>
    </row>
    <row r="256" spans="2:14">
      <c r="J256" s="1152" t="str">
        <f>"                    "&amp;"SCHEDULE C-2.1"</f>
        <v xml:space="preserve">                    SCHEDULE C-2.1</v>
      </c>
      <c r="L256" s="1151"/>
      <c r="M256" s="1151"/>
      <c r="N256" s="1151"/>
    </row>
    <row r="257" spans="1:14">
      <c r="C257" s="102" t="str">
        <f>DataF</f>
        <v>DATA:  BASE PERIOD  "X" FORECASTED PERIOD</v>
      </c>
      <c r="J257" s="1152" t="str">
        <f>"                    "&amp;"PAGE  15  OF  16"</f>
        <v xml:space="preserve">                    PAGE  15  OF  16</v>
      </c>
      <c r="L257" s="1151"/>
      <c r="M257" s="1151"/>
      <c r="N257" s="1151"/>
    </row>
    <row r="258" spans="1:14">
      <c r="C258" s="102" t="str">
        <f>Type</f>
        <v xml:space="preserve">TYPE OF FILING:  "X" ORIGINAL   UPDATED    REVISED  </v>
      </c>
      <c r="J258" s="1152" t="str">
        <f>"                    "&amp;"WITNESS RESPONSIBLE:"</f>
        <v xml:space="preserve">                    WITNESS RESPONSIBLE:</v>
      </c>
      <c r="L258" s="1151"/>
      <c r="M258" s="1151"/>
      <c r="N258" s="1151"/>
    </row>
    <row r="259" spans="1:14">
      <c r="C259" s="101" t="str">
        <f>$C$9</f>
        <v>WORK PAPER REFERENCE NO(S).: WPC-2.1a</v>
      </c>
      <c r="J259" s="1152" t="str">
        <f>"                    "&amp;_WIT1</f>
        <v xml:space="preserve">                    S. E. LAWLER</v>
      </c>
      <c r="L259" s="1151"/>
      <c r="M259" s="1151"/>
      <c r="N259" s="1151"/>
    </row>
    <row r="260" spans="1:14">
      <c r="C260" s="103"/>
      <c r="D260" s="104"/>
      <c r="E260" s="104"/>
      <c r="F260" s="104"/>
      <c r="G260" s="104"/>
      <c r="H260" s="104"/>
      <c r="I260" s="104"/>
      <c r="J260" s="1153"/>
      <c r="K260" s="1153"/>
      <c r="L260" s="1151"/>
      <c r="M260" s="1151"/>
      <c r="N260" s="1151"/>
    </row>
    <row r="261" spans="1:14">
      <c r="G261" s="105" t="s">
        <v>1927</v>
      </c>
      <c r="H261" s="106" t="s">
        <v>2094</v>
      </c>
      <c r="K261" s="1154" t="s">
        <v>686</v>
      </c>
      <c r="L261" s="1151"/>
      <c r="M261" s="1151"/>
      <c r="N261" s="1151"/>
    </row>
    <row r="262" spans="1:14">
      <c r="C262" s="105" t="s">
        <v>567</v>
      </c>
      <c r="D262" s="105" t="s">
        <v>2160</v>
      </c>
      <c r="G262" s="105" t="s">
        <v>884</v>
      </c>
      <c r="H262" s="105" t="s">
        <v>2096</v>
      </c>
      <c r="J262" s="1154" t="s">
        <v>1927</v>
      </c>
      <c r="K262" s="1154" t="s">
        <v>1928</v>
      </c>
      <c r="L262" s="1151"/>
      <c r="M262" s="1151"/>
      <c r="N262" s="1151"/>
    </row>
    <row r="263" spans="1:14">
      <c r="C263" s="105" t="s">
        <v>2169</v>
      </c>
      <c r="D263" s="105" t="s">
        <v>766</v>
      </c>
      <c r="F263" s="99" t="s">
        <v>1929</v>
      </c>
      <c r="G263" s="106" t="s">
        <v>637</v>
      </c>
      <c r="H263" s="105" t="s">
        <v>2097</v>
      </c>
      <c r="J263" s="1154" t="s">
        <v>1930</v>
      </c>
      <c r="K263" s="1154" t="s">
        <v>741</v>
      </c>
      <c r="L263" s="1151"/>
      <c r="M263" s="1151"/>
      <c r="N263" s="1151"/>
    </row>
    <row r="264" spans="1:14">
      <c r="C264" s="107"/>
      <c r="D264" s="107"/>
      <c r="E264" s="107"/>
      <c r="F264" s="107"/>
      <c r="G264" s="108" t="s">
        <v>2099</v>
      </c>
      <c r="H264" s="108" t="s">
        <v>678</v>
      </c>
      <c r="I264" s="107"/>
      <c r="J264" s="1155" t="s">
        <v>679</v>
      </c>
      <c r="K264" s="1155" t="s">
        <v>680</v>
      </c>
      <c r="L264" s="1151"/>
      <c r="M264" s="1151"/>
      <c r="N264" s="1151"/>
    </row>
    <row r="265" spans="1:14">
      <c r="L265" s="1151"/>
      <c r="M265" s="1151"/>
      <c r="N265" s="1151"/>
    </row>
    <row r="266" spans="1:14" ht="15.6">
      <c r="C266" s="105">
        <v>1</v>
      </c>
      <c r="F266" s="1283" t="s">
        <v>1634</v>
      </c>
      <c r="L266" s="1151"/>
      <c r="M266" s="1151"/>
      <c r="N266" s="1151"/>
    </row>
    <row r="267" spans="1:14">
      <c r="C267" s="106">
        <v>2</v>
      </c>
      <c r="L267" s="1151"/>
      <c r="M267" s="1151"/>
      <c r="N267" s="1151"/>
    </row>
    <row r="268" spans="1:14" s="1151" customFormat="1" ht="15.6">
      <c r="A268" s="98"/>
      <c r="B268" s="98"/>
      <c r="C268" s="105">
        <v>3</v>
      </c>
      <c r="D268" s="97"/>
      <c r="E268" s="97"/>
      <c r="F268" s="1283" t="s">
        <v>1635</v>
      </c>
      <c r="G268" s="97"/>
    </row>
    <row r="269" spans="1:14" s="1151" customFormat="1">
      <c r="A269" s="98">
        <v>408700</v>
      </c>
      <c r="B269" s="1212">
        <v>408152</v>
      </c>
      <c r="C269" s="1154">
        <v>4</v>
      </c>
      <c r="D269" s="1154">
        <v>408152</v>
      </c>
      <c r="E269" s="1156">
        <f>VLOOKUP(B269,FPERIOD,5,FALSE)</f>
        <v>0</v>
      </c>
      <c r="F269" s="1152" t="s">
        <v>1636</v>
      </c>
      <c r="G269" s="110">
        <f>ROUND(VLOOKUP(B269,FPERIOD,5,FALSE)+VLOOKUP(A269,FPERIOD,5,FALSE),0)</f>
        <v>0</v>
      </c>
      <c r="H269" s="1202">
        <f>VLOOKUP(K269,ALLOCTABLE,2)</f>
        <v>100</v>
      </c>
      <c r="J269" s="1156">
        <f>ROUND(G269*(H269/100),0)</f>
        <v>0</v>
      </c>
      <c r="K269" s="1154" t="s">
        <v>591</v>
      </c>
    </row>
    <row r="270" spans="1:14" s="1151" customFormat="1">
      <c r="A270" s="98"/>
      <c r="B270" s="1212">
        <v>408151</v>
      </c>
      <c r="C270" s="1583">
        <v>5</v>
      </c>
      <c r="D270" s="1154">
        <v>408151</v>
      </c>
      <c r="F270" s="1152" t="s">
        <v>1637</v>
      </c>
      <c r="G270" s="110">
        <f>ROUND(VLOOKUP(B270,FPERIOD,5,FALSE),0)</f>
        <v>0</v>
      </c>
      <c r="H270" s="1202">
        <f>VLOOKUP(K270,ALLOCTABLE,2)</f>
        <v>100</v>
      </c>
      <c r="J270" s="1156">
        <f>ROUND(G270*(H270/100),0)</f>
        <v>0</v>
      </c>
      <c r="K270" s="1154" t="s">
        <v>591</v>
      </c>
    </row>
    <row r="271" spans="1:14" s="1151" customFormat="1">
      <c r="A271" s="98"/>
      <c r="B271" s="1212">
        <v>408800</v>
      </c>
      <c r="C271" s="105">
        <v>6</v>
      </c>
      <c r="D271" s="1154">
        <v>408800</v>
      </c>
      <c r="F271" s="1152" t="s">
        <v>2497</v>
      </c>
      <c r="G271" s="110">
        <f>ROUND(VLOOKUP(B271,FPERIOD,5,FALSE),0)</f>
        <v>0</v>
      </c>
      <c r="H271" s="1202">
        <f>VLOOKUP(K271,ALLOCTABLE,2)</f>
        <v>100</v>
      </c>
      <c r="J271" s="1156">
        <f>ROUND(G271*(H271/100),0)</f>
        <v>0</v>
      </c>
      <c r="K271" s="1154" t="s">
        <v>591</v>
      </c>
    </row>
    <row r="272" spans="1:14" s="1151" customFormat="1">
      <c r="A272" s="98"/>
      <c r="B272" s="1214"/>
      <c r="C272" s="106">
        <v>7</v>
      </c>
      <c r="F272" s="1152" t="s">
        <v>1638</v>
      </c>
      <c r="G272" s="113">
        <f>SUM(G269:G271)</f>
        <v>0</v>
      </c>
      <c r="J272" s="1157">
        <f>SUM(J269:J271)</f>
        <v>0</v>
      </c>
    </row>
    <row r="273" spans="1:14" s="1151" customFormat="1">
      <c r="A273" s="98"/>
      <c r="B273" s="1214"/>
      <c r="C273" s="105">
        <v>8</v>
      </c>
      <c r="G273" s="114"/>
      <c r="J273" s="1161"/>
    </row>
    <row r="274" spans="1:14" s="1151" customFormat="1" ht="15.6">
      <c r="A274" s="98"/>
      <c r="B274" s="1214"/>
      <c r="C274" s="1154">
        <v>9</v>
      </c>
      <c r="F274" s="1284" t="s">
        <v>1639</v>
      </c>
      <c r="G274" s="97"/>
    </row>
    <row r="275" spans="1:14" s="1151" customFormat="1">
      <c r="A275" s="98"/>
      <c r="B275" s="1214">
        <v>408040</v>
      </c>
      <c r="C275" s="105">
        <v>10</v>
      </c>
      <c r="D275" s="1583">
        <v>408040</v>
      </c>
      <c r="F275" s="1219" t="s">
        <v>2770</v>
      </c>
      <c r="G275" s="110">
        <f t="shared" ref="G275" si="27">ROUND(VLOOKUP(B275,FPERIOD,5,FALSE),0)</f>
        <v>33045</v>
      </c>
      <c r="H275" s="1202">
        <f t="shared" ref="H275" si="28">VLOOKUP(K275,ALLOCTABLE,2)</f>
        <v>100</v>
      </c>
      <c r="J275" s="1156">
        <f>ROUND(G275*(H275/100),0)</f>
        <v>33045</v>
      </c>
      <c r="K275" s="1154" t="s">
        <v>591</v>
      </c>
    </row>
    <row r="276" spans="1:14" s="1151" customFormat="1">
      <c r="A276" s="98"/>
      <c r="B276" s="1212">
        <v>408150</v>
      </c>
      <c r="C276" s="106">
        <v>11</v>
      </c>
      <c r="D276" s="1154">
        <v>408150</v>
      </c>
      <c r="F276" s="1152" t="s">
        <v>1637</v>
      </c>
      <c r="G276" s="110">
        <f t="shared" ref="G276:G282" si="29">ROUND(VLOOKUP(B276,FPERIOD,5,FALSE),0)</f>
        <v>0</v>
      </c>
      <c r="H276" s="1202">
        <f t="shared" ref="H276:H282" si="30">VLOOKUP(K276,ALLOCTABLE,2)</f>
        <v>100</v>
      </c>
      <c r="J276" s="1156">
        <f>ROUND(G276*(H276/100),0)</f>
        <v>0</v>
      </c>
      <c r="K276" s="1154" t="s">
        <v>591</v>
      </c>
    </row>
    <row r="277" spans="1:14" s="1216" customFormat="1">
      <c r="A277" s="98"/>
      <c r="B277" s="1215">
        <v>408121</v>
      </c>
      <c r="C277" s="105">
        <v>12</v>
      </c>
      <c r="D277" s="1163">
        <v>408121</v>
      </c>
      <c r="F277" s="1217" t="s">
        <v>1640</v>
      </c>
      <c r="G277" s="110">
        <f t="shared" si="29"/>
        <v>3400416</v>
      </c>
      <c r="H277" s="1220">
        <f t="shared" si="30"/>
        <v>100</v>
      </c>
      <c r="J277" s="1162">
        <f>ROUND(G277*(H277/100),0)</f>
        <v>3400416</v>
      </c>
      <c r="K277" s="1163" t="s">
        <v>591</v>
      </c>
    </row>
    <row r="278" spans="1:14" s="1216" customFormat="1">
      <c r="A278" s="98"/>
      <c r="B278" s="1215">
        <v>408550</v>
      </c>
      <c r="C278" s="1154">
        <v>13</v>
      </c>
      <c r="D278" s="1163">
        <v>408550</v>
      </c>
      <c r="F278" s="1218" t="s">
        <v>2197</v>
      </c>
      <c r="G278" s="110">
        <f t="shared" si="29"/>
        <v>0</v>
      </c>
      <c r="H278" s="1220">
        <f t="shared" si="30"/>
        <v>100</v>
      </c>
      <c r="J278" s="1162">
        <f>ROUND(G278*(H278/100),0)</f>
        <v>0</v>
      </c>
      <c r="K278" s="1163" t="s">
        <v>591</v>
      </c>
    </row>
    <row r="279" spans="1:14" s="1216" customFormat="1">
      <c r="A279" s="98"/>
      <c r="B279" s="1215">
        <v>408205</v>
      </c>
      <c r="C279" s="1583">
        <v>14</v>
      </c>
      <c r="D279" s="1163">
        <v>408205</v>
      </c>
      <c r="F279" s="1218" t="s">
        <v>2498</v>
      </c>
      <c r="G279" s="110">
        <f t="shared" si="29"/>
        <v>0</v>
      </c>
      <c r="H279" s="1220">
        <f t="shared" si="30"/>
        <v>100</v>
      </c>
      <c r="J279" s="1162">
        <f t="shared" ref="J279:J281" si="31">ROUND(G279*(H279/100),0)</f>
        <v>0</v>
      </c>
      <c r="K279" s="1163" t="s">
        <v>591</v>
      </c>
    </row>
    <row r="280" spans="1:14" s="1216" customFormat="1">
      <c r="A280" s="98"/>
      <c r="B280" s="1215">
        <v>408470</v>
      </c>
      <c r="C280" s="105">
        <v>15</v>
      </c>
      <c r="D280" s="1163">
        <v>408470</v>
      </c>
      <c r="F280" s="1218" t="s">
        <v>2499</v>
      </c>
      <c r="G280" s="110">
        <f t="shared" si="29"/>
        <v>0</v>
      </c>
      <c r="H280" s="1220">
        <f t="shared" si="30"/>
        <v>100</v>
      </c>
      <c r="J280" s="1162">
        <f t="shared" si="31"/>
        <v>0</v>
      </c>
      <c r="K280" s="1163" t="s">
        <v>591</v>
      </c>
    </row>
    <row r="281" spans="1:14" s="1216" customFormat="1">
      <c r="A281" s="98"/>
      <c r="B281" s="1215">
        <v>408851</v>
      </c>
      <c r="C281" s="106">
        <v>16</v>
      </c>
      <c r="D281" s="1163">
        <v>408851</v>
      </c>
      <c r="F281" s="1218" t="s">
        <v>2500</v>
      </c>
      <c r="G281" s="110">
        <f t="shared" si="29"/>
        <v>0</v>
      </c>
      <c r="H281" s="1220">
        <f t="shared" si="30"/>
        <v>100</v>
      </c>
      <c r="J281" s="1162">
        <f t="shared" si="31"/>
        <v>0</v>
      </c>
      <c r="K281" s="1163" t="s">
        <v>591</v>
      </c>
    </row>
    <row r="282" spans="1:14" s="1151" customFormat="1">
      <c r="A282" s="98"/>
      <c r="B282" s="1212">
        <v>408960</v>
      </c>
      <c r="C282" s="105">
        <v>17</v>
      </c>
      <c r="D282" s="1154">
        <v>408960</v>
      </c>
      <c r="F282" s="1219" t="s">
        <v>2198</v>
      </c>
      <c r="G282" s="110">
        <f t="shared" si="29"/>
        <v>708964</v>
      </c>
      <c r="H282" s="1202">
        <f t="shared" si="30"/>
        <v>100</v>
      </c>
      <c r="J282" s="1156">
        <f>ROUND(G282*(H282/100),0)</f>
        <v>708964</v>
      </c>
      <c r="K282" s="1154" t="s">
        <v>591</v>
      </c>
    </row>
    <row r="283" spans="1:14" s="1151" customFormat="1">
      <c r="A283" s="98"/>
      <c r="B283" s="1212"/>
      <c r="C283" s="1154">
        <v>18</v>
      </c>
      <c r="F283" s="1152" t="s">
        <v>1641</v>
      </c>
      <c r="G283" s="113">
        <f>SUM(G275:G282)</f>
        <v>4142425</v>
      </c>
      <c r="J283" s="1157">
        <f>SUM(J275:J282)</f>
        <v>4142425</v>
      </c>
    </row>
    <row r="284" spans="1:14" s="1151" customFormat="1">
      <c r="A284" s="1214"/>
      <c r="B284" s="1212"/>
      <c r="C284" s="105">
        <v>19</v>
      </c>
      <c r="G284" s="1161"/>
      <c r="J284" s="1161"/>
    </row>
    <row r="285" spans="1:14" s="1151" customFormat="1">
      <c r="A285" s="1214"/>
      <c r="B285" s="1212"/>
      <c r="C285" s="106">
        <v>20</v>
      </c>
      <c r="F285" s="1152" t="s">
        <v>1642</v>
      </c>
    </row>
    <row r="286" spans="1:14" s="1151" customFormat="1">
      <c r="A286" s="1214"/>
      <c r="B286" s="1214"/>
      <c r="C286" s="105">
        <v>21</v>
      </c>
      <c r="F286" s="1152" t="s">
        <v>235</v>
      </c>
      <c r="G286" s="1164">
        <f>G272+G283</f>
        <v>4142425</v>
      </c>
      <c r="J286" s="1164">
        <f>J272+J283</f>
        <v>4142425</v>
      </c>
    </row>
    <row r="287" spans="1:14">
      <c r="L287" s="1151"/>
      <c r="M287" s="1151"/>
      <c r="N287" s="3019"/>
    </row>
    <row r="288" spans="1:14">
      <c r="C288" s="99" t="str">
        <f>COMPANY</f>
        <v>DUKE ENERGY KENTUCKY, INC.</v>
      </c>
      <c r="D288" s="100"/>
      <c r="E288" s="100"/>
      <c r="F288" s="99"/>
      <c r="G288" s="100"/>
      <c r="H288" s="100"/>
      <c r="I288" s="100"/>
      <c r="J288" s="1150"/>
      <c r="K288" s="1150"/>
      <c r="L288" s="1151"/>
      <c r="M288" s="1151"/>
      <c r="N288" s="1151"/>
    </row>
    <row r="289" spans="1:14">
      <c r="C289" s="99" t="str">
        <f>CASE</f>
        <v>CASE NO. 2018-00261</v>
      </c>
      <c r="D289" s="100"/>
      <c r="E289" s="100"/>
      <c r="F289" s="99"/>
      <c r="G289" s="100"/>
      <c r="H289" s="100"/>
      <c r="I289" s="100"/>
      <c r="J289" s="1150"/>
      <c r="K289" s="1150"/>
      <c r="L289" s="1151"/>
      <c r="M289" s="1151"/>
      <c r="N289" s="1151"/>
    </row>
    <row r="290" spans="1:14">
      <c r="C290" s="99" t="s">
        <v>2043</v>
      </c>
      <c r="D290" s="100"/>
      <c r="E290" s="99"/>
      <c r="F290" s="100"/>
      <c r="G290" s="100"/>
      <c r="H290" s="100"/>
      <c r="I290" s="100"/>
      <c r="J290" s="1150"/>
      <c r="K290" s="1150"/>
      <c r="L290" s="1151"/>
      <c r="M290" s="1151"/>
      <c r="N290" s="1151"/>
    </row>
    <row r="291" spans="1:14">
      <c r="C291" s="99" t="str">
        <f>LOGO!$B$8</f>
        <v>FOR THE TWELVE MONTHS ENDED MARCH 31, 2020</v>
      </c>
      <c r="D291" s="100"/>
      <c r="E291" s="100"/>
      <c r="F291" s="99"/>
      <c r="G291" s="100"/>
      <c r="H291" s="100"/>
      <c r="I291" s="100"/>
      <c r="J291" s="1150"/>
      <c r="K291" s="1150"/>
      <c r="L291" s="1151"/>
      <c r="M291" s="1151"/>
      <c r="N291" s="1151"/>
    </row>
    <row r="292" spans="1:14">
      <c r="C292" s="100"/>
      <c r="D292" s="100"/>
      <c r="E292" s="100"/>
      <c r="F292" s="100"/>
      <c r="G292" s="100"/>
      <c r="H292" s="100"/>
      <c r="I292" s="100"/>
      <c r="L292" s="1151"/>
      <c r="M292" s="1151"/>
      <c r="N292" s="1151"/>
    </row>
    <row r="293" spans="1:14">
      <c r="J293" s="1152" t="str">
        <f>"                    "&amp;"SCHEDULE C-2.1"</f>
        <v xml:space="preserve">                    SCHEDULE C-2.1</v>
      </c>
      <c r="L293" s="1151"/>
      <c r="M293" s="1151"/>
      <c r="N293" s="1151"/>
    </row>
    <row r="294" spans="1:14">
      <c r="C294" s="102" t="str">
        <f>DataF</f>
        <v>DATA:  BASE PERIOD  "X" FORECASTED PERIOD</v>
      </c>
      <c r="J294" s="1152" t="str">
        <f>"                    "&amp;"PAGE  16  OF  16"</f>
        <v xml:space="preserve">                    PAGE  16  OF  16</v>
      </c>
      <c r="L294" s="1151"/>
      <c r="M294" s="1151"/>
      <c r="N294" s="1151"/>
    </row>
    <row r="295" spans="1:14">
      <c r="C295" s="102" t="str">
        <f>Type</f>
        <v xml:space="preserve">TYPE OF FILING:  "X" ORIGINAL   UPDATED    REVISED  </v>
      </c>
      <c r="J295" s="1152" t="str">
        <f>"                    "&amp;"WITNESS RESPONSIBLE:"</f>
        <v xml:space="preserve">                    WITNESS RESPONSIBLE:</v>
      </c>
      <c r="L295" s="1151"/>
      <c r="M295" s="1151"/>
      <c r="N295" s="1151"/>
    </row>
    <row r="296" spans="1:14">
      <c r="A296" s="96"/>
      <c r="C296" s="101" t="str">
        <f>$C$9</f>
        <v>WORK PAPER REFERENCE NO(S).: WPC-2.1a</v>
      </c>
      <c r="J296" s="1152" t="str">
        <f>"                    "&amp;_WIT1</f>
        <v xml:space="preserve">                    S. E. LAWLER</v>
      </c>
      <c r="L296" s="1151"/>
      <c r="M296" s="1151"/>
      <c r="N296" s="1151"/>
    </row>
    <row r="297" spans="1:14">
      <c r="A297" s="96"/>
      <c r="C297" s="103"/>
      <c r="D297" s="104"/>
      <c r="E297" s="104"/>
      <c r="F297" s="104"/>
      <c r="G297" s="104"/>
      <c r="H297" s="104"/>
      <c r="I297" s="104"/>
      <c r="J297" s="1153"/>
      <c r="K297" s="1153"/>
      <c r="L297" s="1151"/>
      <c r="M297" s="1151"/>
      <c r="N297" s="1151"/>
    </row>
    <row r="298" spans="1:14">
      <c r="A298" s="96"/>
      <c r="G298" s="105" t="s">
        <v>1927</v>
      </c>
      <c r="H298" s="106" t="s">
        <v>2094</v>
      </c>
      <c r="K298" s="1154" t="s">
        <v>686</v>
      </c>
      <c r="L298" s="1151"/>
      <c r="M298" s="1151"/>
      <c r="N298" s="1151"/>
    </row>
    <row r="299" spans="1:14">
      <c r="C299" s="105" t="s">
        <v>567</v>
      </c>
      <c r="D299" s="105" t="s">
        <v>2160</v>
      </c>
      <c r="G299" s="105" t="s">
        <v>884</v>
      </c>
      <c r="H299" s="105" t="s">
        <v>2096</v>
      </c>
      <c r="J299" s="1154" t="s">
        <v>1927</v>
      </c>
      <c r="K299" s="1154" t="s">
        <v>1928</v>
      </c>
      <c r="L299" s="1151"/>
      <c r="M299" s="1151"/>
      <c r="N299" s="1151"/>
    </row>
    <row r="300" spans="1:14">
      <c r="C300" s="105" t="s">
        <v>2169</v>
      </c>
      <c r="D300" s="105" t="s">
        <v>766</v>
      </c>
      <c r="F300" s="99" t="s">
        <v>1929</v>
      </c>
      <c r="G300" s="106" t="s">
        <v>637</v>
      </c>
      <c r="H300" s="105" t="s">
        <v>2097</v>
      </c>
      <c r="J300" s="1154" t="s">
        <v>1930</v>
      </c>
      <c r="K300" s="1154" t="s">
        <v>741</v>
      </c>
      <c r="L300" s="1151"/>
      <c r="M300" s="1151"/>
      <c r="N300" s="1151"/>
    </row>
    <row r="301" spans="1:14">
      <c r="B301" s="96"/>
      <c r="C301" s="107"/>
      <c r="D301" s="107"/>
      <c r="E301" s="107"/>
      <c r="F301" s="107"/>
      <c r="G301" s="108" t="s">
        <v>2099</v>
      </c>
      <c r="H301" s="108" t="s">
        <v>678</v>
      </c>
      <c r="I301" s="107"/>
      <c r="J301" s="1155" t="s">
        <v>679</v>
      </c>
      <c r="K301" s="1155" t="s">
        <v>680</v>
      </c>
      <c r="L301" s="1151"/>
      <c r="M301" s="1151"/>
      <c r="N301" s="1151"/>
    </row>
    <row r="302" spans="1:14">
      <c r="B302" s="96"/>
      <c r="C302" s="128"/>
      <c r="D302" s="128"/>
      <c r="E302" s="128"/>
      <c r="F302" s="128"/>
      <c r="G302" s="129"/>
      <c r="H302" s="129"/>
      <c r="I302" s="128"/>
      <c r="J302" s="1163"/>
      <c r="K302" s="1163"/>
      <c r="L302" s="1151"/>
      <c r="M302" s="1151"/>
      <c r="N302" s="1151"/>
    </row>
    <row r="303" spans="1:14" ht="15.6">
      <c r="B303" s="96"/>
      <c r="C303" s="105">
        <v>1</v>
      </c>
      <c r="F303" s="1283" t="s">
        <v>1289</v>
      </c>
      <c r="L303" s="1151"/>
      <c r="M303" s="1151"/>
      <c r="N303" s="1151"/>
    </row>
    <row r="304" spans="1:14">
      <c r="B304" s="96">
        <v>409160</v>
      </c>
      <c r="C304" s="105">
        <f>1+C303</f>
        <v>2</v>
      </c>
      <c r="D304" s="105">
        <v>409160</v>
      </c>
      <c r="F304" s="101" t="s">
        <v>1465</v>
      </c>
      <c r="G304" s="110">
        <f ca="1">VLOOKUP(B304,FPERIOD,5,FALSE)</f>
        <v>-215575</v>
      </c>
      <c r="H304" s="127" t="s">
        <v>1466</v>
      </c>
      <c r="J304" s="1156">
        <f ca="1">SCH_E1!K75</f>
        <v>-215575</v>
      </c>
      <c r="L304" s="1151"/>
      <c r="M304" s="1151"/>
      <c r="N304" s="1151"/>
    </row>
    <row r="305" spans="1:14">
      <c r="B305" s="96">
        <v>409104</v>
      </c>
      <c r="C305" s="105">
        <f t="shared" ref="C305:C324" si="32">1+C304</f>
        <v>3</v>
      </c>
      <c r="D305" s="116">
        <v>409104</v>
      </c>
      <c r="F305" s="101" t="s">
        <v>1467</v>
      </c>
      <c r="G305" s="130">
        <f>VLOOKUP(B305,FPERIOD,5,FALSE)</f>
        <v>0</v>
      </c>
      <c r="H305" s="111">
        <f>VLOOKUP(K305,ALLOCTABLE,2)</f>
        <v>100</v>
      </c>
      <c r="J305" s="1156">
        <f>ROUND(G305*(H305/100),0)</f>
        <v>0</v>
      </c>
      <c r="K305" s="1154" t="s">
        <v>591</v>
      </c>
      <c r="L305" s="1151"/>
      <c r="M305" s="1151"/>
      <c r="N305" s="1151"/>
    </row>
    <row r="306" spans="1:14">
      <c r="C306" s="105">
        <f t="shared" si="32"/>
        <v>4</v>
      </c>
      <c r="F306" s="101" t="s">
        <v>1290</v>
      </c>
      <c r="G306" s="113">
        <f ca="1">SUM(G304:G305)</f>
        <v>-215575</v>
      </c>
      <c r="J306" s="1157">
        <f ca="1">SUM(J304:J305)</f>
        <v>-215575</v>
      </c>
      <c r="L306" s="1151"/>
      <c r="M306" s="1151"/>
      <c r="N306" s="1151"/>
    </row>
    <row r="307" spans="1:14">
      <c r="C307" s="105">
        <f t="shared" si="32"/>
        <v>5</v>
      </c>
      <c r="G307" s="114"/>
      <c r="J307" s="1161"/>
      <c r="L307" s="1151"/>
      <c r="M307" s="1151"/>
      <c r="N307" s="1151"/>
    </row>
    <row r="308" spans="1:14">
      <c r="B308" s="98">
        <v>410160</v>
      </c>
      <c r="C308" s="105">
        <f t="shared" si="32"/>
        <v>6</v>
      </c>
      <c r="D308" s="1183" t="s">
        <v>2260</v>
      </c>
      <c r="F308" s="826" t="s">
        <v>1034</v>
      </c>
      <c r="G308" s="130">
        <f ca="1">VLOOKUP(B308,FPERIOD,5,FALSE)+VLOOKUP(B309,FPERIOD,5,FALSE)</f>
        <v>404390</v>
      </c>
      <c r="H308" s="111">
        <f>VLOOKUP(K308,ALLOCTABLE,2)</f>
        <v>100</v>
      </c>
      <c r="J308" s="1156">
        <f ca="1">ROUND(G308*(H308/100),0)</f>
        <v>404390</v>
      </c>
      <c r="K308" s="1154" t="s">
        <v>591</v>
      </c>
      <c r="L308" s="1151"/>
      <c r="M308" s="1151"/>
      <c r="N308" s="1151"/>
    </row>
    <row r="309" spans="1:14">
      <c r="B309" s="98">
        <v>411107</v>
      </c>
      <c r="C309" s="105">
        <f t="shared" si="32"/>
        <v>7</v>
      </c>
      <c r="D309" s="105"/>
      <c r="F309" s="826"/>
      <c r="L309" s="1151"/>
      <c r="M309" s="1151"/>
      <c r="N309" s="1151"/>
    </row>
    <row r="310" spans="1:14">
      <c r="A310" s="96"/>
      <c r="C310" s="105">
        <f t="shared" si="32"/>
        <v>8</v>
      </c>
      <c r="F310" s="101" t="s">
        <v>17</v>
      </c>
      <c r="G310" s="113">
        <f ca="1">G306+G308</f>
        <v>188815</v>
      </c>
      <c r="J310" s="1157">
        <f ca="1">J306+J308</f>
        <v>188815</v>
      </c>
      <c r="K310" s="1156"/>
      <c r="L310" s="1151"/>
      <c r="M310" s="1151"/>
      <c r="N310" s="1151"/>
    </row>
    <row r="311" spans="1:14">
      <c r="A311" s="96"/>
      <c r="C311" s="105">
        <f t="shared" si="32"/>
        <v>9</v>
      </c>
      <c r="L311" s="1151"/>
      <c r="M311" s="1151"/>
      <c r="N311" s="1151"/>
    </row>
    <row r="312" spans="1:14">
      <c r="C312" s="105">
        <f t="shared" si="32"/>
        <v>10</v>
      </c>
      <c r="L312" s="1151"/>
      <c r="M312" s="1151"/>
      <c r="N312" s="1151"/>
    </row>
    <row r="313" spans="1:14" ht="15.6">
      <c r="B313" s="96"/>
      <c r="C313" s="105">
        <f t="shared" si="32"/>
        <v>11</v>
      </c>
      <c r="F313" s="1283" t="s">
        <v>18</v>
      </c>
      <c r="L313" s="1151"/>
      <c r="M313" s="1151"/>
      <c r="N313" s="1151"/>
    </row>
    <row r="314" spans="1:14">
      <c r="B314" s="96">
        <v>409060</v>
      </c>
      <c r="C314" s="105">
        <f t="shared" si="32"/>
        <v>12</v>
      </c>
      <c r="D314" s="105">
        <v>409060</v>
      </c>
      <c r="F314" s="101" t="s">
        <v>1465</v>
      </c>
      <c r="G314" s="130">
        <f ca="1">VLOOKUP(B314,FPERIOD,5,FALSE)</f>
        <v>327143</v>
      </c>
      <c r="H314" s="105" t="s">
        <v>19</v>
      </c>
      <c r="J314" s="1162">
        <f ca="1">SCH_E1!K113</f>
        <v>327143</v>
      </c>
      <c r="L314" s="1151"/>
      <c r="M314" s="1151"/>
      <c r="N314" s="1151"/>
    </row>
    <row r="315" spans="1:14">
      <c r="B315" s="96">
        <v>409193</v>
      </c>
      <c r="C315" s="105">
        <f t="shared" si="32"/>
        <v>13</v>
      </c>
      <c r="D315" s="116">
        <v>409193</v>
      </c>
      <c r="F315" s="101" t="s">
        <v>1688</v>
      </c>
      <c r="G315" s="130">
        <f>VLOOKUP(B315,FPERIOD,5,FALSE)</f>
        <v>0</v>
      </c>
      <c r="H315" s="111">
        <f>VLOOKUP(K315,ALLOCTABLE,2)</f>
        <v>100</v>
      </c>
      <c r="J315" s="1156">
        <f>ROUND(G315*(H315/100),0)</f>
        <v>0</v>
      </c>
      <c r="K315" s="1154" t="s">
        <v>591</v>
      </c>
      <c r="L315" s="1151"/>
      <c r="M315" s="1151"/>
      <c r="N315" s="1151"/>
    </row>
    <row r="316" spans="1:14">
      <c r="B316" s="96">
        <v>409980</v>
      </c>
      <c r="C316" s="105">
        <f t="shared" si="32"/>
        <v>14</v>
      </c>
      <c r="D316" s="116">
        <v>409980</v>
      </c>
      <c r="F316" s="101" t="s">
        <v>1689</v>
      </c>
      <c r="G316" s="130">
        <f>VLOOKUP(B316,FPERIOD,5,FALSE)</f>
        <v>0</v>
      </c>
      <c r="H316" s="111">
        <f>VLOOKUP(K316,ALLOCTABLE,2)</f>
        <v>100</v>
      </c>
      <c r="J316" s="1156">
        <f>ROUND(G316*(H316/100),0)</f>
        <v>0</v>
      </c>
      <c r="K316" s="1154" t="s">
        <v>591</v>
      </c>
      <c r="L316" s="1151"/>
      <c r="M316" s="1151"/>
      <c r="N316" s="1151"/>
    </row>
    <row r="317" spans="1:14">
      <c r="A317" s="96"/>
      <c r="B317" s="96"/>
      <c r="C317" s="105">
        <f t="shared" si="32"/>
        <v>15</v>
      </c>
      <c r="F317" s="97" t="s">
        <v>1690</v>
      </c>
      <c r="G317" s="113">
        <f ca="1">SUM(G314:G316)</f>
        <v>327143</v>
      </c>
      <c r="J317" s="1157">
        <f ca="1">SUM(J314:J316)</f>
        <v>327143</v>
      </c>
      <c r="L317" s="1151"/>
      <c r="M317" s="1151"/>
      <c r="N317" s="1151"/>
    </row>
    <row r="318" spans="1:14">
      <c r="C318" s="105">
        <f t="shared" si="32"/>
        <v>16</v>
      </c>
      <c r="L318" s="1151"/>
      <c r="M318" s="1151"/>
      <c r="N318" s="1151"/>
    </row>
    <row r="319" spans="1:14">
      <c r="A319" s="96"/>
      <c r="B319" s="98">
        <v>410060</v>
      </c>
      <c r="C319" s="105">
        <f t="shared" si="32"/>
        <v>17</v>
      </c>
      <c r="D319" s="1183">
        <v>410060</v>
      </c>
      <c r="F319" s="826" t="s">
        <v>1173</v>
      </c>
      <c r="G319" s="130">
        <f ca="1">VLOOKUP(B319,FPERIOD,5,FALSE)</f>
        <v>488412</v>
      </c>
      <c r="H319" s="111">
        <f>VLOOKUP(K319,ALLOCTABLE,2)</f>
        <v>100</v>
      </c>
      <c r="J319" s="1156">
        <f ca="1">ROUND(G319*(H319/100),0)</f>
        <v>488412</v>
      </c>
      <c r="K319" s="1154" t="s">
        <v>591</v>
      </c>
      <c r="L319" s="1151"/>
      <c r="M319" s="1151"/>
      <c r="N319" s="1151"/>
    </row>
    <row r="320" spans="1:14">
      <c r="A320" s="96"/>
      <c r="B320" s="96">
        <v>411065</v>
      </c>
      <c r="C320" s="105">
        <f t="shared" si="32"/>
        <v>18</v>
      </c>
      <c r="D320" s="106">
        <v>411065</v>
      </c>
      <c r="F320" s="826" t="s">
        <v>1174</v>
      </c>
      <c r="G320" s="130">
        <f>VLOOKUP(B320,FPERIOD,5,FALSE)</f>
        <v>-66055</v>
      </c>
      <c r="H320" s="111">
        <f>VLOOKUP(K320,ALLOCTABLE,2)</f>
        <v>100</v>
      </c>
      <c r="J320" s="1156">
        <f>ROUND(G320*(H320/100),0)</f>
        <v>-66055</v>
      </c>
      <c r="K320" s="1154" t="s">
        <v>591</v>
      </c>
      <c r="L320" s="1151"/>
      <c r="M320" s="1151"/>
      <c r="N320" s="1151"/>
    </row>
    <row r="321" spans="3:14">
      <c r="C321" s="105">
        <f t="shared" si="32"/>
        <v>19</v>
      </c>
      <c r="D321" s="105"/>
      <c r="G321" s="110"/>
      <c r="L321" s="1151"/>
      <c r="M321" s="1151"/>
      <c r="N321" s="1151"/>
    </row>
    <row r="322" spans="3:14">
      <c r="C322" s="105">
        <f t="shared" si="32"/>
        <v>20</v>
      </c>
      <c r="F322" s="101" t="s">
        <v>1691</v>
      </c>
      <c r="G322" s="113">
        <f ca="1">G317+G319+G320</f>
        <v>749500</v>
      </c>
      <c r="H322" s="110"/>
      <c r="J322" s="1157">
        <f ca="1">J317+J319+J320</f>
        <v>749500</v>
      </c>
      <c r="K322" s="1156"/>
      <c r="L322" s="1151"/>
      <c r="M322" s="1151"/>
      <c r="N322" s="1151"/>
    </row>
    <row r="323" spans="3:14">
      <c r="C323" s="105">
        <f t="shared" si="32"/>
        <v>21</v>
      </c>
      <c r="F323" s="101" t="s">
        <v>1692</v>
      </c>
      <c r="G323" s="113">
        <f ca="1">G240+G244+G249+G286+G310+G322</f>
        <v>81365717</v>
      </c>
      <c r="H323" s="110"/>
      <c r="J323" s="1157">
        <f ca="1">J240+J244+J249+J286+J310+J322</f>
        <v>81365717</v>
      </c>
      <c r="L323" s="1151"/>
      <c r="M323" s="1151"/>
      <c r="N323" s="1151"/>
    </row>
    <row r="324" spans="3:14" ht="15.6" thickBot="1">
      <c r="C324" s="105">
        <f t="shared" si="32"/>
        <v>22</v>
      </c>
      <c r="F324" s="101" t="s">
        <v>1693</v>
      </c>
      <c r="G324" s="119">
        <f ca="1">G64-G323</f>
        <v>13154573</v>
      </c>
      <c r="H324" s="110"/>
      <c r="J324" s="1159">
        <f ca="1">J64-J323</f>
        <v>13154573</v>
      </c>
      <c r="L324" s="1151"/>
      <c r="M324" s="1151"/>
      <c r="N324" s="1151"/>
    </row>
    <row r="325" spans="3:14" ht="15.6" thickTop="1">
      <c r="L325" s="1151"/>
      <c r="M325" s="1151"/>
      <c r="N325" s="1151"/>
    </row>
    <row r="326" spans="3:14">
      <c r="L326" s="1151"/>
      <c r="M326" s="1151"/>
      <c r="N326" s="1151"/>
    </row>
    <row r="327" spans="3:14">
      <c r="G327" s="114"/>
      <c r="J327" s="1161"/>
      <c r="L327" s="1151"/>
      <c r="M327" s="1151"/>
      <c r="N327" s="1151"/>
    </row>
  </sheetData>
  <phoneticPr fontId="4" type="noConversion"/>
  <pageMargins left="1" right="0.75" top="1" bottom="0" header="0" footer="0"/>
  <pageSetup scale="55" orientation="portrait" r:id="rId1"/>
  <headerFooter alignWithMargins="0"/>
  <rowBreaks count="5" manualBreakCount="5">
    <brk id="134" max="65535" man="1"/>
    <brk id="183" max="65535" man="1"/>
    <brk id="230" max="65535" man="1"/>
    <brk id="277" max="65535" man="1"/>
    <brk id="365" max="65535" man="1"/>
  </rowBreaks>
  <colBreaks count="1" manualBreakCount="1">
    <brk id="2" max="1048575" man="1"/>
  </colBreaks>
  <ignoredErrors>
    <ignoredError sqref="G79:H79" numberStoredAsText="1"/>
  </ignoredError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theme="7" tint="0.39997558519241921"/>
    <pageSetUpPr fitToPage="1"/>
  </sheetPr>
  <dimension ref="A1:AV571"/>
  <sheetViews>
    <sheetView topLeftCell="O357" zoomScale="75" workbookViewId="0"/>
  </sheetViews>
  <sheetFormatPr defaultColWidth="8" defaultRowHeight="15"/>
  <cols>
    <col min="1" max="1" width="7.5546875" style="133" customWidth="1"/>
    <col min="2" max="2" width="1" style="133" customWidth="1"/>
    <col min="3" max="3" width="50" style="133" customWidth="1"/>
    <col min="4" max="4" width="1.33203125" style="133" customWidth="1"/>
    <col min="5" max="5" width="18.5546875" style="133" customWidth="1"/>
    <col min="6" max="6" width="0.88671875" style="133" customWidth="1"/>
    <col min="7" max="7" width="19.44140625" style="133" customWidth="1"/>
    <col min="8" max="8" width="0.5546875" style="133" customWidth="1"/>
    <col min="9" max="9" width="19.5546875" style="133" customWidth="1"/>
    <col min="10" max="10" width="0.5546875" style="133" customWidth="1"/>
    <col min="11" max="11" width="19.5546875" style="133" customWidth="1"/>
    <col min="12" max="12" width="0.5546875" style="133" customWidth="1"/>
    <col min="13" max="13" width="19.33203125" style="133" customWidth="1"/>
    <col min="14" max="14" width="0.6640625" style="133" customWidth="1"/>
    <col min="15" max="15" width="21" style="133" customWidth="1"/>
    <col min="16" max="16" width="7.109375" style="133" customWidth="1"/>
    <col min="17" max="17" width="7.44140625" style="133" customWidth="1"/>
    <col min="18" max="18" width="2.5546875" style="133" customWidth="1"/>
    <col min="19" max="19" width="49.88671875" style="133" customWidth="1"/>
    <col min="20" max="20" width="1.6640625" style="133" customWidth="1"/>
    <col min="21" max="21" width="20.5546875" style="133" customWidth="1"/>
    <col min="22" max="22" width="1.6640625" style="133" customWidth="1"/>
    <col min="23" max="23" width="18.44140625" style="133" customWidth="1"/>
    <col min="24" max="24" width="1.33203125" style="133" customWidth="1"/>
    <col min="25" max="25" width="20.33203125" style="133" customWidth="1"/>
    <col min="26" max="26" width="1.33203125" style="133" customWidth="1"/>
    <col min="27" max="27" width="18.44140625" style="133" customWidth="1"/>
    <col min="28" max="28" width="1.44140625" style="133" customWidth="1"/>
    <col min="29" max="29" width="21.109375" style="133" customWidth="1"/>
    <col min="30" max="30" width="1.33203125" style="133" customWidth="1"/>
    <col min="31" max="31" width="18.44140625" style="133" customWidth="1"/>
    <col min="32" max="32" width="8" style="133" customWidth="1"/>
    <col min="33" max="33" width="7.44140625" style="133" customWidth="1"/>
    <col min="34" max="34" width="1.6640625" style="133" customWidth="1"/>
    <col min="35" max="35" width="50" style="133" customWidth="1"/>
    <col min="36" max="36" width="1.5546875" style="133" customWidth="1"/>
    <col min="37" max="37" width="18.44140625" style="133" customWidth="1"/>
    <col min="38" max="38" width="14.44140625" style="133" customWidth="1"/>
    <col min="39" max="39" width="2.109375" style="133" customWidth="1"/>
    <col min="40" max="40" width="20.88671875" style="133" customWidth="1"/>
    <col min="41" max="41" width="13.33203125" style="133" customWidth="1"/>
    <col min="42" max="42" width="4.33203125" style="133" customWidth="1"/>
    <col min="43" max="43" width="24.88671875" style="133" customWidth="1"/>
    <col min="44" max="44" width="8" style="133" customWidth="1"/>
    <col min="45" max="47" width="14" style="133" customWidth="1"/>
    <col min="48" max="48" width="21.88671875" style="133" customWidth="1"/>
    <col min="49" max="16384" width="8" style="133"/>
  </cols>
  <sheetData>
    <row r="1" spans="1:15">
      <c r="A1" s="131" t="str">
        <f>COMPANY</f>
        <v>DUKE ENERGY KENTUCKY, INC.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</row>
    <row r="2" spans="1:15">
      <c r="A2" s="131" t="str">
        <f>CASE</f>
        <v>CASE NO. 2018-00261</v>
      </c>
      <c r="B2" s="132"/>
      <c r="C2" s="132"/>
      <c r="D2" s="132"/>
      <c r="E2" s="134"/>
      <c r="F2" s="134"/>
      <c r="G2" s="132"/>
      <c r="H2" s="132"/>
      <c r="I2" s="132"/>
      <c r="J2" s="132"/>
      <c r="K2" s="132"/>
      <c r="L2" s="132"/>
      <c r="M2" s="132"/>
      <c r="N2" s="132"/>
      <c r="O2" s="132"/>
    </row>
    <row r="3" spans="1:15">
      <c r="A3" s="135" t="str">
        <f>$AG$395</f>
        <v>SUMMARY OF UTILITY JURISDICTIONAL ADJUSTMENTS TO</v>
      </c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</row>
    <row r="4" spans="1:15">
      <c r="A4" s="135" t="str">
        <f>$AG$396</f>
        <v>OPERATING INCOME BY MAJOR ACCOUNTS</v>
      </c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</row>
    <row r="5" spans="1:15" ht="15.6">
      <c r="A5" s="709" t="s">
        <v>1500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</row>
    <row r="6" spans="1:15">
      <c r="A6" s="131" t="str">
        <f>PERIOD</f>
        <v>FOR THE TWELVE MONTHS ENDED NOVEMBER 30, 2018</v>
      </c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</row>
    <row r="7" spans="1:15">
      <c r="D7" s="136"/>
    </row>
    <row r="8" spans="1:15">
      <c r="A8" s="136" t="str">
        <f>Data</f>
        <v>DATA: "X" BASE PERIOD   FORECASTED PERIOD</v>
      </c>
      <c r="M8" s="137" t="s">
        <v>1570</v>
      </c>
      <c r="N8" s="138"/>
    </row>
    <row r="9" spans="1:15">
      <c r="A9" s="136" t="str">
        <f>Type</f>
        <v xml:space="preserve">TYPE OF FILING:  "X" ORIGINAL   UPDATED    REVISED  </v>
      </c>
      <c r="M9" s="138" t="s">
        <v>1800</v>
      </c>
      <c r="N9" s="138"/>
    </row>
    <row r="10" spans="1:15">
      <c r="A10" s="138" t="s">
        <v>565</v>
      </c>
      <c r="M10" s="137" t="s">
        <v>1571</v>
      </c>
      <c r="N10" s="138"/>
    </row>
    <row r="11" spans="1:15">
      <c r="M11" s="138" t="str">
        <f>"          "&amp;_WIT1</f>
        <v xml:space="preserve">          S. E. LAWLER</v>
      </c>
      <c r="N11" s="138"/>
    </row>
    <row r="12" spans="1:15">
      <c r="A12" s="139"/>
      <c r="B12" s="139"/>
      <c r="C12" s="139"/>
      <c r="D12" s="139"/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39"/>
    </row>
    <row r="13" spans="1:15">
      <c r="E13" s="140" t="s">
        <v>884</v>
      </c>
      <c r="G13" s="141"/>
      <c r="H13" s="141"/>
      <c r="I13" s="141" t="s">
        <v>1572</v>
      </c>
      <c r="J13" s="140"/>
      <c r="K13" s="140" t="s">
        <v>1572</v>
      </c>
      <c r="L13" s="140"/>
      <c r="M13" s="140" t="s">
        <v>1572</v>
      </c>
      <c r="N13" s="140"/>
      <c r="O13" s="140" t="s">
        <v>1572</v>
      </c>
    </row>
    <row r="14" spans="1:15">
      <c r="A14" s="140" t="s">
        <v>567</v>
      </c>
      <c r="E14" s="140" t="s">
        <v>582</v>
      </c>
      <c r="G14" s="141" t="s">
        <v>1572</v>
      </c>
      <c r="H14" s="141"/>
      <c r="I14" s="142" t="s">
        <v>1573</v>
      </c>
      <c r="J14" s="142"/>
      <c r="K14" s="140" t="s">
        <v>1540</v>
      </c>
      <c r="L14" s="140"/>
      <c r="M14" s="140" t="s">
        <v>1540</v>
      </c>
      <c r="N14" s="140"/>
      <c r="O14" s="140" t="s">
        <v>1457</v>
      </c>
    </row>
    <row r="15" spans="1:15">
      <c r="A15" s="143" t="s">
        <v>766</v>
      </c>
      <c r="B15" s="144"/>
      <c r="C15" s="143" t="s">
        <v>1581</v>
      </c>
      <c r="D15" s="144"/>
      <c r="E15" s="143" t="s">
        <v>1726</v>
      </c>
      <c r="G15" s="143" t="s">
        <v>687</v>
      </c>
      <c r="H15" s="143"/>
      <c r="I15" s="145" t="s">
        <v>1539</v>
      </c>
      <c r="J15" s="145"/>
      <c r="K15" s="143" t="s">
        <v>1583</v>
      </c>
      <c r="L15" s="143"/>
      <c r="M15" s="143" t="s">
        <v>1844</v>
      </c>
      <c r="N15" s="143"/>
      <c r="O15" s="143" t="s">
        <v>1845</v>
      </c>
    </row>
    <row r="16" spans="1:15">
      <c r="A16" s="144"/>
      <c r="B16" s="144"/>
      <c r="C16" s="587" t="s">
        <v>1055</v>
      </c>
      <c r="D16" s="144"/>
      <c r="E16" s="143" t="s">
        <v>162</v>
      </c>
      <c r="F16" s="1023"/>
      <c r="G16" s="143" t="s">
        <v>1846</v>
      </c>
      <c r="H16" s="143"/>
      <c r="I16" s="143" t="s">
        <v>1847</v>
      </c>
      <c r="J16" s="143"/>
      <c r="K16" s="143" t="s">
        <v>1268</v>
      </c>
      <c r="L16" s="143"/>
      <c r="M16" s="143" t="s">
        <v>1272</v>
      </c>
      <c r="N16" s="143"/>
      <c r="O16" s="143" t="s">
        <v>1848</v>
      </c>
    </row>
    <row r="17" spans="1:15" ht="15.6">
      <c r="A17" s="140">
        <v>1</v>
      </c>
      <c r="B17" s="146" t="s">
        <v>1849</v>
      </c>
    </row>
    <row r="18" spans="1:15">
      <c r="A18" s="140">
        <f>1+A17</f>
        <v>2</v>
      </c>
      <c r="C18" s="138" t="s">
        <v>1850</v>
      </c>
      <c r="E18" s="147">
        <f ca="1">SUM(G18:O18)+SUM(E83:O83)+SUM(E148:O148)</f>
        <v>-2003776.7859999985</v>
      </c>
      <c r="G18" s="147">
        <f ca="1">SCH_C2!F17</f>
        <v>-2003776.7859999985</v>
      </c>
      <c r="H18" s="147"/>
      <c r="I18" s="147"/>
      <c r="J18" s="147"/>
      <c r="K18" s="147"/>
      <c r="L18" s="147"/>
      <c r="M18" s="147"/>
      <c r="N18" s="147"/>
      <c r="O18" s="147"/>
    </row>
    <row r="19" spans="1:15">
      <c r="A19" s="140">
        <f t="shared" ref="A19:A63" si="0">1+A18</f>
        <v>3</v>
      </c>
      <c r="C19" s="138" t="s">
        <v>1851</v>
      </c>
      <c r="E19" s="147">
        <f>SUM(G19:O19)+SUM(E84:O84)+SUM(E149:O149)</f>
        <v>-9068523.2140000015</v>
      </c>
      <c r="G19" s="147">
        <f>SCH_C2!F18</f>
        <v>-9068523.2140000015</v>
      </c>
      <c r="H19" s="147"/>
      <c r="I19" s="147"/>
      <c r="J19" s="147"/>
      <c r="K19" s="147"/>
      <c r="L19" s="147"/>
      <c r="M19" s="147"/>
      <c r="N19" s="147"/>
      <c r="O19" s="147"/>
    </row>
    <row r="20" spans="1:15">
      <c r="A20" s="140">
        <f t="shared" si="0"/>
        <v>4</v>
      </c>
      <c r="C20" s="138" t="s">
        <v>1852</v>
      </c>
      <c r="E20" s="147">
        <f ca="1">SUM(G20:O20)+SUM(E85:O85)+SUM(E150:O150)</f>
        <v>3155771</v>
      </c>
      <c r="G20" s="147">
        <f ca="1">SCH_C2!F19</f>
        <v>3155771</v>
      </c>
      <c r="H20" s="147"/>
      <c r="I20" s="147"/>
      <c r="J20" s="147"/>
      <c r="K20" s="147"/>
      <c r="L20" s="147"/>
      <c r="M20" s="147"/>
      <c r="N20" s="147"/>
      <c r="O20" s="147"/>
    </row>
    <row r="21" spans="1:15">
      <c r="A21" s="140">
        <f t="shared" si="0"/>
        <v>5</v>
      </c>
      <c r="C21" s="138" t="s">
        <v>1853</v>
      </c>
      <c r="E21" s="148">
        <f ca="1">SUM(E18:E20)</f>
        <v>-7916529</v>
      </c>
      <c r="G21" s="148">
        <f ca="1">SUM(G18:G20)</f>
        <v>-7916529</v>
      </c>
      <c r="H21" s="147"/>
      <c r="I21" s="148">
        <f>SUM(I18:I20)</f>
        <v>0</v>
      </c>
      <c r="J21" s="147"/>
      <c r="K21" s="148">
        <f>SUM(K18:K20)</f>
        <v>0</v>
      </c>
      <c r="L21" s="147"/>
      <c r="M21" s="148">
        <f>SUM(M18:M20)</f>
        <v>0</v>
      </c>
      <c r="N21" s="147"/>
      <c r="O21" s="148">
        <f>SUM(O18:O20)</f>
        <v>0</v>
      </c>
    </row>
    <row r="22" spans="1:15">
      <c r="A22" s="140">
        <f t="shared" si="0"/>
        <v>6</v>
      </c>
      <c r="E22" s="149"/>
      <c r="G22" s="149"/>
      <c r="H22" s="149"/>
      <c r="I22" s="149"/>
      <c r="J22" s="149"/>
      <c r="K22" s="149"/>
      <c r="L22" s="149"/>
      <c r="M22" s="149"/>
      <c r="N22" s="149"/>
      <c r="O22" s="149"/>
    </row>
    <row r="23" spans="1:15" ht="15.6">
      <c r="A23" s="140">
        <f t="shared" si="0"/>
        <v>7</v>
      </c>
      <c r="B23" s="146" t="s">
        <v>1136</v>
      </c>
    </row>
    <row r="24" spans="1:15">
      <c r="A24" s="140">
        <f t="shared" si="0"/>
        <v>8</v>
      </c>
      <c r="C24" s="138" t="s">
        <v>1854</v>
      </c>
    </row>
    <row r="25" spans="1:15">
      <c r="A25" s="140">
        <f t="shared" si="0"/>
        <v>9</v>
      </c>
      <c r="C25" s="138" t="s">
        <v>1855</v>
      </c>
      <c r="E25" s="147"/>
    </row>
    <row r="26" spans="1:15">
      <c r="A26" s="140">
        <f t="shared" si="0"/>
        <v>10</v>
      </c>
      <c r="C26" s="138" t="s">
        <v>1856</v>
      </c>
      <c r="E26" s="147">
        <f>SUM(G26:O26)+SUM(E91:O91)+SUM(E156:O156)</f>
        <v>-1531695</v>
      </c>
      <c r="G26" s="147"/>
      <c r="H26" s="147"/>
      <c r="I26" s="147">
        <f>SCH_C2!F25</f>
        <v>-1531695</v>
      </c>
      <c r="J26" s="147"/>
      <c r="K26" s="147"/>
      <c r="L26" s="147"/>
      <c r="M26" s="147"/>
      <c r="N26" s="147"/>
      <c r="O26" s="147"/>
    </row>
    <row r="27" spans="1:15">
      <c r="A27" s="140">
        <f t="shared" si="0"/>
        <v>11</v>
      </c>
      <c r="C27" s="138" t="s">
        <v>700</v>
      </c>
      <c r="E27" s="147">
        <f ca="1">SUM(G27:O27)+SUM(E92:O92)+SUM(E157:O157)</f>
        <v>839469</v>
      </c>
      <c r="G27" s="147"/>
      <c r="H27" s="147"/>
      <c r="I27" s="147"/>
      <c r="J27" s="147"/>
      <c r="K27" s="147">
        <f ca="1">SCH_C2!F26</f>
        <v>839469</v>
      </c>
      <c r="L27" s="147"/>
      <c r="M27" s="147"/>
      <c r="N27" s="147"/>
      <c r="O27" s="147"/>
    </row>
    <row r="28" spans="1:15">
      <c r="A28" s="140">
        <f t="shared" si="0"/>
        <v>12</v>
      </c>
      <c r="C28" s="138" t="s">
        <v>1857</v>
      </c>
      <c r="E28" s="148">
        <f ca="1">SUM(E26:E27)</f>
        <v>-692226</v>
      </c>
      <c r="G28" s="148">
        <f>SUM(G26:G27)</f>
        <v>0</v>
      </c>
      <c r="H28" s="147"/>
      <c r="I28" s="148">
        <f>SUM(I26:I27)</f>
        <v>-1531695</v>
      </c>
      <c r="J28" s="147"/>
      <c r="K28" s="148">
        <f ca="1">SUM(K26:K27)</f>
        <v>839469</v>
      </c>
      <c r="L28" s="147"/>
      <c r="M28" s="148">
        <f>SUM(M26:M27)</f>
        <v>0</v>
      </c>
      <c r="N28" s="147"/>
      <c r="O28" s="148">
        <f>SUM(O26:O27)</f>
        <v>0</v>
      </c>
    </row>
    <row r="29" spans="1:15">
      <c r="A29" s="140">
        <f t="shared" si="0"/>
        <v>13</v>
      </c>
      <c r="C29" s="138"/>
      <c r="E29" s="149"/>
      <c r="G29" s="150"/>
      <c r="H29" s="147"/>
      <c r="I29" s="150"/>
      <c r="J29" s="147"/>
      <c r="K29" s="150"/>
      <c r="L29" s="147"/>
      <c r="M29" s="150"/>
      <c r="N29" s="147"/>
      <c r="O29" s="150"/>
    </row>
    <row r="30" spans="1:15">
      <c r="A30" s="140">
        <f t="shared" si="0"/>
        <v>14</v>
      </c>
      <c r="C30" s="138" t="s">
        <v>1858</v>
      </c>
      <c r="E30" s="150"/>
      <c r="G30" s="150"/>
      <c r="H30" s="147"/>
      <c r="I30" s="150"/>
      <c r="J30" s="147"/>
      <c r="K30" s="150"/>
      <c r="L30" s="147"/>
      <c r="M30" s="150"/>
      <c r="N30" s="147"/>
      <c r="O30" s="150"/>
    </row>
    <row r="31" spans="1:15">
      <c r="A31" s="140">
        <f t="shared" si="0"/>
        <v>15</v>
      </c>
      <c r="C31" s="138" t="s">
        <v>1859</v>
      </c>
      <c r="E31" s="147">
        <f ca="1">SUM(G31:O31)+SUM(E96:O96)+SUM(E161:O161)</f>
        <v>-7370202</v>
      </c>
      <c r="G31" s="150"/>
      <c r="H31" s="147"/>
      <c r="I31" s="147">
        <f ca="1">SCH_C2!F30</f>
        <v>-7370202</v>
      </c>
      <c r="J31" s="147"/>
      <c r="K31" s="150"/>
      <c r="L31" s="147"/>
      <c r="M31" s="150"/>
      <c r="N31" s="147"/>
      <c r="O31" s="150"/>
    </row>
    <row r="32" spans="1:15">
      <c r="A32" s="140">
        <f t="shared" si="0"/>
        <v>16</v>
      </c>
      <c r="C32" s="138" t="s">
        <v>700</v>
      </c>
      <c r="E32" s="147">
        <f>SUM(G32:O32)+SUM(E97:O97)+SUM(E162:O162)</f>
        <v>-671111</v>
      </c>
      <c r="G32" s="150"/>
      <c r="H32" s="147"/>
      <c r="I32" s="150"/>
      <c r="J32" s="147"/>
      <c r="K32" s="150"/>
      <c r="L32" s="147"/>
      <c r="M32" s="147">
        <f>SCH_C2!F31</f>
        <v>-671111</v>
      </c>
      <c r="N32" s="147"/>
      <c r="O32" s="150"/>
    </row>
    <row r="33" spans="1:22">
      <c r="A33" s="140">
        <f t="shared" si="0"/>
        <v>17</v>
      </c>
      <c r="C33" s="138" t="s">
        <v>1860</v>
      </c>
      <c r="E33" s="148">
        <f ca="1">SUM(E31:E32)</f>
        <v>-8041313</v>
      </c>
      <c r="G33" s="148">
        <f>SUM(G31:G32)</f>
        <v>0</v>
      </c>
      <c r="H33" s="147"/>
      <c r="I33" s="148">
        <f ca="1">SUM(I31:I32)</f>
        <v>-7370202</v>
      </c>
      <c r="J33" s="147"/>
      <c r="K33" s="148">
        <f>SUM(K31:K32)</f>
        <v>0</v>
      </c>
      <c r="L33" s="147"/>
      <c r="M33" s="148">
        <f>SUM(M31:M32)</f>
        <v>-671111</v>
      </c>
      <c r="N33" s="147"/>
      <c r="O33" s="148">
        <f>SUM(O31:O32)</f>
        <v>0</v>
      </c>
    </row>
    <row r="34" spans="1:22">
      <c r="A34" s="140">
        <f t="shared" si="0"/>
        <v>18</v>
      </c>
      <c r="C34" s="138" t="s">
        <v>1458</v>
      </c>
      <c r="E34" s="147">
        <f t="shared" ref="E34:E40" si="1">SUM(G34:O34)+SUM(E99:O99)+SUM(E164:O164)</f>
        <v>0</v>
      </c>
      <c r="G34" s="149"/>
      <c r="H34" s="149"/>
      <c r="I34" s="149"/>
      <c r="J34" s="149"/>
      <c r="K34" s="149"/>
      <c r="L34" s="149"/>
      <c r="M34" s="149"/>
      <c r="N34" s="149"/>
      <c r="O34" s="147">
        <f>SCH_C2!F33</f>
        <v>0</v>
      </c>
    </row>
    <row r="35" spans="1:22">
      <c r="A35" s="140">
        <f t="shared" si="0"/>
        <v>19</v>
      </c>
      <c r="C35" s="138" t="s">
        <v>1861</v>
      </c>
      <c r="E35" s="147">
        <f t="shared" si="1"/>
        <v>1970875</v>
      </c>
      <c r="G35" s="147"/>
      <c r="H35" s="147"/>
      <c r="I35" s="147"/>
      <c r="J35" s="147"/>
      <c r="K35" s="147"/>
      <c r="L35" s="147"/>
      <c r="M35" s="147"/>
      <c r="N35" s="147"/>
      <c r="O35" s="147"/>
    </row>
    <row r="36" spans="1:22">
      <c r="A36" s="140">
        <f t="shared" si="0"/>
        <v>20</v>
      </c>
      <c r="C36" s="138" t="s">
        <v>1862</v>
      </c>
      <c r="E36" s="147">
        <f t="shared" ca="1" si="1"/>
        <v>-497608</v>
      </c>
      <c r="G36" s="147"/>
      <c r="H36" s="147"/>
      <c r="I36" s="147"/>
      <c r="J36" s="147"/>
      <c r="K36" s="147"/>
      <c r="L36" s="147"/>
      <c r="M36" s="147"/>
      <c r="N36" s="147"/>
      <c r="O36" s="147"/>
    </row>
    <row r="37" spans="1:22">
      <c r="A37" s="140">
        <f t="shared" si="0"/>
        <v>21</v>
      </c>
      <c r="C37" s="138" t="s">
        <v>1863</v>
      </c>
      <c r="E37" s="147">
        <f t="shared" ca="1" si="1"/>
        <v>-7963</v>
      </c>
      <c r="G37" s="147"/>
      <c r="H37" s="147"/>
      <c r="I37" s="147"/>
      <c r="J37" s="147"/>
      <c r="K37" s="147"/>
      <c r="L37" s="147"/>
      <c r="M37" s="147"/>
      <c r="N37" s="147"/>
      <c r="O37" s="147"/>
    </row>
    <row r="38" spans="1:22">
      <c r="A38" s="140">
        <f t="shared" si="0"/>
        <v>22</v>
      </c>
      <c r="C38" s="138" t="s">
        <v>1864</v>
      </c>
      <c r="E38" s="147">
        <f t="shared" ca="1" si="1"/>
        <v>32237</v>
      </c>
      <c r="G38" s="147"/>
      <c r="H38" s="147"/>
      <c r="I38" s="147"/>
      <c r="J38" s="147"/>
      <c r="K38" s="147"/>
      <c r="L38" s="147"/>
      <c r="M38" s="147"/>
      <c r="N38" s="147"/>
      <c r="O38" s="147"/>
    </row>
    <row r="39" spans="1:22">
      <c r="A39" s="140">
        <f t="shared" si="0"/>
        <v>23</v>
      </c>
      <c r="C39" s="138" t="s">
        <v>312</v>
      </c>
      <c r="E39" s="147">
        <f t="shared" ca="1" si="1"/>
        <v>-593730</v>
      </c>
      <c r="G39" s="147"/>
      <c r="H39" s="147"/>
      <c r="I39" s="147"/>
      <c r="J39" s="147"/>
      <c r="L39" s="147"/>
      <c r="M39" s="147"/>
      <c r="N39" s="147"/>
      <c r="O39" s="147"/>
    </row>
    <row r="40" spans="1:22">
      <c r="A40" s="140">
        <f t="shared" si="0"/>
        <v>24</v>
      </c>
      <c r="C40" s="138" t="s">
        <v>1267</v>
      </c>
      <c r="E40" s="147">
        <f t="shared" si="1"/>
        <v>801635</v>
      </c>
      <c r="G40" s="147"/>
      <c r="H40" s="147"/>
      <c r="I40" s="147"/>
      <c r="J40" s="147"/>
      <c r="L40" s="147"/>
      <c r="M40" s="147"/>
      <c r="N40" s="147"/>
      <c r="O40" s="147"/>
    </row>
    <row r="41" spans="1:22">
      <c r="A41" s="140">
        <f t="shared" si="0"/>
        <v>25</v>
      </c>
      <c r="C41" s="138" t="s">
        <v>313</v>
      </c>
      <c r="E41" s="148">
        <f ca="1">E28+E33+SUM(E34:E40)</f>
        <v>-7028093</v>
      </c>
      <c r="G41" s="148">
        <f>G28+G33+SUM(G34:G40)</f>
        <v>0</v>
      </c>
      <c r="H41" s="147"/>
      <c r="I41" s="148">
        <f ca="1">I28+I33+SUM(I34:I40)</f>
        <v>-8901897</v>
      </c>
      <c r="J41" s="147"/>
      <c r="K41" s="148">
        <f ca="1">K28+K33+SUM(K34:K40)</f>
        <v>839469</v>
      </c>
      <c r="L41" s="147"/>
      <c r="M41" s="148">
        <f>M28+M33+SUM(M34:M40)</f>
        <v>-671111</v>
      </c>
      <c r="N41" s="147"/>
      <c r="O41" s="148">
        <f>O28+O33+SUM(O34:O40)</f>
        <v>0</v>
      </c>
    </row>
    <row r="42" spans="1:22">
      <c r="A42" s="140">
        <f t="shared" si="0"/>
        <v>26</v>
      </c>
      <c r="E42" s="149"/>
      <c r="G42" s="149"/>
      <c r="H42" s="149"/>
      <c r="I42" s="149"/>
      <c r="J42" s="149"/>
      <c r="K42" s="149"/>
      <c r="L42" s="149"/>
      <c r="M42" s="149"/>
      <c r="N42" s="149"/>
      <c r="O42" s="149"/>
    </row>
    <row r="43" spans="1:22">
      <c r="A43" s="140">
        <f t="shared" si="0"/>
        <v>27</v>
      </c>
      <c r="C43" s="138" t="s">
        <v>314</v>
      </c>
      <c r="E43" s="151">
        <f ca="1">SUM(G43:O43)+SUM(E108:O108)+SUM(E173:O173)</f>
        <v>1303985</v>
      </c>
      <c r="G43" s="151">
        <v>0</v>
      </c>
      <c r="H43" s="147"/>
      <c r="I43" s="151">
        <v>0</v>
      </c>
      <c r="J43" s="147"/>
      <c r="K43" s="151">
        <v>0</v>
      </c>
      <c r="L43" s="147"/>
      <c r="M43" s="151">
        <v>0</v>
      </c>
      <c r="N43" s="147"/>
      <c r="O43" s="151">
        <v>0</v>
      </c>
    </row>
    <row r="44" spans="1:22">
      <c r="A44" s="140">
        <f t="shared" si="0"/>
        <v>28</v>
      </c>
      <c r="E44" s="149"/>
      <c r="G44" s="149"/>
      <c r="H44" s="149"/>
      <c r="I44" s="149"/>
      <c r="J44" s="149"/>
      <c r="K44" s="149"/>
      <c r="L44" s="149"/>
      <c r="M44" s="149"/>
      <c r="N44" s="149"/>
      <c r="O44" s="149"/>
    </row>
    <row r="45" spans="1:22">
      <c r="A45" s="140">
        <f t="shared" si="0"/>
        <v>29</v>
      </c>
      <c r="C45" s="138" t="s">
        <v>491</v>
      </c>
      <c r="U45" s="686"/>
      <c r="V45" s="686"/>
    </row>
    <row r="46" spans="1:22">
      <c r="A46" s="140">
        <f t="shared" si="0"/>
        <v>30</v>
      </c>
      <c r="C46" s="138" t="s">
        <v>315</v>
      </c>
      <c r="E46" s="147">
        <f>SUM(G46:O46)+SUM(E111:O111)+SUM(E176:O176)</f>
        <v>-206000</v>
      </c>
      <c r="G46" s="147"/>
      <c r="H46" s="147"/>
      <c r="I46" s="147"/>
      <c r="J46" s="147"/>
      <c r="K46" s="147"/>
      <c r="L46" s="147"/>
      <c r="M46" s="147"/>
      <c r="N46" s="147"/>
      <c r="O46" s="147"/>
      <c r="U46" s="686"/>
      <c r="V46" s="686"/>
    </row>
    <row r="47" spans="1:22">
      <c r="A47" s="140">
        <f t="shared" si="0"/>
        <v>31</v>
      </c>
      <c r="C47" s="138" t="s">
        <v>316</v>
      </c>
      <c r="E47" s="147">
        <f>SUM(G47:O47)+SUM(E112:O112)+SUM(E177:O177)</f>
        <v>742096</v>
      </c>
      <c r="G47" s="147"/>
      <c r="H47" s="147"/>
      <c r="I47" s="147"/>
      <c r="J47" s="147"/>
      <c r="K47" s="147"/>
      <c r="L47" s="147"/>
      <c r="M47" s="147"/>
      <c r="N47" s="147"/>
      <c r="O47" s="147"/>
    </row>
    <row r="48" spans="1:22">
      <c r="A48" s="140">
        <f t="shared" si="0"/>
        <v>32</v>
      </c>
      <c r="C48" s="138" t="s">
        <v>317</v>
      </c>
      <c r="E48" s="148">
        <f>SUM(E46:E47)</f>
        <v>536096</v>
      </c>
      <c r="G48" s="148">
        <f>SUM(G46:G47)</f>
        <v>0</v>
      </c>
      <c r="H48" s="147"/>
      <c r="I48" s="148">
        <f>SUM(I46:I47)</f>
        <v>0</v>
      </c>
      <c r="J48" s="147"/>
      <c r="K48" s="148">
        <f>SUM(K46:K47)</f>
        <v>0</v>
      </c>
      <c r="L48" s="147"/>
      <c r="M48" s="148">
        <f>SUM(M46:M47)</f>
        <v>0</v>
      </c>
      <c r="N48" s="147"/>
      <c r="O48" s="148">
        <f>SUM(O46:O47)</f>
        <v>0</v>
      </c>
      <c r="V48" s="162"/>
    </row>
    <row r="49" spans="1:24">
      <c r="A49" s="140">
        <f t="shared" si="0"/>
        <v>33</v>
      </c>
      <c r="C49" s="138"/>
      <c r="E49" s="149"/>
      <c r="G49" s="150"/>
      <c r="H49" s="147"/>
      <c r="I49" s="150"/>
      <c r="J49" s="147"/>
      <c r="K49" s="150"/>
      <c r="L49" s="147"/>
      <c r="M49" s="150"/>
      <c r="N49" s="147"/>
      <c r="O49" s="150"/>
    </row>
    <row r="50" spans="1:24">
      <c r="A50" s="140">
        <f t="shared" si="0"/>
        <v>34</v>
      </c>
      <c r="C50" s="138" t="s">
        <v>318</v>
      </c>
    </row>
    <row r="51" spans="1:24">
      <c r="A51" s="140">
        <f t="shared" si="0"/>
        <v>35</v>
      </c>
      <c r="C51" s="138" t="s">
        <v>1465</v>
      </c>
      <c r="E51" s="147">
        <f ca="1">SUM(G51:O51)+SUM(E116:O116)+SUM(E181:O181)</f>
        <v>-562994</v>
      </c>
      <c r="G51" s="147">
        <f ca="1">ROUND((G21-G41-G43-G48)*SIT*APPORT,0)</f>
        <v>-393333</v>
      </c>
      <c r="H51" s="147"/>
      <c r="I51" s="147">
        <f ca="1">ROUND((I21-I41-I43-I48)*SIT*APPORT,0)</f>
        <v>442291</v>
      </c>
      <c r="J51" s="147"/>
      <c r="K51" s="147">
        <f ca="1">ROUND((K21-K41-K43-K48)*SIT*APPORT,0)</f>
        <v>-41709</v>
      </c>
      <c r="L51" s="147"/>
      <c r="M51" s="147">
        <f>ROUND((M21-M41-M43-M48)*SIT*APPORT,0)</f>
        <v>33344</v>
      </c>
      <c r="N51" s="147"/>
      <c r="O51" s="147">
        <f>ROUND((O21-O41-O43-O48)*SIT*APPORT,0)</f>
        <v>0</v>
      </c>
      <c r="W51" s="162"/>
    </row>
    <row r="52" spans="1:24">
      <c r="A52" s="140">
        <f t="shared" si="0"/>
        <v>36</v>
      </c>
      <c r="C52" s="138" t="s">
        <v>1017</v>
      </c>
      <c r="E52" s="147">
        <f ca="1">SUM(G52:O52)+SUM(E117:O117)+SUM(E182:O182)</f>
        <v>496892</v>
      </c>
      <c r="G52" s="147"/>
      <c r="H52" s="147"/>
      <c r="I52" s="147"/>
      <c r="J52" s="147"/>
      <c r="K52" s="147"/>
      <c r="L52" s="147"/>
      <c r="M52" s="147"/>
      <c r="N52" s="147"/>
      <c r="O52" s="147"/>
    </row>
    <row r="53" spans="1:24">
      <c r="A53" s="140">
        <f t="shared" si="0"/>
        <v>37</v>
      </c>
      <c r="C53" s="138" t="s">
        <v>323</v>
      </c>
      <c r="E53" s="148">
        <f ca="1">SUM(E51:E52)</f>
        <v>-66102</v>
      </c>
      <c r="G53" s="148">
        <f ca="1">SUM(G51:G52)</f>
        <v>-393333</v>
      </c>
      <c r="H53" s="147"/>
      <c r="I53" s="148">
        <f ca="1">SUM(I51:I52)</f>
        <v>442291</v>
      </c>
      <c r="J53" s="147"/>
      <c r="K53" s="148">
        <f ca="1">SUM(K51:K52)</f>
        <v>-41709</v>
      </c>
      <c r="L53" s="147"/>
      <c r="M53" s="148">
        <f>SUM(M51:M52)</f>
        <v>33344</v>
      </c>
      <c r="N53" s="147"/>
      <c r="O53" s="148">
        <f>SUM(O51:O52)</f>
        <v>0</v>
      </c>
    </row>
    <row r="54" spans="1:24">
      <c r="A54" s="140">
        <f t="shared" si="0"/>
        <v>38</v>
      </c>
      <c r="E54" s="149"/>
      <c r="G54" s="149"/>
      <c r="H54" s="149"/>
      <c r="I54" s="149"/>
      <c r="J54" s="149"/>
      <c r="K54" s="149"/>
      <c r="L54" s="149"/>
      <c r="M54" s="149"/>
      <c r="N54" s="149"/>
      <c r="O54" s="149"/>
    </row>
    <row r="55" spans="1:24">
      <c r="A55" s="140">
        <f t="shared" si="0"/>
        <v>39</v>
      </c>
      <c r="C55" s="138" t="s">
        <v>14</v>
      </c>
    </row>
    <row r="56" spans="1:24">
      <c r="A56" s="140">
        <f t="shared" si="0"/>
        <v>40</v>
      </c>
      <c r="C56" s="138" t="s">
        <v>1465</v>
      </c>
      <c r="E56" s="147">
        <f ca="1">SUM(G56:O56)+SUM(E121:O121)+SUM(E186:O186)</f>
        <v>-3365082</v>
      </c>
      <c r="G56" s="147">
        <f ca="1">ROUND((G21-G41-G43-G48-G51)*FIT,0)</f>
        <v>-1579871</v>
      </c>
      <c r="H56" s="147"/>
      <c r="I56" s="147">
        <f ca="1">ROUND((I21-I41-I43-I48-I51)*FIT,0)</f>
        <v>1776517</v>
      </c>
      <c r="J56" s="147"/>
      <c r="K56" s="147">
        <f ca="1">ROUND((K21-K41-K43-K48-K51)*FIT,0)</f>
        <v>-167530</v>
      </c>
      <c r="L56" s="147"/>
      <c r="M56" s="147">
        <f>ROUND((M21-M41-M43-M48-M51)*FIT,0)</f>
        <v>133931</v>
      </c>
      <c r="N56" s="147"/>
      <c r="O56" s="147">
        <f>ROUND((O21-O41-O43-O48-O51)*FIT,0)</f>
        <v>0</v>
      </c>
      <c r="X56" s="162"/>
    </row>
    <row r="57" spans="1:24">
      <c r="A57" s="140">
        <f t="shared" si="0"/>
        <v>41</v>
      </c>
      <c r="C57" s="138" t="s">
        <v>1017</v>
      </c>
      <c r="E57" s="147">
        <f ca="1">SUM(G57:O57)+SUM(E122:O122)+SUM(E187:O187)</f>
        <v>505474</v>
      </c>
      <c r="G57" s="147"/>
      <c r="H57" s="147"/>
      <c r="I57" s="147"/>
      <c r="J57" s="147"/>
      <c r="K57" s="147"/>
      <c r="L57" s="147"/>
      <c r="M57" s="147"/>
      <c r="N57" s="147"/>
      <c r="O57" s="147"/>
    </row>
    <row r="58" spans="1:24">
      <c r="A58" s="140">
        <f t="shared" si="0"/>
        <v>42</v>
      </c>
      <c r="C58" s="138" t="s">
        <v>1016</v>
      </c>
      <c r="E58" s="147">
        <f>SUM(G58:O58)+SUM(E123:O123)+SUM(E188:O188)</f>
        <v>1186</v>
      </c>
      <c r="G58" s="147"/>
      <c r="H58" s="147"/>
      <c r="I58" s="147"/>
      <c r="J58" s="147"/>
      <c r="K58" s="147"/>
      <c r="L58" s="147"/>
      <c r="M58" s="147"/>
      <c r="N58" s="147"/>
      <c r="O58" s="147"/>
    </row>
    <row r="59" spans="1:24">
      <c r="A59" s="140">
        <f t="shared" si="0"/>
        <v>43</v>
      </c>
      <c r="C59" s="138" t="s">
        <v>325</v>
      </c>
      <c r="E59" s="148">
        <f ca="1">SUM(E56:E58)</f>
        <v>-2858422</v>
      </c>
      <c r="G59" s="148">
        <f ca="1">SUM(G56:G58)</f>
        <v>-1579871</v>
      </c>
      <c r="H59" s="147"/>
      <c r="I59" s="148">
        <f ca="1">SUM(I56:I58)</f>
        <v>1776517</v>
      </c>
      <c r="J59" s="147"/>
      <c r="K59" s="148">
        <f ca="1">SUM(K56:K58)</f>
        <v>-167530</v>
      </c>
      <c r="L59" s="147"/>
      <c r="M59" s="148">
        <f>SUM(M56:M58)</f>
        <v>133931</v>
      </c>
      <c r="N59" s="147"/>
      <c r="O59" s="148">
        <f>SUM(O56:O58)</f>
        <v>0</v>
      </c>
    </row>
    <row r="60" spans="1:24">
      <c r="A60" s="140">
        <f t="shared" si="0"/>
        <v>44</v>
      </c>
      <c r="E60" s="149"/>
      <c r="G60" s="149"/>
      <c r="H60" s="149"/>
      <c r="I60" s="149"/>
      <c r="J60" s="149"/>
      <c r="K60" s="149"/>
      <c r="L60" s="149"/>
      <c r="M60" s="149"/>
      <c r="N60" s="149"/>
      <c r="O60" s="149"/>
    </row>
    <row r="61" spans="1:24">
      <c r="A61" s="140">
        <f t="shared" si="0"/>
        <v>45</v>
      </c>
      <c r="C61" s="138" t="s">
        <v>326</v>
      </c>
      <c r="E61" s="151">
        <f ca="1">E41+E43+E48+E53+E59</f>
        <v>-8112536</v>
      </c>
      <c r="G61" s="151">
        <f ca="1">G41+G43+G48+G53+G59</f>
        <v>-1973204</v>
      </c>
      <c r="H61" s="147"/>
      <c r="I61" s="151">
        <f ca="1">I41+I43+I48+I53+I59</f>
        <v>-6683089</v>
      </c>
      <c r="J61" s="147"/>
      <c r="K61" s="151">
        <f ca="1">K41+K43+K48+K53+K59</f>
        <v>630230</v>
      </c>
      <c r="L61" s="147"/>
      <c r="M61" s="151">
        <f>M41+M43+M48+M53+M59</f>
        <v>-503836</v>
      </c>
      <c r="N61" s="147"/>
      <c r="O61" s="151">
        <f>O41+O43+O48+O53+O59</f>
        <v>0</v>
      </c>
    </row>
    <row r="62" spans="1:24">
      <c r="A62" s="140">
        <f t="shared" si="0"/>
        <v>46</v>
      </c>
      <c r="E62" s="149"/>
      <c r="G62" s="149"/>
      <c r="H62" s="149"/>
      <c r="I62" s="149"/>
      <c r="J62" s="149"/>
      <c r="K62" s="149"/>
      <c r="L62" s="149"/>
      <c r="M62" s="149"/>
      <c r="N62" s="149"/>
      <c r="O62" s="149"/>
    </row>
    <row r="63" spans="1:24" ht="15.6" thickBot="1">
      <c r="A63" s="140">
        <f t="shared" si="0"/>
        <v>47</v>
      </c>
      <c r="C63" s="138" t="s">
        <v>1533</v>
      </c>
      <c r="E63" s="157">
        <f ca="1">E21-E61</f>
        <v>196007</v>
      </c>
      <c r="G63" s="157">
        <f ca="1">G21-G61</f>
        <v>-5943325</v>
      </c>
      <c r="H63" s="147"/>
      <c r="I63" s="157">
        <f ca="1">I21-I61</f>
        <v>6683089</v>
      </c>
      <c r="J63" s="147"/>
      <c r="K63" s="157">
        <f ca="1">K21-K61</f>
        <v>-630230</v>
      </c>
      <c r="L63" s="147"/>
      <c r="M63" s="157">
        <f>M21-M61</f>
        <v>503836</v>
      </c>
      <c r="N63" s="147"/>
      <c r="O63" s="157">
        <f>O21-O61</f>
        <v>0</v>
      </c>
    </row>
    <row r="64" spans="1:24" ht="15.6" thickTop="1">
      <c r="E64" s="1027">
        <f ca="1">ROUND((E53+E59)/(E63+E53+E59),4)</f>
        <v>1.0718000000000001</v>
      </c>
      <c r="G64" s="1027">
        <f t="shared" ref="G64:O64" ca="1" si="2">ROUND((G53+G59)/(G63+G53+G59),4)</f>
        <v>0.24929999999999999</v>
      </c>
      <c r="H64" s="1027" t="e">
        <f t="shared" si="2"/>
        <v>#DIV/0!</v>
      </c>
      <c r="I64" s="1027">
        <f t="shared" ca="1" si="2"/>
        <v>0.24929999999999999</v>
      </c>
      <c r="J64" s="1027" t="e">
        <f t="shared" si="2"/>
        <v>#DIV/0!</v>
      </c>
      <c r="K64" s="1027">
        <f t="shared" ca="1" si="2"/>
        <v>0.24929999999999999</v>
      </c>
      <c r="L64" s="1027" t="e">
        <f t="shared" si="2"/>
        <v>#DIV/0!</v>
      </c>
      <c r="M64" s="1027">
        <f t="shared" si="2"/>
        <v>0.24929999999999999</v>
      </c>
      <c r="N64" s="1027" t="e">
        <f t="shared" si="2"/>
        <v>#DIV/0!</v>
      </c>
      <c r="O64" s="1027" t="e">
        <f t="shared" si="2"/>
        <v>#DIV/0!</v>
      </c>
    </row>
    <row r="65" spans="1:15">
      <c r="A65" s="138"/>
    </row>
    <row r="66" spans="1:15">
      <c r="A66" s="131" t="str">
        <f>COMPANY</f>
        <v>DUKE ENERGY KENTUCKY, INC.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132"/>
    </row>
    <row r="67" spans="1:15">
      <c r="A67" s="131" t="str">
        <f>CASE</f>
        <v>CASE NO. 2018-00261</v>
      </c>
      <c r="B67" s="132"/>
      <c r="C67" s="132"/>
      <c r="D67" s="132"/>
      <c r="E67" s="134"/>
      <c r="F67" s="134"/>
      <c r="G67" s="132"/>
      <c r="H67" s="132"/>
      <c r="I67" s="132"/>
      <c r="J67" s="132"/>
      <c r="K67" s="132"/>
      <c r="L67" s="132"/>
      <c r="M67" s="132"/>
      <c r="N67" s="132"/>
      <c r="O67" s="132"/>
    </row>
    <row r="68" spans="1:15">
      <c r="A68" s="135" t="str">
        <f>$AG$395</f>
        <v>SUMMARY OF UTILITY JURISDICTIONAL ADJUSTMENTS TO</v>
      </c>
      <c r="B68" s="132"/>
      <c r="C68" s="132"/>
      <c r="D68" s="132"/>
      <c r="E68" s="132"/>
      <c r="F68" s="132"/>
      <c r="G68" s="132"/>
      <c r="H68" s="132"/>
      <c r="I68" s="132"/>
      <c r="J68" s="132"/>
      <c r="K68" s="132"/>
      <c r="L68" s="132"/>
      <c r="M68" s="132"/>
      <c r="N68" s="132"/>
      <c r="O68" s="132"/>
    </row>
    <row r="69" spans="1:15">
      <c r="A69" s="135" t="str">
        <f>$AG$396</f>
        <v>OPERATING INCOME BY MAJOR ACCOUNTS</v>
      </c>
      <c r="B69" s="132"/>
      <c r="C69" s="132"/>
      <c r="D69" s="132"/>
      <c r="E69" s="132"/>
      <c r="F69" s="132"/>
      <c r="G69" s="132"/>
      <c r="H69" s="132"/>
      <c r="I69" s="132"/>
      <c r="J69" s="132"/>
      <c r="K69" s="132"/>
      <c r="L69" s="132"/>
      <c r="M69" s="132"/>
      <c r="N69" s="132"/>
      <c r="O69" s="132"/>
    </row>
    <row r="70" spans="1:15" ht="15.6">
      <c r="A70" s="709" t="str">
        <f>$A$5</f>
        <v>ADJUSTMENTS TO THE BASE PERIOD</v>
      </c>
      <c r="B70" s="132"/>
      <c r="C70" s="132"/>
      <c r="D70" s="132"/>
      <c r="E70" s="132"/>
      <c r="F70" s="132"/>
      <c r="G70" s="132"/>
      <c r="H70" s="132"/>
      <c r="I70" s="132"/>
      <c r="J70" s="132"/>
      <c r="K70" s="132"/>
      <c r="L70" s="132"/>
      <c r="M70" s="132"/>
      <c r="N70" s="132"/>
      <c r="O70" s="132"/>
    </row>
    <row r="71" spans="1:15">
      <c r="A71" s="131" t="str">
        <f>A6</f>
        <v>FOR THE TWELVE MONTHS ENDED NOVEMBER 30, 2018</v>
      </c>
      <c r="B71" s="132"/>
      <c r="C71" s="132"/>
      <c r="D71" s="132"/>
      <c r="E71" s="132"/>
      <c r="F71" s="132"/>
      <c r="G71" s="132"/>
      <c r="H71" s="132"/>
      <c r="I71" s="132"/>
      <c r="J71" s="132"/>
      <c r="K71" s="132"/>
      <c r="L71" s="132"/>
      <c r="M71" s="132"/>
      <c r="N71" s="132"/>
      <c r="O71" s="132"/>
    </row>
    <row r="72" spans="1:15">
      <c r="D72" s="136"/>
    </row>
    <row r="73" spans="1:15">
      <c r="A73" s="136" t="str">
        <f>Data</f>
        <v>DATA: "X" BASE PERIOD   FORECASTED PERIOD</v>
      </c>
      <c r="M73" s="137" t="s">
        <v>1570</v>
      </c>
      <c r="N73" s="138"/>
      <c r="O73" s="138"/>
    </row>
    <row r="74" spans="1:15">
      <c r="A74" s="136" t="str">
        <f>Type</f>
        <v xml:space="preserve">TYPE OF FILING:  "X" ORIGINAL   UPDATED    REVISED  </v>
      </c>
      <c r="M74" s="138" t="s">
        <v>1801</v>
      </c>
      <c r="N74" s="138"/>
      <c r="O74" s="138"/>
    </row>
    <row r="75" spans="1:15">
      <c r="A75" s="138" t="s">
        <v>565</v>
      </c>
      <c r="M75" s="137" t="s">
        <v>1571</v>
      </c>
      <c r="N75" s="138"/>
      <c r="O75" s="138"/>
    </row>
    <row r="76" spans="1:15">
      <c r="M76" s="138" t="str">
        <f>"          "&amp;_WIT1</f>
        <v xml:space="preserve">          S. E. LAWLER</v>
      </c>
      <c r="N76" s="138"/>
      <c r="O76" s="138"/>
    </row>
    <row r="77" spans="1:15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</row>
    <row r="78" spans="1:15">
      <c r="E78" s="140" t="s">
        <v>1572</v>
      </c>
      <c r="G78" s="140" t="s">
        <v>1572</v>
      </c>
      <c r="H78" s="141"/>
      <c r="I78" s="140" t="s">
        <v>1572</v>
      </c>
      <c r="J78" s="142"/>
      <c r="K78" s="140" t="s">
        <v>1572</v>
      </c>
      <c r="L78" s="140"/>
      <c r="M78" s="140" t="s">
        <v>1572</v>
      </c>
      <c r="N78" s="140"/>
      <c r="O78" s="140" t="s">
        <v>1572</v>
      </c>
    </row>
    <row r="79" spans="1:15">
      <c r="A79" s="138" t="s">
        <v>567</v>
      </c>
      <c r="E79" s="140" t="s">
        <v>1574</v>
      </c>
      <c r="G79" s="140" t="s">
        <v>328</v>
      </c>
      <c r="H79" s="141"/>
      <c r="I79" s="140" t="s">
        <v>329</v>
      </c>
      <c r="J79" s="142"/>
      <c r="K79" s="142" t="s">
        <v>330</v>
      </c>
      <c r="L79" s="140"/>
      <c r="M79" s="140" t="s">
        <v>331</v>
      </c>
      <c r="N79" s="140"/>
      <c r="O79" s="140" t="s">
        <v>1443</v>
      </c>
    </row>
    <row r="80" spans="1:15">
      <c r="A80" s="143" t="s">
        <v>766</v>
      </c>
      <c r="B80" s="144"/>
      <c r="C80" s="143" t="s">
        <v>1581</v>
      </c>
      <c r="D80" s="139"/>
      <c r="E80" s="143" t="s">
        <v>1845</v>
      </c>
      <c r="G80" s="143" t="s">
        <v>333</v>
      </c>
      <c r="H80" s="139"/>
      <c r="I80" s="143" t="s">
        <v>334</v>
      </c>
      <c r="J80" s="139"/>
      <c r="K80" s="158" t="s">
        <v>1845</v>
      </c>
      <c r="L80" s="139"/>
      <c r="M80" s="158" t="s">
        <v>1845</v>
      </c>
      <c r="N80" s="139"/>
      <c r="O80" s="158" t="s">
        <v>1845</v>
      </c>
    </row>
    <row r="81" spans="1:15">
      <c r="A81" s="144"/>
      <c r="B81" s="144"/>
      <c r="C81" s="587" t="s">
        <v>1055</v>
      </c>
      <c r="D81" s="144"/>
      <c r="E81" s="143" t="s">
        <v>336</v>
      </c>
      <c r="F81" s="1023"/>
      <c r="G81" s="143" t="s">
        <v>1277</v>
      </c>
      <c r="H81" s="143"/>
      <c r="I81" s="143" t="s">
        <v>337</v>
      </c>
      <c r="J81" s="143"/>
      <c r="K81" s="143" t="s">
        <v>338</v>
      </c>
      <c r="L81" s="143"/>
      <c r="M81" s="143" t="s">
        <v>1284</v>
      </c>
      <c r="N81" s="143"/>
      <c r="O81" s="143" t="s">
        <v>1286</v>
      </c>
    </row>
    <row r="82" spans="1:15" ht="15.6">
      <c r="A82" s="140">
        <v>1</v>
      </c>
      <c r="B82" s="159" t="s">
        <v>1849</v>
      </c>
    </row>
    <row r="83" spans="1:15">
      <c r="A83" s="140">
        <f>1+A82</f>
        <v>2</v>
      </c>
      <c r="C83" s="138" t="s">
        <v>1850</v>
      </c>
      <c r="E83" s="147"/>
      <c r="G83" s="147"/>
      <c r="H83" s="147"/>
      <c r="I83" s="147"/>
      <c r="J83" s="147"/>
      <c r="K83" s="147"/>
      <c r="L83" s="147"/>
      <c r="M83" s="147"/>
      <c r="N83" s="147"/>
      <c r="O83" s="147"/>
    </row>
    <row r="84" spans="1:15">
      <c r="A84" s="140">
        <f t="shared" ref="A84:A128" si="3">1+A83</f>
        <v>3</v>
      </c>
      <c r="C84" s="138" t="s">
        <v>1851</v>
      </c>
      <c r="E84" s="147"/>
      <c r="G84" s="147"/>
      <c r="H84" s="147"/>
      <c r="I84" s="147"/>
      <c r="J84" s="147"/>
      <c r="K84" s="147"/>
      <c r="L84" s="147"/>
      <c r="M84" s="147"/>
      <c r="N84" s="147"/>
      <c r="O84" s="147"/>
    </row>
    <row r="85" spans="1:15">
      <c r="A85" s="140">
        <f t="shared" si="3"/>
        <v>4</v>
      </c>
      <c r="C85" s="138" t="s">
        <v>1852</v>
      </c>
      <c r="E85" s="147"/>
      <c r="G85" s="147"/>
      <c r="H85" s="147"/>
      <c r="I85" s="147"/>
      <c r="J85" s="147"/>
      <c r="K85" s="147"/>
      <c r="L85" s="147"/>
      <c r="M85" s="147"/>
      <c r="N85" s="147"/>
      <c r="O85" s="147"/>
    </row>
    <row r="86" spans="1:15">
      <c r="A86" s="140">
        <f t="shared" si="3"/>
        <v>5</v>
      </c>
      <c r="C86" s="138" t="s">
        <v>339</v>
      </c>
      <c r="E86" s="148">
        <f>SUM(E83:E85)</f>
        <v>0</v>
      </c>
      <c r="G86" s="148">
        <f>SUM(G83:G85)</f>
        <v>0</v>
      </c>
      <c r="H86" s="147"/>
      <c r="I86" s="148">
        <f>SUM(I83:I85)</f>
        <v>0</v>
      </c>
      <c r="J86" s="147"/>
      <c r="K86" s="148">
        <f>SUM(K83:K85)</f>
        <v>0</v>
      </c>
      <c r="L86" s="147"/>
      <c r="M86" s="148">
        <f>SUM(M83:M85)</f>
        <v>0</v>
      </c>
      <c r="N86" s="147"/>
      <c r="O86" s="148">
        <f>SUM(O83:O85)</f>
        <v>0</v>
      </c>
    </row>
    <row r="87" spans="1:15">
      <c r="A87" s="140">
        <f t="shared" si="3"/>
        <v>6</v>
      </c>
      <c r="E87" s="149"/>
      <c r="G87" s="149"/>
      <c r="H87" s="149"/>
      <c r="I87" s="149"/>
      <c r="J87" s="149"/>
      <c r="K87" s="149"/>
      <c r="L87" s="149"/>
      <c r="M87" s="149"/>
      <c r="N87" s="149"/>
      <c r="O87" s="149"/>
    </row>
    <row r="88" spans="1:15" ht="15.6">
      <c r="A88" s="140">
        <f t="shared" si="3"/>
        <v>7</v>
      </c>
      <c r="B88" s="159" t="s">
        <v>1136</v>
      </c>
    </row>
    <row r="89" spans="1:15">
      <c r="A89" s="140">
        <f t="shared" si="3"/>
        <v>8</v>
      </c>
      <c r="C89" s="138" t="s">
        <v>1854</v>
      </c>
    </row>
    <row r="90" spans="1:15">
      <c r="A90" s="140">
        <f t="shared" si="3"/>
        <v>9</v>
      </c>
      <c r="C90" s="138" t="s">
        <v>340</v>
      </c>
    </row>
    <row r="91" spans="1:15">
      <c r="A91" s="140">
        <f t="shared" si="3"/>
        <v>10</v>
      </c>
      <c r="C91" s="138" t="s">
        <v>1856</v>
      </c>
      <c r="E91" s="147"/>
      <c r="G91" s="147"/>
      <c r="H91" s="147"/>
      <c r="I91" s="147"/>
      <c r="J91" s="147"/>
      <c r="K91" s="147"/>
      <c r="L91" s="147"/>
      <c r="M91" s="147"/>
      <c r="N91" s="147"/>
      <c r="O91" s="147"/>
    </row>
    <row r="92" spans="1:15">
      <c r="A92" s="140">
        <f t="shared" si="3"/>
        <v>11</v>
      </c>
      <c r="C92" s="138" t="s">
        <v>700</v>
      </c>
      <c r="E92" s="147"/>
      <c r="G92" s="147"/>
      <c r="H92" s="147"/>
      <c r="I92" s="147"/>
      <c r="J92" s="147"/>
      <c r="K92" s="147"/>
      <c r="L92" s="147"/>
      <c r="M92" s="147"/>
      <c r="N92" s="147"/>
      <c r="O92" s="147"/>
    </row>
    <row r="93" spans="1:15">
      <c r="A93" s="140">
        <f t="shared" si="3"/>
        <v>12</v>
      </c>
      <c r="C93" s="138" t="s">
        <v>1857</v>
      </c>
      <c r="E93" s="148">
        <f>SUM(E91:E92)</f>
        <v>0</v>
      </c>
      <c r="G93" s="148">
        <f>SUM(G91:G92)</f>
        <v>0</v>
      </c>
      <c r="H93" s="147"/>
      <c r="I93" s="148">
        <f>SUM(I91:I92)</f>
        <v>0</v>
      </c>
      <c r="J93" s="147"/>
      <c r="K93" s="148">
        <f>SUM(K91:K92)</f>
        <v>0</v>
      </c>
      <c r="L93" s="147"/>
      <c r="M93" s="148">
        <f>SUM(M91:M92)</f>
        <v>0</v>
      </c>
      <c r="N93" s="147"/>
      <c r="O93" s="148">
        <f>SUM(O91:O92)</f>
        <v>0</v>
      </c>
    </row>
    <row r="94" spans="1:15">
      <c r="A94" s="140">
        <f t="shared" si="3"/>
        <v>13</v>
      </c>
      <c r="E94" s="150"/>
      <c r="G94" s="149"/>
      <c r="H94" s="149"/>
      <c r="I94" s="149"/>
      <c r="J94" s="149"/>
      <c r="K94" s="149"/>
      <c r="L94" s="149"/>
      <c r="M94" s="149"/>
      <c r="N94" s="149"/>
      <c r="O94" s="149"/>
    </row>
    <row r="95" spans="1:15">
      <c r="A95" s="140">
        <f t="shared" si="3"/>
        <v>14</v>
      </c>
      <c r="C95" s="138" t="s">
        <v>1858</v>
      </c>
      <c r="E95" s="150"/>
      <c r="G95" s="150"/>
      <c r="H95" s="147"/>
      <c r="I95" s="150"/>
      <c r="J95" s="147"/>
      <c r="K95" s="150"/>
      <c r="L95" s="147"/>
      <c r="M95" s="150"/>
      <c r="N95" s="147"/>
      <c r="O95" s="150"/>
    </row>
    <row r="96" spans="1:15">
      <c r="A96" s="140">
        <f t="shared" si="3"/>
        <v>15</v>
      </c>
      <c r="C96" s="138" t="s">
        <v>1859</v>
      </c>
      <c r="E96" s="150"/>
      <c r="G96" s="150"/>
      <c r="H96" s="147"/>
      <c r="I96" s="150"/>
      <c r="J96" s="147"/>
      <c r="K96" s="150"/>
      <c r="L96" s="147"/>
      <c r="M96" s="150"/>
      <c r="N96" s="147"/>
      <c r="O96" s="150"/>
    </row>
    <row r="97" spans="1:15">
      <c r="A97" s="140">
        <f t="shared" si="3"/>
        <v>16</v>
      </c>
      <c r="C97" s="138" t="s">
        <v>700</v>
      </c>
      <c r="E97" s="150"/>
      <c r="G97" s="150"/>
      <c r="H97" s="147"/>
      <c r="I97" s="150"/>
      <c r="J97" s="147"/>
      <c r="K97" s="150"/>
      <c r="L97" s="147"/>
      <c r="M97" s="150"/>
      <c r="N97" s="147"/>
      <c r="O97" s="150"/>
    </row>
    <row r="98" spans="1:15">
      <c r="A98" s="140">
        <f t="shared" si="3"/>
        <v>17</v>
      </c>
      <c r="C98" s="138" t="s">
        <v>1860</v>
      </c>
      <c r="E98" s="148">
        <f>SUM(E96:E97)</f>
        <v>0</v>
      </c>
      <c r="G98" s="148">
        <f>SUM(G96:G97)</f>
        <v>0</v>
      </c>
      <c r="H98" s="147"/>
      <c r="I98" s="148">
        <f>SUM(I96:I97)</f>
        <v>0</v>
      </c>
      <c r="J98" s="147"/>
      <c r="K98" s="148">
        <f>SUM(K96:K97)</f>
        <v>0</v>
      </c>
      <c r="L98" s="147"/>
      <c r="M98" s="148">
        <f>SUM(M96:M97)</f>
        <v>0</v>
      </c>
      <c r="N98" s="147"/>
      <c r="O98" s="148">
        <f>SUM(O96:O97)</f>
        <v>0</v>
      </c>
    </row>
    <row r="99" spans="1:15">
      <c r="A99" s="140">
        <f t="shared" si="3"/>
        <v>18</v>
      </c>
      <c r="C99" s="138" t="s">
        <v>1459</v>
      </c>
      <c r="E99" s="149"/>
      <c r="G99" s="149"/>
      <c r="H99" s="149"/>
      <c r="I99" s="149"/>
      <c r="J99" s="149"/>
      <c r="K99" s="149"/>
      <c r="L99" s="149"/>
      <c r="M99" s="149"/>
      <c r="N99" s="149"/>
      <c r="O99" s="149"/>
    </row>
    <row r="100" spans="1:15">
      <c r="A100" s="140">
        <f t="shared" si="3"/>
        <v>19</v>
      </c>
      <c r="C100" s="138" t="s">
        <v>341</v>
      </c>
      <c r="E100" s="147">
        <f>SCH_C2!F34</f>
        <v>1970875</v>
      </c>
      <c r="G100" s="147"/>
      <c r="H100" s="147"/>
      <c r="I100" s="147"/>
      <c r="J100" s="147"/>
      <c r="K100" s="147"/>
      <c r="L100" s="147"/>
      <c r="M100" s="147"/>
      <c r="N100" s="147"/>
      <c r="O100" s="147"/>
    </row>
    <row r="101" spans="1:15">
      <c r="A101" s="140">
        <f t="shared" si="3"/>
        <v>20</v>
      </c>
      <c r="C101" s="138" t="s">
        <v>342</v>
      </c>
      <c r="E101" s="147"/>
      <c r="G101" s="147">
        <f ca="1">SCH_C2!F35</f>
        <v>-497608</v>
      </c>
      <c r="H101" s="147"/>
      <c r="I101" s="147"/>
      <c r="J101" s="147"/>
      <c r="K101" s="147"/>
      <c r="L101" s="147"/>
      <c r="M101" s="147"/>
      <c r="N101" s="147"/>
      <c r="O101" s="147"/>
    </row>
    <row r="102" spans="1:15">
      <c r="A102" s="140">
        <f t="shared" si="3"/>
        <v>21</v>
      </c>
      <c r="C102" s="138" t="s">
        <v>343</v>
      </c>
      <c r="E102" s="147"/>
      <c r="G102" s="147"/>
      <c r="H102" s="147"/>
      <c r="I102" s="147">
        <f ca="1">SCH_C2!F36</f>
        <v>-7963</v>
      </c>
      <c r="J102" s="147"/>
      <c r="K102" s="147"/>
      <c r="L102" s="147"/>
      <c r="M102" s="147"/>
      <c r="N102" s="147"/>
      <c r="O102" s="147"/>
    </row>
    <row r="103" spans="1:15">
      <c r="A103" s="140">
        <f t="shared" si="3"/>
        <v>22</v>
      </c>
      <c r="C103" s="138" t="s">
        <v>344</v>
      </c>
      <c r="E103" s="147"/>
      <c r="G103" s="147"/>
      <c r="H103" s="147"/>
      <c r="I103" s="147"/>
      <c r="J103" s="147"/>
      <c r="K103" s="147">
        <f ca="1">SCH_C2!F37</f>
        <v>32237</v>
      </c>
      <c r="L103" s="147"/>
      <c r="M103" s="147"/>
      <c r="N103" s="147"/>
      <c r="O103" s="147"/>
    </row>
    <row r="104" spans="1:15">
      <c r="A104" s="140">
        <f t="shared" si="3"/>
        <v>23</v>
      </c>
      <c r="C104" s="138" t="s">
        <v>345</v>
      </c>
      <c r="E104" s="147"/>
      <c r="G104" s="147"/>
      <c r="H104" s="147"/>
      <c r="I104" s="147"/>
      <c r="J104" s="147"/>
      <c r="K104" s="147"/>
      <c r="L104" s="147"/>
      <c r="M104" s="147">
        <f ca="1">SCH_C2!F38</f>
        <v>-593730</v>
      </c>
      <c r="N104" s="147"/>
      <c r="O104" s="147"/>
    </row>
    <row r="105" spans="1:15">
      <c r="A105" s="140">
        <f t="shared" si="3"/>
        <v>24</v>
      </c>
      <c r="C105" s="138" t="s">
        <v>1554</v>
      </c>
      <c r="E105" s="147"/>
      <c r="G105" s="147"/>
      <c r="H105" s="147"/>
      <c r="I105" s="147"/>
      <c r="J105" s="147"/>
      <c r="K105" s="147"/>
      <c r="L105" s="147"/>
      <c r="M105" s="147"/>
      <c r="N105" s="147"/>
      <c r="O105" s="151">
        <f>SCH_C2!F39</f>
        <v>801635</v>
      </c>
    </row>
    <row r="106" spans="1:15">
      <c r="A106" s="140">
        <f t="shared" si="3"/>
        <v>25</v>
      </c>
      <c r="C106" s="138" t="s">
        <v>313</v>
      </c>
      <c r="E106" s="148">
        <f>E93+E98+SUM(E99:E105)</f>
        <v>1970875</v>
      </c>
      <c r="G106" s="148">
        <f ca="1">G93+G98+SUM(G99:G105)</f>
        <v>-497608</v>
      </c>
      <c r="H106" s="147"/>
      <c r="I106" s="148">
        <f ca="1">I93+I98+SUM(I99:I105)</f>
        <v>-7963</v>
      </c>
      <c r="J106" s="147"/>
      <c r="K106" s="148">
        <f ca="1">K93+K98+SUM(K99:K105)</f>
        <v>32237</v>
      </c>
      <c r="L106" s="147"/>
      <c r="M106" s="148">
        <f ca="1">M93+M98+SUM(M99:M105)</f>
        <v>-593730</v>
      </c>
      <c r="N106" s="147"/>
      <c r="O106" s="148">
        <f>O93+O98+SUM(O99:O105)</f>
        <v>801635</v>
      </c>
    </row>
    <row r="107" spans="1:15">
      <c r="A107" s="140">
        <f t="shared" si="3"/>
        <v>26</v>
      </c>
      <c r="E107" s="149"/>
      <c r="G107" s="149"/>
      <c r="H107" s="149"/>
      <c r="I107" s="149"/>
      <c r="J107" s="149"/>
      <c r="K107" s="149"/>
      <c r="L107" s="149"/>
      <c r="M107" s="149"/>
      <c r="N107" s="149"/>
      <c r="O107" s="149"/>
    </row>
    <row r="108" spans="1:15">
      <c r="A108" s="140">
        <f t="shared" si="3"/>
        <v>27</v>
      </c>
      <c r="C108" s="138" t="s">
        <v>1901</v>
      </c>
      <c r="E108" s="151"/>
      <c r="G108" s="151"/>
      <c r="H108" s="147"/>
      <c r="I108" s="151"/>
      <c r="J108" s="147"/>
      <c r="K108" s="151"/>
      <c r="L108" s="147"/>
      <c r="M108" s="151"/>
      <c r="N108" s="147"/>
      <c r="O108" s="151"/>
    </row>
    <row r="109" spans="1:15">
      <c r="A109" s="140">
        <f t="shared" si="3"/>
        <v>28</v>
      </c>
      <c r="E109" s="149"/>
      <c r="G109" s="149"/>
      <c r="H109" s="149"/>
      <c r="I109" s="149"/>
      <c r="J109" s="149"/>
      <c r="K109" s="149"/>
      <c r="L109" s="149"/>
      <c r="M109" s="149"/>
      <c r="N109" s="149"/>
      <c r="O109" s="149"/>
    </row>
    <row r="110" spans="1:15">
      <c r="A110" s="140">
        <f t="shared" si="3"/>
        <v>29</v>
      </c>
      <c r="C110" s="138" t="s">
        <v>491</v>
      </c>
    </row>
    <row r="111" spans="1:15">
      <c r="A111" s="140">
        <f t="shared" si="3"/>
        <v>30</v>
      </c>
      <c r="C111" s="138" t="s">
        <v>1285</v>
      </c>
      <c r="E111" s="147"/>
      <c r="G111" s="147"/>
      <c r="H111" s="147"/>
      <c r="I111" s="147"/>
      <c r="J111" s="147"/>
      <c r="K111" s="147"/>
      <c r="L111" s="147"/>
      <c r="M111" s="147"/>
      <c r="N111" s="147"/>
      <c r="O111" s="147"/>
    </row>
    <row r="112" spans="1:15">
      <c r="A112" s="140">
        <f t="shared" si="3"/>
        <v>31</v>
      </c>
      <c r="C112" s="138" t="s">
        <v>1287</v>
      </c>
      <c r="E112" s="147"/>
      <c r="G112" s="147"/>
      <c r="H112" s="147"/>
      <c r="I112" s="147"/>
      <c r="J112" s="147"/>
      <c r="K112" s="147"/>
      <c r="L112" s="147"/>
      <c r="M112" s="147"/>
      <c r="N112" s="147"/>
      <c r="O112" s="147"/>
    </row>
    <row r="113" spans="1:24">
      <c r="A113" s="140">
        <f t="shared" si="3"/>
        <v>32</v>
      </c>
      <c r="C113" s="138" t="s">
        <v>317</v>
      </c>
      <c r="E113" s="148">
        <f>SUM(E111:E112)</f>
        <v>0</v>
      </c>
      <c r="G113" s="148">
        <f>SUM(G111:G112)</f>
        <v>0</v>
      </c>
      <c r="H113" s="147"/>
      <c r="I113" s="148">
        <f>SUM(I111:I112)</f>
        <v>0</v>
      </c>
      <c r="J113" s="147"/>
      <c r="K113" s="148">
        <f>SUM(K111:K112)</f>
        <v>0</v>
      </c>
      <c r="L113" s="147"/>
      <c r="M113" s="148">
        <f>SUM(M111:M112)</f>
        <v>0</v>
      </c>
      <c r="N113" s="147"/>
      <c r="O113" s="148">
        <f>SUM(O111:O112)</f>
        <v>0</v>
      </c>
      <c r="U113" s="162"/>
      <c r="V113" s="162"/>
    </row>
    <row r="114" spans="1:24">
      <c r="A114" s="140">
        <f t="shared" si="3"/>
        <v>33</v>
      </c>
      <c r="C114" s="138"/>
      <c r="E114" s="150"/>
      <c r="G114" s="150"/>
      <c r="H114" s="147"/>
      <c r="I114" s="150"/>
      <c r="J114" s="147"/>
      <c r="K114" s="150"/>
      <c r="L114" s="147"/>
      <c r="M114" s="150"/>
      <c r="N114" s="147"/>
      <c r="O114" s="150"/>
    </row>
    <row r="115" spans="1:24">
      <c r="A115" s="140">
        <f t="shared" si="3"/>
        <v>34</v>
      </c>
      <c r="C115" s="138" t="s">
        <v>318</v>
      </c>
    </row>
    <row r="116" spans="1:24">
      <c r="A116" s="140">
        <f t="shared" si="3"/>
        <v>35</v>
      </c>
      <c r="C116" s="138" t="s">
        <v>1465</v>
      </c>
      <c r="E116" s="147">
        <f>ROUND((E86-E106-E108-E113)*SIT*APPORT,0)</f>
        <v>-97923</v>
      </c>
      <c r="G116" s="147">
        <f ca="1">ROUND((G86-G106-G108-G113)*SIT*APPORT,0)</f>
        <v>24724</v>
      </c>
      <c r="H116" s="147"/>
      <c r="I116" s="147">
        <f ca="1">ROUND((I86-I106-I108-I113)*SIT*APPORT,0)</f>
        <v>396</v>
      </c>
      <c r="J116" s="147"/>
      <c r="K116" s="147">
        <f ca="1">ROUND((K86-K106-K108-K113)*SIT*APPORT,0)</f>
        <v>-1602</v>
      </c>
      <c r="L116" s="147"/>
      <c r="M116" s="147">
        <f ca="1">ROUND((M86-M106-M108-M113)*SIT*APPORT,0)</f>
        <v>29499</v>
      </c>
      <c r="N116" s="147"/>
      <c r="O116" s="147">
        <f>ROUND((O86-O106-O108-O113)*SIT*APPORT,0)</f>
        <v>-39829</v>
      </c>
      <c r="W116" s="162"/>
    </row>
    <row r="117" spans="1:24">
      <c r="A117" s="140">
        <f t="shared" si="3"/>
        <v>36</v>
      </c>
      <c r="C117" s="138" t="s">
        <v>1017</v>
      </c>
      <c r="E117" s="160"/>
      <c r="G117" s="160"/>
      <c r="H117" s="147"/>
      <c r="I117" s="147"/>
      <c r="J117" s="147"/>
      <c r="K117" s="147"/>
      <c r="L117" s="147"/>
      <c r="M117" s="147"/>
      <c r="N117" s="147"/>
      <c r="O117" s="147"/>
    </row>
    <row r="118" spans="1:24">
      <c r="A118" s="140">
        <f t="shared" si="3"/>
        <v>37</v>
      </c>
      <c r="C118" s="138" t="s">
        <v>323</v>
      </c>
      <c r="E118" s="148">
        <f>SUM(E116:E117)</f>
        <v>-97923</v>
      </c>
      <c r="G118" s="148">
        <f ca="1">SUM(G116:G117)</f>
        <v>24724</v>
      </c>
      <c r="H118" s="147"/>
      <c r="I118" s="148">
        <f ca="1">SUM(I116:I117)</f>
        <v>396</v>
      </c>
      <c r="J118" s="147"/>
      <c r="K118" s="148">
        <f ca="1">SUM(K116:K117)</f>
        <v>-1602</v>
      </c>
      <c r="L118" s="147"/>
      <c r="M118" s="148">
        <f ca="1">SUM(M116:M117)</f>
        <v>29499</v>
      </c>
      <c r="N118" s="147"/>
      <c r="O118" s="148">
        <f>SUM(O116:O117)</f>
        <v>-39829</v>
      </c>
    </row>
    <row r="119" spans="1:24">
      <c r="A119" s="140">
        <f t="shared" si="3"/>
        <v>38</v>
      </c>
      <c r="E119" s="149"/>
      <c r="G119" s="149"/>
      <c r="H119" s="149"/>
      <c r="I119" s="149"/>
      <c r="J119" s="149"/>
      <c r="K119" s="149"/>
      <c r="L119" s="149"/>
      <c r="M119" s="149"/>
      <c r="N119" s="149"/>
      <c r="O119" s="149"/>
    </row>
    <row r="120" spans="1:24">
      <c r="A120" s="140">
        <f t="shared" si="3"/>
        <v>39</v>
      </c>
      <c r="C120" s="138" t="s">
        <v>14</v>
      </c>
    </row>
    <row r="121" spans="1:24">
      <c r="A121" s="140">
        <f t="shared" si="3"/>
        <v>40</v>
      </c>
      <c r="C121" s="138" t="s">
        <v>1465</v>
      </c>
      <c r="E121" s="147">
        <f>ROUND((E86-E106-E108-E113-E116)*FIT,0)</f>
        <v>-393320</v>
      </c>
      <c r="G121" s="147">
        <f ca="1">ROUND((G86-G106-G108-G113-G116)*FIT,0)</f>
        <v>99306</v>
      </c>
      <c r="H121" s="147"/>
      <c r="I121" s="147">
        <f ca="1">ROUND((I86-I106-I108-I113-I116)*FIT,0)</f>
        <v>1589</v>
      </c>
      <c r="J121" s="147"/>
      <c r="K121" s="147">
        <f ca="1">ROUND((K86-K106-K108-K113-K116)*FIT,0)</f>
        <v>-6433</v>
      </c>
      <c r="L121" s="147"/>
      <c r="M121" s="147">
        <f ca="1">ROUND((M86-M106-M108-M113-M116)*FIT,0)</f>
        <v>118489</v>
      </c>
      <c r="N121" s="147"/>
      <c r="O121" s="147">
        <f>ROUND((O86-O106-O108-O113-O116)*FIT,0)</f>
        <v>-159979</v>
      </c>
      <c r="X121" s="162"/>
    </row>
    <row r="122" spans="1:24">
      <c r="A122" s="140">
        <f t="shared" si="3"/>
        <v>41</v>
      </c>
      <c r="C122" s="138" t="s">
        <v>1017</v>
      </c>
      <c r="E122" s="160"/>
      <c r="G122" s="160"/>
      <c r="H122" s="147"/>
      <c r="I122" s="147"/>
      <c r="J122" s="147"/>
      <c r="K122" s="147"/>
      <c r="L122" s="147"/>
      <c r="M122" s="147"/>
      <c r="N122" s="147"/>
      <c r="O122" s="147"/>
    </row>
    <row r="123" spans="1:24">
      <c r="A123" s="140">
        <f t="shared" si="3"/>
        <v>42</v>
      </c>
      <c r="C123" s="138" t="s">
        <v>1016</v>
      </c>
      <c r="E123" s="160"/>
      <c r="G123" s="147"/>
      <c r="H123" s="147"/>
      <c r="I123" s="147"/>
      <c r="J123" s="147"/>
      <c r="K123" s="147"/>
      <c r="L123" s="147"/>
      <c r="M123" s="147"/>
      <c r="N123" s="147"/>
      <c r="O123" s="147"/>
    </row>
    <row r="124" spans="1:24">
      <c r="A124" s="140">
        <f t="shared" si="3"/>
        <v>43</v>
      </c>
      <c r="C124" s="138" t="s">
        <v>325</v>
      </c>
      <c r="E124" s="148">
        <f>SUM(E121:E123)</f>
        <v>-393320</v>
      </c>
      <c r="G124" s="148">
        <f ca="1">SUM(G121:G123)</f>
        <v>99306</v>
      </c>
      <c r="H124" s="147"/>
      <c r="I124" s="148">
        <f ca="1">SUM(I121:I123)</f>
        <v>1589</v>
      </c>
      <c r="J124" s="147"/>
      <c r="K124" s="148">
        <f ca="1">SUM(K121:K123)</f>
        <v>-6433</v>
      </c>
      <c r="L124" s="147"/>
      <c r="M124" s="148">
        <f ca="1">SUM(M121:M123)</f>
        <v>118489</v>
      </c>
      <c r="N124" s="147"/>
      <c r="O124" s="148">
        <f>SUM(O121:O123)</f>
        <v>-159979</v>
      </c>
    </row>
    <row r="125" spans="1:24">
      <c r="A125" s="140">
        <f t="shared" si="3"/>
        <v>44</v>
      </c>
      <c r="E125" s="149"/>
      <c r="G125" s="149"/>
      <c r="H125" s="149"/>
      <c r="I125" s="149"/>
      <c r="J125" s="149"/>
      <c r="K125" s="149"/>
      <c r="L125" s="149"/>
      <c r="M125" s="149"/>
      <c r="N125" s="149"/>
      <c r="O125" s="149"/>
    </row>
    <row r="126" spans="1:24">
      <c r="A126" s="140">
        <f t="shared" si="3"/>
        <v>45</v>
      </c>
      <c r="C126" s="138" t="s">
        <v>326</v>
      </c>
      <c r="E126" s="151">
        <f>E106+E108+E113+E118+E124</f>
        <v>1479632</v>
      </c>
      <c r="G126" s="151">
        <f ca="1">G106+G108+G113+G118+G124</f>
        <v>-373578</v>
      </c>
      <c r="H126" s="147"/>
      <c r="I126" s="151">
        <f ca="1">I106+I108+I113+I118+I124</f>
        <v>-5978</v>
      </c>
      <c r="J126" s="147"/>
      <c r="K126" s="151">
        <f ca="1">K106+K108+K113+K118+K124</f>
        <v>24202</v>
      </c>
      <c r="L126" s="147"/>
      <c r="M126" s="151">
        <f ca="1">M106+M108+M113+M118+M124</f>
        <v>-445742</v>
      </c>
      <c r="N126" s="147"/>
      <c r="O126" s="151">
        <f>O106+O108+O113+O118+O124</f>
        <v>601827</v>
      </c>
    </row>
    <row r="127" spans="1:24">
      <c r="A127" s="140">
        <f t="shared" si="3"/>
        <v>46</v>
      </c>
      <c r="E127" s="149"/>
      <c r="G127" s="149"/>
      <c r="H127" s="149"/>
      <c r="I127" s="149"/>
      <c r="J127" s="149"/>
      <c r="K127" s="149"/>
      <c r="L127" s="149"/>
      <c r="M127" s="149"/>
      <c r="N127" s="149"/>
      <c r="O127" s="149"/>
    </row>
    <row r="128" spans="1:24" ht="15.6" thickBot="1">
      <c r="A128" s="140">
        <f t="shared" si="3"/>
        <v>47</v>
      </c>
      <c r="C128" s="138" t="s">
        <v>1533</v>
      </c>
      <c r="E128" s="157">
        <f>E86-E126</f>
        <v>-1479632</v>
      </c>
      <c r="G128" s="157">
        <f ca="1">G86-G126</f>
        <v>373578</v>
      </c>
      <c r="H128" s="147"/>
      <c r="I128" s="157">
        <f ca="1">I86-I126</f>
        <v>5978</v>
      </c>
      <c r="J128" s="147"/>
      <c r="K128" s="157">
        <f ca="1">K86-K126</f>
        <v>-24202</v>
      </c>
      <c r="L128" s="147"/>
      <c r="M128" s="157">
        <f ca="1">M86-M126</f>
        <v>445742</v>
      </c>
      <c r="N128" s="147"/>
      <c r="O128" s="157">
        <f>O86-O126</f>
        <v>-601827</v>
      </c>
    </row>
    <row r="129" spans="1:15" ht="15.6" thickTop="1">
      <c r="D129" s="147"/>
      <c r="E129" s="1027">
        <f t="shared" ref="E129:O129" si="4">ROUND((E118+E124)/(E128+E118+E124),4)</f>
        <v>0.24929999999999999</v>
      </c>
      <c r="F129" s="1027" t="e">
        <f t="shared" si="4"/>
        <v>#DIV/0!</v>
      </c>
      <c r="G129" s="1027">
        <f t="shared" ca="1" si="4"/>
        <v>0.24929999999999999</v>
      </c>
      <c r="H129" s="1027" t="e">
        <f t="shared" si="4"/>
        <v>#DIV/0!</v>
      </c>
      <c r="I129" s="1027">
        <f t="shared" ca="1" si="4"/>
        <v>0.24929999999999999</v>
      </c>
      <c r="J129" s="1027" t="e">
        <f t="shared" si="4"/>
        <v>#DIV/0!</v>
      </c>
      <c r="K129" s="1027">
        <f t="shared" ca="1" si="4"/>
        <v>0.2492</v>
      </c>
      <c r="L129" s="1027" t="e">
        <f t="shared" si="4"/>
        <v>#DIV/0!</v>
      </c>
      <c r="M129" s="1027">
        <f t="shared" ca="1" si="4"/>
        <v>0.24929999999999999</v>
      </c>
      <c r="N129" s="1027" t="e">
        <f t="shared" si="4"/>
        <v>#DIV/0!</v>
      </c>
      <c r="O129" s="1027">
        <f t="shared" si="4"/>
        <v>0.24929999999999999</v>
      </c>
    </row>
    <row r="130" spans="1:15">
      <c r="A130" s="138"/>
    </row>
    <row r="131" spans="1:15">
      <c r="A131" s="131" t="str">
        <f>COMPANY</f>
        <v>DUKE ENERGY KENTUCKY, INC.</v>
      </c>
      <c r="B131" s="132"/>
      <c r="C131" s="132"/>
      <c r="D131" s="132"/>
      <c r="E131" s="132"/>
      <c r="F131" s="132"/>
      <c r="G131" s="132"/>
      <c r="H131" s="132"/>
      <c r="I131" s="132"/>
      <c r="J131" s="132"/>
      <c r="K131" s="132"/>
      <c r="L131" s="132"/>
      <c r="M131" s="132"/>
      <c r="N131" s="132"/>
      <c r="O131" s="132"/>
    </row>
    <row r="132" spans="1:15">
      <c r="A132" s="131" t="str">
        <f>CASE</f>
        <v>CASE NO. 2018-00261</v>
      </c>
      <c r="B132" s="132"/>
      <c r="C132" s="132"/>
      <c r="D132" s="132"/>
      <c r="E132" s="134"/>
      <c r="F132" s="134"/>
      <c r="G132" s="132"/>
      <c r="H132" s="132"/>
      <c r="I132" s="132"/>
      <c r="J132" s="132"/>
      <c r="K132" s="132"/>
      <c r="L132" s="132"/>
      <c r="M132" s="132"/>
      <c r="N132" s="132"/>
      <c r="O132" s="132"/>
    </row>
    <row r="133" spans="1:15">
      <c r="A133" s="135" t="str">
        <f>$AG$395</f>
        <v>SUMMARY OF UTILITY JURISDICTIONAL ADJUSTMENTS TO</v>
      </c>
      <c r="B133" s="132"/>
      <c r="C133" s="132"/>
      <c r="D133" s="132"/>
      <c r="E133" s="132"/>
      <c r="F133" s="132"/>
      <c r="G133" s="132"/>
      <c r="H133" s="132"/>
      <c r="I133" s="132"/>
      <c r="J133" s="132"/>
      <c r="K133" s="132"/>
      <c r="L133" s="132"/>
      <c r="M133" s="132"/>
      <c r="N133" s="132"/>
      <c r="O133" s="132"/>
    </row>
    <row r="134" spans="1:15">
      <c r="A134" s="135" t="str">
        <f>$AG$396</f>
        <v>OPERATING INCOME BY MAJOR ACCOUNTS</v>
      </c>
      <c r="B134" s="132"/>
      <c r="C134" s="132"/>
      <c r="D134" s="132"/>
      <c r="E134" s="132"/>
      <c r="F134" s="132"/>
      <c r="G134" s="132"/>
      <c r="H134" s="132"/>
      <c r="I134" s="132"/>
      <c r="J134" s="132"/>
      <c r="K134" s="132"/>
      <c r="L134" s="132"/>
      <c r="M134" s="132"/>
      <c r="N134" s="132"/>
      <c r="O134" s="132"/>
    </row>
    <row r="135" spans="1:15" ht="15.6">
      <c r="A135" s="709" t="str">
        <f>A5</f>
        <v>ADJUSTMENTS TO THE BASE PERIOD</v>
      </c>
      <c r="B135" s="132"/>
      <c r="C135" s="132"/>
      <c r="D135" s="132"/>
      <c r="E135" s="132"/>
      <c r="F135" s="132"/>
      <c r="G135" s="132"/>
      <c r="H135" s="132"/>
      <c r="I135" s="132"/>
      <c r="J135" s="132"/>
      <c r="K135" s="132"/>
      <c r="L135" s="132"/>
      <c r="M135" s="132"/>
      <c r="N135" s="132"/>
      <c r="O135" s="132"/>
    </row>
    <row r="136" spans="1:15">
      <c r="A136" s="131" t="str">
        <f>A6</f>
        <v>FOR THE TWELVE MONTHS ENDED NOVEMBER 30, 2018</v>
      </c>
      <c r="B136" s="132"/>
      <c r="C136" s="132"/>
      <c r="D136" s="132"/>
      <c r="E136" s="132"/>
      <c r="F136" s="132"/>
      <c r="G136" s="132"/>
      <c r="H136" s="132"/>
      <c r="I136" s="132"/>
      <c r="J136" s="132"/>
      <c r="K136" s="132"/>
      <c r="L136" s="132"/>
      <c r="M136" s="132"/>
      <c r="N136" s="132"/>
      <c r="O136" s="132"/>
    </row>
    <row r="137" spans="1:15">
      <c r="D137" s="136"/>
    </row>
    <row r="138" spans="1:15">
      <c r="A138" s="136" t="str">
        <f>Data</f>
        <v>DATA: "X" BASE PERIOD   FORECASTED PERIOD</v>
      </c>
      <c r="M138" s="137" t="s">
        <v>1570</v>
      </c>
      <c r="N138" s="138"/>
      <c r="O138" s="138"/>
    </row>
    <row r="139" spans="1:15">
      <c r="A139" s="136" t="str">
        <f>Type</f>
        <v xml:space="preserve">TYPE OF FILING:  "X" ORIGINAL   UPDATED    REVISED  </v>
      </c>
      <c r="M139" s="138" t="s">
        <v>1802</v>
      </c>
      <c r="N139" s="138"/>
      <c r="O139" s="138"/>
    </row>
    <row r="140" spans="1:15">
      <c r="A140" s="138" t="s">
        <v>565</v>
      </c>
      <c r="M140" s="137" t="s">
        <v>1571</v>
      </c>
      <c r="N140" s="138"/>
      <c r="O140" s="138"/>
    </row>
    <row r="141" spans="1:15">
      <c r="M141" s="138" t="str">
        <f>"          "&amp;_WIT1</f>
        <v xml:space="preserve">          S. E. LAWLER</v>
      </c>
      <c r="N141" s="138"/>
      <c r="O141" s="138"/>
    </row>
    <row r="142" spans="1:15">
      <c r="A142" s="139"/>
      <c r="B142" s="139"/>
      <c r="C142" s="139"/>
      <c r="D142" s="139"/>
      <c r="E142" s="143"/>
      <c r="G142" s="143"/>
      <c r="H142" s="139"/>
      <c r="I142" s="139"/>
      <c r="J142" s="139"/>
      <c r="K142" s="143"/>
      <c r="L142" s="139"/>
      <c r="M142" s="143"/>
      <c r="N142" s="144"/>
      <c r="O142" s="139"/>
    </row>
    <row r="143" spans="1:15">
      <c r="E143" s="140" t="s">
        <v>1572</v>
      </c>
      <c r="F143" s="1512"/>
      <c r="G143" s="140" t="s">
        <v>1572</v>
      </c>
      <c r="H143" s="140"/>
      <c r="I143" s="140" t="s">
        <v>1572</v>
      </c>
      <c r="J143" s="140"/>
      <c r="K143" s="595"/>
      <c r="L143" s="140"/>
      <c r="M143" s="595"/>
      <c r="N143" s="595"/>
      <c r="O143" s="595"/>
    </row>
    <row r="144" spans="1:15">
      <c r="A144" s="140" t="s">
        <v>567</v>
      </c>
      <c r="E144" s="140" t="s">
        <v>332</v>
      </c>
      <c r="G144" s="140" t="s">
        <v>1540</v>
      </c>
      <c r="H144" s="140"/>
      <c r="I144" s="140" t="s">
        <v>2173</v>
      </c>
      <c r="J144" s="140"/>
      <c r="K144" s="161"/>
      <c r="L144" s="161"/>
      <c r="M144" s="161"/>
      <c r="N144" s="161"/>
      <c r="O144" s="161"/>
    </row>
    <row r="145" spans="1:15">
      <c r="A145" s="143" t="s">
        <v>766</v>
      </c>
      <c r="B145" s="144"/>
      <c r="C145" s="143" t="s">
        <v>1581</v>
      </c>
      <c r="D145" s="144"/>
      <c r="E145" s="158" t="s">
        <v>1845</v>
      </c>
      <c r="G145" s="158" t="s">
        <v>335</v>
      </c>
      <c r="H145" s="143"/>
      <c r="I145" s="143" t="s">
        <v>2174</v>
      </c>
      <c r="J145" s="143"/>
      <c r="K145" s="161"/>
      <c r="L145" s="161"/>
      <c r="M145" s="161"/>
      <c r="N145" s="161"/>
      <c r="O145" s="161"/>
    </row>
    <row r="146" spans="1:15">
      <c r="A146" s="144"/>
      <c r="B146" s="144"/>
      <c r="C146" s="587" t="s">
        <v>1055</v>
      </c>
      <c r="D146" s="144"/>
      <c r="E146" s="143" t="s">
        <v>1909</v>
      </c>
      <c r="F146" s="1023"/>
      <c r="G146" s="143" t="s">
        <v>1910</v>
      </c>
      <c r="H146" s="143"/>
      <c r="I146" s="143" t="s">
        <v>1911</v>
      </c>
      <c r="J146" s="143"/>
      <c r="K146" s="161"/>
      <c r="L146" s="161"/>
      <c r="M146" s="161"/>
      <c r="N146" s="161"/>
      <c r="O146" s="161"/>
    </row>
    <row r="147" spans="1:15" ht="15.6">
      <c r="A147" s="140">
        <v>1</v>
      </c>
      <c r="B147" s="159" t="s">
        <v>1849</v>
      </c>
      <c r="K147" s="687"/>
      <c r="L147" s="687"/>
      <c r="M147" s="687"/>
      <c r="N147" s="687"/>
      <c r="O147" s="687"/>
    </row>
    <row r="148" spans="1:15">
      <c r="A148" s="140">
        <f>1+A147</f>
        <v>2</v>
      </c>
      <c r="C148" s="138" t="s">
        <v>1850</v>
      </c>
      <c r="E148" s="147"/>
      <c r="G148" s="147"/>
      <c r="H148" s="147"/>
      <c r="I148" s="147"/>
      <c r="J148" s="147"/>
      <c r="K148" s="150"/>
      <c r="L148" s="150"/>
      <c r="M148" s="150"/>
      <c r="N148" s="150"/>
      <c r="O148" s="150"/>
    </row>
    <row r="149" spans="1:15">
      <c r="A149" s="140">
        <f t="shared" ref="A149:A193" si="5">1+A148</f>
        <v>3</v>
      </c>
      <c r="C149" s="138" t="s">
        <v>1851</v>
      </c>
      <c r="E149" s="147"/>
      <c r="G149" s="147"/>
      <c r="H149" s="147"/>
      <c r="I149" s="147"/>
      <c r="J149" s="147"/>
      <c r="K149" s="150"/>
      <c r="L149" s="150"/>
      <c r="M149" s="150"/>
      <c r="N149" s="150"/>
      <c r="O149" s="150"/>
    </row>
    <row r="150" spans="1:15">
      <c r="A150" s="140">
        <f t="shared" si="5"/>
        <v>4</v>
      </c>
      <c r="C150" s="138" t="s">
        <v>1852</v>
      </c>
      <c r="E150" s="147"/>
      <c r="G150" s="147"/>
      <c r="H150" s="147"/>
      <c r="I150" s="147"/>
      <c r="J150" s="147"/>
      <c r="K150" s="150"/>
      <c r="L150" s="150"/>
      <c r="M150" s="150"/>
      <c r="N150" s="150"/>
      <c r="O150" s="150"/>
    </row>
    <row r="151" spans="1:15">
      <c r="A151" s="140">
        <f t="shared" si="5"/>
        <v>5</v>
      </c>
      <c r="C151" s="138" t="s">
        <v>339</v>
      </c>
      <c r="E151" s="148">
        <f>SUM(E148:E150)</f>
        <v>0</v>
      </c>
      <c r="G151" s="148">
        <f>SUM(G148:G150)</f>
        <v>0</v>
      </c>
      <c r="H151" s="147"/>
      <c r="I151" s="148">
        <f>SUM(I148:I150)</f>
        <v>0</v>
      </c>
      <c r="J151" s="147"/>
      <c r="K151" s="150"/>
      <c r="L151" s="150"/>
      <c r="M151" s="150"/>
      <c r="N151" s="150"/>
      <c r="O151" s="150"/>
    </row>
    <row r="152" spans="1:15">
      <c r="A152" s="140">
        <f t="shared" si="5"/>
        <v>6</v>
      </c>
      <c r="E152" s="149"/>
      <c r="G152" s="149"/>
      <c r="H152" s="149"/>
      <c r="I152" s="149"/>
      <c r="J152" s="149"/>
      <c r="K152" s="705"/>
      <c r="L152" s="705"/>
      <c r="M152" s="705"/>
      <c r="N152" s="705"/>
      <c r="O152" s="705"/>
    </row>
    <row r="153" spans="1:15" ht="15.6">
      <c r="A153" s="140">
        <f t="shared" si="5"/>
        <v>7</v>
      </c>
      <c r="B153" s="159" t="s">
        <v>1136</v>
      </c>
      <c r="E153" s="147"/>
      <c r="K153" s="687"/>
      <c r="L153" s="687"/>
      <c r="M153" s="687"/>
      <c r="N153" s="687"/>
      <c r="O153" s="687"/>
    </row>
    <row r="154" spans="1:15">
      <c r="A154" s="140">
        <f t="shared" si="5"/>
        <v>8</v>
      </c>
      <c r="C154" s="138" t="s">
        <v>1854</v>
      </c>
      <c r="E154" s="147"/>
      <c r="K154" s="687"/>
      <c r="L154" s="687"/>
      <c r="M154" s="687"/>
      <c r="N154" s="687"/>
      <c r="O154" s="687"/>
    </row>
    <row r="155" spans="1:15">
      <c r="A155" s="140">
        <f t="shared" si="5"/>
        <v>9</v>
      </c>
      <c r="C155" s="138" t="s">
        <v>340</v>
      </c>
      <c r="E155" s="147"/>
      <c r="K155" s="687"/>
      <c r="L155" s="687"/>
      <c r="M155" s="687"/>
      <c r="N155" s="687"/>
      <c r="O155" s="687"/>
    </row>
    <row r="156" spans="1:15">
      <c r="A156" s="140">
        <f t="shared" si="5"/>
        <v>10</v>
      </c>
      <c r="C156" s="138" t="s">
        <v>1856</v>
      </c>
      <c r="E156" s="147"/>
      <c r="G156" s="147"/>
      <c r="H156" s="147"/>
      <c r="I156" s="147"/>
      <c r="J156" s="147"/>
      <c r="K156" s="150"/>
      <c r="L156" s="150"/>
      <c r="M156" s="150"/>
      <c r="N156" s="150"/>
      <c r="O156" s="150"/>
    </row>
    <row r="157" spans="1:15">
      <c r="A157" s="140">
        <f t="shared" si="5"/>
        <v>11</v>
      </c>
      <c r="C157" s="138" t="s">
        <v>700</v>
      </c>
      <c r="E157" s="147"/>
      <c r="G157" s="147"/>
      <c r="H157" s="147"/>
      <c r="I157" s="147"/>
      <c r="J157" s="147"/>
      <c r="K157" s="150"/>
      <c r="L157" s="150"/>
      <c r="M157" s="150"/>
      <c r="N157" s="150"/>
      <c r="O157" s="150"/>
    </row>
    <row r="158" spans="1:15">
      <c r="A158" s="140">
        <f t="shared" si="5"/>
        <v>12</v>
      </c>
      <c r="C158" s="138" t="s">
        <v>1857</v>
      </c>
      <c r="E158" s="148">
        <f>SUM(E156:E157)</f>
        <v>0</v>
      </c>
      <c r="G158" s="148">
        <f>SUM(G156:G157)</f>
        <v>0</v>
      </c>
      <c r="H158" s="147"/>
      <c r="I158" s="148">
        <f>SUM(I156:I157)</f>
        <v>0</v>
      </c>
      <c r="J158" s="147"/>
      <c r="K158" s="150"/>
      <c r="L158" s="150"/>
      <c r="M158" s="150"/>
      <c r="N158" s="150"/>
      <c r="O158" s="150"/>
    </row>
    <row r="159" spans="1:15">
      <c r="A159" s="140">
        <f t="shared" si="5"/>
        <v>13</v>
      </c>
      <c r="E159" s="149"/>
      <c r="G159" s="149"/>
      <c r="H159" s="149"/>
      <c r="I159" s="149"/>
      <c r="J159" s="149"/>
      <c r="K159" s="705"/>
      <c r="L159" s="705"/>
      <c r="M159" s="705"/>
      <c r="N159" s="705"/>
      <c r="O159" s="705"/>
    </row>
    <row r="160" spans="1:15">
      <c r="A160" s="140">
        <f t="shared" si="5"/>
        <v>14</v>
      </c>
      <c r="C160" s="138" t="s">
        <v>1858</v>
      </c>
      <c r="E160" s="150"/>
      <c r="G160" s="150"/>
      <c r="H160" s="147"/>
      <c r="I160" s="150"/>
      <c r="J160" s="147"/>
      <c r="K160" s="150"/>
      <c r="L160" s="150"/>
      <c r="M160" s="150"/>
      <c r="N160" s="150"/>
      <c r="O160" s="150"/>
    </row>
    <row r="161" spans="1:15">
      <c r="A161" s="140">
        <f t="shared" si="5"/>
        <v>15</v>
      </c>
      <c r="C161" s="138" t="s">
        <v>1859</v>
      </c>
      <c r="E161" s="150"/>
      <c r="G161" s="150"/>
      <c r="H161" s="147"/>
      <c r="I161" s="147"/>
      <c r="J161" s="147"/>
      <c r="K161" s="150"/>
      <c r="L161" s="150"/>
      <c r="M161" s="150"/>
      <c r="N161" s="150"/>
      <c r="O161" s="150"/>
    </row>
    <row r="162" spans="1:15">
      <c r="A162" s="140">
        <f t="shared" si="5"/>
        <v>16</v>
      </c>
      <c r="C162" s="138" t="s">
        <v>700</v>
      </c>
      <c r="E162" s="150"/>
      <c r="G162" s="150"/>
      <c r="H162" s="147"/>
      <c r="I162" s="150"/>
      <c r="J162" s="147"/>
      <c r="K162" s="150"/>
      <c r="L162" s="150"/>
      <c r="M162" s="150"/>
      <c r="N162" s="150"/>
      <c r="O162" s="150"/>
    </row>
    <row r="163" spans="1:15">
      <c r="A163" s="140">
        <f t="shared" si="5"/>
        <v>17</v>
      </c>
      <c r="C163" s="138" t="s">
        <v>1860</v>
      </c>
      <c r="E163" s="148">
        <f>SUM(E161:E162)</f>
        <v>0</v>
      </c>
      <c r="G163" s="148">
        <f>SUM(G161:G162)</f>
        <v>0</v>
      </c>
      <c r="H163" s="147"/>
      <c r="I163" s="148">
        <f>SUM(I161:I162)</f>
        <v>0</v>
      </c>
      <c r="J163" s="147"/>
      <c r="K163" s="150"/>
      <c r="L163" s="150"/>
      <c r="M163" s="150"/>
      <c r="N163" s="150"/>
      <c r="O163" s="150"/>
    </row>
    <row r="164" spans="1:15">
      <c r="A164" s="140">
        <f t="shared" si="5"/>
        <v>18</v>
      </c>
      <c r="C164" s="138" t="s">
        <v>1459</v>
      </c>
      <c r="E164" s="149"/>
      <c r="G164" s="149"/>
      <c r="H164" s="149"/>
      <c r="I164" s="149"/>
      <c r="J164" s="149"/>
      <c r="K164" s="705"/>
      <c r="L164" s="705"/>
      <c r="M164" s="705"/>
      <c r="N164" s="705"/>
      <c r="O164" s="705"/>
    </row>
    <row r="165" spans="1:15">
      <c r="A165" s="140">
        <f t="shared" si="5"/>
        <v>19</v>
      </c>
      <c r="C165" s="138" t="s">
        <v>341</v>
      </c>
      <c r="E165" s="147"/>
      <c r="G165" s="147"/>
      <c r="H165" s="147"/>
      <c r="I165" s="147"/>
      <c r="J165" s="147"/>
      <c r="K165" s="150"/>
      <c r="L165" s="150"/>
      <c r="M165" s="150"/>
      <c r="N165" s="150"/>
      <c r="O165" s="150"/>
    </row>
    <row r="166" spans="1:15">
      <c r="A166" s="140">
        <f t="shared" si="5"/>
        <v>20</v>
      </c>
      <c r="C166" s="138" t="s">
        <v>342</v>
      </c>
      <c r="E166" s="147"/>
      <c r="G166" s="147"/>
      <c r="H166" s="147"/>
      <c r="I166" s="147"/>
      <c r="J166" s="147"/>
      <c r="K166" s="150"/>
      <c r="L166" s="150"/>
      <c r="M166" s="150"/>
      <c r="N166" s="150"/>
      <c r="O166" s="150"/>
    </row>
    <row r="167" spans="1:15">
      <c r="A167" s="140">
        <f t="shared" si="5"/>
        <v>21</v>
      </c>
      <c r="C167" s="138" t="s">
        <v>343</v>
      </c>
      <c r="E167" s="147"/>
      <c r="G167" s="147"/>
      <c r="H167" s="147"/>
      <c r="I167" s="147"/>
      <c r="J167" s="147"/>
      <c r="K167" s="150"/>
      <c r="L167" s="150"/>
      <c r="M167" s="150"/>
      <c r="N167" s="150"/>
      <c r="O167" s="150"/>
    </row>
    <row r="168" spans="1:15">
      <c r="A168" s="140">
        <f t="shared" si="5"/>
        <v>22</v>
      </c>
      <c r="C168" s="138" t="s">
        <v>344</v>
      </c>
      <c r="E168" s="147"/>
      <c r="G168" s="147"/>
      <c r="H168" s="147"/>
      <c r="I168" s="147"/>
      <c r="J168" s="147"/>
      <c r="K168" s="150"/>
      <c r="L168" s="150"/>
      <c r="M168" s="150"/>
      <c r="N168" s="150"/>
      <c r="O168" s="150"/>
    </row>
    <row r="169" spans="1:15">
      <c r="A169" s="140">
        <f t="shared" si="5"/>
        <v>23</v>
      </c>
      <c r="C169" s="138" t="s">
        <v>345</v>
      </c>
      <c r="E169" s="147"/>
      <c r="G169" s="147"/>
      <c r="H169" s="147"/>
      <c r="I169" s="147"/>
      <c r="J169" s="147"/>
      <c r="K169" s="150"/>
      <c r="L169" s="150"/>
      <c r="M169" s="150"/>
      <c r="N169" s="150"/>
      <c r="O169" s="150"/>
    </row>
    <row r="170" spans="1:15">
      <c r="A170" s="140">
        <f t="shared" si="5"/>
        <v>24</v>
      </c>
      <c r="C170" s="138" t="s">
        <v>1554</v>
      </c>
      <c r="E170" s="147"/>
      <c r="G170" s="147"/>
      <c r="H170" s="147"/>
      <c r="I170" s="147"/>
      <c r="J170" s="147"/>
      <c r="K170" s="150"/>
      <c r="L170" s="150"/>
      <c r="M170" s="150"/>
      <c r="N170" s="150"/>
      <c r="O170" s="150"/>
    </row>
    <row r="171" spans="1:15">
      <c r="A171" s="140">
        <f t="shared" si="5"/>
        <v>25</v>
      </c>
      <c r="C171" s="138" t="s">
        <v>313</v>
      </c>
      <c r="E171" s="148">
        <f>E158+E163+SUM(E164:E170)</f>
        <v>0</v>
      </c>
      <c r="G171" s="148">
        <f>G158+G163+SUM(G164:G170)</f>
        <v>0</v>
      </c>
      <c r="H171" s="147"/>
      <c r="I171" s="148">
        <f>I158+I163+SUM(I164:I170)</f>
        <v>0</v>
      </c>
      <c r="J171" s="147"/>
      <c r="K171" s="150"/>
      <c r="L171" s="150"/>
      <c r="M171" s="150"/>
      <c r="N171" s="150"/>
      <c r="O171" s="150"/>
    </row>
    <row r="172" spans="1:15">
      <c r="A172" s="140">
        <f t="shared" si="5"/>
        <v>26</v>
      </c>
      <c r="E172" s="149"/>
      <c r="G172" s="149"/>
      <c r="H172" s="149"/>
      <c r="I172" s="149"/>
      <c r="J172" s="149"/>
      <c r="K172" s="705"/>
      <c r="L172" s="705"/>
      <c r="M172" s="705"/>
      <c r="N172" s="705"/>
      <c r="O172" s="705"/>
    </row>
    <row r="173" spans="1:15">
      <c r="A173" s="140">
        <f t="shared" si="5"/>
        <v>27</v>
      </c>
      <c r="C173" s="138" t="s">
        <v>1901</v>
      </c>
      <c r="E173" s="151">
        <f ca="1">SCH_C2!F42</f>
        <v>1303985</v>
      </c>
      <c r="G173" s="151">
        <v>0</v>
      </c>
      <c r="H173" s="147"/>
      <c r="I173" s="151">
        <v>0</v>
      </c>
      <c r="J173" s="147"/>
      <c r="K173" s="150"/>
      <c r="L173" s="150"/>
      <c r="M173" s="150"/>
      <c r="N173" s="150"/>
      <c r="O173" s="150"/>
    </row>
    <row r="174" spans="1:15">
      <c r="A174" s="140">
        <f t="shared" si="5"/>
        <v>28</v>
      </c>
      <c r="E174" s="149"/>
      <c r="G174" s="149"/>
      <c r="H174" s="149"/>
      <c r="I174" s="149"/>
      <c r="J174" s="149"/>
      <c r="K174" s="705"/>
      <c r="L174" s="705"/>
      <c r="M174" s="705"/>
      <c r="N174" s="705"/>
      <c r="O174" s="705"/>
    </row>
    <row r="175" spans="1:15">
      <c r="A175" s="140">
        <f t="shared" si="5"/>
        <v>29</v>
      </c>
      <c r="C175" s="138" t="s">
        <v>491</v>
      </c>
      <c r="E175" s="147"/>
      <c r="K175" s="687"/>
      <c r="L175" s="687"/>
      <c r="M175" s="687"/>
      <c r="N175" s="687"/>
      <c r="O175" s="687"/>
    </row>
    <row r="176" spans="1:15">
      <c r="A176" s="140">
        <f t="shared" si="5"/>
        <v>30</v>
      </c>
      <c r="C176" s="138" t="s">
        <v>1285</v>
      </c>
      <c r="E176" s="147"/>
      <c r="G176" s="147">
        <f>SCH_C2!F45</f>
        <v>-206000</v>
      </c>
      <c r="H176" s="147"/>
      <c r="I176" s="147"/>
      <c r="J176" s="147"/>
      <c r="K176" s="150"/>
      <c r="L176" s="150"/>
      <c r="M176" s="150"/>
      <c r="N176" s="150"/>
      <c r="O176" s="150"/>
    </row>
    <row r="177" spans="1:24">
      <c r="A177" s="140">
        <f t="shared" si="5"/>
        <v>31</v>
      </c>
      <c r="C177" s="138" t="s">
        <v>1287</v>
      </c>
      <c r="E177" s="147"/>
      <c r="G177" s="147">
        <f>SCH_C2!F46</f>
        <v>742096</v>
      </c>
      <c r="H177" s="147"/>
      <c r="I177" s="147"/>
      <c r="J177" s="147"/>
      <c r="K177" s="150"/>
      <c r="L177" s="150"/>
      <c r="M177" s="150"/>
      <c r="N177" s="150"/>
      <c r="O177" s="150"/>
    </row>
    <row r="178" spans="1:24">
      <c r="A178" s="140">
        <f t="shared" si="5"/>
        <v>32</v>
      </c>
      <c r="C178" s="138" t="s">
        <v>317</v>
      </c>
      <c r="E178" s="148">
        <f>SUM(E176:E177)</f>
        <v>0</v>
      </c>
      <c r="G178" s="148">
        <f>SUM(G176:G177)</f>
        <v>536096</v>
      </c>
      <c r="H178" s="147"/>
      <c r="I178" s="148">
        <f>SUM(I176:I177)</f>
        <v>0</v>
      </c>
      <c r="J178" s="147"/>
      <c r="K178" s="150"/>
      <c r="L178" s="150"/>
      <c r="M178" s="150"/>
      <c r="N178" s="150"/>
      <c r="O178" s="150"/>
      <c r="U178" s="162"/>
      <c r="V178" s="162"/>
    </row>
    <row r="179" spans="1:24">
      <c r="A179" s="140">
        <f t="shared" si="5"/>
        <v>33</v>
      </c>
      <c r="C179" s="138"/>
      <c r="E179" s="150"/>
      <c r="G179" s="150"/>
      <c r="H179" s="147"/>
      <c r="I179" s="150"/>
      <c r="J179" s="147"/>
      <c r="K179" s="150"/>
      <c r="L179" s="150"/>
      <c r="M179" s="150"/>
      <c r="N179" s="150"/>
      <c r="O179" s="150"/>
    </row>
    <row r="180" spans="1:24">
      <c r="A180" s="140">
        <f t="shared" si="5"/>
        <v>34</v>
      </c>
      <c r="C180" s="138" t="s">
        <v>318</v>
      </c>
      <c r="K180" s="687"/>
      <c r="L180" s="687"/>
      <c r="M180" s="687"/>
      <c r="N180" s="687"/>
      <c r="O180" s="687"/>
    </row>
    <row r="181" spans="1:24">
      <c r="A181" s="140">
        <f t="shared" si="5"/>
        <v>35</v>
      </c>
      <c r="C181" s="138" t="s">
        <v>1465</v>
      </c>
      <c r="E181" s="147">
        <f ca="1">ROUND((E151-E171-E173-E178)*SIT*APPORT,0)</f>
        <v>-64788</v>
      </c>
      <c r="G181" s="147">
        <f>ROUND((G151-G171-G173-G178)*SIT*APPORT,0)</f>
        <v>-26636</v>
      </c>
      <c r="H181" s="147"/>
      <c r="I181" s="147">
        <f ca="1">SCH_D2.14!J22</f>
        <v>-427428</v>
      </c>
      <c r="J181" s="147"/>
      <c r="K181" s="150"/>
      <c r="L181" s="150"/>
      <c r="M181" s="150"/>
      <c r="N181" s="150"/>
      <c r="O181" s="150"/>
      <c r="W181" s="162"/>
    </row>
    <row r="182" spans="1:24">
      <c r="A182" s="140">
        <f t="shared" si="5"/>
        <v>36</v>
      </c>
      <c r="C182" s="138" t="s">
        <v>1017</v>
      </c>
      <c r="E182" s="147"/>
      <c r="G182" s="147"/>
      <c r="H182" s="147"/>
      <c r="I182" s="147">
        <f ca="1">SCH_D2.14!J23</f>
        <v>496892</v>
      </c>
      <c r="J182" s="147"/>
      <c r="K182" s="150"/>
      <c r="L182" s="150"/>
      <c r="M182" s="150"/>
      <c r="N182" s="150"/>
      <c r="O182" s="150"/>
    </row>
    <row r="183" spans="1:24">
      <c r="A183" s="140">
        <f t="shared" si="5"/>
        <v>37</v>
      </c>
      <c r="C183" s="138" t="s">
        <v>323</v>
      </c>
      <c r="E183" s="148">
        <f ca="1">SUM(E181:E182)</f>
        <v>-64788</v>
      </c>
      <c r="G183" s="148">
        <f>SUM(G181:G182)</f>
        <v>-26636</v>
      </c>
      <c r="H183" s="147"/>
      <c r="I183" s="148">
        <f ca="1">SUM(I181:I182)</f>
        <v>69464</v>
      </c>
      <c r="J183" s="147"/>
      <c r="K183" s="150"/>
      <c r="L183" s="150"/>
      <c r="M183" s="150"/>
      <c r="N183" s="150"/>
      <c r="O183" s="150"/>
    </row>
    <row r="184" spans="1:24">
      <c r="A184" s="140">
        <f t="shared" si="5"/>
        <v>38</v>
      </c>
      <c r="E184" s="149"/>
      <c r="G184" s="149"/>
      <c r="H184" s="149"/>
      <c r="I184" s="149"/>
      <c r="J184" s="149"/>
      <c r="K184" s="705"/>
      <c r="L184" s="705"/>
      <c r="M184" s="705"/>
      <c r="N184" s="705"/>
      <c r="O184" s="705"/>
    </row>
    <row r="185" spans="1:24">
      <c r="A185" s="140">
        <f t="shared" si="5"/>
        <v>39</v>
      </c>
      <c r="C185" s="138" t="s">
        <v>14</v>
      </c>
      <c r="K185" s="687"/>
      <c r="L185" s="687"/>
      <c r="M185" s="687"/>
      <c r="N185" s="687"/>
      <c r="O185" s="687"/>
    </row>
    <row r="186" spans="1:24">
      <c r="A186" s="140">
        <f t="shared" si="5"/>
        <v>40</v>
      </c>
      <c r="C186" s="138" t="s">
        <v>1465</v>
      </c>
      <c r="E186" s="147">
        <f ca="1">ROUND((E151-E171-E173-E178-E181)*FIT,0)</f>
        <v>-260231</v>
      </c>
      <c r="G186" s="147">
        <f>ROUND((G151-G171-G173-G178-G181)*FIT,0)</f>
        <v>-106987</v>
      </c>
      <c r="H186" s="147"/>
      <c r="I186" s="147">
        <f ca="1">SCH_D2.14!J26</f>
        <v>-2820563</v>
      </c>
      <c r="J186" s="147"/>
      <c r="K186" s="150"/>
      <c r="L186" s="150"/>
      <c r="M186" s="150"/>
      <c r="N186" s="150"/>
      <c r="O186" s="150"/>
      <c r="X186" s="162"/>
    </row>
    <row r="187" spans="1:24">
      <c r="A187" s="140">
        <f t="shared" si="5"/>
        <v>41</v>
      </c>
      <c r="C187" s="138" t="s">
        <v>1017</v>
      </c>
      <c r="E187" s="147"/>
      <c r="G187" s="147"/>
      <c r="H187" s="147"/>
      <c r="I187" s="147">
        <f ca="1">SCH_D2.14!J27</f>
        <v>505474</v>
      </c>
      <c r="J187" s="147"/>
      <c r="K187" s="150"/>
      <c r="L187" s="150"/>
      <c r="M187" s="150"/>
      <c r="N187" s="150"/>
      <c r="O187" s="150"/>
    </row>
    <row r="188" spans="1:24">
      <c r="A188" s="140">
        <f t="shared" si="5"/>
        <v>42</v>
      </c>
      <c r="C188" s="138" t="s">
        <v>1016</v>
      </c>
      <c r="E188" s="147"/>
      <c r="G188" s="147"/>
      <c r="H188" s="147"/>
      <c r="I188" s="147">
        <f>SCH_D2.14!J28</f>
        <v>1186</v>
      </c>
      <c r="J188" s="147"/>
      <c r="K188" s="150"/>
      <c r="L188" s="150"/>
      <c r="M188" s="150"/>
      <c r="N188" s="150"/>
      <c r="O188" s="150"/>
    </row>
    <row r="189" spans="1:24">
      <c r="A189" s="140">
        <f t="shared" si="5"/>
        <v>43</v>
      </c>
      <c r="C189" s="138" t="s">
        <v>325</v>
      </c>
      <c r="E189" s="148">
        <f ca="1">SUM(E186:E188)</f>
        <v>-260231</v>
      </c>
      <c r="G189" s="148">
        <f>SUM(G186:G188)</f>
        <v>-106987</v>
      </c>
      <c r="H189" s="147"/>
      <c r="I189" s="148">
        <f ca="1">SUM(I186:I188)</f>
        <v>-2313903</v>
      </c>
      <c r="J189" s="147"/>
      <c r="K189" s="150"/>
      <c r="L189" s="150"/>
      <c r="M189" s="150"/>
      <c r="N189" s="150"/>
      <c r="O189" s="150"/>
      <c r="P189" s="147"/>
    </row>
    <row r="190" spans="1:24">
      <c r="A190" s="140">
        <f t="shared" si="5"/>
        <v>44</v>
      </c>
      <c r="E190" s="149"/>
      <c r="G190" s="149"/>
      <c r="H190" s="149"/>
      <c r="I190" s="149"/>
      <c r="J190" s="149"/>
      <c r="K190" s="705"/>
      <c r="L190" s="705"/>
      <c r="M190" s="705"/>
      <c r="N190" s="705"/>
      <c r="O190" s="705"/>
      <c r="P190" s="147"/>
    </row>
    <row r="191" spans="1:24">
      <c r="A191" s="140">
        <f t="shared" si="5"/>
        <v>45</v>
      </c>
      <c r="C191" s="138" t="s">
        <v>326</v>
      </c>
      <c r="E191" s="151">
        <f ca="1">E171+E173+E178+E183+E189</f>
        <v>978966</v>
      </c>
      <c r="G191" s="151">
        <f>G171+G173+G178+G183+G189</f>
        <v>402473</v>
      </c>
      <c r="H191" s="147"/>
      <c r="I191" s="151">
        <f ca="1">I171+I173+I178+I183+I189</f>
        <v>-2244439</v>
      </c>
      <c r="J191" s="147"/>
      <c r="K191" s="150"/>
      <c r="L191" s="150"/>
      <c r="M191" s="150"/>
      <c r="N191" s="150"/>
      <c r="O191" s="150"/>
    </row>
    <row r="192" spans="1:24">
      <c r="A192" s="140">
        <f t="shared" si="5"/>
        <v>46</v>
      </c>
      <c r="E192" s="149"/>
      <c r="G192" s="149"/>
      <c r="H192" s="149"/>
      <c r="I192" s="149"/>
      <c r="J192" s="149"/>
      <c r="K192" s="705"/>
      <c r="L192" s="705"/>
      <c r="M192" s="705"/>
      <c r="N192" s="705"/>
      <c r="O192" s="705"/>
    </row>
    <row r="193" spans="1:31" ht="15.6" thickBot="1">
      <c r="A193" s="140">
        <f t="shared" si="5"/>
        <v>47</v>
      </c>
      <c r="C193" s="138" t="s">
        <v>1533</v>
      </c>
      <c r="E193" s="157">
        <f ca="1">E151-E191</f>
        <v>-978966</v>
      </c>
      <c r="G193" s="157">
        <f>G151-G191</f>
        <v>-402473</v>
      </c>
      <c r="H193" s="147"/>
      <c r="I193" s="157">
        <f ca="1">I151-I191</f>
        <v>2244439</v>
      </c>
      <c r="J193" s="147"/>
      <c r="K193" s="150"/>
      <c r="L193" s="150"/>
      <c r="M193" s="150"/>
      <c r="N193" s="150"/>
      <c r="O193" s="150"/>
    </row>
    <row r="194" spans="1:31" ht="15.6" thickTop="1">
      <c r="D194" s="147"/>
      <c r="E194" s="1027">
        <f ca="1">ROUND((E183+E189)/(E193+E183+E189),4)</f>
        <v>0.24929999999999999</v>
      </c>
      <c r="F194" s="1027" t="e">
        <f>ROUND((F183+F189)/(F193+F183+F189),4)</f>
        <v>#DIV/0!</v>
      </c>
      <c r="G194" s="1027">
        <f>ROUND((G183+G189)/(G193+G183+G189),4)</f>
        <v>0.24929999999999999</v>
      </c>
      <c r="H194" s="1027" t="e">
        <f>ROUND((H183+H189)/(H193+H183+H189),4)</f>
        <v>#DIV/0!</v>
      </c>
      <c r="I194" s="1027" t="e">
        <f ca="1">ROUND((I183+I189)/(I193+I183+I189),4)</f>
        <v>#DIV/0!</v>
      </c>
      <c r="J194" s="149"/>
      <c r="K194" s="705"/>
      <c r="L194" s="705"/>
      <c r="M194" s="705"/>
      <c r="N194" s="705"/>
      <c r="O194" s="687"/>
    </row>
    <row r="195" spans="1:31">
      <c r="A195" s="138"/>
      <c r="O195" s="149"/>
    </row>
    <row r="196" spans="1:31">
      <c r="Q196" s="131" t="str">
        <f>COMPANY</f>
        <v>DUKE ENERGY KENTUCKY, INC.</v>
      </c>
      <c r="R196" s="132"/>
      <c r="S196" s="132"/>
      <c r="T196" s="132"/>
      <c r="U196" s="132"/>
      <c r="V196" s="132"/>
      <c r="W196" s="132"/>
      <c r="X196" s="132"/>
      <c r="Y196" s="132"/>
      <c r="Z196" s="132"/>
      <c r="AA196" s="132"/>
      <c r="AB196" s="132"/>
      <c r="AC196" s="132"/>
      <c r="AD196" s="132"/>
      <c r="AE196" s="132"/>
    </row>
    <row r="197" spans="1:31">
      <c r="Q197" s="131" t="str">
        <f>CASE</f>
        <v>CASE NO. 2018-00261</v>
      </c>
      <c r="R197" s="132"/>
      <c r="S197" s="132"/>
      <c r="T197" s="132"/>
      <c r="U197" s="134"/>
      <c r="V197" s="134"/>
      <c r="W197" s="132"/>
      <c r="X197" s="132"/>
      <c r="Y197" s="132"/>
      <c r="Z197" s="132"/>
      <c r="AA197" s="132"/>
      <c r="AB197" s="132"/>
      <c r="AC197" s="132"/>
      <c r="AD197" s="132"/>
      <c r="AE197" s="132"/>
    </row>
    <row r="198" spans="1:31">
      <c r="Q198" s="135" t="str">
        <f>$AG$395</f>
        <v>SUMMARY OF UTILITY JURISDICTIONAL ADJUSTMENTS TO</v>
      </c>
      <c r="R198" s="132"/>
      <c r="S198" s="132"/>
      <c r="T198" s="132"/>
      <c r="U198" s="132"/>
      <c r="V198" s="132"/>
      <c r="W198" s="132"/>
      <c r="X198" s="132"/>
      <c r="Y198" s="132"/>
      <c r="Z198" s="132"/>
      <c r="AA198" s="132"/>
      <c r="AB198" s="132"/>
      <c r="AC198" s="132"/>
      <c r="AD198" s="132"/>
      <c r="AE198" s="132"/>
    </row>
    <row r="199" spans="1:31">
      <c r="Q199" s="135" t="str">
        <f>$AG$396</f>
        <v>OPERATING INCOME BY MAJOR ACCOUNTS</v>
      </c>
      <c r="R199" s="132"/>
      <c r="S199" s="132"/>
      <c r="T199" s="132"/>
      <c r="U199" s="132"/>
      <c r="V199" s="132"/>
      <c r="W199" s="132"/>
      <c r="X199" s="132"/>
      <c r="Y199" s="132"/>
      <c r="Z199" s="132"/>
      <c r="AA199" s="132"/>
      <c r="AB199" s="132"/>
      <c r="AC199" s="132"/>
      <c r="AD199" s="132"/>
      <c r="AE199" s="132"/>
    </row>
    <row r="200" spans="1:31" ht="15.6">
      <c r="Q200" s="709" t="s">
        <v>2351</v>
      </c>
      <c r="R200" s="132"/>
      <c r="S200" s="132"/>
      <c r="T200" s="132"/>
      <c r="U200" s="132"/>
      <c r="V200" s="132"/>
      <c r="W200" s="132"/>
      <c r="X200" s="132"/>
      <c r="Y200" s="132"/>
      <c r="Z200" s="132"/>
      <c r="AA200" s="132"/>
      <c r="AB200" s="132"/>
      <c r="AC200" s="132"/>
      <c r="AD200" s="132"/>
      <c r="AE200" s="132"/>
    </row>
    <row r="201" spans="1:31">
      <c r="Q201" s="131" t="str">
        <f>PeriodF</f>
        <v>FOR THE TWELVE MONTHS ENDED MARCH 31, 2020</v>
      </c>
      <c r="R201" s="132"/>
      <c r="S201" s="132"/>
      <c r="T201" s="132"/>
      <c r="U201" s="132"/>
      <c r="V201" s="132"/>
      <c r="W201" s="132"/>
      <c r="X201" s="132"/>
      <c r="Y201" s="132"/>
      <c r="Z201" s="132"/>
      <c r="AA201" s="132"/>
      <c r="AB201" s="132"/>
      <c r="AC201" s="132"/>
      <c r="AD201" s="132"/>
      <c r="AE201" s="132"/>
    </row>
    <row r="202" spans="1:31">
      <c r="T202" s="136"/>
    </row>
    <row r="203" spans="1:31">
      <c r="Q203" s="136" t="str">
        <f>DataF</f>
        <v>DATA:  BASE PERIOD  "X" FORECASTED PERIOD</v>
      </c>
      <c r="AC203" s="137" t="s">
        <v>1570</v>
      </c>
      <c r="AD203" s="138"/>
    </row>
    <row r="204" spans="1:31">
      <c r="Q204" s="136" t="str">
        <f>Type</f>
        <v xml:space="preserve">TYPE OF FILING:  "X" ORIGINAL   UPDATED    REVISED  </v>
      </c>
      <c r="AC204" s="138" t="s">
        <v>1798</v>
      </c>
      <c r="AD204" s="138"/>
    </row>
    <row r="205" spans="1:31">
      <c r="Q205" s="138" t="s">
        <v>565</v>
      </c>
      <c r="AC205" s="137" t="s">
        <v>1571</v>
      </c>
      <c r="AD205" s="138"/>
    </row>
    <row r="206" spans="1:31">
      <c r="AC206" s="138" t="str">
        <f>"          "&amp;_WIT1</f>
        <v xml:space="preserve">          S. E. LAWLER</v>
      </c>
      <c r="AD206" s="138"/>
    </row>
    <row r="207" spans="1:31"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  <c r="AC207" s="139"/>
      <c r="AD207" s="139"/>
      <c r="AE207" s="139"/>
    </row>
    <row r="208" spans="1:31">
      <c r="U208" s="140" t="s">
        <v>884</v>
      </c>
      <c r="W208" s="140" t="s">
        <v>1572</v>
      </c>
      <c r="X208" s="140"/>
      <c r="Y208" s="140" t="s">
        <v>1902</v>
      </c>
      <c r="AA208" s="2820" t="s">
        <v>924</v>
      </c>
      <c r="AB208" s="140"/>
      <c r="AC208" s="595"/>
      <c r="AD208" s="595"/>
      <c r="AE208" s="595" t="s">
        <v>1905</v>
      </c>
    </row>
    <row r="209" spans="17:31">
      <c r="Q209" s="140" t="s">
        <v>567</v>
      </c>
      <c r="U209" s="140" t="s">
        <v>732</v>
      </c>
      <c r="W209" s="161" t="s">
        <v>1789</v>
      </c>
      <c r="X209" s="140"/>
      <c r="Y209" s="140" t="s">
        <v>1906</v>
      </c>
      <c r="Z209" s="140"/>
      <c r="AA209" s="1221" t="s">
        <v>2651</v>
      </c>
      <c r="AB209" s="140"/>
      <c r="AC209" s="140" t="s">
        <v>1904</v>
      </c>
      <c r="AE209" s="161" t="s">
        <v>1907</v>
      </c>
    </row>
    <row r="210" spans="17:31">
      <c r="Q210" s="143" t="s">
        <v>766</v>
      </c>
      <c r="R210" s="144"/>
      <c r="S210" s="143" t="s">
        <v>1581</v>
      </c>
      <c r="T210" s="144"/>
      <c r="U210" s="143" t="s">
        <v>731</v>
      </c>
      <c r="W210" s="143" t="s">
        <v>1845</v>
      </c>
      <c r="X210" s="143"/>
      <c r="Y210" s="143" t="s">
        <v>1845</v>
      </c>
      <c r="Z210" s="143"/>
      <c r="AA210" s="1189" t="s">
        <v>1845</v>
      </c>
      <c r="AB210" s="143"/>
      <c r="AC210" s="158" t="s">
        <v>1845</v>
      </c>
      <c r="AE210" s="143" t="s">
        <v>1908</v>
      </c>
    </row>
    <row r="211" spans="17:31">
      <c r="Q211" s="144"/>
      <c r="R211" s="144"/>
      <c r="S211" s="587" t="s">
        <v>1055</v>
      </c>
      <c r="T211" s="144"/>
      <c r="U211" s="1189" t="s">
        <v>2984</v>
      </c>
      <c r="V211" s="1023"/>
      <c r="W211" s="143" t="s">
        <v>1912</v>
      </c>
      <c r="X211" s="143"/>
      <c r="Y211" s="143" t="s">
        <v>1913</v>
      </c>
      <c r="Z211" s="143"/>
      <c r="AA211" s="143" t="s">
        <v>1532</v>
      </c>
      <c r="AB211" s="143"/>
      <c r="AC211" s="143" t="s">
        <v>1915</v>
      </c>
      <c r="AD211" s="1023"/>
      <c r="AE211" s="143" t="s">
        <v>1916</v>
      </c>
    </row>
    <row r="212" spans="17:31" ht="15.6">
      <c r="Q212" s="140">
        <v>1</v>
      </c>
      <c r="R212" s="146" t="s">
        <v>1849</v>
      </c>
    </row>
    <row r="213" spans="17:31">
      <c r="Q213" s="140">
        <f>1+Q212</f>
        <v>2</v>
      </c>
      <c r="S213" s="138" t="s">
        <v>1850</v>
      </c>
      <c r="U213" s="147">
        <f>SUM(W213:AE213)+SUM(U278:AE278)+SUM(U343:AE343)</f>
        <v>1456479</v>
      </c>
      <c r="W213" s="147"/>
      <c r="X213" s="147"/>
      <c r="Y213" s="147"/>
      <c r="Z213" s="147"/>
      <c r="AA213" s="147"/>
      <c r="AB213" s="147"/>
      <c r="AC213" s="147"/>
      <c r="AE213" s="147"/>
    </row>
    <row r="214" spans="17:31">
      <c r="Q214" s="140">
        <f t="shared" ref="Q214:Q258" si="6">1+Q213</f>
        <v>3</v>
      </c>
      <c r="S214" s="138" t="s">
        <v>1851</v>
      </c>
      <c r="U214" s="147">
        <f>SUM(W214:AE214)+SUM(U279:AE279)+SUM(U344:AE344)</f>
        <v>-80547</v>
      </c>
      <c r="W214" s="147"/>
      <c r="X214" s="147"/>
      <c r="Y214" s="147"/>
      <c r="Z214" s="147"/>
      <c r="AA214" s="147"/>
      <c r="AB214" s="147"/>
      <c r="AC214" s="147"/>
      <c r="AE214" s="147"/>
    </row>
    <row r="215" spans="17:31">
      <c r="Q215" s="140">
        <f t="shared" si="6"/>
        <v>4</v>
      </c>
      <c r="S215" s="138" t="s">
        <v>1852</v>
      </c>
      <c r="U215" s="147">
        <f>SUM(W215:AE215)+SUM(U280:AE280)+SUM(U345:AE345)</f>
        <v>-514092</v>
      </c>
      <c r="W215" s="147"/>
      <c r="X215" s="147"/>
      <c r="Y215" s="147"/>
      <c r="Z215" s="147"/>
      <c r="AA215" s="147"/>
      <c r="AB215" s="147"/>
      <c r="AC215" s="147"/>
      <c r="AE215" s="147">
        <f>SCH_D2.19!H31</f>
        <v>-514092</v>
      </c>
    </row>
    <row r="216" spans="17:31">
      <c r="Q216" s="140">
        <f t="shared" si="6"/>
        <v>5</v>
      </c>
      <c r="S216" s="138" t="s">
        <v>1853</v>
      </c>
      <c r="U216" s="148">
        <f>SUM(U213:U215)</f>
        <v>861840</v>
      </c>
      <c r="W216" s="148">
        <f>SUM(W213:W215)</f>
        <v>0</v>
      </c>
      <c r="X216" s="147"/>
      <c r="Y216" s="148">
        <f>SUM(Y213:Y215)</f>
        <v>0</v>
      </c>
      <c r="Z216" s="147"/>
      <c r="AA216" s="148">
        <f>SUM(AA213:AA215)</f>
        <v>0</v>
      </c>
      <c r="AB216" s="147"/>
      <c r="AC216" s="148">
        <f>SUM(AC213:AC215)</f>
        <v>0</v>
      </c>
      <c r="AE216" s="148">
        <f>SUM(AE213:AE215)</f>
        <v>-514092</v>
      </c>
    </row>
    <row r="217" spans="17:31">
      <c r="Q217" s="140">
        <f t="shared" si="6"/>
        <v>6</v>
      </c>
      <c r="U217" s="149"/>
      <c r="W217" s="149"/>
      <c r="X217" s="149"/>
      <c r="Y217" s="149"/>
      <c r="Z217" s="149"/>
      <c r="AA217" s="149"/>
      <c r="AB217" s="149"/>
      <c r="AC217" s="149"/>
      <c r="AE217" s="149"/>
    </row>
    <row r="218" spans="17:31" ht="15.6">
      <c r="Q218" s="140">
        <f t="shared" si="6"/>
        <v>7</v>
      </c>
      <c r="R218" s="146" t="s">
        <v>1136</v>
      </c>
    </row>
    <row r="219" spans="17:31">
      <c r="Q219" s="140">
        <f t="shared" si="6"/>
        <v>8</v>
      </c>
      <c r="S219" s="138" t="s">
        <v>1854</v>
      </c>
    </row>
    <row r="220" spans="17:31">
      <c r="Q220" s="140">
        <f t="shared" si="6"/>
        <v>9</v>
      </c>
      <c r="S220" s="138" t="s">
        <v>1855</v>
      </c>
      <c r="U220" s="147"/>
    </row>
    <row r="221" spans="17:31">
      <c r="Q221" s="140">
        <f t="shared" si="6"/>
        <v>10</v>
      </c>
      <c r="S221" s="138" t="s">
        <v>1856</v>
      </c>
      <c r="U221" s="147">
        <f>SUM(W221:AE221)+SUM(U286:AE286)+SUM(U351:AE351)</f>
        <v>0</v>
      </c>
      <c r="W221" s="147"/>
      <c r="X221" s="147"/>
      <c r="Y221" s="147"/>
      <c r="Z221" s="147"/>
      <c r="AA221" s="147"/>
      <c r="AB221" s="147"/>
      <c r="AC221" s="147"/>
      <c r="AE221" s="147"/>
    </row>
    <row r="222" spans="17:31">
      <c r="Q222" s="140">
        <f t="shared" si="6"/>
        <v>11</v>
      </c>
      <c r="S222" s="138" t="s">
        <v>700</v>
      </c>
      <c r="U222" s="147">
        <f>SUM(W222:AE222)+SUM(U287:AE287)+SUM(U352:AE352)</f>
        <v>-382795</v>
      </c>
      <c r="W222" s="147"/>
      <c r="X222" s="147"/>
      <c r="Y222" s="147"/>
      <c r="Z222" s="147"/>
      <c r="AA222" s="147"/>
      <c r="AB222" s="147"/>
      <c r="AC222" s="147"/>
      <c r="AE222" s="147">
        <f>SCH_D2.19!R55</f>
        <v>-382795</v>
      </c>
    </row>
    <row r="223" spans="17:31">
      <c r="Q223" s="140">
        <f t="shared" si="6"/>
        <v>12</v>
      </c>
      <c r="S223" s="138" t="s">
        <v>1857</v>
      </c>
      <c r="U223" s="148">
        <f>SUM(U221:U222)</f>
        <v>-382795</v>
      </c>
      <c r="W223" s="148">
        <f>SUM(W221:W222)</f>
        <v>0</v>
      </c>
      <c r="X223" s="147"/>
      <c r="Y223" s="148">
        <f>SUM(Y221:Y222)</f>
        <v>0</v>
      </c>
      <c r="Z223" s="147"/>
      <c r="AA223" s="148">
        <f>SUM(AA221:AA222)</f>
        <v>0</v>
      </c>
      <c r="AB223" s="147"/>
      <c r="AC223" s="148">
        <f>SUM(AC221:AC222)</f>
        <v>0</v>
      </c>
      <c r="AE223" s="148">
        <f>SUM(AE221:AE222)</f>
        <v>-382795</v>
      </c>
    </row>
    <row r="224" spans="17:31">
      <c r="Q224" s="140">
        <f t="shared" si="6"/>
        <v>13</v>
      </c>
      <c r="S224" s="138"/>
      <c r="U224" s="149"/>
      <c r="W224" s="149"/>
      <c r="X224" s="149"/>
      <c r="Y224" s="149"/>
      <c r="Z224" s="149"/>
      <c r="AA224" s="149"/>
      <c r="AB224" s="147"/>
      <c r="AC224" s="149"/>
      <c r="AE224" s="149"/>
    </row>
    <row r="225" spans="17:31">
      <c r="Q225" s="140">
        <f t="shared" si="6"/>
        <v>14</v>
      </c>
      <c r="S225" s="138" t="s">
        <v>1858</v>
      </c>
      <c r="U225" s="150"/>
      <c r="W225" s="150"/>
      <c r="X225" s="147"/>
      <c r="Y225" s="150"/>
      <c r="Z225" s="147"/>
      <c r="AA225" s="150"/>
      <c r="AB225" s="147"/>
      <c r="AC225" s="150"/>
      <c r="AE225" s="150"/>
    </row>
    <row r="226" spans="17:31">
      <c r="Q226" s="140">
        <f t="shared" si="6"/>
        <v>15</v>
      </c>
      <c r="S226" s="138" t="s">
        <v>1859</v>
      </c>
      <c r="U226" s="147">
        <f>SUM(W226:AE226)+SUM(U291:AE291)+SUM(U356:AE356)</f>
        <v>-80549</v>
      </c>
      <c r="W226" s="150"/>
      <c r="X226" s="147"/>
      <c r="Y226" s="147"/>
      <c r="Z226" s="147"/>
      <c r="AA226" s="147"/>
      <c r="AB226" s="147"/>
      <c r="AC226" s="150"/>
      <c r="AE226" s="150"/>
    </row>
    <row r="227" spans="17:31">
      <c r="Q227" s="140">
        <f t="shared" si="6"/>
        <v>16</v>
      </c>
      <c r="S227" s="138" t="s">
        <v>700</v>
      </c>
      <c r="U227" s="147">
        <f>SUM(W227:AE227)+SUM(U292:AE292)+SUM(U357:AE357)</f>
        <v>0</v>
      </c>
      <c r="W227" s="150"/>
      <c r="X227" s="147"/>
      <c r="Y227" s="150"/>
      <c r="Z227" s="147"/>
      <c r="AA227" s="150"/>
      <c r="AB227" s="147"/>
      <c r="AC227" s="150"/>
      <c r="AE227" s="150"/>
    </row>
    <row r="228" spans="17:31">
      <c r="Q228" s="140">
        <f t="shared" si="6"/>
        <v>17</v>
      </c>
      <c r="S228" s="138" t="s">
        <v>1860</v>
      </c>
      <c r="U228" s="148">
        <f>SUM(U226:U227)</f>
        <v>-80549</v>
      </c>
      <c r="W228" s="148">
        <f>SUM(W226:W227)</f>
        <v>0</v>
      </c>
      <c r="X228" s="147"/>
      <c r="Y228" s="148">
        <f>SUM(Y226:Y227)</f>
        <v>0</v>
      </c>
      <c r="Z228" s="147"/>
      <c r="AA228" s="148">
        <f>SUM(AA226:AA227)</f>
        <v>0</v>
      </c>
      <c r="AB228" s="147"/>
      <c r="AC228" s="148">
        <f>SUM(AC226:AC227)</f>
        <v>0</v>
      </c>
      <c r="AE228" s="148">
        <f>SUM(AE226:AE227)</f>
        <v>0</v>
      </c>
    </row>
    <row r="229" spans="17:31">
      <c r="Q229" s="140">
        <f t="shared" si="6"/>
        <v>18</v>
      </c>
      <c r="S229" s="138" t="s">
        <v>1458</v>
      </c>
      <c r="U229" s="147">
        <f t="shared" ref="U229:U235" si="7">SUM(W229:AE229)+SUM(U294:AE294)+SUM(U359:AE359)</f>
        <v>0</v>
      </c>
      <c r="W229" s="149"/>
      <c r="X229" s="149"/>
      <c r="Y229" s="149"/>
      <c r="Z229" s="149"/>
      <c r="AA229" s="149"/>
      <c r="AB229" s="149"/>
      <c r="AC229" s="149"/>
      <c r="AE229" s="149"/>
    </row>
    <row r="230" spans="17:31">
      <c r="Q230" s="140">
        <f t="shared" si="6"/>
        <v>19</v>
      </c>
      <c r="S230" s="138" t="s">
        <v>1861</v>
      </c>
      <c r="U230" s="147">
        <f t="shared" si="7"/>
        <v>962618</v>
      </c>
      <c r="W230" s="147"/>
      <c r="X230" s="147"/>
      <c r="Y230" s="147"/>
      <c r="Z230" s="147"/>
      <c r="AA230" s="147"/>
      <c r="AB230" s="147"/>
      <c r="AC230" s="147"/>
      <c r="AE230" s="147">
        <f>SCH_D2.19!R56</f>
        <v>-102870</v>
      </c>
    </row>
    <row r="231" spans="17:31">
      <c r="Q231" s="140">
        <f t="shared" si="6"/>
        <v>20</v>
      </c>
      <c r="S231" s="138" t="s">
        <v>1862</v>
      </c>
      <c r="U231" s="147">
        <f t="shared" ca="1" si="7"/>
        <v>-608515</v>
      </c>
      <c r="W231" s="147">
        <f ca="1">SCH_D2.15!J28</f>
        <v>-588781</v>
      </c>
      <c r="X231" s="147"/>
      <c r="Y231" s="147"/>
      <c r="Z231" s="147"/>
      <c r="AA231" s="147"/>
      <c r="AB231" s="147"/>
      <c r="AC231" s="147"/>
      <c r="AE231" s="147"/>
    </row>
    <row r="232" spans="17:31">
      <c r="Q232" s="140">
        <f t="shared" si="6"/>
        <v>21</v>
      </c>
      <c r="S232" s="138" t="s">
        <v>1863</v>
      </c>
      <c r="U232" s="147">
        <f t="shared" si="7"/>
        <v>-20595</v>
      </c>
      <c r="W232" s="147"/>
      <c r="X232" s="147"/>
      <c r="Y232" s="147"/>
      <c r="Z232" s="147"/>
      <c r="AA232" s="147"/>
      <c r="AB232" s="147"/>
      <c r="AC232" s="147"/>
      <c r="AE232" s="147"/>
    </row>
    <row r="233" spans="17:31">
      <c r="Q233" s="140">
        <f t="shared" si="6"/>
        <v>22</v>
      </c>
      <c r="S233" s="138" t="s">
        <v>1864</v>
      </c>
      <c r="U233" s="147">
        <f t="shared" si="7"/>
        <v>-6339</v>
      </c>
      <c r="W233" s="147"/>
      <c r="X233" s="147"/>
      <c r="Y233" s="147"/>
      <c r="Z233" s="147"/>
      <c r="AA233" s="147"/>
      <c r="AB233" s="147"/>
      <c r="AC233" s="147"/>
      <c r="AE233" s="147"/>
    </row>
    <row r="234" spans="17:31">
      <c r="Q234" s="140">
        <f t="shared" si="6"/>
        <v>23</v>
      </c>
      <c r="S234" s="138" t="s">
        <v>312</v>
      </c>
      <c r="U234" s="147">
        <f t="shared" si="7"/>
        <v>-484245</v>
      </c>
      <c r="W234" s="147"/>
      <c r="X234" s="147"/>
      <c r="Y234" s="147">
        <f>SCH_D2.16!J26</f>
        <v>115100</v>
      </c>
      <c r="Z234" s="147"/>
      <c r="AA234" s="147"/>
      <c r="AB234" s="147"/>
      <c r="AC234" s="147"/>
      <c r="AE234" s="147"/>
    </row>
    <row r="235" spans="17:31">
      <c r="Q235" s="140">
        <f t="shared" si="6"/>
        <v>24</v>
      </c>
      <c r="S235" s="138" t="s">
        <v>1267</v>
      </c>
      <c r="U235" s="147">
        <f t="shared" si="7"/>
        <v>543043</v>
      </c>
      <c r="W235" s="147"/>
      <c r="X235" s="147"/>
      <c r="Y235" s="147"/>
      <c r="Z235" s="147"/>
      <c r="AA235" s="147">
        <f>SCH_D2.17!I26</f>
        <v>577423</v>
      </c>
      <c r="AB235" s="147"/>
      <c r="AC235" s="147"/>
      <c r="AE235" s="147"/>
    </row>
    <row r="236" spans="17:31">
      <c r="Q236" s="140">
        <f t="shared" si="6"/>
        <v>25</v>
      </c>
      <c r="S236" s="138" t="s">
        <v>313</v>
      </c>
      <c r="U236" s="148">
        <f ca="1">U223+U228+SUM(U229:U235)</f>
        <v>-77377</v>
      </c>
      <c r="W236" s="148">
        <f ca="1">W223+W228+SUM(W229:W235)</f>
        <v>-588781</v>
      </c>
      <c r="X236" s="147"/>
      <c r="Y236" s="148">
        <f>Y223+Y228+SUM(Y229:Y235)</f>
        <v>115100</v>
      </c>
      <c r="Z236" s="147"/>
      <c r="AA236" s="148">
        <f>AA223+AA228+SUM(AA229:AA235)</f>
        <v>577423</v>
      </c>
      <c r="AB236" s="147"/>
      <c r="AC236" s="148">
        <f>AC223+AC228+SUM(AC229:AC235)</f>
        <v>0</v>
      </c>
      <c r="AE236" s="148">
        <f>AE223+AE228+SUM(AE229:AE235)</f>
        <v>-485665</v>
      </c>
    </row>
    <row r="237" spans="17:31">
      <c r="Q237" s="140">
        <f t="shared" si="6"/>
        <v>26</v>
      </c>
      <c r="U237" s="149"/>
      <c r="W237" s="149"/>
      <c r="X237" s="149"/>
      <c r="Y237" s="149"/>
      <c r="Z237" s="149"/>
      <c r="AA237" s="149"/>
      <c r="AB237" s="149"/>
      <c r="AC237" s="149"/>
      <c r="AE237" s="149"/>
    </row>
    <row r="238" spans="17:31">
      <c r="Q238" s="140">
        <f t="shared" si="6"/>
        <v>27</v>
      </c>
      <c r="S238" s="138" t="s">
        <v>314</v>
      </c>
      <c r="U238" s="151">
        <f ca="1">SUM(W238:AE238)+SUM(U303:AE303)+SUM(U368:AE368)+SUM(U434:AE434)+SUM(U498:AE498)</f>
        <v>-1084440</v>
      </c>
      <c r="W238" s="151">
        <v>0</v>
      </c>
      <c r="X238" s="147"/>
      <c r="Y238" s="151">
        <v>0</v>
      </c>
      <c r="Z238" s="147"/>
      <c r="AA238" s="151">
        <v>0</v>
      </c>
      <c r="AB238" s="147"/>
      <c r="AC238" s="151">
        <v>0</v>
      </c>
      <c r="AE238" s="151">
        <v>0</v>
      </c>
    </row>
    <row r="239" spans="17:31">
      <c r="Q239" s="140">
        <f t="shared" si="6"/>
        <v>28</v>
      </c>
      <c r="U239" s="149"/>
      <c r="W239" s="149"/>
      <c r="X239" s="149"/>
      <c r="Y239" s="149"/>
      <c r="Z239" s="149"/>
      <c r="AA239" s="149"/>
      <c r="AB239" s="149"/>
      <c r="AC239" s="149"/>
      <c r="AE239" s="149"/>
    </row>
    <row r="240" spans="17:31">
      <c r="Q240" s="140">
        <f t="shared" si="6"/>
        <v>29</v>
      </c>
      <c r="S240" s="138" t="s">
        <v>491</v>
      </c>
    </row>
    <row r="241" spans="17:31">
      <c r="Q241" s="140">
        <f t="shared" si="6"/>
        <v>30</v>
      </c>
      <c r="S241" s="138" t="s">
        <v>315</v>
      </c>
      <c r="U241" s="147">
        <f>SUM(W241:AE241)+SUM(U306:AE306)+SUM(U371:AE371)</f>
        <v>0</v>
      </c>
      <c r="W241" s="147"/>
      <c r="X241" s="147"/>
      <c r="Y241" s="147"/>
      <c r="Z241" s="147"/>
      <c r="AA241" s="147"/>
      <c r="AB241" s="147"/>
      <c r="AC241" s="147"/>
      <c r="AE241" s="147"/>
    </row>
    <row r="242" spans="17:31">
      <c r="Q242" s="140">
        <f t="shared" si="6"/>
        <v>31</v>
      </c>
      <c r="S242" s="138" t="s">
        <v>316</v>
      </c>
      <c r="U242" s="147">
        <f>SUM(W242:AE242)+SUM(U307:AE307)+SUM(U372:AE372)</f>
        <v>-44738</v>
      </c>
      <c r="W242" s="147"/>
      <c r="X242" s="147"/>
      <c r="Y242" s="147"/>
      <c r="Z242" s="147"/>
      <c r="AA242" s="147"/>
      <c r="AB242" s="147"/>
      <c r="AC242" s="147"/>
      <c r="AE242" s="147">
        <f>SCH_D2.19!AD99</f>
        <v>-44738</v>
      </c>
    </row>
    <row r="243" spans="17:31">
      <c r="Q243" s="140">
        <f t="shared" si="6"/>
        <v>32</v>
      </c>
      <c r="S243" s="138" t="s">
        <v>317</v>
      </c>
      <c r="U243" s="148">
        <f>SUM(U241:U242)</f>
        <v>-44738</v>
      </c>
      <c r="W243" s="148">
        <f>SUM(W241:W242)</f>
        <v>0</v>
      </c>
      <c r="X243" s="147"/>
      <c r="Y243" s="148">
        <f>SUM(Y241:Y242)</f>
        <v>0</v>
      </c>
      <c r="Z243" s="147"/>
      <c r="AA243" s="148">
        <f>SUM(AA241:AA242)</f>
        <v>0</v>
      </c>
      <c r="AB243" s="147"/>
      <c r="AC243" s="148">
        <f>SUM(AC241:AC242)</f>
        <v>0</v>
      </c>
      <c r="AE243" s="148">
        <f>SUM(AE241:AE242)</f>
        <v>-44738</v>
      </c>
    </row>
    <row r="244" spans="17:31">
      <c r="Q244" s="140">
        <f t="shared" si="6"/>
        <v>33</v>
      </c>
      <c r="S244" s="138"/>
      <c r="U244" s="149"/>
      <c r="W244" s="150"/>
      <c r="X244" s="147"/>
      <c r="Y244" s="150"/>
      <c r="Z244" s="147"/>
      <c r="AA244" s="150"/>
      <c r="AB244" s="147"/>
      <c r="AC244" s="150"/>
      <c r="AE244" s="149"/>
    </row>
    <row r="245" spans="17:31">
      <c r="Q245" s="140">
        <f t="shared" si="6"/>
        <v>34</v>
      </c>
      <c r="S245" s="138" t="s">
        <v>318</v>
      </c>
    </row>
    <row r="246" spans="17:31">
      <c r="Q246" s="140">
        <f t="shared" si="6"/>
        <v>35</v>
      </c>
      <c r="S246" s="138" t="s">
        <v>1465</v>
      </c>
      <c r="U246" s="147">
        <f ca="1">SUM(W246:AE246)+SUM(U311:AE311)+SUM(U376:AE376)</f>
        <v>72366</v>
      </c>
      <c r="W246" s="147">
        <f ca="1">ROUND((W216-W236-W238-W243)*SIT*APPORT,0)</f>
        <v>29254</v>
      </c>
      <c r="X246" s="147"/>
      <c r="Y246" s="147">
        <f>ROUND((Y216-Y236-Y238-Y243)*SIT*APPORT,0)</f>
        <v>-5719</v>
      </c>
      <c r="Z246" s="147"/>
      <c r="AA246" s="147">
        <f>ROUND((AA216-AA236-AA238-AA243)*SIT*APPORT,0)</f>
        <v>-28689</v>
      </c>
      <c r="AB246" s="147"/>
      <c r="AC246" s="147">
        <f ca="1">SCH_D2.18!U61</f>
        <v>16168</v>
      </c>
      <c r="AE246" s="147">
        <f ca="1">SCH_D2.19!AX199</f>
        <v>12123</v>
      </c>
    </row>
    <row r="247" spans="17:31">
      <c r="Q247" s="140">
        <f t="shared" si="6"/>
        <v>36</v>
      </c>
      <c r="S247" s="138" t="s">
        <v>1017</v>
      </c>
      <c r="U247" s="147">
        <f ca="1">SUM(W247:AE247)+SUM(U312:AE312)+SUM(U377:AE377)</f>
        <v>46570</v>
      </c>
      <c r="W247" s="147"/>
      <c r="X247" s="147"/>
      <c r="Y247" s="147"/>
      <c r="Z247" s="147"/>
      <c r="AA247" s="147"/>
      <c r="AB247" s="147"/>
      <c r="AC247" s="147"/>
      <c r="AE247" s="147">
        <f ca="1">-SCH_D2.19!AO131</f>
        <v>-11312</v>
      </c>
    </row>
    <row r="248" spans="17:31">
      <c r="Q248" s="140">
        <f t="shared" si="6"/>
        <v>37</v>
      </c>
      <c r="S248" s="138" t="s">
        <v>323</v>
      </c>
      <c r="U248" s="148">
        <f ca="1">SUM(U246:U247)</f>
        <v>118936</v>
      </c>
      <c r="W248" s="148">
        <f ca="1">SUM(W246:W247)</f>
        <v>29254</v>
      </c>
      <c r="X248" s="147"/>
      <c r="Y248" s="148">
        <f>SUM(Y246:Y247)</f>
        <v>-5719</v>
      </c>
      <c r="Z248" s="147"/>
      <c r="AA248" s="148">
        <f>SUM(AA246:AA247)</f>
        <v>-28689</v>
      </c>
      <c r="AB248" s="147"/>
      <c r="AC248" s="148">
        <f ca="1">SUM(AC246:AC247)</f>
        <v>16168</v>
      </c>
      <c r="AE248" s="148">
        <f ca="1">SUM(AE246:AE247)</f>
        <v>811</v>
      </c>
    </row>
    <row r="249" spans="17:31">
      <c r="Q249" s="140">
        <f t="shared" si="6"/>
        <v>38</v>
      </c>
      <c r="U249" s="149"/>
      <c r="W249" s="149"/>
      <c r="X249" s="149"/>
      <c r="Y249" s="149"/>
      <c r="Z249" s="149"/>
      <c r="AA249" s="149"/>
      <c r="AB249" s="149"/>
      <c r="AC249" s="149"/>
      <c r="AE249" s="149"/>
    </row>
    <row r="250" spans="17:31">
      <c r="Q250" s="140">
        <f t="shared" si="6"/>
        <v>39</v>
      </c>
      <c r="S250" s="138" t="s">
        <v>14</v>
      </c>
    </row>
    <row r="251" spans="17:31">
      <c r="Q251" s="140">
        <f t="shared" si="6"/>
        <v>40</v>
      </c>
      <c r="S251" s="138" t="s">
        <v>1465</v>
      </c>
      <c r="U251" s="147">
        <f ca="1">SUM(W251:AE251)+SUM(U316:AE316)+SUM(U381:AE381)</f>
        <v>290671</v>
      </c>
      <c r="W251" s="147">
        <f ca="1">ROUND((W216-W236-W238-W243-W246)*FIT,0)</f>
        <v>117501</v>
      </c>
      <c r="X251" s="147"/>
      <c r="Y251" s="147">
        <f>ROUND((Y216-Y236-Y238-Y243-Y246)*FIT,0)</f>
        <v>-22970</v>
      </c>
      <c r="Z251" s="147"/>
      <c r="AA251" s="147">
        <f>ROUND((AA216-AA236-AA238-AA243-AA246)*FIT,0)</f>
        <v>-115234</v>
      </c>
      <c r="AB251" s="147"/>
      <c r="AC251" s="147">
        <f ca="1">SCH_D2.18!J28</f>
        <v>64943</v>
      </c>
      <c r="AE251" s="147">
        <f ca="1">SCH_D2.19!AX203</f>
        <v>48692</v>
      </c>
    </row>
    <row r="252" spans="17:31">
      <c r="Q252" s="140">
        <f t="shared" si="6"/>
        <v>41</v>
      </c>
      <c r="S252" s="138" t="s">
        <v>1017</v>
      </c>
      <c r="U252" s="147">
        <f ca="1">SUM(W252:AE252)+SUM(U317:AE317)+SUM(U382:AE382)</f>
        <v>187071</v>
      </c>
      <c r="W252" s="147"/>
      <c r="X252" s="147"/>
      <c r="Y252" s="147"/>
      <c r="Z252" s="147"/>
      <c r="AA252" s="147"/>
      <c r="AB252" s="147"/>
      <c r="AC252" s="147"/>
      <c r="AE252" s="147">
        <f ca="1">-SCH_D2.19!AO137</f>
        <v>-45422</v>
      </c>
    </row>
    <row r="253" spans="17:31">
      <c r="Q253" s="140">
        <f t="shared" si="6"/>
        <v>42</v>
      </c>
      <c r="S253" s="138" t="s">
        <v>1016</v>
      </c>
      <c r="U253" s="147">
        <f>SUM(W253:AE253)+SUM(U318:AE318)+SUM(U383:AE383)</f>
        <v>0</v>
      </c>
      <c r="W253" s="147"/>
      <c r="X253" s="147"/>
      <c r="Y253" s="147"/>
      <c r="Z253" s="147"/>
      <c r="AA253" s="147"/>
      <c r="AB253" s="147"/>
      <c r="AC253" s="147"/>
      <c r="AE253" s="147"/>
    </row>
    <row r="254" spans="17:31">
      <c r="Q254" s="140">
        <f t="shared" si="6"/>
        <v>43</v>
      </c>
      <c r="S254" s="138" t="s">
        <v>325</v>
      </c>
      <c r="U254" s="148">
        <f ca="1">SUM(U251:U253)</f>
        <v>477742</v>
      </c>
      <c r="W254" s="148">
        <f ca="1">SUM(W251:W253)</f>
        <v>117501</v>
      </c>
      <c r="X254" s="147"/>
      <c r="Y254" s="148">
        <f>SUM(Y251:Y253)</f>
        <v>-22970</v>
      </c>
      <c r="Z254" s="147"/>
      <c r="AA254" s="148">
        <f>SUM(AA251:AA253)</f>
        <v>-115234</v>
      </c>
      <c r="AB254" s="147"/>
      <c r="AC254" s="148">
        <f ca="1">SUM(AC251:AC253)</f>
        <v>64943</v>
      </c>
      <c r="AE254" s="148">
        <f ca="1">SUM(AE251:AE253)</f>
        <v>3270</v>
      </c>
    </row>
    <row r="255" spans="17:31">
      <c r="Q255" s="140">
        <f t="shared" si="6"/>
        <v>44</v>
      </c>
      <c r="U255" s="149"/>
      <c r="W255" s="149"/>
      <c r="X255" s="149"/>
      <c r="Y255" s="149"/>
      <c r="Z255" s="149"/>
      <c r="AA255" s="149"/>
      <c r="AB255" s="149"/>
      <c r="AC255" s="149"/>
      <c r="AE255" s="149"/>
    </row>
    <row r="256" spans="17:31">
      <c r="Q256" s="140">
        <f t="shared" si="6"/>
        <v>45</v>
      </c>
      <c r="S256" s="138" t="s">
        <v>326</v>
      </c>
      <c r="U256" s="151">
        <f ca="1">U236+U238+U243+U248+U254</f>
        <v>-609877</v>
      </c>
      <c r="W256" s="151">
        <f ca="1">W236+W238+W243+W248+W254</f>
        <v>-442026</v>
      </c>
      <c r="X256" s="147"/>
      <c r="Y256" s="151">
        <f>Y236+Y238+Y243+Y248+Y254</f>
        <v>86411</v>
      </c>
      <c r="Z256" s="147"/>
      <c r="AA256" s="151">
        <f>AA236+AA238+AA243+AA248+AA254</f>
        <v>433500</v>
      </c>
      <c r="AB256" s="147"/>
      <c r="AC256" s="151">
        <f ca="1">AC236+AC238+AC243+AC248+AC254</f>
        <v>81111</v>
      </c>
      <c r="AE256" s="151">
        <f ca="1">AE236+AE238+AE243+AE248+AE254</f>
        <v>-526322</v>
      </c>
    </row>
    <row r="257" spans="17:31">
      <c r="Q257" s="140">
        <f t="shared" si="6"/>
        <v>46</v>
      </c>
      <c r="U257" s="149"/>
      <c r="W257" s="149"/>
      <c r="X257" s="149"/>
      <c r="Y257" s="149"/>
      <c r="Z257" s="149"/>
      <c r="AA257" s="149"/>
      <c r="AB257" s="149"/>
      <c r="AC257" s="149"/>
      <c r="AE257" s="149"/>
    </row>
    <row r="258" spans="17:31" ht="15.6" thickBot="1">
      <c r="Q258" s="140">
        <f t="shared" si="6"/>
        <v>47</v>
      </c>
      <c r="S258" s="138" t="s">
        <v>1533</v>
      </c>
      <c r="U258" s="157">
        <f ca="1">U216-U256</f>
        <v>1471717</v>
      </c>
      <c r="W258" s="157">
        <f ca="1">W216-W256</f>
        <v>442026</v>
      </c>
      <c r="X258" s="147"/>
      <c r="Y258" s="157">
        <f>Y216-Y256</f>
        <v>-86411</v>
      </c>
      <c r="Z258" s="147"/>
      <c r="AA258" s="157">
        <f>AA216-AA256</f>
        <v>-433500</v>
      </c>
      <c r="AB258" s="147"/>
      <c r="AC258" s="157">
        <f ca="1">AC216-AC256</f>
        <v>-81111</v>
      </c>
      <c r="AE258" s="157">
        <f ca="1">AE216-AE256</f>
        <v>12230</v>
      </c>
    </row>
    <row r="259" spans="17:31" ht="15.6" thickTop="1">
      <c r="U259" s="1027">
        <f t="shared" ref="U259:AE259" ca="1" si="8">ROUND((U248+U254)/(U258+U248+U254),4)</f>
        <v>0.28849999999999998</v>
      </c>
      <c r="V259" s="1027" t="e">
        <f t="shared" si="8"/>
        <v>#DIV/0!</v>
      </c>
      <c r="W259" s="1027">
        <f t="shared" ca="1" si="8"/>
        <v>0.24929999999999999</v>
      </c>
      <c r="X259" s="1027" t="e">
        <f t="shared" si="8"/>
        <v>#DIV/0!</v>
      </c>
      <c r="Y259" s="1027">
        <f t="shared" si="8"/>
        <v>0.24929999999999999</v>
      </c>
      <c r="Z259" s="1027" t="e">
        <f t="shared" si="8"/>
        <v>#DIV/0!</v>
      </c>
      <c r="AA259" s="1027">
        <f t="shared" si="8"/>
        <v>0.24929999999999999</v>
      </c>
      <c r="AB259" s="1027" t="e">
        <f t="shared" si="8"/>
        <v>#DIV/0!</v>
      </c>
      <c r="AC259" s="1027" t="e">
        <f t="shared" ca="1" si="8"/>
        <v>#DIV/0!</v>
      </c>
      <c r="AD259" s="1027" t="e">
        <f t="shared" si="8"/>
        <v>#DIV/0!</v>
      </c>
      <c r="AE259" s="1027">
        <f t="shared" ca="1" si="8"/>
        <v>0.25019999999999998</v>
      </c>
    </row>
    <row r="260" spans="17:31">
      <c r="Q260" s="138"/>
    </row>
    <row r="261" spans="17:31">
      <c r="Q261" s="131" t="str">
        <f>COMPANY</f>
        <v>DUKE ENERGY KENTUCKY, INC.</v>
      </c>
      <c r="R261" s="132"/>
      <c r="S261" s="132"/>
      <c r="T261" s="132"/>
      <c r="U261" s="132"/>
      <c r="V261" s="132"/>
      <c r="W261" s="132"/>
      <c r="X261" s="132"/>
      <c r="Y261" s="132"/>
      <c r="Z261" s="132"/>
      <c r="AA261" s="132"/>
      <c r="AB261" s="132"/>
      <c r="AC261" s="132"/>
      <c r="AD261" s="132"/>
      <c r="AE261" s="132"/>
    </row>
    <row r="262" spans="17:31">
      <c r="Q262" s="131" t="str">
        <f>CASE</f>
        <v>CASE NO. 2018-00261</v>
      </c>
      <c r="R262" s="132"/>
      <c r="S262" s="132"/>
      <c r="T262" s="132"/>
      <c r="U262" s="134"/>
      <c r="V262" s="134"/>
      <c r="W262" s="132"/>
      <c r="X262" s="132"/>
      <c r="Y262" s="132"/>
      <c r="Z262" s="132"/>
      <c r="AA262" s="132"/>
      <c r="AB262" s="132"/>
      <c r="AC262" s="132"/>
      <c r="AD262" s="132"/>
      <c r="AE262" s="132"/>
    </row>
    <row r="263" spans="17:31">
      <c r="Q263" s="135" t="str">
        <f>$AG$395</f>
        <v>SUMMARY OF UTILITY JURISDICTIONAL ADJUSTMENTS TO</v>
      </c>
      <c r="R263" s="132"/>
      <c r="S263" s="132"/>
      <c r="T263" s="132"/>
      <c r="U263" s="132"/>
      <c r="V263" s="132"/>
      <c r="W263" s="132"/>
      <c r="X263" s="132"/>
      <c r="Y263" s="132"/>
      <c r="Z263" s="132"/>
      <c r="AA263" s="132"/>
      <c r="AB263" s="132"/>
      <c r="AC263" s="132"/>
      <c r="AD263" s="132"/>
      <c r="AE263" s="132"/>
    </row>
    <row r="264" spans="17:31">
      <c r="Q264" s="135" t="str">
        <f>$AG$396</f>
        <v>OPERATING INCOME BY MAJOR ACCOUNTS</v>
      </c>
      <c r="R264" s="132"/>
      <c r="S264" s="132"/>
      <c r="T264" s="132"/>
      <c r="U264" s="132"/>
      <c r="V264" s="132"/>
      <c r="W264" s="132"/>
      <c r="X264" s="132"/>
      <c r="Y264" s="132"/>
      <c r="Z264" s="132"/>
      <c r="AA264" s="132"/>
      <c r="AB264" s="132"/>
      <c r="AC264" s="132"/>
      <c r="AD264" s="132"/>
      <c r="AE264" s="132"/>
    </row>
    <row r="265" spans="17:31" ht="15.6">
      <c r="Q265" s="709" t="str">
        <f>Q200</f>
        <v>PRO FORMA ADJUSTMENTS TO THE FORECASTED PERIOD</v>
      </c>
      <c r="R265" s="132"/>
      <c r="S265" s="132"/>
      <c r="T265" s="132"/>
      <c r="U265" s="132"/>
      <c r="V265" s="132"/>
      <c r="W265" s="132"/>
      <c r="X265" s="132"/>
      <c r="Y265" s="132"/>
      <c r="Z265" s="132"/>
      <c r="AA265" s="132"/>
      <c r="AB265" s="132"/>
      <c r="AC265" s="132"/>
      <c r="AD265" s="132"/>
      <c r="AE265" s="132"/>
    </row>
    <row r="266" spans="17:31">
      <c r="Q266" s="131" t="str">
        <f>PeriodF</f>
        <v>FOR THE TWELVE MONTHS ENDED MARCH 31, 2020</v>
      </c>
      <c r="R266" s="132"/>
      <c r="S266" s="132"/>
      <c r="T266" s="132"/>
      <c r="U266" s="132"/>
      <c r="V266" s="132"/>
      <c r="W266" s="132"/>
      <c r="X266" s="132"/>
      <c r="Y266" s="132"/>
      <c r="Z266" s="132"/>
      <c r="AA266" s="132"/>
      <c r="AB266" s="132"/>
      <c r="AC266" s="132"/>
      <c r="AD266" s="132"/>
      <c r="AE266" s="132"/>
    </row>
    <row r="267" spans="17:31">
      <c r="T267" s="136"/>
    </row>
    <row r="268" spans="17:31">
      <c r="Q268" s="136" t="str">
        <f>DataF</f>
        <v>DATA:  BASE PERIOD  "X" FORECASTED PERIOD</v>
      </c>
      <c r="AC268" s="137" t="s">
        <v>1570</v>
      </c>
      <c r="AD268" s="138"/>
      <c r="AE268" s="138"/>
    </row>
    <row r="269" spans="17:31">
      <c r="Q269" s="136" t="str">
        <f>Type</f>
        <v xml:space="preserve">TYPE OF FILING:  "X" ORIGINAL   UPDATED    REVISED  </v>
      </c>
      <c r="AC269" s="138" t="s">
        <v>1799</v>
      </c>
      <c r="AD269" s="138"/>
      <c r="AE269" s="138"/>
    </row>
    <row r="270" spans="17:31">
      <c r="Q270" s="138" t="s">
        <v>565</v>
      </c>
      <c r="AC270" s="137" t="s">
        <v>1571</v>
      </c>
      <c r="AD270" s="138"/>
      <c r="AE270" s="138"/>
    </row>
    <row r="271" spans="17:31">
      <c r="AC271" s="138" t="str">
        <f>"          "&amp;_WIT1</f>
        <v xml:space="preserve">          S. E. LAWLER</v>
      </c>
      <c r="AD271" s="138"/>
      <c r="AE271" s="138"/>
    </row>
    <row r="272" spans="17:31">
      <c r="Q272" s="139"/>
      <c r="R272" s="139"/>
      <c r="S272" s="139"/>
      <c r="T272" s="139"/>
      <c r="U272" s="139"/>
      <c r="V272" s="139"/>
      <c r="W272" s="139"/>
      <c r="X272" s="139"/>
      <c r="Y272" s="144"/>
      <c r="Z272" s="144"/>
      <c r="AA272" s="144"/>
      <c r="AB272" s="139"/>
      <c r="AC272" s="139"/>
      <c r="AD272" s="139"/>
      <c r="AE272" s="139"/>
    </row>
    <row r="273" spans="17:31">
      <c r="U273" s="2820" t="s">
        <v>2966</v>
      </c>
      <c r="V273" s="595"/>
      <c r="W273" s="2820" t="s">
        <v>924</v>
      </c>
      <c r="X273" s="141"/>
      <c r="Y273" s="595" t="s">
        <v>1903</v>
      </c>
      <c r="AA273" s="140"/>
      <c r="AB273" s="140"/>
      <c r="AC273" s="686" t="s">
        <v>1903</v>
      </c>
      <c r="AD273" s="140"/>
    </row>
    <row r="274" spans="17:31">
      <c r="Q274" s="138" t="s">
        <v>567</v>
      </c>
      <c r="U274" s="1221" t="s">
        <v>2967</v>
      </c>
      <c r="V274" s="140"/>
      <c r="W274" s="1221" t="s">
        <v>3001</v>
      </c>
      <c r="X274" s="141"/>
      <c r="Y274" s="161" t="s">
        <v>779</v>
      </c>
      <c r="Z274" s="140"/>
      <c r="AA274" s="161" t="s">
        <v>1121</v>
      </c>
      <c r="AB274" s="140"/>
      <c r="AC274" s="1221" t="s">
        <v>2287</v>
      </c>
      <c r="AD274" s="140"/>
      <c r="AE274" s="1221" t="s">
        <v>1572</v>
      </c>
    </row>
    <row r="275" spans="17:31">
      <c r="Q275" s="143" t="s">
        <v>766</v>
      </c>
      <c r="R275" s="144"/>
      <c r="S275" s="143" t="s">
        <v>1581</v>
      </c>
      <c r="T275" s="139"/>
      <c r="U275" s="1189" t="s">
        <v>2175</v>
      </c>
      <c r="V275" s="143"/>
      <c r="W275" s="1189" t="s">
        <v>3002</v>
      </c>
      <c r="X275" s="139"/>
      <c r="Y275" s="143" t="s">
        <v>2175</v>
      </c>
      <c r="Z275" s="143"/>
      <c r="AA275" s="143" t="s">
        <v>332</v>
      </c>
      <c r="AB275" s="143"/>
      <c r="AC275" s="1189" t="s">
        <v>2288</v>
      </c>
      <c r="AD275" s="594"/>
      <c r="AE275" s="1189" t="s">
        <v>687</v>
      </c>
    </row>
    <row r="276" spans="17:31">
      <c r="Q276" s="144"/>
      <c r="R276" s="144"/>
      <c r="S276" s="587" t="s">
        <v>1055</v>
      </c>
      <c r="T276" s="144"/>
      <c r="U276" s="143" t="s">
        <v>1917</v>
      </c>
      <c r="V276" s="717"/>
      <c r="W276" s="143" t="s">
        <v>1918</v>
      </c>
      <c r="X276" s="143"/>
      <c r="Y276" s="143" t="s">
        <v>1919</v>
      </c>
      <c r="Z276" s="143"/>
      <c r="AA276" s="143" t="s">
        <v>1920</v>
      </c>
      <c r="AB276" s="143"/>
      <c r="AC276" s="143" t="s">
        <v>109</v>
      </c>
      <c r="AD276" s="717"/>
      <c r="AE276" s="143" t="s">
        <v>1524</v>
      </c>
    </row>
    <row r="277" spans="17:31" ht="15.6">
      <c r="Q277" s="140">
        <v>1</v>
      </c>
      <c r="R277" s="159" t="s">
        <v>1849</v>
      </c>
      <c r="AD277" s="687"/>
    </row>
    <row r="278" spans="17:31">
      <c r="Q278" s="140">
        <f>1+Q277</f>
        <v>2</v>
      </c>
      <c r="S278" s="138" t="s">
        <v>1850</v>
      </c>
      <c r="U278" s="147"/>
      <c r="V278" s="147"/>
      <c r="W278" s="147"/>
      <c r="X278" s="147"/>
      <c r="Y278" s="147"/>
      <c r="Z278" s="147"/>
      <c r="AA278" s="147"/>
      <c r="AB278" s="147"/>
      <c r="AC278" s="147">
        <f>SCH_D2.24!J20</f>
        <v>-309531</v>
      </c>
      <c r="AD278" s="150"/>
      <c r="AE278" s="147">
        <f>SCH_D2.25!J26</f>
        <v>1766010</v>
      </c>
    </row>
    <row r="279" spans="17:31">
      <c r="Q279" s="140">
        <f t="shared" ref="Q279:Q323" si="9">1+Q278</f>
        <v>3</v>
      </c>
      <c r="S279" s="138" t="s">
        <v>1851</v>
      </c>
      <c r="U279" s="147"/>
      <c r="V279" s="147"/>
      <c r="W279" s="147"/>
      <c r="X279" s="147"/>
      <c r="Y279" s="147"/>
      <c r="Z279" s="147"/>
      <c r="AA279" s="147"/>
      <c r="AB279" s="147"/>
      <c r="AC279" s="147">
        <f>SCH_D2.24!J21</f>
        <v>-80547</v>
      </c>
      <c r="AD279" s="150"/>
      <c r="AE279" s="147"/>
    </row>
    <row r="280" spans="17:31">
      <c r="Q280" s="140">
        <f t="shared" si="9"/>
        <v>4</v>
      </c>
      <c r="S280" s="138" t="s">
        <v>1852</v>
      </c>
      <c r="U280" s="147"/>
      <c r="V280" s="147"/>
      <c r="W280" s="147"/>
      <c r="X280" s="147"/>
      <c r="Y280" s="147"/>
      <c r="Z280" s="147"/>
      <c r="AA280" s="147"/>
      <c r="AB280" s="147"/>
      <c r="AC280" s="147"/>
      <c r="AD280" s="150"/>
      <c r="AE280" s="147"/>
    </row>
    <row r="281" spans="17:31">
      <c r="Q281" s="140">
        <f t="shared" si="9"/>
        <v>5</v>
      </c>
      <c r="S281" s="138" t="s">
        <v>339</v>
      </c>
      <c r="U281" s="148">
        <f>SUM(U278:U280)</f>
        <v>0</v>
      </c>
      <c r="V281" s="147"/>
      <c r="W281" s="148">
        <f>SUM(W278:W280)</f>
        <v>0</v>
      </c>
      <c r="X281" s="147"/>
      <c r="Y281" s="148">
        <f>SUM(Y278:Y280)</f>
        <v>0</v>
      </c>
      <c r="Z281" s="147"/>
      <c r="AA281" s="148">
        <f>SUM(AA278:AA280)</f>
        <v>0</v>
      </c>
      <c r="AB281" s="147"/>
      <c r="AC281" s="148">
        <f>SUM(AC278:AC280)</f>
        <v>-390078</v>
      </c>
      <c r="AD281" s="150"/>
      <c r="AE281" s="148">
        <f>SUM(AE278:AE280)</f>
        <v>1766010</v>
      </c>
    </row>
    <row r="282" spans="17:31">
      <c r="Q282" s="140">
        <f t="shared" si="9"/>
        <v>6</v>
      </c>
      <c r="U282" s="149"/>
      <c r="V282" s="149"/>
      <c r="W282" s="149"/>
      <c r="X282" s="149"/>
      <c r="Y282" s="149"/>
      <c r="Z282" s="149"/>
      <c r="AA282" s="149"/>
      <c r="AB282" s="149"/>
      <c r="AC282" s="149"/>
      <c r="AD282" s="705"/>
      <c r="AE282" s="149"/>
    </row>
    <row r="283" spans="17:31" ht="15.6">
      <c r="Q283" s="140">
        <f t="shared" si="9"/>
        <v>7</v>
      </c>
      <c r="R283" s="159" t="s">
        <v>1136</v>
      </c>
      <c r="AD283" s="687"/>
    </row>
    <row r="284" spans="17:31">
      <c r="Q284" s="140">
        <f t="shared" si="9"/>
        <v>8</v>
      </c>
      <c r="S284" s="138" t="s">
        <v>1854</v>
      </c>
      <c r="AD284" s="687"/>
    </row>
    <row r="285" spans="17:31">
      <c r="Q285" s="140">
        <f t="shared" si="9"/>
        <v>9</v>
      </c>
      <c r="S285" s="138" t="s">
        <v>340</v>
      </c>
      <c r="AD285" s="687"/>
    </row>
    <row r="286" spans="17:31">
      <c r="Q286" s="140">
        <f t="shared" si="9"/>
        <v>10</v>
      </c>
      <c r="S286" s="138" t="s">
        <v>1856</v>
      </c>
      <c r="U286" s="147"/>
      <c r="V286" s="147"/>
      <c r="W286" s="147"/>
      <c r="X286" s="147"/>
      <c r="Y286" s="147"/>
      <c r="Z286" s="147"/>
      <c r="AA286" s="147"/>
      <c r="AB286" s="147"/>
      <c r="AC286" s="147"/>
      <c r="AD286" s="150"/>
      <c r="AE286" s="147"/>
    </row>
    <row r="287" spans="17:31">
      <c r="Q287" s="140">
        <f t="shared" si="9"/>
        <v>11</v>
      </c>
      <c r="S287" s="138" t="s">
        <v>700</v>
      </c>
      <c r="U287" s="147"/>
      <c r="V287" s="147"/>
      <c r="W287" s="147"/>
      <c r="X287" s="147"/>
      <c r="Y287" s="147"/>
      <c r="Z287" s="147"/>
      <c r="AA287" s="147"/>
      <c r="AB287" s="147"/>
      <c r="AC287" s="147"/>
      <c r="AD287" s="150"/>
      <c r="AE287" s="147"/>
    </row>
    <row r="288" spans="17:31">
      <c r="Q288" s="140">
        <f t="shared" si="9"/>
        <v>12</v>
      </c>
      <c r="S288" s="138" t="s">
        <v>1857</v>
      </c>
      <c r="U288" s="148">
        <f>SUM(U286:U287)</f>
        <v>0</v>
      </c>
      <c r="V288" s="147"/>
      <c r="W288" s="148">
        <f>SUM(W286:W287)</f>
        <v>0</v>
      </c>
      <c r="X288" s="147"/>
      <c r="Y288" s="148">
        <f>SUM(Y286:Y287)</f>
        <v>0</v>
      </c>
      <c r="Z288" s="147"/>
      <c r="AA288" s="148">
        <f>SUM(AA286:AA287)</f>
        <v>0</v>
      </c>
      <c r="AB288" s="147"/>
      <c r="AC288" s="148">
        <f>SUM(AC286:AC287)</f>
        <v>0</v>
      </c>
      <c r="AD288" s="150"/>
      <c r="AE288" s="148">
        <f>SUM(AE286:AE287)</f>
        <v>0</v>
      </c>
    </row>
    <row r="289" spans="17:31">
      <c r="Q289" s="140">
        <f t="shared" si="9"/>
        <v>13</v>
      </c>
      <c r="U289" s="149"/>
      <c r="V289" s="149"/>
      <c r="W289" s="149"/>
      <c r="X289" s="149"/>
      <c r="Y289" s="149"/>
      <c r="Z289" s="149"/>
      <c r="AA289" s="149"/>
      <c r="AB289" s="149"/>
      <c r="AC289" s="149"/>
      <c r="AD289" s="705"/>
      <c r="AE289" s="149"/>
    </row>
    <row r="290" spans="17:31">
      <c r="Q290" s="140">
        <f t="shared" si="9"/>
        <v>14</v>
      </c>
      <c r="S290" s="138" t="s">
        <v>1858</v>
      </c>
      <c r="U290" s="150"/>
      <c r="V290" s="147"/>
      <c r="W290" s="150"/>
      <c r="X290" s="147"/>
      <c r="Y290" s="150"/>
      <c r="Z290" s="147"/>
      <c r="AA290" s="150"/>
      <c r="AB290" s="147"/>
      <c r="AC290" s="150"/>
      <c r="AD290" s="150"/>
      <c r="AE290" s="150"/>
    </row>
    <row r="291" spans="17:31">
      <c r="Q291" s="140">
        <f t="shared" si="9"/>
        <v>15</v>
      </c>
      <c r="S291" s="138" t="s">
        <v>1859</v>
      </c>
      <c r="U291" s="150"/>
      <c r="V291" s="147"/>
      <c r="W291" s="150"/>
      <c r="X291" s="147"/>
      <c r="Y291" s="150"/>
      <c r="Z291" s="147"/>
      <c r="AA291" s="150"/>
      <c r="AB291" s="147"/>
      <c r="AC291" s="147">
        <f>SCH_D2.24!J35</f>
        <v>-80549</v>
      </c>
      <c r="AD291" s="150"/>
      <c r="AE291" s="147"/>
    </row>
    <row r="292" spans="17:31">
      <c r="Q292" s="140">
        <f t="shared" si="9"/>
        <v>16</v>
      </c>
      <c r="S292" s="138" t="s">
        <v>700</v>
      </c>
      <c r="U292" s="150"/>
      <c r="V292" s="147"/>
      <c r="W292" s="150"/>
      <c r="X292" s="147"/>
      <c r="Y292" s="150"/>
      <c r="Z292" s="147"/>
      <c r="AA292" s="150"/>
      <c r="AB292" s="147"/>
      <c r="AC292" s="150"/>
      <c r="AD292" s="150"/>
      <c r="AE292" s="150"/>
    </row>
    <row r="293" spans="17:31">
      <c r="Q293" s="140">
        <f t="shared" si="9"/>
        <v>17</v>
      </c>
      <c r="S293" s="138" t="s">
        <v>1860</v>
      </c>
      <c r="U293" s="148">
        <f>SUM(U291:U292)</f>
        <v>0</v>
      </c>
      <c r="V293" s="147"/>
      <c r="W293" s="148">
        <f>SUM(W291:W292)</f>
        <v>0</v>
      </c>
      <c r="X293" s="147"/>
      <c r="Y293" s="148">
        <f>SUM(Y291:Y292)</f>
        <v>0</v>
      </c>
      <c r="Z293" s="147"/>
      <c r="AA293" s="148">
        <f>SUM(AA291:AA292)</f>
        <v>0</v>
      </c>
      <c r="AB293" s="147"/>
      <c r="AC293" s="148">
        <f>SUM(AC291:AC292)</f>
        <v>-80549</v>
      </c>
      <c r="AD293" s="150"/>
      <c r="AE293" s="148">
        <f>SUM(AE291:AE292)</f>
        <v>0</v>
      </c>
    </row>
    <row r="294" spans="17:31">
      <c r="Q294" s="140">
        <f t="shared" si="9"/>
        <v>18</v>
      </c>
      <c r="S294" s="138" t="s">
        <v>1459</v>
      </c>
      <c r="U294" s="149"/>
      <c r="V294" s="149"/>
      <c r="W294" s="149"/>
      <c r="X294" s="149"/>
      <c r="Y294" s="149"/>
      <c r="Z294" s="149"/>
      <c r="AA294" s="149"/>
      <c r="AB294" s="149"/>
      <c r="AC294" s="149"/>
      <c r="AD294" s="705"/>
      <c r="AE294" s="149"/>
    </row>
    <row r="295" spans="17:31">
      <c r="Q295" s="140">
        <f t="shared" si="9"/>
        <v>19</v>
      </c>
      <c r="S295" s="138" t="s">
        <v>341</v>
      </c>
      <c r="U295" s="147">
        <f>SCH_D2.20!J25</f>
        <v>1065488</v>
      </c>
      <c r="V295" s="147"/>
      <c r="W295" s="147"/>
      <c r="X295" s="147"/>
      <c r="Y295" s="147"/>
      <c r="Z295" s="147"/>
      <c r="AA295" s="147"/>
      <c r="AB295" s="147"/>
      <c r="AC295" s="147"/>
      <c r="AD295" s="150"/>
      <c r="AE295" s="147"/>
    </row>
    <row r="296" spans="17:31">
      <c r="Q296" s="140">
        <f t="shared" si="9"/>
        <v>20</v>
      </c>
      <c r="S296" s="138" t="s">
        <v>342</v>
      </c>
      <c r="U296" s="147"/>
      <c r="V296" s="147"/>
      <c r="W296" s="147"/>
      <c r="X296" s="147"/>
      <c r="Y296" s="147">
        <f>SCH_D2.22!J20</f>
        <v>-19734</v>
      </c>
      <c r="Z296" s="147"/>
      <c r="AA296" s="147"/>
      <c r="AB296" s="147"/>
      <c r="AC296" s="147"/>
      <c r="AD296" s="150"/>
      <c r="AE296" s="147"/>
    </row>
    <row r="297" spans="17:31">
      <c r="Q297" s="140">
        <f t="shared" si="9"/>
        <v>21</v>
      </c>
      <c r="S297" s="138" t="s">
        <v>343</v>
      </c>
      <c r="U297" s="147"/>
      <c r="V297" s="147"/>
      <c r="W297" s="147"/>
      <c r="X297" s="147"/>
      <c r="Y297" s="147">
        <f>SCH_D2.22!J21</f>
        <v>-20595</v>
      </c>
      <c r="Z297" s="147"/>
      <c r="AA297" s="147"/>
      <c r="AB297" s="147"/>
      <c r="AC297" s="147"/>
      <c r="AD297" s="150"/>
      <c r="AE297" s="147"/>
    </row>
    <row r="298" spans="17:31">
      <c r="Q298" s="140">
        <f t="shared" si="9"/>
        <v>22</v>
      </c>
      <c r="S298" s="138" t="s">
        <v>344</v>
      </c>
      <c r="U298" s="147"/>
      <c r="V298" s="147"/>
      <c r="W298" s="147"/>
      <c r="X298" s="147"/>
      <c r="Y298" s="147">
        <f>SCH_D2.22!J22</f>
        <v>-6339</v>
      </c>
      <c r="Z298" s="147"/>
      <c r="AA298" s="147"/>
      <c r="AB298" s="147"/>
      <c r="AC298" s="147"/>
      <c r="AD298" s="150"/>
      <c r="AE298" s="147"/>
    </row>
    <row r="299" spans="17:31">
      <c r="Q299" s="140">
        <f t="shared" si="9"/>
        <v>23</v>
      </c>
      <c r="S299" s="138" t="s">
        <v>345</v>
      </c>
      <c r="U299" s="147"/>
      <c r="V299" s="147"/>
      <c r="W299" s="147"/>
      <c r="X299" s="147"/>
      <c r="Y299" s="147">
        <f>SCH_D2.22!J23</f>
        <v>-322075</v>
      </c>
      <c r="Z299" s="147"/>
      <c r="AA299" s="147"/>
      <c r="AB299" s="147"/>
      <c r="AC299" s="147"/>
      <c r="AD299" s="150"/>
      <c r="AE299" s="147"/>
    </row>
    <row r="300" spans="17:31">
      <c r="Q300" s="140">
        <f t="shared" si="9"/>
        <v>24</v>
      </c>
      <c r="S300" s="138" t="s">
        <v>1554</v>
      </c>
      <c r="U300" s="147"/>
      <c r="V300" s="147"/>
      <c r="W300" s="147">
        <f>SCH_D2.21!I26</f>
        <v>-34380</v>
      </c>
      <c r="X300" s="147"/>
      <c r="Y300" s="147"/>
      <c r="Z300" s="147"/>
      <c r="AA300" s="147"/>
      <c r="AB300" s="147"/>
      <c r="AC300" s="147"/>
      <c r="AD300" s="150"/>
      <c r="AE300" s="147"/>
    </row>
    <row r="301" spans="17:31">
      <c r="Q301" s="140">
        <f t="shared" si="9"/>
        <v>25</v>
      </c>
      <c r="S301" s="138" t="s">
        <v>313</v>
      </c>
      <c r="U301" s="148">
        <f>U288+U293+SUM(U294:U300)</f>
        <v>1065488</v>
      </c>
      <c r="V301" s="147"/>
      <c r="W301" s="148">
        <f>W288+W293+SUM(W294:W300)</f>
        <v>-34380</v>
      </c>
      <c r="X301" s="147"/>
      <c r="Y301" s="148">
        <f>Y288+Y293+SUM(Y294:Y300)</f>
        <v>-368743</v>
      </c>
      <c r="Z301" s="147"/>
      <c r="AA301" s="148">
        <f>AA288+AA293+SUM(AA294:AA300)</f>
        <v>0</v>
      </c>
      <c r="AB301" s="147"/>
      <c r="AC301" s="148">
        <f>AC288+AC293+SUM(AC294:AC300)</f>
        <v>-80549</v>
      </c>
      <c r="AD301" s="150"/>
      <c r="AE301" s="148">
        <f>AE288+AE293+SUM(AE294:AE300)</f>
        <v>0</v>
      </c>
    </row>
    <row r="302" spans="17:31">
      <c r="Q302" s="140">
        <f t="shared" si="9"/>
        <v>26</v>
      </c>
      <c r="U302" s="149"/>
      <c r="V302" s="149"/>
      <c r="W302" s="149"/>
      <c r="X302" s="149"/>
      <c r="Y302" s="149"/>
      <c r="Z302" s="149"/>
      <c r="AA302" s="149"/>
      <c r="AB302" s="149"/>
      <c r="AC302" s="149"/>
      <c r="AD302" s="705"/>
      <c r="AE302" s="149"/>
    </row>
    <row r="303" spans="17:31">
      <c r="Q303" s="140">
        <f t="shared" si="9"/>
        <v>27</v>
      </c>
      <c r="S303" s="138" t="s">
        <v>1901</v>
      </c>
      <c r="U303" s="151"/>
      <c r="V303" s="147"/>
      <c r="W303" s="151"/>
      <c r="X303" s="147"/>
      <c r="Y303" s="151"/>
      <c r="Z303" s="147"/>
      <c r="AA303" s="151">
        <f ca="1">SCH_D2.23!J27</f>
        <v>-1084440</v>
      </c>
      <c r="AB303" s="147"/>
      <c r="AC303" s="151"/>
      <c r="AD303" s="150"/>
      <c r="AE303" s="151"/>
    </row>
    <row r="304" spans="17:31">
      <c r="Q304" s="140">
        <f t="shared" si="9"/>
        <v>28</v>
      </c>
      <c r="U304" s="149"/>
      <c r="V304" s="149"/>
      <c r="W304" s="149"/>
      <c r="X304" s="149"/>
      <c r="Y304" s="149"/>
      <c r="Z304" s="149"/>
      <c r="AA304" s="149"/>
      <c r="AB304" s="149"/>
      <c r="AC304" s="149"/>
      <c r="AD304" s="705"/>
      <c r="AE304" s="149"/>
    </row>
    <row r="305" spans="17:31">
      <c r="Q305" s="140">
        <f t="shared" si="9"/>
        <v>29</v>
      </c>
      <c r="S305" s="138" t="s">
        <v>491</v>
      </c>
      <c r="AD305" s="687"/>
    </row>
    <row r="306" spans="17:31">
      <c r="Q306" s="140">
        <f t="shared" si="9"/>
        <v>30</v>
      </c>
      <c r="S306" s="138" t="s">
        <v>1285</v>
      </c>
      <c r="U306" s="147"/>
      <c r="V306" s="147"/>
      <c r="W306" s="147"/>
      <c r="X306" s="147"/>
      <c r="Y306" s="147"/>
      <c r="Z306" s="147"/>
      <c r="AA306" s="147"/>
      <c r="AB306" s="147"/>
      <c r="AC306" s="147"/>
      <c r="AD306" s="150"/>
      <c r="AE306" s="147"/>
    </row>
    <row r="307" spans="17:31">
      <c r="Q307" s="140">
        <f t="shared" si="9"/>
        <v>31</v>
      </c>
      <c r="S307" s="138" t="s">
        <v>1287</v>
      </c>
      <c r="U307" s="147"/>
      <c r="V307" s="147"/>
      <c r="W307" s="147"/>
      <c r="X307" s="147"/>
      <c r="Y307" s="147"/>
      <c r="Z307" s="147"/>
      <c r="AA307" s="147"/>
      <c r="AB307" s="147"/>
      <c r="AC307" s="147"/>
      <c r="AD307" s="150"/>
      <c r="AE307" s="147"/>
    </row>
    <row r="308" spans="17:31">
      <c r="Q308" s="140">
        <f t="shared" si="9"/>
        <v>32</v>
      </c>
      <c r="S308" s="138" t="s">
        <v>317</v>
      </c>
      <c r="U308" s="148">
        <f>SUM(U306:U307)</f>
        <v>0</v>
      </c>
      <c r="V308" s="147"/>
      <c r="W308" s="148">
        <f>SUM(W306:W307)</f>
        <v>0</v>
      </c>
      <c r="X308" s="147"/>
      <c r="Y308" s="148">
        <f>SUM(Y306:Y307)</f>
        <v>0</v>
      </c>
      <c r="Z308" s="147"/>
      <c r="AA308" s="148">
        <f>SUM(AA306:AA307)</f>
        <v>0</v>
      </c>
      <c r="AB308" s="147"/>
      <c r="AC308" s="148">
        <f>SUM(AC306:AC307)</f>
        <v>0</v>
      </c>
      <c r="AD308" s="150"/>
      <c r="AE308" s="148">
        <f>SUM(AE306:AE307)</f>
        <v>0</v>
      </c>
    </row>
    <row r="309" spans="17:31">
      <c r="Q309" s="140">
        <f t="shared" si="9"/>
        <v>33</v>
      </c>
      <c r="S309" s="138"/>
      <c r="U309" s="149"/>
      <c r="V309" s="149"/>
      <c r="W309" s="149"/>
      <c r="X309" s="147"/>
      <c r="Y309" s="150"/>
      <c r="Z309" s="147"/>
      <c r="AA309" s="150"/>
      <c r="AB309" s="147"/>
      <c r="AC309" s="150"/>
      <c r="AD309" s="150"/>
      <c r="AE309" s="150"/>
    </row>
    <row r="310" spans="17:31">
      <c r="Q310" s="140">
        <f t="shared" si="9"/>
        <v>34</v>
      </c>
      <c r="S310" s="138" t="s">
        <v>318</v>
      </c>
      <c r="AD310" s="687"/>
    </row>
    <row r="311" spans="17:31">
      <c r="Q311" s="140">
        <f t="shared" si="9"/>
        <v>35</v>
      </c>
      <c r="S311" s="138" t="s">
        <v>1465</v>
      </c>
      <c r="U311" s="147">
        <f>ROUND((U281-U301-U303-U308)*SIT*APPORT,0)</f>
        <v>-52939</v>
      </c>
      <c r="V311" s="147"/>
      <c r="W311" s="147">
        <f>ROUND((W281-W301-W303-W308)*SIT*APPORT,0)</f>
        <v>1708</v>
      </c>
      <c r="X311" s="147"/>
      <c r="Y311" s="147">
        <f>ROUND((Y281-Y301-Y303-Y308)*SIT*APPORT,0)</f>
        <v>18321</v>
      </c>
      <c r="Z311" s="147"/>
      <c r="AA311" s="3077">
        <v>0</v>
      </c>
      <c r="AB311" s="147"/>
      <c r="AC311" s="147">
        <f>ROUND((AC281-AC303-AC308)*SIT*APPORT,0)</f>
        <v>-19381</v>
      </c>
      <c r="AD311" s="150"/>
      <c r="AE311" s="147">
        <f>ROUND((AE281-AE301-AE303-AE308)*SIT*APPORT,0)</f>
        <v>87744</v>
      </c>
    </row>
    <row r="312" spans="17:31">
      <c r="Q312" s="140">
        <f t="shared" si="9"/>
        <v>36</v>
      </c>
      <c r="S312" s="138" t="s">
        <v>1017</v>
      </c>
      <c r="U312" s="147"/>
      <c r="V312" s="147"/>
      <c r="W312" s="147"/>
      <c r="X312" s="147"/>
      <c r="Y312" s="147"/>
      <c r="Z312" s="147"/>
      <c r="AA312" s="147">
        <f ca="1">ROUND((AA281-AA301-AA303-AA308)*SIT*APPORT,0)</f>
        <v>53880</v>
      </c>
      <c r="AB312" s="147"/>
      <c r="AC312" s="147">
        <f>SCH_D2.24!J70</f>
        <v>4002</v>
      </c>
      <c r="AD312" s="150"/>
      <c r="AE312" s="147"/>
    </row>
    <row r="313" spans="17:31">
      <c r="Q313" s="140">
        <f t="shared" si="9"/>
        <v>37</v>
      </c>
      <c r="S313" s="138" t="s">
        <v>323</v>
      </c>
      <c r="U313" s="148">
        <f>SUM(U311:U312)</f>
        <v>-52939</v>
      </c>
      <c r="V313" s="147"/>
      <c r="W313" s="148">
        <f>SUM(W311:W312)</f>
        <v>1708</v>
      </c>
      <c r="X313" s="147"/>
      <c r="Y313" s="148">
        <f>SUM(Y311:Y312)</f>
        <v>18321</v>
      </c>
      <c r="Z313" s="147"/>
      <c r="AA313" s="148">
        <f ca="1">SUM(AA312:AA312)</f>
        <v>53880</v>
      </c>
      <c r="AB313" s="147"/>
      <c r="AC313" s="148">
        <f>SUM(AC311:AC312)</f>
        <v>-15379</v>
      </c>
      <c r="AD313" s="150"/>
      <c r="AE313" s="148">
        <f>SUM(AE311:AE312)</f>
        <v>87744</v>
      </c>
    </row>
    <row r="314" spans="17:31">
      <c r="Q314" s="140">
        <f t="shared" si="9"/>
        <v>38</v>
      </c>
      <c r="U314" s="149"/>
      <c r="V314" s="149"/>
      <c r="W314" s="149"/>
      <c r="X314" s="149"/>
      <c r="Y314" s="149"/>
      <c r="Z314" s="149"/>
      <c r="AA314" s="149"/>
      <c r="AB314" s="149"/>
      <c r="AC314" s="149"/>
      <c r="AD314" s="705"/>
      <c r="AE314" s="149"/>
    </row>
    <row r="315" spans="17:31">
      <c r="Q315" s="140">
        <f t="shared" si="9"/>
        <v>39</v>
      </c>
      <c r="S315" s="138" t="s">
        <v>14</v>
      </c>
      <c r="AD315" s="687"/>
    </row>
    <row r="316" spans="17:31">
      <c r="Q316" s="140">
        <f t="shared" si="9"/>
        <v>40</v>
      </c>
      <c r="S316" s="138" t="s">
        <v>1465</v>
      </c>
      <c r="U316" s="147">
        <f>ROUND((U281-U301-U303-U308-U311)*FIT,0)</f>
        <v>-212635</v>
      </c>
      <c r="V316" s="147"/>
      <c r="W316" s="147">
        <f>ROUND((W281-W301-W303-W308-W311)*FIT,0)</f>
        <v>6861</v>
      </c>
      <c r="X316" s="147"/>
      <c r="Y316" s="147">
        <f>ROUND((Y281-Y301-Y303-Y308-Y311)*FIT,0)</f>
        <v>73589</v>
      </c>
      <c r="Z316" s="147"/>
      <c r="AA316" s="3077">
        <v>0</v>
      </c>
      <c r="AB316" s="147"/>
      <c r="AC316" s="147">
        <f>ROUND((AC281-AC303-AC308-AC311)*FIT,0)</f>
        <v>-77846</v>
      </c>
      <c r="AD316" s="150"/>
      <c r="AE316" s="147">
        <f>ROUND((AE281-AE301-AE303-AE308-AE311)*FIT,0)</f>
        <v>352436</v>
      </c>
    </row>
    <row r="317" spans="17:31">
      <c r="Q317" s="140">
        <f t="shared" si="9"/>
        <v>41</v>
      </c>
      <c r="S317" s="138" t="s">
        <v>1017</v>
      </c>
      <c r="U317" s="147"/>
      <c r="V317" s="147"/>
      <c r="W317" s="147"/>
      <c r="X317" s="147"/>
      <c r="Y317" s="147"/>
      <c r="Z317" s="147"/>
      <c r="AA317" s="147">
        <f ca="1">ROUND((AA281-AA301-AA303-AA308-AA312)*FIT,0)</f>
        <v>216418</v>
      </c>
      <c r="AB317" s="147"/>
      <c r="AC317" s="147">
        <f>SCH_D2.24!J102</f>
        <v>16075</v>
      </c>
      <c r="AD317" s="150"/>
      <c r="AE317" s="147"/>
    </row>
    <row r="318" spans="17:31">
      <c r="Q318" s="140">
        <f t="shared" si="9"/>
        <v>42</v>
      </c>
      <c r="S318" s="138" t="s">
        <v>1016</v>
      </c>
      <c r="U318" s="147"/>
      <c r="V318" s="147"/>
      <c r="W318" s="147"/>
      <c r="X318" s="147"/>
      <c r="Y318" s="147"/>
      <c r="Z318" s="147"/>
      <c r="AA318" s="147"/>
      <c r="AB318" s="147"/>
      <c r="AC318" s="147"/>
      <c r="AD318" s="150"/>
      <c r="AE318" s="147"/>
    </row>
    <row r="319" spans="17:31">
      <c r="Q319" s="140">
        <f t="shared" si="9"/>
        <v>43</v>
      </c>
      <c r="S319" s="138" t="s">
        <v>325</v>
      </c>
      <c r="U319" s="148">
        <f>SUM(U316:U318)</f>
        <v>-212635</v>
      </c>
      <c r="V319" s="147"/>
      <c r="W319" s="148">
        <f>SUM(W316:W318)</f>
        <v>6861</v>
      </c>
      <c r="X319" s="147"/>
      <c r="Y319" s="148">
        <f>SUM(Y316:Y318)</f>
        <v>73589</v>
      </c>
      <c r="Z319" s="147"/>
      <c r="AA319" s="148">
        <f ca="1">SUM(AA317:AA318)</f>
        <v>216418</v>
      </c>
      <c r="AB319" s="147"/>
      <c r="AC319" s="148">
        <f>SUM(AC316:AC318)</f>
        <v>-61771</v>
      </c>
      <c r="AD319" s="150"/>
      <c r="AE319" s="148">
        <f>SUM(AE316:AE318)</f>
        <v>352436</v>
      </c>
    </row>
    <row r="320" spans="17:31">
      <c r="Q320" s="140">
        <f t="shared" si="9"/>
        <v>44</v>
      </c>
      <c r="U320" s="149"/>
      <c r="V320" s="149"/>
      <c r="W320" s="149"/>
      <c r="X320" s="149"/>
      <c r="Y320" s="149"/>
      <c r="Z320" s="149"/>
      <c r="AA320" s="149"/>
      <c r="AB320" s="149"/>
      <c r="AC320" s="149"/>
      <c r="AD320" s="705"/>
      <c r="AE320" s="149"/>
    </row>
    <row r="321" spans="17:31">
      <c r="Q321" s="140">
        <f t="shared" si="9"/>
        <v>45</v>
      </c>
      <c r="S321" s="138" t="s">
        <v>326</v>
      </c>
      <c r="U321" s="151">
        <f>U301+U303+U308+U313+U319</f>
        <v>799914</v>
      </c>
      <c r="V321" s="147"/>
      <c r="W321" s="151">
        <f>W301+W303+W308+W313+W319</f>
        <v>-25811</v>
      </c>
      <c r="X321" s="147"/>
      <c r="Y321" s="151">
        <f>Y301+Y303+Y308+Y313+Y319</f>
        <v>-276833</v>
      </c>
      <c r="Z321" s="147"/>
      <c r="AA321" s="151">
        <f ca="1">AA301+AA303+AA308+AA313+AA319</f>
        <v>-814142</v>
      </c>
      <c r="AB321" s="147"/>
      <c r="AC321" s="151">
        <f>AC301+AC303+AC308+AC313+AC319</f>
        <v>-157699</v>
      </c>
      <c r="AD321" s="150"/>
      <c r="AE321" s="151">
        <f>AE301+AE303+AE308+AE313+AE319</f>
        <v>440180</v>
      </c>
    </row>
    <row r="322" spans="17:31">
      <c r="Q322" s="140">
        <f t="shared" si="9"/>
        <v>46</v>
      </c>
      <c r="U322" s="149"/>
      <c r="V322" s="149"/>
      <c r="W322" s="149"/>
      <c r="X322" s="149"/>
      <c r="Y322" s="149"/>
      <c r="Z322" s="149"/>
      <c r="AA322" s="149"/>
      <c r="AB322" s="149"/>
      <c r="AC322" s="149"/>
      <c r="AD322" s="705"/>
      <c r="AE322" s="149"/>
    </row>
    <row r="323" spans="17:31" ht="15.6" thickBot="1">
      <c r="Q323" s="140">
        <f t="shared" si="9"/>
        <v>47</v>
      </c>
      <c r="S323" s="138" t="s">
        <v>1533</v>
      </c>
      <c r="U323" s="157">
        <f>U281-U321</f>
        <v>-799914</v>
      </c>
      <c r="V323" s="147"/>
      <c r="W323" s="157">
        <f>W281-W321</f>
        <v>25811</v>
      </c>
      <c r="X323" s="147"/>
      <c r="Y323" s="157">
        <f>Y281-Y321</f>
        <v>276833</v>
      </c>
      <c r="Z323" s="147"/>
      <c r="AA323" s="157">
        <f ca="1">AA281-AA321</f>
        <v>814142</v>
      </c>
      <c r="AB323" s="147"/>
      <c r="AC323" s="157">
        <f>AC281-AC321</f>
        <v>-232379</v>
      </c>
      <c r="AD323" s="150"/>
      <c r="AE323" s="157">
        <f>AE281-AE321</f>
        <v>1325830</v>
      </c>
    </row>
    <row r="324" spans="17:31" ht="15.6" thickTop="1">
      <c r="T324" s="147"/>
      <c r="U324" s="1027">
        <f t="shared" ref="U324:AC324" si="10">ROUND((U313+U319)/(U323+U313+U319),4)</f>
        <v>0.24929999999999999</v>
      </c>
      <c r="V324" s="1027" t="e">
        <f t="shared" si="10"/>
        <v>#DIV/0!</v>
      </c>
      <c r="W324" s="1027">
        <f t="shared" si="10"/>
        <v>0.2492</v>
      </c>
      <c r="X324" s="1027" t="e">
        <f t="shared" si="10"/>
        <v>#DIV/0!</v>
      </c>
      <c r="Y324" s="1027">
        <f t="shared" si="10"/>
        <v>0.24929999999999999</v>
      </c>
      <c r="Z324" s="1027" t="e">
        <f t="shared" si="10"/>
        <v>#DIV/0!</v>
      </c>
      <c r="AA324" s="1027">
        <f t="shared" ca="1" si="10"/>
        <v>0.24929999999999999</v>
      </c>
      <c r="AB324" s="1027" t="e">
        <f t="shared" si="10"/>
        <v>#DIV/0!</v>
      </c>
      <c r="AC324" s="1027">
        <f t="shared" si="10"/>
        <v>0.2492</v>
      </c>
      <c r="AD324" s="705"/>
      <c r="AE324" s="1027">
        <f>ROUND((AE313+AE319)/(AE323+AE313+AE319),4)</f>
        <v>0.24929999999999999</v>
      </c>
    </row>
    <row r="325" spans="17:31">
      <c r="Q325" s="138"/>
    </row>
    <row r="326" spans="17:31">
      <c r="Q326" s="131" t="str">
        <f>COMPANY</f>
        <v>DUKE ENERGY KENTUCKY, INC.</v>
      </c>
      <c r="R326" s="132"/>
      <c r="S326" s="132"/>
      <c r="T326" s="132"/>
      <c r="U326" s="132"/>
      <c r="V326" s="132"/>
      <c r="W326" s="132"/>
      <c r="X326" s="132"/>
      <c r="Y326" s="132"/>
      <c r="Z326" s="132"/>
      <c r="AA326" s="132"/>
      <c r="AB326" s="132"/>
      <c r="AC326" s="132"/>
      <c r="AD326" s="132"/>
      <c r="AE326" s="132"/>
    </row>
    <row r="327" spans="17:31">
      <c r="Q327" s="131" t="str">
        <f>CASE</f>
        <v>CASE NO. 2018-00261</v>
      </c>
      <c r="R327" s="132"/>
      <c r="S327" s="132"/>
      <c r="T327" s="132"/>
      <c r="U327" s="134"/>
      <c r="V327" s="134"/>
      <c r="W327" s="132"/>
      <c r="X327" s="132"/>
      <c r="Y327" s="132"/>
      <c r="Z327" s="132"/>
      <c r="AA327" s="132"/>
      <c r="AB327" s="132"/>
      <c r="AC327" s="132"/>
      <c r="AD327" s="132"/>
      <c r="AE327" s="132"/>
    </row>
    <row r="328" spans="17:31">
      <c r="Q328" s="135" t="str">
        <f>$AG$395</f>
        <v>SUMMARY OF UTILITY JURISDICTIONAL ADJUSTMENTS TO</v>
      </c>
      <c r="R328" s="132"/>
      <c r="S328" s="132"/>
      <c r="T328" s="132"/>
      <c r="U328" s="132"/>
      <c r="V328" s="132"/>
      <c r="W328" s="132"/>
      <c r="X328" s="132"/>
      <c r="Y328" s="132"/>
      <c r="Z328" s="132"/>
      <c r="AA328" s="132"/>
      <c r="AB328" s="132"/>
      <c r="AC328" s="132"/>
      <c r="AD328" s="132"/>
      <c r="AE328" s="132"/>
    </row>
    <row r="329" spans="17:31">
      <c r="Q329" s="135" t="str">
        <f>$AG$396</f>
        <v>OPERATING INCOME BY MAJOR ACCOUNTS</v>
      </c>
      <c r="R329" s="132"/>
      <c r="S329" s="132"/>
      <c r="T329" s="132"/>
      <c r="U329" s="132"/>
      <c r="V329" s="132"/>
      <c r="W329" s="132"/>
      <c r="X329" s="132"/>
      <c r="Y329" s="132"/>
      <c r="Z329" s="132"/>
      <c r="AA329" s="132"/>
      <c r="AB329" s="132"/>
      <c r="AC329" s="132"/>
      <c r="AD329" s="132"/>
      <c r="AE329" s="132"/>
    </row>
    <row r="330" spans="17:31" ht="15.6">
      <c r="Q330" s="709" t="str">
        <f>Q200</f>
        <v>PRO FORMA ADJUSTMENTS TO THE FORECASTED PERIOD</v>
      </c>
      <c r="R330" s="132"/>
      <c r="S330" s="132"/>
      <c r="T330" s="132"/>
      <c r="U330" s="132"/>
      <c r="V330" s="132"/>
      <c r="W330" s="132"/>
      <c r="X330" s="132"/>
      <c r="Y330" s="132"/>
      <c r="Z330" s="132"/>
      <c r="AA330" s="132"/>
      <c r="AB330" s="132"/>
      <c r="AC330" s="132"/>
      <c r="AD330" s="132"/>
      <c r="AE330" s="132"/>
    </row>
    <row r="331" spans="17:31">
      <c r="Q331" s="131" t="str">
        <f>PeriodF</f>
        <v>FOR THE TWELVE MONTHS ENDED MARCH 31, 2020</v>
      </c>
      <c r="R331" s="132"/>
      <c r="S331" s="132"/>
      <c r="T331" s="132"/>
      <c r="U331" s="132"/>
      <c r="V331" s="132"/>
      <c r="W331" s="132"/>
      <c r="X331" s="132"/>
      <c r="Y331" s="132"/>
      <c r="Z331" s="132"/>
      <c r="AA331" s="132"/>
      <c r="AB331" s="132"/>
      <c r="AC331" s="132"/>
      <c r="AD331" s="132"/>
      <c r="AE331" s="132"/>
    </row>
    <row r="332" spans="17:31">
      <c r="T332" s="136"/>
    </row>
    <row r="333" spans="17:31">
      <c r="Q333" s="136" t="str">
        <f>DataF</f>
        <v>DATA:  BASE PERIOD  "X" FORECASTED PERIOD</v>
      </c>
      <c r="AC333" s="137" t="s">
        <v>1570</v>
      </c>
      <c r="AD333" s="138"/>
      <c r="AE333" s="138"/>
    </row>
    <row r="334" spans="17:31">
      <c r="Q334" s="136" t="str">
        <f>Type</f>
        <v xml:space="preserve">TYPE OF FILING:  "X" ORIGINAL   UPDATED    REVISED  </v>
      </c>
      <c r="AC334" s="138" t="s">
        <v>163</v>
      </c>
      <c r="AD334" s="138"/>
      <c r="AE334" s="138"/>
    </row>
    <row r="335" spans="17:31">
      <c r="Q335" s="138" t="s">
        <v>565</v>
      </c>
      <c r="AC335" s="137" t="s">
        <v>1571</v>
      </c>
      <c r="AD335" s="138"/>
      <c r="AE335" s="138"/>
    </row>
    <row r="336" spans="17:31">
      <c r="AC336" s="138" t="str">
        <f>"          "&amp;_WIT1</f>
        <v xml:space="preserve">          S. E. LAWLER</v>
      </c>
      <c r="AD336" s="138"/>
      <c r="AE336" s="138"/>
    </row>
    <row r="337" spans="17:31">
      <c r="Q337" s="139"/>
      <c r="R337" s="139"/>
      <c r="S337" s="139"/>
      <c r="T337" s="139"/>
      <c r="U337" s="143"/>
      <c r="V337" s="143"/>
      <c r="W337" s="143"/>
      <c r="X337" s="139"/>
      <c r="Y337" s="139"/>
      <c r="Z337" s="139"/>
      <c r="AA337" s="143"/>
      <c r="AB337" s="139"/>
      <c r="AC337" s="143"/>
      <c r="AD337" s="144"/>
      <c r="AE337" s="139"/>
    </row>
    <row r="338" spans="17:31">
      <c r="U338" s="140"/>
      <c r="V338" s="140"/>
      <c r="X338" s="140"/>
      <c r="AB338" s="140"/>
      <c r="AD338" s="140"/>
    </row>
    <row r="339" spans="17:31">
      <c r="Q339" s="140" t="s">
        <v>567</v>
      </c>
      <c r="U339" s="161" t="s">
        <v>1796</v>
      </c>
      <c r="V339" s="161"/>
      <c r="W339" s="161" t="s">
        <v>1914</v>
      </c>
      <c r="X339" s="140"/>
      <c r="Y339" s="161" t="s">
        <v>1914</v>
      </c>
      <c r="Z339" s="140"/>
      <c r="AA339" s="161" t="s">
        <v>1914</v>
      </c>
      <c r="AB339" s="140"/>
      <c r="AC339" s="161" t="s">
        <v>1914</v>
      </c>
      <c r="AD339" s="140"/>
      <c r="AE339" s="161" t="s">
        <v>1914</v>
      </c>
    </row>
    <row r="340" spans="17:31">
      <c r="Q340" s="143" t="s">
        <v>766</v>
      </c>
      <c r="R340" s="144"/>
      <c r="S340" s="143" t="s">
        <v>1581</v>
      </c>
      <c r="T340" s="144"/>
      <c r="U340" s="143" t="s">
        <v>1797</v>
      </c>
      <c r="V340" s="143"/>
      <c r="W340" s="143"/>
      <c r="X340" s="143"/>
      <c r="Y340" s="143"/>
      <c r="Z340" s="143"/>
      <c r="AA340" s="143"/>
      <c r="AB340" s="143"/>
      <c r="AC340" s="143"/>
      <c r="AD340" s="139"/>
      <c r="AE340" s="143"/>
    </row>
    <row r="341" spans="17:31">
      <c r="Q341" s="144"/>
      <c r="R341" s="144"/>
      <c r="S341" s="587" t="s">
        <v>1055</v>
      </c>
      <c r="T341" s="144"/>
      <c r="U341" s="143" t="s">
        <v>1921</v>
      </c>
      <c r="V341" s="143"/>
      <c r="W341" s="143" t="s">
        <v>1922</v>
      </c>
      <c r="X341" s="143"/>
      <c r="Y341" s="143" t="s">
        <v>1923</v>
      </c>
      <c r="Z341" s="143"/>
      <c r="AA341" s="143" t="s">
        <v>1924</v>
      </c>
      <c r="AB341" s="143"/>
      <c r="AC341" s="143" t="s">
        <v>160</v>
      </c>
      <c r="AD341" s="143"/>
      <c r="AE341" s="143" t="s">
        <v>161</v>
      </c>
    </row>
    <row r="342" spans="17:31" ht="15.6">
      <c r="Q342" s="140">
        <v>1</v>
      </c>
      <c r="R342" s="159" t="s">
        <v>1849</v>
      </c>
    </row>
    <row r="343" spans="17:31">
      <c r="Q343" s="140">
        <f>1+Q342</f>
        <v>2</v>
      </c>
      <c r="S343" s="138" t="s">
        <v>1850</v>
      </c>
      <c r="U343" s="147"/>
      <c r="W343" s="147"/>
      <c r="X343" s="147"/>
      <c r="Y343" s="147"/>
      <c r="Z343" s="147"/>
      <c r="AA343" s="147"/>
      <c r="AB343" s="147"/>
      <c r="AC343" s="147"/>
      <c r="AD343" s="147"/>
      <c r="AE343" s="147"/>
    </row>
    <row r="344" spans="17:31">
      <c r="Q344" s="140">
        <f t="shared" ref="Q344:Q388" si="11">1+Q343</f>
        <v>3</v>
      </c>
      <c r="S344" s="138" t="s">
        <v>1851</v>
      </c>
      <c r="U344" s="147"/>
      <c r="W344" s="147"/>
      <c r="X344" s="147"/>
      <c r="Y344" s="147"/>
      <c r="Z344" s="147"/>
      <c r="AA344" s="147"/>
      <c r="AB344" s="147"/>
      <c r="AC344" s="147"/>
      <c r="AD344" s="147"/>
      <c r="AE344" s="147"/>
    </row>
    <row r="345" spans="17:31">
      <c r="Q345" s="140">
        <f t="shared" si="11"/>
        <v>4</v>
      </c>
      <c r="S345" s="138" t="s">
        <v>1852</v>
      </c>
      <c r="U345" s="147"/>
      <c r="W345" s="147"/>
      <c r="X345" s="147"/>
      <c r="Y345" s="147"/>
      <c r="Z345" s="147"/>
      <c r="AA345" s="147"/>
      <c r="AB345" s="147"/>
      <c r="AC345" s="147"/>
      <c r="AD345" s="147"/>
      <c r="AE345" s="147"/>
    </row>
    <row r="346" spans="17:31">
      <c r="Q346" s="140">
        <f t="shared" si="11"/>
        <v>5</v>
      </c>
      <c r="S346" s="138" t="s">
        <v>339</v>
      </c>
      <c r="U346" s="148">
        <f>SUM(U343:U345)</f>
        <v>0</v>
      </c>
      <c r="W346" s="148">
        <f>SUM(W343:W345)</f>
        <v>0</v>
      </c>
      <c r="X346" s="147"/>
      <c r="Y346" s="148">
        <f>SUM(Y343:Y345)</f>
        <v>0</v>
      </c>
      <c r="Z346" s="147"/>
      <c r="AA346" s="148">
        <f>SUM(AA343:AA345)</f>
        <v>0</v>
      </c>
      <c r="AB346" s="147"/>
      <c r="AC346" s="148">
        <f>SUM(AC343:AC345)</f>
        <v>0</v>
      </c>
      <c r="AD346" s="147"/>
      <c r="AE346" s="148">
        <f>SUM(AE343:AE345)</f>
        <v>0</v>
      </c>
    </row>
    <row r="347" spans="17:31">
      <c r="Q347" s="140">
        <f t="shared" si="11"/>
        <v>6</v>
      </c>
      <c r="U347" s="149"/>
      <c r="W347" s="149"/>
      <c r="X347" s="149"/>
      <c r="Y347" s="149"/>
      <c r="Z347" s="149"/>
      <c r="AA347" s="149"/>
      <c r="AB347" s="149"/>
      <c r="AC347" s="149"/>
      <c r="AD347" s="149"/>
      <c r="AE347" s="149"/>
    </row>
    <row r="348" spans="17:31" ht="15.6">
      <c r="Q348" s="140">
        <f t="shared" si="11"/>
        <v>7</v>
      </c>
      <c r="R348" s="159" t="s">
        <v>1136</v>
      </c>
      <c r="U348" s="147"/>
    </row>
    <row r="349" spans="17:31">
      <c r="Q349" s="140">
        <f t="shared" si="11"/>
        <v>8</v>
      </c>
      <c r="S349" s="138" t="s">
        <v>1854</v>
      </c>
      <c r="U349" s="147"/>
    </row>
    <row r="350" spans="17:31">
      <c r="Q350" s="140">
        <f t="shared" si="11"/>
        <v>9</v>
      </c>
      <c r="S350" s="138" t="s">
        <v>340</v>
      </c>
      <c r="U350" s="147"/>
    </row>
    <row r="351" spans="17:31">
      <c r="Q351" s="140">
        <f t="shared" si="11"/>
        <v>10</v>
      </c>
      <c r="S351" s="138" t="s">
        <v>1856</v>
      </c>
      <c r="U351" s="147"/>
      <c r="W351" s="147"/>
      <c r="X351" s="147"/>
      <c r="Y351" s="147"/>
      <c r="Z351" s="147"/>
      <c r="AA351" s="147"/>
      <c r="AB351" s="147"/>
      <c r="AC351" s="147"/>
      <c r="AD351" s="147"/>
      <c r="AE351" s="147"/>
    </row>
    <row r="352" spans="17:31">
      <c r="Q352" s="140">
        <f t="shared" si="11"/>
        <v>11</v>
      </c>
      <c r="S352" s="138" t="s">
        <v>700</v>
      </c>
      <c r="U352" s="147"/>
      <c r="W352" s="147"/>
      <c r="X352" s="147"/>
      <c r="Y352" s="147"/>
      <c r="Z352" s="147"/>
      <c r="AA352" s="147"/>
      <c r="AB352" s="147"/>
      <c r="AC352" s="147"/>
      <c r="AD352" s="147"/>
      <c r="AE352" s="147"/>
    </row>
    <row r="353" spans="17:35">
      <c r="Q353" s="140">
        <f t="shared" si="11"/>
        <v>12</v>
      </c>
      <c r="S353" s="138" t="s">
        <v>1857</v>
      </c>
      <c r="U353" s="148">
        <f>SUM(U351:U352)</f>
        <v>0</v>
      </c>
      <c r="W353" s="148">
        <f>SUM(W351:W352)</f>
        <v>0</v>
      </c>
      <c r="X353" s="147"/>
      <c r="Y353" s="148">
        <f>SUM(Y351:Y352)</f>
        <v>0</v>
      </c>
      <c r="Z353" s="147"/>
      <c r="AA353" s="148">
        <f>SUM(AA351:AA352)</f>
        <v>0</v>
      </c>
      <c r="AB353" s="147"/>
      <c r="AC353" s="148">
        <f>SUM(AC351:AC352)</f>
        <v>0</v>
      </c>
      <c r="AD353" s="147"/>
      <c r="AE353" s="148">
        <f>SUM(AE351:AE352)</f>
        <v>0</v>
      </c>
    </row>
    <row r="354" spans="17:35">
      <c r="Q354" s="140">
        <f t="shared" si="11"/>
        <v>13</v>
      </c>
      <c r="U354" s="149"/>
      <c r="W354" s="149"/>
      <c r="X354" s="149"/>
      <c r="Y354" s="149"/>
      <c r="Z354" s="149"/>
      <c r="AA354" s="149"/>
      <c r="AB354" s="149"/>
      <c r="AC354" s="149"/>
      <c r="AD354" s="149"/>
      <c r="AE354" s="149"/>
    </row>
    <row r="355" spans="17:35">
      <c r="Q355" s="140">
        <f t="shared" si="11"/>
        <v>14</v>
      </c>
      <c r="S355" s="138" t="s">
        <v>1858</v>
      </c>
      <c r="U355" s="150"/>
      <c r="W355" s="150"/>
      <c r="X355" s="147"/>
      <c r="Y355" s="150"/>
      <c r="Z355" s="147"/>
      <c r="AA355" s="150"/>
      <c r="AB355" s="147"/>
      <c r="AC355" s="150"/>
      <c r="AD355" s="147"/>
      <c r="AE355" s="150"/>
    </row>
    <row r="356" spans="17:35">
      <c r="Q356" s="140">
        <f t="shared" si="11"/>
        <v>15</v>
      </c>
      <c r="S356" s="138" t="s">
        <v>1859</v>
      </c>
      <c r="U356" s="150"/>
      <c r="W356" s="150"/>
      <c r="X356" s="147"/>
      <c r="Y356" s="147"/>
      <c r="Z356" s="147"/>
      <c r="AA356" s="150"/>
      <c r="AB356" s="147"/>
      <c r="AC356" s="147"/>
      <c r="AD356" s="147"/>
      <c r="AE356" s="147"/>
    </row>
    <row r="357" spans="17:35">
      <c r="Q357" s="140">
        <f t="shared" si="11"/>
        <v>16</v>
      </c>
      <c r="S357" s="138" t="s">
        <v>700</v>
      </c>
      <c r="U357" s="150"/>
      <c r="W357" s="150"/>
      <c r="X357" s="147"/>
      <c r="Y357" s="150"/>
      <c r="Z357" s="147"/>
      <c r="AA357" s="150"/>
      <c r="AB357" s="147"/>
      <c r="AC357" s="150"/>
      <c r="AD357" s="147"/>
      <c r="AE357" s="150"/>
    </row>
    <row r="358" spans="17:35">
      <c r="Q358" s="140">
        <f t="shared" si="11"/>
        <v>17</v>
      </c>
      <c r="S358" s="138" t="s">
        <v>1860</v>
      </c>
      <c r="U358" s="148">
        <f>SUM(U356:U357)</f>
        <v>0</v>
      </c>
      <c r="W358" s="148">
        <f>SUM(W356:W357)</f>
        <v>0</v>
      </c>
      <c r="X358" s="147"/>
      <c r="Y358" s="148">
        <f>SUM(Y356:Y357)</f>
        <v>0</v>
      </c>
      <c r="Z358" s="147"/>
      <c r="AA358" s="148">
        <f>SUM(AA356:AA357)</f>
        <v>0</v>
      </c>
      <c r="AB358" s="147"/>
      <c r="AC358" s="148">
        <f>SUM(AC356:AC357)</f>
        <v>0</v>
      </c>
      <c r="AD358" s="147"/>
      <c r="AE358" s="148">
        <f>SUM(AE356:AE357)</f>
        <v>0</v>
      </c>
    </row>
    <row r="359" spans="17:35">
      <c r="Q359" s="140">
        <f t="shared" si="11"/>
        <v>18</v>
      </c>
      <c r="S359" s="138" t="s">
        <v>1459</v>
      </c>
      <c r="U359" s="149"/>
      <c r="W359" s="149"/>
      <c r="X359" s="149"/>
      <c r="Y359" s="149"/>
      <c r="Z359" s="149"/>
      <c r="AA359" s="149"/>
      <c r="AB359" s="149"/>
      <c r="AC359" s="149"/>
      <c r="AD359" s="149"/>
      <c r="AE359" s="149"/>
    </row>
    <row r="360" spans="17:35">
      <c r="Q360" s="140">
        <f t="shared" si="11"/>
        <v>19</v>
      </c>
      <c r="S360" s="138" t="s">
        <v>341</v>
      </c>
      <c r="U360" s="147"/>
      <c r="W360" s="147"/>
      <c r="X360" s="147"/>
      <c r="Y360" s="147"/>
      <c r="Z360" s="147"/>
      <c r="AA360" s="147"/>
      <c r="AB360" s="147"/>
      <c r="AC360" s="147"/>
      <c r="AD360" s="147"/>
      <c r="AE360" s="147"/>
    </row>
    <row r="361" spans="17:35">
      <c r="Q361" s="140">
        <f t="shared" si="11"/>
        <v>20</v>
      </c>
      <c r="S361" s="138" t="s">
        <v>342</v>
      </c>
      <c r="U361" s="147"/>
      <c r="W361" s="147"/>
      <c r="X361" s="147"/>
      <c r="Y361" s="147"/>
      <c r="Z361" s="147"/>
      <c r="AA361" s="147"/>
      <c r="AB361" s="147"/>
      <c r="AC361" s="147"/>
      <c r="AD361" s="147"/>
      <c r="AE361" s="147"/>
    </row>
    <row r="362" spans="17:35">
      <c r="Q362" s="140">
        <f t="shared" si="11"/>
        <v>21</v>
      </c>
      <c r="S362" s="138" t="s">
        <v>343</v>
      </c>
      <c r="U362" s="147"/>
      <c r="W362" s="147"/>
      <c r="X362" s="147"/>
      <c r="Y362" s="147"/>
      <c r="Z362" s="147"/>
      <c r="AA362" s="147"/>
      <c r="AB362" s="147"/>
      <c r="AC362" s="147"/>
      <c r="AD362" s="147"/>
      <c r="AE362" s="147"/>
    </row>
    <row r="363" spans="17:35">
      <c r="Q363" s="140">
        <f t="shared" si="11"/>
        <v>22</v>
      </c>
      <c r="S363" s="138" t="s">
        <v>344</v>
      </c>
      <c r="U363" s="147"/>
      <c r="W363" s="147"/>
      <c r="X363" s="147"/>
      <c r="Y363" s="147"/>
      <c r="Z363" s="147"/>
      <c r="AA363" s="147"/>
      <c r="AB363" s="147"/>
      <c r="AC363" s="147"/>
      <c r="AD363" s="147"/>
      <c r="AE363" s="147"/>
    </row>
    <row r="364" spans="17:35">
      <c r="Q364" s="140">
        <f t="shared" si="11"/>
        <v>23</v>
      </c>
      <c r="S364" s="138" t="s">
        <v>345</v>
      </c>
      <c r="U364" s="147">
        <f>SCH_D2.26!J20</f>
        <v>-277270</v>
      </c>
      <c r="W364" s="147"/>
      <c r="X364" s="147"/>
      <c r="Y364" s="147"/>
      <c r="Z364" s="147"/>
      <c r="AA364" s="147"/>
      <c r="AB364" s="147"/>
      <c r="AC364" s="147"/>
      <c r="AD364" s="147"/>
      <c r="AE364" s="147">
        <v>0</v>
      </c>
      <c r="AF364" s="1590"/>
    </row>
    <row r="365" spans="17:35">
      <c r="Q365" s="140">
        <f t="shared" si="11"/>
        <v>24</v>
      </c>
      <c r="S365" s="138" t="s">
        <v>1554</v>
      </c>
      <c r="U365" s="147"/>
      <c r="W365" s="147"/>
      <c r="X365" s="147"/>
      <c r="Y365" s="147"/>
      <c r="Z365" s="147"/>
      <c r="AA365" s="147"/>
      <c r="AB365" s="147"/>
      <c r="AC365" s="147"/>
      <c r="AD365" s="147"/>
      <c r="AE365" s="147"/>
    </row>
    <row r="366" spans="17:35">
      <c r="Q366" s="140">
        <f t="shared" si="11"/>
        <v>25</v>
      </c>
      <c r="S366" s="138" t="s">
        <v>313</v>
      </c>
      <c r="U366" s="148">
        <f>U353+U358+SUM(U359:U365)</f>
        <v>-277270</v>
      </c>
      <c r="W366" s="148">
        <f>W353+W358+SUM(W359:W365)</f>
        <v>0</v>
      </c>
      <c r="X366" s="147"/>
      <c r="Y366" s="148">
        <f>Y353+Y358+SUM(Y359:Y365)</f>
        <v>0</v>
      </c>
      <c r="Z366" s="147"/>
      <c r="AA366" s="148">
        <f>AA353+AA358+SUM(AA359:AA365)</f>
        <v>0</v>
      </c>
      <c r="AB366" s="147"/>
      <c r="AC366" s="148">
        <f>AC353+AC358+SUM(AC359:AC365)</f>
        <v>0</v>
      </c>
      <c r="AD366" s="147"/>
      <c r="AE366" s="148">
        <f>AE353+AE358+SUM(AE359:AE365)</f>
        <v>0</v>
      </c>
    </row>
    <row r="367" spans="17:35">
      <c r="Q367" s="140">
        <f t="shared" si="11"/>
        <v>26</v>
      </c>
      <c r="U367" s="149"/>
      <c r="W367" s="149"/>
      <c r="X367" s="149"/>
      <c r="Y367" s="149"/>
      <c r="Z367" s="149"/>
      <c r="AA367" s="149"/>
      <c r="AB367" s="149"/>
      <c r="AC367" s="149"/>
      <c r="AD367" s="149"/>
      <c r="AE367" s="149"/>
      <c r="AI367" s="162"/>
    </row>
    <row r="368" spans="17:35">
      <c r="Q368" s="140">
        <f t="shared" si="11"/>
        <v>27</v>
      </c>
      <c r="S368" s="138" t="s">
        <v>1901</v>
      </c>
      <c r="U368" s="151">
        <f>SCH_C2!U377</f>
        <v>0</v>
      </c>
      <c r="W368" s="151">
        <v>0</v>
      </c>
      <c r="X368" s="147"/>
      <c r="Y368" s="151">
        <v>0</v>
      </c>
      <c r="Z368" s="147"/>
      <c r="AA368" s="151">
        <v>0</v>
      </c>
      <c r="AB368" s="147"/>
      <c r="AC368" s="151">
        <v>0</v>
      </c>
      <c r="AD368" s="147"/>
      <c r="AE368" s="151">
        <v>0</v>
      </c>
    </row>
    <row r="369" spans="17:31">
      <c r="Q369" s="140">
        <f t="shared" si="11"/>
        <v>28</v>
      </c>
      <c r="U369" s="149"/>
      <c r="W369" s="149"/>
      <c r="X369" s="149"/>
      <c r="Y369" s="149"/>
      <c r="Z369" s="149"/>
      <c r="AA369" s="149"/>
      <c r="AB369" s="149"/>
      <c r="AC369" s="149"/>
      <c r="AD369" s="149"/>
      <c r="AE369" s="149"/>
    </row>
    <row r="370" spans="17:31">
      <c r="Q370" s="140">
        <f t="shared" si="11"/>
        <v>29</v>
      </c>
      <c r="S370" s="138" t="s">
        <v>491</v>
      </c>
      <c r="U370" s="147"/>
    </row>
    <row r="371" spans="17:31">
      <c r="Q371" s="140">
        <f t="shared" si="11"/>
        <v>30</v>
      </c>
      <c r="S371" s="138" t="s">
        <v>1285</v>
      </c>
      <c r="U371" s="147"/>
      <c r="W371" s="147"/>
      <c r="X371" s="147"/>
      <c r="Y371" s="147"/>
      <c r="Z371" s="147"/>
      <c r="AA371" s="147"/>
      <c r="AB371" s="147"/>
      <c r="AC371" s="147"/>
      <c r="AD371" s="147"/>
      <c r="AE371" s="147"/>
    </row>
    <row r="372" spans="17:31">
      <c r="Q372" s="140">
        <f t="shared" si="11"/>
        <v>31</v>
      </c>
      <c r="S372" s="138" t="s">
        <v>1287</v>
      </c>
      <c r="U372" s="147">
        <v>0</v>
      </c>
      <c r="W372" s="147"/>
      <c r="X372" s="147"/>
      <c r="Y372" s="147"/>
      <c r="Z372" s="147"/>
      <c r="AA372" s="147"/>
      <c r="AB372" s="147"/>
      <c r="AC372" s="147"/>
      <c r="AD372" s="147"/>
      <c r="AE372" s="147"/>
    </row>
    <row r="373" spans="17:31">
      <c r="Q373" s="140">
        <f t="shared" si="11"/>
        <v>32</v>
      </c>
      <c r="S373" s="138" t="s">
        <v>317</v>
      </c>
      <c r="U373" s="148">
        <f>SUM(U371:U372)</f>
        <v>0</v>
      </c>
      <c r="W373" s="148">
        <f>SUM(W371:W372)</f>
        <v>0</v>
      </c>
      <c r="X373" s="147"/>
      <c r="Y373" s="148">
        <f>SUM(Y371:Y372)</f>
        <v>0</v>
      </c>
      <c r="Z373" s="147"/>
      <c r="AA373" s="148">
        <f>SUM(AA371:AA372)</f>
        <v>0</v>
      </c>
      <c r="AB373" s="147"/>
      <c r="AC373" s="148">
        <f>SUM(AC371:AC372)</f>
        <v>0</v>
      </c>
      <c r="AD373" s="147"/>
      <c r="AE373" s="148">
        <f>SUM(AE371:AE372)</f>
        <v>0</v>
      </c>
    </row>
    <row r="374" spans="17:31">
      <c r="Q374" s="140">
        <f t="shared" si="11"/>
        <v>33</v>
      </c>
      <c r="S374" s="138"/>
      <c r="U374" s="150"/>
      <c r="W374" s="150"/>
      <c r="X374" s="147"/>
      <c r="Y374" s="150"/>
      <c r="Z374" s="147"/>
      <c r="AA374" s="150"/>
      <c r="AB374" s="147"/>
      <c r="AC374" s="150"/>
      <c r="AD374" s="147"/>
      <c r="AE374" s="150"/>
    </row>
    <row r="375" spans="17:31">
      <c r="Q375" s="140">
        <f t="shared" si="11"/>
        <v>34</v>
      </c>
      <c r="S375" s="138" t="s">
        <v>318</v>
      </c>
    </row>
    <row r="376" spans="17:31">
      <c r="Q376" s="140">
        <f t="shared" si="11"/>
        <v>35</v>
      </c>
      <c r="S376" s="138" t="s">
        <v>1465</v>
      </c>
      <c r="U376" s="147">
        <f>ROUND((U346-U366-U368-U373)*SIT*APPORT,0)</f>
        <v>13776</v>
      </c>
      <c r="W376" s="147">
        <f>ROUND((W346-W366-W368-W373)*SIT*APPORT,0)</f>
        <v>0</v>
      </c>
      <c r="X376" s="147"/>
      <c r="Y376" s="147">
        <f>ROUND((Y346-Y366-Y368-Y373)*SIT*APPORT,0)</f>
        <v>0</v>
      </c>
      <c r="Z376" s="147"/>
      <c r="AA376" s="147">
        <f>ROUND((AA346-AA366-AA368-AA373)*SIT*APPORT,0)</f>
        <v>0</v>
      </c>
      <c r="AB376" s="147"/>
      <c r="AC376" s="147">
        <f>ROUND((AC346-AC366-AC368-AC373)*SIT*APPORT,0)</f>
        <v>0</v>
      </c>
      <c r="AD376" s="147"/>
      <c r="AE376" s="147">
        <f>ROUND((AE346-AE366-AE368-AE373)*SIT*APPORT,0)</f>
        <v>0</v>
      </c>
    </row>
    <row r="377" spans="17:31">
      <c r="Q377" s="140">
        <f t="shared" si="11"/>
        <v>36</v>
      </c>
      <c r="S377" s="138" t="s">
        <v>1017</v>
      </c>
      <c r="U377" s="147"/>
      <c r="W377" s="147"/>
      <c r="X377" s="147"/>
      <c r="Y377" s="147"/>
      <c r="Z377" s="147"/>
      <c r="AA377" s="147"/>
      <c r="AB377" s="147"/>
      <c r="AC377" s="147"/>
      <c r="AD377" s="147"/>
      <c r="AE377" s="147"/>
    </row>
    <row r="378" spans="17:31">
      <c r="Q378" s="140">
        <f t="shared" si="11"/>
        <v>37</v>
      </c>
      <c r="S378" s="138" t="s">
        <v>323</v>
      </c>
      <c r="U378" s="148">
        <f>SUM(U376:U377)</f>
        <v>13776</v>
      </c>
      <c r="W378" s="148">
        <f>SUM(W376:W377)</f>
        <v>0</v>
      </c>
      <c r="X378" s="147"/>
      <c r="Y378" s="148">
        <f>SUM(Y376:Y377)</f>
        <v>0</v>
      </c>
      <c r="Z378" s="147"/>
      <c r="AA378" s="148">
        <f>SUM(AA376:AA377)</f>
        <v>0</v>
      </c>
      <c r="AB378" s="147"/>
      <c r="AC378" s="148">
        <f>SUM(AC376:AC377)</f>
        <v>0</v>
      </c>
      <c r="AD378" s="147"/>
      <c r="AE378" s="148">
        <f>SUM(AE376:AE377)</f>
        <v>0</v>
      </c>
    </row>
    <row r="379" spans="17:31">
      <c r="Q379" s="140">
        <f t="shared" si="11"/>
        <v>38</v>
      </c>
      <c r="U379" s="149"/>
      <c r="W379" s="149"/>
      <c r="X379" s="149"/>
      <c r="Y379" s="149"/>
      <c r="Z379" s="149"/>
      <c r="AA379" s="149"/>
      <c r="AB379" s="149"/>
      <c r="AC379" s="149"/>
      <c r="AD379" s="149"/>
      <c r="AE379" s="149"/>
    </row>
    <row r="380" spans="17:31">
      <c r="Q380" s="140">
        <f t="shared" si="11"/>
        <v>39</v>
      </c>
      <c r="S380" s="138" t="s">
        <v>14</v>
      </c>
    </row>
    <row r="381" spans="17:31">
      <c r="Q381" s="140">
        <f t="shared" si="11"/>
        <v>40</v>
      </c>
      <c r="S381" s="138" t="s">
        <v>1465</v>
      </c>
      <c r="U381" s="147">
        <f>ROUND((U346-U366-U368-U373-U376)*FIT,0)</f>
        <v>55334</v>
      </c>
      <c r="W381" s="147">
        <f>ROUND((W346-W366-W368-W373-W376)*FIT,0)</f>
        <v>0</v>
      </c>
      <c r="X381" s="147"/>
      <c r="Y381" s="147">
        <f>ROUND((Y346-Y366-Y368-Y373-Y376)*FIT,0)</f>
        <v>0</v>
      </c>
      <c r="Z381" s="147"/>
      <c r="AA381" s="147">
        <f>ROUND((AA346-AA366-AA368-AA373-AA376)*FIT,0)</f>
        <v>0</v>
      </c>
      <c r="AB381" s="147"/>
      <c r="AC381" s="147">
        <f>ROUND((AC346-AC366-AC368-AC373-AC376)*FIT,0)</f>
        <v>0</v>
      </c>
      <c r="AD381" s="147"/>
      <c r="AE381" s="147">
        <f>ROUND((AE346-AE366-AE368-AE373-AE376)*FIT,0)</f>
        <v>0</v>
      </c>
    </row>
    <row r="382" spans="17:31">
      <c r="Q382" s="140">
        <f t="shared" si="11"/>
        <v>41</v>
      </c>
      <c r="S382" s="138" t="s">
        <v>1017</v>
      </c>
      <c r="U382" s="147"/>
      <c r="W382" s="147"/>
      <c r="X382" s="147"/>
      <c r="Y382" s="147"/>
      <c r="Z382" s="147"/>
      <c r="AA382" s="147"/>
      <c r="AB382" s="147"/>
      <c r="AC382" s="147"/>
      <c r="AD382" s="147"/>
      <c r="AE382" s="147"/>
    </row>
    <row r="383" spans="17:31">
      <c r="Q383" s="140">
        <f t="shared" si="11"/>
        <v>42</v>
      </c>
      <c r="S383" s="138" t="s">
        <v>1016</v>
      </c>
      <c r="U383" s="147"/>
      <c r="W383" s="147"/>
      <c r="X383" s="147"/>
      <c r="Y383" s="147"/>
      <c r="Z383" s="147"/>
      <c r="AA383" s="147"/>
      <c r="AB383" s="147"/>
      <c r="AC383" s="147"/>
      <c r="AD383" s="147"/>
      <c r="AE383" s="147"/>
    </row>
    <row r="384" spans="17:31">
      <c r="Q384" s="140">
        <f t="shared" si="11"/>
        <v>43</v>
      </c>
      <c r="S384" s="138" t="s">
        <v>325</v>
      </c>
      <c r="U384" s="148">
        <f>SUM(U381:U383)</f>
        <v>55334</v>
      </c>
      <c r="W384" s="148">
        <f>SUM(W381:W383)</f>
        <v>0</v>
      </c>
      <c r="X384" s="147"/>
      <c r="Y384" s="148">
        <f>SUM(Y381:Y383)</f>
        <v>0</v>
      </c>
      <c r="Z384" s="147"/>
      <c r="AA384" s="148">
        <f>SUM(AA381:AA383)</f>
        <v>0</v>
      </c>
      <c r="AB384" s="147"/>
      <c r="AC384" s="148">
        <f>SUM(AC381:AC383)</f>
        <v>0</v>
      </c>
      <c r="AD384" s="147"/>
      <c r="AE384" s="148">
        <f>SUM(AE381:AE383)</f>
        <v>0</v>
      </c>
    </row>
    <row r="385" spans="17:43">
      <c r="Q385" s="140">
        <f t="shared" si="11"/>
        <v>44</v>
      </c>
      <c r="U385" s="149"/>
      <c r="W385" s="149"/>
      <c r="X385" s="149"/>
      <c r="Y385" s="149"/>
      <c r="Z385" s="149"/>
      <c r="AA385" s="149"/>
      <c r="AB385" s="149"/>
      <c r="AC385" s="149"/>
      <c r="AD385" s="149"/>
      <c r="AE385" s="149"/>
    </row>
    <row r="386" spans="17:43">
      <c r="Q386" s="140">
        <f t="shared" si="11"/>
        <v>45</v>
      </c>
      <c r="S386" s="138" t="s">
        <v>326</v>
      </c>
      <c r="U386" s="151">
        <f>U366+U368+U373+U378+U384</f>
        <v>-208160</v>
      </c>
      <c r="W386" s="151">
        <f>W366+W368+W373+W378+W384</f>
        <v>0</v>
      </c>
      <c r="X386" s="147"/>
      <c r="Y386" s="151">
        <f>Y366+Y368+Y373+Y378+Y384</f>
        <v>0</v>
      </c>
      <c r="Z386" s="147"/>
      <c r="AA386" s="151">
        <f>AA366+AA368+AA373+AA378+AA384</f>
        <v>0</v>
      </c>
      <c r="AB386" s="147"/>
      <c r="AC386" s="151">
        <f>AC366+AC368+AC373+AC378+AC384</f>
        <v>0</v>
      </c>
      <c r="AD386" s="147"/>
      <c r="AE386" s="151">
        <f>AE366+AE368+AE373+AE378+AE384</f>
        <v>0</v>
      </c>
    </row>
    <row r="387" spans="17:43">
      <c r="Q387" s="140">
        <f t="shared" si="11"/>
        <v>46</v>
      </c>
      <c r="U387" s="149"/>
      <c r="W387" s="149"/>
      <c r="X387" s="149"/>
      <c r="Y387" s="149"/>
      <c r="Z387" s="149"/>
      <c r="AA387" s="149"/>
      <c r="AB387" s="149"/>
      <c r="AC387" s="149"/>
      <c r="AD387" s="149"/>
      <c r="AE387" s="149"/>
    </row>
    <row r="388" spans="17:43" ht="15.6" thickBot="1">
      <c r="Q388" s="140">
        <f t="shared" si="11"/>
        <v>47</v>
      </c>
      <c r="S388" s="138" t="s">
        <v>1533</v>
      </c>
      <c r="U388" s="157">
        <f>U346-U386</f>
        <v>208160</v>
      </c>
      <c r="W388" s="157">
        <f>W346-W386</f>
        <v>0</v>
      </c>
      <c r="X388" s="147"/>
      <c r="Y388" s="157">
        <f>Y346-Y386</f>
        <v>0</v>
      </c>
      <c r="Z388" s="147"/>
      <c r="AA388" s="157">
        <f>AA346-AA386</f>
        <v>0</v>
      </c>
      <c r="AB388" s="147"/>
      <c r="AC388" s="157">
        <f>AC346-AC386</f>
        <v>0</v>
      </c>
      <c r="AD388" s="147"/>
      <c r="AE388" s="157">
        <f>AE346-AE386</f>
        <v>0</v>
      </c>
    </row>
    <row r="389" spans="17:43" ht="15.6" thickTop="1">
      <c r="T389" s="147"/>
      <c r="U389" s="1027">
        <f t="shared" ref="U389:AE389" si="12">ROUND((U378+U384)/(U388+U378+U384),4)</f>
        <v>0.24929999999999999</v>
      </c>
      <c r="V389" s="1027" t="e">
        <f t="shared" si="12"/>
        <v>#DIV/0!</v>
      </c>
      <c r="W389" s="1027" t="e">
        <f t="shared" si="12"/>
        <v>#DIV/0!</v>
      </c>
      <c r="X389" s="1027" t="e">
        <f t="shared" si="12"/>
        <v>#DIV/0!</v>
      </c>
      <c r="Y389" s="1027" t="e">
        <f t="shared" si="12"/>
        <v>#DIV/0!</v>
      </c>
      <c r="Z389" s="1027" t="e">
        <f t="shared" si="12"/>
        <v>#DIV/0!</v>
      </c>
      <c r="AA389" s="1027" t="e">
        <f t="shared" si="12"/>
        <v>#DIV/0!</v>
      </c>
      <c r="AB389" s="1027" t="e">
        <f t="shared" si="12"/>
        <v>#DIV/0!</v>
      </c>
      <c r="AC389" s="1027" t="e">
        <f t="shared" si="12"/>
        <v>#DIV/0!</v>
      </c>
      <c r="AD389" s="1027" t="e">
        <f t="shared" si="12"/>
        <v>#DIV/0!</v>
      </c>
      <c r="AE389" s="1027" t="e">
        <f t="shared" si="12"/>
        <v>#DIV/0!</v>
      </c>
    </row>
    <row r="390" spans="17:43">
      <c r="Q390" s="138"/>
      <c r="AE390" s="149"/>
    </row>
    <row r="391" spans="17:43">
      <c r="Q391" s="695"/>
      <c r="R391" s="696"/>
      <c r="S391" s="696"/>
      <c r="T391" s="696"/>
      <c r="U391" s="696"/>
      <c r="V391" s="696"/>
      <c r="W391" s="696"/>
      <c r="X391" s="696"/>
      <c r="Y391" s="696"/>
      <c r="Z391" s="696"/>
      <c r="AA391" s="696"/>
      <c r="AB391" s="696"/>
      <c r="AC391" s="696"/>
      <c r="AD391" s="696"/>
      <c r="AE391" s="696"/>
    </row>
    <row r="392" spans="17:43">
      <c r="Q392" s="695"/>
      <c r="R392" s="696"/>
      <c r="S392" s="696"/>
      <c r="T392" s="696"/>
      <c r="U392" s="697"/>
      <c r="V392" s="697"/>
      <c r="W392" s="696"/>
      <c r="X392" s="696"/>
      <c r="Y392" s="696"/>
      <c r="Z392" s="696"/>
      <c r="AA392" s="696"/>
      <c r="AB392" s="696"/>
      <c r="AC392" s="696"/>
      <c r="AD392" s="696"/>
      <c r="AE392" s="696"/>
    </row>
    <row r="393" spans="17:43">
      <c r="Q393" s="698"/>
      <c r="R393" s="696"/>
      <c r="S393" s="696"/>
      <c r="T393" s="696"/>
      <c r="U393" s="696"/>
      <c r="V393" s="696"/>
      <c r="W393" s="696"/>
      <c r="X393" s="696"/>
      <c r="Y393" s="696"/>
      <c r="Z393" s="696"/>
      <c r="AA393" s="696"/>
      <c r="AB393" s="696"/>
      <c r="AC393" s="696"/>
      <c r="AD393" s="696"/>
      <c r="AE393" s="696"/>
      <c r="AG393" s="131" t="str">
        <f>COMPANY</f>
        <v>DUKE ENERGY KENTUCKY, INC.</v>
      </c>
      <c r="AH393" s="132"/>
      <c r="AI393" s="132"/>
      <c r="AJ393" s="132"/>
      <c r="AK393" s="132"/>
      <c r="AL393" s="132"/>
      <c r="AM393" s="132"/>
      <c r="AN393" s="132"/>
      <c r="AO393" s="132"/>
      <c r="AP393" s="132"/>
      <c r="AQ393" s="132"/>
    </row>
    <row r="394" spans="17:43">
      <c r="Q394" s="695"/>
      <c r="R394" s="696"/>
      <c r="S394" s="696"/>
      <c r="T394" s="696"/>
      <c r="U394" s="696"/>
      <c r="V394" s="696"/>
      <c r="W394" s="696"/>
      <c r="X394" s="696"/>
      <c r="Y394" s="696"/>
      <c r="Z394" s="696"/>
      <c r="AA394" s="696"/>
      <c r="AB394" s="696"/>
      <c r="AC394" s="696"/>
      <c r="AD394" s="696"/>
      <c r="AE394" s="696"/>
      <c r="AG394" s="131" t="str">
        <f>CASE</f>
        <v>CASE NO. 2018-00261</v>
      </c>
      <c r="AH394" s="132"/>
      <c r="AI394" s="132"/>
      <c r="AJ394" s="132"/>
      <c r="AK394" s="134"/>
      <c r="AL394" s="134"/>
      <c r="AM394" s="134"/>
      <c r="AN394" s="132"/>
      <c r="AO394" s="132"/>
      <c r="AP394" s="132"/>
      <c r="AQ394" s="132"/>
    </row>
    <row r="395" spans="17:43">
      <c r="Q395" s="695"/>
      <c r="R395" s="696"/>
      <c r="S395" s="696"/>
      <c r="T395" s="696"/>
      <c r="U395" s="696"/>
      <c r="V395" s="696"/>
      <c r="W395" s="696"/>
      <c r="X395" s="696"/>
      <c r="Y395" s="696"/>
      <c r="Z395" s="696"/>
      <c r="AA395" s="696"/>
      <c r="AB395" s="696"/>
      <c r="AC395" s="696"/>
      <c r="AD395" s="696"/>
      <c r="AE395" s="696"/>
      <c r="AG395" s="708" t="s">
        <v>1501</v>
      </c>
      <c r="AH395" s="132"/>
      <c r="AI395" s="132"/>
      <c r="AJ395" s="132"/>
      <c r="AK395" s="132"/>
      <c r="AL395" s="132"/>
      <c r="AM395" s="132"/>
      <c r="AN395" s="132"/>
      <c r="AO395" s="132"/>
      <c r="AP395" s="132"/>
      <c r="AQ395" s="132"/>
    </row>
    <row r="396" spans="17:43">
      <c r="Q396" s="687"/>
      <c r="R396" s="687"/>
      <c r="S396" s="687"/>
      <c r="T396" s="699"/>
      <c r="U396" s="687"/>
      <c r="V396" s="687"/>
      <c r="W396" s="687"/>
      <c r="X396" s="687"/>
      <c r="Y396" s="696"/>
      <c r="Z396" s="687"/>
      <c r="AA396" s="687"/>
      <c r="AB396" s="687"/>
      <c r="AC396" s="687"/>
      <c r="AD396" s="687"/>
      <c r="AE396" s="687"/>
      <c r="AG396" s="708" t="s">
        <v>1569</v>
      </c>
      <c r="AH396" s="132"/>
      <c r="AI396" s="132"/>
      <c r="AJ396" s="132"/>
      <c r="AK396" s="132"/>
      <c r="AL396" s="132"/>
      <c r="AM396" s="132"/>
      <c r="AN396" s="132"/>
      <c r="AO396" s="132"/>
      <c r="AP396" s="132"/>
      <c r="AQ396" s="132"/>
    </row>
    <row r="397" spans="17:43">
      <c r="Q397" s="687"/>
      <c r="R397" s="687"/>
      <c r="S397" s="687"/>
      <c r="T397" s="699"/>
      <c r="U397" s="687"/>
      <c r="V397" s="687"/>
      <c r="W397" s="687"/>
      <c r="X397" s="687"/>
      <c r="Y397" s="696"/>
      <c r="Z397" s="687"/>
      <c r="AA397" s="687"/>
      <c r="AB397" s="687"/>
      <c r="AC397" s="687"/>
      <c r="AD397" s="687"/>
      <c r="AE397" s="687"/>
      <c r="AG397" s="131" t="str">
        <f>PERIOD</f>
        <v>FOR THE TWELVE MONTHS ENDED NOVEMBER 30, 2018</v>
      </c>
      <c r="AH397" s="132"/>
      <c r="AI397" s="132"/>
      <c r="AJ397" s="132"/>
      <c r="AK397" s="132"/>
      <c r="AL397" s="132"/>
      <c r="AM397" s="132"/>
      <c r="AN397" s="132"/>
      <c r="AO397" s="132"/>
      <c r="AP397" s="132"/>
      <c r="AQ397" s="132"/>
    </row>
    <row r="398" spans="17:43">
      <c r="Q398" s="699"/>
      <c r="R398" s="687"/>
      <c r="S398" s="687"/>
      <c r="T398" s="687"/>
      <c r="U398" s="687"/>
      <c r="V398" s="687"/>
      <c r="W398" s="687"/>
      <c r="X398" s="687"/>
      <c r="Y398" s="696"/>
      <c r="Z398" s="687"/>
      <c r="AA398" s="687"/>
      <c r="AB398" s="687"/>
      <c r="AC398" s="700"/>
      <c r="AD398" s="701"/>
      <c r="AE398" s="701"/>
      <c r="AG398" s="131" t="str">
        <f>PeriodF</f>
        <v>FOR THE TWELVE MONTHS ENDED MARCH 31, 2020</v>
      </c>
      <c r="AH398" s="132"/>
      <c r="AI398" s="132"/>
      <c r="AJ398" s="132"/>
      <c r="AK398" s="132"/>
      <c r="AL398" s="132"/>
      <c r="AM398" s="132"/>
      <c r="AN398" s="132"/>
      <c r="AO398" s="132"/>
      <c r="AP398" s="132"/>
      <c r="AQ398" s="132"/>
    </row>
    <row r="399" spans="17:43">
      <c r="Q399" s="699"/>
      <c r="R399" s="687"/>
      <c r="S399" s="687"/>
      <c r="T399" s="687"/>
      <c r="U399" s="687"/>
      <c r="V399" s="687"/>
      <c r="W399" s="687"/>
      <c r="X399" s="687"/>
      <c r="Y399" s="696"/>
      <c r="Z399" s="687"/>
      <c r="AA399" s="687"/>
      <c r="AB399" s="687"/>
      <c r="AC399" s="701"/>
      <c r="AD399" s="701"/>
      <c r="AE399" s="701"/>
      <c r="AJ399" s="136"/>
    </row>
    <row r="400" spans="17:43">
      <c r="Q400" s="701"/>
      <c r="R400" s="687"/>
      <c r="S400" s="687"/>
      <c r="T400" s="687"/>
      <c r="U400" s="687"/>
      <c r="V400" s="687"/>
      <c r="W400" s="687"/>
      <c r="X400" s="687"/>
      <c r="Y400" s="696"/>
      <c r="Z400" s="687"/>
      <c r="AA400" s="687"/>
      <c r="AB400" s="687"/>
      <c r="AC400" s="700"/>
      <c r="AD400" s="701"/>
      <c r="AE400" s="701"/>
      <c r="AG400" s="136" t="str">
        <f>DataB</f>
        <v>DATA: "X" BASE PERIOD  "X" FORECASTED PERIOD</v>
      </c>
      <c r="AP400" s="137" t="s">
        <v>1256</v>
      </c>
    </row>
    <row r="401" spans="17:43">
      <c r="Q401" s="687"/>
      <c r="R401" s="687"/>
      <c r="S401" s="687"/>
      <c r="T401" s="687"/>
      <c r="U401" s="687"/>
      <c r="V401" s="687"/>
      <c r="W401" s="687"/>
      <c r="X401" s="687"/>
      <c r="Y401" s="696"/>
      <c r="Z401" s="687"/>
      <c r="AA401" s="687"/>
      <c r="AB401" s="687"/>
      <c r="AC401" s="701"/>
      <c r="AD401" s="701"/>
      <c r="AE401" s="701"/>
      <c r="AG401" s="136" t="str">
        <f>Type</f>
        <v xml:space="preserve">TYPE OF FILING:  "X" ORIGINAL   UPDATED    REVISED  </v>
      </c>
      <c r="AP401" s="138" t="s">
        <v>1803</v>
      </c>
    </row>
    <row r="402" spans="17:43">
      <c r="Q402" s="594"/>
      <c r="R402" s="594"/>
      <c r="S402" s="594"/>
      <c r="T402" s="594"/>
      <c r="U402" s="594"/>
      <c r="V402" s="594"/>
      <c r="W402" s="594"/>
      <c r="X402" s="594"/>
      <c r="Y402" s="696"/>
      <c r="Z402" s="687"/>
      <c r="AA402" s="687"/>
      <c r="AB402" s="687"/>
      <c r="AC402" s="687"/>
      <c r="AD402" s="594"/>
      <c r="AE402" s="594"/>
      <c r="AG402" s="138" t="s">
        <v>565</v>
      </c>
      <c r="AP402" s="137" t="s">
        <v>566</v>
      </c>
    </row>
    <row r="403" spans="17:43">
      <c r="Q403" s="687"/>
      <c r="R403" s="687"/>
      <c r="S403" s="687"/>
      <c r="T403" s="687"/>
      <c r="U403" s="161"/>
      <c r="V403" s="161"/>
      <c r="W403" s="161"/>
      <c r="X403" s="161"/>
      <c r="Y403" s="696"/>
      <c r="Z403" s="161"/>
      <c r="AA403" s="161"/>
      <c r="AB403" s="687"/>
      <c r="AC403" s="161"/>
      <c r="AD403" s="161"/>
      <c r="AE403" s="161"/>
      <c r="AP403" s="138" t="str">
        <f>_WIT1</f>
        <v>S. E. LAWLER</v>
      </c>
    </row>
    <row r="404" spans="17:43">
      <c r="Q404" s="161"/>
      <c r="R404" s="687"/>
      <c r="S404" s="687"/>
      <c r="T404" s="687"/>
      <c r="U404" s="161"/>
      <c r="V404" s="687"/>
      <c r="W404" s="161"/>
      <c r="X404" s="161"/>
      <c r="Y404" s="696"/>
      <c r="Z404" s="161"/>
      <c r="AA404" s="161"/>
      <c r="AB404" s="161"/>
      <c r="AC404" s="161"/>
      <c r="AD404" s="161"/>
      <c r="AE404" s="161"/>
      <c r="AG404" s="139"/>
      <c r="AH404" s="139"/>
      <c r="AI404" s="139"/>
      <c r="AJ404" s="139"/>
      <c r="AK404" s="143"/>
      <c r="AL404" s="143"/>
      <c r="AM404" s="143"/>
      <c r="AN404" s="143"/>
      <c r="AO404" s="143"/>
      <c r="AP404" s="139"/>
      <c r="AQ404" s="139"/>
    </row>
    <row r="405" spans="17:43">
      <c r="Q405" s="161"/>
      <c r="R405" s="687"/>
      <c r="S405" s="161"/>
      <c r="T405" s="687"/>
      <c r="U405" s="702"/>
      <c r="V405" s="687"/>
      <c r="W405" s="161"/>
      <c r="X405" s="161"/>
      <c r="Y405" s="161"/>
      <c r="Z405" s="161"/>
      <c r="AA405" s="161"/>
      <c r="AB405" s="161"/>
      <c r="AC405" s="161"/>
      <c r="AD405" s="161"/>
      <c r="AE405" s="161"/>
      <c r="AP405" s="140"/>
      <c r="AQ405" s="140" t="str">
        <f>U208</f>
        <v>TOTAL</v>
      </c>
    </row>
    <row r="406" spans="17:43">
      <c r="Q406" s="687"/>
      <c r="R406" s="687"/>
      <c r="S406" s="703"/>
      <c r="T406" s="687"/>
      <c r="U406" s="161"/>
      <c r="V406" s="687"/>
      <c r="W406" s="161"/>
      <c r="X406" s="161"/>
      <c r="Y406" s="161"/>
      <c r="Z406" s="161"/>
      <c r="AA406" s="161"/>
      <c r="AB406" s="161"/>
      <c r="AC406" s="161"/>
      <c r="AD406" s="161"/>
      <c r="AE406" s="161"/>
      <c r="AK406" s="140" t="s">
        <v>884</v>
      </c>
      <c r="AL406" s="140"/>
      <c r="AM406" s="140"/>
      <c r="AN406" s="140" t="str">
        <f>E13</f>
        <v>TOTAL</v>
      </c>
      <c r="AO406" s="140"/>
      <c r="AP406" s="161"/>
      <c r="AQ406" s="161" t="str">
        <f>U209</f>
        <v>PRO FORMA</v>
      </c>
    </row>
    <row r="407" spans="17:43" ht="15.6">
      <c r="Q407" s="161"/>
      <c r="R407" s="704"/>
      <c r="S407" s="687"/>
      <c r="T407" s="687"/>
      <c r="U407" s="687"/>
      <c r="V407" s="687"/>
      <c r="W407" s="687"/>
      <c r="X407" s="687"/>
      <c r="Y407" s="687"/>
      <c r="Z407" s="687"/>
      <c r="AA407" s="687"/>
      <c r="AB407" s="687"/>
      <c r="AC407" s="687"/>
      <c r="AD407" s="687"/>
      <c r="AE407" s="687"/>
      <c r="AG407" s="140" t="s">
        <v>567</v>
      </c>
      <c r="AK407" s="161" t="s">
        <v>739</v>
      </c>
      <c r="AL407" s="161"/>
      <c r="AM407" s="161"/>
      <c r="AN407" s="161" t="str">
        <f>E14</f>
        <v>ADJ. TO</v>
      </c>
      <c r="AO407" s="161"/>
      <c r="AP407" s="161"/>
      <c r="AQ407" s="161" t="s">
        <v>582</v>
      </c>
    </row>
    <row r="408" spans="17:43" ht="15.6">
      <c r="Q408" s="161"/>
      <c r="R408" s="704"/>
      <c r="S408" s="687"/>
      <c r="T408" s="687"/>
      <c r="U408" s="687"/>
      <c r="V408" s="687"/>
      <c r="W408" s="687"/>
      <c r="X408" s="687"/>
      <c r="Y408" s="687"/>
      <c r="Z408" s="687"/>
      <c r="AA408" s="687"/>
      <c r="AB408" s="687"/>
      <c r="AC408" s="687"/>
      <c r="AD408" s="687"/>
      <c r="AE408" s="687"/>
      <c r="AG408" s="143" t="s">
        <v>766</v>
      </c>
      <c r="AH408" s="144"/>
      <c r="AI408" s="143" t="s">
        <v>1581</v>
      </c>
      <c r="AJ408" s="144"/>
      <c r="AK408" s="143" t="s">
        <v>1582</v>
      </c>
      <c r="AL408" s="143"/>
      <c r="AM408" s="143"/>
      <c r="AN408" s="143" t="str">
        <f>E15</f>
        <v>BASE PERIOD</v>
      </c>
      <c r="AO408" s="143"/>
      <c r="AP408" s="143"/>
      <c r="AQ408" s="143" t="s">
        <v>1231</v>
      </c>
    </row>
    <row r="409" spans="17:43">
      <c r="Q409" s="161"/>
      <c r="R409" s="687"/>
      <c r="S409" s="701"/>
      <c r="T409" s="687"/>
      <c r="U409" s="150"/>
      <c r="V409" s="687"/>
      <c r="W409" s="150"/>
      <c r="X409" s="150"/>
      <c r="Y409" s="150"/>
      <c r="Z409" s="150"/>
      <c r="AA409" s="150"/>
      <c r="AB409" s="150"/>
      <c r="AC409" s="150"/>
      <c r="AD409" s="150"/>
      <c r="AE409" s="150"/>
      <c r="AG409" s="144"/>
      <c r="AH409" s="144"/>
      <c r="AI409" s="587" t="s">
        <v>1055</v>
      </c>
      <c r="AJ409" s="144"/>
      <c r="AK409" s="143"/>
      <c r="AL409" s="717"/>
      <c r="AM409" s="717"/>
      <c r="AN409" s="143" t="s">
        <v>164</v>
      </c>
      <c r="AO409" s="143"/>
      <c r="AP409" s="143"/>
      <c r="AQ409" s="143" t="s">
        <v>165</v>
      </c>
    </row>
    <row r="410" spans="17:43" ht="15.6">
      <c r="Q410" s="161"/>
      <c r="R410" s="687"/>
      <c r="S410" s="701"/>
      <c r="T410" s="687"/>
      <c r="U410" s="150"/>
      <c r="V410" s="687"/>
      <c r="W410" s="150"/>
      <c r="X410" s="150"/>
      <c r="Y410" s="150"/>
      <c r="Z410" s="150"/>
      <c r="AA410" s="150"/>
      <c r="AB410" s="150"/>
      <c r="AC410" s="150"/>
      <c r="AD410" s="150"/>
      <c r="AE410" s="150"/>
      <c r="AG410" s="140">
        <v>1</v>
      </c>
      <c r="AH410" s="159" t="s">
        <v>1849</v>
      </c>
      <c r="AM410" s="687"/>
    </row>
    <row r="411" spans="17:43">
      <c r="Q411" s="161"/>
      <c r="R411" s="687"/>
      <c r="S411" s="701"/>
      <c r="T411" s="687"/>
      <c r="U411" s="150"/>
      <c r="V411" s="687"/>
      <c r="W411" s="150"/>
      <c r="X411" s="150"/>
      <c r="Y411" s="150"/>
      <c r="Z411" s="150"/>
      <c r="AA411" s="150"/>
      <c r="AB411" s="150"/>
      <c r="AC411" s="150"/>
      <c r="AD411" s="150"/>
      <c r="AE411" s="687"/>
      <c r="AG411" s="140">
        <v>2</v>
      </c>
      <c r="AI411" s="138" t="s">
        <v>1850</v>
      </c>
      <c r="AK411" s="147">
        <f ca="1">AN411+AQ411</f>
        <v>-547297.78599999845</v>
      </c>
      <c r="AL411" s="147"/>
      <c r="AM411" s="688"/>
      <c r="AN411" s="147">
        <f ca="1">E18</f>
        <v>-2003776.7859999985</v>
      </c>
      <c r="AO411" s="147"/>
      <c r="AP411" s="147"/>
      <c r="AQ411" s="147">
        <f>U213</f>
        <v>1456479</v>
      </c>
    </row>
    <row r="412" spans="17:43">
      <c r="Q412" s="161"/>
      <c r="R412" s="687"/>
      <c r="S412" s="701"/>
      <c r="T412" s="687"/>
      <c r="U412" s="150"/>
      <c r="V412" s="687"/>
      <c r="W412" s="150"/>
      <c r="X412" s="150"/>
      <c r="Y412" s="150"/>
      <c r="Z412" s="150"/>
      <c r="AA412" s="150"/>
      <c r="AB412" s="150"/>
      <c r="AC412" s="150"/>
      <c r="AD412" s="150"/>
      <c r="AE412" s="150"/>
      <c r="AG412" s="140">
        <v>3</v>
      </c>
      <c r="AI412" s="138" t="s">
        <v>1851</v>
      </c>
      <c r="AK412" s="147">
        <f>AN412+AQ412</f>
        <v>-9149070.2140000015</v>
      </c>
      <c r="AL412" s="147"/>
      <c r="AM412" s="688"/>
      <c r="AN412" s="147">
        <f>E19</f>
        <v>-9068523.2140000015</v>
      </c>
      <c r="AO412" s="147"/>
      <c r="AP412" s="147"/>
      <c r="AQ412" s="147">
        <f>U214</f>
        <v>-80547</v>
      </c>
    </row>
    <row r="413" spans="17:43">
      <c r="Q413" s="161"/>
      <c r="R413" s="687"/>
      <c r="S413" s="687"/>
      <c r="T413" s="687"/>
      <c r="U413" s="705"/>
      <c r="V413" s="687"/>
      <c r="W413" s="705"/>
      <c r="X413" s="705"/>
      <c r="Y413" s="705"/>
      <c r="Z413" s="705"/>
      <c r="AA413" s="705"/>
      <c r="AB413" s="705"/>
      <c r="AC413" s="705"/>
      <c r="AD413" s="705"/>
      <c r="AE413" s="705"/>
      <c r="AG413" s="140">
        <v>4</v>
      </c>
      <c r="AI413" s="138" t="s">
        <v>1852</v>
      </c>
      <c r="AK413" s="147">
        <f ca="1">AN413+AQ413</f>
        <v>2641679</v>
      </c>
      <c r="AL413" s="147"/>
      <c r="AM413" s="688"/>
      <c r="AN413" s="147">
        <f ca="1">E20</f>
        <v>3155771</v>
      </c>
      <c r="AO413" s="147"/>
      <c r="AP413" s="147"/>
      <c r="AQ413" s="147">
        <f>U215</f>
        <v>-514092</v>
      </c>
    </row>
    <row r="414" spans="17:43" ht="15.6">
      <c r="Q414" s="161"/>
      <c r="R414" s="704"/>
      <c r="S414" s="687"/>
      <c r="T414" s="687"/>
      <c r="U414" s="687"/>
      <c r="V414" s="687"/>
      <c r="W414" s="687"/>
      <c r="X414" s="687"/>
      <c r="Y414" s="687"/>
      <c r="Z414" s="687"/>
      <c r="AA414" s="687"/>
      <c r="AB414" s="687"/>
      <c r="AC414" s="687"/>
      <c r="AD414" s="687"/>
      <c r="AE414" s="687"/>
      <c r="AG414" s="140">
        <v>5</v>
      </c>
      <c r="AI414" s="138" t="s">
        <v>339</v>
      </c>
      <c r="AK414" s="148">
        <f ca="1">SUM(AK411:AK413)</f>
        <v>-7054689</v>
      </c>
      <c r="AL414" s="150"/>
      <c r="AM414" s="150"/>
      <c r="AN414" s="148">
        <f ca="1">SUM(AN411:AN413)</f>
        <v>-7916529</v>
      </c>
      <c r="AO414" s="150"/>
      <c r="AP414" s="147"/>
      <c r="AQ414" s="148">
        <f>SUM(AQ411:AQ413)</f>
        <v>861840</v>
      </c>
    </row>
    <row r="415" spans="17:43">
      <c r="Q415" s="161"/>
      <c r="R415" s="687"/>
      <c r="S415" s="701"/>
      <c r="T415" s="687"/>
      <c r="U415" s="687"/>
      <c r="V415" s="687"/>
      <c r="W415" s="687"/>
      <c r="X415" s="687"/>
      <c r="Y415" s="687"/>
      <c r="Z415" s="687"/>
      <c r="AA415" s="687"/>
      <c r="AB415" s="687"/>
      <c r="AC415" s="687"/>
      <c r="AD415" s="687"/>
      <c r="AE415" s="687"/>
      <c r="AG415" s="140">
        <v>6</v>
      </c>
      <c r="AK415" s="149"/>
      <c r="AL415" s="149"/>
      <c r="AM415" s="687"/>
      <c r="AN415" s="149"/>
      <c r="AO415" s="149"/>
      <c r="AP415" s="149"/>
      <c r="AQ415" s="149"/>
    </row>
    <row r="416" spans="17:43" ht="15.6">
      <c r="Q416" s="161"/>
      <c r="R416" s="687"/>
      <c r="S416" s="701"/>
      <c r="T416" s="687"/>
      <c r="U416" s="687"/>
      <c r="V416" s="687"/>
      <c r="W416" s="687"/>
      <c r="X416" s="687"/>
      <c r="Y416" s="687"/>
      <c r="Z416" s="687"/>
      <c r="AA416" s="687"/>
      <c r="AB416" s="687"/>
      <c r="AC416" s="687"/>
      <c r="AD416" s="687"/>
      <c r="AE416" s="687"/>
      <c r="AG416" s="140">
        <v>7</v>
      </c>
      <c r="AH416" s="159" t="s">
        <v>1136</v>
      </c>
      <c r="AM416" s="687"/>
    </row>
    <row r="417" spans="17:43">
      <c r="Q417" s="161"/>
      <c r="R417" s="687"/>
      <c r="S417" s="701"/>
      <c r="T417" s="687"/>
      <c r="U417" s="150"/>
      <c r="V417" s="687"/>
      <c r="W417" s="150"/>
      <c r="X417" s="150"/>
      <c r="Y417" s="150"/>
      <c r="Z417" s="150"/>
      <c r="AA417" s="150"/>
      <c r="AB417" s="150"/>
      <c r="AC417" s="150"/>
      <c r="AD417" s="150"/>
      <c r="AE417" s="150"/>
      <c r="AG417" s="140">
        <v>8</v>
      </c>
      <c r="AI417" s="138" t="s">
        <v>1854</v>
      </c>
      <c r="AM417" s="687"/>
    </row>
    <row r="418" spans="17:43">
      <c r="Q418" s="161"/>
      <c r="R418" s="687"/>
      <c r="S418" s="701"/>
      <c r="T418" s="687"/>
      <c r="U418" s="150"/>
      <c r="V418" s="687"/>
      <c r="W418" s="150"/>
      <c r="X418" s="150"/>
      <c r="Y418" s="150"/>
      <c r="Z418" s="150"/>
      <c r="AA418" s="150"/>
      <c r="AB418" s="150"/>
      <c r="AC418" s="150"/>
      <c r="AD418" s="150"/>
      <c r="AE418" s="687"/>
      <c r="AG418" s="140">
        <v>9</v>
      </c>
      <c r="AI418" s="138" t="s">
        <v>340</v>
      </c>
      <c r="AM418" s="687"/>
    </row>
    <row r="419" spans="17:43">
      <c r="Q419" s="161"/>
      <c r="R419" s="687"/>
      <c r="S419" s="701"/>
      <c r="T419" s="687"/>
      <c r="U419" s="150"/>
      <c r="V419" s="687"/>
      <c r="W419" s="150"/>
      <c r="X419" s="150"/>
      <c r="Y419" s="150"/>
      <c r="Z419" s="150"/>
      <c r="AA419" s="150"/>
      <c r="AB419" s="150"/>
      <c r="AC419" s="150"/>
      <c r="AD419" s="150"/>
      <c r="AE419" s="150"/>
      <c r="AG419" s="140">
        <v>10</v>
      </c>
      <c r="AI419" s="138" t="s">
        <v>1856</v>
      </c>
      <c r="AK419" s="147">
        <f>AN419+AQ419</f>
        <v>-1531695</v>
      </c>
      <c r="AL419" s="147"/>
      <c r="AM419" s="688"/>
      <c r="AN419" s="147">
        <f>E26</f>
        <v>-1531695</v>
      </c>
      <c r="AO419" s="147"/>
      <c r="AP419" s="147"/>
      <c r="AQ419" s="147">
        <f>U221</f>
        <v>0</v>
      </c>
    </row>
    <row r="420" spans="17:43">
      <c r="Q420" s="161"/>
      <c r="R420" s="687"/>
      <c r="S420" s="687"/>
      <c r="T420" s="687"/>
      <c r="U420" s="705"/>
      <c r="V420" s="687"/>
      <c r="W420" s="705"/>
      <c r="X420" s="705"/>
      <c r="Y420" s="705"/>
      <c r="Z420" s="705"/>
      <c r="AA420" s="705"/>
      <c r="AB420" s="705"/>
      <c r="AC420" s="705"/>
      <c r="AD420" s="705"/>
      <c r="AE420" s="705"/>
      <c r="AG420" s="140">
        <v>11</v>
      </c>
      <c r="AI420" s="138" t="s">
        <v>700</v>
      </c>
      <c r="AK420" s="147">
        <f ca="1">AN420+AQ420</f>
        <v>456674</v>
      </c>
      <c r="AL420" s="147"/>
      <c r="AM420" s="688"/>
      <c r="AN420" s="147">
        <f ca="1">E27</f>
        <v>839469</v>
      </c>
      <c r="AO420" s="147"/>
      <c r="AP420" s="147"/>
      <c r="AQ420" s="147">
        <f>U222</f>
        <v>-382795</v>
      </c>
    </row>
    <row r="421" spans="17:43">
      <c r="Q421" s="161"/>
      <c r="R421" s="687"/>
      <c r="S421" s="701"/>
      <c r="T421" s="687"/>
      <c r="U421" s="150"/>
      <c r="V421" s="687"/>
      <c r="W421" s="150"/>
      <c r="X421" s="150"/>
      <c r="Y421" s="150"/>
      <c r="Z421" s="150"/>
      <c r="AA421" s="150"/>
      <c r="AB421" s="150"/>
      <c r="AC421" s="150"/>
      <c r="AD421" s="150"/>
      <c r="AE421" s="150"/>
      <c r="AG421" s="140">
        <v>12</v>
      </c>
      <c r="AI421" s="138" t="s">
        <v>1857</v>
      </c>
      <c r="AK421" s="148">
        <f ca="1">SUM(AK419:AK420)</f>
        <v>-1075021</v>
      </c>
      <c r="AL421" s="150"/>
      <c r="AM421" s="150"/>
      <c r="AN421" s="148">
        <f ca="1">SUM(AN419:AN420)</f>
        <v>-692226</v>
      </c>
      <c r="AO421" s="150"/>
      <c r="AP421" s="147"/>
      <c r="AQ421" s="148">
        <f>SUM(AQ419:AQ420)</f>
        <v>-382795</v>
      </c>
    </row>
    <row r="422" spans="17:43">
      <c r="Q422" s="161"/>
      <c r="R422" s="687"/>
      <c r="S422" s="701"/>
      <c r="T422" s="687"/>
      <c r="U422" s="150"/>
      <c r="V422" s="687"/>
      <c r="W422" s="150"/>
      <c r="X422" s="150"/>
      <c r="Y422" s="150"/>
      <c r="Z422" s="150"/>
      <c r="AA422" s="150"/>
      <c r="AB422" s="150"/>
      <c r="AC422" s="150"/>
      <c r="AD422" s="150"/>
      <c r="AE422" s="150"/>
      <c r="AG422" s="140">
        <v>13</v>
      </c>
      <c r="AK422" s="149"/>
      <c r="AL422" s="149"/>
      <c r="AM422" s="687"/>
      <c r="AN422" s="149"/>
      <c r="AO422" s="149"/>
      <c r="AP422" s="149"/>
      <c r="AQ422" s="149"/>
    </row>
    <row r="423" spans="17:43">
      <c r="Q423" s="161"/>
      <c r="R423" s="687"/>
      <c r="S423" s="701"/>
      <c r="T423" s="687"/>
      <c r="U423" s="150"/>
      <c r="V423" s="687"/>
      <c r="W423" s="150"/>
      <c r="X423" s="150"/>
      <c r="Y423" s="150"/>
      <c r="Z423" s="150"/>
      <c r="AA423" s="150"/>
      <c r="AB423" s="150"/>
      <c r="AC423" s="150"/>
      <c r="AD423" s="150"/>
      <c r="AE423" s="150"/>
      <c r="AG423" s="140">
        <v>14</v>
      </c>
      <c r="AI423" s="138" t="s">
        <v>1858</v>
      </c>
      <c r="AK423" s="150"/>
      <c r="AL423" s="150"/>
      <c r="AM423" s="688"/>
      <c r="AN423" s="150"/>
      <c r="AO423" s="150"/>
      <c r="AP423" s="147"/>
      <c r="AQ423" s="150"/>
    </row>
    <row r="424" spans="17:43">
      <c r="Q424" s="161"/>
      <c r="R424" s="687"/>
      <c r="S424" s="701"/>
      <c r="T424" s="687"/>
      <c r="U424" s="150"/>
      <c r="V424" s="687"/>
      <c r="W424" s="150"/>
      <c r="X424" s="150"/>
      <c r="Y424" s="150"/>
      <c r="Z424" s="150"/>
      <c r="AA424" s="150"/>
      <c r="AB424" s="150"/>
      <c r="AC424" s="150"/>
      <c r="AD424" s="150"/>
      <c r="AE424" s="150"/>
      <c r="AG424" s="140">
        <v>15</v>
      </c>
      <c r="AI424" s="138" t="s">
        <v>1859</v>
      </c>
      <c r="AK424" s="147">
        <f ca="1">AN424+AQ424</f>
        <v>-7450751</v>
      </c>
      <c r="AL424" s="147"/>
      <c r="AM424" s="688"/>
      <c r="AN424" s="147">
        <f ca="1">E31</f>
        <v>-7370202</v>
      </c>
      <c r="AO424" s="147"/>
      <c r="AP424" s="147"/>
      <c r="AQ424" s="147">
        <f>U226</f>
        <v>-80549</v>
      </c>
    </row>
    <row r="425" spans="17:43">
      <c r="Q425" s="161"/>
      <c r="R425" s="687"/>
      <c r="S425" s="701"/>
      <c r="T425" s="687"/>
      <c r="U425" s="705"/>
      <c r="V425" s="687"/>
      <c r="W425" s="705"/>
      <c r="X425" s="705"/>
      <c r="Y425" s="705"/>
      <c r="Z425" s="705"/>
      <c r="AA425" s="705"/>
      <c r="AB425" s="705"/>
      <c r="AC425" s="705"/>
      <c r="AD425" s="705"/>
      <c r="AE425" s="705"/>
      <c r="AG425" s="140">
        <v>16</v>
      </c>
      <c r="AI425" s="138" t="s">
        <v>700</v>
      </c>
      <c r="AK425" s="150">
        <f>AN425+AQ425</f>
        <v>-671111</v>
      </c>
      <c r="AL425" s="150"/>
      <c r="AM425" s="688"/>
      <c r="AN425" s="150">
        <f>E32</f>
        <v>-671111</v>
      </c>
      <c r="AO425" s="150"/>
      <c r="AP425" s="147"/>
      <c r="AQ425" s="150">
        <f>U227</f>
        <v>0</v>
      </c>
    </row>
    <row r="426" spans="17:43">
      <c r="Q426" s="161"/>
      <c r="R426" s="687"/>
      <c r="S426" s="701"/>
      <c r="T426" s="687"/>
      <c r="U426" s="150"/>
      <c r="V426" s="687"/>
      <c r="W426" s="150"/>
      <c r="X426" s="150"/>
      <c r="Y426" s="150"/>
      <c r="Z426" s="150"/>
      <c r="AA426" s="150"/>
      <c r="AB426" s="150"/>
      <c r="AC426" s="150"/>
      <c r="AD426" s="150"/>
      <c r="AE426" s="687"/>
      <c r="AG426" s="140">
        <v>17</v>
      </c>
      <c r="AI426" s="138" t="s">
        <v>1860</v>
      </c>
      <c r="AK426" s="148">
        <f ca="1">SUM(AK424:AK425)</f>
        <v>-8121862</v>
      </c>
      <c r="AL426" s="150"/>
      <c r="AM426" s="150"/>
      <c r="AN426" s="148">
        <f ca="1">SUM(AN424:AN425)</f>
        <v>-8041313</v>
      </c>
      <c r="AO426" s="150"/>
      <c r="AP426" s="147"/>
      <c r="AQ426" s="148">
        <f>SUM(AQ424:AQ425)</f>
        <v>-80549</v>
      </c>
    </row>
    <row r="427" spans="17:43">
      <c r="Q427" s="161"/>
      <c r="R427" s="687"/>
      <c r="S427" s="701"/>
      <c r="T427" s="687"/>
      <c r="U427" s="150"/>
      <c r="V427" s="687"/>
      <c r="W427" s="150"/>
      <c r="X427" s="150"/>
      <c r="Y427" s="150"/>
      <c r="Z427" s="150"/>
      <c r="AA427" s="150"/>
      <c r="AB427" s="150"/>
      <c r="AC427" s="150"/>
      <c r="AD427" s="150"/>
      <c r="AE427" s="150"/>
      <c r="AG427" s="140">
        <v>18</v>
      </c>
      <c r="AI427" s="138" t="s">
        <v>1459</v>
      </c>
      <c r="AK427" s="149">
        <f t="shared" ref="AK427:AK433" si="13">AN427+AQ427</f>
        <v>0</v>
      </c>
      <c r="AL427" s="149"/>
      <c r="AM427" s="688"/>
      <c r="AN427" s="149">
        <f t="shared" ref="AN427:AN433" si="14">E34</f>
        <v>0</v>
      </c>
      <c r="AO427" s="149"/>
      <c r="AP427" s="149"/>
      <c r="AQ427" s="149">
        <f t="shared" ref="AQ427:AQ433" si="15">U229</f>
        <v>0</v>
      </c>
    </row>
    <row r="428" spans="17:43">
      <c r="Q428" s="161"/>
      <c r="R428" s="687"/>
      <c r="S428" s="701"/>
      <c r="T428" s="687"/>
      <c r="U428" s="150"/>
      <c r="V428" s="687"/>
      <c r="W428" s="150"/>
      <c r="X428" s="150"/>
      <c r="Y428" s="150"/>
      <c r="Z428" s="150"/>
      <c r="AA428" s="150"/>
      <c r="AB428" s="150"/>
      <c r="AC428" s="150"/>
      <c r="AD428" s="150"/>
      <c r="AE428" s="150"/>
      <c r="AG428" s="140">
        <v>19</v>
      </c>
      <c r="AI428" s="138" t="s">
        <v>341</v>
      </c>
      <c r="AK428" s="147">
        <f t="shared" si="13"/>
        <v>2933493</v>
      </c>
      <c r="AL428" s="147"/>
      <c r="AM428" s="688"/>
      <c r="AN428" s="147">
        <f t="shared" si="14"/>
        <v>1970875</v>
      </c>
      <c r="AO428" s="147"/>
      <c r="AP428" s="147"/>
      <c r="AQ428" s="147">
        <f t="shared" si="15"/>
        <v>962618</v>
      </c>
    </row>
    <row r="429" spans="17:43">
      <c r="Q429" s="161"/>
      <c r="R429" s="687"/>
      <c r="S429" s="701"/>
      <c r="T429" s="687"/>
      <c r="U429" s="150"/>
      <c r="V429" s="687"/>
      <c r="W429" s="150"/>
      <c r="X429" s="150"/>
      <c r="Y429" s="150"/>
      <c r="Z429" s="150"/>
      <c r="AA429" s="150"/>
      <c r="AB429" s="150"/>
      <c r="AC429" s="150"/>
      <c r="AD429" s="150"/>
      <c r="AE429" s="150"/>
      <c r="AG429" s="140">
        <v>20</v>
      </c>
      <c r="AI429" s="138" t="s">
        <v>342</v>
      </c>
      <c r="AK429" s="147">
        <f t="shared" ca="1" si="13"/>
        <v>-1106123</v>
      </c>
      <c r="AL429" s="147"/>
      <c r="AM429" s="688"/>
      <c r="AN429" s="147">
        <f t="shared" ca="1" si="14"/>
        <v>-497608</v>
      </c>
      <c r="AO429" s="147"/>
      <c r="AP429" s="147"/>
      <c r="AQ429" s="147">
        <f t="shared" ca="1" si="15"/>
        <v>-608515</v>
      </c>
    </row>
    <row r="430" spans="17:43">
      <c r="Q430" s="161"/>
      <c r="R430" s="687"/>
      <c r="S430" s="701"/>
      <c r="T430" s="687"/>
      <c r="U430" s="150"/>
      <c r="V430" s="687"/>
      <c r="W430" s="150"/>
      <c r="X430" s="150"/>
      <c r="Y430" s="150"/>
      <c r="Z430" s="150"/>
      <c r="AA430" s="150"/>
      <c r="AB430" s="150"/>
      <c r="AC430" s="150"/>
      <c r="AD430" s="150"/>
      <c r="AE430" s="150"/>
      <c r="AG430" s="140">
        <v>21</v>
      </c>
      <c r="AI430" s="138" t="s">
        <v>343</v>
      </c>
      <c r="AK430" s="147">
        <f t="shared" ca="1" si="13"/>
        <v>-28558</v>
      </c>
      <c r="AL430" s="147"/>
      <c r="AM430" s="688"/>
      <c r="AN430" s="147">
        <f t="shared" ca="1" si="14"/>
        <v>-7963</v>
      </c>
      <c r="AO430" s="147"/>
      <c r="AP430" s="147"/>
      <c r="AQ430" s="147">
        <f t="shared" si="15"/>
        <v>-20595</v>
      </c>
    </row>
    <row r="431" spans="17:43">
      <c r="Q431" s="161"/>
      <c r="R431" s="687"/>
      <c r="S431" s="701"/>
      <c r="T431" s="687"/>
      <c r="U431" s="150"/>
      <c r="V431" s="687"/>
      <c r="W431" s="150"/>
      <c r="X431" s="150"/>
      <c r="Y431" s="150"/>
      <c r="Z431" s="150"/>
      <c r="AA431" s="150"/>
      <c r="AB431" s="150"/>
      <c r="AC431" s="150"/>
      <c r="AD431" s="150"/>
      <c r="AE431" s="150"/>
      <c r="AG431" s="140">
        <v>22</v>
      </c>
      <c r="AI431" s="138" t="s">
        <v>344</v>
      </c>
      <c r="AK431" s="147">
        <f t="shared" ca="1" si="13"/>
        <v>25898</v>
      </c>
      <c r="AL431" s="147"/>
      <c r="AM431" s="688"/>
      <c r="AN431" s="147">
        <f t="shared" ca="1" si="14"/>
        <v>32237</v>
      </c>
      <c r="AO431" s="147"/>
      <c r="AP431" s="147"/>
      <c r="AQ431" s="147">
        <f t="shared" si="15"/>
        <v>-6339</v>
      </c>
    </row>
    <row r="432" spans="17:43">
      <c r="Q432" s="161"/>
      <c r="R432" s="687"/>
      <c r="S432" s="701"/>
      <c r="T432" s="687"/>
      <c r="U432" s="150"/>
      <c r="V432" s="687"/>
      <c r="W432" s="150"/>
      <c r="X432" s="150"/>
      <c r="Y432" s="150"/>
      <c r="Z432" s="150"/>
      <c r="AA432" s="150"/>
      <c r="AB432" s="150"/>
      <c r="AC432" s="150"/>
      <c r="AD432" s="150"/>
      <c r="AE432" s="150"/>
      <c r="AG432" s="140">
        <v>23</v>
      </c>
      <c r="AI432" s="138" t="s">
        <v>345</v>
      </c>
      <c r="AK432" s="147">
        <f t="shared" ca="1" si="13"/>
        <v>-1077975</v>
      </c>
      <c r="AL432" s="147"/>
      <c r="AM432" s="688"/>
      <c r="AN432" s="147">
        <f t="shared" ca="1" si="14"/>
        <v>-593730</v>
      </c>
      <c r="AO432" s="147"/>
      <c r="AP432" s="147"/>
      <c r="AQ432" s="147">
        <f t="shared" si="15"/>
        <v>-484245</v>
      </c>
    </row>
    <row r="433" spans="17:48">
      <c r="Q433" s="161"/>
      <c r="R433" s="687"/>
      <c r="S433" s="687"/>
      <c r="T433" s="687"/>
      <c r="U433" s="705"/>
      <c r="V433" s="687"/>
      <c r="W433" s="705"/>
      <c r="X433" s="705"/>
      <c r="Y433" s="705"/>
      <c r="Z433" s="705"/>
      <c r="AA433" s="705"/>
      <c r="AB433" s="705"/>
      <c r="AC433" s="705"/>
      <c r="AD433" s="705"/>
      <c r="AE433" s="705"/>
      <c r="AG433" s="140">
        <v>24</v>
      </c>
      <c r="AI433" s="138" t="s">
        <v>1554</v>
      </c>
      <c r="AK433" s="147">
        <f t="shared" si="13"/>
        <v>1344678</v>
      </c>
      <c r="AL433" s="147"/>
      <c r="AM433" s="688"/>
      <c r="AN433" s="147">
        <f t="shared" si="14"/>
        <v>801635</v>
      </c>
      <c r="AO433" s="147"/>
      <c r="AP433" s="147"/>
      <c r="AQ433" s="147">
        <f t="shared" si="15"/>
        <v>543043</v>
      </c>
    </row>
    <row r="434" spans="17:48">
      <c r="Q434" s="161"/>
      <c r="R434" s="687"/>
      <c r="S434" s="701"/>
      <c r="T434" s="687"/>
      <c r="U434" s="150"/>
      <c r="V434" s="687"/>
      <c r="W434" s="150"/>
      <c r="X434" s="150"/>
      <c r="Y434" s="150"/>
      <c r="Z434" s="150"/>
      <c r="AA434" s="150"/>
      <c r="AB434" s="150"/>
      <c r="AC434" s="150"/>
      <c r="AD434" s="150"/>
      <c r="AE434" s="150"/>
      <c r="AG434" s="140">
        <v>25</v>
      </c>
      <c r="AI434" s="138" t="s">
        <v>313</v>
      </c>
      <c r="AK434" s="148">
        <f ca="1">AK421+AK426+SUM(AK427:AK433)</f>
        <v>-7105470</v>
      </c>
      <c r="AL434" s="150"/>
      <c r="AM434" s="150"/>
      <c r="AN434" s="148">
        <f ca="1">AN421+AN426+SUM(AN427:AN433)</f>
        <v>-7028093</v>
      </c>
      <c r="AO434" s="150"/>
      <c r="AP434" s="147"/>
      <c r="AQ434" s="148">
        <f ca="1">AQ421+AQ426+SUM(AQ427:AQ433)</f>
        <v>-77377</v>
      </c>
    </row>
    <row r="435" spans="17:48">
      <c r="Q435" s="161"/>
      <c r="R435" s="687"/>
      <c r="S435" s="687"/>
      <c r="T435" s="687"/>
      <c r="U435" s="705"/>
      <c r="V435" s="687"/>
      <c r="W435" s="705"/>
      <c r="X435" s="705"/>
      <c r="Y435" s="705"/>
      <c r="Z435" s="705"/>
      <c r="AA435" s="705"/>
      <c r="AB435" s="705"/>
      <c r="AC435" s="705"/>
      <c r="AD435" s="705"/>
      <c r="AE435" s="705"/>
      <c r="AG435" s="140">
        <v>26</v>
      </c>
      <c r="AK435" s="149"/>
      <c r="AL435" s="149"/>
      <c r="AM435" s="687"/>
      <c r="AN435" s="149"/>
      <c r="AO435" s="149"/>
      <c r="AP435" s="149"/>
      <c r="AQ435" s="149"/>
    </row>
    <row r="436" spans="17:48">
      <c r="Q436" s="161"/>
      <c r="R436" s="687"/>
      <c r="S436" s="701"/>
      <c r="T436" s="687"/>
      <c r="U436" s="687"/>
      <c r="V436" s="687"/>
      <c r="W436" s="687"/>
      <c r="X436" s="687"/>
      <c r="Y436" s="687"/>
      <c r="Z436" s="687"/>
      <c r="AA436" s="687"/>
      <c r="AB436" s="687"/>
      <c r="AC436" s="687"/>
      <c r="AD436" s="687"/>
      <c r="AE436" s="687"/>
      <c r="AG436" s="140">
        <v>27</v>
      </c>
      <c r="AI436" s="138" t="s">
        <v>1901</v>
      </c>
      <c r="AK436" s="151">
        <f ca="1">AN436+AQ436</f>
        <v>219545</v>
      </c>
      <c r="AL436" s="150"/>
      <c r="AM436" s="688"/>
      <c r="AN436" s="151">
        <f ca="1">E43</f>
        <v>1303985</v>
      </c>
      <c r="AO436" s="150"/>
      <c r="AP436" s="147"/>
      <c r="AQ436" s="151">
        <f ca="1">U238</f>
        <v>-1084440</v>
      </c>
    </row>
    <row r="437" spans="17:48">
      <c r="Q437" s="161"/>
      <c r="R437" s="687"/>
      <c r="S437" s="701"/>
      <c r="T437" s="687"/>
      <c r="U437" s="150"/>
      <c r="V437" s="687"/>
      <c r="W437" s="150"/>
      <c r="X437" s="150"/>
      <c r="Y437" s="150"/>
      <c r="Z437" s="150"/>
      <c r="AA437" s="150"/>
      <c r="AB437" s="150"/>
      <c r="AC437" s="150"/>
      <c r="AD437" s="150"/>
      <c r="AE437" s="687"/>
      <c r="AG437" s="140">
        <v>28</v>
      </c>
      <c r="AK437" s="149"/>
      <c r="AL437" s="149"/>
      <c r="AM437" s="687"/>
      <c r="AN437" s="149"/>
      <c r="AO437" s="149"/>
      <c r="AP437" s="149"/>
      <c r="AQ437" s="149"/>
    </row>
    <row r="438" spans="17:48">
      <c r="Q438" s="161"/>
      <c r="R438" s="687"/>
      <c r="S438" s="701"/>
      <c r="T438" s="687"/>
      <c r="U438" s="150"/>
      <c r="V438" s="687"/>
      <c r="W438" s="150"/>
      <c r="X438" s="150"/>
      <c r="Y438" s="150"/>
      <c r="Z438" s="150"/>
      <c r="AA438" s="150"/>
      <c r="AB438" s="150"/>
      <c r="AC438" s="150"/>
      <c r="AD438" s="150"/>
      <c r="AE438" s="687"/>
      <c r="AG438" s="140">
        <v>29</v>
      </c>
      <c r="AI438" s="138" t="s">
        <v>491</v>
      </c>
      <c r="AM438" s="687"/>
    </row>
    <row r="439" spans="17:48">
      <c r="Q439" s="161"/>
      <c r="R439" s="687"/>
      <c r="S439" s="701"/>
      <c r="T439" s="687"/>
      <c r="U439" s="150"/>
      <c r="V439" s="687"/>
      <c r="W439" s="150"/>
      <c r="X439" s="150"/>
      <c r="Y439" s="150"/>
      <c r="Z439" s="150"/>
      <c r="AA439" s="150"/>
      <c r="AB439" s="150"/>
      <c r="AC439" s="150"/>
      <c r="AD439" s="150"/>
      <c r="AE439" s="150"/>
      <c r="AG439" s="140">
        <v>30</v>
      </c>
      <c r="AI439" s="138" t="s">
        <v>1285</v>
      </c>
      <c r="AK439" s="147">
        <f>AN439+AQ439</f>
        <v>-206000</v>
      </c>
      <c r="AL439" s="147"/>
      <c r="AM439" s="688"/>
      <c r="AN439" s="147">
        <f>E46</f>
        <v>-206000</v>
      </c>
      <c r="AO439" s="147"/>
      <c r="AP439" s="147"/>
      <c r="AQ439" s="147">
        <f>U241</f>
        <v>0</v>
      </c>
    </row>
    <row r="440" spans="17:48">
      <c r="Q440" s="161"/>
      <c r="R440" s="687"/>
      <c r="S440" s="687"/>
      <c r="T440" s="687"/>
      <c r="U440" s="150"/>
      <c r="V440" s="687"/>
      <c r="W440" s="705"/>
      <c r="X440" s="705"/>
      <c r="Y440" s="705"/>
      <c r="Z440" s="705"/>
      <c r="AA440" s="705"/>
      <c r="AB440" s="705"/>
      <c r="AC440" s="705"/>
      <c r="AD440" s="705"/>
      <c r="AE440" s="705"/>
      <c r="AG440" s="140">
        <v>31</v>
      </c>
      <c r="AI440" s="138" t="s">
        <v>1287</v>
      </c>
      <c r="AK440" s="147">
        <f>AN440+AQ440</f>
        <v>697358</v>
      </c>
      <c r="AL440" s="147"/>
      <c r="AM440" s="688"/>
      <c r="AN440" s="147">
        <f>E47</f>
        <v>742096</v>
      </c>
      <c r="AO440" s="147"/>
      <c r="AP440" s="147"/>
      <c r="AQ440" s="147">
        <f>U242</f>
        <v>-44738</v>
      </c>
    </row>
    <row r="441" spans="17:48" ht="15.6">
      <c r="Q441" s="161"/>
      <c r="R441" s="687"/>
      <c r="S441" s="701"/>
      <c r="T441" s="687"/>
      <c r="U441" s="687"/>
      <c r="V441" s="687"/>
      <c r="W441" s="687"/>
      <c r="X441" s="687"/>
      <c r="Y441" s="687"/>
      <c r="Z441" s="687"/>
      <c r="AA441" s="687"/>
      <c r="AB441" s="687"/>
      <c r="AC441" s="687"/>
      <c r="AD441" s="687"/>
      <c r="AE441" s="687"/>
      <c r="AG441" s="140">
        <v>32</v>
      </c>
      <c r="AI441" s="138" t="s">
        <v>317</v>
      </c>
      <c r="AK441" s="148">
        <f>SUM(AK439:AK440)</f>
        <v>491358</v>
      </c>
      <c r="AL441" s="150"/>
      <c r="AM441" s="150"/>
      <c r="AN441" s="148">
        <f>SUM(AN439:AN440)</f>
        <v>536096</v>
      </c>
      <c r="AO441" s="150"/>
      <c r="AP441" s="147"/>
      <c r="AQ441" s="148">
        <f>SUM(AQ439:AQ440)</f>
        <v>-44738</v>
      </c>
      <c r="AS441" s="152" t="s">
        <v>319</v>
      </c>
    </row>
    <row r="442" spans="17:48" ht="15.6" thickBot="1">
      <c r="Q442" s="161"/>
      <c r="R442" s="687"/>
      <c r="S442" s="701"/>
      <c r="T442" s="687"/>
      <c r="U442" s="150"/>
      <c r="V442" s="687"/>
      <c r="W442" s="150"/>
      <c r="X442" s="150"/>
      <c r="Y442" s="150"/>
      <c r="Z442" s="150"/>
      <c r="AA442" s="150"/>
      <c r="AB442" s="150"/>
      <c r="AC442" s="150"/>
      <c r="AD442" s="150"/>
      <c r="AE442" s="150"/>
      <c r="AG442" s="140">
        <v>33</v>
      </c>
      <c r="AI442" s="138"/>
      <c r="AK442" s="150"/>
      <c r="AL442" s="150"/>
      <c r="AM442" s="687"/>
      <c r="AN442" s="150"/>
      <c r="AO442" s="150"/>
      <c r="AP442" s="147"/>
      <c r="AQ442" s="150"/>
      <c r="AS442" s="686" t="s">
        <v>2153</v>
      </c>
      <c r="AT442" s="714" t="s">
        <v>1600</v>
      </c>
      <c r="AU442" s="714" t="s">
        <v>1599</v>
      </c>
    </row>
    <row r="443" spans="17:48" ht="15.6" thickTop="1">
      <c r="Q443" s="161"/>
      <c r="R443" s="687"/>
      <c r="S443" s="701"/>
      <c r="T443" s="687"/>
      <c r="U443" s="150"/>
      <c r="V443" s="687"/>
      <c r="W443" s="150"/>
      <c r="X443" s="150"/>
      <c r="Y443" s="150"/>
      <c r="Z443" s="150"/>
      <c r="AA443" s="150"/>
      <c r="AB443" s="150"/>
      <c r="AC443" s="150"/>
      <c r="AD443" s="150"/>
      <c r="AE443" s="687"/>
      <c r="AG443" s="140">
        <v>34</v>
      </c>
      <c r="AI443" s="138" t="s">
        <v>318</v>
      </c>
      <c r="AM443" s="687"/>
      <c r="AS443" s="693">
        <f ca="1">AK446</f>
        <v>52834</v>
      </c>
      <c r="AT443" s="710">
        <f ca="1">AN446</f>
        <v>-66102</v>
      </c>
      <c r="AU443" s="710">
        <f ca="1">AQ446</f>
        <v>118936</v>
      </c>
      <c r="AV443" s="691" t="s">
        <v>320</v>
      </c>
    </row>
    <row r="444" spans="17:48">
      <c r="Q444" s="161"/>
      <c r="R444" s="687"/>
      <c r="S444" s="701"/>
      <c r="T444" s="687"/>
      <c r="U444" s="150"/>
      <c r="V444" s="687"/>
      <c r="W444" s="150"/>
      <c r="X444" s="150"/>
      <c r="Y444" s="150"/>
      <c r="Z444" s="150"/>
      <c r="AA444" s="150"/>
      <c r="AB444" s="150"/>
      <c r="AC444" s="150"/>
      <c r="AD444" s="150"/>
      <c r="AE444" s="687"/>
      <c r="AG444" s="140">
        <v>35</v>
      </c>
      <c r="AI444" s="138" t="s">
        <v>1465</v>
      </c>
      <c r="AK444" s="147">
        <f ca="1">AN444+AQ444</f>
        <v>-490628</v>
      </c>
      <c r="AL444" s="147"/>
      <c r="AM444" s="688"/>
      <c r="AN444" s="147">
        <f ca="1">E51</f>
        <v>-562994</v>
      </c>
      <c r="AO444" s="147"/>
      <c r="AP444" s="147"/>
      <c r="AQ444" s="147">
        <f ca="1">U246</f>
        <v>72366</v>
      </c>
      <c r="AS444" s="715">
        <f ca="1">SCH_E1!$I$104+SCH_E1!L104</f>
        <v>52834</v>
      </c>
      <c r="AT444" s="716">
        <f ca="1">SCH_E1!$I$104</f>
        <v>-66102</v>
      </c>
      <c r="AU444" s="711">
        <f ca="1">SCH_E1!L104</f>
        <v>118936</v>
      </c>
      <c r="AV444" s="706" t="s">
        <v>321</v>
      </c>
    </row>
    <row r="445" spans="17:48" ht="15.6" thickBot="1">
      <c r="Q445" s="161"/>
      <c r="R445" s="687"/>
      <c r="S445" s="701"/>
      <c r="T445" s="687"/>
      <c r="U445" s="150"/>
      <c r="V445" s="687"/>
      <c r="W445" s="150"/>
      <c r="X445" s="150"/>
      <c r="Y445" s="150"/>
      <c r="Z445" s="150"/>
      <c r="AA445" s="150"/>
      <c r="AB445" s="150"/>
      <c r="AC445" s="150"/>
      <c r="AD445" s="150"/>
      <c r="AE445" s="150"/>
      <c r="AG445" s="140">
        <v>36</v>
      </c>
      <c r="AI445" s="138" t="s">
        <v>1017</v>
      </c>
      <c r="AK445" s="147">
        <f ca="1">AN445+AQ445</f>
        <v>543462</v>
      </c>
      <c r="AL445" s="147"/>
      <c r="AM445" s="688"/>
      <c r="AN445" s="147">
        <f ca="1">E52</f>
        <v>496892</v>
      </c>
      <c r="AO445" s="147"/>
      <c r="AP445" s="147"/>
      <c r="AQ445" s="147">
        <f ca="1">U247</f>
        <v>46570</v>
      </c>
      <c r="AS445" s="690">
        <f ca="1">AS443-AS444</f>
        <v>0</v>
      </c>
      <c r="AT445" s="712">
        <f ca="1">AT443-AT444</f>
        <v>0</v>
      </c>
      <c r="AU445" s="712">
        <f ca="1">AU443-AU444</f>
        <v>0</v>
      </c>
      <c r="AV445" s="692" t="s">
        <v>322</v>
      </c>
    </row>
    <row r="446" spans="17:48" ht="15.6" thickTop="1">
      <c r="Q446" s="161"/>
      <c r="R446" s="687"/>
      <c r="S446" s="701"/>
      <c r="T446" s="687"/>
      <c r="U446" s="687"/>
      <c r="V446" s="687"/>
      <c r="W446" s="687"/>
      <c r="X446" s="687"/>
      <c r="Y446" s="687"/>
      <c r="Z446" s="687"/>
      <c r="AA446" s="687"/>
      <c r="AB446" s="687"/>
      <c r="AC446" s="687"/>
      <c r="AD446" s="687"/>
      <c r="AE446" s="687"/>
      <c r="AG446" s="140">
        <v>37</v>
      </c>
      <c r="AI446" s="138" t="s">
        <v>323</v>
      </c>
      <c r="AK446" s="148">
        <f ca="1">SUM(AK444:AK445)</f>
        <v>52834</v>
      </c>
      <c r="AL446" s="150"/>
      <c r="AM446" s="150"/>
      <c r="AN446" s="148">
        <f ca="1">SUM(AN444:AN445)</f>
        <v>-66102</v>
      </c>
      <c r="AO446" s="150"/>
      <c r="AP446" s="147"/>
      <c r="AQ446" s="148">
        <f ca="1">SUM(AQ444:AQ445)</f>
        <v>118936</v>
      </c>
      <c r="AV446" s="153"/>
    </row>
    <row r="447" spans="17:48" ht="15.6">
      <c r="Q447" s="161"/>
      <c r="R447" s="687"/>
      <c r="S447" s="701"/>
      <c r="T447" s="687"/>
      <c r="U447" s="150"/>
      <c r="V447" s="687"/>
      <c r="W447" s="150"/>
      <c r="X447" s="150"/>
      <c r="Y447" s="150"/>
      <c r="Z447" s="150"/>
      <c r="AA447" s="150"/>
      <c r="AB447" s="150"/>
      <c r="AC447" s="150"/>
      <c r="AD447" s="150"/>
      <c r="AE447" s="150"/>
      <c r="AG447" s="140">
        <v>38</v>
      </c>
      <c r="AK447" s="149"/>
      <c r="AL447" s="149"/>
      <c r="AM447" s="687"/>
      <c r="AN447" s="149"/>
      <c r="AO447" s="149"/>
      <c r="AP447" s="149"/>
      <c r="AQ447" s="149"/>
      <c r="AS447" s="152" t="s">
        <v>324</v>
      </c>
      <c r="AV447" s="154"/>
    </row>
    <row r="448" spans="17:48" ht="15.6" thickBot="1">
      <c r="Q448" s="161"/>
      <c r="R448" s="687"/>
      <c r="S448" s="701"/>
      <c r="T448" s="687"/>
      <c r="U448" s="150"/>
      <c r="V448" s="687"/>
      <c r="W448" s="150"/>
      <c r="X448" s="150"/>
      <c r="Y448" s="150"/>
      <c r="Z448" s="150"/>
      <c r="AA448" s="150"/>
      <c r="AB448" s="150"/>
      <c r="AC448" s="150"/>
      <c r="AD448" s="150"/>
      <c r="AE448" s="687"/>
      <c r="AG448" s="140">
        <v>39</v>
      </c>
      <c r="AI448" s="138" t="s">
        <v>14</v>
      </c>
      <c r="AM448" s="687"/>
      <c r="AS448" s="686" t="s">
        <v>2153</v>
      </c>
      <c r="AT448" s="714" t="s">
        <v>1600</v>
      </c>
      <c r="AU448" s="714" t="s">
        <v>1599</v>
      </c>
      <c r="AV448" s="155"/>
    </row>
    <row r="449" spans="17:48" ht="15.6" thickTop="1">
      <c r="Q449" s="161"/>
      <c r="R449" s="687"/>
      <c r="S449" s="701"/>
      <c r="T449" s="687"/>
      <c r="U449" s="150"/>
      <c r="V449" s="687"/>
      <c r="W449" s="150"/>
      <c r="X449" s="150"/>
      <c r="Y449" s="150"/>
      <c r="Z449" s="150"/>
      <c r="AA449" s="150"/>
      <c r="AB449" s="150"/>
      <c r="AC449" s="150"/>
      <c r="AD449" s="150"/>
      <c r="AE449" s="687"/>
      <c r="AG449" s="140">
        <v>40</v>
      </c>
      <c r="AI449" s="138" t="s">
        <v>1465</v>
      </c>
      <c r="AK449" s="147">
        <f ca="1">AN449+AQ449</f>
        <v>-3074411</v>
      </c>
      <c r="AL449" s="147"/>
      <c r="AM449" s="688"/>
      <c r="AN449" s="147">
        <f ca="1">E56</f>
        <v>-3365082</v>
      </c>
      <c r="AO449" s="147"/>
      <c r="AP449" s="147"/>
      <c r="AQ449" s="147">
        <f ca="1">U251</f>
        <v>290671</v>
      </c>
      <c r="AS449" s="693">
        <f ca="1">AK452</f>
        <v>-2380680</v>
      </c>
      <c r="AT449" s="710">
        <f ca="1">AN452</f>
        <v>-2858422</v>
      </c>
      <c r="AU449" s="710">
        <f ca="1">AQ452</f>
        <v>477742</v>
      </c>
      <c r="AV449" s="691" t="s">
        <v>320</v>
      </c>
    </row>
    <row r="450" spans="17:48">
      <c r="Q450" s="161"/>
      <c r="R450" s="687"/>
      <c r="S450" s="701"/>
      <c r="T450" s="687"/>
      <c r="U450" s="150"/>
      <c r="V450" s="687"/>
      <c r="W450" s="150"/>
      <c r="X450" s="150"/>
      <c r="Y450" s="150"/>
      <c r="Z450" s="150"/>
      <c r="AA450" s="150"/>
      <c r="AB450" s="150"/>
      <c r="AC450" s="150"/>
      <c r="AD450" s="150"/>
      <c r="AE450" s="150"/>
      <c r="AG450" s="140">
        <v>41</v>
      </c>
      <c r="AI450" s="138" t="s">
        <v>1017</v>
      </c>
      <c r="AK450" s="147">
        <f ca="1">AN450+AQ450</f>
        <v>692545</v>
      </c>
      <c r="AL450" s="147"/>
      <c r="AM450" s="688"/>
      <c r="AN450" s="147">
        <f ca="1">E57</f>
        <v>505474</v>
      </c>
      <c r="AO450" s="147"/>
      <c r="AP450" s="147"/>
      <c r="AQ450" s="147">
        <f ca="1">U252</f>
        <v>187071</v>
      </c>
      <c r="AS450" s="689">
        <f ca="1">SCH_E1!$I$125+SCH_E1!$L$125</f>
        <v>-2380680</v>
      </c>
      <c r="AT450" s="711">
        <f ca="1">SCH_E1!$I$125</f>
        <v>-2858422</v>
      </c>
      <c r="AU450" s="711">
        <f ca="1">SCH_E1!$L$125</f>
        <v>477742</v>
      </c>
      <c r="AV450" s="706" t="s">
        <v>321</v>
      </c>
    </row>
    <row r="451" spans="17:48" ht="15.6" thickBot="1">
      <c r="Q451" s="161"/>
      <c r="R451" s="687"/>
      <c r="S451" s="687"/>
      <c r="T451" s="687"/>
      <c r="U451" s="705"/>
      <c r="V451" s="687"/>
      <c r="W451" s="705"/>
      <c r="X451" s="705"/>
      <c r="Y451" s="705"/>
      <c r="Z451" s="705"/>
      <c r="AA451" s="705"/>
      <c r="AB451" s="705"/>
      <c r="AC451" s="705"/>
      <c r="AD451" s="705"/>
      <c r="AE451" s="705"/>
      <c r="AG451" s="140">
        <v>42</v>
      </c>
      <c r="AI451" s="138" t="s">
        <v>1016</v>
      </c>
      <c r="AK451" s="147">
        <f>AN451+AQ451</f>
        <v>1186</v>
      </c>
      <c r="AL451" s="147"/>
      <c r="AM451" s="688"/>
      <c r="AN451" s="147">
        <f>E58</f>
        <v>1186</v>
      </c>
      <c r="AO451" s="147"/>
      <c r="AP451" s="147"/>
      <c r="AQ451" s="147">
        <f>U253</f>
        <v>0</v>
      </c>
      <c r="AS451" s="690">
        <f ca="1">AS449-AS450</f>
        <v>0</v>
      </c>
      <c r="AT451" s="712">
        <f ca="1">AT449-AT450</f>
        <v>0</v>
      </c>
      <c r="AU451" s="712">
        <f ca="1">AU449-AU450</f>
        <v>0</v>
      </c>
      <c r="AV451" s="692" t="s">
        <v>322</v>
      </c>
    </row>
    <row r="452" spans="17:48" ht="15.6" thickTop="1">
      <c r="Q452" s="161"/>
      <c r="R452" s="687"/>
      <c r="S452" s="701"/>
      <c r="T452" s="687"/>
      <c r="U452" s="150"/>
      <c r="V452" s="687"/>
      <c r="W452" s="150"/>
      <c r="X452" s="150"/>
      <c r="Y452" s="150"/>
      <c r="Z452" s="150"/>
      <c r="AA452" s="150"/>
      <c r="AB452" s="150"/>
      <c r="AC452" s="150"/>
      <c r="AD452" s="150"/>
      <c r="AE452" s="150"/>
      <c r="AG452" s="140">
        <v>43</v>
      </c>
      <c r="AI452" s="138" t="s">
        <v>325</v>
      </c>
      <c r="AK452" s="148">
        <f ca="1">SUM(AK449:AK451)</f>
        <v>-2380680</v>
      </c>
      <c r="AL452" s="150"/>
      <c r="AM452" s="150"/>
      <c r="AN452" s="148">
        <f ca="1">SUM(AN449:AN451)</f>
        <v>-2858422</v>
      </c>
      <c r="AO452" s="150"/>
      <c r="AP452" s="147"/>
      <c r="AQ452" s="148">
        <f ca="1">SUM(AQ449:AQ451)</f>
        <v>477742</v>
      </c>
    </row>
    <row r="453" spans="17:48">
      <c r="Q453" s="161"/>
      <c r="R453" s="687"/>
      <c r="S453" s="687"/>
      <c r="T453" s="687"/>
      <c r="U453" s="705"/>
      <c r="V453" s="687"/>
      <c r="W453" s="705"/>
      <c r="X453" s="705"/>
      <c r="Y453" s="705"/>
      <c r="Z453" s="705"/>
      <c r="AA453" s="705"/>
      <c r="AB453" s="705"/>
      <c r="AC453" s="705"/>
      <c r="AD453" s="705"/>
      <c r="AE453" s="705"/>
      <c r="AG453" s="140">
        <v>44</v>
      </c>
      <c r="AK453" s="149"/>
      <c r="AL453" s="149"/>
      <c r="AM453" s="687"/>
      <c r="AN453" s="149"/>
      <c r="AO453" s="149"/>
      <c r="AP453" s="149"/>
      <c r="AQ453" s="149"/>
    </row>
    <row r="454" spans="17:48" ht="16.2" thickBot="1">
      <c r="Q454" s="161"/>
      <c r="R454" s="687"/>
      <c r="S454" s="701"/>
      <c r="T454" s="687"/>
      <c r="U454" s="150"/>
      <c r="V454" s="687"/>
      <c r="W454" s="150"/>
      <c r="X454" s="150"/>
      <c r="Y454" s="150"/>
      <c r="Z454" s="150"/>
      <c r="AA454" s="150"/>
      <c r="AB454" s="150"/>
      <c r="AC454" s="150"/>
      <c r="AD454" s="150"/>
      <c r="AE454" s="150"/>
      <c r="AG454" s="140">
        <v>45</v>
      </c>
      <c r="AI454" s="138" t="s">
        <v>326</v>
      </c>
      <c r="AK454" s="151">
        <f ca="1">AK434+AK436+AK441+AK446+AK452</f>
        <v>-8722413</v>
      </c>
      <c r="AL454" s="150"/>
      <c r="AM454" s="150"/>
      <c r="AN454" s="151">
        <f ca="1">AN434+AN436+AN441+AN446+AN452</f>
        <v>-8112536</v>
      </c>
      <c r="AO454" s="150"/>
      <c r="AP454" s="147"/>
      <c r="AQ454" s="151">
        <f ca="1">AQ434+AQ436+AQ441+AQ446+AQ452</f>
        <v>-609877</v>
      </c>
      <c r="AS454" s="156" t="s">
        <v>327</v>
      </c>
      <c r="AT454" s="156"/>
      <c r="AU454" s="156"/>
      <c r="AV454" s="155"/>
    </row>
    <row r="455" spans="17:48" ht="15.6" thickBot="1">
      <c r="Q455" s="161"/>
      <c r="R455" s="687"/>
      <c r="S455" s="687"/>
      <c r="T455" s="687"/>
      <c r="U455" s="705"/>
      <c r="V455" s="687"/>
      <c r="W455" s="705"/>
      <c r="X455" s="705"/>
      <c r="Y455" s="705"/>
      <c r="Z455" s="705"/>
      <c r="AA455" s="705"/>
      <c r="AB455" s="705"/>
      <c r="AC455" s="705"/>
      <c r="AD455" s="705"/>
      <c r="AE455" s="705"/>
      <c r="AG455" s="140">
        <v>46</v>
      </c>
      <c r="AK455" s="149"/>
      <c r="AL455" s="149"/>
      <c r="AM455" s="687"/>
      <c r="AN455" s="149"/>
      <c r="AO455" s="149"/>
      <c r="AP455" s="149"/>
      <c r="AQ455" s="149"/>
      <c r="AS455" s="694">
        <f ca="1">ABS(AS445)+ABS(AS451)</f>
        <v>0</v>
      </c>
      <c r="AT455" s="713"/>
      <c r="AU455" s="713"/>
      <c r="AV455" s="707"/>
    </row>
    <row r="456" spans="17:48" ht="15.6" thickBot="1">
      <c r="Q456" s="687"/>
      <c r="R456" s="687"/>
      <c r="S456" s="687"/>
      <c r="T456" s="687"/>
      <c r="U456" s="687"/>
      <c r="V456" s="687"/>
      <c r="W456" s="687"/>
      <c r="X456" s="687"/>
      <c r="Y456" s="687"/>
      <c r="Z456" s="687"/>
      <c r="AA456" s="687"/>
      <c r="AB456" s="687"/>
      <c r="AC456" s="687"/>
      <c r="AD456" s="687"/>
      <c r="AE456" s="687"/>
      <c r="AG456" s="140">
        <v>47</v>
      </c>
      <c r="AI456" s="138" t="s">
        <v>1533</v>
      </c>
      <c r="AK456" s="157">
        <f ca="1">AK414-AK454</f>
        <v>1667724</v>
      </c>
      <c r="AL456" s="150"/>
      <c r="AM456" s="150"/>
      <c r="AN456" s="157">
        <f ca="1">AN414-AN454</f>
        <v>196007</v>
      </c>
      <c r="AO456" s="150"/>
      <c r="AP456" s="147"/>
      <c r="AQ456" s="157">
        <f ca="1">AQ414-AQ454</f>
        <v>1471717</v>
      </c>
    </row>
    <row r="457" spans="17:48" ht="15.6" thickTop="1">
      <c r="Q457" s="695"/>
      <c r="R457" s="696"/>
      <c r="S457" s="696"/>
      <c r="T457" s="696"/>
      <c r="U457" s="696"/>
      <c r="V457" s="696"/>
      <c r="W457" s="696"/>
      <c r="X457" s="696"/>
      <c r="Y457" s="696"/>
      <c r="Z457" s="696"/>
      <c r="AA457" s="696"/>
      <c r="AB457" s="696"/>
      <c r="AC457" s="696"/>
      <c r="AD457" s="696"/>
      <c r="AE457" s="696"/>
      <c r="AJ457" s="147"/>
      <c r="AK457" s="149" t="str">
        <f ca="1">IF(AK456=SCH_C2!F62+SCH_C2!J62,"","CHECK SCH C-2")</f>
        <v/>
      </c>
      <c r="AL457" s="149"/>
      <c r="AM457" s="705"/>
      <c r="AN457" s="149"/>
      <c r="AO457" s="149"/>
      <c r="AP457" s="149"/>
      <c r="AQ457" s="149"/>
    </row>
    <row r="458" spans="17:48">
      <c r="Q458" s="695"/>
      <c r="R458" s="696"/>
      <c r="S458" s="696"/>
      <c r="T458" s="696"/>
      <c r="U458" s="697"/>
      <c r="V458" s="697"/>
      <c r="W458" s="696"/>
      <c r="X458" s="696"/>
      <c r="Y458" s="696"/>
      <c r="Z458" s="696"/>
      <c r="AA458" s="696"/>
      <c r="AB458" s="696"/>
      <c r="AC458" s="696"/>
      <c r="AD458" s="696"/>
      <c r="AE458" s="696"/>
    </row>
    <row r="459" spans="17:48">
      <c r="Q459" s="698"/>
      <c r="R459" s="696"/>
      <c r="S459" s="696"/>
      <c r="T459" s="696"/>
      <c r="U459" s="696"/>
      <c r="V459" s="696"/>
      <c r="W459" s="696"/>
      <c r="X459" s="696"/>
      <c r="Y459" s="696"/>
      <c r="Z459" s="696"/>
      <c r="AA459" s="696"/>
      <c r="AB459" s="696"/>
      <c r="AC459" s="696"/>
      <c r="AD459" s="696"/>
      <c r="AE459" s="696"/>
    </row>
    <row r="460" spans="17:48">
      <c r="Q460" s="695"/>
      <c r="R460" s="696"/>
      <c r="S460" s="696"/>
      <c r="T460" s="696"/>
      <c r="U460" s="696"/>
      <c r="V460" s="696"/>
      <c r="W460" s="696"/>
      <c r="X460" s="696"/>
      <c r="Y460" s="696"/>
      <c r="Z460" s="696"/>
      <c r="AA460" s="696"/>
      <c r="AB460" s="696"/>
      <c r="AC460" s="696"/>
      <c r="AD460" s="696"/>
      <c r="AE460" s="696"/>
    </row>
    <row r="461" spans="17:48">
      <c r="Q461" s="695"/>
      <c r="R461" s="696"/>
      <c r="S461" s="696"/>
      <c r="T461" s="696"/>
      <c r="U461" s="696"/>
      <c r="V461" s="696"/>
      <c r="W461" s="696"/>
      <c r="X461" s="696"/>
      <c r="Y461" s="696"/>
      <c r="Z461" s="696"/>
      <c r="AA461" s="696"/>
      <c r="AB461" s="696"/>
      <c r="AC461" s="696"/>
      <c r="AD461" s="696"/>
      <c r="AE461" s="696"/>
    </row>
    <row r="462" spans="17:48">
      <c r="Q462" s="687"/>
      <c r="R462" s="687"/>
      <c r="S462" s="687"/>
      <c r="T462" s="699"/>
      <c r="U462" s="687"/>
      <c r="V462" s="687"/>
      <c r="W462" s="687"/>
      <c r="X462" s="687"/>
      <c r="Y462" s="687"/>
      <c r="Z462" s="687"/>
      <c r="AA462" s="687"/>
      <c r="AB462" s="687"/>
      <c r="AC462" s="687"/>
      <c r="AD462" s="687"/>
      <c r="AE462" s="687"/>
    </row>
    <row r="463" spans="17:48">
      <c r="Q463" s="699"/>
      <c r="R463" s="687"/>
      <c r="S463" s="687"/>
      <c r="T463" s="687"/>
      <c r="U463" s="687"/>
      <c r="V463" s="687"/>
      <c r="W463" s="687"/>
      <c r="X463" s="687"/>
      <c r="Y463" s="687"/>
      <c r="Z463" s="687"/>
      <c r="AA463" s="687"/>
      <c r="AB463" s="687"/>
      <c r="AC463" s="700"/>
      <c r="AD463" s="701"/>
      <c r="AE463" s="701"/>
    </row>
    <row r="464" spans="17:48">
      <c r="Q464" s="699"/>
      <c r="R464" s="687"/>
      <c r="S464" s="687"/>
      <c r="T464" s="687"/>
      <c r="U464" s="687"/>
      <c r="V464" s="687"/>
      <c r="W464" s="687"/>
      <c r="X464" s="687"/>
      <c r="Y464" s="687"/>
      <c r="Z464" s="687"/>
      <c r="AA464" s="687"/>
      <c r="AB464" s="687"/>
      <c r="AC464" s="701"/>
      <c r="AD464" s="701"/>
      <c r="AE464" s="701"/>
    </row>
    <row r="465" spans="17:31">
      <c r="Q465" s="701"/>
      <c r="R465" s="687"/>
      <c r="S465" s="687"/>
      <c r="T465" s="687"/>
      <c r="U465" s="687"/>
      <c r="V465" s="687"/>
      <c r="W465" s="687"/>
      <c r="X465" s="687"/>
      <c r="Y465" s="687"/>
      <c r="Z465" s="687"/>
      <c r="AA465" s="687"/>
      <c r="AB465" s="687"/>
      <c r="AC465" s="700"/>
      <c r="AD465" s="701"/>
      <c r="AE465" s="701"/>
    </row>
    <row r="466" spans="17:31">
      <c r="Q466" s="687"/>
      <c r="R466" s="687"/>
      <c r="S466" s="687"/>
      <c r="T466" s="687"/>
      <c r="U466" s="687"/>
      <c r="V466" s="687"/>
      <c r="W466" s="687"/>
      <c r="X466" s="687"/>
      <c r="Y466" s="687"/>
      <c r="Z466" s="687"/>
      <c r="AA466" s="687"/>
      <c r="AB466" s="687"/>
      <c r="AC466" s="701"/>
      <c r="AD466" s="701"/>
      <c r="AE466" s="701"/>
    </row>
    <row r="467" spans="17:31">
      <c r="Q467" s="594"/>
      <c r="R467" s="594"/>
      <c r="S467" s="594"/>
      <c r="T467" s="594"/>
      <c r="U467" s="594"/>
      <c r="V467" s="594"/>
      <c r="W467" s="594"/>
      <c r="X467" s="594"/>
      <c r="Y467" s="594"/>
      <c r="Z467" s="594"/>
      <c r="AA467" s="594"/>
      <c r="AB467" s="594"/>
      <c r="AC467" s="594"/>
      <c r="AD467" s="594"/>
      <c r="AE467" s="594"/>
    </row>
    <row r="468" spans="17:31">
      <c r="Q468" s="687"/>
      <c r="R468" s="687"/>
      <c r="S468" s="687"/>
      <c r="T468" s="687"/>
      <c r="U468" s="161"/>
      <c r="V468" s="161"/>
      <c r="W468" s="161"/>
      <c r="X468" s="161"/>
      <c r="Y468" s="161"/>
      <c r="Z468" s="161"/>
      <c r="AA468" s="161"/>
      <c r="AB468" s="687"/>
      <c r="AC468" s="161"/>
      <c r="AD468" s="161"/>
      <c r="AE468" s="687"/>
    </row>
    <row r="469" spans="17:31">
      <c r="Q469" s="161"/>
      <c r="R469" s="687"/>
      <c r="S469" s="687"/>
      <c r="T469" s="687"/>
      <c r="U469" s="161"/>
      <c r="V469" s="687"/>
      <c r="W469" s="161"/>
      <c r="X469" s="161"/>
      <c r="Y469" s="161"/>
      <c r="Z469" s="161"/>
      <c r="AA469" s="161"/>
      <c r="AB469" s="161"/>
      <c r="AC469" s="161"/>
      <c r="AD469" s="161"/>
      <c r="AE469" s="161"/>
    </row>
    <row r="470" spans="17:31">
      <c r="Q470" s="161"/>
      <c r="R470" s="687"/>
      <c r="S470" s="161"/>
      <c r="T470" s="687"/>
      <c r="U470" s="161"/>
      <c r="V470" s="687"/>
      <c r="W470" s="161"/>
      <c r="X470" s="161"/>
      <c r="Y470" s="161"/>
      <c r="Z470" s="161"/>
      <c r="AA470" s="161"/>
      <c r="AB470" s="161"/>
      <c r="AC470" s="161"/>
      <c r="AD470" s="161"/>
      <c r="AE470" s="161"/>
    </row>
    <row r="471" spans="17:31">
      <c r="Q471" s="687"/>
      <c r="R471" s="687"/>
      <c r="S471" s="703"/>
      <c r="T471" s="687"/>
      <c r="U471" s="161"/>
      <c r="V471" s="687"/>
      <c r="W471" s="161"/>
      <c r="X471" s="161"/>
      <c r="Y471" s="161"/>
      <c r="Z471" s="161"/>
      <c r="AA471" s="161"/>
      <c r="AB471" s="161"/>
      <c r="AC471" s="161"/>
      <c r="AD471" s="161"/>
      <c r="AE471" s="161"/>
    </row>
    <row r="472" spans="17:31" ht="15.6">
      <c r="Q472" s="161"/>
      <c r="R472" s="704"/>
      <c r="S472" s="687"/>
      <c r="T472" s="687"/>
      <c r="U472" s="687"/>
      <c r="V472" s="687"/>
      <c r="W472" s="687"/>
      <c r="X472" s="687"/>
      <c r="Y472" s="687"/>
      <c r="Z472" s="687"/>
      <c r="AA472" s="687"/>
      <c r="AB472" s="687"/>
      <c r="AC472" s="687"/>
      <c r="AD472" s="687"/>
      <c r="AE472" s="687"/>
    </row>
    <row r="473" spans="17:31">
      <c r="Q473" s="161"/>
      <c r="R473" s="687"/>
      <c r="S473" s="701"/>
      <c r="T473" s="687"/>
      <c r="U473" s="150"/>
      <c r="V473" s="687"/>
      <c r="W473" s="150"/>
      <c r="X473" s="150"/>
      <c r="Y473" s="150"/>
      <c r="Z473" s="150"/>
      <c r="AA473" s="150"/>
      <c r="AB473" s="150"/>
      <c r="AC473" s="150"/>
      <c r="AD473" s="150"/>
      <c r="AE473" s="150"/>
    </row>
    <row r="474" spans="17:31">
      <c r="Q474" s="161"/>
      <c r="R474" s="687"/>
      <c r="S474" s="701"/>
      <c r="T474" s="687"/>
      <c r="U474" s="150"/>
      <c r="V474" s="687"/>
      <c r="W474" s="150"/>
      <c r="X474" s="150"/>
      <c r="Y474" s="150"/>
      <c r="Z474" s="150"/>
      <c r="AA474" s="150"/>
      <c r="AB474" s="150"/>
      <c r="AC474" s="150"/>
      <c r="AD474" s="150"/>
      <c r="AE474" s="150"/>
    </row>
    <row r="475" spans="17:31">
      <c r="Q475" s="161"/>
      <c r="R475" s="687"/>
      <c r="S475" s="701"/>
      <c r="T475" s="687"/>
      <c r="U475" s="150"/>
      <c r="V475" s="687"/>
      <c r="W475" s="150"/>
      <c r="X475" s="150"/>
      <c r="Y475" s="150"/>
      <c r="Z475" s="150"/>
      <c r="AA475" s="150"/>
      <c r="AB475" s="150"/>
      <c r="AC475" s="150"/>
      <c r="AD475" s="150"/>
      <c r="AE475" s="150"/>
    </row>
    <row r="476" spans="17:31">
      <c r="Q476" s="161"/>
      <c r="R476" s="687"/>
      <c r="S476" s="701"/>
      <c r="T476" s="687"/>
      <c r="U476" s="150"/>
      <c r="V476" s="687"/>
      <c r="W476" s="150"/>
      <c r="X476" s="150"/>
      <c r="Y476" s="150"/>
      <c r="Z476" s="150"/>
      <c r="AA476" s="150"/>
      <c r="AB476" s="150"/>
      <c r="AC476" s="150"/>
      <c r="AD476" s="150"/>
      <c r="AE476" s="150"/>
    </row>
    <row r="477" spans="17:31">
      <c r="Q477" s="161"/>
      <c r="R477" s="687"/>
      <c r="S477" s="687"/>
      <c r="T477" s="687"/>
      <c r="U477" s="705"/>
      <c r="V477" s="687"/>
      <c r="W477" s="705"/>
      <c r="X477" s="705"/>
      <c r="Y477" s="705"/>
      <c r="Z477" s="705"/>
      <c r="AA477" s="705"/>
      <c r="AB477" s="705"/>
      <c r="AC477" s="705"/>
      <c r="AD477" s="705"/>
      <c r="AE477" s="705"/>
    </row>
    <row r="478" spans="17:31" ht="15.6">
      <c r="Q478" s="161"/>
      <c r="R478" s="704"/>
      <c r="S478" s="687"/>
      <c r="T478" s="687"/>
      <c r="U478" s="687"/>
      <c r="V478" s="687"/>
      <c r="W478" s="687"/>
      <c r="X478" s="687"/>
      <c r="Y478" s="687"/>
      <c r="Z478" s="687"/>
      <c r="AA478" s="687"/>
      <c r="AB478" s="687"/>
      <c r="AC478" s="687"/>
      <c r="AD478" s="687"/>
      <c r="AE478" s="687"/>
    </row>
    <row r="479" spans="17:31">
      <c r="Q479" s="161"/>
      <c r="R479" s="687"/>
      <c r="S479" s="701"/>
      <c r="T479" s="687"/>
      <c r="U479" s="687"/>
      <c r="V479" s="687"/>
      <c r="W479" s="687"/>
      <c r="X479" s="687"/>
      <c r="Y479" s="687"/>
      <c r="Z479" s="687"/>
      <c r="AA479" s="687"/>
      <c r="AB479" s="687"/>
      <c r="AC479" s="687"/>
      <c r="AD479" s="687"/>
      <c r="AE479" s="687"/>
    </row>
    <row r="480" spans="17:31">
      <c r="Q480" s="161"/>
      <c r="R480" s="687"/>
      <c r="S480" s="701"/>
      <c r="T480" s="687"/>
      <c r="U480" s="687"/>
      <c r="V480" s="687"/>
      <c r="W480" s="687"/>
      <c r="X480" s="687"/>
      <c r="Y480" s="687"/>
      <c r="Z480" s="687"/>
      <c r="AA480" s="687"/>
      <c r="AB480" s="687"/>
      <c r="AC480" s="687"/>
      <c r="AD480" s="687"/>
      <c r="AE480" s="687"/>
    </row>
    <row r="481" spans="17:31">
      <c r="Q481" s="161"/>
      <c r="R481" s="687"/>
      <c r="S481" s="701"/>
      <c r="T481" s="687"/>
      <c r="U481" s="150"/>
      <c r="V481" s="687"/>
      <c r="W481" s="150"/>
      <c r="X481" s="150"/>
      <c r="Y481" s="150"/>
      <c r="Z481" s="150"/>
      <c r="AA481" s="150"/>
      <c r="AB481" s="150"/>
      <c r="AC481" s="150"/>
      <c r="AD481" s="150"/>
      <c r="AE481" s="150"/>
    </row>
    <row r="482" spans="17:31">
      <c r="Q482" s="161"/>
      <c r="R482" s="687"/>
      <c r="S482" s="701"/>
      <c r="T482" s="687"/>
      <c r="U482" s="150"/>
      <c r="V482" s="687"/>
      <c r="W482" s="150"/>
      <c r="X482" s="150"/>
      <c r="Y482" s="150"/>
      <c r="Z482" s="150"/>
      <c r="AA482" s="150"/>
      <c r="AB482" s="150"/>
      <c r="AC482" s="150"/>
      <c r="AD482" s="150"/>
      <c r="AE482" s="150"/>
    </row>
    <row r="483" spans="17:31">
      <c r="Q483" s="161"/>
      <c r="R483" s="687"/>
      <c r="S483" s="701"/>
      <c r="T483" s="687"/>
      <c r="U483" s="150"/>
      <c r="V483" s="687"/>
      <c r="W483" s="150"/>
      <c r="X483" s="150"/>
      <c r="Y483" s="150"/>
      <c r="Z483" s="150"/>
      <c r="AA483" s="150"/>
      <c r="AB483" s="150"/>
      <c r="AC483" s="150"/>
      <c r="AD483" s="150"/>
      <c r="AE483" s="150"/>
    </row>
    <row r="484" spans="17:31">
      <c r="Q484" s="161"/>
      <c r="R484" s="687"/>
      <c r="S484" s="687"/>
      <c r="T484" s="687"/>
      <c r="U484" s="705"/>
      <c r="V484" s="687"/>
      <c r="W484" s="705"/>
      <c r="X484" s="705"/>
      <c r="Y484" s="705"/>
      <c r="Z484" s="705"/>
      <c r="AA484" s="705"/>
      <c r="AB484" s="705"/>
      <c r="AC484" s="705"/>
      <c r="AD484" s="705"/>
      <c r="AE484" s="705"/>
    </row>
    <row r="485" spans="17:31">
      <c r="Q485" s="161"/>
      <c r="R485" s="687"/>
      <c r="S485" s="701"/>
      <c r="T485" s="687"/>
      <c r="U485" s="150"/>
      <c r="V485" s="687"/>
      <c r="W485" s="150"/>
      <c r="X485" s="150"/>
      <c r="Y485" s="150"/>
      <c r="Z485" s="150"/>
      <c r="AA485" s="150"/>
      <c r="AB485" s="150"/>
      <c r="AC485" s="150"/>
      <c r="AD485" s="150"/>
      <c r="AE485" s="150"/>
    </row>
    <row r="486" spans="17:31">
      <c r="Q486" s="161"/>
      <c r="R486" s="687"/>
      <c r="S486" s="701"/>
      <c r="T486" s="687"/>
      <c r="U486" s="150"/>
      <c r="V486" s="687"/>
      <c r="W486" s="150"/>
      <c r="X486" s="150"/>
      <c r="Y486" s="150"/>
      <c r="Z486" s="150"/>
      <c r="AA486" s="150"/>
      <c r="AB486" s="150"/>
      <c r="AC486" s="150"/>
      <c r="AD486" s="150"/>
      <c r="AE486" s="150"/>
    </row>
    <row r="487" spans="17:31">
      <c r="Q487" s="161"/>
      <c r="R487" s="687"/>
      <c r="S487" s="701"/>
      <c r="T487" s="687"/>
      <c r="U487" s="150"/>
      <c r="V487" s="687"/>
      <c r="W487" s="150"/>
      <c r="X487" s="150"/>
      <c r="Y487" s="150"/>
      <c r="Z487" s="150"/>
      <c r="AA487" s="150"/>
      <c r="AB487" s="150"/>
      <c r="AC487" s="150"/>
      <c r="AD487" s="150"/>
      <c r="AE487" s="150"/>
    </row>
    <row r="488" spans="17:31">
      <c r="Q488" s="161"/>
      <c r="R488" s="687"/>
      <c r="S488" s="701"/>
      <c r="T488" s="687"/>
      <c r="U488" s="150"/>
      <c r="V488" s="687"/>
      <c r="W488" s="150"/>
      <c r="X488" s="150"/>
      <c r="Y488" s="150"/>
      <c r="Z488" s="150"/>
      <c r="AA488" s="150"/>
      <c r="AB488" s="150"/>
      <c r="AC488" s="150"/>
      <c r="AD488" s="150"/>
      <c r="AE488" s="150"/>
    </row>
    <row r="489" spans="17:31">
      <c r="Q489" s="161"/>
      <c r="R489" s="687"/>
      <c r="S489" s="701"/>
      <c r="T489" s="687"/>
      <c r="U489" s="705"/>
      <c r="V489" s="687"/>
      <c r="W489" s="705"/>
      <c r="X489" s="705"/>
      <c r="Y489" s="705"/>
      <c r="Z489" s="705"/>
      <c r="AA489" s="705"/>
      <c r="AB489" s="705"/>
      <c r="AC489" s="705"/>
      <c r="AD489" s="705"/>
      <c r="AE489" s="705"/>
    </row>
    <row r="490" spans="17:31">
      <c r="Q490" s="161"/>
      <c r="R490" s="687"/>
      <c r="S490" s="701"/>
      <c r="T490" s="687"/>
      <c r="U490" s="150"/>
      <c r="V490" s="687"/>
      <c r="W490" s="150"/>
      <c r="X490" s="150"/>
      <c r="Y490" s="150"/>
      <c r="Z490" s="150"/>
      <c r="AA490" s="150"/>
      <c r="AB490" s="150"/>
      <c r="AC490" s="150"/>
      <c r="AD490" s="150"/>
      <c r="AE490" s="150"/>
    </row>
    <row r="491" spans="17:31">
      <c r="Q491" s="161"/>
      <c r="R491" s="687"/>
      <c r="S491" s="701"/>
      <c r="T491" s="687"/>
      <c r="U491" s="150"/>
      <c r="V491" s="687"/>
      <c r="W491" s="150"/>
      <c r="X491" s="150"/>
      <c r="Y491" s="150"/>
      <c r="Z491" s="150"/>
      <c r="AA491" s="150"/>
      <c r="AB491" s="150"/>
      <c r="AC491" s="150"/>
      <c r="AD491" s="150"/>
      <c r="AE491" s="150"/>
    </row>
    <row r="492" spans="17:31">
      <c r="Q492" s="161"/>
      <c r="R492" s="687"/>
      <c r="S492" s="701"/>
      <c r="T492" s="687"/>
      <c r="U492" s="688"/>
      <c r="V492" s="687"/>
      <c r="W492" s="150"/>
      <c r="X492" s="150"/>
      <c r="Y492" s="150"/>
      <c r="Z492" s="150"/>
      <c r="AA492" s="150"/>
      <c r="AB492" s="150"/>
      <c r="AC492" s="150"/>
      <c r="AD492" s="150"/>
      <c r="AE492" s="150"/>
    </row>
    <row r="493" spans="17:31">
      <c r="Q493" s="161"/>
      <c r="R493" s="687"/>
      <c r="S493" s="701"/>
      <c r="T493" s="687"/>
      <c r="U493" s="688"/>
      <c r="V493" s="687"/>
      <c r="W493" s="150"/>
      <c r="X493" s="150"/>
      <c r="Y493" s="150"/>
      <c r="Z493" s="150"/>
      <c r="AA493" s="150"/>
      <c r="AB493" s="150"/>
      <c r="AC493" s="150"/>
      <c r="AD493" s="150"/>
      <c r="AE493" s="150"/>
    </row>
    <row r="494" spans="17:31">
      <c r="Q494" s="161"/>
      <c r="R494" s="687"/>
      <c r="S494" s="701"/>
      <c r="T494" s="687"/>
      <c r="U494" s="150"/>
      <c r="V494" s="687"/>
      <c r="W494" s="150"/>
      <c r="X494" s="150"/>
      <c r="Y494" s="150"/>
      <c r="Z494" s="150"/>
      <c r="AA494" s="150"/>
      <c r="AB494" s="150"/>
      <c r="AC494" s="150"/>
      <c r="AD494" s="150"/>
      <c r="AE494" s="150"/>
    </row>
    <row r="495" spans="17:31">
      <c r="Q495" s="161"/>
      <c r="R495" s="687"/>
      <c r="S495" s="701"/>
      <c r="T495" s="687"/>
      <c r="U495" s="150"/>
      <c r="V495" s="687"/>
      <c r="W495" s="150"/>
      <c r="X495" s="150"/>
      <c r="Y495" s="150"/>
      <c r="Z495" s="150"/>
      <c r="AA495" s="150"/>
      <c r="AB495" s="150"/>
      <c r="AC495" s="150"/>
      <c r="AD495" s="150"/>
      <c r="AE495" s="150"/>
    </row>
    <row r="496" spans="17:31">
      <c r="Q496" s="161"/>
      <c r="R496" s="687"/>
      <c r="S496" s="701"/>
      <c r="T496" s="687"/>
      <c r="U496" s="150"/>
      <c r="V496" s="687"/>
      <c r="W496" s="150"/>
      <c r="X496" s="150"/>
      <c r="Y496" s="150"/>
      <c r="Z496" s="150"/>
      <c r="AA496" s="150"/>
      <c r="AB496" s="150"/>
      <c r="AC496" s="150"/>
      <c r="AD496" s="150"/>
      <c r="AE496" s="150"/>
    </row>
    <row r="497" spans="17:31">
      <c r="Q497" s="161"/>
      <c r="R497" s="687"/>
      <c r="S497" s="687"/>
      <c r="T497" s="687"/>
      <c r="U497" s="705"/>
      <c r="V497" s="687"/>
      <c r="W497" s="705"/>
      <c r="X497" s="705"/>
      <c r="Y497" s="705"/>
      <c r="Z497" s="705"/>
      <c r="AA497" s="705"/>
      <c r="AB497" s="705"/>
      <c r="AC497" s="705"/>
      <c r="AD497" s="705"/>
      <c r="AE497" s="705"/>
    </row>
    <row r="498" spans="17:31">
      <c r="Q498" s="161"/>
      <c r="R498" s="687"/>
      <c r="S498" s="701"/>
      <c r="T498" s="687"/>
      <c r="U498" s="150"/>
      <c r="V498" s="687"/>
      <c r="W498" s="150"/>
      <c r="X498" s="150"/>
      <c r="Y498" s="150"/>
      <c r="Z498" s="150"/>
      <c r="AA498" s="150"/>
      <c r="AB498" s="150"/>
      <c r="AC498" s="150"/>
      <c r="AD498" s="150"/>
      <c r="AE498" s="150"/>
    </row>
    <row r="499" spans="17:31">
      <c r="Q499" s="161"/>
      <c r="R499" s="687"/>
      <c r="S499" s="687"/>
      <c r="T499" s="687"/>
      <c r="U499" s="705"/>
      <c r="V499" s="687"/>
      <c r="W499" s="705"/>
      <c r="X499" s="705"/>
      <c r="Y499" s="705"/>
      <c r="Z499" s="705"/>
      <c r="AA499" s="705"/>
      <c r="AB499" s="705"/>
      <c r="AC499" s="705"/>
      <c r="AD499" s="705"/>
      <c r="AE499" s="705"/>
    </row>
    <row r="500" spans="17:31">
      <c r="Q500" s="161"/>
      <c r="R500" s="687"/>
      <c r="S500" s="701"/>
      <c r="T500" s="687"/>
      <c r="U500" s="687"/>
      <c r="V500" s="687"/>
      <c r="W500" s="687"/>
      <c r="X500" s="687"/>
      <c r="Y500" s="687"/>
      <c r="Z500" s="687"/>
      <c r="AA500" s="687"/>
      <c r="AB500" s="687"/>
      <c r="AC500" s="687"/>
      <c r="AD500" s="687"/>
      <c r="AE500" s="687"/>
    </row>
    <row r="501" spans="17:31">
      <c r="Q501" s="161"/>
      <c r="R501" s="687"/>
      <c r="S501" s="701"/>
      <c r="T501" s="687"/>
      <c r="U501" s="150"/>
      <c r="V501" s="687"/>
      <c r="W501" s="150"/>
      <c r="X501" s="150"/>
      <c r="Y501" s="150"/>
      <c r="Z501" s="150"/>
      <c r="AA501" s="150"/>
      <c r="AB501" s="150"/>
      <c r="AC501" s="150"/>
      <c r="AD501" s="150"/>
      <c r="AE501" s="150"/>
    </row>
    <row r="502" spans="17:31">
      <c r="Q502" s="161"/>
      <c r="R502" s="687"/>
      <c r="S502" s="701"/>
      <c r="T502" s="687"/>
      <c r="U502" s="150"/>
      <c r="V502" s="687"/>
      <c r="W502" s="150"/>
      <c r="X502" s="150"/>
      <c r="Y502" s="150"/>
      <c r="Z502" s="150"/>
      <c r="AA502" s="150"/>
      <c r="AB502" s="150"/>
      <c r="AC502" s="150"/>
      <c r="AD502" s="150"/>
      <c r="AE502" s="150"/>
    </row>
    <row r="503" spans="17:31">
      <c r="Q503" s="161"/>
      <c r="R503" s="687"/>
      <c r="S503" s="701"/>
      <c r="T503" s="687"/>
      <c r="U503" s="150"/>
      <c r="V503" s="687"/>
      <c r="W503" s="150"/>
      <c r="X503" s="150"/>
      <c r="Y503" s="150"/>
      <c r="Z503" s="150"/>
      <c r="AA503" s="150"/>
      <c r="AB503" s="150"/>
      <c r="AC503" s="150"/>
      <c r="AD503" s="150"/>
      <c r="AE503" s="150"/>
    </row>
    <row r="504" spans="17:31">
      <c r="Q504" s="161"/>
      <c r="R504" s="687"/>
      <c r="S504" s="687"/>
      <c r="T504" s="687"/>
      <c r="U504" s="705"/>
      <c r="V504" s="687"/>
      <c r="W504" s="705"/>
      <c r="X504" s="705"/>
      <c r="Y504" s="705"/>
      <c r="Z504" s="705"/>
      <c r="AA504" s="705"/>
      <c r="AB504" s="705"/>
      <c r="AC504" s="705"/>
      <c r="AD504" s="705"/>
      <c r="AE504" s="705"/>
    </row>
    <row r="505" spans="17:31">
      <c r="Q505" s="161"/>
      <c r="R505" s="687"/>
      <c r="S505" s="701"/>
      <c r="T505" s="687"/>
      <c r="U505" s="687"/>
      <c r="V505" s="687"/>
      <c r="W505" s="687"/>
      <c r="X505" s="687"/>
      <c r="Y505" s="687"/>
      <c r="Z505" s="687"/>
      <c r="AA505" s="687"/>
      <c r="AB505" s="687"/>
      <c r="AC505" s="687"/>
      <c r="AD505" s="687"/>
      <c r="AE505" s="687"/>
    </row>
    <row r="506" spans="17:31">
      <c r="Q506" s="161"/>
      <c r="R506" s="687"/>
      <c r="S506" s="701"/>
      <c r="T506" s="687"/>
      <c r="U506" s="150"/>
      <c r="V506" s="687"/>
      <c r="W506" s="150"/>
      <c r="X506" s="150"/>
      <c r="Y506" s="150"/>
      <c r="Z506" s="150"/>
      <c r="AA506" s="150"/>
      <c r="AB506" s="150"/>
      <c r="AC506" s="150"/>
      <c r="AD506" s="150"/>
      <c r="AE506" s="150"/>
    </row>
    <row r="507" spans="17:31">
      <c r="Q507" s="161"/>
      <c r="R507" s="687"/>
      <c r="S507" s="701"/>
      <c r="T507" s="687"/>
      <c r="U507" s="150"/>
      <c r="V507" s="687"/>
      <c r="W507" s="150"/>
      <c r="X507" s="150"/>
      <c r="Y507" s="150"/>
      <c r="Z507" s="150"/>
      <c r="AA507" s="150"/>
      <c r="AB507" s="150"/>
      <c r="AC507" s="150"/>
      <c r="AD507" s="150"/>
      <c r="AE507" s="150"/>
    </row>
    <row r="508" spans="17:31">
      <c r="Q508" s="161"/>
      <c r="R508" s="687"/>
      <c r="S508" s="701"/>
      <c r="T508" s="687"/>
      <c r="U508" s="150"/>
      <c r="V508" s="687"/>
      <c r="W508" s="150"/>
      <c r="X508" s="150"/>
      <c r="Y508" s="150"/>
      <c r="Z508" s="150"/>
      <c r="AA508" s="150"/>
      <c r="AB508" s="150"/>
      <c r="AC508" s="150"/>
      <c r="AD508" s="150"/>
      <c r="AE508" s="150"/>
    </row>
    <row r="509" spans="17:31">
      <c r="Q509" s="161"/>
      <c r="R509" s="687"/>
      <c r="S509" s="701"/>
      <c r="T509" s="687"/>
      <c r="U509" s="150"/>
      <c r="V509" s="687"/>
      <c r="W509" s="150"/>
      <c r="X509" s="150"/>
      <c r="Y509" s="150"/>
      <c r="Z509" s="150"/>
      <c r="AA509" s="150"/>
      <c r="AB509" s="150"/>
      <c r="AC509" s="150"/>
      <c r="AD509" s="150"/>
      <c r="AE509" s="150"/>
    </row>
    <row r="510" spans="17:31">
      <c r="Q510" s="161"/>
      <c r="R510" s="687"/>
      <c r="S510" s="687"/>
      <c r="T510" s="687"/>
      <c r="U510" s="705"/>
      <c r="V510" s="687"/>
      <c r="W510" s="705"/>
      <c r="X510" s="705"/>
      <c r="Y510" s="705"/>
      <c r="Z510" s="705"/>
      <c r="AA510" s="705"/>
      <c r="AB510" s="705"/>
      <c r="AC510" s="705"/>
      <c r="AD510" s="705"/>
      <c r="AE510" s="705"/>
    </row>
    <row r="511" spans="17:31">
      <c r="Q511" s="161"/>
      <c r="R511" s="687"/>
      <c r="S511" s="701"/>
      <c r="T511" s="687"/>
      <c r="U511" s="687"/>
      <c r="V511" s="687"/>
      <c r="W511" s="687"/>
      <c r="X511" s="687"/>
      <c r="Y511" s="687"/>
      <c r="Z511" s="687"/>
      <c r="AA511" s="687"/>
      <c r="AB511" s="687"/>
      <c r="AC511" s="687"/>
      <c r="AD511" s="687"/>
      <c r="AE511" s="687"/>
    </row>
    <row r="512" spans="17:31">
      <c r="Q512" s="161"/>
      <c r="R512" s="687"/>
      <c r="S512" s="701"/>
      <c r="T512" s="687"/>
      <c r="U512" s="150"/>
      <c r="V512" s="687"/>
      <c r="W512" s="150"/>
      <c r="X512" s="150"/>
      <c r="Y512" s="150"/>
      <c r="Z512" s="150"/>
      <c r="AA512" s="150"/>
      <c r="AB512" s="150"/>
      <c r="AC512" s="150"/>
      <c r="AD512" s="150"/>
      <c r="AE512" s="150"/>
    </row>
    <row r="513" spans="17:31">
      <c r="Q513" s="161"/>
      <c r="R513" s="687"/>
      <c r="S513" s="701"/>
      <c r="T513" s="687"/>
      <c r="U513" s="150"/>
      <c r="V513" s="687"/>
      <c r="W513" s="150"/>
      <c r="X513" s="150"/>
      <c r="Y513" s="150"/>
      <c r="Z513" s="150"/>
      <c r="AA513" s="150"/>
      <c r="AB513" s="150"/>
      <c r="AC513" s="150"/>
      <c r="AD513" s="150"/>
      <c r="AE513" s="150"/>
    </row>
    <row r="514" spans="17:31">
      <c r="Q514" s="161"/>
      <c r="R514" s="687"/>
      <c r="S514" s="701"/>
      <c r="T514" s="687"/>
      <c r="U514" s="150"/>
      <c r="V514" s="687"/>
      <c r="W514" s="150"/>
      <c r="X514" s="150"/>
      <c r="Y514" s="150"/>
      <c r="Z514" s="150"/>
      <c r="AA514" s="150"/>
      <c r="AB514" s="150"/>
      <c r="AC514" s="150"/>
      <c r="AD514" s="150"/>
      <c r="AE514" s="150"/>
    </row>
    <row r="515" spans="17:31">
      <c r="Q515" s="161"/>
      <c r="R515" s="687"/>
      <c r="S515" s="701"/>
      <c r="T515" s="687"/>
      <c r="U515" s="150"/>
      <c r="V515" s="687"/>
      <c r="W515" s="150"/>
      <c r="X515" s="150"/>
      <c r="Y515" s="150"/>
      <c r="Z515" s="150"/>
      <c r="AA515" s="150"/>
      <c r="AB515" s="150"/>
      <c r="AC515" s="150"/>
      <c r="AD515" s="150"/>
      <c r="AE515" s="150"/>
    </row>
    <row r="516" spans="17:31">
      <c r="Q516" s="161"/>
      <c r="R516" s="687"/>
      <c r="S516" s="687"/>
      <c r="T516" s="687"/>
      <c r="U516" s="705"/>
      <c r="V516" s="687"/>
      <c r="W516" s="705"/>
      <c r="X516" s="705"/>
      <c r="Y516" s="705"/>
      <c r="Z516" s="705"/>
      <c r="AA516" s="705"/>
      <c r="AB516" s="705"/>
      <c r="AC516" s="705"/>
      <c r="AD516" s="705"/>
      <c r="AE516" s="705"/>
    </row>
    <row r="517" spans="17:31">
      <c r="Q517" s="161"/>
      <c r="R517" s="687"/>
      <c r="S517" s="701"/>
      <c r="T517" s="687"/>
      <c r="U517" s="150"/>
      <c r="V517" s="687"/>
      <c r="W517" s="150"/>
      <c r="X517" s="150"/>
      <c r="Y517" s="150"/>
      <c r="Z517" s="150"/>
      <c r="AA517" s="150"/>
      <c r="AB517" s="150"/>
      <c r="AC517" s="150"/>
      <c r="AD517" s="150"/>
      <c r="AE517" s="150"/>
    </row>
    <row r="518" spans="17:31">
      <c r="Q518" s="161"/>
      <c r="R518" s="687"/>
      <c r="S518" s="687"/>
      <c r="T518" s="687"/>
      <c r="U518" s="705"/>
      <c r="V518" s="687"/>
      <c r="W518" s="705"/>
      <c r="X518" s="705"/>
      <c r="Y518" s="705"/>
      <c r="Z518" s="705"/>
      <c r="AA518" s="705"/>
      <c r="AB518" s="705"/>
      <c r="AC518" s="705"/>
      <c r="AD518" s="705"/>
      <c r="AE518" s="705"/>
    </row>
    <row r="519" spans="17:31">
      <c r="Q519" s="161"/>
      <c r="R519" s="687"/>
      <c r="S519" s="701"/>
      <c r="T519" s="687"/>
      <c r="U519" s="150"/>
      <c r="V519" s="687"/>
      <c r="W519" s="150"/>
      <c r="X519" s="150"/>
      <c r="Y519" s="150"/>
      <c r="Z519" s="150"/>
      <c r="AA519" s="150"/>
      <c r="AB519" s="150"/>
      <c r="AC519" s="150"/>
      <c r="AD519" s="150"/>
      <c r="AE519" s="150"/>
    </row>
    <row r="520" spans="17:31">
      <c r="Q520" s="161"/>
      <c r="R520" s="687"/>
      <c r="S520" s="687"/>
      <c r="T520" s="687"/>
      <c r="U520" s="705"/>
      <c r="V520" s="687"/>
      <c r="W520" s="705"/>
      <c r="X520" s="705"/>
      <c r="Y520" s="705"/>
      <c r="Z520" s="705"/>
      <c r="AA520" s="705"/>
      <c r="AB520" s="705"/>
      <c r="AC520" s="705"/>
      <c r="AD520" s="705"/>
      <c r="AE520" s="705"/>
    </row>
    <row r="521" spans="17:31">
      <c r="Q521" s="161"/>
      <c r="R521" s="687"/>
      <c r="S521" s="701"/>
      <c r="T521" s="687"/>
      <c r="U521" s="150"/>
      <c r="V521" s="687"/>
      <c r="W521" s="150"/>
      <c r="X521" s="150"/>
      <c r="Y521" s="150"/>
      <c r="Z521" s="150"/>
      <c r="AA521" s="150"/>
      <c r="AB521" s="150"/>
      <c r="AC521" s="150"/>
      <c r="AD521" s="150"/>
      <c r="AE521" s="150"/>
    </row>
    <row r="522" spans="17:31">
      <c r="Q522" s="687"/>
      <c r="R522" s="687"/>
      <c r="S522" s="687"/>
      <c r="T522" s="687"/>
      <c r="U522" s="687"/>
      <c r="V522" s="687"/>
      <c r="W522" s="687"/>
      <c r="X522" s="687"/>
      <c r="Y522" s="687"/>
      <c r="Z522" s="687"/>
      <c r="AA522" s="687"/>
      <c r="AB522" s="687"/>
      <c r="AC522" s="687"/>
      <c r="AD522" s="687"/>
      <c r="AE522" s="687"/>
    </row>
    <row r="523" spans="17:31">
      <c r="Q523" s="687"/>
      <c r="R523" s="687"/>
      <c r="S523" s="687"/>
      <c r="T523" s="687"/>
      <c r="U523" s="687"/>
      <c r="V523" s="687"/>
      <c r="W523" s="687"/>
      <c r="X523" s="687"/>
      <c r="Y523" s="687"/>
      <c r="Z523" s="687"/>
      <c r="AA523" s="687"/>
      <c r="AB523" s="687"/>
      <c r="AC523" s="687"/>
      <c r="AD523" s="687"/>
      <c r="AE523" s="687"/>
    </row>
    <row r="524" spans="17:31">
      <c r="Q524" s="687"/>
      <c r="R524" s="687"/>
      <c r="S524" s="687"/>
      <c r="T524" s="687"/>
      <c r="U524" s="687"/>
      <c r="V524" s="687"/>
      <c r="W524" s="687"/>
      <c r="X524" s="687"/>
      <c r="Y524" s="687"/>
      <c r="Z524" s="687"/>
      <c r="AA524" s="687"/>
      <c r="AB524" s="687"/>
      <c r="AC524" s="687"/>
      <c r="AD524" s="687"/>
      <c r="AE524" s="687"/>
    </row>
    <row r="525" spans="17:31">
      <c r="Q525" s="687"/>
      <c r="R525" s="687"/>
      <c r="S525" s="687"/>
      <c r="T525" s="687"/>
      <c r="U525" s="687"/>
      <c r="V525" s="687"/>
      <c r="W525" s="687"/>
      <c r="X525" s="687"/>
      <c r="Y525" s="687"/>
      <c r="Z525" s="687"/>
      <c r="AA525" s="687"/>
      <c r="AB525" s="687"/>
      <c r="AC525" s="687"/>
      <c r="AD525" s="687"/>
      <c r="AE525" s="687"/>
    </row>
    <row r="526" spans="17:31">
      <c r="Q526" s="687"/>
      <c r="R526" s="687"/>
      <c r="S526" s="687"/>
      <c r="T526" s="687"/>
      <c r="U526" s="687"/>
      <c r="V526" s="687"/>
      <c r="W526" s="687"/>
      <c r="X526" s="687"/>
      <c r="Y526" s="687"/>
      <c r="Z526" s="687"/>
      <c r="AA526" s="687"/>
      <c r="AB526" s="687"/>
      <c r="AC526" s="687"/>
      <c r="AD526" s="687"/>
      <c r="AE526" s="687"/>
    </row>
    <row r="527" spans="17:31">
      <c r="Q527" s="687"/>
      <c r="R527" s="687"/>
      <c r="S527" s="687"/>
      <c r="T527" s="687"/>
      <c r="U527" s="687"/>
      <c r="V527" s="687"/>
      <c r="W527" s="687"/>
      <c r="X527" s="687"/>
      <c r="Y527" s="687"/>
      <c r="Z527" s="687"/>
      <c r="AA527" s="687"/>
      <c r="AB527" s="687"/>
      <c r="AC527" s="687"/>
      <c r="AD527" s="687"/>
      <c r="AE527" s="687"/>
    </row>
    <row r="528" spans="17:31">
      <c r="Q528" s="687"/>
      <c r="R528" s="687"/>
      <c r="S528" s="687"/>
      <c r="T528" s="687"/>
      <c r="U528" s="687"/>
      <c r="V528" s="687"/>
      <c r="W528" s="687"/>
      <c r="X528" s="687"/>
      <c r="Y528" s="687"/>
      <c r="Z528" s="687"/>
      <c r="AA528" s="687"/>
      <c r="AB528" s="687"/>
      <c r="AC528" s="687"/>
      <c r="AD528" s="687"/>
      <c r="AE528" s="687"/>
    </row>
    <row r="529" spans="17:31">
      <c r="Q529" s="687"/>
      <c r="R529" s="687"/>
      <c r="S529" s="687"/>
      <c r="T529" s="687"/>
      <c r="U529" s="687"/>
      <c r="V529" s="687"/>
      <c r="W529" s="687"/>
      <c r="X529" s="687"/>
      <c r="Y529" s="687"/>
      <c r="Z529" s="687"/>
      <c r="AA529" s="687"/>
      <c r="AB529" s="687"/>
      <c r="AC529" s="687"/>
      <c r="AD529" s="687"/>
      <c r="AE529" s="687"/>
    </row>
    <row r="530" spans="17:31">
      <c r="Q530" s="687"/>
      <c r="R530" s="687"/>
      <c r="S530" s="687"/>
      <c r="T530" s="687"/>
      <c r="U530" s="687"/>
      <c r="V530" s="687"/>
      <c r="W530" s="687"/>
      <c r="X530" s="687"/>
      <c r="Y530" s="687"/>
      <c r="Z530" s="687"/>
      <c r="AA530" s="687"/>
      <c r="AB530" s="687"/>
      <c r="AC530" s="687"/>
      <c r="AD530" s="687"/>
      <c r="AE530" s="687"/>
    </row>
    <row r="531" spans="17:31">
      <c r="Q531" s="687"/>
      <c r="R531" s="687"/>
      <c r="S531" s="687"/>
      <c r="T531" s="687"/>
      <c r="U531" s="687"/>
      <c r="V531" s="687"/>
      <c r="W531" s="687"/>
      <c r="X531" s="687"/>
      <c r="Y531" s="687"/>
      <c r="Z531" s="687"/>
      <c r="AA531" s="687"/>
      <c r="AB531" s="687"/>
      <c r="AC531" s="687"/>
      <c r="AD531" s="687"/>
      <c r="AE531" s="687"/>
    </row>
    <row r="532" spans="17:31">
      <c r="Q532" s="687"/>
      <c r="R532" s="687"/>
      <c r="S532" s="687"/>
      <c r="T532" s="687"/>
      <c r="U532" s="687"/>
      <c r="V532" s="687"/>
      <c r="W532" s="687"/>
      <c r="X532" s="687"/>
      <c r="Y532" s="687"/>
      <c r="Z532" s="687"/>
      <c r="AA532" s="687"/>
      <c r="AB532" s="687"/>
      <c r="AC532" s="687"/>
      <c r="AD532" s="687"/>
      <c r="AE532" s="687"/>
    </row>
    <row r="533" spans="17:31">
      <c r="Q533" s="687"/>
      <c r="R533" s="687"/>
      <c r="S533" s="687"/>
      <c r="T533" s="687"/>
      <c r="U533" s="687"/>
      <c r="V533" s="687"/>
      <c r="W533" s="687"/>
      <c r="X533" s="687"/>
      <c r="Y533" s="687"/>
      <c r="Z533" s="687"/>
      <c r="AA533" s="687"/>
      <c r="AB533" s="687"/>
      <c r="AC533" s="687"/>
      <c r="AD533" s="687"/>
      <c r="AE533" s="687"/>
    </row>
    <row r="534" spans="17:31">
      <c r="Q534" s="687"/>
      <c r="R534" s="687"/>
      <c r="S534" s="687"/>
      <c r="T534" s="687"/>
      <c r="U534" s="687"/>
      <c r="V534" s="687"/>
      <c r="W534" s="687"/>
      <c r="X534" s="687"/>
      <c r="Y534" s="687"/>
      <c r="Z534" s="687"/>
      <c r="AA534" s="687"/>
      <c r="AB534" s="687"/>
      <c r="AC534" s="687"/>
      <c r="AD534" s="687"/>
      <c r="AE534" s="687"/>
    </row>
    <row r="535" spans="17:31">
      <c r="Q535" s="687"/>
      <c r="R535" s="687"/>
      <c r="S535" s="687"/>
      <c r="T535" s="687"/>
      <c r="U535" s="687"/>
      <c r="V535" s="687"/>
      <c r="W535" s="687"/>
      <c r="X535" s="687"/>
      <c r="Y535" s="687"/>
      <c r="Z535" s="687"/>
      <c r="AA535" s="687"/>
      <c r="AB535" s="687"/>
      <c r="AC535" s="687"/>
      <c r="AD535" s="687"/>
      <c r="AE535" s="687"/>
    </row>
    <row r="536" spans="17:31">
      <c r="Q536" s="687"/>
      <c r="R536" s="687"/>
      <c r="S536" s="687"/>
      <c r="T536" s="687"/>
      <c r="U536" s="687"/>
      <c r="V536" s="687"/>
      <c r="W536" s="687"/>
      <c r="X536" s="687"/>
      <c r="Y536" s="687"/>
      <c r="Z536" s="687"/>
      <c r="AA536" s="687"/>
      <c r="AB536" s="687"/>
      <c r="AC536" s="687"/>
      <c r="AD536" s="687"/>
      <c r="AE536" s="687"/>
    </row>
    <row r="537" spans="17:31">
      <c r="Q537" s="687"/>
      <c r="R537" s="687"/>
      <c r="S537" s="687"/>
      <c r="T537" s="687"/>
      <c r="U537" s="687"/>
      <c r="V537" s="687"/>
      <c r="W537" s="687"/>
      <c r="X537" s="687"/>
      <c r="Y537" s="687"/>
      <c r="Z537" s="687"/>
      <c r="AA537" s="687"/>
      <c r="AB537" s="687"/>
      <c r="AC537" s="687"/>
      <c r="AD537" s="687"/>
      <c r="AE537" s="687"/>
    </row>
    <row r="538" spans="17:31">
      <c r="Q538" s="687"/>
      <c r="R538" s="687"/>
      <c r="S538" s="687"/>
      <c r="T538" s="687"/>
      <c r="U538" s="687"/>
      <c r="V538" s="687"/>
      <c r="W538" s="687"/>
      <c r="X538" s="687"/>
      <c r="Y538" s="687"/>
      <c r="Z538" s="687"/>
      <c r="AA538" s="687"/>
      <c r="AB538" s="687"/>
      <c r="AC538" s="687"/>
      <c r="AD538" s="687"/>
      <c r="AE538" s="687"/>
    </row>
    <row r="539" spans="17:31">
      <c r="Q539" s="687"/>
      <c r="R539" s="687"/>
      <c r="S539" s="687"/>
      <c r="T539" s="687"/>
      <c r="U539" s="687"/>
      <c r="V539" s="687"/>
      <c r="W539" s="687"/>
      <c r="X539" s="687"/>
      <c r="Y539" s="687"/>
      <c r="Z539" s="687"/>
      <c r="AA539" s="687"/>
      <c r="AB539" s="687"/>
      <c r="AC539" s="687"/>
      <c r="AD539" s="687"/>
      <c r="AE539" s="687"/>
    </row>
    <row r="540" spans="17:31">
      <c r="Q540" s="687"/>
      <c r="R540" s="687"/>
      <c r="S540" s="687"/>
      <c r="T540" s="687"/>
      <c r="U540" s="687"/>
      <c r="V540" s="687"/>
      <c r="W540" s="687"/>
      <c r="X540" s="687"/>
      <c r="Y540" s="687"/>
      <c r="Z540" s="687"/>
      <c r="AA540" s="687"/>
      <c r="AB540" s="687"/>
      <c r="AC540" s="687"/>
      <c r="AD540" s="687"/>
      <c r="AE540" s="687"/>
    </row>
    <row r="541" spans="17:31">
      <c r="Q541" s="687"/>
      <c r="R541" s="687"/>
      <c r="S541" s="687"/>
      <c r="T541" s="687"/>
      <c r="U541" s="687"/>
      <c r="V541" s="687"/>
      <c r="W541" s="687"/>
      <c r="X541" s="687"/>
      <c r="Y541" s="687"/>
      <c r="Z541" s="687"/>
      <c r="AA541" s="687"/>
      <c r="AB541" s="687"/>
      <c r="AC541" s="687"/>
      <c r="AD541" s="687"/>
      <c r="AE541" s="687"/>
    </row>
    <row r="542" spans="17:31">
      <c r="Q542" s="687"/>
      <c r="R542" s="687"/>
      <c r="S542" s="687"/>
      <c r="T542" s="687"/>
      <c r="U542" s="687"/>
      <c r="V542" s="687"/>
      <c r="W542" s="687"/>
      <c r="X542" s="687"/>
      <c r="Y542" s="687"/>
      <c r="Z542" s="687"/>
      <c r="AA542" s="687"/>
      <c r="AB542" s="687"/>
      <c r="AC542" s="687"/>
      <c r="AD542" s="687"/>
      <c r="AE542" s="687"/>
    </row>
    <row r="543" spans="17:31">
      <c r="Q543" s="687"/>
      <c r="R543" s="687"/>
      <c r="S543" s="687"/>
      <c r="T543" s="687"/>
      <c r="U543" s="687"/>
      <c r="V543" s="687"/>
      <c r="W543" s="687"/>
      <c r="X543" s="687"/>
      <c r="Y543" s="687"/>
      <c r="Z543" s="687"/>
      <c r="AA543" s="687"/>
      <c r="AB543" s="687"/>
      <c r="AC543" s="687"/>
      <c r="AD543" s="687"/>
      <c r="AE543" s="687"/>
    </row>
    <row r="544" spans="17:31">
      <c r="Q544" s="687"/>
      <c r="R544" s="687"/>
      <c r="S544" s="687"/>
      <c r="T544" s="687"/>
      <c r="U544" s="687"/>
      <c r="V544" s="687"/>
      <c r="W544" s="687"/>
      <c r="X544" s="687"/>
      <c r="Y544" s="687"/>
      <c r="Z544" s="687"/>
      <c r="AA544" s="687"/>
      <c r="AB544" s="687"/>
      <c r="AC544" s="687"/>
      <c r="AD544" s="687"/>
      <c r="AE544" s="687"/>
    </row>
    <row r="545" spans="17:31">
      <c r="Q545" s="687"/>
      <c r="R545" s="687"/>
      <c r="S545" s="687"/>
      <c r="T545" s="687"/>
      <c r="U545" s="687"/>
      <c r="V545" s="687"/>
      <c r="W545" s="687"/>
      <c r="X545" s="687"/>
      <c r="Y545" s="687"/>
      <c r="Z545" s="687"/>
      <c r="AA545" s="687"/>
      <c r="AB545" s="687"/>
      <c r="AC545" s="687"/>
      <c r="AD545" s="687"/>
      <c r="AE545" s="687"/>
    </row>
    <row r="546" spans="17:31">
      <c r="Q546" s="687"/>
      <c r="R546" s="687"/>
      <c r="S546" s="687"/>
      <c r="T546" s="687"/>
      <c r="U546" s="687"/>
      <c r="V546" s="687"/>
      <c r="W546" s="687"/>
      <c r="X546" s="687"/>
      <c r="Y546" s="687"/>
      <c r="Z546" s="687"/>
      <c r="AA546" s="687"/>
      <c r="AB546" s="687"/>
      <c r="AC546" s="687"/>
      <c r="AD546" s="687"/>
      <c r="AE546" s="687"/>
    </row>
    <row r="547" spans="17:31">
      <c r="Q547" s="687"/>
      <c r="R547" s="687"/>
      <c r="S547" s="687"/>
      <c r="T547" s="687"/>
      <c r="U547" s="687"/>
      <c r="V547" s="687"/>
      <c r="W547" s="687"/>
      <c r="X547" s="687"/>
      <c r="Y547" s="687"/>
      <c r="Z547" s="687"/>
      <c r="AA547" s="687"/>
      <c r="AB547" s="687"/>
      <c r="AC547" s="687"/>
      <c r="AD547" s="687"/>
      <c r="AE547" s="687"/>
    </row>
    <row r="548" spans="17:31">
      <c r="Q548" s="687"/>
      <c r="R548" s="687"/>
      <c r="S548" s="687"/>
      <c r="T548" s="687"/>
      <c r="U548" s="687"/>
      <c r="V548" s="687"/>
      <c r="W548" s="687"/>
      <c r="X548" s="687"/>
      <c r="Y548" s="687"/>
      <c r="Z548" s="687"/>
      <c r="AA548" s="687"/>
      <c r="AB548" s="687"/>
      <c r="AC548" s="687"/>
      <c r="AD548" s="687"/>
      <c r="AE548" s="687"/>
    </row>
    <row r="549" spans="17:31">
      <c r="Q549" s="687"/>
      <c r="R549" s="687"/>
      <c r="S549" s="687"/>
      <c r="T549" s="687"/>
      <c r="U549" s="687"/>
      <c r="V549" s="687"/>
      <c r="W549" s="687"/>
      <c r="X549" s="687"/>
      <c r="Y549" s="687"/>
      <c r="Z549" s="687"/>
      <c r="AA549" s="687"/>
      <c r="AB549" s="687"/>
      <c r="AC549" s="687"/>
      <c r="AD549" s="687"/>
      <c r="AE549" s="687"/>
    </row>
    <row r="550" spans="17:31">
      <c r="Q550" s="687"/>
      <c r="R550" s="687"/>
      <c r="S550" s="687"/>
      <c r="T550" s="687"/>
      <c r="U550" s="687"/>
      <c r="V550" s="687"/>
      <c r="W550" s="687"/>
      <c r="X550" s="687"/>
      <c r="Y550" s="687"/>
      <c r="Z550" s="687"/>
      <c r="AA550" s="687"/>
      <c r="AB550" s="687"/>
      <c r="AC550" s="687"/>
      <c r="AD550" s="687"/>
      <c r="AE550" s="687"/>
    </row>
    <row r="551" spans="17:31">
      <c r="Q551" s="687"/>
      <c r="R551" s="687"/>
      <c r="S551" s="687"/>
      <c r="T551" s="687"/>
      <c r="U551" s="687"/>
      <c r="V551" s="687"/>
      <c r="W551" s="687"/>
      <c r="X551" s="687"/>
      <c r="Y551" s="687"/>
      <c r="Z551" s="687"/>
      <c r="AA551" s="687"/>
      <c r="AB551" s="687"/>
      <c r="AC551" s="687"/>
      <c r="AD551" s="687"/>
      <c r="AE551" s="687"/>
    </row>
    <row r="552" spans="17:31">
      <c r="Q552" s="687"/>
      <c r="R552" s="687"/>
      <c r="S552" s="687"/>
      <c r="T552" s="687"/>
      <c r="U552" s="687"/>
      <c r="V552" s="687"/>
      <c r="W552" s="687"/>
      <c r="X552" s="687"/>
      <c r="Y552" s="687"/>
      <c r="Z552" s="687"/>
      <c r="AA552" s="687"/>
      <c r="AB552" s="687"/>
      <c r="AC552" s="687"/>
      <c r="AD552" s="687"/>
      <c r="AE552" s="687"/>
    </row>
    <row r="553" spans="17:31">
      <c r="Q553" s="687"/>
      <c r="R553" s="687"/>
      <c r="S553" s="687"/>
      <c r="T553" s="687"/>
      <c r="U553" s="687"/>
      <c r="V553" s="687"/>
      <c r="W553" s="687"/>
      <c r="X553" s="687"/>
      <c r="Y553" s="687"/>
      <c r="Z553" s="687"/>
      <c r="AA553" s="687"/>
      <c r="AB553" s="687"/>
      <c r="AC553" s="687"/>
      <c r="AD553" s="687"/>
      <c r="AE553" s="687"/>
    </row>
    <row r="554" spans="17:31">
      <c r="Q554" s="687"/>
      <c r="R554" s="687"/>
      <c r="S554" s="687"/>
      <c r="T554" s="687"/>
      <c r="U554" s="687"/>
      <c r="V554" s="687"/>
      <c r="W554" s="687"/>
      <c r="X554" s="687"/>
      <c r="Y554" s="687"/>
      <c r="Z554" s="687"/>
      <c r="AA554" s="687"/>
      <c r="AB554" s="687"/>
      <c r="AC554" s="687"/>
      <c r="AD554" s="687"/>
      <c r="AE554" s="687"/>
    </row>
    <row r="555" spans="17:31">
      <c r="Q555" s="687"/>
      <c r="R555" s="687"/>
      <c r="S555" s="687"/>
      <c r="T555" s="687"/>
      <c r="U555" s="687"/>
      <c r="V555" s="687"/>
      <c r="W555" s="687"/>
      <c r="X555" s="687"/>
      <c r="Y555" s="687"/>
      <c r="Z555" s="687"/>
      <c r="AA555" s="687"/>
      <c r="AB555" s="687"/>
      <c r="AC555" s="687"/>
      <c r="AD555" s="687"/>
      <c r="AE555" s="687"/>
    </row>
    <row r="556" spans="17:31">
      <c r="Q556" s="687"/>
      <c r="R556" s="687"/>
      <c r="S556" s="687"/>
      <c r="T556" s="687"/>
      <c r="U556" s="687"/>
      <c r="V556" s="687"/>
      <c r="W556" s="687"/>
      <c r="X556" s="687"/>
      <c r="Y556" s="687"/>
      <c r="Z556" s="687"/>
      <c r="AA556" s="687"/>
      <c r="AB556" s="687"/>
      <c r="AC556" s="687"/>
      <c r="AD556" s="687"/>
      <c r="AE556" s="687"/>
    </row>
    <row r="557" spans="17:31">
      <c r="Q557" s="687"/>
      <c r="R557" s="687"/>
      <c r="S557" s="687"/>
      <c r="T557" s="687"/>
      <c r="U557" s="687"/>
      <c r="V557" s="687"/>
      <c r="W557" s="687"/>
      <c r="X557" s="687"/>
      <c r="Y557" s="687"/>
      <c r="Z557" s="687"/>
      <c r="AA557" s="687"/>
      <c r="AB557" s="687"/>
      <c r="AC557" s="687"/>
      <c r="AD557" s="687"/>
      <c r="AE557" s="687"/>
    </row>
    <row r="558" spans="17:31">
      <c r="Q558" s="687"/>
      <c r="R558" s="687"/>
      <c r="S558" s="687"/>
      <c r="T558" s="687"/>
      <c r="U558" s="687"/>
      <c r="V558" s="687"/>
      <c r="W558" s="687"/>
      <c r="X558" s="687"/>
      <c r="Y558" s="687"/>
      <c r="Z558" s="687"/>
      <c r="AA558" s="687"/>
      <c r="AB558" s="687"/>
      <c r="AC558" s="687"/>
      <c r="AD558" s="687"/>
      <c r="AE558" s="687"/>
    </row>
    <row r="559" spans="17:31">
      <c r="Q559" s="687"/>
      <c r="R559" s="687"/>
      <c r="S559" s="687"/>
      <c r="T559" s="687"/>
      <c r="U559" s="687"/>
      <c r="V559" s="687"/>
      <c r="W559" s="687"/>
      <c r="X559" s="687"/>
      <c r="Y559" s="687"/>
      <c r="Z559" s="687"/>
      <c r="AA559" s="687"/>
      <c r="AB559" s="687"/>
      <c r="AC559" s="687"/>
      <c r="AD559" s="687"/>
      <c r="AE559" s="687"/>
    </row>
    <row r="560" spans="17:31">
      <c r="Q560" s="687"/>
      <c r="R560" s="687"/>
      <c r="S560" s="687"/>
      <c r="T560" s="687"/>
      <c r="U560" s="687"/>
      <c r="V560" s="687"/>
      <c r="W560" s="687"/>
      <c r="X560" s="687"/>
      <c r="Y560" s="687"/>
      <c r="Z560" s="687"/>
      <c r="AA560" s="687"/>
      <c r="AB560" s="687"/>
      <c r="AC560" s="687"/>
      <c r="AD560" s="687"/>
      <c r="AE560" s="687"/>
    </row>
    <row r="561" spans="17:31">
      <c r="Q561" s="687"/>
      <c r="R561" s="687"/>
      <c r="S561" s="687"/>
      <c r="T561" s="687"/>
      <c r="U561" s="687"/>
      <c r="V561" s="687"/>
      <c r="W561" s="687"/>
      <c r="X561" s="687"/>
      <c r="Y561" s="687"/>
      <c r="Z561" s="687"/>
      <c r="AA561" s="687"/>
      <c r="AB561" s="687"/>
      <c r="AC561" s="687"/>
      <c r="AD561" s="687"/>
      <c r="AE561" s="687"/>
    </row>
    <row r="562" spans="17:31">
      <c r="Q562" s="687"/>
      <c r="R562" s="687"/>
      <c r="S562" s="687"/>
      <c r="T562" s="687"/>
      <c r="U562" s="687"/>
      <c r="V562" s="687"/>
      <c r="W562" s="687"/>
      <c r="X562" s="687"/>
      <c r="Y562" s="687"/>
      <c r="Z562" s="687"/>
      <c r="AA562" s="687"/>
      <c r="AB562" s="687"/>
      <c r="AC562" s="687"/>
      <c r="AD562" s="687"/>
      <c r="AE562" s="687"/>
    </row>
    <row r="563" spans="17:31">
      <c r="Q563" s="687"/>
      <c r="R563" s="687"/>
      <c r="S563" s="687"/>
      <c r="T563" s="687"/>
      <c r="U563" s="687"/>
      <c r="V563" s="687"/>
      <c r="W563" s="687"/>
      <c r="X563" s="687"/>
      <c r="Y563" s="687"/>
      <c r="Z563" s="687"/>
      <c r="AA563" s="687"/>
      <c r="AB563" s="687"/>
      <c r="AC563" s="687"/>
      <c r="AD563" s="687"/>
      <c r="AE563" s="687"/>
    </row>
    <row r="564" spans="17:31">
      <c r="Q564" s="687"/>
      <c r="R564" s="687"/>
      <c r="S564" s="687"/>
      <c r="T564" s="687"/>
      <c r="U564" s="687"/>
      <c r="V564" s="687"/>
      <c r="W564" s="687"/>
      <c r="X564" s="687"/>
      <c r="Y564" s="687"/>
      <c r="Z564" s="687"/>
      <c r="AA564" s="687"/>
      <c r="AB564" s="687"/>
      <c r="AC564" s="687"/>
      <c r="AD564" s="687"/>
      <c r="AE564" s="687"/>
    </row>
    <row r="565" spans="17:31">
      <c r="Q565" s="687"/>
      <c r="R565" s="687"/>
      <c r="S565" s="687"/>
      <c r="T565" s="687"/>
      <c r="U565" s="687"/>
      <c r="V565" s="687"/>
      <c r="W565" s="687"/>
      <c r="X565" s="687"/>
      <c r="Y565" s="687"/>
      <c r="Z565" s="687"/>
      <c r="AA565" s="687"/>
      <c r="AB565" s="687"/>
      <c r="AC565" s="687"/>
      <c r="AD565" s="687"/>
      <c r="AE565" s="687"/>
    </row>
    <row r="566" spans="17:31">
      <c r="Q566" s="687"/>
      <c r="R566" s="687"/>
      <c r="S566" s="687"/>
      <c r="T566" s="687"/>
      <c r="U566" s="687"/>
      <c r="V566" s="687"/>
      <c r="W566" s="687"/>
      <c r="X566" s="687"/>
      <c r="Y566" s="687"/>
      <c r="Z566" s="687"/>
      <c r="AA566" s="687"/>
      <c r="AB566" s="687"/>
      <c r="AC566" s="687"/>
      <c r="AD566" s="687"/>
      <c r="AE566" s="687"/>
    </row>
    <row r="567" spans="17:31">
      <c r="Q567" s="687"/>
      <c r="R567" s="687"/>
      <c r="S567" s="687"/>
      <c r="T567" s="687"/>
      <c r="U567" s="687"/>
      <c r="V567" s="687"/>
      <c r="W567" s="687"/>
      <c r="X567" s="687"/>
      <c r="Y567" s="687"/>
      <c r="Z567" s="687"/>
      <c r="AA567" s="687"/>
      <c r="AB567" s="687"/>
      <c r="AC567" s="687"/>
      <c r="AD567" s="687"/>
      <c r="AE567" s="687"/>
    </row>
    <row r="568" spans="17:31">
      <c r="Q568" s="687"/>
      <c r="R568" s="687"/>
      <c r="S568" s="687"/>
      <c r="T568" s="687"/>
      <c r="U568" s="687"/>
      <c r="V568" s="687"/>
      <c r="W568" s="687"/>
      <c r="X568" s="687"/>
      <c r="Y568" s="687"/>
      <c r="Z568" s="687"/>
      <c r="AA568" s="687"/>
      <c r="AB568" s="687"/>
      <c r="AC568" s="687"/>
      <c r="AD568" s="687"/>
      <c r="AE568" s="687"/>
    </row>
    <row r="569" spans="17:31">
      <c r="Q569" s="687"/>
      <c r="R569" s="687"/>
      <c r="S569" s="687"/>
      <c r="T569" s="687"/>
      <c r="U569" s="687"/>
      <c r="V569" s="687"/>
      <c r="W569" s="687"/>
      <c r="X569" s="687"/>
      <c r="Y569" s="687"/>
      <c r="Z569" s="687"/>
      <c r="AA569" s="687"/>
      <c r="AB569" s="687"/>
      <c r="AC569" s="687"/>
      <c r="AD569" s="687"/>
      <c r="AE569" s="687"/>
    </row>
    <row r="570" spans="17:31">
      <c r="Q570" s="687"/>
      <c r="R570" s="687"/>
      <c r="S570" s="687"/>
      <c r="T570" s="687"/>
      <c r="U570" s="687"/>
      <c r="V570" s="687"/>
      <c r="W570" s="687"/>
      <c r="X570" s="687"/>
      <c r="Y570" s="687"/>
      <c r="Z570" s="687"/>
      <c r="AA570" s="687"/>
      <c r="AB570" s="687"/>
      <c r="AC570" s="687"/>
      <c r="AD570" s="687"/>
      <c r="AE570" s="687"/>
    </row>
    <row r="571" spans="17:31">
      <c r="Q571" s="687"/>
      <c r="R571" s="687"/>
      <c r="S571" s="687"/>
      <c r="T571" s="687"/>
      <c r="U571" s="687"/>
      <c r="V571" s="687"/>
      <c r="W571" s="687"/>
      <c r="X571" s="687"/>
      <c r="Y571" s="687"/>
      <c r="Z571" s="687"/>
      <c r="AA571" s="687"/>
      <c r="AB571" s="687"/>
      <c r="AC571" s="687"/>
      <c r="AD571" s="687"/>
      <c r="AE571" s="687"/>
    </row>
  </sheetData>
  <phoneticPr fontId="4" type="noConversion"/>
  <pageMargins left="1" right="0.75" top="0.98425196850393704" bottom="0" header="0" footer="0"/>
  <pageSetup scale="46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499984740745262"/>
  </sheetPr>
  <dimension ref="A1:T69"/>
  <sheetViews>
    <sheetView zoomScale="80" zoomScaleNormal="80" workbookViewId="0"/>
  </sheetViews>
  <sheetFormatPr defaultRowHeight="13.2"/>
  <cols>
    <col min="1" max="1" width="12.33203125" customWidth="1"/>
    <col min="2" max="2" width="31.44140625" customWidth="1"/>
    <col min="3" max="3" width="8.33203125" customWidth="1"/>
    <col min="4" max="4" width="10.88671875" customWidth="1"/>
    <col min="5" max="5" width="27.6640625" customWidth="1"/>
    <col min="6" max="18" width="12.5546875" customWidth="1"/>
    <col min="19" max="19" width="13.88671875" customWidth="1"/>
  </cols>
  <sheetData>
    <row r="1" spans="1:20">
      <c r="A1" s="576" t="str">
        <f>COMPANY</f>
        <v>DUKE ENERGY KENTUCKY, INC.</v>
      </c>
    </row>
    <row r="2" spans="1:20">
      <c r="A2" s="576" t="str">
        <f>CASE</f>
        <v>CASE NO. 2018-00261</v>
      </c>
    </row>
    <row r="3" spans="1:20">
      <c r="A3" s="578" t="s">
        <v>2484</v>
      </c>
    </row>
    <row r="4" spans="1:20">
      <c r="A4" s="578" t="s">
        <v>1726</v>
      </c>
    </row>
    <row r="5" spans="1:20">
      <c r="A5" s="576"/>
    </row>
    <row r="6" spans="1:20">
      <c r="A6" s="576" t="str">
        <f>Data</f>
        <v>DATA: "X" BASE PERIOD   FORECASTED PERIOD</v>
      </c>
    </row>
    <row r="7" spans="1:20">
      <c r="A7" s="576" t="str">
        <f>Type</f>
        <v xml:space="preserve">TYPE OF FILING:  "X" ORIGINAL   UPDATED    REVISED  </v>
      </c>
    </row>
    <row r="10" spans="1:20" ht="13.8" thickBot="1"/>
    <row r="11" spans="1:20" ht="14.4" thickTop="1" thickBot="1">
      <c r="A11" s="1926" t="s">
        <v>1987</v>
      </c>
      <c r="B11" s="1926" t="s">
        <v>1988</v>
      </c>
      <c r="C11" s="1926" t="s">
        <v>573</v>
      </c>
      <c r="D11" s="1926" t="s">
        <v>2485</v>
      </c>
      <c r="E11" s="1926" t="s">
        <v>2486</v>
      </c>
      <c r="F11" s="1926" t="s">
        <v>2153</v>
      </c>
      <c r="G11" s="1928">
        <f>LOGO!I7</f>
        <v>43100</v>
      </c>
      <c r="H11" s="1928">
        <f>LOGO!I8</f>
        <v>43131</v>
      </c>
      <c r="I11" s="1928">
        <f>LOGO!I9</f>
        <v>43159</v>
      </c>
      <c r="J11" s="1928">
        <f>LOGO!I10</f>
        <v>43190</v>
      </c>
      <c r="K11" s="1928">
        <f>LOGO!I11</f>
        <v>43220</v>
      </c>
      <c r="L11" s="1928">
        <f>LOGO!I12</f>
        <v>43251</v>
      </c>
      <c r="M11" s="1928">
        <f>LOGO!I13</f>
        <v>43281</v>
      </c>
      <c r="N11" s="1928">
        <f>LOGO!I14</f>
        <v>43312</v>
      </c>
      <c r="O11" s="1928">
        <f>LOGO!I15</f>
        <v>43343</v>
      </c>
      <c r="P11" s="1928">
        <f>LOGO!I16</f>
        <v>43373</v>
      </c>
      <c r="Q11" s="1928">
        <f>LOGO!I17</f>
        <v>43404</v>
      </c>
      <c r="R11" s="1928">
        <f>LOGO!I18</f>
        <v>43434</v>
      </c>
      <c r="S11" s="1594"/>
      <c r="T11" s="1594"/>
    </row>
    <row r="12" spans="1:20" ht="13.8" thickTop="1">
      <c r="A12" s="1927">
        <v>480000</v>
      </c>
      <c r="B12" t="s">
        <v>2400</v>
      </c>
      <c r="D12" t="s">
        <v>2467</v>
      </c>
      <c r="E12" t="s">
        <v>2468</v>
      </c>
      <c r="F12" s="1178">
        <f>SUM(G12:R12)</f>
        <v>22930177</v>
      </c>
      <c r="G12" s="1593">
        <v>3238288</v>
      </c>
      <c r="H12" s="1593">
        <v>5618353</v>
      </c>
      <c r="I12" s="1593">
        <v>4299321</v>
      </c>
      <c r="J12" s="1593">
        <v>2969416</v>
      </c>
      <c r="K12" s="1593">
        <v>2848610</v>
      </c>
      <c r="L12" s="2824">
        <v>1090021</v>
      </c>
      <c r="M12" s="2824">
        <v>536101</v>
      </c>
      <c r="N12" s="2824">
        <v>290934</v>
      </c>
      <c r="O12" s="2824">
        <v>203335</v>
      </c>
      <c r="P12" s="2824">
        <v>200731</v>
      </c>
      <c r="Q12" s="2824">
        <v>428987</v>
      </c>
      <c r="R12" s="2824">
        <v>1206080</v>
      </c>
    </row>
    <row r="13" spans="1:20">
      <c r="A13" s="1927">
        <v>480000</v>
      </c>
      <c r="B13" t="s">
        <v>2400</v>
      </c>
      <c r="D13" s="1184" t="s">
        <v>2469</v>
      </c>
      <c r="E13" t="s">
        <v>2470</v>
      </c>
      <c r="F13" s="1178">
        <f t="shared" ref="F13:F65" si="0">SUM(G13:R13)</f>
        <v>17516458</v>
      </c>
      <c r="G13" s="1593">
        <v>1467232</v>
      </c>
      <c r="H13" s="1593">
        <v>1472544</v>
      </c>
      <c r="I13" s="1593">
        <v>1473568</v>
      </c>
      <c r="J13" s="1593">
        <v>1471216</v>
      </c>
      <c r="K13" s="1593">
        <v>1471504</v>
      </c>
      <c r="L13" s="2824">
        <v>1466192</v>
      </c>
      <c r="M13" s="2824">
        <v>1451629</v>
      </c>
      <c r="N13" s="2824">
        <v>1445282</v>
      </c>
      <c r="O13" s="2824">
        <v>1441678</v>
      </c>
      <c r="P13" s="2824">
        <v>1443259</v>
      </c>
      <c r="Q13" s="2824">
        <v>1449440</v>
      </c>
      <c r="R13" s="2824">
        <v>1462914</v>
      </c>
    </row>
    <row r="14" spans="1:20">
      <c r="A14" s="1927">
        <v>480000</v>
      </c>
      <c r="B14" t="s">
        <v>2400</v>
      </c>
      <c r="D14" t="s">
        <v>2471</v>
      </c>
      <c r="E14" t="s">
        <v>2472</v>
      </c>
      <c r="F14" s="1178">
        <f t="shared" si="0"/>
        <v>-1185931</v>
      </c>
      <c r="G14" s="1593">
        <v>-114864</v>
      </c>
      <c r="H14" s="1593">
        <v>-199591</v>
      </c>
      <c r="I14" s="1593">
        <v>-233149</v>
      </c>
      <c r="J14" s="1593">
        <v>-318538</v>
      </c>
      <c r="K14" s="1593">
        <v>-302643</v>
      </c>
      <c r="L14" s="2824">
        <v>-114868</v>
      </c>
      <c r="M14" s="2824">
        <v>18276</v>
      </c>
      <c r="N14" s="2824">
        <v>9918</v>
      </c>
      <c r="O14" s="2824">
        <v>6935</v>
      </c>
      <c r="P14" s="2824">
        <v>6844</v>
      </c>
      <c r="Q14" s="2824">
        <v>14628</v>
      </c>
      <c r="R14" s="2824">
        <v>41121</v>
      </c>
    </row>
    <row r="15" spans="1:20">
      <c r="A15" s="1927">
        <v>480000</v>
      </c>
      <c r="B15" t="s">
        <v>2400</v>
      </c>
      <c r="D15" t="s">
        <v>2473</v>
      </c>
      <c r="E15" t="s">
        <v>2474</v>
      </c>
      <c r="F15" s="1178">
        <f t="shared" si="0"/>
        <v>26302254</v>
      </c>
      <c r="G15" s="1593">
        <v>3677582</v>
      </c>
      <c r="H15" s="1593">
        <v>6074643</v>
      </c>
      <c r="I15" s="1593">
        <v>4633259</v>
      </c>
      <c r="J15" s="1593">
        <v>3164455</v>
      </c>
      <c r="K15" s="1593">
        <v>2973708</v>
      </c>
      <c r="L15" s="2824">
        <v>1107216</v>
      </c>
      <c r="M15" s="2824">
        <v>599801</v>
      </c>
      <c r="N15" s="2824">
        <v>471528</v>
      </c>
      <c r="O15" s="2824">
        <v>329225</v>
      </c>
      <c r="P15" s="2824">
        <v>397414</v>
      </c>
      <c r="Q15" s="2824">
        <v>791590</v>
      </c>
      <c r="R15" s="2824">
        <v>2081833</v>
      </c>
    </row>
    <row r="16" spans="1:20">
      <c r="A16" s="1927">
        <v>480000</v>
      </c>
      <c r="B16" t="s">
        <v>2400</v>
      </c>
      <c r="D16" t="s">
        <v>2475</v>
      </c>
      <c r="E16" t="s">
        <v>2476</v>
      </c>
      <c r="F16" s="1178">
        <f t="shared" si="0"/>
        <v>1775469</v>
      </c>
      <c r="G16" s="1593">
        <v>71878</v>
      </c>
      <c r="H16" s="1593">
        <v>166322</v>
      </c>
      <c r="I16" s="1593">
        <v>166873</v>
      </c>
      <c r="J16" s="1593">
        <v>166697</v>
      </c>
      <c r="K16" s="1593">
        <v>167048</v>
      </c>
      <c r="L16" s="2824">
        <v>166537</v>
      </c>
      <c r="M16" s="2824">
        <v>145279</v>
      </c>
      <c r="N16" s="2824">
        <v>144643</v>
      </c>
      <c r="O16" s="2824">
        <v>144283</v>
      </c>
      <c r="P16" s="2824">
        <v>144441</v>
      </c>
      <c r="Q16" s="2824">
        <v>145060</v>
      </c>
      <c r="R16" s="2824">
        <v>146408</v>
      </c>
    </row>
    <row r="17" spans="1:18">
      <c r="A17" s="1927">
        <v>480990</v>
      </c>
      <c r="B17" t="s">
        <v>2401</v>
      </c>
      <c r="D17" t="s">
        <v>2477</v>
      </c>
      <c r="E17" t="s">
        <v>2478</v>
      </c>
      <c r="F17" s="1178">
        <f t="shared" si="0"/>
        <v>1346262</v>
      </c>
      <c r="G17" s="1593">
        <v>2499849</v>
      </c>
      <c r="H17" s="1593">
        <v>-1045741</v>
      </c>
      <c r="I17" s="1593">
        <v>-1258027</v>
      </c>
      <c r="J17" s="1593">
        <v>159993</v>
      </c>
      <c r="K17" s="1593">
        <v>-1183928</v>
      </c>
      <c r="L17" s="2824">
        <v>-1489893</v>
      </c>
      <c r="M17" s="2824">
        <v>7</v>
      </c>
      <c r="N17" s="2824">
        <v>613752</v>
      </c>
      <c r="O17" s="2824">
        <v>26282</v>
      </c>
      <c r="P17" s="2824">
        <v>554106</v>
      </c>
      <c r="Q17" s="2824">
        <v>575165</v>
      </c>
      <c r="R17" s="2824">
        <v>1894697</v>
      </c>
    </row>
    <row r="18" spans="1:18">
      <c r="A18" s="1927">
        <v>481000</v>
      </c>
      <c r="B18" t="s">
        <v>2402</v>
      </c>
      <c r="D18" t="s">
        <v>2467</v>
      </c>
      <c r="E18" t="s">
        <v>2468</v>
      </c>
      <c r="F18" s="1178">
        <f t="shared" si="0"/>
        <v>517707</v>
      </c>
      <c r="G18" s="1593">
        <v>77544</v>
      </c>
      <c r="H18" s="1593">
        <v>128819</v>
      </c>
      <c r="I18" s="1593">
        <v>99019</v>
      </c>
      <c r="J18" s="1593">
        <v>68195</v>
      </c>
      <c r="K18" s="1593">
        <v>63231</v>
      </c>
      <c r="L18" s="2824">
        <v>27614</v>
      </c>
      <c r="M18" s="2824">
        <v>11950</v>
      </c>
      <c r="N18" s="2824">
        <v>4770</v>
      </c>
      <c r="O18" s="2824">
        <v>6733</v>
      </c>
      <c r="P18" s="2824">
        <v>6980</v>
      </c>
      <c r="Q18" s="2824">
        <v>7561</v>
      </c>
      <c r="R18" s="2824">
        <v>15291</v>
      </c>
    </row>
    <row r="19" spans="1:18">
      <c r="A19" s="1927">
        <v>481000</v>
      </c>
      <c r="B19" t="s">
        <v>2402</v>
      </c>
      <c r="D19" t="s">
        <v>2469</v>
      </c>
      <c r="E19" t="s">
        <v>2470</v>
      </c>
      <c r="F19" s="1178">
        <f t="shared" si="0"/>
        <v>118242</v>
      </c>
      <c r="G19" s="1593">
        <v>9880</v>
      </c>
      <c r="H19" s="1593">
        <v>10070</v>
      </c>
      <c r="I19" s="1593">
        <v>10213</v>
      </c>
      <c r="J19" s="1593">
        <v>9880</v>
      </c>
      <c r="K19" s="1593">
        <v>9785</v>
      </c>
      <c r="L19" s="2824">
        <v>9595</v>
      </c>
      <c r="M19" s="2824">
        <v>9821</v>
      </c>
      <c r="N19" s="2824">
        <v>9778</v>
      </c>
      <c r="O19" s="2824">
        <v>9753</v>
      </c>
      <c r="P19" s="2824">
        <v>9764</v>
      </c>
      <c r="Q19" s="2824">
        <v>9806</v>
      </c>
      <c r="R19" s="2824">
        <v>9897</v>
      </c>
    </row>
    <row r="20" spans="1:18">
      <c r="A20" s="1927">
        <v>481000</v>
      </c>
      <c r="B20" t="s">
        <v>2402</v>
      </c>
      <c r="D20" t="s">
        <v>2473</v>
      </c>
      <c r="E20" t="s">
        <v>2474</v>
      </c>
      <c r="F20" s="1178">
        <f t="shared" si="0"/>
        <v>1013439</v>
      </c>
      <c r="G20" s="1593">
        <v>152946</v>
      </c>
      <c r="H20" s="1593">
        <v>246826</v>
      </c>
      <c r="I20" s="1593">
        <v>182582</v>
      </c>
      <c r="J20" s="1593">
        <v>124643</v>
      </c>
      <c r="K20" s="1593">
        <v>112153</v>
      </c>
      <c r="L20" s="2824">
        <v>38101</v>
      </c>
      <c r="M20" s="2824">
        <v>24234</v>
      </c>
      <c r="N20" s="2824">
        <v>14012</v>
      </c>
      <c r="O20" s="2824">
        <v>19759</v>
      </c>
      <c r="P20" s="2824">
        <v>25051</v>
      </c>
      <c r="Q20" s="2824">
        <v>25290</v>
      </c>
      <c r="R20" s="2824">
        <v>47842</v>
      </c>
    </row>
    <row r="21" spans="1:18">
      <c r="A21" s="1927">
        <v>481000</v>
      </c>
      <c r="B21" t="s">
        <v>2402</v>
      </c>
      <c r="D21" t="s">
        <v>2475</v>
      </c>
      <c r="E21" t="s">
        <v>2476</v>
      </c>
      <c r="F21" s="1178">
        <f t="shared" si="0"/>
        <v>4570</v>
      </c>
      <c r="G21" s="1593">
        <v>154</v>
      </c>
      <c r="H21" s="1593">
        <v>361</v>
      </c>
      <c r="I21" s="1593">
        <v>357</v>
      </c>
      <c r="J21" s="1593">
        <v>365</v>
      </c>
      <c r="K21" s="1593">
        <v>368</v>
      </c>
      <c r="L21" s="2824">
        <v>355</v>
      </c>
      <c r="M21" s="2824">
        <v>436</v>
      </c>
      <c r="N21" s="2824">
        <v>434</v>
      </c>
      <c r="O21" s="2824">
        <v>433</v>
      </c>
      <c r="P21" s="2824">
        <v>433</v>
      </c>
      <c r="Q21" s="2824">
        <v>435</v>
      </c>
      <c r="R21" s="2824">
        <v>439</v>
      </c>
    </row>
    <row r="22" spans="1:18">
      <c r="A22" s="1927">
        <v>481090</v>
      </c>
      <c r="B22" t="s">
        <v>2403</v>
      </c>
      <c r="D22" t="s">
        <v>2477</v>
      </c>
      <c r="E22" t="s">
        <v>2478</v>
      </c>
      <c r="F22" s="1178">
        <f t="shared" si="0"/>
        <v>361</v>
      </c>
      <c r="G22" s="1593">
        <v>-4020</v>
      </c>
      <c r="H22" s="1593">
        <v>-18173</v>
      </c>
      <c r="I22" s="1593">
        <v>-25437</v>
      </c>
      <c r="J22" s="1593">
        <v>12904</v>
      </c>
      <c r="K22" s="1593">
        <v>-25972</v>
      </c>
      <c r="L22" s="2824">
        <v>-4562</v>
      </c>
      <c r="M22" s="2824">
        <v>6867</v>
      </c>
      <c r="N22" s="2824">
        <v>19528</v>
      </c>
      <c r="O22" s="2824">
        <v>1476</v>
      </c>
      <c r="P22" s="2824">
        <v>14979</v>
      </c>
      <c r="Q22" s="2824">
        <v>596</v>
      </c>
      <c r="R22" s="2824">
        <v>22175</v>
      </c>
    </row>
    <row r="23" spans="1:18">
      <c r="A23" s="1927">
        <v>481200</v>
      </c>
      <c r="B23" t="s">
        <v>2404</v>
      </c>
      <c r="D23" t="s">
        <v>2467</v>
      </c>
      <c r="E23" t="s">
        <v>2468</v>
      </c>
      <c r="F23" s="1178">
        <f t="shared" si="0"/>
        <v>7209866</v>
      </c>
      <c r="G23" s="1593">
        <v>901347</v>
      </c>
      <c r="H23" s="1593">
        <v>1559015</v>
      </c>
      <c r="I23" s="1593">
        <v>1208025</v>
      </c>
      <c r="J23" s="1593">
        <v>872960</v>
      </c>
      <c r="K23" s="1593">
        <v>851035</v>
      </c>
      <c r="L23" s="2824">
        <v>360904</v>
      </c>
      <c r="M23" s="2824">
        <v>236296</v>
      </c>
      <c r="N23" s="2824">
        <v>168914</v>
      </c>
      <c r="O23" s="2824">
        <v>205804</v>
      </c>
      <c r="P23" s="2824">
        <v>138025</v>
      </c>
      <c r="Q23" s="2824">
        <v>255883</v>
      </c>
      <c r="R23" s="2824">
        <v>451658</v>
      </c>
    </row>
    <row r="24" spans="1:18">
      <c r="A24" s="1927">
        <v>481200</v>
      </c>
      <c r="B24" t="s">
        <v>2404</v>
      </c>
      <c r="D24" t="s">
        <v>2469</v>
      </c>
      <c r="E24" t="s">
        <v>2470</v>
      </c>
      <c r="F24" s="1178">
        <f t="shared" si="0"/>
        <v>3595947</v>
      </c>
      <c r="G24" s="1593">
        <v>319970</v>
      </c>
      <c r="H24" s="1593">
        <v>322108</v>
      </c>
      <c r="I24" s="1593">
        <v>323122</v>
      </c>
      <c r="J24" s="1593">
        <v>323502</v>
      </c>
      <c r="K24" s="1593">
        <v>320209</v>
      </c>
      <c r="L24" s="2824">
        <v>314904</v>
      </c>
      <c r="M24" s="2824">
        <v>280658</v>
      </c>
      <c r="N24" s="2824">
        <v>277222</v>
      </c>
      <c r="O24" s="2824">
        <v>276530</v>
      </c>
      <c r="P24" s="2824">
        <v>274628</v>
      </c>
      <c r="Q24" s="2824">
        <v>278019</v>
      </c>
      <c r="R24" s="2824">
        <v>285075</v>
      </c>
    </row>
    <row r="25" spans="1:18">
      <c r="A25" s="1927">
        <v>481200</v>
      </c>
      <c r="B25" t="s">
        <v>2404</v>
      </c>
      <c r="D25" t="s">
        <v>2471</v>
      </c>
      <c r="E25" t="s">
        <v>2472</v>
      </c>
      <c r="F25" s="1178">
        <f t="shared" si="0"/>
        <v>-29194</v>
      </c>
      <c r="G25" s="1593">
        <v>-2522</v>
      </c>
      <c r="H25" s="1593">
        <v>-4012</v>
      </c>
      <c r="I25" s="1593">
        <v>-5795</v>
      </c>
      <c r="J25" s="1593">
        <v>-7281</v>
      </c>
      <c r="K25" s="1593">
        <v>-6669</v>
      </c>
      <c r="L25" s="2824">
        <v>-2915</v>
      </c>
      <c r="M25" s="2824">
        <v>0</v>
      </c>
      <c r="N25" s="2824">
        <v>0</v>
      </c>
      <c r="O25" s="2824">
        <v>0</v>
      </c>
      <c r="P25" s="2824">
        <v>0</v>
      </c>
      <c r="Q25" s="2824">
        <v>0</v>
      </c>
      <c r="R25" s="2824">
        <v>0</v>
      </c>
    </row>
    <row r="26" spans="1:18">
      <c r="A26" s="1927">
        <v>481200</v>
      </c>
      <c r="B26" t="s">
        <v>2404</v>
      </c>
      <c r="D26" t="s">
        <v>2473</v>
      </c>
      <c r="E26" t="s">
        <v>2474</v>
      </c>
      <c r="F26" s="1178">
        <f t="shared" si="0"/>
        <v>14358224</v>
      </c>
      <c r="G26" s="1593">
        <v>1781269</v>
      </c>
      <c r="H26" s="1593">
        <v>2953628</v>
      </c>
      <c r="I26" s="1593">
        <v>2189881</v>
      </c>
      <c r="J26" s="1593">
        <v>1607074</v>
      </c>
      <c r="K26" s="1593">
        <v>1544384</v>
      </c>
      <c r="L26" s="2824">
        <v>623438</v>
      </c>
      <c r="M26" s="2824">
        <v>405188</v>
      </c>
      <c r="N26" s="2824">
        <v>426544</v>
      </c>
      <c r="O26" s="2824">
        <v>513077</v>
      </c>
      <c r="P26" s="2824">
        <v>420761</v>
      </c>
      <c r="Q26" s="2824">
        <v>721089</v>
      </c>
      <c r="R26" s="2824">
        <v>1171891</v>
      </c>
    </row>
    <row r="27" spans="1:18">
      <c r="A27" s="1927">
        <v>481200</v>
      </c>
      <c r="B27" t="s">
        <v>2404</v>
      </c>
      <c r="D27" t="s">
        <v>2475</v>
      </c>
      <c r="E27" t="s">
        <v>2476</v>
      </c>
      <c r="F27" s="1178">
        <f t="shared" si="0"/>
        <v>153910</v>
      </c>
      <c r="G27" s="1593">
        <v>5558</v>
      </c>
      <c r="H27" s="1593">
        <v>12906</v>
      </c>
      <c r="I27" s="1593">
        <v>13033</v>
      </c>
      <c r="J27" s="1593">
        <v>12974</v>
      </c>
      <c r="K27" s="1593">
        <v>13011</v>
      </c>
      <c r="L27" s="2824">
        <v>12849</v>
      </c>
      <c r="M27" s="2824">
        <v>13978</v>
      </c>
      <c r="N27" s="2824">
        <v>13882</v>
      </c>
      <c r="O27" s="2824">
        <v>13847</v>
      </c>
      <c r="P27" s="2824">
        <v>13827</v>
      </c>
      <c r="Q27" s="2824">
        <v>13922</v>
      </c>
      <c r="R27" s="2824">
        <v>14123</v>
      </c>
    </row>
    <row r="28" spans="1:18">
      <c r="A28" s="1927">
        <v>481290</v>
      </c>
      <c r="B28" t="s">
        <v>2405</v>
      </c>
      <c r="D28" t="s">
        <v>2477</v>
      </c>
      <c r="E28" t="s">
        <v>2478</v>
      </c>
      <c r="F28" s="1178">
        <f t="shared" si="0"/>
        <v>457261</v>
      </c>
      <c r="G28" s="1593">
        <v>664424</v>
      </c>
      <c r="H28" s="1593">
        <v>-481813</v>
      </c>
      <c r="I28" s="1593">
        <v>-306544</v>
      </c>
      <c r="J28" s="1593">
        <v>-24421</v>
      </c>
      <c r="K28" s="1593">
        <v>-473678</v>
      </c>
      <c r="L28" s="2824">
        <v>-269300</v>
      </c>
      <c r="M28" s="2824">
        <v>11006</v>
      </c>
      <c r="N28" s="2824">
        <v>329850</v>
      </c>
      <c r="O28" s="2824">
        <v>-86278</v>
      </c>
      <c r="P28" s="2824">
        <v>303418</v>
      </c>
      <c r="Q28" s="2824">
        <v>82884</v>
      </c>
      <c r="R28" s="2824">
        <v>707713</v>
      </c>
    </row>
    <row r="29" spans="1:18">
      <c r="A29" s="1927">
        <v>482000</v>
      </c>
      <c r="B29" t="s">
        <v>2406</v>
      </c>
      <c r="D29" t="s">
        <v>2467</v>
      </c>
      <c r="E29" t="s">
        <v>2468</v>
      </c>
      <c r="F29" s="1178">
        <f t="shared" si="0"/>
        <v>718833</v>
      </c>
      <c r="G29" s="1593">
        <v>94129</v>
      </c>
      <c r="H29" s="1593">
        <v>173636</v>
      </c>
      <c r="I29" s="1593">
        <v>130742</v>
      </c>
      <c r="J29" s="1593">
        <v>94213</v>
      </c>
      <c r="K29" s="1593">
        <v>91136</v>
      </c>
      <c r="L29" s="2824">
        <v>34023</v>
      </c>
      <c r="M29" s="2824">
        <v>20256</v>
      </c>
      <c r="N29" s="2824">
        <v>9028</v>
      </c>
      <c r="O29" s="2824">
        <v>5954</v>
      </c>
      <c r="P29" s="2824">
        <v>8514</v>
      </c>
      <c r="Q29" s="2824">
        <v>20940</v>
      </c>
      <c r="R29" s="2824">
        <v>36262</v>
      </c>
    </row>
    <row r="30" spans="1:18">
      <c r="A30" s="1927">
        <v>482000</v>
      </c>
      <c r="B30" t="s">
        <v>2406</v>
      </c>
      <c r="D30" t="s">
        <v>2469</v>
      </c>
      <c r="E30" t="s">
        <v>2470</v>
      </c>
      <c r="F30" s="1178">
        <f t="shared" si="0"/>
        <v>208660</v>
      </c>
      <c r="G30" s="1593">
        <v>17195</v>
      </c>
      <c r="H30" s="1593">
        <v>17195</v>
      </c>
      <c r="I30" s="1593">
        <v>17338</v>
      </c>
      <c r="J30" s="1593">
        <v>17338</v>
      </c>
      <c r="K30" s="1593">
        <v>17480</v>
      </c>
      <c r="L30" s="2824">
        <v>17195</v>
      </c>
      <c r="M30" s="2824">
        <v>17518</v>
      </c>
      <c r="N30" s="2824">
        <v>17441</v>
      </c>
      <c r="O30" s="2824">
        <v>17398</v>
      </c>
      <c r="P30" s="2824">
        <v>17417</v>
      </c>
      <c r="Q30" s="2824">
        <v>17491</v>
      </c>
      <c r="R30" s="2824">
        <v>17654</v>
      </c>
    </row>
    <row r="31" spans="1:18">
      <c r="A31" s="1927">
        <v>482000</v>
      </c>
      <c r="B31" t="s">
        <v>2406</v>
      </c>
      <c r="D31" t="s">
        <v>2471</v>
      </c>
      <c r="E31" t="s">
        <v>2472</v>
      </c>
      <c r="F31" s="1178">
        <f t="shared" si="0"/>
        <v>-61</v>
      </c>
      <c r="G31" s="1593">
        <v>-7</v>
      </c>
      <c r="H31" s="1593">
        <v>-6</v>
      </c>
      <c r="I31" s="1593">
        <v>-12</v>
      </c>
      <c r="J31" s="1593">
        <v>-19</v>
      </c>
      <c r="K31" s="1593">
        <v>-13</v>
      </c>
      <c r="L31" s="2824">
        <v>-4</v>
      </c>
      <c r="M31" s="2824">
        <v>0</v>
      </c>
      <c r="N31" s="2824">
        <v>0</v>
      </c>
      <c r="O31" s="2824">
        <v>0</v>
      </c>
      <c r="P31" s="2824">
        <v>0</v>
      </c>
      <c r="Q31" s="2824">
        <v>0</v>
      </c>
      <c r="R31" s="2824">
        <v>0</v>
      </c>
    </row>
    <row r="32" spans="1:18">
      <c r="A32" s="1927">
        <v>482000</v>
      </c>
      <c r="B32" t="s">
        <v>2406</v>
      </c>
      <c r="D32" t="s">
        <v>2473</v>
      </c>
      <c r="E32" t="s">
        <v>2474</v>
      </c>
      <c r="F32" s="1178">
        <f t="shared" si="0"/>
        <v>1496255</v>
      </c>
      <c r="G32" s="1593">
        <v>192556</v>
      </c>
      <c r="H32" s="1593">
        <v>338468</v>
      </c>
      <c r="I32" s="1593">
        <v>252922</v>
      </c>
      <c r="J32" s="1593">
        <v>180119</v>
      </c>
      <c r="K32" s="1593">
        <v>171327</v>
      </c>
      <c r="L32" s="2824">
        <v>61739</v>
      </c>
      <c r="M32" s="2824">
        <v>41079</v>
      </c>
      <c r="N32" s="2824">
        <v>26523</v>
      </c>
      <c r="O32" s="2824">
        <v>17474</v>
      </c>
      <c r="P32" s="2824">
        <v>30553</v>
      </c>
      <c r="Q32" s="2824">
        <v>70039</v>
      </c>
      <c r="R32" s="2824">
        <v>113456</v>
      </c>
    </row>
    <row r="33" spans="1:18">
      <c r="A33" s="1927">
        <v>482000</v>
      </c>
      <c r="B33" t="s">
        <v>2406</v>
      </c>
      <c r="D33" t="s">
        <v>2475</v>
      </c>
      <c r="E33" t="s">
        <v>2476</v>
      </c>
      <c r="F33" s="1178">
        <f t="shared" si="0"/>
        <v>8229</v>
      </c>
      <c r="G33" s="1593">
        <v>282</v>
      </c>
      <c r="H33" s="1593">
        <v>653</v>
      </c>
      <c r="I33" s="1593">
        <v>660</v>
      </c>
      <c r="J33" s="1593">
        <v>663</v>
      </c>
      <c r="K33" s="1593">
        <v>662</v>
      </c>
      <c r="L33" s="2824">
        <v>654</v>
      </c>
      <c r="M33" s="2824">
        <v>777</v>
      </c>
      <c r="N33" s="2824">
        <v>774</v>
      </c>
      <c r="O33" s="2824">
        <v>772</v>
      </c>
      <c r="P33" s="2824">
        <v>773</v>
      </c>
      <c r="Q33" s="2824">
        <v>776</v>
      </c>
      <c r="R33" s="2824">
        <v>783</v>
      </c>
    </row>
    <row r="34" spans="1:18">
      <c r="A34" s="1927">
        <v>482090</v>
      </c>
      <c r="B34" t="s">
        <v>2407</v>
      </c>
      <c r="D34" t="s">
        <v>2477</v>
      </c>
      <c r="E34" t="s">
        <v>2478</v>
      </c>
      <c r="F34" s="1178">
        <f t="shared" si="0"/>
        <v>64744</v>
      </c>
      <c r="G34" s="1593">
        <v>69551</v>
      </c>
      <c r="H34" s="1593">
        <v>-116309</v>
      </c>
      <c r="I34" s="1593">
        <v>-64160</v>
      </c>
      <c r="J34" s="1593">
        <v>79980</v>
      </c>
      <c r="K34" s="1593">
        <v>-104376</v>
      </c>
      <c r="L34" s="2824">
        <v>-35969</v>
      </c>
      <c r="M34" s="2824">
        <v>-5599</v>
      </c>
      <c r="N34" s="2824">
        <v>47397</v>
      </c>
      <c r="O34" s="2824">
        <v>10251</v>
      </c>
      <c r="P34" s="2824">
        <v>46999</v>
      </c>
      <c r="Q34" s="2824">
        <v>24277</v>
      </c>
      <c r="R34" s="2824">
        <v>112702</v>
      </c>
    </row>
    <row r="35" spans="1:18">
      <c r="A35" s="1927">
        <v>482200</v>
      </c>
      <c r="B35" t="s">
        <v>2408</v>
      </c>
      <c r="D35" t="s">
        <v>2467</v>
      </c>
      <c r="E35" t="s">
        <v>2468</v>
      </c>
      <c r="F35" s="1178">
        <f t="shared" si="0"/>
        <v>411</v>
      </c>
      <c r="G35" s="1593">
        <v>58</v>
      </c>
      <c r="H35" s="1593">
        <v>59</v>
      </c>
      <c r="I35" s="1593">
        <v>57</v>
      </c>
      <c r="J35" s="1593">
        <v>58</v>
      </c>
      <c r="K35" s="1593">
        <v>58</v>
      </c>
      <c r="L35" s="2824">
        <v>57</v>
      </c>
      <c r="M35" s="2824">
        <v>11</v>
      </c>
      <c r="N35" s="2824">
        <v>11</v>
      </c>
      <c r="O35" s="2824">
        <v>10</v>
      </c>
      <c r="P35" s="2824">
        <v>11</v>
      </c>
      <c r="Q35" s="2824">
        <v>10</v>
      </c>
      <c r="R35" s="2824">
        <v>11</v>
      </c>
    </row>
    <row r="36" spans="1:18">
      <c r="A36" s="1927">
        <v>482200</v>
      </c>
      <c r="B36" t="s">
        <v>2408</v>
      </c>
      <c r="D36" t="s">
        <v>2473</v>
      </c>
      <c r="E36" t="s">
        <v>2474</v>
      </c>
      <c r="F36" s="1178">
        <f t="shared" si="0"/>
        <v>313</v>
      </c>
      <c r="G36" s="1593">
        <v>21</v>
      </c>
      <c r="H36" s="1593">
        <v>23</v>
      </c>
      <c r="I36" s="1593">
        <v>19</v>
      </c>
      <c r="J36" s="1593">
        <v>21</v>
      </c>
      <c r="K36" s="1593">
        <v>20</v>
      </c>
      <c r="L36" s="2824">
        <v>18</v>
      </c>
      <c r="M36" s="2824">
        <v>22</v>
      </c>
      <c r="N36" s="2824">
        <v>32</v>
      </c>
      <c r="O36" s="2824">
        <v>31</v>
      </c>
      <c r="P36" s="2824">
        <v>39</v>
      </c>
      <c r="Q36" s="2824">
        <v>34</v>
      </c>
      <c r="R36" s="2824">
        <v>33</v>
      </c>
    </row>
    <row r="37" spans="1:18">
      <c r="A37" s="1927">
        <v>482200</v>
      </c>
      <c r="B37" t="s">
        <v>2408</v>
      </c>
      <c r="D37" t="s">
        <v>2475</v>
      </c>
      <c r="E37" t="s">
        <v>2476</v>
      </c>
      <c r="F37" s="1178">
        <f t="shared" si="0"/>
        <v>11</v>
      </c>
      <c r="G37" s="1593">
        <v>1</v>
      </c>
      <c r="H37" s="1593">
        <v>2</v>
      </c>
      <c r="I37" s="1593">
        <v>2</v>
      </c>
      <c r="J37" s="1593">
        <v>2</v>
      </c>
      <c r="K37" s="1593">
        <v>2</v>
      </c>
      <c r="L37" s="2824">
        <v>2</v>
      </c>
      <c r="M37" s="2824">
        <v>0</v>
      </c>
      <c r="N37" s="2824">
        <v>0</v>
      </c>
      <c r="O37" s="2824">
        <v>0</v>
      </c>
      <c r="P37" s="2824">
        <v>0</v>
      </c>
      <c r="Q37" s="2824">
        <v>0</v>
      </c>
      <c r="R37" s="2824">
        <v>0</v>
      </c>
    </row>
    <row r="38" spans="1:18">
      <c r="A38" s="1927">
        <v>484000</v>
      </c>
      <c r="B38" t="s">
        <v>1279</v>
      </c>
      <c r="E38" t="s">
        <v>2466</v>
      </c>
      <c r="F38" s="1178">
        <f t="shared" si="0"/>
        <v>33586</v>
      </c>
      <c r="G38" s="1593">
        <v>4259</v>
      </c>
      <c r="H38" s="1593">
        <v>6726</v>
      </c>
      <c r="I38" s="1593">
        <v>8445</v>
      </c>
      <c r="J38" s="1593">
        <v>6070</v>
      </c>
      <c r="K38" s="1593">
        <v>5204</v>
      </c>
      <c r="L38" s="2824">
        <v>2882</v>
      </c>
      <c r="M38" s="2824">
        <v>0</v>
      </c>
      <c r="N38" s="2824">
        <v>0</v>
      </c>
      <c r="O38" s="2824">
        <v>0</v>
      </c>
      <c r="P38" s="2824">
        <v>0</v>
      </c>
      <c r="Q38" s="2824">
        <v>0</v>
      </c>
      <c r="R38" s="2824">
        <v>0</v>
      </c>
    </row>
    <row r="39" spans="1:18">
      <c r="A39" s="1927">
        <v>487001</v>
      </c>
      <c r="B39" t="s">
        <v>2409</v>
      </c>
      <c r="E39" t="s">
        <v>2466</v>
      </c>
      <c r="F39" s="1178">
        <f t="shared" si="0"/>
        <v>0</v>
      </c>
      <c r="G39" s="1593">
        <v>0</v>
      </c>
      <c r="H39" s="1593">
        <v>0</v>
      </c>
      <c r="I39" s="1593">
        <v>0</v>
      </c>
      <c r="J39" s="1593">
        <v>0</v>
      </c>
      <c r="K39" s="1593">
        <v>0</v>
      </c>
      <c r="L39" s="2824">
        <v>0</v>
      </c>
      <c r="M39" s="2824">
        <v>0</v>
      </c>
      <c r="N39" s="2824">
        <v>0</v>
      </c>
      <c r="O39" s="2824">
        <v>0</v>
      </c>
      <c r="P39" s="2824">
        <v>0</v>
      </c>
      <c r="Q39" s="2824">
        <v>0</v>
      </c>
      <c r="R39" s="2824">
        <v>0</v>
      </c>
    </row>
    <row r="40" spans="1:18">
      <c r="A40" s="1927">
        <v>488000</v>
      </c>
      <c r="B40" t="s">
        <v>2410</v>
      </c>
      <c r="E40" t="s">
        <v>2466</v>
      </c>
      <c r="F40" s="1178">
        <f t="shared" si="0"/>
        <v>38782</v>
      </c>
      <c r="G40" s="1593">
        <v>2422</v>
      </c>
      <c r="H40" s="1593">
        <v>2236</v>
      </c>
      <c r="I40" s="1593">
        <v>1976</v>
      </c>
      <c r="J40" s="1593">
        <v>2303</v>
      </c>
      <c r="K40" s="1593">
        <v>2041</v>
      </c>
      <c r="L40" s="2824">
        <v>1806</v>
      </c>
      <c r="M40" s="2824">
        <v>4333</v>
      </c>
      <c r="N40" s="2824">
        <v>4333</v>
      </c>
      <c r="O40" s="2824">
        <v>4333</v>
      </c>
      <c r="P40" s="2824">
        <v>4333</v>
      </c>
      <c r="Q40" s="2824">
        <v>4333</v>
      </c>
      <c r="R40" s="2824">
        <v>4333</v>
      </c>
    </row>
    <row r="41" spans="1:18">
      <c r="A41" s="1927">
        <v>488100</v>
      </c>
      <c r="B41" t="s">
        <v>2411</v>
      </c>
      <c r="E41" t="s">
        <v>2466</v>
      </c>
      <c r="F41" s="1178">
        <f t="shared" si="0"/>
        <v>472796</v>
      </c>
      <c r="G41" s="1593">
        <v>2850</v>
      </c>
      <c r="H41" s="1593">
        <v>42580</v>
      </c>
      <c r="I41" s="1593">
        <v>42580</v>
      </c>
      <c r="J41" s="1593">
        <v>85160</v>
      </c>
      <c r="K41" s="1593">
        <v>0</v>
      </c>
      <c r="L41" s="2824">
        <v>42580</v>
      </c>
      <c r="M41" s="2824">
        <v>42841</v>
      </c>
      <c r="N41" s="2824">
        <v>42841</v>
      </c>
      <c r="O41" s="2824">
        <v>42841</v>
      </c>
      <c r="P41" s="2824">
        <v>42841</v>
      </c>
      <c r="Q41" s="2824">
        <v>42841</v>
      </c>
      <c r="R41" s="2824">
        <v>42841</v>
      </c>
    </row>
    <row r="42" spans="1:18">
      <c r="A42" s="1927">
        <v>489000</v>
      </c>
      <c r="B42" t="s">
        <v>2412</v>
      </c>
      <c r="D42" t="s">
        <v>2467</v>
      </c>
      <c r="E42" t="s">
        <v>2468</v>
      </c>
      <c r="F42" s="1178">
        <f t="shared" si="0"/>
        <v>1443919</v>
      </c>
      <c r="G42" s="1593">
        <v>130474</v>
      </c>
      <c r="H42" s="1593">
        <v>138315</v>
      </c>
      <c r="I42" s="1593">
        <v>114154</v>
      </c>
      <c r="J42" s="1593">
        <v>129342</v>
      </c>
      <c r="K42" s="1593">
        <v>124709</v>
      </c>
      <c r="L42" s="2824">
        <v>106721</v>
      </c>
      <c r="M42" s="2824">
        <v>109121</v>
      </c>
      <c r="N42" s="2824">
        <v>108404</v>
      </c>
      <c r="O42" s="2824">
        <v>115576</v>
      </c>
      <c r="P42" s="2824">
        <v>110434</v>
      </c>
      <c r="Q42" s="2824">
        <v>127165</v>
      </c>
      <c r="R42" s="2824">
        <v>129504</v>
      </c>
    </row>
    <row r="43" spans="1:18">
      <c r="A43" s="1927">
        <v>489000</v>
      </c>
      <c r="B43" t="s">
        <v>2412</v>
      </c>
      <c r="D43" t="s">
        <v>2469</v>
      </c>
      <c r="E43" t="s">
        <v>2470</v>
      </c>
      <c r="F43" s="1178">
        <f t="shared" si="0"/>
        <v>56760</v>
      </c>
      <c r="G43" s="1593">
        <v>9460</v>
      </c>
      <c r="H43" s="1593">
        <v>9460</v>
      </c>
      <c r="I43" s="1593">
        <v>9460</v>
      </c>
      <c r="J43" s="1593">
        <v>9460</v>
      </c>
      <c r="K43" s="1593">
        <v>9460</v>
      </c>
      <c r="L43" s="2824">
        <v>9460</v>
      </c>
      <c r="M43" s="2824">
        <v>0</v>
      </c>
      <c r="N43" s="2824">
        <v>0</v>
      </c>
      <c r="O43" s="2824">
        <v>0</v>
      </c>
      <c r="P43" s="2824">
        <v>0</v>
      </c>
      <c r="Q43" s="2824">
        <v>0</v>
      </c>
      <c r="R43" s="2824">
        <v>0</v>
      </c>
    </row>
    <row r="44" spans="1:18">
      <c r="A44" s="1927">
        <v>489010</v>
      </c>
      <c r="B44" t="s">
        <v>2413</v>
      </c>
      <c r="E44" t="s">
        <v>2466</v>
      </c>
      <c r="F44" s="1178">
        <f t="shared" si="0"/>
        <v>261036</v>
      </c>
      <c r="G44" s="1593">
        <v>43506</v>
      </c>
      <c r="H44" s="1593">
        <v>43506</v>
      </c>
      <c r="I44" s="1593">
        <v>43506</v>
      </c>
      <c r="J44" s="1593">
        <v>43506</v>
      </c>
      <c r="K44" s="1593">
        <v>43506</v>
      </c>
      <c r="L44" s="2824">
        <v>43506</v>
      </c>
      <c r="M44" s="2824">
        <v>0</v>
      </c>
      <c r="N44" s="2824">
        <v>0</v>
      </c>
      <c r="O44" s="2824">
        <v>0</v>
      </c>
      <c r="P44" s="2824">
        <v>0</v>
      </c>
      <c r="Q44" s="2824">
        <v>0</v>
      </c>
      <c r="R44" s="2824">
        <v>0</v>
      </c>
    </row>
    <row r="45" spans="1:18">
      <c r="A45" s="1927">
        <v>489020</v>
      </c>
      <c r="B45" t="s">
        <v>2414</v>
      </c>
      <c r="D45" s="582" t="s">
        <v>2479</v>
      </c>
      <c r="E45" t="s">
        <v>2480</v>
      </c>
      <c r="F45" s="1178">
        <f t="shared" si="0"/>
        <v>747394</v>
      </c>
      <c r="G45" s="1593">
        <v>149427</v>
      </c>
      <c r="H45" s="1593">
        <v>169911</v>
      </c>
      <c r="I45" s="1593">
        <v>117758</v>
      </c>
      <c r="J45" s="1593">
        <v>150120</v>
      </c>
      <c r="K45" s="1593">
        <v>102247</v>
      </c>
      <c r="L45" s="2824">
        <v>57931</v>
      </c>
      <c r="M45" s="2824">
        <v>0</v>
      </c>
      <c r="N45" s="2824">
        <v>0</v>
      </c>
      <c r="O45" s="2824">
        <v>0</v>
      </c>
      <c r="P45" s="2824">
        <v>0</v>
      </c>
      <c r="Q45" s="2824">
        <v>0</v>
      </c>
      <c r="R45" s="2824">
        <v>0</v>
      </c>
    </row>
    <row r="46" spans="1:18">
      <c r="A46" s="1927">
        <v>489020</v>
      </c>
      <c r="B46" t="s">
        <v>2414</v>
      </c>
      <c r="D46" t="s">
        <v>2467</v>
      </c>
      <c r="E46" t="s">
        <v>2468</v>
      </c>
      <c r="F46" s="1178">
        <f t="shared" ref="F46" si="1">SUM(G46:R46)</f>
        <v>364471</v>
      </c>
      <c r="G46" s="1593">
        <v>0</v>
      </c>
      <c r="H46" s="1593">
        <v>0</v>
      </c>
      <c r="I46" s="1593">
        <v>0</v>
      </c>
      <c r="J46" s="1593">
        <v>0</v>
      </c>
      <c r="K46" s="1593">
        <v>0</v>
      </c>
      <c r="L46" s="2824">
        <v>0</v>
      </c>
      <c r="M46" s="2824">
        <v>50491</v>
      </c>
      <c r="N46" s="2824">
        <v>38791</v>
      </c>
      <c r="O46" s="2824">
        <v>54705</v>
      </c>
      <c r="P46" s="2824">
        <v>36688</v>
      </c>
      <c r="Q46" s="2824">
        <v>78169</v>
      </c>
      <c r="R46" s="2824">
        <v>105627</v>
      </c>
    </row>
    <row r="47" spans="1:18">
      <c r="A47" s="1927">
        <v>489020</v>
      </c>
      <c r="B47" t="s">
        <v>2414</v>
      </c>
      <c r="D47" t="s">
        <v>2469</v>
      </c>
      <c r="E47" t="s">
        <v>2470</v>
      </c>
      <c r="F47" s="1178">
        <f t="shared" si="0"/>
        <v>195653</v>
      </c>
      <c r="G47" s="1593">
        <v>2090</v>
      </c>
      <c r="H47" s="1593">
        <v>2090</v>
      </c>
      <c r="I47" s="1593">
        <v>1995</v>
      </c>
      <c r="J47" s="1593">
        <v>2090</v>
      </c>
      <c r="K47" s="1593">
        <v>2090</v>
      </c>
      <c r="L47" s="2824">
        <v>2090</v>
      </c>
      <c r="M47" s="2824">
        <v>30589</v>
      </c>
      <c r="N47" s="2824">
        <v>30456</v>
      </c>
      <c r="O47" s="2824">
        <v>30380</v>
      </c>
      <c r="P47" s="2824">
        <v>30413</v>
      </c>
      <c r="Q47" s="2824">
        <v>30543</v>
      </c>
      <c r="R47" s="2824">
        <v>30827</v>
      </c>
    </row>
    <row r="48" spans="1:18">
      <c r="A48" s="1927">
        <v>489020</v>
      </c>
      <c r="B48" t="s">
        <v>2414</v>
      </c>
      <c r="D48" t="s">
        <v>2473</v>
      </c>
      <c r="E48" t="s">
        <v>2474</v>
      </c>
      <c r="F48" s="1178">
        <f t="shared" si="0"/>
        <v>292</v>
      </c>
      <c r="G48" s="1593">
        <v>-80</v>
      </c>
      <c r="H48" s="1593">
        <v>55</v>
      </c>
      <c r="I48" s="1593">
        <v>59</v>
      </c>
      <c r="J48" s="1593">
        <v>40</v>
      </c>
      <c r="K48" s="1593">
        <v>144</v>
      </c>
      <c r="L48" s="2824">
        <v>74</v>
      </c>
      <c r="M48" s="2824">
        <v>0</v>
      </c>
      <c r="N48" s="2824">
        <v>0</v>
      </c>
      <c r="O48" s="2824">
        <v>0</v>
      </c>
      <c r="P48" s="2824">
        <v>0</v>
      </c>
      <c r="Q48" s="2824">
        <v>0</v>
      </c>
      <c r="R48" s="2824">
        <v>0</v>
      </c>
    </row>
    <row r="49" spans="1:18">
      <c r="A49" s="1927">
        <v>489020</v>
      </c>
      <c r="B49" t="s">
        <v>2414</v>
      </c>
      <c r="D49" t="s">
        <v>2475</v>
      </c>
      <c r="E49" t="s">
        <v>2476</v>
      </c>
      <c r="F49" s="1178">
        <f t="shared" si="0"/>
        <v>2401</v>
      </c>
      <c r="G49" s="1593">
        <v>105</v>
      </c>
      <c r="H49" s="1593">
        <v>154</v>
      </c>
      <c r="I49" s="1593">
        <v>382</v>
      </c>
      <c r="J49" s="1593">
        <v>312</v>
      </c>
      <c r="K49" s="1593">
        <v>324</v>
      </c>
      <c r="L49" s="2824">
        <v>226</v>
      </c>
      <c r="M49" s="2824">
        <v>150</v>
      </c>
      <c r="N49" s="2824">
        <v>149</v>
      </c>
      <c r="O49" s="2824">
        <v>149</v>
      </c>
      <c r="P49" s="2824">
        <v>149</v>
      </c>
      <c r="Q49" s="2824">
        <v>150</v>
      </c>
      <c r="R49" s="2824">
        <v>151</v>
      </c>
    </row>
    <row r="50" spans="1:18">
      <c r="A50" s="1927">
        <v>489025</v>
      </c>
      <c r="B50" t="s">
        <v>2415</v>
      </c>
      <c r="D50" t="s">
        <v>2477</v>
      </c>
      <c r="E50" t="s">
        <v>2478</v>
      </c>
      <c r="F50" s="1178">
        <f t="shared" si="0"/>
        <v>15994</v>
      </c>
      <c r="G50" s="1593">
        <v>38494</v>
      </c>
      <c r="H50" s="1593">
        <v>-26085</v>
      </c>
      <c r="I50" s="1593">
        <v>-18288</v>
      </c>
      <c r="J50" s="1593">
        <v>-2731</v>
      </c>
      <c r="K50" s="1593">
        <v>-24163</v>
      </c>
      <c r="L50" s="2824">
        <v>-15445</v>
      </c>
      <c r="M50" s="2824">
        <v>-8454</v>
      </c>
      <c r="N50" s="2824">
        <v>4732</v>
      </c>
      <c r="O50" s="2824">
        <v>-6790</v>
      </c>
      <c r="P50" s="2824">
        <v>8122</v>
      </c>
      <c r="Q50" s="2824">
        <v>13185</v>
      </c>
      <c r="R50" s="2824">
        <v>53417</v>
      </c>
    </row>
    <row r="51" spans="1:18">
      <c r="A51" s="1927">
        <v>489030</v>
      </c>
      <c r="B51" t="s">
        <v>2416</v>
      </c>
      <c r="D51" t="s">
        <v>2479</v>
      </c>
      <c r="E51" t="s">
        <v>2480</v>
      </c>
      <c r="F51" s="1178">
        <f t="shared" si="0"/>
        <v>1671054</v>
      </c>
      <c r="G51" s="1593">
        <v>299040</v>
      </c>
      <c r="H51" s="1593">
        <v>341579</v>
      </c>
      <c r="I51" s="1593">
        <v>278972</v>
      </c>
      <c r="J51" s="1593">
        <v>304404</v>
      </c>
      <c r="K51" s="1593">
        <v>251023</v>
      </c>
      <c r="L51" s="2824">
        <v>196036</v>
      </c>
      <c r="M51" s="2824">
        <v>0</v>
      </c>
      <c r="N51" s="2824">
        <v>0</v>
      </c>
      <c r="O51" s="2824">
        <v>0</v>
      </c>
      <c r="P51" s="2824">
        <v>0</v>
      </c>
      <c r="Q51" s="2824">
        <v>0</v>
      </c>
      <c r="R51" s="2824">
        <v>0</v>
      </c>
    </row>
    <row r="52" spans="1:18">
      <c r="A52" s="1927">
        <v>489030</v>
      </c>
      <c r="B52" t="s">
        <v>2416</v>
      </c>
      <c r="D52" t="s">
        <v>2467</v>
      </c>
      <c r="E52" t="s">
        <v>2468</v>
      </c>
      <c r="F52" s="1178">
        <f t="shared" si="0"/>
        <v>1174443</v>
      </c>
      <c r="G52" s="1593">
        <v>0</v>
      </c>
      <c r="H52" s="1593">
        <v>0</v>
      </c>
      <c r="I52" s="1593">
        <v>0</v>
      </c>
      <c r="J52" s="1593">
        <v>0</v>
      </c>
      <c r="K52" s="1593">
        <v>0</v>
      </c>
      <c r="L52" s="2824">
        <v>0</v>
      </c>
      <c r="M52" s="2824">
        <v>192085</v>
      </c>
      <c r="N52" s="2824">
        <v>197730</v>
      </c>
      <c r="O52" s="2824">
        <v>184173</v>
      </c>
      <c r="P52" s="2824">
        <v>190950</v>
      </c>
      <c r="Q52" s="2824">
        <v>206832</v>
      </c>
      <c r="R52" s="2824">
        <v>202673</v>
      </c>
    </row>
    <row r="53" spans="1:18">
      <c r="A53" s="1927">
        <v>489030</v>
      </c>
      <c r="B53" t="s">
        <v>2416</v>
      </c>
      <c r="D53" t="s">
        <v>2469</v>
      </c>
      <c r="E53" t="s">
        <v>2470</v>
      </c>
      <c r="F53" s="1178">
        <f t="shared" si="0"/>
        <v>111969</v>
      </c>
      <c r="G53" s="1593">
        <v>1758</v>
      </c>
      <c r="H53" s="1593">
        <v>1758</v>
      </c>
      <c r="I53" s="1593">
        <v>1758</v>
      </c>
      <c r="J53" s="1593">
        <v>1758</v>
      </c>
      <c r="K53" s="1593">
        <v>1758</v>
      </c>
      <c r="L53" s="2824">
        <v>1758</v>
      </c>
      <c r="M53" s="2824">
        <v>16934</v>
      </c>
      <c r="N53" s="2824">
        <v>16860</v>
      </c>
      <c r="O53" s="2824">
        <v>16817</v>
      </c>
      <c r="P53" s="2824">
        <v>16836</v>
      </c>
      <c r="Q53" s="2824">
        <v>16908</v>
      </c>
      <c r="R53" s="2824">
        <v>17066</v>
      </c>
    </row>
    <row r="54" spans="1:18">
      <c r="A54" s="1927">
        <v>489030</v>
      </c>
      <c r="B54" t="s">
        <v>2416</v>
      </c>
      <c r="D54" t="s">
        <v>2475</v>
      </c>
      <c r="E54" t="s">
        <v>2476</v>
      </c>
      <c r="F54" s="1178">
        <f t="shared" si="0"/>
        <v>4008</v>
      </c>
      <c r="G54" s="1593">
        <v>274</v>
      </c>
      <c r="H54" s="1593">
        <v>329</v>
      </c>
      <c r="I54" s="1593">
        <v>845</v>
      </c>
      <c r="J54" s="1593">
        <v>690</v>
      </c>
      <c r="K54" s="1593">
        <v>755</v>
      </c>
      <c r="L54" s="2824">
        <v>617</v>
      </c>
      <c r="M54" s="2824">
        <v>83</v>
      </c>
      <c r="N54" s="2824">
        <v>83</v>
      </c>
      <c r="O54" s="2824">
        <v>82</v>
      </c>
      <c r="P54" s="2824">
        <v>83</v>
      </c>
      <c r="Q54" s="2824">
        <v>83</v>
      </c>
      <c r="R54" s="2824">
        <v>84</v>
      </c>
    </row>
    <row r="55" spans="1:18">
      <c r="A55" s="1927">
        <v>489035</v>
      </c>
      <c r="B55" t="s">
        <v>2417</v>
      </c>
      <c r="D55" t="s">
        <v>2477</v>
      </c>
      <c r="E55" t="s">
        <v>2478</v>
      </c>
      <c r="F55" s="1178">
        <f t="shared" si="0"/>
        <v>-19962</v>
      </c>
      <c r="G55" s="1593">
        <v>-9303</v>
      </c>
      <c r="H55" s="1593">
        <v>-41236</v>
      </c>
      <c r="I55" s="1593">
        <v>-58273</v>
      </c>
      <c r="J55" s="1593">
        <v>21872</v>
      </c>
      <c r="K55" s="1593">
        <v>-48519</v>
      </c>
      <c r="L55" s="2824">
        <v>-14297</v>
      </c>
      <c r="M55" s="2824">
        <v>-5033</v>
      </c>
      <c r="N55" s="2824">
        <v>-4266</v>
      </c>
      <c r="O55" s="2824">
        <v>10708</v>
      </c>
      <c r="P55" s="2824">
        <v>2774</v>
      </c>
      <c r="Q55" s="2824">
        <v>38001</v>
      </c>
      <c r="R55" s="2824">
        <v>87610</v>
      </c>
    </row>
    <row r="56" spans="1:18">
      <c r="A56" s="1927">
        <v>489040</v>
      </c>
      <c r="B56" t="s">
        <v>2418</v>
      </c>
      <c r="D56" t="s">
        <v>2479</v>
      </c>
      <c r="E56" t="s">
        <v>2480</v>
      </c>
      <c r="F56" s="1178">
        <f t="shared" si="0"/>
        <v>269821</v>
      </c>
      <c r="G56" s="1593">
        <v>58714</v>
      </c>
      <c r="H56" s="1593">
        <v>66963</v>
      </c>
      <c r="I56" s="1593">
        <v>44736</v>
      </c>
      <c r="J56" s="1593">
        <v>50979</v>
      </c>
      <c r="K56" s="1593">
        <v>36357</v>
      </c>
      <c r="L56" s="2824">
        <v>12072</v>
      </c>
      <c r="M56" s="2824">
        <v>0</v>
      </c>
      <c r="N56" s="2824">
        <v>0</v>
      </c>
      <c r="O56" s="2824">
        <v>0</v>
      </c>
      <c r="P56" s="2824">
        <v>0</v>
      </c>
      <c r="Q56" s="2824">
        <v>0</v>
      </c>
      <c r="R56" s="2824">
        <v>0</v>
      </c>
    </row>
    <row r="57" spans="1:18">
      <c r="A57" s="1927">
        <v>489040</v>
      </c>
      <c r="B57" t="s">
        <v>2418</v>
      </c>
      <c r="D57" t="s">
        <v>2467</v>
      </c>
      <c r="E57" t="s">
        <v>2468</v>
      </c>
      <c r="F57" s="1178">
        <f t="shared" ref="F57" si="2">SUM(G57:R57)</f>
        <v>57346</v>
      </c>
      <c r="G57" s="1593">
        <v>0</v>
      </c>
      <c r="H57" s="1593">
        <v>0</v>
      </c>
      <c r="I57" s="1593">
        <v>0</v>
      </c>
      <c r="J57" s="1593">
        <v>0</v>
      </c>
      <c r="K57" s="1593">
        <v>0</v>
      </c>
      <c r="L57" s="2824">
        <v>0</v>
      </c>
      <c r="M57" s="2824">
        <v>4555</v>
      </c>
      <c r="N57" s="2824">
        <v>2412</v>
      </c>
      <c r="O57" s="2824">
        <v>2263</v>
      </c>
      <c r="P57" s="2824">
        <v>2942</v>
      </c>
      <c r="Q57" s="2824">
        <v>14495</v>
      </c>
      <c r="R57" s="2824">
        <v>30679</v>
      </c>
    </row>
    <row r="58" spans="1:18">
      <c r="A58" s="1927">
        <v>489040</v>
      </c>
      <c r="B58" t="s">
        <v>2418</v>
      </c>
      <c r="D58" t="s">
        <v>2469</v>
      </c>
      <c r="E58" t="s">
        <v>2470</v>
      </c>
      <c r="F58" s="1178">
        <f t="shared" si="0"/>
        <v>33083</v>
      </c>
      <c r="G58" s="1593">
        <v>618</v>
      </c>
      <c r="H58" s="1593">
        <v>618</v>
      </c>
      <c r="I58" s="1593">
        <v>618</v>
      </c>
      <c r="J58" s="1593">
        <v>618</v>
      </c>
      <c r="K58" s="1593">
        <v>618</v>
      </c>
      <c r="L58" s="2824">
        <v>618</v>
      </c>
      <c r="M58" s="2824">
        <v>4905</v>
      </c>
      <c r="N58" s="2824">
        <v>4883</v>
      </c>
      <c r="O58" s="2824">
        <v>4871</v>
      </c>
      <c r="P58" s="2824">
        <v>4876</v>
      </c>
      <c r="Q58" s="2824">
        <v>4897</v>
      </c>
      <c r="R58" s="2824">
        <v>4943</v>
      </c>
    </row>
    <row r="59" spans="1:18">
      <c r="A59" s="1927">
        <v>489040</v>
      </c>
      <c r="B59" t="s">
        <v>2418</v>
      </c>
      <c r="D59" t="s">
        <v>2475</v>
      </c>
      <c r="E59" t="s">
        <v>2476</v>
      </c>
      <c r="F59" s="1178">
        <f t="shared" si="0"/>
        <v>709</v>
      </c>
      <c r="G59" s="1593">
        <v>40</v>
      </c>
      <c r="H59" s="1593">
        <v>62</v>
      </c>
      <c r="I59" s="1593">
        <v>160</v>
      </c>
      <c r="J59" s="1593">
        <v>103</v>
      </c>
      <c r="K59" s="1593">
        <v>119</v>
      </c>
      <c r="L59" s="2824">
        <v>81</v>
      </c>
      <c r="M59" s="2824">
        <v>24</v>
      </c>
      <c r="N59" s="2824">
        <v>24</v>
      </c>
      <c r="O59" s="2824">
        <v>24</v>
      </c>
      <c r="P59" s="2824">
        <v>24</v>
      </c>
      <c r="Q59" s="2824">
        <v>24</v>
      </c>
      <c r="R59" s="2824">
        <v>24</v>
      </c>
    </row>
    <row r="60" spans="1:18">
      <c r="A60" s="1927">
        <v>489045</v>
      </c>
      <c r="B60" t="s">
        <v>2419</v>
      </c>
      <c r="D60" t="s">
        <v>2477</v>
      </c>
      <c r="E60" t="s">
        <v>2478</v>
      </c>
      <c r="F60" s="1178">
        <f t="shared" si="0"/>
        <v>5612</v>
      </c>
      <c r="G60" s="1593">
        <v>12663</v>
      </c>
      <c r="H60" s="1593">
        <v>-18991</v>
      </c>
      <c r="I60" s="1593">
        <v>-10592</v>
      </c>
      <c r="J60" s="1593">
        <v>12494</v>
      </c>
      <c r="K60" s="1593">
        <v>-16223</v>
      </c>
      <c r="L60" s="2824">
        <v>-5997</v>
      </c>
      <c r="M60" s="2824">
        <v>-1881</v>
      </c>
      <c r="N60" s="2824">
        <v>269</v>
      </c>
      <c r="O60" s="2824">
        <v>1004</v>
      </c>
      <c r="P60" s="2824">
        <v>1009</v>
      </c>
      <c r="Q60" s="2824">
        <v>5978</v>
      </c>
      <c r="R60" s="2824">
        <v>25879</v>
      </c>
    </row>
    <row r="61" spans="1:18">
      <c r="A61" s="1927">
        <v>489200</v>
      </c>
      <c r="B61" t="s">
        <v>2420</v>
      </c>
      <c r="E61" t="s">
        <v>2466</v>
      </c>
      <c r="F61" s="1178">
        <f t="shared" si="0"/>
        <v>0</v>
      </c>
      <c r="G61" s="1593">
        <v>0</v>
      </c>
      <c r="H61" s="1593">
        <v>-2</v>
      </c>
      <c r="I61" s="1593">
        <v>2</v>
      </c>
      <c r="J61" s="1593">
        <v>0</v>
      </c>
      <c r="K61" s="1593">
        <v>0</v>
      </c>
      <c r="L61" s="2824">
        <v>0</v>
      </c>
      <c r="M61" s="2824">
        <v>0</v>
      </c>
      <c r="N61" s="2824">
        <v>0</v>
      </c>
      <c r="O61" s="2824">
        <v>0</v>
      </c>
      <c r="P61" s="2824">
        <v>0</v>
      </c>
      <c r="Q61" s="2824">
        <v>0</v>
      </c>
      <c r="R61" s="2824">
        <v>0</v>
      </c>
    </row>
    <row r="62" spans="1:18">
      <c r="A62" s="1927">
        <v>493010</v>
      </c>
      <c r="B62" t="s">
        <v>2671</v>
      </c>
      <c r="E62" t="s">
        <v>2466</v>
      </c>
      <c r="F62" s="1178">
        <f t="shared" si="0"/>
        <v>7248</v>
      </c>
      <c r="G62" s="1593">
        <v>0</v>
      </c>
      <c r="H62" s="1593">
        <v>0</v>
      </c>
      <c r="I62" s="1593">
        <v>0</v>
      </c>
      <c r="J62" s="1593">
        <v>0</v>
      </c>
      <c r="K62" s="1593">
        <v>0</v>
      </c>
      <c r="L62" s="2824">
        <v>0</v>
      </c>
      <c r="M62" s="2824">
        <v>1208</v>
      </c>
      <c r="N62" s="2824">
        <v>1208</v>
      </c>
      <c r="O62" s="2824">
        <v>1208</v>
      </c>
      <c r="P62" s="2824">
        <v>1208</v>
      </c>
      <c r="Q62" s="2824">
        <v>1208</v>
      </c>
      <c r="R62" s="2824">
        <v>1208</v>
      </c>
    </row>
    <row r="63" spans="1:18">
      <c r="A63" s="1927">
        <v>495031</v>
      </c>
      <c r="B63" t="s">
        <v>207</v>
      </c>
      <c r="E63" t="s">
        <v>2466</v>
      </c>
      <c r="F63" s="1178">
        <f t="shared" si="0"/>
        <v>15011</v>
      </c>
      <c r="G63" s="1593">
        <v>210</v>
      </c>
      <c r="H63" s="1593">
        <v>117</v>
      </c>
      <c r="I63" s="1593">
        <v>13685</v>
      </c>
      <c r="J63" s="1593">
        <v>883</v>
      </c>
      <c r="K63" s="1593">
        <v>44</v>
      </c>
      <c r="L63" s="2824">
        <v>72</v>
      </c>
      <c r="M63" s="2824">
        <v>0</v>
      </c>
      <c r="N63" s="2824">
        <v>0</v>
      </c>
      <c r="O63" s="2824">
        <v>0</v>
      </c>
      <c r="P63" s="2824">
        <v>0</v>
      </c>
      <c r="Q63" s="2824">
        <v>0</v>
      </c>
      <c r="R63" s="2824">
        <v>0</v>
      </c>
    </row>
    <row r="64" spans="1:18">
      <c r="A64" s="1927">
        <v>495031</v>
      </c>
      <c r="B64" t="s">
        <v>207</v>
      </c>
      <c r="D64" t="s">
        <v>2481</v>
      </c>
      <c r="E64" t="s">
        <v>2482</v>
      </c>
      <c r="F64" s="1178">
        <f t="shared" si="0"/>
        <v>9</v>
      </c>
      <c r="G64" s="1593">
        <v>9</v>
      </c>
      <c r="H64" s="1593">
        <v>0</v>
      </c>
      <c r="I64" s="1593">
        <v>0</v>
      </c>
      <c r="J64" s="1593">
        <v>0</v>
      </c>
      <c r="K64" s="1593">
        <v>0</v>
      </c>
      <c r="L64" s="2824">
        <v>0</v>
      </c>
      <c r="M64" s="2824">
        <v>0</v>
      </c>
      <c r="N64" s="2824">
        <v>0</v>
      </c>
      <c r="O64" s="2824">
        <v>0</v>
      </c>
      <c r="P64" s="2824">
        <v>0</v>
      </c>
      <c r="Q64" s="2824">
        <v>0</v>
      </c>
      <c r="R64" s="2824">
        <v>0</v>
      </c>
    </row>
    <row r="65" spans="1:18">
      <c r="A65" s="1927">
        <v>496020</v>
      </c>
      <c r="B65" t="s">
        <v>2483</v>
      </c>
      <c r="E65" t="s">
        <v>2466</v>
      </c>
      <c r="F65" s="1178">
        <f t="shared" si="0"/>
        <v>-3109030</v>
      </c>
      <c r="G65" s="1593">
        <v>0</v>
      </c>
      <c r="H65" s="1593">
        <v>-588709</v>
      </c>
      <c r="I65" s="1593">
        <v>-469319</v>
      </c>
      <c r="J65" s="1593">
        <v>-433381</v>
      </c>
      <c r="K65" s="1593">
        <v>-501976</v>
      </c>
      <c r="L65" s="2824">
        <v>-254099</v>
      </c>
      <c r="M65" s="2824">
        <v>-110426</v>
      </c>
      <c r="N65" s="2824">
        <v>-123971</v>
      </c>
      <c r="O65" s="2824">
        <v>-93858</v>
      </c>
      <c r="P65" s="2824">
        <v>-116771</v>
      </c>
      <c r="Q65" s="2824">
        <v>-142812</v>
      </c>
      <c r="R65" s="2824">
        <v>-273708</v>
      </c>
    </row>
    <row r="67" spans="1:18">
      <c r="F67" s="1149"/>
      <c r="G67" s="1149"/>
      <c r="H67" s="1149"/>
      <c r="I67" s="1149"/>
      <c r="J67" s="1149"/>
      <c r="K67" s="1149"/>
      <c r="L67" s="1149"/>
      <c r="M67" s="1149"/>
    </row>
    <row r="68" spans="1:18">
      <c r="F68" s="1149"/>
      <c r="G68" s="1149"/>
      <c r="H68" s="1149"/>
      <c r="I68" s="1149"/>
      <c r="J68" s="1149"/>
      <c r="K68" s="1149"/>
      <c r="L68" s="1149"/>
      <c r="M68" s="1149"/>
    </row>
    <row r="69" spans="1:18">
      <c r="F69" s="1149"/>
      <c r="G69" s="1149"/>
      <c r="H69" s="1149"/>
      <c r="I69" s="1149"/>
      <c r="J69" s="1149"/>
      <c r="K69" s="1149"/>
      <c r="L69" s="1149"/>
      <c r="M69" s="1149"/>
    </row>
  </sheetData>
  <pageMargins left="0.16" right="0.16" top="0.44" bottom="0.39" header="0.3" footer="0.24"/>
  <pageSetup scale="50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theme="7" tint="0.39997558519241921"/>
    <pageSetUpPr fitToPage="1"/>
  </sheetPr>
  <dimension ref="A1:BP539"/>
  <sheetViews>
    <sheetView zoomScale="75" workbookViewId="0"/>
  </sheetViews>
  <sheetFormatPr defaultColWidth="8" defaultRowHeight="15"/>
  <cols>
    <col min="1" max="2" width="16.109375" style="165" customWidth="1"/>
    <col min="3" max="3" width="12.33203125" style="165" customWidth="1"/>
    <col min="4" max="4" width="14.88671875" style="165" customWidth="1"/>
    <col min="5" max="5" width="19.109375" style="165" customWidth="1"/>
    <col min="6" max="6" width="12.33203125" style="165" customWidth="1"/>
    <col min="7" max="7" width="7.109375" style="165" customWidth="1"/>
    <col min="8" max="8" width="8" style="165" customWidth="1"/>
    <col min="9" max="9" width="17.44140625" style="165" customWidth="1"/>
    <col min="10" max="10" width="17.6640625" style="165" customWidth="1"/>
    <col min="11" max="11" width="5.33203125" style="165" customWidth="1"/>
    <col min="12" max="12" width="8" style="165" customWidth="1"/>
    <col min="13" max="13" width="1.5546875" style="165" customWidth="1"/>
    <col min="14" max="14" width="28.33203125" style="165" customWidth="1"/>
    <col min="15" max="15" width="12.88671875" style="165" customWidth="1"/>
    <col min="16" max="16" width="17.6640625" style="165" customWidth="1"/>
    <col min="17" max="17" width="2.6640625" style="165" customWidth="1"/>
    <col min="18" max="18" width="18.33203125" style="165" customWidth="1"/>
    <col min="19" max="19" width="2.88671875" style="165" customWidth="1"/>
    <col min="20" max="20" width="19.88671875" style="165" customWidth="1"/>
    <col min="21" max="16384" width="8" style="165"/>
  </cols>
  <sheetData>
    <row r="1" spans="1:10">
      <c r="A1" s="163" t="str">
        <f>LOGO!B5</f>
        <v>DUKE ENERGY KENTUCKY, INC.</v>
      </c>
      <c r="B1" s="164"/>
      <c r="C1" s="164"/>
      <c r="D1" s="164"/>
      <c r="E1" s="164"/>
      <c r="F1" s="164"/>
      <c r="G1" s="164"/>
      <c r="H1" s="164"/>
      <c r="I1" s="164"/>
      <c r="J1" s="164"/>
    </row>
    <row r="2" spans="1:10">
      <c r="A2" s="163" t="str">
        <f>LOGO!B6</f>
        <v>CASE NO. 2018-00261</v>
      </c>
      <c r="B2" s="164"/>
      <c r="C2" s="164"/>
      <c r="D2" s="164"/>
      <c r="E2" s="164"/>
      <c r="F2" s="164"/>
      <c r="G2" s="164"/>
      <c r="H2" s="164"/>
      <c r="I2" s="164"/>
      <c r="J2" s="164"/>
    </row>
    <row r="3" spans="1:10">
      <c r="A3" s="163" t="s">
        <v>1653</v>
      </c>
      <c r="B3" s="164"/>
      <c r="C3" s="164"/>
      <c r="D3" s="164"/>
      <c r="E3" s="164"/>
      <c r="F3" s="164"/>
      <c r="G3" s="164"/>
      <c r="H3" s="164"/>
      <c r="I3" s="164"/>
      <c r="J3" s="164"/>
    </row>
    <row r="4" spans="1:10">
      <c r="A4" s="163" t="str">
        <f>PeriodF</f>
        <v>FOR THE TWELVE MONTHS ENDED MARCH 31, 2020</v>
      </c>
      <c r="B4" s="164"/>
      <c r="C4" s="164"/>
      <c r="D4" s="164"/>
      <c r="E4" s="164"/>
      <c r="F4" s="164"/>
      <c r="G4" s="164"/>
      <c r="H4" s="164"/>
      <c r="I4" s="164"/>
      <c r="J4" s="164"/>
    </row>
    <row r="6" spans="1:10">
      <c r="A6" s="166" t="str">
        <f>Data</f>
        <v>DATA: "X" BASE PERIOD   FORECASTED PERIOD</v>
      </c>
      <c r="I6" s="167" t="s">
        <v>410</v>
      </c>
    </row>
    <row r="7" spans="1:10">
      <c r="A7" s="166" t="str">
        <f>LOGO!B15</f>
        <v xml:space="preserve">TYPE OF FILING:  "X" ORIGINAL   UPDATED    REVISED  </v>
      </c>
      <c r="I7" s="167" t="s">
        <v>489</v>
      </c>
    </row>
    <row r="8" spans="1:10">
      <c r="A8" s="168" t="s">
        <v>490</v>
      </c>
      <c r="I8" s="167" t="s">
        <v>1571</v>
      </c>
    </row>
    <row r="9" spans="1:10">
      <c r="I9" s="168" t="str">
        <f>"          "&amp;_WIT9</f>
        <v xml:space="preserve">          R. H. PRATT</v>
      </c>
    </row>
    <row r="10" spans="1:10">
      <c r="A10" s="169"/>
      <c r="B10" s="169"/>
      <c r="C10" s="169"/>
      <c r="D10" s="169"/>
      <c r="E10" s="169"/>
      <c r="F10" s="169"/>
      <c r="G10" s="169"/>
      <c r="H10" s="169"/>
      <c r="I10" s="169"/>
      <c r="J10" s="169"/>
    </row>
    <row r="12" spans="1:10">
      <c r="A12" s="168" t="s">
        <v>1942</v>
      </c>
      <c r="J12" s="170" t="s">
        <v>2098</v>
      </c>
    </row>
    <row r="13" spans="1:10">
      <c r="A13" s="169"/>
      <c r="B13" s="169"/>
      <c r="C13" s="169"/>
      <c r="D13" s="169"/>
      <c r="E13" s="169"/>
      <c r="F13" s="169"/>
      <c r="G13" s="169"/>
      <c r="H13" s="169"/>
      <c r="I13" s="169"/>
      <c r="J13" s="169"/>
    </row>
    <row r="15" spans="1:10">
      <c r="A15" s="66" t="s">
        <v>346</v>
      </c>
    </row>
    <row r="16" spans="1:10">
      <c r="A16" s="66" t="s">
        <v>1238</v>
      </c>
    </row>
    <row r="17" spans="1:10">
      <c r="A17" s="66"/>
    </row>
    <row r="18" spans="1:10">
      <c r="A18" s="66"/>
    </row>
    <row r="19" spans="1:10">
      <c r="A19" s="66"/>
    </row>
    <row r="20" spans="1:10">
      <c r="A20" s="66"/>
      <c r="J20" s="171"/>
    </row>
    <row r="22" spans="1:10">
      <c r="A22" s="168" t="s">
        <v>986</v>
      </c>
      <c r="G22" s="168" t="s">
        <v>347</v>
      </c>
      <c r="J22" s="172">
        <f ca="1">T51</f>
        <v>-2003776.7859999985</v>
      </c>
    </row>
    <row r="23" spans="1:10">
      <c r="A23" s="168"/>
      <c r="J23" s="171"/>
    </row>
    <row r="24" spans="1:10">
      <c r="A24" s="168" t="s">
        <v>1686</v>
      </c>
      <c r="G24" s="168" t="s">
        <v>347</v>
      </c>
      <c r="J24" s="171">
        <f>T53</f>
        <v>-9068523.2140000015</v>
      </c>
    </row>
    <row r="25" spans="1:10">
      <c r="A25" s="168"/>
      <c r="J25" s="173"/>
    </row>
    <row r="26" spans="1:10">
      <c r="A26" s="168" t="s">
        <v>1260</v>
      </c>
      <c r="G26" s="168" t="s">
        <v>347</v>
      </c>
      <c r="J26" s="174">
        <f ca="1">T55</f>
        <v>3155771</v>
      </c>
    </row>
    <row r="27" spans="1:10">
      <c r="A27" s="168"/>
      <c r="G27" s="168"/>
      <c r="J27" s="173"/>
    </row>
    <row r="28" spans="1:10">
      <c r="A28" s="168" t="s">
        <v>348</v>
      </c>
      <c r="J28" s="172">
        <f ca="1">SUM(J22:J26)</f>
        <v>-7916529</v>
      </c>
    </row>
    <row r="29" spans="1:10">
      <c r="J29" s="171"/>
    </row>
    <row r="30" spans="1:10">
      <c r="A30" s="168" t="s">
        <v>349</v>
      </c>
      <c r="J30" s="209">
        <f>VLOOKUP(C35,ALLOCTABLE,2)/100</f>
        <v>1</v>
      </c>
    </row>
    <row r="32" spans="1:10" ht="16.8">
      <c r="A32" s="168" t="s">
        <v>1934</v>
      </c>
      <c r="J32" s="175">
        <f ca="1">ROUND(+J28*J30,0)</f>
        <v>-7916529</v>
      </c>
    </row>
    <row r="33" spans="1:23">
      <c r="J33" s="176"/>
    </row>
    <row r="35" spans="1:23">
      <c r="A35" s="168" t="s">
        <v>1935</v>
      </c>
      <c r="C35" s="177" t="s">
        <v>591</v>
      </c>
    </row>
    <row r="36" spans="1:23">
      <c r="A36" s="168"/>
    </row>
    <row r="37" spans="1:23">
      <c r="J37" s="178"/>
    </row>
    <row r="38" spans="1:23">
      <c r="J38" s="179"/>
    </row>
    <row r="39" spans="1:23">
      <c r="J39" s="180"/>
    </row>
    <row r="41" spans="1:23">
      <c r="L41" s="181" t="str">
        <f>COMPANY</f>
        <v>DUKE ENERGY KENTUCKY, INC.</v>
      </c>
      <c r="M41" s="182"/>
      <c r="N41" s="182"/>
      <c r="O41" s="182"/>
      <c r="P41" s="182"/>
      <c r="Q41" s="182"/>
      <c r="R41" s="181" t="s">
        <v>1936</v>
      </c>
      <c r="S41" s="182"/>
    </row>
    <row r="42" spans="1:23">
      <c r="L42" s="181" t="str">
        <f>DEPT</f>
        <v>GAS DEPARTMENT</v>
      </c>
      <c r="M42" s="182"/>
      <c r="N42" s="182"/>
      <c r="O42" s="182"/>
      <c r="P42" s="182"/>
      <c r="Q42" s="182"/>
      <c r="R42" s="181" t="s">
        <v>1937</v>
      </c>
      <c r="S42" s="182"/>
    </row>
    <row r="43" spans="1:23">
      <c r="L43" s="181" t="str">
        <f>CASE</f>
        <v>CASE NO. 2018-00261</v>
      </c>
      <c r="M43" s="182"/>
      <c r="N43" s="182"/>
      <c r="O43" s="182"/>
      <c r="P43" s="182"/>
      <c r="Q43" s="182"/>
      <c r="R43" s="182" t="str">
        <f>_WIT9</f>
        <v>R. H. PRATT</v>
      </c>
      <c r="S43" s="182"/>
    </row>
    <row r="44" spans="1:23">
      <c r="L44" s="181" t="str">
        <f>A3</f>
        <v>ADJUST BASE PERIOD REVENUE TO FORECASTED PERIOD</v>
      </c>
      <c r="M44" s="182"/>
      <c r="N44" s="182"/>
      <c r="O44" s="182"/>
      <c r="P44" s="182"/>
      <c r="Q44" s="182"/>
      <c r="R44" s="183"/>
      <c r="S44" s="182"/>
    </row>
    <row r="45" spans="1:23">
      <c r="L45" s="181"/>
      <c r="M45" s="182"/>
      <c r="N45" s="182"/>
      <c r="O45" s="182"/>
      <c r="P45" s="182"/>
      <c r="Q45" s="182"/>
      <c r="R45" s="182"/>
      <c r="S45" s="182"/>
    </row>
    <row r="48" spans="1:23">
      <c r="L48" s="184" t="s">
        <v>1938</v>
      </c>
      <c r="M48" s="184"/>
      <c r="N48" s="184"/>
      <c r="O48" s="184"/>
      <c r="P48" s="184" t="s">
        <v>1986</v>
      </c>
      <c r="Q48" s="184"/>
      <c r="R48" s="1222" t="s">
        <v>1232</v>
      </c>
      <c r="S48" s="184"/>
      <c r="T48" s="184"/>
      <c r="U48" s="184"/>
      <c r="V48" s="184"/>
      <c r="W48" s="184"/>
    </row>
    <row r="49" spans="12:29">
      <c r="L49" s="185" t="s">
        <v>1939</v>
      </c>
      <c r="M49" s="185"/>
      <c r="N49" s="185" t="s">
        <v>1988</v>
      </c>
      <c r="O49" s="185"/>
      <c r="P49" s="185" t="s">
        <v>1989</v>
      </c>
      <c r="Q49" s="185"/>
      <c r="R49" s="185" t="s">
        <v>1989</v>
      </c>
      <c r="S49" s="185"/>
      <c r="T49" s="185" t="s">
        <v>1940</v>
      </c>
      <c r="U49" s="185"/>
      <c r="V49" s="185"/>
      <c r="W49" s="185"/>
      <c r="X49" s="186"/>
      <c r="Y49" s="186"/>
      <c r="Z49" s="186"/>
      <c r="AA49" s="186"/>
      <c r="AB49" s="186"/>
      <c r="AC49" s="186"/>
    </row>
    <row r="51" spans="12:29">
      <c r="L51" s="184">
        <v>1</v>
      </c>
      <c r="N51" s="93" t="s">
        <v>1986</v>
      </c>
      <c r="P51" s="178">
        <f>WPC_2!F29</f>
        <v>59528843.785999998</v>
      </c>
      <c r="R51" s="178">
        <f ca="1">WPC_2!P63</f>
        <v>57525067</v>
      </c>
      <c r="T51" s="178">
        <f ca="1">R51-P51</f>
        <v>-2003776.7859999985</v>
      </c>
    </row>
    <row r="52" spans="12:29">
      <c r="L52" s="184">
        <v>2</v>
      </c>
      <c r="N52" s="93"/>
    </row>
    <row r="53" spans="12:29">
      <c r="L53" s="184">
        <v>3</v>
      </c>
      <c r="N53" s="93" t="s">
        <v>1259</v>
      </c>
      <c r="P53" s="187">
        <f>WPC_2!G29</f>
        <v>45483162.214000002</v>
      </c>
      <c r="R53" s="187">
        <f>WPC_2!Q63</f>
        <v>36414639</v>
      </c>
      <c r="T53" s="187">
        <f>R53-P53</f>
        <v>-9068523.2140000015</v>
      </c>
    </row>
    <row r="54" spans="12:29">
      <c r="L54" s="184">
        <v>4</v>
      </c>
      <c r="N54" s="93"/>
    </row>
    <row r="55" spans="12:29">
      <c r="L55" s="184">
        <v>5</v>
      </c>
      <c r="N55" s="93" t="s">
        <v>1260</v>
      </c>
      <c r="P55" s="188">
        <f>WPC_2!H29</f>
        <v>-2575187</v>
      </c>
      <c r="R55" s="188">
        <f ca="1">WPC_2!R63</f>
        <v>580584</v>
      </c>
      <c r="T55" s="188">
        <f ca="1">R55-P55</f>
        <v>3155771</v>
      </c>
    </row>
    <row r="56" spans="12:29">
      <c r="L56" s="184">
        <v>6</v>
      </c>
    </row>
    <row r="57" spans="12:29" ht="15.6" thickBot="1">
      <c r="L57" s="184">
        <v>7</v>
      </c>
      <c r="N57" s="189" t="s">
        <v>1941</v>
      </c>
      <c r="P57" s="190">
        <f>SUM(P51:P55)</f>
        <v>102436819</v>
      </c>
      <c r="R57" s="190">
        <f ca="1">SUM(R51:R55)</f>
        <v>94520290</v>
      </c>
      <c r="T57" s="190">
        <f ca="1">SUM(T51:T55)</f>
        <v>-7916529</v>
      </c>
    </row>
    <row r="58" spans="12:29" ht="15.6" thickTop="1">
      <c r="L58" s="184"/>
    </row>
    <row r="61" spans="12:29">
      <c r="T61" s="184" t="s">
        <v>379</v>
      </c>
    </row>
    <row r="77" spans="11:68">
      <c r="K77" s="191"/>
      <c r="L77" s="191"/>
      <c r="M77" s="191"/>
      <c r="N77" s="191"/>
      <c r="O77" s="191"/>
      <c r="P77" s="191"/>
      <c r="Q77" s="191"/>
      <c r="R77" s="191"/>
      <c r="S77" s="191"/>
      <c r="T77" s="191"/>
      <c r="U77" s="191"/>
      <c r="V77" s="191"/>
      <c r="W77" s="191"/>
      <c r="X77" s="191"/>
      <c r="Y77" s="191"/>
      <c r="Z77" s="191"/>
      <c r="AA77" s="191"/>
      <c r="AB77" s="191"/>
      <c r="AC77" s="191"/>
      <c r="AD77" s="191"/>
      <c r="AE77" s="191"/>
      <c r="AF77" s="191"/>
      <c r="AG77" s="191"/>
      <c r="AH77" s="191"/>
      <c r="AI77" s="191"/>
      <c r="AJ77" s="191"/>
      <c r="AK77" s="191"/>
      <c r="AL77" s="191"/>
      <c r="AM77" s="191"/>
      <c r="AN77" s="191"/>
      <c r="AO77" s="191"/>
      <c r="AP77" s="191"/>
      <c r="AQ77" s="191"/>
      <c r="AR77" s="191"/>
      <c r="AS77" s="191"/>
      <c r="AT77" s="191"/>
      <c r="AU77" s="191"/>
      <c r="AV77" s="191"/>
      <c r="AW77" s="191"/>
      <c r="AX77" s="191"/>
      <c r="AY77" s="191"/>
      <c r="AZ77" s="191"/>
      <c r="BA77" s="191"/>
      <c r="BB77" s="191"/>
      <c r="BC77" s="191"/>
      <c r="BD77" s="191"/>
      <c r="BE77" s="191"/>
      <c r="BF77" s="191"/>
      <c r="BG77" s="191"/>
      <c r="BH77" s="191"/>
      <c r="BI77" s="191"/>
      <c r="BJ77" s="191"/>
      <c r="BK77" s="191"/>
      <c r="BL77" s="191"/>
      <c r="BM77" s="191"/>
      <c r="BN77" s="191"/>
      <c r="BO77" s="191"/>
      <c r="BP77" s="191"/>
    </row>
    <row r="78" spans="11:68">
      <c r="K78" s="191"/>
      <c r="L78" s="191"/>
      <c r="M78" s="191"/>
      <c r="N78" s="191"/>
      <c r="O78" s="191"/>
      <c r="P78" s="191"/>
      <c r="Q78" s="191"/>
      <c r="R78" s="191"/>
      <c r="S78" s="191"/>
      <c r="T78" s="191"/>
      <c r="U78" s="191"/>
      <c r="V78" s="191"/>
      <c r="W78" s="191"/>
      <c r="X78" s="191"/>
      <c r="Y78" s="191"/>
      <c r="Z78" s="191"/>
      <c r="AA78" s="191"/>
      <c r="AB78" s="191"/>
      <c r="AC78" s="191"/>
      <c r="AD78" s="191"/>
      <c r="AE78" s="191"/>
      <c r="AF78" s="191"/>
      <c r="AG78" s="191"/>
      <c r="AH78" s="191"/>
      <c r="AI78" s="191"/>
      <c r="AJ78" s="191"/>
      <c r="AK78" s="191"/>
      <c r="AL78" s="191"/>
      <c r="AM78" s="191"/>
      <c r="AN78" s="191"/>
      <c r="AO78" s="191"/>
      <c r="AP78" s="191"/>
      <c r="AQ78" s="191"/>
      <c r="AR78" s="191"/>
      <c r="AS78" s="191"/>
      <c r="AT78" s="191"/>
      <c r="AU78" s="191"/>
      <c r="AV78" s="191"/>
      <c r="AW78" s="191"/>
      <c r="AX78" s="191"/>
      <c r="AY78" s="191"/>
      <c r="AZ78" s="191"/>
      <c r="BA78" s="191"/>
      <c r="BB78" s="191"/>
      <c r="BC78" s="191"/>
      <c r="BD78" s="191"/>
      <c r="BE78" s="191"/>
      <c r="BF78" s="191"/>
      <c r="BG78" s="191"/>
      <c r="BH78" s="191"/>
      <c r="BI78" s="191"/>
      <c r="BJ78" s="191"/>
      <c r="BK78" s="191"/>
      <c r="BL78" s="191"/>
      <c r="BM78" s="191"/>
      <c r="BN78" s="191"/>
      <c r="BO78" s="191"/>
      <c r="BP78" s="191"/>
    </row>
    <row r="79" spans="11:68">
      <c r="K79" s="191"/>
      <c r="L79" s="191"/>
      <c r="M79" s="191"/>
      <c r="N79" s="191"/>
      <c r="O79" s="191"/>
      <c r="P79" s="191"/>
      <c r="Q79" s="191"/>
      <c r="R79" s="191"/>
      <c r="S79" s="191"/>
      <c r="T79" s="191"/>
      <c r="U79" s="191"/>
      <c r="V79" s="191"/>
      <c r="W79" s="191"/>
      <c r="X79" s="191"/>
      <c r="Y79" s="191"/>
      <c r="Z79" s="191"/>
      <c r="AA79" s="191"/>
      <c r="AB79" s="191"/>
      <c r="AC79" s="191"/>
      <c r="AD79" s="191"/>
      <c r="AE79" s="191"/>
      <c r="AF79" s="191"/>
      <c r="AG79" s="191"/>
      <c r="AH79" s="191"/>
      <c r="AI79" s="191"/>
      <c r="AJ79" s="191"/>
      <c r="AK79" s="191"/>
      <c r="AL79" s="191"/>
      <c r="AM79" s="191"/>
      <c r="AN79" s="191"/>
      <c r="AO79" s="191"/>
      <c r="AP79" s="191"/>
      <c r="AQ79" s="191"/>
      <c r="AR79" s="191"/>
      <c r="AS79" s="191"/>
      <c r="AT79" s="191"/>
      <c r="AU79" s="191"/>
      <c r="AV79" s="191"/>
      <c r="AW79" s="191"/>
      <c r="AX79" s="191"/>
      <c r="AY79" s="191"/>
      <c r="AZ79" s="191"/>
      <c r="BA79" s="191"/>
      <c r="BB79" s="191"/>
      <c r="BC79" s="191"/>
      <c r="BD79" s="191"/>
      <c r="BE79" s="191"/>
      <c r="BF79" s="191"/>
      <c r="BG79" s="191"/>
      <c r="BH79" s="191"/>
      <c r="BI79" s="191"/>
      <c r="BJ79" s="191"/>
      <c r="BK79" s="191"/>
      <c r="BL79" s="191"/>
      <c r="BM79" s="191"/>
      <c r="BN79" s="191"/>
      <c r="BO79" s="191"/>
      <c r="BP79" s="191"/>
    </row>
    <row r="80" spans="11:68">
      <c r="K80" s="191"/>
      <c r="L80" s="191"/>
      <c r="M80" s="191"/>
      <c r="N80" s="191"/>
      <c r="O80" s="191"/>
      <c r="P80" s="191"/>
      <c r="Q80" s="191"/>
      <c r="R80" s="191"/>
      <c r="S80" s="191"/>
      <c r="T80" s="191"/>
      <c r="U80" s="191"/>
      <c r="V80" s="191"/>
      <c r="W80" s="191"/>
      <c r="X80" s="191"/>
      <c r="Y80" s="191"/>
      <c r="Z80" s="191"/>
      <c r="AA80" s="191"/>
      <c r="AB80" s="191"/>
      <c r="AC80" s="191"/>
      <c r="AD80" s="191"/>
      <c r="AE80" s="191"/>
      <c r="AF80" s="191"/>
      <c r="AG80" s="191"/>
      <c r="AH80" s="191"/>
      <c r="AI80" s="191"/>
      <c r="AJ80" s="191"/>
      <c r="AK80" s="191"/>
      <c r="AL80" s="191"/>
      <c r="AM80" s="191"/>
      <c r="AN80" s="191"/>
      <c r="AO80" s="191"/>
      <c r="AP80" s="191"/>
      <c r="AQ80" s="191"/>
      <c r="AR80" s="191"/>
      <c r="AS80" s="191"/>
      <c r="AT80" s="191"/>
      <c r="AU80" s="191"/>
      <c r="AV80" s="191"/>
      <c r="AW80" s="191"/>
      <c r="AX80" s="191"/>
      <c r="AY80" s="191"/>
      <c r="AZ80" s="191"/>
      <c r="BA80" s="191"/>
      <c r="BB80" s="191"/>
      <c r="BC80" s="191"/>
      <c r="BD80" s="191"/>
      <c r="BE80" s="191"/>
      <c r="BF80" s="191"/>
      <c r="BG80" s="191"/>
      <c r="BH80" s="191"/>
      <c r="BI80" s="191"/>
      <c r="BJ80" s="191"/>
      <c r="BK80" s="191"/>
      <c r="BL80" s="191"/>
      <c r="BM80" s="191"/>
      <c r="BN80" s="191"/>
      <c r="BO80" s="191"/>
      <c r="BP80" s="191"/>
    </row>
    <row r="81" spans="11:68">
      <c r="K81" s="191"/>
      <c r="L81" s="191"/>
      <c r="M81" s="191"/>
      <c r="N81" s="191"/>
      <c r="O81" s="191"/>
      <c r="P81" s="191"/>
      <c r="Q81" s="191"/>
      <c r="R81" s="191"/>
      <c r="S81" s="191"/>
      <c r="T81" s="191"/>
      <c r="U81" s="191"/>
      <c r="V81" s="191"/>
      <c r="W81" s="191"/>
      <c r="X81" s="191"/>
      <c r="Y81" s="191"/>
      <c r="Z81" s="191"/>
      <c r="AA81" s="191"/>
      <c r="AB81" s="191"/>
      <c r="AC81" s="191"/>
      <c r="AD81" s="191"/>
      <c r="AE81" s="191"/>
      <c r="AF81" s="191"/>
      <c r="AG81" s="191"/>
      <c r="AH81" s="191"/>
      <c r="AI81" s="191"/>
      <c r="AJ81" s="191"/>
      <c r="AK81" s="191"/>
      <c r="AL81" s="191"/>
      <c r="AM81" s="191"/>
      <c r="AN81" s="191"/>
      <c r="AO81" s="191"/>
      <c r="AP81" s="191"/>
      <c r="AQ81" s="191"/>
      <c r="AR81" s="191"/>
      <c r="AS81" s="191"/>
      <c r="AT81" s="191"/>
      <c r="AU81" s="191"/>
      <c r="AV81" s="191"/>
      <c r="AW81" s="191"/>
      <c r="AX81" s="191"/>
      <c r="AY81" s="191"/>
      <c r="AZ81" s="191"/>
      <c r="BA81" s="191"/>
      <c r="BB81" s="191"/>
      <c r="BC81" s="191"/>
      <c r="BD81" s="191"/>
      <c r="BE81" s="191"/>
      <c r="BF81" s="191"/>
      <c r="BG81" s="191"/>
      <c r="BH81" s="191"/>
      <c r="BI81" s="191"/>
      <c r="BJ81" s="191"/>
      <c r="BK81" s="191"/>
      <c r="BL81" s="191"/>
      <c r="BM81" s="191"/>
      <c r="BN81" s="191"/>
      <c r="BO81" s="191"/>
      <c r="BP81" s="191"/>
    </row>
    <row r="82" spans="11:68">
      <c r="K82" s="191"/>
      <c r="L82" s="191"/>
      <c r="M82" s="191"/>
      <c r="N82" s="191"/>
      <c r="O82" s="191"/>
      <c r="P82" s="191"/>
      <c r="Q82" s="191"/>
      <c r="R82" s="191"/>
      <c r="S82" s="191"/>
      <c r="T82" s="191"/>
      <c r="U82" s="191"/>
      <c r="V82" s="191"/>
      <c r="W82" s="191"/>
      <c r="X82" s="191"/>
      <c r="Y82" s="191"/>
      <c r="Z82" s="191"/>
      <c r="AA82" s="191"/>
      <c r="AB82" s="191"/>
      <c r="AC82" s="191"/>
      <c r="AD82" s="191"/>
      <c r="AE82" s="191"/>
      <c r="AF82" s="191"/>
      <c r="AG82" s="191"/>
      <c r="AH82" s="191"/>
      <c r="AI82" s="191"/>
      <c r="AJ82" s="191"/>
      <c r="AK82" s="191"/>
      <c r="AL82" s="191"/>
      <c r="AM82" s="191"/>
      <c r="AN82" s="191"/>
      <c r="AO82" s="191"/>
      <c r="AP82" s="191"/>
      <c r="AQ82" s="191"/>
      <c r="AR82" s="191"/>
      <c r="AS82" s="191"/>
      <c r="AT82" s="191"/>
      <c r="AU82" s="191"/>
      <c r="AV82" s="191"/>
      <c r="AW82" s="191"/>
      <c r="AX82" s="191"/>
      <c r="AY82" s="191"/>
      <c r="AZ82" s="191"/>
      <c r="BA82" s="191"/>
      <c r="BB82" s="191"/>
      <c r="BC82" s="191"/>
      <c r="BD82" s="191"/>
      <c r="BE82" s="191"/>
      <c r="BF82" s="191"/>
      <c r="BG82" s="191"/>
      <c r="BH82" s="191"/>
      <c r="BI82" s="191"/>
      <c r="BJ82" s="191"/>
      <c r="BK82" s="191"/>
      <c r="BL82" s="191"/>
      <c r="BM82" s="191"/>
      <c r="BN82" s="191"/>
      <c r="BO82" s="191"/>
      <c r="BP82" s="191"/>
    </row>
    <row r="83" spans="11:68">
      <c r="K83" s="191"/>
      <c r="L83" s="191"/>
      <c r="M83" s="191"/>
      <c r="N83" s="191"/>
      <c r="O83" s="191"/>
      <c r="P83" s="191"/>
      <c r="Q83" s="191"/>
      <c r="R83" s="191"/>
      <c r="S83" s="191"/>
      <c r="T83" s="191"/>
      <c r="U83" s="191"/>
      <c r="V83" s="191"/>
      <c r="W83" s="191"/>
      <c r="X83" s="191"/>
      <c r="Y83" s="191"/>
      <c r="Z83" s="191"/>
      <c r="AA83" s="191"/>
      <c r="AB83" s="191"/>
      <c r="AC83" s="191"/>
      <c r="AD83" s="191"/>
      <c r="AE83" s="191"/>
      <c r="AF83" s="191"/>
      <c r="AG83" s="191"/>
      <c r="AH83" s="191"/>
      <c r="AI83" s="191"/>
      <c r="AJ83" s="191"/>
      <c r="AK83" s="191"/>
      <c r="AL83" s="191"/>
      <c r="AM83" s="191"/>
      <c r="AN83" s="191"/>
      <c r="AO83" s="191"/>
      <c r="AP83" s="191"/>
      <c r="AQ83" s="191"/>
      <c r="AR83" s="191"/>
      <c r="AS83" s="191"/>
      <c r="AT83" s="191"/>
      <c r="AU83" s="191"/>
      <c r="AV83" s="191"/>
      <c r="AW83" s="191"/>
      <c r="AX83" s="191"/>
      <c r="AY83" s="191"/>
      <c r="AZ83" s="191"/>
      <c r="BA83" s="191"/>
      <c r="BB83" s="191"/>
      <c r="BC83" s="191"/>
      <c r="BD83" s="191"/>
      <c r="BE83" s="191"/>
      <c r="BF83" s="191"/>
      <c r="BG83" s="191"/>
      <c r="BH83" s="191"/>
      <c r="BI83" s="191"/>
      <c r="BJ83" s="191"/>
      <c r="BK83" s="191"/>
      <c r="BL83" s="191"/>
      <c r="BM83" s="191"/>
      <c r="BN83" s="191"/>
      <c r="BO83" s="191"/>
      <c r="BP83" s="191"/>
    </row>
    <row r="84" spans="11:68">
      <c r="K84" s="191"/>
      <c r="L84" s="191"/>
      <c r="M84" s="191"/>
      <c r="N84" s="191"/>
      <c r="O84" s="191"/>
      <c r="P84" s="191"/>
      <c r="Q84" s="191"/>
      <c r="R84" s="191"/>
      <c r="S84" s="191"/>
      <c r="T84" s="191"/>
      <c r="U84" s="191"/>
      <c r="V84" s="191"/>
      <c r="W84" s="191"/>
      <c r="X84" s="191"/>
      <c r="Y84" s="191"/>
      <c r="Z84" s="191"/>
      <c r="AA84" s="191"/>
      <c r="AB84" s="191"/>
      <c r="AC84" s="191"/>
      <c r="AD84" s="191"/>
      <c r="AE84" s="191"/>
      <c r="AF84" s="191"/>
      <c r="AG84" s="191"/>
      <c r="AH84" s="191"/>
      <c r="AI84" s="191"/>
      <c r="AJ84" s="191"/>
      <c r="AK84" s="191"/>
      <c r="AL84" s="191"/>
      <c r="AM84" s="191"/>
      <c r="AN84" s="191"/>
      <c r="AO84" s="191"/>
      <c r="AP84" s="191"/>
      <c r="AQ84" s="191"/>
      <c r="AR84" s="191"/>
      <c r="AS84" s="191"/>
      <c r="AT84" s="191"/>
      <c r="AU84" s="191"/>
      <c r="AV84" s="191"/>
      <c r="AW84" s="191"/>
      <c r="AX84" s="191"/>
      <c r="AY84" s="191"/>
      <c r="AZ84" s="191"/>
      <c r="BA84" s="191"/>
      <c r="BB84" s="191"/>
      <c r="BC84" s="191"/>
      <c r="BD84" s="191"/>
      <c r="BE84" s="191"/>
      <c r="BF84" s="191"/>
      <c r="BG84" s="191"/>
      <c r="BH84" s="191"/>
      <c r="BI84" s="191"/>
      <c r="BJ84" s="191"/>
      <c r="BK84" s="191"/>
      <c r="BL84" s="191"/>
      <c r="BM84" s="191"/>
      <c r="BN84" s="191"/>
      <c r="BO84" s="191"/>
      <c r="BP84" s="191"/>
    </row>
    <row r="85" spans="11:68">
      <c r="K85" s="191"/>
      <c r="L85" s="191"/>
      <c r="M85" s="191"/>
      <c r="N85" s="191"/>
      <c r="O85" s="191"/>
      <c r="P85" s="191"/>
      <c r="Q85" s="191"/>
      <c r="R85" s="191"/>
      <c r="S85" s="191"/>
      <c r="T85" s="191"/>
      <c r="U85" s="191"/>
      <c r="V85" s="191"/>
      <c r="W85" s="191"/>
      <c r="X85" s="191"/>
      <c r="Y85" s="191"/>
      <c r="Z85" s="191"/>
      <c r="AA85" s="191"/>
      <c r="AB85" s="191"/>
      <c r="AC85" s="191"/>
      <c r="AD85" s="191"/>
      <c r="AE85" s="191"/>
      <c r="AF85" s="191"/>
      <c r="AG85" s="191"/>
      <c r="AH85" s="191"/>
      <c r="AI85" s="191"/>
      <c r="AJ85" s="191"/>
      <c r="AK85" s="191"/>
      <c r="AL85" s="191"/>
      <c r="AM85" s="191"/>
      <c r="AN85" s="191"/>
      <c r="AO85" s="191"/>
      <c r="AP85" s="191"/>
      <c r="AQ85" s="191"/>
      <c r="AR85" s="191"/>
      <c r="AS85" s="191"/>
      <c r="AT85" s="191"/>
      <c r="AU85" s="191"/>
      <c r="AV85" s="191"/>
      <c r="AW85" s="191"/>
      <c r="AX85" s="191"/>
      <c r="AY85" s="191"/>
      <c r="AZ85" s="191"/>
      <c r="BA85" s="191"/>
      <c r="BB85" s="191"/>
      <c r="BC85" s="191"/>
      <c r="BD85" s="191"/>
      <c r="BE85" s="191"/>
      <c r="BF85" s="191"/>
      <c r="BG85" s="191"/>
      <c r="BH85" s="191"/>
      <c r="BI85" s="191"/>
      <c r="BJ85" s="191"/>
      <c r="BK85" s="191"/>
      <c r="BL85" s="191"/>
      <c r="BM85" s="191"/>
      <c r="BN85" s="191"/>
      <c r="BO85" s="191"/>
      <c r="BP85" s="191"/>
    </row>
    <row r="86" spans="11:68">
      <c r="K86" s="191"/>
      <c r="L86" s="191"/>
      <c r="M86" s="191"/>
      <c r="N86" s="191"/>
      <c r="O86" s="191"/>
      <c r="P86" s="191"/>
      <c r="Q86" s="191"/>
      <c r="R86" s="191"/>
      <c r="S86" s="191"/>
      <c r="T86" s="191"/>
      <c r="U86" s="191"/>
      <c r="V86" s="191"/>
      <c r="W86" s="191"/>
      <c r="X86" s="191"/>
      <c r="Y86" s="191"/>
      <c r="Z86" s="191"/>
      <c r="AA86" s="191"/>
      <c r="AB86" s="191"/>
      <c r="AC86" s="191"/>
      <c r="AD86" s="191"/>
      <c r="AE86" s="191"/>
      <c r="AF86" s="191"/>
      <c r="AG86" s="191"/>
      <c r="AH86" s="191"/>
      <c r="AI86" s="191"/>
      <c r="AJ86" s="191"/>
      <c r="AK86" s="191"/>
      <c r="AL86" s="191"/>
      <c r="AM86" s="191"/>
      <c r="AN86" s="191"/>
      <c r="AO86" s="191"/>
      <c r="AP86" s="191"/>
      <c r="AQ86" s="191"/>
      <c r="AR86" s="191"/>
      <c r="AS86" s="191"/>
      <c r="AT86" s="191"/>
      <c r="AU86" s="191"/>
      <c r="AV86" s="191"/>
      <c r="AW86" s="191"/>
      <c r="AX86" s="191"/>
      <c r="AY86" s="191"/>
      <c r="AZ86" s="191"/>
      <c r="BA86" s="191"/>
      <c r="BB86" s="191"/>
      <c r="BC86" s="191"/>
      <c r="BD86" s="191"/>
      <c r="BE86" s="191"/>
      <c r="BF86" s="191"/>
      <c r="BG86" s="191"/>
      <c r="BH86" s="191"/>
      <c r="BI86" s="191"/>
      <c r="BJ86" s="191"/>
      <c r="BK86" s="191"/>
      <c r="BL86" s="191"/>
      <c r="BM86" s="191"/>
      <c r="BN86" s="191"/>
      <c r="BO86" s="191"/>
      <c r="BP86" s="191"/>
    </row>
    <row r="87" spans="11:68">
      <c r="K87" s="191"/>
      <c r="L87" s="191"/>
      <c r="M87" s="191"/>
      <c r="N87" s="191"/>
      <c r="O87" s="191"/>
      <c r="P87" s="191"/>
      <c r="Q87" s="191"/>
      <c r="R87" s="191"/>
      <c r="S87" s="191"/>
      <c r="T87" s="191"/>
      <c r="U87" s="191"/>
      <c r="V87" s="191"/>
      <c r="W87" s="191"/>
      <c r="X87" s="191"/>
      <c r="Y87" s="191"/>
      <c r="Z87" s="191"/>
      <c r="AA87" s="191"/>
      <c r="AB87" s="191"/>
      <c r="AC87" s="191"/>
      <c r="AD87" s="191"/>
      <c r="AE87" s="191"/>
      <c r="AF87" s="191"/>
      <c r="AG87" s="191"/>
      <c r="AH87" s="191"/>
      <c r="AI87" s="191"/>
      <c r="AJ87" s="191"/>
      <c r="AK87" s="191"/>
      <c r="AL87" s="191"/>
      <c r="AM87" s="191"/>
      <c r="AN87" s="191"/>
      <c r="AO87" s="191"/>
      <c r="AP87" s="191"/>
      <c r="AQ87" s="191"/>
      <c r="AR87" s="191"/>
      <c r="AS87" s="191"/>
      <c r="AT87" s="191"/>
      <c r="AU87" s="191"/>
      <c r="AV87" s="191"/>
      <c r="AW87" s="191"/>
      <c r="AX87" s="191"/>
      <c r="AY87" s="191"/>
      <c r="AZ87" s="191"/>
      <c r="BA87" s="191"/>
      <c r="BB87" s="191"/>
      <c r="BC87" s="191"/>
      <c r="BD87" s="191"/>
      <c r="BE87" s="191"/>
      <c r="BF87" s="191"/>
      <c r="BG87" s="191"/>
      <c r="BH87" s="191"/>
      <c r="BI87" s="191"/>
      <c r="BJ87" s="191"/>
      <c r="BK87" s="191"/>
      <c r="BL87" s="191"/>
      <c r="BM87" s="191"/>
      <c r="BN87" s="191"/>
      <c r="BO87" s="191"/>
      <c r="BP87" s="191"/>
    </row>
    <row r="88" spans="11:68">
      <c r="K88" s="191"/>
      <c r="L88" s="191"/>
      <c r="M88" s="191"/>
      <c r="N88" s="191"/>
      <c r="O88" s="191"/>
      <c r="P88" s="191"/>
      <c r="Q88" s="191"/>
      <c r="R88" s="191"/>
      <c r="S88" s="191"/>
      <c r="T88" s="191"/>
      <c r="U88" s="191"/>
      <c r="V88" s="191"/>
      <c r="W88" s="191"/>
      <c r="X88" s="191"/>
      <c r="Y88" s="191"/>
      <c r="Z88" s="191"/>
      <c r="AA88" s="191"/>
      <c r="AB88" s="191"/>
      <c r="AC88" s="191"/>
      <c r="AD88" s="191"/>
      <c r="AE88" s="191"/>
      <c r="AF88" s="191"/>
      <c r="AG88" s="191"/>
      <c r="AH88" s="191"/>
      <c r="AI88" s="191"/>
      <c r="AJ88" s="191"/>
      <c r="AK88" s="191"/>
      <c r="AL88" s="191"/>
      <c r="AM88" s="191"/>
      <c r="AN88" s="191"/>
      <c r="AO88" s="191"/>
      <c r="AP88" s="191"/>
      <c r="AQ88" s="191"/>
      <c r="AR88" s="191"/>
      <c r="AS88" s="191"/>
      <c r="AT88" s="191"/>
      <c r="AU88" s="191"/>
      <c r="AV88" s="191"/>
      <c r="AW88" s="191"/>
      <c r="AX88" s="191"/>
      <c r="AY88" s="191"/>
      <c r="AZ88" s="191"/>
      <c r="BA88" s="191"/>
      <c r="BB88" s="191"/>
      <c r="BC88" s="191"/>
      <c r="BD88" s="191"/>
      <c r="BE88" s="191"/>
      <c r="BF88" s="191"/>
      <c r="BG88" s="191"/>
      <c r="BH88" s="191"/>
      <c r="BI88" s="191"/>
      <c r="BJ88" s="191"/>
      <c r="BK88" s="191"/>
      <c r="BL88" s="191"/>
      <c r="BM88" s="191"/>
      <c r="BN88" s="191"/>
      <c r="BO88" s="191"/>
      <c r="BP88" s="191"/>
    </row>
    <row r="89" spans="11:68">
      <c r="K89" s="191"/>
      <c r="L89" s="191"/>
      <c r="M89" s="191"/>
      <c r="N89" s="191"/>
      <c r="O89" s="191"/>
      <c r="P89" s="191"/>
      <c r="Q89" s="191"/>
      <c r="R89" s="191"/>
      <c r="S89" s="191"/>
      <c r="T89" s="191"/>
      <c r="U89" s="191"/>
      <c r="V89" s="191"/>
      <c r="W89" s="191"/>
      <c r="X89" s="191"/>
      <c r="Y89" s="191"/>
      <c r="Z89" s="191"/>
      <c r="AA89" s="191"/>
      <c r="AB89" s="191"/>
      <c r="AC89" s="191"/>
      <c r="AD89" s="191"/>
      <c r="AE89" s="191"/>
      <c r="AF89" s="191"/>
      <c r="AG89" s="191"/>
      <c r="AH89" s="191"/>
      <c r="AI89" s="191"/>
      <c r="AJ89" s="191"/>
      <c r="AK89" s="191"/>
      <c r="AL89" s="191"/>
      <c r="AM89" s="191"/>
      <c r="AN89" s="191"/>
      <c r="AO89" s="191"/>
      <c r="AP89" s="191"/>
      <c r="AQ89" s="191"/>
      <c r="AR89" s="191"/>
      <c r="AS89" s="191"/>
      <c r="AT89" s="191"/>
      <c r="AU89" s="191"/>
      <c r="AV89" s="191"/>
      <c r="AW89" s="191"/>
      <c r="AX89" s="191"/>
      <c r="AY89" s="191"/>
      <c r="AZ89" s="191"/>
      <c r="BA89" s="191"/>
      <c r="BB89" s="191"/>
      <c r="BC89" s="191"/>
      <c r="BD89" s="191"/>
      <c r="BE89" s="191"/>
      <c r="BF89" s="191"/>
      <c r="BG89" s="191"/>
      <c r="BH89" s="191"/>
      <c r="BI89" s="191"/>
      <c r="BJ89" s="191"/>
      <c r="BK89" s="191"/>
      <c r="BL89" s="191"/>
      <c r="BM89" s="191"/>
      <c r="BN89" s="191"/>
      <c r="BO89" s="191"/>
      <c r="BP89" s="191"/>
    </row>
    <row r="90" spans="11:68">
      <c r="K90" s="191"/>
      <c r="L90" s="191"/>
      <c r="M90" s="191"/>
      <c r="N90" s="191"/>
      <c r="O90" s="191"/>
      <c r="P90" s="191"/>
      <c r="Q90" s="191"/>
      <c r="R90" s="191"/>
      <c r="S90" s="191"/>
      <c r="T90" s="191"/>
      <c r="U90" s="191"/>
      <c r="V90" s="191"/>
      <c r="W90" s="191"/>
      <c r="X90" s="191"/>
      <c r="Y90" s="191"/>
      <c r="Z90" s="191"/>
      <c r="AA90" s="191"/>
      <c r="AB90" s="191"/>
      <c r="AC90" s="191"/>
      <c r="AD90" s="191"/>
      <c r="AE90" s="191"/>
      <c r="AF90" s="191"/>
      <c r="AG90" s="191"/>
      <c r="AH90" s="191"/>
      <c r="AI90" s="191"/>
      <c r="AJ90" s="191"/>
      <c r="AK90" s="191"/>
      <c r="AL90" s="191"/>
      <c r="AM90" s="191"/>
      <c r="AN90" s="191"/>
      <c r="AO90" s="191"/>
      <c r="AP90" s="191"/>
      <c r="AQ90" s="191"/>
      <c r="AR90" s="191"/>
      <c r="AS90" s="191"/>
      <c r="AT90" s="191"/>
      <c r="AU90" s="191"/>
      <c r="AV90" s="191"/>
      <c r="AW90" s="191"/>
      <c r="AX90" s="191"/>
      <c r="AY90" s="191"/>
      <c r="AZ90" s="191"/>
      <c r="BA90" s="191"/>
      <c r="BB90" s="191"/>
      <c r="BC90" s="191"/>
      <c r="BD90" s="191"/>
      <c r="BE90" s="191"/>
      <c r="BF90" s="191"/>
      <c r="BG90" s="191"/>
      <c r="BH90" s="191"/>
      <c r="BI90" s="191"/>
      <c r="BJ90" s="191"/>
      <c r="BK90" s="191"/>
      <c r="BL90" s="191"/>
      <c r="BM90" s="191"/>
      <c r="BN90" s="191"/>
      <c r="BO90" s="191"/>
      <c r="BP90" s="191"/>
    </row>
    <row r="91" spans="11:68">
      <c r="K91" s="191"/>
      <c r="L91" s="191"/>
      <c r="M91" s="191"/>
      <c r="N91" s="191"/>
      <c r="O91" s="191"/>
      <c r="P91" s="191"/>
      <c r="Q91" s="191"/>
      <c r="R91" s="191"/>
      <c r="S91" s="191"/>
      <c r="T91" s="191"/>
      <c r="U91" s="191"/>
      <c r="V91" s="191"/>
      <c r="W91" s="191"/>
      <c r="X91" s="191"/>
      <c r="Y91" s="191"/>
      <c r="Z91" s="191"/>
      <c r="AA91" s="191"/>
      <c r="AB91" s="191"/>
      <c r="AC91" s="191"/>
      <c r="AD91" s="191"/>
      <c r="AE91" s="191"/>
      <c r="AF91" s="191"/>
      <c r="AG91" s="191"/>
      <c r="AH91" s="191"/>
      <c r="AI91" s="191"/>
      <c r="AJ91" s="191"/>
      <c r="AK91" s="191"/>
      <c r="AL91" s="191"/>
      <c r="AM91" s="191"/>
      <c r="AN91" s="191"/>
      <c r="AO91" s="191"/>
      <c r="AP91" s="191"/>
      <c r="AQ91" s="191"/>
      <c r="AR91" s="191"/>
      <c r="AS91" s="191"/>
      <c r="AT91" s="191"/>
      <c r="AU91" s="191"/>
      <c r="AV91" s="191"/>
      <c r="AW91" s="191"/>
      <c r="AX91" s="191"/>
      <c r="AY91" s="191"/>
      <c r="AZ91" s="191"/>
      <c r="BA91" s="191"/>
      <c r="BB91" s="191"/>
      <c r="BC91" s="191"/>
      <c r="BD91" s="191"/>
      <c r="BE91" s="191"/>
      <c r="BF91" s="191"/>
      <c r="BG91" s="191"/>
      <c r="BH91" s="191"/>
      <c r="BI91" s="191"/>
      <c r="BJ91" s="191"/>
      <c r="BK91" s="191"/>
      <c r="BL91" s="191"/>
      <c r="BM91" s="191"/>
      <c r="BN91" s="191"/>
      <c r="BO91" s="191"/>
      <c r="BP91" s="191"/>
    </row>
    <row r="92" spans="11:68">
      <c r="K92" s="192"/>
      <c r="L92" s="191"/>
      <c r="M92" s="191"/>
      <c r="N92" s="191"/>
      <c r="O92" s="191"/>
      <c r="P92" s="191"/>
      <c r="Q92" s="191"/>
      <c r="R92" s="191"/>
      <c r="S92" s="191"/>
      <c r="T92" s="191"/>
      <c r="U92" s="191"/>
      <c r="V92" s="191"/>
      <c r="W92" s="191"/>
      <c r="X92" s="191"/>
      <c r="Y92" s="191"/>
      <c r="Z92" s="191"/>
      <c r="AA92" s="191"/>
      <c r="AB92" s="191"/>
      <c r="AC92" s="191"/>
      <c r="AD92" s="191"/>
      <c r="AE92" s="191"/>
      <c r="AF92" s="191"/>
      <c r="AG92" s="191"/>
      <c r="AH92" s="191"/>
      <c r="AI92" s="191"/>
      <c r="AJ92" s="191"/>
      <c r="AK92" s="191"/>
      <c r="AL92" s="191"/>
      <c r="AM92" s="191"/>
      <c r="AN92" s="191"/>
      <c r="AO92" s="191"/>
      <c r="AP92" s="191"/>
      <c r="AQ92" s="191"/>
      <c r="AR92" s="191"/>
      <c r="AS92" s="191"/>
      <c r="AT92" s="191"/>
      <c r="AU92" s="191"/>
      <c r="AV92" s="191"/>
      <c r="AW92" s="191"/>
      <c r="AX92" s="191"/>
      <c r="AY92" s="191"/>
      <c r="AZ92" s="191"/>
      <c r="BA92" s="191"/>
      <c r="BB92" s="191"/>
      <c r="BC92" s="191"/>
      <c r="BD92" s="191"/>
      <c r="BE92" s="191"/>
      <c r="BF92" s="191"/>
      <c r="BG92" s="191"/>
      <c r="BH92" s="191"/>
      <c r="BI92" s="191"/>
      <c r="BJ92" s="191"/>
      <c r="BK92" s="191"/>
      <c r="BL92" s="191"/>
      <c r="BM92" s="191"/>
      <c r="BN92" s="191"/>
      <c r="BO92" s="191"/>
      <c r="BP92" s="191"/>
    </row>
    <row r="93" spans="11:68">
      <c r="K93" s="192"/>
      <c r="L93" s="191"/>
      <c r="M93" s="191"/>
      <c r="N93" s="191"/>
      <c r="O93" s="191"/>
      <c r="P93" s="191"/>
      <c r="Q93" s="191"/>
      <c r="R93" s="191"/>
      <c r="S93" s="191"/>
      <c r="T93" s="191"/>
      <c r="U93" s="191"/>
      <c r="V93" s="191"/>
      <c r="W93" s="191"/>
      <c r="X93" s="191"/>
      <c r="Y93" s="191"/>
      <c r="Z93" s="191"/>
      <c r="AA93" s="191"/>
      <c r="AB93" s="191"/>
      <c r="AC93" s="191"/>
      <c r="AD93" s="191"/>
      <c r="AE93" s="191"/>
      <c r="AF93" s="191"/>
      <c r="AG93" s="191"/>
      <c r="AH93" s="191"/>
      <c r="AI93" s="191"/>
      <c r="AJ93" s="191"/>
      <c r="AK93" s="191"/>
      <c r="AL93" s="191"/>
      <c r="AM93" s="191"/>
      <c r="AN93" s="191"/>
      <c r="AO93" s="191"/>
      <c r="AP93" s="191"/>
      <c r="AQ93" s="191"/>
      <c r="AR93" s="191"/>
      <c r="AS93" s="191"/>
      <c r="AT93" s="191"/>
      <c r="AU93" s="191"/>
      <c r="AV93" s="191"/>
      <c r="AW93" s="191"/>
      <c r="AX93" s="191"/>
      <c r="AY93" s="191"/>
      <c r="AZ93" s="191"/>
      <c r="BA93" s="191"/>
      <c r="BB93" s="191"/>
      <c r="BC93" s="191"/>
      <c r="BD93" s="191"/>
      <c r="BE93" s="191"/>
      <c r="BF93" s="191"/>
      <c r="BG93" s="191"/>
      <c r="BH93" s="191"/>
      <c r="BI93" s="191"/>
      <c r="BJ93" s="191"/>
      <c r="BK93" s="191"/>
      <c r="BL93" s="191"/>
      <c r="BM93" s="191"/>
      <c r="BN93" s="191"/>
      <c r="BO93" s="191"/>
      <c r="BP93" s="191"/>
    </row>
    <row r="94" spans="11:68">
      <c r="K94" s="192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</row>
    <row r="95" spans="11:68">
      <c r="K95" s="192"/>
      <c r="L95" s="191"/>
      <c r="M95" s="191"/>
      <c r="N95" s="191"/>
      <c r="O95" s="191"/>
      <c r="P95" s="191"/>
      <c r="Q95" s="191"/>
      <c r="R95" s="191"/>
      <c r="S95" s="191"/>
      <c r="T95" s="191"/>
      <c r="U95" s="191"/>
      <c r="V95" s="191"/>
      <c r="W95" s="191"/>
      <c r="X95" s="191"/>
      <c r="Y95" s="191"/>
      <c r="Z95" s="191"/>
      <c r="AA95" s="191"/>
      <c r="AB95" s="191"/>
      <c r="AC95" s="191"/>
      <c r="AD95" s="191"/>
      <c r="AE95" s="191"/>
      <c r="AF95" s="191"/>
      <c r="AG95" s="191"/>
      <c r="AH95" s="191"/>
      <c r="AI95" s="191"/>
      <c r="AJ95" s="191"/>
      <c r="AK95" s="191"/>
      <c r="AL95" s="191"/>
      <c r="AM95" s="191"/>
      <c r="AN95" s="191"/>
      <c r="AO95" s="191"/>
      <c r="AP95" s="191"/>
      <c r="AQ95" s="191"/>
      <c r="AR95" s="191"/>
      <c r="AS95" s="191"/>
      <c r="AT95" s="191"/>
      <c r="AU95" s="191"/>
      <c r="AV95" s="191"/>
      <c r="AW95" s="191"/>
      <c r="AX95" s="191"/>
      <c r="AY95" s="191"/>
      <c r="AZ95" s="191"/>
      <c r="BA95" s="191"/>
      <c r="BB95" s="191"/>
      <c r="BC95" s="191"/>
      <c r="BD95" s="191"/>
      <c r="BE95" s="191"/>
      <c r="BF95" s="191"/>
      <c r="BG95" s="191"/>
      <c r="BH95" s="191"/>
      <c r="BI95" s="191"/>
      <c r="BJ95" s="191"/>
      <c r="BK95" s="191"/>
      <c r="BL95" s="191"/>
      <c r="BM95" s="191"/>
      <c r="BN95" s="191"/>
      <c r="BO95" s="191"/>
      <c r="BP95" s="191"/>
    </row>
    <row r="96" spans="11:68">
      <c r="K96" s="192"/>
      <c r="L96" s="191"/>
      <c r="M96" s="191"/>
      <c r="N96" s="191"/>
      <c r="O96" s="191"/>
      <c r="P96" s="191"/>
      <c r="Q96" s="191"/>
      <c r="R96" s="191"/>
      <c r="S96" s="191"/>
      <c r="T96" s="191"/>
      <c r="U96" s="191"/>
      <c r="V96" s="191"/>
      <c r="W96" s="191"/>
      <c r="X96" s="191"/>
      <c r="Y96" s="191"/>
      <c r="Z96" s="191"/>
      <c r="AA96" s="191"/>
      <c r="AB96" s="191"/>
      <c r="AC96" s="191"/>
      <c r="AD96" s="191"/>
      <c r="AE96" s="191"/>
      <c r="AF96" s="191"/>
      <c r="AG96" s="191"/>
      <c r="AH96" s="191"/>
      <c r="AI96" s="191"/>
      <c r="AJ96" s="191"/>
      <c r="AK96" s="191"/>
      <c r="AL96" s="191"/>
      <c r="AM96" s="191"/>
      <c r="AN96" s="191"/>
      <c r="AO96" s="191"/>
      <c r="AP96" s="191"/>
      <c r="AQ96" s="191"/>
      <c r="AR96" s="191"/>
      <c r="AS96" s="191"/>
      <c r="AT96" s="191"/>
      <c r="AU96" s="191"/>
      <c r="AV96" s="191"/>
      <c r="AW96" s="191"/>
      <c r="AX96" s="191"/>
      <c r="AY96" s="191"/>
      <c r="AZ96" s="191"/>
      <c r="BA96" s="191"/>
      <c r="BB96" s="191"/>
      <c r="BC96" s="191"/>
      <c r="BD96" s="191"/>
      <c r="BE96" s="191"/>
      <c r="BF96" s="191"/>
      <c r="BG96" s="191"/>
      <c r="BH96" s="191"/>
      <c r="BI96" s="191"/>
      <c r="BJ96" s="191"/>
      <c r="BK96" s="191"/>
      <c r="BL96" s="191"/>
      <c r="BM96" s="191"/>
      <c r="BN96" s="191"/>
      <c r="BO96" s="191"/>
      <c r="BP96" s="191"/>
    </row>
    <row r="97" spans="11:68">
      <c r="K97" s="192"/>
      <c r="L97" s="191"/>
      <c r="M97" s="191"/>
      <c r="N97" s="191"/>
      <c r="O97" s="191"/>
      <c r="P97" s="191"/>
      <c r="Q97" s="191"/>
      <c r="R97" s="191"/>
      <c r="S97" s="191"/>
      <c r="T97" s="191"/>
      <c r="U97" s="191"/>
      <c r="V97" s="191"/>
      <c r="W97" s="191"/>
      <c r="X97" s="191"/>
      <c r="Y97" s="191"/>
      <c r="Z97" s="191"/>
      <c r="AA97" s="191"/>
      <c r="AB97" s="191"/>
      <c r="AC97" s="191"/>
      <c r="AD97" s="191"/>
      <c r="AE97" s="191"/>
      <c r="AF97" s="191"/>
      <c r="AG97" s="191"/>
      <c r="AH97" s="191"/>
      <c r="AI97" s="191"/>
      <c r="AJ97" s="191"/>
      <c r="AK97" s="191"/>
      <c r="AL97" s="191"/>
      <c r="AM97" s="191"/>
      <c r="AN97" s="191"/>
      <c r="AO97" s="191"/>
      <c r="AP97" s="191"/>
      <c r="AQ97" s="191"/>
      <c r="AR97" s="191"/>
      <c r="AS97" s="191"/>
      <c r="AT97" s="191"/>
      <c r="AU97" s="191"/>
      <c r="AV97" s="191"/>
      <c r="AW97" s="191"/>
      <c r="AX97" s="191"/>
      <c r="AY97" s="191"/>
      <c r="AZ97" s="191"/>
      <c r="BA97" s="191"/>
      <c r="BB97" s="191"/>
      <c r="BC97" s="191"/>
      <c r="BD97" s="191"/>
      <c r="BE97" s="191"/>
      <c r="BF97" s="191"/>
      <c r="BG97" s="191"/>
      <c r="BH97" s="191"/>
      <c r="BI97" s="191"/>
      <c r="BJ97" s="191"/>
      <c r="BK97" s="191"/>
      <c r="BL97" s="191"/>
      <c r="BM97" s="191"/>
      <c r="BN97" s="191"/>
      <c r="BO97" s="191"/>
      <c r="BP97" s="191"/>
    </row>
    <row r="98" spans="11:68">
      <c r="K98" s="192"/>
      <c r="L98" s="191"/>
      <c r="M98" s="191"/>
      <c r="N98" s="191"/>
      <c r="O98" s="191"/>
      <c r="P98" s="191"/>
      <c r="Q98" s="191"/>
      <c r="R98" s="191"/>
      <c r="S98" s="191"/>
      <c r="T98" s="191"/>
      <c r="U98" s="191"/>
      <c r="V98" s="191"/>
      <c r="W98" s="191"/>
      <c r="X98" s="191"/>
      <c r="Y98" s="191"/>
      <c r="Z98" s="191"/>
      <c r="AA98" s="191"/>
      <c r="AB98" s="191"/>
      <c r="AC98" s="191"/>
      <c r="AD98" s="191"/>
      <c r="AE98" s="191"/>
      <c r="AF98" s="191"/>
      <c r="AG98" s="191"/>
      <c r="AH98" s="191"/>
      <c r="AI98" s="191"/>
      <c r="AJ98" s="191"/>
      <c r="AK98" s="191"/>
      <c r="AL98" s="191"/>
      <c r="AM98" s="191"/>
      <c r="AN98" s="191"/>
      <c r="AO98" s="191"/>
      <c r="AP98" s="191"/>
      <c r="AQ98" s="191"/>
      <c r="AR98" s="191"/>
      <c r="AS98" s="191"/>
      <c r="AT98" s="191"/>
      <c r="AU98" s="191"/>
      <c r="AV98" s="191"/>
      <c r="AW98" s="191"/>
      <c r="AX98" s="191"/>
      <c r="AY98" s="191"/>
      <c r="AZ98" s="191"/>
      <c r="BA98" s="191"/>
      <c r="BB98" s="191"/>
      <c r="BC98" s="191"/>
      <c r="BD98" s="191"/>
      <c r="BE98" s="191"/>
      <c r="BF98" s="191"/>
      <c r="BG98" s="191"/>
      <c r="BH98" s="191"/>
      <c r="BI98" s="191"/>
      <c r="BJ98" s="191"/>
      <c r="BK98" s="191"/>
      <c r="BL98" s="191"/>
      <c r="BM98" s="191"/>
      <c r="BN98" s="191"/>
      <c r="BO98" s="191"/>
      <c r="BP98" s="191"/>
    </row>
    <row r="99" spans="11:68">
      <c r="K99" s="192"/>
      <c r="L99" s="191"/>
      <c r="M99" s="191"/>
      <c r="N99" s="191"/>
      <c r="O99" s="191"/>
      <c r="P99" s="191"/>
      <c r="Q99" s="191"/>
      <c r="R99" s="191"/>
      <c r="S99" s="191"/>
      <c r="T99" s="191"/>
      <c r="U99" s="191"/>
      <c r="V99" s="191"/>
      <c r="W99" s="191"/>
      <c r="X99" s="191"/>
      <c r="Y99" s="191"/>
      <c r="Z99" s="191"/>
      <c r="AA99" s="191"/>
      <c r="AB99" s="191"/>
      <c r="AC99" s="191"/>
      <c r="AD99" s="191"/>
      <c r="AE99" s="191"/>
      <c r="AF99" s="191"/>
      <c r="AG99" s="191"/>
      <c r="AH99" s="191"/>
      <c r="AI99" s="191"/>
      <c r="AJ99" s="191"/>
      <c r="AK99" s="191"/>
      <c r="AL99" s="191"/>
      <c r="AM99" s="191"/>
      <c r="AN99" s="191"/>
      <c r="AO99" s="191"/>
      <c r="AP99" s="191"/>
      <c r="AQ99" s="191"/>
      <c r="AR99" s="191"/>
      <c r="AS99" s="191"/>
      <c r="AT99" s="191"/>
      <c r="AU99" s="191"/>
      <c r="AV99" s="191"/>
      <c r="AW99" s="191"/>
      <c r="AX99" s="191"/>
      <c r="AY99" s="191"/>
      <c r="AZ99" s="191"/>
      <c r="BA99" s="191"/>
      <c r="BB99" s="191"/>
      <c r="BC99" s="191"/>
      <c r="BD99" s="191"/>
      <c r="BE99" s="191"/>
      <c r="BF99" s="191"/>
      <c r="BG99" s="191"/>
      <c r="BH99" s="191"/>
      <c r="BI99" s="191"/>
      <c r="BJ99" s="191"/>
      <c r="BK99" s="191"/>
      <c r="BL99" s="191"/>
      <c r="BM99" s="191"/>
      <c r="BN99" s="191"/>
      <c r="BO99" s="191"/>
      <c r="BP99" s="191"/>
    </row>
    <row r="100" spans="11:68">
      <c r="K100" s="191"/>
      <c r="L100" s="191"/>
      <c r="M100" s="191"/>
      <c r="N100" s="191"/>
      <c r="O100" s="191"/>
      <c r="P100" s="191"/>
      <c r="Q100" s="191"/>
      <c r="R100" s="191"/>
      <c r="S100" s="191"/>
      <c r="T100" s="191"/>
      <c r="U100" s="191"/>
      <c r="V100" s="191"/>
      <c r="W100" s="191"/>
      <c r="X100" s="191"/>
      <c r="Y100" s="191"/>
      <c r="Z100" s="191"/>
      <c r="AA100" s="191"/>
      <c r="AB100" s="191"/>
      <c r="AC100" s="191"/>
      <c r="AD100" s="191"/>
      <c r="AE100" s="191"/>
      <c r="AF100" s="191"/>
      <c r="AG100" s="191"/>
      <c r="AH100" s="191"/>
      <c r="AI100" s="191"/>
      <c r="AJ100" s="191"/>
      <c r="AK100" s="191"/>
      <c r="AL100" s="191"/>
      <c r="AM100" s="191"/>
      <c r="AN100" s="191"/>
      <c r="AO100" s="191"/>
      <c r="AP100" s="191"/>
      <c r="AQ100" s="191"/>
      <c r="AR100" s="191"/>
      <c r="AS100" s="191"/>
      <c r="AT100" s="191"/>
      <c r="AU100" s="191"/>
      <c r="AV100" s="191"/>
      <c r="AW100" s="191"/>
      <c r="AX100" s="191"/>
      <c r="AY100" s="191"/>
      <c r="AZ100" s="191"/>
      <c r="BA100" s="191"/>
      <c r="BB100" s="191"/>
      <c r="BC100" s="191"/>
      <c r="BD100" s="191"/>
      <c r="BE100" s="191"/>
      <c r="BF100" s="191"/>
      <c r="BG100" s="191"/>
      <c r="BH100" s="191"/>
      <c r="BI100" s="191"/>
      <c r="BJ100" s="191"/>
      <c r="BK100" s="191"/>
      <c r="BL100" s="191"/>
      <c r="BM100" s="191"/>
      <c r="BN100" s="191"/>
      <c r="BO100" s="191"/>
      <c r="BP100" s="191"/>
    </row>
    <row r="101" spans="11:68">
      <c r="K101" s="191"/>
      <c r="L101" s="191"/>
      <c r="M101" s="191"/>
      <c r="N101" s="191"/>
      <c r="O101" s="191"/>
      <c r="P101" s="191"/>
      <c r="Q101" s="191"/>
      <c r="R101" s="191"/>
      <c r="S101" s="191"/>
      <c r="T101" s="191"/>
      <c r="U101" s="191"/>
      <c r="V101" s="191"/>
      <c r="W101" s="191"/>
      <c r="X101" s="191"/>
      <c r="Y101" s="191"/>
      <c r="Z101" s="191"/>
      <c r="AA101" s="191"/>
      <c r="AB101" s="191"/>
      <c r="AC101" s="191"/>
      <c r="AD101" s="191"/>
      <c r="AE101" s="191"/>
      <c r="AF101" s="191"/>
      <c r="AG101" s="191"/>
      <c r="AH101" s="191"/>
      <c r="AI101" s="191"/>
      <c r="AJ101" s="191"/>
      <c r="AK101" s="191"/>
      <c r="AL101" s="191"/>
      <c r="AM101" s="191"/>
      <c r="AN101" s="191"/>
      <c r="AO101" s="191"/>
      <c r="AP101" s="191"/>
      <c r="AQ101" s="191"/>
      <c r="AR101" s="191"/>
      <c r="AS101" s="191"/>
      <c r="AT101" s="191"/>
      <c r="AU101" s="191"/>
      <c r="AV101" s="191"/>
      <c r="AW101" s="191"/>
      <c r="AX101" s="191"/>
      <c r="AY101" s="191"/>
      <c r="AZ101" s="191"/>
      <c r="BA101" s="191"/>
      <c r="BB101" s="191"/>
      <c r="BC101" s="191"/>
      <c r="BD101" s="191"/>
      <c r="BE101" s="191"/>
      <c r="BF101" s="191"/>
      <c r="BG101" s="191"/>
      <c r="BH101" s="191"/>
      <c r="BI101" s="191"/>
      <c r="BJ101" s="191"/>
      <c r="BK101" s="191"/>
      <c r="BL101" s="191"/>
      <c r="BM101" s="191"/>
      <c r="BN101" s="191"/>
      <c r="BO101" s="191"/>
      <c r="BP101" s="191"/>
    </row>
    <row r="102" spans="11:68">
      <c r="K102" s="191"/>
      <c r="L102" s="191"/>
      <c r="M102" s="191"/>
      <c r="N102" s="191"/>
      <c r="O102" s="191"/>
      <c r="P102" s="191"/>
      <c r="Q102" s="191"/>
      <c r="R102" s="191"/>
      <c r="S102" s="191"/>
      <c r="T102" s="191"/>
      <c r="U102" s="191"/>
      <c r="V102" s="191"/>
      <c r="W102" s="191"/>
      <c r="X102" s="191"/>
      <c r="Y102" s="191"/>
      <c r="Z102" s="191"/>
      <c r="AA102" s="191"/>
      <c r="AB102" s="191"/>
      <c r="AC102" s="191"/>
      <c r="AD102" s="191"/>
      <c r="AE102" s="191"/>
      <c r="AF102" s="191"/>
      <c r="AG102" s="191"/>
      <c r="AH102" s="191"/>
      <c r="AI102" s="191"/>
      <c r="AJ102" s="191"/>
      <c r="AK102" s="191"/>
      <c r="AL102" s="191"/>
      <c r="AM102" s="191"/>
      <c r="AN102" s="191"/>
      <c r="AO102" s="191"/>
      <c r="AP102" s="191"/>
      <c r="AQ102" s="191"/>
      <c r="AR102" s="191"/>
      <c r="AS102" s="191"/>
      <c r="AT102" s="191"/>
      <c r="AU102" s="191"/>
      <c r="AV102" s="191"/>
      <c r="AW102" s="191"/>
      <c r="AX102" s="191"/>
      <c r="AY102" s="191"/>
      <c r="AZ102" s="191"/>
      <c r="BA102" s="191"/>
      <c r="BB102" s="191"/>
      <c r="BC102" s="191"/>
      <c r="BD102" s="191"/>
      <c r="BE102" s="191"/>
      <c r="BF102" s="191"/>
      <c r="BG102" s="191"/>
      <c r="BH102" s="191"/>
      <c r="BI102" s="191"/>
      <c r="BJ102" s="191"/>
      <c r="BK102" s="191"/>
      <c r="BL102" s="191"/>
      <c r="BM102" s="191"/>
      <c r="BN102" s="191"/>
      <c r="BO102" s="191"/>
      <c r="BP102" s="191"/>
    </row>
    <row r="103" spans="11:68">
      <c r="K103" s="191"/>
      <c r="L103" s="191"/>
      <c r="M103" s="191"/>
      <c r="N103" s="191"/>
      <c r="O103" s="191"/>
      <c r="P103" s="191"/>
      <c r="Q103" s="191"/>
      <c r="R103" s="191"/>
      <c r="S103" s="191"/>
      <c r="T103" s="191"/>
      <c r="U103" s="191"/>
      <c r="V103" s="191"/>
      <c r="W103" s="191"/>
      <c r="X103" s="191"/>
      <c r="Y103" s="191"/>
      <c r="Z103" s="191"/>
      <c r="AA103" s="191"/>
      <c r="AB103" s="191"/>
      <c r="AC103" s="191"/>
      <c r="AD103" s="191"/>
      <c r="AE103" s="191"/>
      <c r="AF103" s="191"/>
      <c r="AG103" s="191"/>
      <c r="AH103" s="191"/>
      <c r="AI103" s="191"/>
      <c r="AJ103" s="191"/>
      <c r="AK103" s="191"/>
      <c r="AL103" s="191"/>
      <c r="AM103" s="191"/>
      <c r="AN103" s="191"/>
      <c r="AO103" s="191"/>
      <c r="AP103" s="191"/>
      <c r="AQ103" s="191"/>
      <c r="AR103" s="191"/>
      <c r="AS103" s="191"/>
      <c r="AT103" s="191"/>
      <c r="AU103" s="191"/>
      <c r="AV103" s="191"/>
      <c r="AW103" s="191"/>
      <c r="AX103" s="191"/>
      <c r="AY103" s="191"/>
      <c r="AZ103" s="191"/>
      <c r="BA103" s="191"/>
      <c r="BB103" s="191"/>
      <c r="BC103" s="191"/>
      <c r="BD103" s="191"/>
      <c r="BE103" s="191"/>
      <c r="BF103" s="191"/>
      <c r="BG103" s="191"/>
      <c r="BH103" s="191"/>
      <c r="BI103" s="191"/>
      <c r="BJ103" s="191"/>
      <c r="BK103" s="191"/>
      <c r="BL103" s="191"/>
      <c r="BM103" s="191"/>
      <c r="BN103" s="191"/>
      <c r="BO103" s="191"/>
      <c r="BP103" s="191"/>
    </row>
    <row r="104" spans="11:68">
      <c r="K104" s="191"/>
      <c r="L104" s="191"/>
      <c r="M104" s="191"/>
      <c r="N104" s="191"/>
      <c r="O104" s="191"/>
      <c r="P104" s="191"/>
      <c r="Q104" s="191"/>
      <c r="R104" s="191"/>
      <c r="S104" s="191"/>
      <c r="T104" s="191"/>
      <c r="U104" s="191"/>
      <c r="V104" s="191"/>
      <c r="W104" s="191"/>
      <c r="X104" s="191"/>
      <c r="Y104" s="191"/>
      <c r="Z104" s="191"/>
      <c r="AA104" s="191"/>
      <c r="AB104" s="191"/>
      <c r="AC104" s="191"/>
      <c r="AD104" s="191"/>
      <c r="AE104" s="191"/>
      <c r="AF104" s="191"/>
      <c r="AG104" s="191"/>
      <c r="AH104" s="191"/>
      <c r="AI104" s="191"/>
      <c r="AJ104" s="191"/>
      <c r="AK104" s="191"/>
      <c r="AL104" s="191"/>
      <c r="AM104" s="191"/>
      <c r="AN104" s="191"/>
      <c r="AO104" s="191"/>
      <c r="AP104" s="191"/>
      <c r="AQ104" s="191"/>
      <c r="AR104" s="191"/>
      <c r="AS104" s="191"/>
      <c r="AT104" s="191"/>
      <c r="AU104" s="191"/>
      <c r="AV104" s="191"/>
      <c r="AW104" s="191"/>
      <c r="AX104" s="191"/>
      <c r="AY104" s="191"/>
      <c r="AZ104" s="191"/>
      <c r="BA104" s="191"/>
      <c r="BB104" s="191"/>
      <c r="BC104" s="191"/>
      <c r="BD104" s="191"/>
      <c r="BE104" s="191"/>
      <c r="BF104" s="191"/>
      <c r="BG104" s="191"/>
      <c r="BH104" s="191"/>
      <c r="BI104" s="191"/>
      <c r="BJ104" s="191"/>
      <c r="BK104" s="191"/>
      <c r="BL104" s="191"/>
      <c r="BM104" s="191"/>
      <c r="BN104" s="191"/>
      <c r="BO104" s="191"/>
      <c r="BP104" s="191"/>
    </row>
    <row r="105" spans="11:68">
      <c r="K105" s="191"/>
      <c r="L105" s="191"/>
      <c r="M105" s="191"/>
      <c r="N105" s="191"/>
      <c r="O105" s="191"/>
      <c r="P105" s="191"/>
      <c r="Q105" s="191"/>
      <c r="R105" s="191"/>
      <c r="S105" s="191"/>
      <c r="T105" s="191"/>
      <c r="U105" s="191"/>
      <c r="V105" s="191"/>
      <c r="W105" s="191"/>
      <c r="X105" s="191"/>
      <c r="Y105" s="191"/>
      <c r="Z105" s="191"/>
      <c r="AA105" s="191"/>
      <c r="AB105" s="191"/>
      <c r="AC105" s="191"/>
      <c r="AD105" s="191"/>
      <c r="AE105" s="191"/>
      <c r="AF105" s="191"/>
      <c r="AG105" s="191"/>
      <c r="AH105" s="191"/>
      <c r="AI105" s="191"/>
      <c r="AJ105" s="191"/>
      <c r="AK105" s="191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191"/>
      <c r="AZ105" s="191"/>
      <c r="BA105" s="191"/>
      <c r="BB105" s="191"/>
      <c r="BC105" s="191"/>
      <c r="BD105" s="191"/>
      <c r="BE105" s="191"/>
      <c r="BF105" s="191"/>
      <c r="BG105" s="191"/>
      <c r="BH105" s="191"/>
      <c r="BI105" s="191"/>
      <c r="BJ105" s="191"/>
      <c r="BK105" s="191"/>
      <c r="BL105" s="191"/>
      <c r="BM105" s="191"/>
      <c r="BN105" s="191"/>
      <c r="BO105" s="191"/>
      <c r="BP105" s="191"/>
    </row>
    <row r="106" spans="11:68">
      <c r="K106" s="191"/>
      <c r="L106" s="191"/>
      <c r="M106" s="191"/>
      <c r="N106" s="191"/>
      <c r="O106" s="191"/>
      <c r="P106" s="191"/>
      <c r="Q106" s="191"/>
      <c r="R106" s="191"/>
      <c r="S106" s="191"/>
      <c r="T106" s="191"/>
      <c r="U106" s="191"/>
      <c r="V106" s="191"/>
      <c r="W106" s="191"/>
      <c r="X106" s="191"/>
      <c r="Y106" s="191"/>
      <c r="Z106" s="191"/>
      <c r="AA106" s="191"/>
      <c r="AB106" s="191"/>
      <c r="AC106" s="191"/>
      <c r="AD106" s="191"/>
      <c r="AE106" s="191"/>
      <c r="AF106" s="191"/>
      <c r="AG106" s="191"/>
      <c r="AH106" s="191"/>
      <c r="AI106" s="191"/>
      <c r="AJ106" s="191"/>
      <c r="AK106" s="191"/>
      <c r="AL106" s="191"/>
      <c r="AM106" s="191"/>
      <c r="AN106" s="191"/>
      <c r="AO106" s="191"/>
      <c r="AP106" s="191"/>
      <c r="AQ106" s="191"/>
      <c r="AR106" s="191"/>
      <c r="AS106" s="191"/>
      <c r="AT106" s="191"/>
      <c r="AU106" s="191"/>
      <c r="AV106" s="191"/>
      <c r="AW106" s="191"/>
      <c r="AX106" s="191"/>
      <c r="AY106" s="191"/>
      <c r="AZ106" s="191"/>
      <c r="BA106" s="191"/>
      <c r="BB106" s="191"/>
      <c r="BC106" s="191"/>
      <c r="BD106" s="191"/>
      <c r="BE106" s="191"/>
      <c r="BF106" s="191"/>
      <c r="BG106" s="191"/>
      <c r="BH106" s="191"/>
      <c r="BI106" s="191"/>
      <c r="BJ106" s="191"/>
      <c r="BK106" s="191"/>
      <c r="BL106" s="191"/>
      <c r="BM106" s="191"/>
      <c r="BN106" s="191"/>
      <c r="BO106" s="191"/>
      <c r="BP106" s="191"/>
    </row>
    <row r="107" spans="11:68">
      <c r="K107" s="191"/>
      <c r="L107" s="191"/>
      <c r="M107" s="191"/>
      <c r="N107" s="191"/>
      <c r="O107" s="191"/>
      <c r="P107" s="191"/>
      <c r="Q107" s="191"/>
      <c r="R107" s="191"/>
      <c r="S107" s="191"/>
      <c r="T107" s="191"/>
      <c r="U107" s="191"/>
      <c r="V107" s="191"/>
      <c r="W107" s="191"/>
      <c r="X107" s="191"/>
      <c r="Y107" s="191"/>
      <c r="Z107" s="191"/>
      <c r="AA107" s="191"/>
      <c r="AB107" s="191"/>
      <c r="AC107" s="191"/>
      <c r="AD107" s="191"/>
      <c r="AE107" s="191"/>
      <c r="AF107" s="191"/>
      <c r="AG107" s="191"/>
      <c r="AH107" s="191"/>
      <c r="AI107" s="191"/>
      <c r="AJ107" s="191"/>
      <c r="AK107" s="191"/>
      <c r="AL107" s="191"/>
      <c r="AM107" s="191"/>
      <c r="AN107" s="191"/>
      <c r="AO107" s="191"/>
      <c r="AP107" s="191"/>
      <c r="AQ107" s="191"/>
      <c r="AR107" s="191"/>
      <c r="AS107" s="191"/>
      <c r="AT107" s="191"/>
      <c r="AU107" s="191"/>
      <c r="AV107" s="191"/>
      <c r="AW107" s="191"/>
      <c r="AX107" s="191"/>
      <c r="AY107" s="191"/>
      <c r="AZ107" s="191"/>
      <c r="BA107" s="191"/>
      <c r="BB107" s="191"/>
      <c r="BC107" s="191"/>
      <c r="BD107" s="191"/>
      <c r="BE107" s="191"/>
      <c r="BF107" s="191"/>
      <c r="BG107" s="191"/>
      <c r="BH107" s="191"/>
      <c r="BI107" s="191"/>
      <c r="BJ107" s="191"/>
      <c r="BK107" s="191"/>
      <c r="BL107" s="191"/>
      <c r="BM107" s="191"/>
      <c r="BN107" s="191"/>
      <c r="BO107" s="191"/>
      <c r="BP107" s="191"/>
    </row>
    <row r="108" spans="11:68">
      <c r="K108" s="191"/>
      <c r="L108" s="191"/>
      <c r="M108" s="191"/>
      <c r="N108" s="191"/>
      <c r="O108" s="191"/>
      <c r="P108" s="191"/>
      <c r="Q108" s="191"/>
      <c r="R108" s="191"/>
      <c r="S108" s="191"/>
      <c r="T108" s="191"/>
      <c r="U108" s="191"/>
      <c r="V108" s="191"/>
      <c r="W108" s="191"/>
      <c r="X108" s="191"/>
      <c r="Y108" s="191"/>
      <c r="Z108" s="191"/>
      <c r="AA108" s="191"/>
      <c r="AB108" s="191"/>
      <c r="AC108" s="191"/>
      <c r="AD108" s="191"/>
      <c r="AE108" s="191"/>
      <c r="AF108" s="191"/>
      <c r="AG108" s="191"/>
      <c r="AH108" s="191"/>
      <c r="AI108" s="191"/>
      <c r="AJ108" s="191"/>
      <c r="AK108" s="191"/>
      <c r="AL108" s="191"/>
      <c r="AM108" s="191"/>
      <c r="AN108" s="191"/>
      <c r="AO108" s="191"/>
      <c r="AP108" s="191"/>
      <c r="AQ108" s="191"/>
      <c r="AR108" s="191"/>
      <c r="AS108" s="191"/>
      <c r="AT108" s="191"/>
      <c r="AU108" s="191"/>
      <c r="AV108" s="191"/>
      <c r="AW108" s="191"/>
      <c r="AX108" s="191"/>
      <c r="AY108" s="191"/>
      <c r="AZ108" s="191"/>
      <c r="BA108" s="191"/>
      <c r="BB108" s="191"/>
      <c r="BC108" s="191"/>
      <c r="BD108" s="191"/>
      <c r="BE108" s="191"/>
      <c r="BF108" s="191"/>
      <c r="BG108" s="191"/>
      <c r="BH108" s="191"/>
      <c r="BI108" s="191"/>
      <c r="BJ108" s="191"/>
      <c r="BK108" s="191"/>
      <c r="BL108" s="191"/>
      <c r="BM108" s="191"/>
      <c r="BN108" s="191"/>
      <c r="BO108" s="191"/>
      <c r="BP108" s="191"/>
    </row>
    <row r="109" spans="11:68">
      <c r="K109" s="191"/>
      <c r="L109" s="191"/>
      <c r="M109" s="191"/>
      <c r="N109" s="191"/>
      <c r="O109" s="191"/>
      <c r="P109" s="191"/>
      <c r="Q109" s="191"/>
      <c r="R109" s="191"/>
      <c r="S109" s="191"/>
      <c r="T109" s="191"/>
      <c r="U109" s="191"/>
      <c r="V109" s="191"/>
      <c r="W109" s="191"/>
      <c r="X109" s="191"/>
      <c r="Y109" s="191"/>
      <c r="Z109" s="191"/>
      <c r="AA109" s="191"/>
      <c r="AB109" s="191"/>
      <c r="AC109" s="191"/>
      <c r="AD109" s="191"/>
      <c r="AE109" s="191"/>
      <c r="AF109" s="191"/>
      <c r="AG109" s="191"/>
      <c r="AH109" s="191"/>
      <c r="AI109" s="191"/>
      <c r="AJ109" s="191"/>
      <c r="AK109" s="191"/>
      <c r="AL109" s="191"/>
      <c r="AM109" s="191"/>
      <c r="AN109" s="191"/>
      <c r="AO109" s="191"/>
      <c r="AP109" s="191"/>
      <c r="AQ109" s="191"/>
      <c r="AR109" s="191"/>
      <c r="AS109" s="191"/>
      <c r="AT109" s="191"/>
      <c r="AU109" s="191"/>
      <c r="AV109" s="191"/>
      <c r="AW109" s="191"/>
      <c r="AX109" s="191"/>
      <c r="AY109" s="191"/>
      <c r="AZ109" s="191"/>
      <c r="BA109" s="191"/>
      <c r="BB109" s="191"/>
      <c r="BC109" s="191"/>
      <c r="BD109" s="191"/>
      <c r="BE109" s="191"/>
      <c r="BF109" s="191"/>
      <c r="BG109" s="191"/>
      <c r="BH109" s="191"/>
      <c r="BI109" s="191"/>
      <c r="BJ109" s="191"/>
      <c r="BK109" s="191"/>
      <c r="BL109" s="191"/>
      <c r="BM109" s="191"/>
      <c r="BN109" s="191"/>
      <c r="BO109" s="191"/>
      <c r="BP109" s="191"/>
    </row>
    <row r="110" spans="11:68">
      <c r="K110" s="191"/>
      <c r="L110" s="191"/>
      <c r="M110" s="191"/>
      <c r="N110" s="191"/>
      <c r="O110" s="191"/>
      <c r="P110" s="191"/>
      <c r="Q110" s="191"/>
      <c r="R110" s="191"/>
      <c r="S110" s="191"/>
      <c r="T110" s="191"/>
      <c r="U110" s="191"/>
      <c r="V110" s="191"/>
      <c r="W110" s="191"/>
      <c r="X110" s="191"/>
      <c r="Y110" s="191"/>
      <c r="Z110" s="191"/>
      <c r="AA110" s="191"/>
      <c r="AB110" s="191"/>
      <c r="AC110" s="191"/>
      <c r="AD110" s="191"/>
      <c r="AE110" s="191"/>
      <c r="AF110" s="191"/>
      <c r="AG110" s="191"/>
      <c r="AH110" s="191"/>
      <c r="AI110" s="191"/>
      <c r="AJ110" s="191"/>
      <c r="AK110" s="191"/>
      <c r="AL110" s="191"/>
      <c r="AM110" s="191"/>
      <c r="AN110" s="191"/>
      <c r="AO110" s="191"/>
      <c r="AP110" s="191"/>
      <c r="AQ110" s="191"/>
      <c r="AR110" s="191"/>
      <c r="AS110" s="191"/>
      <c r="AT110" s="191"/>
      <c r="AU110" s="191"/>
      <c r="AV110" s="191"/>
      <c r="AW110" s="191"/>
      <c r="AX110" s="191"/>
      <c r="AY110" s="191"/>
      <c r="AZ110" s="191"/>
      <c r="BA110" s="191"/>
      <c r="BB110" s="191"/>
      <c r="BC110" s="191"/>
      <c r="BD110" s="191"/>
      <c r="BE110" s="191"/>
      <c r="BF110" s="191"/>
      <c r="BG110" s="191"/>
      <c r="BH110" s="191"/>
      <c r="BI110" s="191"/>
      <c r="BJ110" s="191"/>
      <c r="BK110" s="191"/>
      <c r="BL110" s="191"/>
      <c r="BM110" s="191"/>
      <c r="BN110" s="191"/>
      <c r="BO110" s="191"/>
      <c r="BP110" s="191"/>
    </row>
    <row r="111" spans="11:68">
      <c r="K111" s="191"/>
      <c r="L111" s="191"/>
      <c r="M111" s="191"/>
      <c r="N111" s="191"/>
      <c r="O111" s="191"/>
      <c r="P111" s="191"/>
      <c r="Q111" s="191"/>
      <c r="R111" s="191"/>
      <c r="S111" s="191"/>
      <c r="T111" s="191"/>
      <c r="U111" s="191"/>
      <c r="V111" s="191"/>
      <c r="W111" s="191"/>
      <c r="X111" s="191"/>
      <c r="Y111" s="191"/>
      <c r="Z111" s="191"/>
      <c r="AA111" s="191"/>
      <c r="AB111" s="191"/>
      <c r="AC111" s="191"/>
      <c r="AD111" s="191"/>
      <c r="AE111" s="191"/>
      <c r="AF111" s="191"/>
      <c r="AG111" s="191"/>
      <c r="AH111" s="191"/>
      <c r="AI111" s="191"/>
      <c r="AJ111" s="191"/>
      <c r="AK111" s="191"/>
      <c r="AL111" s="191"/>
      <c r="AM111" s="191"/>
      <c r="AN111" s="191"/>
      <c r="AO111" s="191"/>
      <c r="AP111" s="191"/>
      <c r="AQ111" s="191"/>
      <c r="AR111" s="191"/>
      <c r="AS111" s="191"/>
      <c r="AT111" s="191"/>
      <c r="AU111" s="191"/>
      <c r="AV111" s="191"/>
      <c r="AW111" s="191"/>
      <c r="AX111" s="191"/>
      <c r="AY111" s="191"/>
      <c r="AZ111" s="191"/>
      <c r="BA111" s="191"/>
      <c r="BB111" s="191"/>
      <c r="BC111" s="191"/>
      <c r="BD111" s="191"/>
      <c r="BE111" s="191"/>
      <c r="BF111" s="191"/>
      <c r="BG111" s="191"/>
      <c r="BH111" s="191"/>
      <c r="BI111" s="191"/>
      <c r="BJ111" s="191"/>
      <c r="BK111" s="191"/>
      <c r="BL111" s="191"/>
      <c r="BM111" s="191"/>
      <c r="BN111" s="191"/>
      <c r="BO111" s="191"/>
      <c r="BP111" s="191"/>
    </row>
    <row r="112" spans="11:68">
      <c r="K112" s="191"/>
      <c r="L112" s="191"/>
      <c r="M112" s="191"/>
      <c r="N112" s="191"/>
      <c r="O112" s="191"/>
      <c r="P112" s="191"/>
      <c r="Q112" s="191"/>
      <c r="R112" s="191"/>
      <c r="S112" s="191"/>
      <c r="T112" s="191"/>
      <c r="U112" s="191"/>
      <c r="V112" s="191"/>
      <c r="W112" s="191"/>
      <c r="X112" s="191"/>
      <c r="Y112" s="191"/>
      <c r="Z112" s="191"/>
      <c r="AA112" s="191"/>
      <c r="AB112" s="191"/>
      <c r="AC112" s="191"/>
      <c r="AD112" s="191"/>
      <c r="AE112" s="191"/>
      <c r="AF112" s="191"/>
      <c r="AG112" s="191"/>
      <c r="AH112" s="191"/>
      <c r="AI112" s="191"/>
      <c r="AJ112" s="191"/>
      <c r="AK112" s="191"/>
      <c r="AL112" s="191"/>
      <c r="AM112" s="191"/>
      <c r="AN112" s="191"/>
      <c r="AO112" s="191"/>
      <c r="AP112" s="191"/>
      <c r="AQ112" s="191"/>
      <c r="AR112" s="191"/>
      <c r="AS112" s="191"/>
      <c r="AT112" s="191"/>
      <c r="AU112" s="191"/>
      <c r="AV112" s="191"/>
      <c r="AW112" s="191"/>
      <c r="AX112" s="191"/>
      <c r="AY112" s="191"/>
      <c r="AZ112" s="191"/>
      <c r="BA112" s="191"/>
      <c r="BB112" s="191"/>
      <c r="BC112" s="191"/>
      <c r="BD112" s="191"/>
      <c r="BE112" s="191"/>
      <c r="BF112" s="191"/>
      <c r="BG112" s="191"/>
      <c r="BH112" s="191"/>
      <c r="BI112" s="191"/>
      <c r="BJ112" s="191"/>
      <c r="BK112" s="191"/>
      <c r="BL112" s="191"/>
      <c r="BM112" s="191"/>
      <c r="BN112" s="191"/>
      <c r="BO112" s="191"/>
      <c r="BP112" s="191"/>
    </row>
    <row r="113" spans="11:68">
      <c r="K113" s="191"/>
      <c r="L113" s="191"/>
      <c r="M113" s="191"/>
      <c r="N113" s="191"/>
      <c r="O113" s="191"/>
      <c r="P113" s="191"/>
      <c r="Q113" s="191"/>
      <c r="R113" s="191"/>
      <c r="S113" s="191"/>
      <c r="T113" s="191"/>
      <c r="U113" s="191"/>
      <c r="V113" s="191"/>
      <c r="W113" s="191"/>
      <c r="X113" s="191"/>
      <c r="Y113" s="191"/>
      <c r="Z113" s="191"/>
      <c r="AA113" s="191"/>
      <c r="AB113" s="191"/>
      <c r="AC113" s="191"/>
      <c r="AD113" s="191"/>
      <c r="AE113" s="191"/>
      <c r="AF113" s="191"/>
      <c r="AG113" s="191"/>
      <c r="AH113" s="191"/>
      <c r="AI113" s="191"/>
      <c r="AJ113" s="191"/>
      <c r="AK113" s="191"/>
      <c r="AL113" s="191"/>
      <c r="AM113" s="191"/>
      <c r="AN113" s="191"/>
      <c r="AO113" s="191"/>
      <c r="AP113" s="191"/>
      <c r="AQ113" s="191"/>
      <c r="AR113" s="191"/>
      <c r="AS113" s="191"/>
      <c r="AT113" s="191"/>
      <c r="AU113" s="191"/>
      <c r="AV113" s="191"/>
      <c r="AW113" s="191"/>
      <c r="AX113" s="191"/>
      <c r="AY113" s="191"/>
      <c r="AZ113" s="191"/>
      <c r="BA113" s="191"/>
      <c r="BB113" s="191"/>
      <c r="BC113" s="191"/>
      <c r="BD113" s="191"/>
      <c r="BE113" s="191"/>
      <c r="BF113" s="191"/>
      <c r="BG113" s="191"/>
      <c r="BH113" s="191"/>
      <c r="BI113" s="191"/>
      <c r="BJ113" s="191"/>
      <c r="BK113" s="191"/>
      <c r="BL113" s="191"/>
      <c r="BM113" s="191"/>
      <c r="BN113" s="191"/>
      <c r="BO113" s="191"/>
      <c r="BP113" s="191"/>
    </row>
    <row r="114" spans="11:68">
      <c r="K114" s="191"/>
      <c r="L114" s="191"/>
      <c r="M114" s="191"/>
      <c r="N114" s="191"/>
      <c r="O114" s="191"/>
      <c r="P114" s="191"/>
      <c r="Q114" s="191"/>
      <c r="R114" s="191"/>
      <c r="S114" s="191"/>
      <c r="T114" s="191"/>
      <c r="U114" s="191"/>
      <c r="V114" s="191"/>
      <c r="W114" s="191"/>
      <c r="X114" s="191"/>
      <c r="Y114" s="191"/>
      <c r="Z114" s="191"/>
      <c r="AA114" s="191"/>
      <c r="AB114" s="191"/>
      <c r="AC114" s="191"/>
      <c r="AD114" s="191"/>
      <c r="AE114" s="191"/>
      <c r="AF114" s="191"/>
      <c r="AG114" s="191"/>
      <c r="AH114" s="191"/>
      <c r="AI114" s="191"/>
      <c r="AJ114" s="191"/>
      <c r="AK114" s="191"/>
      <c r="AL114" s="191"/>
      <c r="AM114" s="191"/>
      <c r="AN114" s="191"/>
      <c r="AO114" s="191"/>
      <c r="AP114" s="191"/>
      <c r="AQ114" s="191"/>
      <c r="AR114" s="191"/>
      <c r="AS114" s="191"/>
      <c r="AT114" s="191"/>
      <c r="AU114" s="191"/>
      <c r="AV114" s="191"/>
      <c r="AW114" s="191"/>
      <c r="AX114" s="191"/>
      <c r="AY114" s="191"/>
      <c r="AZ114" s="191"/>
      <c r="BA114" s="191"/>
      <c r="BB114" s="191"/>
      <c r="BC114" s="191"/>
      <c r="BD114" s="191"/>
      <c r="BE114" s="191"/>
      <c r="BF114" s="191"/>
      <c r="BG114" s="191"/>
      <c r="BH114" s="191"/>
      <c r="BI114" s="191"/>
      <c r="BJ114" s="191"/>
      <c r="BK114" s="191"/>
      <c r="BL114" s="191"/>
      <c r="BM114" s="191"/>
      <c r="BN114" s="191"/>
      <c r="BO114" s="191"/>
      <c r="BP114" s="191"/>
    </row>
    <row r="115" spans="11:68">
      <c r="K115" s="191"/>
      <c r="L115" s="191"/>
      <c r="M115" s="191"/>
      <c r="N115" s="191"/>
      <c r="O115" s="191"/>
      <c r="P115" s="191"/>
      <c r="Q115" s="191"/>
      <c r="R115" s="191"/>
      <c r="S115" s="191"/>
      <c r="T115" s="191"/>
      <c r="U115" s="191"/>
      <c r="V115" s="191"/>
      <c r="W115" s="191"/>
      <c r="X115" s="191"/>
      <c r="Y115" s="191"/>
      <c r="Z115" s="191"/>
      <c r="AA115" s="191"/>
      <c r="AB115" s="191"/>
      <c r="AC115" s="191"/>
      <c r="AD115" s="191"/>
      <c r="AE115" s="191"/>
      <c r="AF115" s="191"/>
      <c r="AG115" s="191"/>
      <c r="AH115" s="191"/>
      <c r="AI115" s="191"/>
      <c r="AJ115" s="191"/>
      <c r="AK115" s="191"/>
      <c r="AL115" s="191"/>
      <c r="AM115" s="191"/>
      <c r="AN115" s="191"/>
      <c r="AO115" s="191"/>
      <c r="AP115" s="191"/>
      <c r="AQ115" s="191"/>
      <c r="AR115" s="191"/>
      <c r="AS115" s="191"/>
      <c r="AT115" s="191"/>
      <c r="AU115" s="191"/>
      <c r="AV115" s="191"/>
      <c r="AW115" s="191"/>
      <c r="AX115" s="191"/>
      <c r="AY115" s="191"/>
      <c r="AZ115" s="191"/>
      <c r="BA115" s="191"/>
      <c r="BB115" s="191"/>
      <c r="BC115" s="191"/>
      <c r="BD115" s="191"/>
      <c r="BE115" s="191"/>
      <c r="BF115" s="191"/>
      <c r="BG115" s="191"/>
      <c r="BH115" s="191"/>
      <c r="BI115" s="191"/>
      <c r="BJ115" s="191"/>
      <c r="BK115" s="191"/>
      <c r="BL115" s="191"/>
      <c r="BM115" s="191"/>
      <c r="BN115" s="191"/>
      <c r="BO115" s="191"/>
      <c r="BP115" s="191"/>
    </row>
    <row r="116" spans="11:68">
      <c r="K116" s="191"/>
      <c r="L116" s="191"/>
      <c r="M116" s="191"/>
      <c r="N116" s="191"/>
      <c r="O116" s="191"/>
      <c r="P116" s="191"/>
      <c r="Q116" s="191"/>
      <c r="R116" s="191"/>
      <c r="S116" s="191"/>
      <c r="T116" s="191"/>
      <c r="U116" s="191"/>
      <c r="V116" s="191"/>
      <c r="W116" s="191"/>
      <c r="X116" s="191"/>
      <c r="Y116" s="191"/>
      <c r="Z116" s="191"/>
      <c r="AA116" s="191"/>
      <c r="AB116" s="191"/>
      <c r="AC116" s="191"/>
      <c r="AD116" s="191"/>
      <c r="AE116" s="191"/>
      <c r="AF116" s="191"/>
      <c r="AG116" s="191"/>
      <c r="AH116" s="191"/>
      <c r="AI116" s="191"/>
      <c r="AJ116" s="191"/>
      <c r="AK116" s="191"/>
      <c r="AL116" s="191"/>
      <c r="AM116" s="191"/>
      <c r="AN116" s="191"/>
      <c r="AO116" s="191"/>
      <c r="AP116" s="191"/>
      <c r="AQ116" s="191"/>
      <c r="AR116" s="191"/>
      <c r="AS116" s="191"/>
      <c r="AT116" s="191"/>
      <c r="AU116" s="191"/>
      <c r="AV116" s="191"/>
      <c r="AW116" s="191"/>
      <c r="AX116" s="191"/>
      <c r="AY116" s="191"/>
      <c r="AZ116" s="191"/>
      <c r="BA116" s="191"/>
      <c r="BB116" s="191"/>
      <c r="BC116" s="191"/>
      <c r="BD116" s="191"/>
      <c r="BE116" s="191"/>
      <c r="BF116" s="191"/>
      <c r="BG116" s="191"/>
      <c r="BH116" s="191"/>
      <c r="BI116" s="191"/>
      <c r="BJ116" s="191"/>
      <c r="BK116" s="191"/>
      <c r="BL116" s="191"/>
      <c r="BM116" s="191"/>
      <c r="BN116" s="191"/>
      <c r="BO116" s="191"/>
      <c r="BP116" s="191"/>
    </row>
    <row r="117" spans="11:68">
      <c r="K117" s="191"/>
      <c r="L117" s="191"/>
      <c r="M117" s="191"/>
      <c r="N117" s="191"/>
      <c r="O117" s="191"/>
      <c r="P117" s="191"/>
      <c r="Q117" s="191"/>
      <c r="R117" s="191"/>
      <c r="S117" s="191"/>
      <c r="T117" s="191"/>
      <c r="U117" s="191"/>
      <c r="V117" s="191"/>
      <c r="W117" s="191"/>
      <c r="X117" s="191"/>
      <c r="Y117" s="191"/>
      <c r="Z117" s="191"/>
      <c r="AA117" s="191"/>
      <c r="AB117" s="191"/>
      <c r="AC117" s="191"/>
      <c r="AD117" s="191"/>
      <c r="AE117" s="191"/>
      <c r="AF117" s="191"/>
      <c r="AG117" s="191"/>
      <c r="AH117" s="191"/>
      <c r="AI117" s="191"/>
      <c r="AJ117" s="191"/>
      <c r="AK117" s="191"/>
      <c r="AL117" s="191"/>
      <c r="AM117" s="191"/>
      <c r="AN117" s="191"/>
      <c r="AO117" s="191"/>
      <c r="AP117" s="191"/>
      <c r="AQ117" s="191"/>
      <c r="AR117" s="191"/>
      <c r="AS117" s="191"/>
      <c r="AT117" s="191"/>
      <c r="AU117" s="191"/>
      <c r="AV117" s="191"/>
      <c r="AW117" s="191"/>
      <c r="AX117" s="191"/>
      <c r="AY117" s="191"/>
      <c r="AZ117" s="191"/>
      <c r="BA117" s="191"/>
      <c r="BB117" s="191"/>
      <c r="BC117" s="191"/>
      <c r="BD117" s="191"/>
      <c r="BE117" s="191"/>
      <c r="BF117" s="191"/>
      <c r="BG117" s="191"/>
      <c r="BH117" s="191"/>
      <c r="BI117" s="191"/>
      <c r="BJ117" s="191"/>
      <c r="BK117" s="191"/>
      <c r="BL117" s="191"/>
      <c r="BM117" s="191"/>
      <c r="BN117" s="191"/>
      <c r="BO117" s="191"/>
      <c r="BP117" s="191"/>
    </row>
    <row r="118" spans="11:68">
      <c r="K118" s="191"/>
      <c r="L118" s="191"/>
      <c r="M118" s="191"/>
      <c r="N118" s="191"/>
      <c r="O118" s="191"/>
      <c r="P118" s="191"/>
      <c r="Q118" s="191"/>
      <c r="R118" s="191"/>
      <c r="S118" s="191"/>
      <c r="T118" s="191"/>
      <c r="U118" s="191"/>
      <c r="V118" s="191"/>
      <c r="W118" s="191"/>
      <c r="X118" s="191"/>
      <c r="Y118" s="191"/>
      <c r="Z118" s="191"/>
      <c r="AA118" s="191"/>
      <c r="AB118" s="191"/>
      <c r="AC118" s="191"/>
      <c r="AD118" s="191"/>
      <c r="AE118" s="191"/>
      <c r="AF118" s="191"/>
      <c r="AG118" s="191"/>
      <c r="AH118" s="191"/>
      <c r="AI118" s="191"/>
      <c r="AJ118" s="191"/>
      <c r="AK118" s="191"/>
      <c r="AL118" s="191"/>
      <c r="AM118" s="191"/>
      <c r="AN118" s="191"/>
      <c r="AO118" s="191"/>
      <c r="AP118" s="191"/>
      <c r="AQ118" s="191"/>
      <c r="AR118" s="191"/>
      <c r="AS118" s="191"/>
      <c r="AT118" s="191"/>
      <c r="AU118" s="191"/>
      <c r="AV118" s="191"/>
      <c r="AW118" s="191"/>
      <c r="AX118" s="191"/>
      <c r="AY118" s="191"/>
      <c r="AZ118" s="191"/>
      <c r="BA118" s="191"/>
      <c r="BB118" s="191"/>
      <c r="BC118" s="191"/>
      <c r="BD118" s="191"/>
      <c r="BE118" s="191"/>
      <c r="BF118" s="191"/>
      <c r="BG118" s="191"/>
      <c r="BH118" s="191"/>
      <c r="BI118" s="191"/>
      <c r="BJ118" s="191"/>
      <c r="BK118" s="191"/>
      <c r="BL118" s="191"/>
      <c r="BM118" s="191"/>
      <c r="BN118" s="191"/>
      <c r="BO118" s="191"/>
      <c r="BP118" s="191"/>
    </row>
    <row r="119" spans="11:68">
      <c r="K119" s="191"/>
      <c r="L119" s="191"/>
      <c r="M119" s="191"/>
      <c r="N119" s="191"/>
      <c r="O119" s="191"/>
      <c r="P119" s="191"/>
      <c r="Q119" s="191"/>
      <c r="R119" s="191"/>
      <c r="S119" s="191"/>
      <c r="T119" s="191"/>
      <c r="U119" s="191"/>
      <c r="V119" s="191"/>
      <c r="W119" s="191"/>
      <c r="X119" s="191"/>
      <c r="Y119" s="191"/>
      <c r="Z119" s="191"/>
      <c r="AA119" s="191"/>
      <c r="AB119" s="191"/>
      <c r="AC119" s="191"/>
      <c r="AD119" s="191"/>
      <c r="AE119" s="191"/>
      <c r="AF119" s="191"/>
      <c r="AG119" s="191"/>
      <c r="AH119" s="191"/>
      <c r="AI119" s="191"/>
      <c r="AJ119" s="191"/>
      <c r="AK119" s="191"/>
      <c r="AL119" s="191"/>
      <c r="AM119" s="191"/>
      <c r="AN119" s="191"/>
      <c r="AO119" s="191"/>
      <c r="AP119" s="191"/>
      <c r="AQ119" s="191"/>
      <c r="AR119" s="191"/>
      <c r="AS119" s="191"/>
      <c r="AT119" s="191"/>
      <c r="AU119" s="191"/>
      <c r="AV119" s="191"/>
      <c r="AW119" s="191"/>
      <c r="AX119" s="191"/>
      <c r="AY119" s="191"/>
      <c r="AZ119" s="191"/>
      <c r="BA119" s="191"/>
      <c r="BB119" s="191"/>
      <c r="BC119" s="191"/>
      <c r="BD119" s="191"/>
      <c r="BE119" s="191"/>
      <c r="BF119" s="191"/>
      <c r="BG119" s="191"/>
      <c r="BH119" s="191"/>
      <c r="BI119" s="191"/>
      <c r="BJ119" s="191"/>
      <c r="BK119" s="191"/>
      <c r="BL119" s="191"/>
      <c r="BM119" s="191"/>
      <c r="BN119" s="191"/>
      <c r="BO119" s="191"/>
      <c r="BP119" s="191"/>
    </row>
    <row r="120" spans="11:68"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1"/>
      <c r="V120" s="191"/>
      <c r="W120" s="191"/>
      <c r="X120" s="191"/>
      <c r="Y120" s="191"/>
      <c r="Z120" s="191"/>
      <c r="AA120" s="191"/>
      <c r="AB120" s="191"/>
      <c r="AC120" s="191"/>
      <c r="AD120" s="191"/>
      <c r="AE120" s="191"/>
      <c r="AF120" s="191"/>
      <c r="AG120" s="191"/>
      <c r="AH120" s="191"/>
      <c r="AI120" s="191"/>
      <c r="AJ120" s="191"/>
      <c r="AK120" s="191"/>
      <c r="AL120" s="191"/>
      <c r="AM120" s="191"/>
      <c r="AN120" s="191"/>
      <c r="AO120" s="191"/>
      <c r="AP120" s="191"/>
      <c r="AQ120" s="191"/>
      <c r="AR120" s="191"/>
      <c r="AS120" s="191"/>
      <c r="AT120" s="191"/>
      <c r="AU120" s="191"/>
      <c r="AV120" s="191"/>
      <c r="AW120" s="191"/>
      <c r="AX120" s="191"/>
      <c r="AY120" s="191"/>
      <c r="AZ120" s="191"/>
      <c r="BA120" s="191"/>
      <c r="BB120" s="191"/>
      <c r="BC120" s="191"/>
      <c r="BD120" s="191"/>
      <c r="BE120" s="191"/>
      <c r="BF120" s="191"/>
      <c r="BG120" s="191"/>
      <c r="BH120" s="191"/>
      <c r="BI120" s="191"/>
      <c r="BJ120" s="191"/>
      <c r="BK120" s="191"/>
      <c r="BL120" s="191"/>
      <c r="BM120" s="191"/>
      <c r="BN120" s="191"/>
      <c r="BO120" s="191"/>
      <c r="BP120" s="191"/>
    </row>
    <row r="121" spans="11:68">
      <c r="K121" s="191"/>
      <c r="L121" s="191"/>
      <c r="M121" s="191"/>
      <c r="N121" s="191"/>
      <c r="O121" s="191"/>
      <c r="P121" s="191"/>
      <c r="Q121" s="191"/>
      <c r="R121" s="191"/>
      <c r="S121" s="191"/>
      <c r="T121" s="191"/>
      <c r="U121" s="191"/>
      <c r="V121" s="191"/>
      <c r="W121" s="191"/>
      <c r="X121" s="191"/>
      <c r="Y121" s="191"/>
      <c r="Z121" s="191"/>
      <c r="AA121" s="191"/>
      <c r="AB121" s="191"/>
      <c r="AC121" s="191"/>
      <c r="AD121" s="191"/>
      <c r="AE121" s="191"/>
      <c r="AF121" s="191"/>
      <c r="AG121" s="191"/>
      <c r="AH121" s="191"/>
      <c r="AI121" s="191"/>
      <c r="AJ121" s="191"/>
      <c r="AK121" s="191"/>
      <c r="AL121" s="191"/>
      <c r="AM121" s="191"/>
      <c r="AN121" s="191"/>
      <c r="AO121" s="191"/>
      <c r="AP121" s="191"/>
      <c r="AQ121" s="191"/>
      <c r="AR121" s="191"/>
      <c r="AS121" s="191"/>
      <c r="AT121" s="191"/>
      <c r="AU121" s="191"/>
      <c r="AV121" s="191"/>
      <c r="AW121" s="191"/>
      <c r="AX121" s="191"/>
      <c r="AY121" s="191"/>
      <c r="AZ121" s="191"/>
      <c r="BA121" s="191"/>
      <c r="BB121" s="191"/>
      <c r="BC121" s="191"/>
      <c r="BD121" s="191"/>
      <c r="BE121" s="191"/>
      <c r="BF121" s="191"/>
      <c r="BG121" s="191"/>
      <c r="BH121" s="191"/>
      <c r="BI121" s="191"/>
      <c r="BJ121" s="191"/>
      <c r="BK121" s="191"/>
      <c r="BL121" s="191"/>
      <c r="BM121" s="191"/>
      <c r="BN121" s="191"/>
      <c r="BO121" s="191"/>
      <c r="BP121" s="191"/>
    </row>
    <row r="122" spans="11:68">
      <c r="K122" s="191"/>
      <c r="L122" s="191"/>
      <c r="M122" s="191"/>
      <c r="N122" s="191"/>
      <c r="O122" s="191"/>
      <c r="P122" s="191"/>
      <c r="Q122" s="191"/>
      <c r="R122" s="191"/>
      <c r="S122" s="191"/>
      <c r="T122" s="191"/>
      <c r="U122" s="191"/>
      <c r="V122" s="191"/>
      <c r="W122" s="191"/>
      <c r="X122" s="191"/>
      <c r="Y122" s="191"/>
      <c r="Z122" s="191"/>
      <c r="AA122" s="191"/>
      <c r="AB122" s="191"/>
      <c r="AC122" s="191"/>
      <c r="AD122" s="191"/>
      <c r="AE122" s="191"/>
      <c r="AF122" s="191"/>
      <c r="AG122" s="191"/>
      <c r="AH122" s="191"/>
      <c r="AI122" s="191"/>
      <c r="AJ122" s="191"/>
      <c r="AK122" s="191"/>
      <c r="AL122" s="191"/>
      <c r="AM122" s="191"/>
      <c r="AN122" s="191"/>
      <c r="AO122" s="191"/>
      <c r="AP122" s="191"/>
      <c r="AQ122" s="191"/>
      <c r="AR122" s="191"/>
      <c r="AS122" s="191"/>
      <c r="AT122" s="191"/>
      <c r="AU122" s="191"/>
      <c r="AV122" s="191"/>
      <c r="AW122" s="191"/>
      <c r="AX122" s="191"/>
      <c r="AY122" s="191"/>
      <c r="AZ122" s="191"/>
      <c r="BA122" s="191"/>
      <c r="BB122" s="191"/>
      <c r="BC122" s="191"/>
      <c r="BD122" s="191"/>
      <c r="BE122" s="191"/>
      <c r="BF122" s="191"/>
      <c r="BG122" s="191"/>
      <c r="BH122" s="191"/>
      <c r="BI122" s="191"/>
      <c r="BJ122" s="191"/>
      <c r="BK122" s="191"/>
      <c r="BL122" s="191"/>
      <c r="BM122" s="191"/>
      <c r="BN122" s="191"/>
      <c r="BO122" s="191"/>
      <c r="BP122" s="191"/>
    </row>
    <row r="123" spans="11:68">
      <c r="K123" s="191"/>
      <c r="L123" s="191"/>
      <c r="M123" s="191"/>
      <c r="N123" s="191"/>
      <c r="O123" s="191"/>
      <c r="P123" s="191"/>
      <c r="Q123" s="191"/>
      <c r="R123" s="191"/>
      <c r="S123" s="191"/>
      <c r="T123" s="191"/>
      <c r="U123" s="191"/>
      <c r="V123" s="191"/>
      <c r="W123" s="191"/>
      <c r="X123" s="191"/>
      <c r="Y123" s="191"/>
      <c r="Z123" s="191"/>
      <c r="AA123" s="191"/>
      <c r="AB123" s="191"/>
      <c r="AC123" s="191"/>
      <c r="AD123" s="191"/>
      <c r="AE123" s="191"/>
      <c r="AF123" s="191"/>
      <c r="AG123" s="191"/>
      <c r="AH123" s="191"/>
      <c r="AI123" s="191"/>
      <c r="AJ123" s="191"/>
      <c r="AK123" s="191"/>
      <c r="AL123" s="191"/>
      <c r="AM123" s="191"/>
      <c r="AN123" s="191"/>
      <c r="AO123" s="191"/>
      <c r="AP123" s="191"/>
      <c r="AQ123" s="191"/>
      <c r="AR123" s="191"/>
      <c r="AS123" s="191"/>
      <c r="AT123" s="191"/>
      <c r="AU123" s="191"/>
      <c r="AV123" s="191"/>
      <c r="AW123" s="191"/>
      <c r="AX123" s="191"/>
      <c r="AY123" s="191"/>
      <c r="AZ123" s="191"/>
      <c r="BA123" s="191"/>
      <c r="BB123" s="191"/>
      <c r="BC123" s="191"/>
      <c r="BD123" s="191"/>
      <c r="BE123" s="191"/>
      <c r="BF123" s="191"/>
      <c r="BG123" s="191"/>
      <c r="BH123" s="191"/>
      <c r="BI123" s="191"/>
      <c r="BJ123" s="191"/>
      <c r="BK123" s="191"/>
      <c r="BL123" s="191"/>
      <c r="BM123" s="191"/>
      <c r="BN123" s="191"/>
      <c r="BO123" s="191"/>
      <c r="BP123" s="191"/>
    </row>
    <row r="124" spans="11:68">
      <c r="K124" s="193"/>
      <c r="L124" s="191"/>
      <c r="M124" s="191"/>
      <c r="N124" s="191"/>
      <c r="O124" s="191"/>
      <c r="P124" s="191"/>
      <c r="Q124" s="191"/>
      <c r="R124" s="191"/>
      <c r="S124" s="191"/>
      <c r="T124" s="191"/>
      <c r="U124" s="191"/>
      <c r="V124" s="191"/>
      <c r="W124" s="191"/>
      <c r="X124" s="191"/>
      <c r="Y124" s="191"/>
      <c r="Z124" s="191"/>
      <c r="AA124" s="191"/>
      <c r="AB124" s="191"/>
      <c r="AC124" s="191"/>
      <c r="AD124" s="191"/>
      <c r="AE124" s="191"/>
      <c r="AF124" s="191"/>
      <c r="AG124" s="191"/>
      <c r="AH124" s="191"/>
      <c r="AI124" s="191"/>
      <c r="AJ124" s="191"/>
      <c r="AK124" s="191"/>
      <c r="AL124" s="191"/>
      <c r="AM124" s="191"/>
      <c r="AN124" s="191"/>
      <c r="AO124" s="191"/>
      <c r="AP124" s="191"/>
      <c r="AQ124" s="191"/>
      <c r="AR124" s="191"/>
      <c r="AS124" s="191"/>
      <c r="AT124" s="191"/>
      <c r="AU124" s="191"/>
      <c r="AV124" s="191"/>
      <c r="AW124" s="191"/>
      <c r="AX124" s="191"/>
      <c r="AY124" s="191"/>
      <c r="AZ124" s="191"/>
      <c r="BA124" s="191"/>
      <c r="BB124" s="191"/>
      <c r="BC124" s="191"/>
      <c r="BD124" s="191"/>
      <c r="BE124" s="191"/>
      <c r="BF124" s="191"/>
      <c r="BG124" s="191"/>
      <c r="BH124" s="191"/>
      <c r="BI124" s="191"/>
      <c r="BJ124" s="191"/>
      <c r="BK124" s="191"/>
      <c r="BL124" s="191"/>
      <c r="BM124" s="191"/>
      <c r="BN124" s="191"/>
      <c r="BO124" s="191"/>
      <c r="BP124" s="191"/>
    </row>
    <row r="125" spans="11:68">
      <c r="K125" s="193"/>
      <c r="L125" s="191"/>
      <c r="M125" s="191"/>
      <c r="N125" s="191"/>
      <c r="O125" s="191"/>
      <c r="P125" s="191"/>
      <c r="Q125" s="191"/>
      <c r="R125" s="191"/>
      <c r="S125" s="191"/>
      <c r="T125" s="191"/>
      <c r="U125" s="191"/>
      <c r="V125" s="191"/>
      <c r="W125" s="191"/>
      <c r="X125" s="191"/>
      <c r="Y125" s="191"/>
      <c r="Z125" s="191"/>
      <c r="AA125" s="191"/>
      <c r="AB125" s="191"/>
      <c r="AC125" s="191"/>
      <c r="AD125" s="191"/>
      <c r="AE125" s="191"/>
      <c r="AF125" s="191"/>
      <c r="AG125" s="191"/>
      <c r="AH125" s="191"/>
      <c r="AI125" s="191"/>
      <c r="AJ125" s="191"/>
      <c r="AK125" s="191"/>
      <c r="AL125" s="191"/>
      <c r="AM125" s="191"/>
      <c r="AN125" s="191"/>
      <c r="AO125" s="191"/>
      <c r="AP125" s="191"/>
      <c r="AQ125" s="191"/>
      <c r="AR125" s="191"/>
      <c r="AS125" s="191"/>
      <c r="AT125" s="191"/>
      <c r="AU125" s="191"/>
      <c r="AV125" s="191"/>
      <c r="AW125" s="191"/>
      <c r="AX125" s="191"/>
      <c r="AY125" s="191"/>
      <c r="AZ125" s="191"/>
      <c r="BA125" s="191"/>
      <c r="BB125" s="191"/>
      <c r="BC125" s="191"/>
      <c r="BD125" s="191"/>
      <c r="BE125" s="191"/>
      <c r="BF125" s="191"/>
      <c r="BG125" s="191"/>
      <c r="BH125" s="191"/>
      <c r="BI125" s="191"/>
      <c r="BJ125" s="191"/>
      <c r="BK125" s="191"/>
      <c r="BL125" s="191"/>
      <c r="BM125" s="191"/>
      <c r="BN125" s="191"/>
      <c r="BO125" s="191"/>
      <c r="BP125" s="191"/>
    </row>
    <row r="126" spans="11:68">
      <c r="K126" s="194"/>
      <c r="L126" s="191"/>
      <c r="M126" s="191"/>
      <c r="N126" s="191"/>
      <c r="O126" s="191"/>
      <c r="P126" s="191"/>
      <c r="Q126" s="191"/>
      <c r="R126" s="191"/>
      <c r="S126" s="191"/>
      <c r="T126" s="191"/>
      <c r="U126" s="191"/>
      <c r="V126" s="191"/>
      <c r="W126" s="191"/>
      <c r="X126" s="191"/>
      <c r="Y126" s="191"/>
      <c r="Z126" s="191"/>
      <c r="AA126" s="191"/>
      <c r="AB126" s="191"/>
      <c r="AC126" s="191"/>
      <c r="AD126" s="191"/>
      <c r="AE126" s="191"/>
      <c r="AF126" s="191"/>
      <c r="AG126" s="191"/>
      <c r="AH126" s="191"/>
      <c r="AI126" s="191"/>
      <c r="AJ126" s="191"/>
      <c r="AK126" s="191"/>
      <c r="AL126" s="191"/>
      <c r="AM126" s="191"/>
      <c r="AN126" s="191"/>
      <c r="AO126" s="191"/>
      <c r="AP126" s="191"/>
      <c r="AQ126" s="191"/>
      <c r="AR126" s="191"/>
      <c r="AS126" s="191"/>
      <c r="AT126" s="191"/>
      <c r="AU126" s="191"/>
      <c r="AV126" s="191"/>
      <c r="AW126" s="191"/>
      <c r="AX126" s="191"/>
      <c r="AY126" s="191"/>
      <c r="AZ126" s="191"/>
      <c r="BA126" s="191"/>
      <c r="BB126" s="191"/>
      <c r="BC126" s="191"/>
      <c r="BD126" s="191"/>
      <c r="BE126" s="191"/>
      <c r="BF126" s="191"/>
      <c r="BG126" s="191"/>
      <c r="BH126" s="191"/>
      <c r="BI126" s="191"/>
      <c r="BJ126" s="191"/>
      <c r="BK126" s="191"/>
      <c r="BL126" s="191"/>
      <c r="BM126" s="191"/>
      <c r="BN126" s="191"/>
      <c r="BO126" s="191"/>
      <c r="BP126" s="191"/>
    </row>
    <row r="127" spans="11:68">
      <c r="K127" s="194"/>
      <c r="L127" s="191"/>
      <c r="M127" s="191"/>
      <c r="N127" s="191"/>
      <c r="O127" s="191"/>
      <c r="P127" s="191"/>
      <c r="Q127" s="191"/>
      <c r="R127" s="191"/>
      <c r="S127" s="191"/>
      <c r="T127" s="191"/>
      <c r="U127" s="191"/>
      <c r="V127" s="191"/>
      <c r="W127" s="191"/>
      <c r="X127" s="191"/>
      <c r="Y127" s="191"/>
      <c r="Z127" s="191"/>
      <c r="AA127" s="191"/>
      <c r="AB127" s="191"/>
      <c r="AC127" s="191"/>
      <c r="AD127" s="191"/>
      <c r="AE127" s="191"/>
      <c r="AF127" s="191"/>
      <c r="AG127" s="191"/>
      <c r="AH127" s="191"/>
      <c r="AI127" s="191"/>
      <c r="AJ127" s="191"/>
      <c r="AK127" s="191"/>
      <c r="AL127" s="191"/>
      <c r="AM127" s="191"/>
      <c r="AN127" s="191"/>
      <c r="AO127" s="191"/>
      <c r="AP127" s="191"/>
      <c r="AQ127" s="191"/>
      <c r="AR127" s="191"/>
      <c r="AS127" s="191"/>
      <c r="AT127" s="191"/>
      <c r="AU127" s="191"/>
      <c r="AV127" s="191"/>
      <c r="AW127" s="191"/>
      <c r="AX127" s="191"/>
      <c r="AY127" s="191"/>
      <c r="AZ127" s="191"/>
      <c r="BA127" s="191"/>
      <c r="BB127" s="191"/>
      <c r="BC127" s="191"/>
      <c r="BD127" s="191"/>
      <c r="BE127" s="191"/>
      <c r="BF127" s="191"/>
      <c r="BG127" s="191"/>
      <c r="BH127" s="191"/>
      <c r="BI127" s="191"/>
      <c r="BJ127" s="191"/>
      <c r="BK127" s="191"/>
      <c r="BL127" s="191"/>
      <c r="BM127" s="191"/>
      <c r="BN127" s="191"/>
      <c r="BO127" s="191"/>
      <c r="BP127" s="191"/>
    </row>
    <row r="128" spans="11:68">
      <c r="K128" s="194"/>
      <c r="L128" s="191"/>
      <c r="M128" s="191"/>
      <c r="N128" s="191"/>
      <c r="O128" s="191"/>
      <c r="P128" s="191"/>
      <c r="Q128" s="191"/>
      <c r="R128" s="191"/>
      <c r="S128" s="191"/>
      <c r="T128" s="191"/>
      <c r="U128" s="191"/>
      <c r="V128" s="191"/>
      <c r="W128" s="191"/>
      <c r="X128" s="191"/>
      <c r="Y128" s="191"/>
      <c r="Z128" s="191"/>
      <c r="AA128" s="191"/>
      <c r="AB128" s="191"/>
      <c r="AC128" s="191"/>
      <c r="AD128" s="191"/>
      <c r="AE128" s="191"/>
      <c r="AF128" s="191"/>
      <c r="AG128" s="191"/>
      <c r="AH128" s="191"/>
      <c r="AI128" s="191"/>
      <c r="AJ128" s="191"/>
      <c r="AK128" s="191"/>
      <c r="AL128" s="191"/>
      <c r="AM128" s="191"/>
      <c r="AN128" s="191"/>
      <c r="AO128" s="191"/>
      <c r="AP128" s="191"/>
      <c r="AQ128" s="191"/>
      <c r="AR128" s="191"/>
      <c r="AS128" s="191"/>
      <c r="AT128" s="191"/>
      <c r="AU128" s="191"/>
      <c r="AV128" s="191"/>
      <c r="AW128" s="191"/>
      <c r="AX128" s="191"/>
      <c r="AY128" s="191"/>
      <c r="AZ128" s="191"/>
      <c r="BA128" s="191"/>
      <c r="BB128" s="191"/>
      <c r="BC128" s="191"/>
      <c r="BD128" s="191"/>
      <c r="BE128" s="191"/>
      <c r="BF128" s="191"/>
      <c r="BG128" s="191"/>
      <c r="BH128" s="191"/>
      <c r="BI128" s="191"/>
      <c r="BJ128" s="191"/>
      <c r="BK128" s="191"/>
      <c r="BL128" s="191"/>
      <c r="BM128" s="191"/>
      <c r="BN128" s="191"/>
      <c r="BO128" s="191"/>
      <c r="BP128" s="191"/>
    </row>
    <row r="129" spans="11:68">
      <c r="K129" s="194"/>
      <c r="L129" s="191"/>
      <c r="M129" s="191"/>
      <c r="N129" s="191"/>
      <c r="O129" s="191"/>
      <c r="P129" s="191"/>
      <c r="Q129" s="191"/>
      <c r="R129" s="191"/>
      <c r="S129" s="191"/>
      <c r="T129" s="191"/>
      <c r="U129" s="191"/>
      <c r="V129" s="191"/>
      <c r="W129" s="191"/>
      <c r="X129" s="191"/>
      <c r="Y129" s="191"/>
      <c r="Z129" s="191"/>
      <c r="AA129" s="191"/>
      <c r="AB129" s="191"/>
      <c r="AC129" s="191"/>
      <c r="AD129" s="191"/>
      <c r="AE129" s="191"/>
      <c r="AF129" s="191"/>
      <c r="AG129" s="191"/>
      <c r="AH129" s="191"/>
      <c r="AI129" s="191"/>
      <c r="AJ129" s="191"/>
      <c r="AK129" s="191"/>
      <c r="AL129" s="191"/>
      <c r="AM129" s="191"/>
      <c r="AN129" s="191"/>
      <c r="AO129" s="191"/>
      <c r="AP129" s="191"/>
      <c r="AQ129" s="191"/>
      <c r="AR129" s="191"/>
      <c r="AS129" s="191"/>
      <c r="AT129" s="191"/>
      <c r="AU129" s="191"/>
      <c r="AV129" s="191"/>
      <c r="AW129" s="191"/>
      <c r="AX129" s="191"/>
      <c r="AY129" s="191"/>
      <c r="AZ129" s="191"/>
      <c r="BA129" s="191"/>
      <c r="BB129" s="191"/>
      <c r="BC129" s="191"/>
      <c r="BD129" s="191"/>
      <c r="BE129" s="191"/>
      <c r="BF129" s="191"/>
      <c r="BG129" s="191"/>
      <c r="BH129" s="191"/>
      <c r="BI129" s="191"/>
      <c r="BJ129" s="191"/>
      <c r="BK129" s="191"/>
      <c r="BL129" s="191"/>
      <c r="BM129" s="191"/>
      <c r="BN129" s="191"/>
      <c r="BO129" s="191"/>
      <c r="BP129" s="191"/>
    </row>
    <row r="130" spans="11:68">
      <c r="K130" s="194"/>
      <c r="L130" s="191"/>
      <c r="M130" s="191"/>
      <c r="N130" s="191"/>
      <c r="O130" s="191"/>
      <c r="P130" s="191"/>
      <c r="Q130" s="191"/>
      <c r="R130" s="191"/>
      <c r="S130" s="191"/>
      <c r="T130" s="191"/>
      <c r="U130" s="191"/>
      <c r="V130" s="191"/>
      <c r="W130" s="191"/>
      <c r="X130" s="191"/>
      <c r="Y130" s="191"/>
      <c r="Z130" s="191"/>
      <c r="AA130" s="191"/>
      <c r="AB130" s="191"/>
      <c r="AC130" s="191"/>
      <c r="AD130" s="191"/>
      <c r="AE130" s="191"/>
      <c r="AF130" s="191"/>
      <c r="AG130" s="191"/>
      <c r="AH130" s="191"/>
      <c r="AI130" s="191"/>
      <c r="AJ130" s="191"/>
      <c r="AK130" s="191"/>
      <c r="AL130" s="191"/>
      <c r="AM130" s="191"/>
      <c r="AN130" s="191"/>
      <c r="AO130" s="191"/>
      <c r="AP130" s="191"/>
      <c r="AQ130" s="191"/>
      <c r="AR130" s="191"/>
      <c r="AS130" s="191"/>
      <c r="AT130" s="191"/>
      <c r="AU130" s="191"/>
      <c r="AV130" s="191"/>
      <c r="AW130" s="191"/>
      <c r="AX130" s="191"/>
      <c r="AY130" s="191"/>
      <c r="AZ130" s="191"/>
      <c r="BA130" s="191"/>
      <c r="BB130" s="191"/>
      <c r="BC130" s="191"/>
      <c r="BD130" s="191"/>
      <c r="BE130" s="191"/>
      <c r="BF130" s="191"/>
      <c r="BG130" s="191"/>
      <c r="BH130" s="191"/>
      <c r="BI130" s="191"/>
      <c r="BJ130" s="191"/>
      <c r="BK130" s="191"/>
      <c r="BL130" s="191"/>
      <c r="BM130" s="191"/>
      <c r="BN130" s="191"/>
      <c r="BO130" s="191"/>
      <c r="BP130" s="191"/>
    </row>
    <row r="131" spans="11:68">
      <c r="K131" s="193"/>
      <c r="L131" s="191"/>
      <c r="M131" s="191"/>
      <c r="N131" s="191"/>
      <c r="O131" s="191"/>
      <c r="P131" s="191"/>
      <c r="Q131" s="191"/>
      <c r="R131" s="191"/>
      <c r="S131" s="191"/>
      <c r="T131" s="191"/>
      <c r="U131" s="191"/>
      <c r="V131" s="191"/>
      <c r="W131" s="191"/>
      <c r="X131" s="191"/>
      <c r="Y131" s="191"/>
      <c r="Z131" s="191"/>
      <c r="AA131" s="191"/>
      <c r="AB131" s="191"/>
      <c r="AC131" s="191"/>
      <c r="AD131" s="191"/>
      <c r="AE131" s="191"/>
      <c r="AF131" s="191"/>
      <c r="AG131" s="191"/>
      <c r="AH131" s="191"/>
      <c r="AI131" s="191"/>
      <c r="AJ131" s="191"/>
      <c r="AK131" s="191"/>
      <c r="AL131" s="191"/>
      <c r="AM131" s="191"/>
      <c r="AN131" s="191"/>
      <c r="AO131" s="191"/>
      <c r="AP131" s="191"/>
      <c r="AQ131" s="191"/>
      <c r="AR131" s="191"/>
      <c r="AS131" s="191"/>
      <c r="AT131" s="191"/>
      <c r="AU131" s="191"/>
      <c r="AV131" s="191"/>
      <c r="AW131" s="191"/>
      <c r="AX131" s="191"/>
      <c r="AY131" s="191"/>
      <c r="AZ131" s="191"/>
      <c r="BA131" s="191"/>
      <c r="BB131" s="191"/>
      <c r="BC131" s="191"/>
      <c r="BD131" s="191"/>
      <c r="BE131" s="191"/>
      <c r="BF131" s="191"/>
      <c r="BG131" s="191"/>
      <c r="BH131" s="191"/>
      <c r="BI131" s="191"/>
      <c r="BJ131" s="191"/>
      <c r="BK131" s="191"/>
      <c r="BL131" s="191"/>
      <c r="BM131" s="191"/>
      <c r="BN131" s="191"/>
      <c r="BO131" s="191"/>
      <c r="BP131" s="191"/>
    </row>
    <row r="132" spans="11:68">
      <c r="K132" s="194"/>
      <c r="L132" s="191"/>
      <c r="M132" s="191"/>
      <c r="N132" s="191"/>
      <c r="O132" s="191"/>
      <c r="P132" s="191"/>
      <c r="Q132" s="191"/>
      <c r="R132" s="191"/>
      <c r="S132" s="191"/>
      <c r="T132" s="191"/>
      <c r="U132" s="191"/>
      <c r="V132" s="191"/>
      <c r="W132" s="191"/>
      <c r="X132" s="191"/>
      <c r="Y132" s="191"/>
      <c r="Z132" s="191"/>
      <c r="AA132" s="191"/>
      <c r="AB132" s="191"/>
      <c r="AC132" s="191"/>
      <c r="AD132" s="191"/>
      <c r="AE132" s="191"/>
      <c r="AF132" s="191"/>
      <c r="AG132" s="191"/>
      <c r="AH132" s="191"/>
      <c r="AI132" s="191"/>
      <c r="AJ132" s="191"/>
      <c r="AK132" s="191"/>
      <c r="AL132" s="191"/>
      <c r="AM132" s="191"/>
      <c r="AN132" s="191"/>
      <c r="AO132" s="191"/>
      <c r="AP132" s="191"/>
      <c r="AQ132" s="191"/>
      <c r="AR132" s="191"/>
      <c r="AS132" s="191"/>
      <c r="AT132" s="191"/>
      <c r="AU132" s="191"/>
      <c r="AV132" s="191"/>
      <c r="AW132" s="191"/>
      <c r="AX132" s="191"/>
      <c r="AY132" s="191"/>
      <c r="AZ132" s="191"/>
      <c r="BA132" s="191"/>
      <c r="BB132" s="191"/>
      <c r="BC132" s="191"/>
      <c r="BD132" s="191"/>
      <c r="BE132" s="191"/>
      <c r="BF132" s="191"/>
      <c r="BG132" s="191"/>
      <c r="BH132" s="191"/>
      <c r="BI132" s="191"/>
      <c r="BJ132" s="191"/>
      <c r="BK132" s="191"/>
      <c r="BL132" s="191"/>
      <c r="BM132" s="191"/>
      <c r="BN132" s="191"/>
      <c r="BO132" s="191"/>
      <c r="BP132" s="191"/>
    </row>
    <row r="133" spans="11:68">
      <c r="K133" s="194"/>
      <c r="L133" s="191"/>
      <c r="M133" s="191"/>
      <c r="N133" s="191"/>
      <c r="O133" s="191"/>
      <c r="P133" s="191"/>
      <c r="Q133" s="191"/>
      <c r="R133" s="191"/>
      <c r="S133" s="191"/>
      <c r="T133" s="191"/>
      <c r="U133" s="191"/>
      <c r="V133" s="191"/>
      <c r="W133" s="191"/>
      <c r="X133" s="191"/>
      <c r="Y133" s="191"/>
      <c r="Z133" s="191"/>
      <c r="AA133" s="191"/>
      <c r="AB133" s="191"/>
      <c r="AC133" s="191"/>
      <c r="AD133" s="191"/>
      <c r="AE133" s="191"/>
      <c r="AF133" s="191"/>
      <c r="AG133" s="191"/>
      <c r="AH133" s="191"/>
      <c r="AI133" s="191"/>
      <c r="AJ133" s="191"/>
      <c r="AK133" s="191"/>
      <c r="AL133" s="191"/>
      <c r="AM133" s="191"/>
      <c r="AN133" s="191"/>
      <c r="AO133" s="191"/>
      <c r="AP133" s="191"/>
      <c r="AQ133" s="191"/>
      <c r="AR133" s="191"/>
      <c r="AS133" s="191"/>
      <c r="AT133" s="191"/>
      <c r="AU133" s="191"/>
      <c r="AV133" s="191"/>
      <c r="AW133" s="191"/>
      <c r="AX133" s="191"/>
      <c r="AY133" s="191"/>
      <c r="AZ133" s="191"/>
      <c r="BA133" s="191"/>
      <c r="BB133" s="191"/>
      <c r="BC133" s="191"/>
      <c r="BD133" s="191"/>
      <c r="BE133" s="191"/>
      <c r="BF133" s="191"/>
      <c r="BG133" s="191"/>
      <c r="BH133" s="191"/>
      <c r="BI133" s="191"/>
      <c r="BJ133" s="191"/>
      <c r="BK133" s="191"/>
      <c r="BL133" s="191"/>
      <c r="BM133" s="191"/>
      <c r="BN133" s="191"/>
      <c r="BO133" s="191"/>
      <c r="BP133" s="191"/>
    </row>
    <row r="134" spans="11:68">
      <c r="K134" s="194"/>
      <c r="L134" s="191"/>
      <c r="M134" s="191"/>
      <c r="N134" s="191"/>
      <c r="O134" s="191"/>
      <c r="P134" s="191"/>
      <c r="Q134" s="191"/>
      <c r="R134" s="191"/>
      <c r="S134" s="191"/>
      <c r="T134" s="191"/>
      <c r="U134" s="191"/>
      <c r="V134" s="191"/>
      <c r="W134" s="191"/>
      <c r="X134" s="191"/>
      <c r="Y134" s="191"/>
      <c r="Z134" s="191"/>
      <c r="AA134" s="191"/>
      <c r="AB134" s="191"/>
      <c r="AC134" s="191"/>
      <c r="AD134" s="191"/>
      <c r="AE134" s="191"/>
      <c r="AF134" s="191"/>
      <c r="AG134" s="191"/>
      <c r="AH134" s="191"/>
      <c r="AI134" s="191"/>
      <c r="AJ134" s="191"/>
      <c r="AK134" s="191"/>
      <c r="AL134" s="191"/>
      <c r="AM134" s="191"/>
      <c r="AN134" s="191"/>
      <c r="AO134" s="191"/>
      <c r="AP134" s="191"/>
      <c r="AQ134" s="191"/>
      <c r="AR134" s="191"/>
      <c r="AS134" s="191"/>
      <c r="AT134" s="191"/>
      <c r="AU134" s="191"/>
      <c r="AV134" s="191"/>
      <c r="AW134" s="191"/>
      <c r="AX134" s="191"/>
      <c r="AY134" s="191"/>
      <c r="AZ134" s="191"/>
      <c r="BA134" s="191"/>
      <c r="BB134" s="191"/>
      <c r="BC134" s="191"/>
      <c r="BD134" s="191"/>
      <c r="BE134" s="191"/>
      <c r="BF134" s="191"/>
      <c r="BG134" s="191"/>
      <c r="BH134" s="191"/>
      <c r="BI134" s="191"/>
      <c r="BJ134" s="191"/>
      <c r="BK134" s="191"/>
      <c r="BL134" s="191"/>
      <c r="BM134" s="191"/>
      <c r="BN134" s="191"/>
      <c r="BO134" s="191"/>
      <c r="BP134" s="191"/>
    </row>
    <row r="135" spans="11:68">
      <c r="K135" s="194"/>
      <c r="L135" s="191"/>
      <c r="M135" s="191"/>
      <c r="N135" s="191"/>
      <c r="O135" s="191"/>
      <c r="P135" s="191"/>
      <c r="Q135" s="191"/>
      <c r="R135" s="191"/>
      <c r="S135" s="191"/>
      <c r="T135" s="191"/>
      <c r="U135" s="191"/>
      <c r="V135" s="191"/>
      <c r="W135" s="191"/>
      <c r="X135" s="191"/>
      <c r="Y135" s="191"/>
      <c r="Z135" s="191"/>
      <c r="AA135" s="191"/>
      <c r="AB135" s="191"/>
      <c r="AC135" s="191"/>
      <c r="AD135" s="191"/>
      <c r="AE135" s="191"/>
      <c r="AF135" s="191"/>
      <c r="AG135" s="191"/>
      <c r="AH135" s="191"/>
      <c r="AI135" s="191"/>
      <c r="AJ135" s="191"/>
      <c r="AK135" s="191"/>
      <c r="AL135" s="191"/>
      <c r="AM135" s="191"/>
      <c r="AN135" s="191"/>
      <c r="AO135" s="191"/>
      <c r="AP135" s="191"/>
      <c r="AQ135" s="191"/>
      <c r="AR135" s="191"/>
      <c r="AS135" s="191"/>
      <c r="AT135" s="191"/>
      <c r="AU135" s="191"/>
      <c r="AV135" s="191"/>
      <c r="AW135" s="191"/>
      <c r="AX135" s="191"/>
      <c r="AY135" s="191"/>
      <c r="AZ135" s="191"/>
      <c r="BA135" s="191"/>
      <c r="BB135" s="191"/>
      <c r="BC135" s="191"/>
      <c r="BD135" s="191"/>
      <c r="BE135" s="191"/>
      <c r="BF135" s="191"/>
      <c r="BG135" s="191"/>
      <c r="BH135" s="191"/>
      <c r="BI135" s="191"/>
      <c r="BJ135" s="191"/>
      <c r="BK135" s="191"/>
      <c r="BL135" s="191"/>
      <c r="BM135" s="191"/>
      <c r="BN135" s="191"/>
      <c r="BO135" s="191"/>
      <c r="BP135" s="191"/>
    </row>
    <row r="136" spans="11:68">
      <c r="K136" s="194"/>
      <c r="L136" s="191"/>
      <c r="M136" s="191"/>
      <c r="N136" s="191"/>
      <c r="O136" s="191"/>
      <c r="P136" s="191"/>
      <c r="Q136" s="191"/>
      <c r="R136" s="191"/>
      <c r="S136" s="191"/>
      <c r="T136" s="191"/>
      <c r="U136" s="191"/>
      <c r="V136" s="191"/>
      <c r="W136" s="191"/>
      <c r="X136" s="191"/>
      <c r="Y136" s="191"/>
      <c r="Z136" s="191"/>
      <c r="AA136" s="191"/>
      <c r="AB136" s="191"/>
      <c r="AC136" s="191"/>
      <c r="AD136" s="191"/>
      <c r="AE136" s="191"/>
      <c r="AF136" s="191"/>
      <c r="AG136" s="191"/>
      <c r="AH136" s="191"/>
      <c r="AI136" s="191"/>
      <c r="AJ136" s="191"/>
      <c r="AK136" s="191"/>
      <c r="AL136" s="191"/>
      <c r="AM136" s="191"/>
      <c r="AN136" s="191"/>
      <c r="AO136" s="191"/>
      <c r="AP136" s="191"/>
      <c r="AQ136" s="191"/>
      <c r="AR136" s="191"/>
      <c r="AS136" s="191"/>
      <c r="AT136" s="191"/>
      <c r="AU136" s="191"/>
      <c r="AV136" s="191"/>
      <c r="AW136" s="191"/>
      <c r="AX136" s="191"/>
      <c r="AY136" s="191"/>
      <c r="AZ136" s="191"/>
      <c r="BA136" s="191"/>
      <c r="BB136" s="191"/>
      <c r="BC136" s="191"/>
      <c r="BD136" s="191"/>
      <c r="BE136" s="191"/>
      <c r="BF136" s="191"/>
      <c r="BG136" s="191"/>
      <c r="BH136" s="191"/>
      <c r="BI136" s="191"/>
      <c r="BJ136" s="191"/>
      <c r="BK136" s="191"/>
      <c r="BL136" s="191"/>
      <c r="BM136" s="191"/>
      <c r="BN136" s="191"/>
      <c r="BO136" s="191"/>
      <c r="BP136" s="191"/>
    </row>
    <row r="137" spans="11:68">
      <c r="K137" s="194"/>
      <c r="L137" s="191"/>
      <c r="M137" s="191"/>
      <c r="N137" s="191"/>
      <c r="O137" s="191"/>
      <c r="P137" s="191"/>
      <c r="Q137" s="191"/>
      <c r="R137" s="191"/>
      <c r="S137" s="191"/>
      <c r="T137" s="191"/>
      <c r="U137" s="191"/>
      <c r="V137" s="191"/>
      <c r="W137" s="191"/>
      <c r="X137" s="191"/>
      <c r="Y137" s="191"/>
      <c r="Z137" s="191"/>
      <c r="AA137" s="191"/>
      <c r="AB137" s="191"/>
      <c r="AC137" s="191"/>
      <c r="AD137" s="191"/>
      <c r="AE137" s="191"/>
      <c r="AF137" s="191"/>
      <c r="AG137" s="191"/>
      <c r="AH137" s="191"/>
      <c r="AI137" s="191"/>
      <c r="AJ137" s="191"/>
      <c r="AK137" s="191"/>
      <c r="AL137" s="191"/>
      <c r="AM137" s="191"/>
      <c r="AN137" s="191"/>
      <c r="AO137" s="191"/>
      <c r="AP137" s="191"/>
      <c r="AQ137" s="191"/>
      <c r="AR137" s="191"/>
      <c r="AS137" s="191"/>
      <c r="AT137" s="191"/>
      <c r="AU137" s="191"/>
      <c r="AV137" s="191"/>
      <c r="AW137" s="191"/>
      <c r="AX137" s="191"/>
      <c r="AY137" s="191"/>
      <c r="AZ137" s="191"/>
      <c r="BA137" s="191"/>
      <c r="BB137" s="191"/>
      <c r="BC137" s="191"/>
      <c r="BD137" s="191"/>
      <c r="BE137" s="191"/>
      <c r="BF137" s="191"/>
      <c r="BG137" s="191"/>
      <c r="BH137" s="191"/>
      <c r="BI137" s="191"/>
      <c r="BJ137" s="191"/>
      <c r="BK137" s="191"/>
      <c r="BL137" s="191"/>
      <c r="BM137" s="191"/>
      <c r="BN137" s="191"/>
      <c r="BO137" s="191"/>
      <c r="BP137" s="191"/>
    </row>
    <row r="138" spans="11:68">
      <c r="K138" s="194"/>
      <c r="L138" s="191"/>
      <c r="M138" s="191"/>
      <c r="N138" s="191"/>
      <c r="O138" s="191"/>
      <c r="P138" s="191"/>
      <c r="Q138" s="191"/>
      <c r="R138" s="191"/>
      <c r="S138" s="191"/>
      <c r="T138" s="191"/>
      <c r="U138" s="191"/>
      <c r="V138" s="191"/>
      <c r="W138" s="191"/>
      <c r="X138" s="191"/>
      <c r="Y138" s="191"/>
      <c r="Z138" s="191"/>
      <c r="AA138" s="191"/>
      <c r="AB138" s="191"/>
      <c r="AC138" s="191"/>
      <c r="AD138" s="191"/>
      <c r="AE138" s="191"/>
      <c r="AF138" s="191"/>
      <c r="AG138" s="191"/>
      <c r="AH138" s="191"/>
      <c r="AI138" s="191"/>
      <c r="AJ138" s="191"/>
      <c r="AK138" s="191"/>
      <c r="AL138" s="191"/>
      <c r="AM138" s="191"/>
      <c r="AN138" s="191"/>
      <c r="AO138" s="191"/>
      <c r="AP138" s="191"/>
      <c r="AQ138" s="191"/>
      <c r="AR138" s="191"/>
      <c r="AS138" s="191"/>
      <c r="AT138" s="191"/>
      <c r="AU138" s="191"/>
      <c r="AV138" s="191"/>
      <c r="AW138" s="191"/>
      <c r="AX138" s="191"/>
      <c r="AY138" s="191"/>
      <c r="AZ138" s="191"/>
      <c r="BA138" s="191"/>
      <c r="BB138" s="191"/>
      <c r="BC138" s="191"/>
      <c r="BD138" s="191"/>
      <c r="BE138" s="191"/>
      <c r="BF138" s="191"/>
      <c r="BG138" s="191"/>
      <c r="BH138" s="191"/>
      <c r="BI138" s="191"/>
      <c r="BJ138" s="191"/>
      <c r="BK138" s="191"/>
      <c r="BL138" s="191"/>
      <c r="BM138" s="191"/>
      <c r="BN138" s="191"/>
      <c r="BO138" s="191"/>
      <c r="BP138" s="191"/>
    </row>
    <row r="139" spans="11:68">
      <c r="K139" s="191"/>
      <c r="L139" s="191"/>
      <c r="M139" s="191"/>
      <c r="N139" s="191"/>
      <c r="O139" s="191"/>
      <c r="P139" s="191"/>
      <c r="Q139" s="191"/>
      <c r="R139" s="191"/>
      <c r="S139" s="191"/>
      <c r="T139" s="191"/>
      <c r="U139" s="191"/>
      <c r="V139" s="191"/>
      <c r="W139" s="191"/>
      <c r="X139" s="191"/>
      <c r="Y139" s="191"/>
      <c r="Z139" s="191"/>
      <c r="AA139" s="191"/>
      <c r="AB139" s="191"/>
      <c r="AC139" s="191"/>
      <c r="AD139" s="191"/>
      <c r="AE139" s="191"/>
      <c r="AF139" s="191"/>
      <c r="AG139" s="191"/>
      <c r="AH139" s="191"/>
      <c r="AI139" s="191"/>
      <c r="AJ139" s="191"/>
      <c r="AK139" s="191"/>
      <c r="AL139" s="191"/>
      <c r="AM139" s="191"/>
      <c r="AN139" s="191"/>
      <c r="AO139" s="191"/>
      <c r="AP139" s="191"/>
      <c r="AQ139" s="191"/>
      <c r="AR139" s="191"/>
      <c r="AS139" s="191"/>
      <c r="AT139" s="191"/>
      <c r="AU139" s="191"/>
      <c r="AV139" s="191"/>
      <c r="AW139" s="191"/>
      <c r="AX139" s="191"/>
      <c r="AY139" s="191"/>
      <c r="AZ139" s="191"/>
      <c r="BA139" s="191"/>
      <c r="BB139" s="191"/>
      <c r="BC139" s="191"/>
      <c r="BD139" s="191"/>
      <c r="BE139" s="191"/>
      <c r="BF139" s="191"/>
      <c r="BG139" s="191"/>
      <c r="BH139" s="191"/>
      <c r="BI139" s="191"/>
      <c r="BJ139" s="191"/>
      <c r="BK139" s="191"/>
      <c r="BL139" s="191"/>
      <c r="BM139" s="191"/>
      <c r="BN139" s="191"/>
      <c r="BO139" s="191"/>
      <c r="BP139" s="191"/>
    </row>
    <row r="140" spans="11:68">
      <c r="K140" s="191"/>
      <c r="L140" s="191"/>
      <c r="M140" s="191"/>
      <c r="N140" s="191"/>
      <c r="O140" s="191"/>
      <c r="P140" s="191"/>
      <c r="Q140" s="191"/>
      <c r="R140" s="191"/>
      <c r="S140" s="191"/>
      <c r="T140" s="191"/>
      <c r="U140" s="191"/>
      <c r="V140" s="191"/>
      <c r="W140" s="191"/>
      <c r="X140" s="191"/>
      <c r="Y140" s="191"/>
      <c r="Z140" s="191"/>
      <c r="AA140" s="191"/>
      <c r="AB140" s="191"/>
      <c r="AC140" s="191"/>
      <c r="AD140" s="191"/>
      <c r="AE140" s="191"/>
      <c r="AF140" s="191"/>
      <c r="AG140" s="191"/>
      <c r="AH140" s="191"/>
      <c r="AI140" s="191"/>
      <c r="AJ140" s="191"/>
      <c r="AK140" s="191"/>
      <c r="AL140" s="191"/>
      <c r="AM140" s="191"/>
      <c r="AN140" s="191"/>
      <c r="AO140" s="191"/>
      <c r="AP140" s="191"/>
      <c r="AQ140" s="191"/>
      <c r="AR140" s="191"/>
      <c r="AS140" s="191"/>
      <c r="AT140" s="191"/>
      <c r="AU140" s="191"/>
      <c r="AV140" s="191"/>
      <c r="AW140" s="191"/>
      <c r="AX140" s="191"/>
      <c r="AY140" s="191"/>
      <c r="AZ140" s="191"/>
      <c r="BA140" s="191"/>
      <c r="BB140" s="191"/>
      <c r="BC140" s="191"/>
      <c r="BD140" s="191"/>
      <c r="BE140" s="191"/>
      <c r="BF140" s="191"/>
      <c r="BG140" s="191"/>
      <c r="BH140" s="191"/>
      <c r="BI140" s="191"/>
      <c r="BJ140" s="191"/>
      <c r="BK140" s="191"/>
      <c r="BL140" s="191"/>
      <c r="BM140" s="191"/>
      <c r="BN140" s="191"/>
      <c r="BO140" s="191"/>
      <c r="BP140" s="191"/>
    </row>
    <row r="141" spans="11:68">
      <c r="K141" s="191"/>
      <c r="L141" s="191"/>
      <c r="M141" s="191"/>
      <c r="N141" s="191"/>
      <c r="O141" s="191"/>
      <c r="P141" s="191"/>
      <c r="Q141" s="191"/>
      <c r="R141" s="191"/>
      <c r="S141" s="191"/>
      <c r="T141" s="191"/>
      <c r="U141" s="191"/>
      <c r="V141" s="191"/>
      <c r="W141" s="191"/>
      <c r="X141" s="191"/>
      <c r="Y141" s="191"/>
      <c r="Z141" s="191"/>
      <c r="AA141" s="191"/>
      <c r="AB141" s="191"/>
      <c r="AC141" s="191"/>
      <c r="AD141" s="191"/>
      <c r="AE141" s="191"/>
      <c r="AF141" s="191"/>
      <c r="AG141" s="191"/>
      <c r="AH141" s="191"/>
      <c r="AI141" s="191"/>
      <c r="AJ141" s="191"/>
      <c r="AK141" s="191"/>
      <c r="AL141" s="191"/>
      <c r="AM141" s="191"/>
      <c r="AN141" s="191"/>
      <c r="AO141" s="191"/>
      <c r="AP141" s="191"/>
      <c r="AQ141" s="191"/>
      <c r="AR141" s="191"/>
      <c r="AS141" s="191"/>
      <c r="AT141" s="191"/>
      <c r="AU141" s="191"/>
      <c r="AV141" s="191"/>
      <c r="AW141" s="191"/>
      <c r="AX141" s="191"/>
      <c r="AY141" s="191"/>
      <c r="AZ141" s="191"/>
      <c r="BA141" s="191"/>
      <c r="BB141" s="191"/>
      <c r="BC141" s="191"/>
      <c r="BD141" s="191"/>
      <c r="BE141" s="191"/>
      <c r="BF141" s="191"/>
      <c r="BG141" s="191"/>
      <c r="BH141" s="191"/>
      <c r="BI141" s="191"/>
      <c r="BJ141" s="191"/>
      <c r="BK141" s="191"/>
      <c r="BL141" s="191"/>
      <c r="BM141" s="191"/>
      <c r="BN141" s="191"/>
      <c r="BO141" s="191"/>
      <c r="BP141" s="191"/>
    </row>
    <row r="142" spans="11:68">
      <c r="K142" s="191"/>
      <c r="L142" s="191"/>
      <c r="M142" s="191"/>
      <c r="N142" s="191"/>
      <c r="O142" s="191"/>
      <c r="P142" s="191"/>
      <c r="Q142" s="191"/>
      <c r="R142" s="191"/>
      <c r="S142" s="191"/>
      <c r="T142" s="191"/>
      <c r="U142" s="191"/>
      <c r="V142" s="191"/>
      <c r="W142" s="191"/>
      <c r="X142" s="191"/>
      <c r="Y142" s="191"/>
      <c r="Z142" s="191"/>
      <c r="AA142" s="191"/>
      <c r="AB142" s="191"/>
      <c r="AC142" s="191"/>
      <c r="AD142" s="191"/>
      <c r="AE142" s="191"/>
      <c r="AF142" s="191"/>
      <c r="AG142" s="191"/>
      <c r="AH142" s="191"/>
      <c r="AI142" s="191"/>
      <c r="AJ142" s="191"/>
      <c r="AK142" s="191"/>
      <c r="AL142" s="191"/>
      <c r="AM142" s="191"/>
      <c r="AN142" s="191"/>
      <c r="AO142" s="191"/>
      <c r="AP142" s="191"/>
      <c r="AQ142" s="191"/>
      <c r="AR142" s="191"/>
      <c r="AS142" s="191"/>
      <c r="AT142" s="191"/>
      <c r="AU142" s="191"/>
      <c r="AV142" s="191"/>
      <c r="AW142" s="191"/>
      <c r="AX142" s="191"/>
      <c r="AY142" s="191"/>
      <c r="AZ142" s="191"/>
      <c r="BA142" s="191"/>
      <c r="BB142" s="191"/>
      <c r="BC142" s="191"/>
      <c r="BD142" s="191"/>
      <c r="BE142" s="191"/>
      <c r="BF142" s="191"/>
      <c r="BG142" s="191"/>
      <c r="BH142" s="191"/>
      <c r="BI142" s="191"/>
      <c r="BJ142" s="191"/>
      <c r="BK142" s="191"/>
      <c r="BL142" s="191"/>
      <c r="BM142" s="191"/>
      <c r="BN142" s="191"/>
      <c r="BO142" s="191"/>
      <c r="BP142" s="191"/>
    </row>
    <row r="143" spans="11:68">
      <c r="K143" s="191"/>
      <c r="L143" s="191"/>
      <c r="M143" s="191"/>
      <c r="N143" s="191"/>
      <c r="O143" s="191"/>
      <c r="P143" s="191"/>
      <c r="Q143" s="191"/>
      <c r="R143" s="191"/>
      <c r="S143" s="191"/>
      <c r="T143" s="191"/>
      <c r="U143" s="191"/>
      <c r="V143" s="191"/>
      <c r="W143" s="191"/>
      <c r="X143" s="191"/>
      <c r="Y143" s="191"/>
      <c r="Z143" s="191"/>
      <c r="AA143" s="191"/>
      <c r="AB143" s="191"/>
      <c r="AC143" s="191"/>
      <c r="AD143" s="191"/>
      <c r="AE143" s="191"/>
      <c r="AF143" s="191"/>
      <c r="AG143" s="191"/>
      <c r="AH143" s="191"/>
      <c r="AI143" s="191"/>
      <c r="AJ143" s="191"/>
      <c r="AK143" s="191"/>
      <c r="AL143" s="191"/>
      <c r="AM143" s="191"/>
      <c r="AN143" s="191"/>
      <c r="AO143" s="191"/>
      <c r="AP143" s="191"/>
      <c r="AQ143" s="191"/>
      <c r="AR143" s="191"/>
      <c r="AS143" s="191"/>
      <c r="AT143" s="191"/>
      <c r="AU143" s="191"/>
      <c r="AV143" s="191"/>
      <c r="AW143" s="191"/>
      <c r="AX143" s="191"/>
      <c r="AY143" s="191"/>
      <c r="AZ143" s="191"/>
      <c r="BA143" s="191"/>
      <c r="BB143" s="191"/>
      <c r="BC143" s="191"/>
      <c r="BD143" s="191"/>
      <c r="BE143" s="191"/>
      <c r="BF143" s="191"/>
      <c r="BG143" s="191"/>
      <c r="BH143" s="191"/>
      <c r="BI143" s="191"/>
      <c r="BJ143" s="191"/>
      <c r="BK143" s="191"/>
      <c r="BL143" s="191"/>
      <c r="BM143" s="191"/>
      <c r="BN143" s="191"/>
      <c r="BO143" s="191"/>
      <c r="BP143" s="191"/>
    </row>
    <row r="144" spans="11:68">
      <c r="K144" s="191"/>
      <c r="L144" s="191"/>
      <c r="M144" s="191"/>
      <c r="N144" s="191"/>
      <c r="O144" s="191"/>
      <c r="P144" s="191"/>
      <c r="Q144" s="191"/>
      <c r="R144" s="191"/>
      <c r="S144" s="191"/>
      <c r="T144" s="191"/>
      <c r="U144" s="191"/>
      <c r="V144" s="191"/>
      <c r="W144" s="191"/>
      <c r="X144" s="191"/>
      <c r="Y144" s="191"/>
      <c r="Z144" s="191"/>
      <c r="AA144" s="191"/>
      <c r="AB144" s="191"/>
      <c r="AC144" s="191"/>
      <c r="AD144" s="191"/>
      <c r="AE144" s="191"/>
      <c r="AF144" s="191"/>
      <c r="AG144" s="191"/>
      <c r="AH144" s="191"/>
      <c r="AI144" s="191"/>
      <c r="AJ144" s="191"/>
      <c r="AK144" s="191"/>
      <c r="AL144" s="191"/>
      <c r="AM144" s="191"/>
      <c r="AN144" s="191"/>
      <c r="AO144" s="191"/>
      <c r="AP144" s="191"/>
      <c r="AQ144" s="191"/>
      <c r="AR144" s="191"/>
      <c r="AS144" s="191"/>
      <c r="AT144" s="191"/>
      <c r="AU144" s="191"/>
      <c r="AV144" s="191"/>
      <c r="AW144" s="191"/>
      <c r="AX144" s="191"/>
      <c r="AY144" s="191"/>
      <c r="AZ144" s="191"/>
      <c r="BA144" s="191"/>
      <c r="BB144" s="191"/>
      <c r="BC144" s="191"/>
      <c r="BD144" s="191"/>
      <c r="BE144" s="191"/>
      <c r="BF144" s="191"/>
      <c r="BG144" s="191"/>
      <c r="BH144" s="191"/>
      <c r="BI144" s="191"/>
      <c r="BJ144" s="191"/>
      <c r="BK144" s="191"/>
      <c r="BL144" s="191"/>
      <c r="BM144" s="191"/>
      <c r="BN144" s="191"/>
      <c r="BO144" s="191"/>
      <c r="BP144" s="191"/>
    </row>
    <row r="145" spans="11:68">
      <c r="K145" s="191"/>
      <c r="L145" s="191"/>
      <c r="M145" s="191"/>
      <c r="N145" s="191"/>
      <c r="O145" s="191"/>
      <c r="P145" s="191"/>
      <c r="Q145" s="191"/>
      <c r="R145" s="191"/>
      <c r="S145" s="191"/>
      <c r="T145" s="191"/>
      <c r="U145" s="191"/>
      <c r="V145" s="191"/>
      <c r="W145" s="191"/>
      <c r="X145" s="191"/>
      <c r="Y145" s="191"/>
      <c r="Z145" s="191"/>
      <c r="AA145" s="191"/>
      <c r="AB145" s="191"/>
      <c r="AC145" s="191"/>
      <c r="AD145" s="191"/>
      <c r="AE145" s="191"/>
      <c r="AF145" s="191"/>
      <c r="AG145" s="191"/>
      <c r="AH145" s="191"/>
      <c r="AI145" s="191"/>
      <c r="AJ145" s="191"/>
      <c r="AK145" s="191"/>
      <c r="AL145" s="191"/>
      <c r="AM145" s="191"/>
      <c r="AN145" s="191"/>
      <c r="AO145" s="191"/>
      <c r="AP145" s="191"/>
      <c r="AQ145" s="191"/>
      <c r="AR145" s="191"/>
      <c r="AS145" s="191"/>
      <c r="AT145" s="191"/>
      <c r="AU145" s="191"/>
      <c r="AV145" s="191"/>
      <c r="AW145" s="191"/>
      <c r="AX145" s="191"/>
      <c r="AY145" s="191"/>
      <c r="AZ145" s="191"/>
      <c r="BA145" s="191"/>
      <c r="BB145" s="191"/>
      <c r="BC145" s="191"/>
      <c r="BD145" s="191"/>
      <c r="BE145" s="191"/>
      <c r="BF145" s="191"/>
      <c r="BG145" s="191"/>
      <c r="BH145" s="191"/>
      <c r="BI145" s="191"/>
      <c r="BJ145" s="191"/>
      <c r="BK145" s="191"/>
      <c r="BL145" s="191"/>
      <c r="BM145" s="191"/>
      <c r="BN145" s="191"/>
      <c r="BO145" s="191"/>
      <c r="BP145" s="191"/>
    </row>
    <row r="146" spans="11:68">
      <c r="K146" s="191"/>
      <c r="L146" s="191"/>
      <c r="M146" s="191"/>
      <c r="N146" s="191"/>
      <c r="O146" s="191"/>
      <c r="P146" s="191"/>
      <c r="Q146" s="191"/>
      <c r="R146" s="191"/>
      <c r="S146" s="191"/>
      <c r="T146" s="191"/>
      <c r="U146" s="191"/>
      <c r="V146" s="191"/>
      <c r="W146" s="191"/>
      <c r="X146" s="191"/>
      <c r="Y146" s="191"/>
      <c r="Z146" s="191"/>
      <c r="AA146" s="191"/>
      <c r="AB146" s="191"/>
      <c r="AC146" s="191"/>
      <c r="AD146" s="191"/>
      <c r="AE146" s="191"/>
      <c r="AF146" s="191"/>
      <c r="AG146" s="191"/>
      <c r="AH146" s="191"/>
      <c r="AI146" s="191"/>
      <c r="AJ146" s="191"/>
      <c r="AK146" s="191"/>
      <c r="AL146" s="191"/>
      <c r="AM146" s="191"/>
      <c r="AN146" s="191"/>
      <c r="AO146" s="191"/>
      <c r="AP146" s="191"/>
      <c r="AQ146" s="191"/>
      <c r="AR146" s="191"/>
      <c r="AS146" s="191"/>
      <c r="AT146" s="191"/>
      <c r="AU146" s="191"/>
      <c r="AV146" s="191"/>
      <c r="AW146" s="191"/>
      <c r="AX146" s="191"/>
      <c r="AY146" s="191"/>
      <c r="AZ146" s="191"/>
      <c r="BA146" s="191"/>
      <c r="BB146" s="191"/>
      <c r="BC146" s="191"/>
      <c r="BD146" s="191"/>
      <c r="BE146" s="191"/>
      <c r="BF146" s="191"/>
      <c r="BG146" s="191"/>
      <c r="BH146" s="191"/>
      <c r="BI146" s="191"/>
      <c r="BJ146" s="191"/>
      <c r="BK146" s="191"/>
      <c r="BL146" s="191"/>
      <c r="BM146" s="191"/>
      <c r="BN146" s="191"/>
      <c r="BO146" s="191"/>
      <c r="BP146" s="191"/>
    </row>
    <row r="147" spans="11:68">
      <c r="K147" s="191"/>
      <c r="L147" s="191"/>
      <c r="M147" s="191"/>
      <c r="N147" s="191"/>
      <c r="O147" s="191"/>
      <c r="P147" s="191"/>
      <c r="Q147" s="191"/>
      <c r="R147" s="191"/>
      <c r="S147" s="191"/>
      <c r="T147" s="191"/>
      <c r="U147" s="191"/>
      <c r="V147" s="191"/>
      <c r="W147" s="191"/>
      <c r="X147" s="191"/>
      <c r="Y147" s="191"/>
      <c r="Z147" s="191"/>
      <c r="AA147" s="191"/>
      <c r="AB147" s="191"/>
      <c r="AC147" s="191"/>
      <c r="AD147" s="191"/>
      <c r="AE147" s="191"/>
      <c r="AF147" s="191"/>
      <c r="AG147" s="191"/>
      <c r="AH147" s="191"/>
      <c r="AI147" s="191"/>
      <c r="AJ147" s="191"/>
      <c r="AK147" s="191"/>
      <c r="AL147" s="191"/>
      <c r="AM147" s="191"/>
      <c r="AN147" s="191"/>
      <c r="AO147" s="191"/>
      <c r="AP147" s="191"/>
      <c r="AQ147" s="191"/>
      <c r="AR147" s="191"/>
      <c r="AS147" s="191"/>
      <c r="AT147" s="191"/>
      <c r="AU147" s="191"/>
      <c r="AV147" s="191"/>
      <c r="AW147" s="191"/>
      <c r="AX147" s="191"/>
      <c r="AY147" s="191"/>
      <c r="AZ147" s="191"/>
      <c r="BA147" s="191"/>
      <c r="BB147" s="191"/>
      <c r="BC147" s="191"/>
      <c r="BD147" s="191"/>
      <c r="BE147" s="191"/>
      <c r="BF147" s="191"/>
      <c r="BG147" s="191"/>
      <c r="BH147" s="191"/>
      <c r="BI147" s="191"/>
      <c r="BJ147" s="191"/>
      <c r="BK147" s="191"/>
      <c r="BL147" s="191"/>
      <c r="BM147" s="191"/>
      <c r="BN147" s="191"/>
      <c r="BO147" s="191"/>
      <c r="BP147" s="191"/>
    </row>
    <row r="148" spans="11:68">
      <c r="K148" s="191"/>
      <c r="L148" s="191"/>
      <c r="M148" s="191"/>
      <c r="N148" s="191"/>
      <c r="O148" s="191"/>
      <c r="P148" s="191"/>
      <c r="Q148" s="191"/>
      <c r="R148" s="191"/>
      <c r="S148" s="191"/>
      <c r="T148" s="191"/>
      <c r="U148" s="191"/>
      <c r="V148" s="191"/>
      <c r="W148" s="191"/>
      <c r="X148" s="191"/>
      <c r="Y148" s="191"/>
      <c r="Z148" s="191"/>
      <c r="AA148" s="191"/>
      <c r="AB148" s="191"/>
      <c r="AC148" s="191"/>
      <c r="AD148" s="191"/>
      <c r="AE148" s="191"/>
      <c r="AF148" s="191"/>
      <c r="AG148" s="191"/>
      <c r="AH148" s="191"/>
      <c r="AI148" s="191"/>
      <c r="AJ148" s="191"/>
      <c r="AK148" s="191"/>
      <c r="AL148" s="191"/>
      <c r="AM148" s="191"/>
      <c r="AN148" s="191"/>
      <c r="AO148" s="191"/>
      <c r="AP148" s="191"/>
      <c r="AQ148" s="191"/>
      <c r="AR148" s="191"/>
      <c r="AS148" s="191"/>
      <c r="AT148" s="191"/>
      <c r="AU148" s="191"/>
      <c r="AV148" s="191"/>
      <c r="AW148" s="191"/>
      <c r="AX148" s="191"/>
      <c r="AY148" s="191"/>
      <c r="AZ148" s="191"/>
      <c r="BA148" s="191"/>
      <c r="BB148" s="191"/>
      <c r="BC148" s="191"/>
      <c r="BD148" s="191"/>
      <c r="BE148" s="191"/>
      <c r="BF148" s="191"/>
      <c r="BG148" s="191"/>
      <c r="BH148" s="191"/>
      <c r="BI148" s="191"/>
      <c r="BJ148" s="191"/>
      <c r="BK148" s="191"/>
      <c r="BL148" s="191"/>
      <c r="BM148" s="191"/>
      <c r="BN148" s="191"/>
      <c r="BO148" s="191"/>
      <c r="BP148" s="191"/>
    </row>
    <row r="149" spans="11:68">
      <c r="K149" s="191"/>
      <c r="L149" s="191"/>
      <c r="M149" s="191"/>
      <c r="N149" s="191"/>
      <c r="O149" s="191"/>
      <c r="P149" s="191"/>
      <c r="Q149" s="191"/>
      <c r="R149" s="191"/>
      <c r="S149" s="191"/>
      <c r="T149" s="191"/>
      <c r="U149" s="191"/>
      <c r="V149" s="191"/>
      <c r="W149" s="191"/>
      <c r="X149" s="191"/>
      <c r="Y149" s="191"/>
      <c r="Z149" s="191"/>
      <c r="AA149" s="191"/>
      <c r="AB149" s="191"/>
      <c r="AC149" s="191"/>
      <c r="AD149" s="191"/>
      <c r="AE149" s="191"/>
      <c r="AF149" s="191"/>
      <c r="AG149" s="191"/>
      <c r="AH149" s="191"/>
      <c r="AI149" s="191"/>
      <c r="AJ149" s="191"/>
      <c r="AK149" s="191"/>
      <c r="AL149" s="191"/>
      <c r="AM149" s="191"/>
      <c r="AN149" s="191"/>
      <c r="AO149" s="191"/>
      <c r="AP149" s="191"/>
      <c r="AQ149" s="191"/>
      <c r="AR149" s="191"/>
      <c r="AS149" s="191"/>
      <c r="AT149" s="191"/>
      <c r="AU149" s="191"/>
      <c r="AV149" s="191"/>
      <c r="AW149" s="191"/>
      <c r="AX149" s="191"/>
      <c r="AY149" s="191"/>
      <c r="AZ149" s="191"/>
      <c r="BA149" s="191"/>
      <c r="BB149" s="191"/>
      <c r="BC149" s="191"/>
      <c r="BD149" s="191"/>
      <c r="BE149" s="191"/>
      <c r="BF149" s="191"/>
      <c r="BG149" s="191"/>
      <c r="BH149" s="191"/>
      <c r="BI149" s="191"/>
      <c r="BJ149" s="191"/>
      <c r="BK149" s="191"/>
      <c r="BL149" s="191"/>
      <c r="BM149" s="191"/>
      <c r="BN149" s="191"/>
      <c r="BO149" s="191"/>
      <c r="BP149" s="191"/>
    </row>
    <row r="150" spans="11:68">
      <c r="K150" s="191"/>
      <c r="L150" s="191"/>
      <c r="M150" s="191"/>
      <c r="N150" s="191"/>
      <c r="O150" s="191"/>
      <c r="P150" s="191"/>
      <c r="Q150" s="191"/>
      <c r="R150" s="191"/>
      <c r="S150" s="191"/>
      <c r="T150" s="191"/>
      <c r="U150" s="191"/>
      <c r="V150" s="191"/>
      <c r="W150" s="191"/>
      <c r="X150" s="191"/>
      <c r="Y150" s="191"/>
      <c r="Z150" s="191"/>
      <c r="AA150" s="191"/>
      <c r="AB150" s="191"/>
      <c r="AC150" s="191"/>
      <c r="AD150" s="191"/>
      <c r="AE150" s="191"/>
      <c r="AF150" s="191"/>
      <c r="AG150" s="191"/>
      <c r="AH150" s="191"/>
      <c r="AI150" s="191"/>
      <c r="AJ150" s="191"/>
      <c r="AK150" s="191"/>
      <c r="AL150" s="191"/>
      <c r="AM150" s="191"/>
      <c r="AN150" s="191"/>
      <c r="AO150" s="191"/>
      <c r="AP150" s="191"/>
      <c r="AQ150" s="191"/>
      <c r="AR150" s="191"/>
      <c r="AS150" s="191"/>
      <c r="AT150" s="191"/>
      <c r="AU150" s="191"/>
      <c r="AV150" s="191"/>
      <c r="AW150" s="191"/>
      <c r="AX150" s="191"/>
      <c r="AY150" s="191"/>
      <c r="AZ150" s="191"/>
      <c r="BA150" s="191"/>
      <c r="BB150" s="191"/>
      <c r="BC150" s="191"/>
      <c r="BD150" s="191"/>
      <c r="BE150" s="191"/>
      <c r="BF150" s="191"/>
      <c r="BG150" s="191"/>
      <c r="BH150" s="191"/>
      <c r="BI150" s="191"/>
      <c r="BJ150" s="191"/>
      <c r="BK150" s="191"/>
      <c r="BL150" s="191"/>
      <c r="BM150" s="191"/>
      <c r="BN150" s="191"/>
      <c r="BO150" s="191"/>
      <c r="BP150" s="191"/>
    </row>
    <row r="151" spans="11:68">
      <c r="K151" s="191"/>
      <c r="L151" s="191"/>
      <c r="M151" s="191"/>
      <c r="N151" s="191"/>
      <c r="O151" s="191"/>
      <c r="P151" s="191"/>
      <c r="Q151" s="191"/>
      <c r="R151" s="191"/>
      <c r="S151" s="191"/>
      <c r="T151" s="191"/>
      <c r="U151" s="191"/>
      <c r="V151" s="191"/>
      <c r="W151" s="191"/>
      <c r="X151" s="191"/>
      <c r="Y151" s="191"/>
      <c r="Z151" s="191"/>
      <c r="AA151" s="191"/>
      <c r="AB151" s="191"/>
      <c r="AC151" s="191"/>
      <c r="AD151" s="191"/>
      <c r="AE151" s="191"/>
      <c r="AF151" s="191"/>
      <c r="AG151" s="191"/>
      <c r="AH151" s="191"/>
      <c r="AI151" s="191"/>
      <c r="AJ151" s="191"/>
      <c r="AK151" s="191"/>
      <c r="AL151" s="191"/>
      <c r="AM151" s="191"/>
      <c r="AN151" s="191"/>
      <c r="AO151" s="191"/>
      <c r="AP151" s="191"/>
      <c r="AQ151" s="191"/>
      <c r="AR151" s="191"/>
      <c r="AS151" s="191"/>
      <c r="AT151" s="191"/>
      <c r="AU151" s="191"/>
      <c r="AV151" s="191"/>
      <c r="AW151" s="191"/>
      <c r="AX151" s="191"/>
      <c r="AY151" s="191"/>
      <c r="AZ151" s="191"/>
      <c r="BA151" s="191"/>
      <c r="BB151" s="191"/>
      <c r="BC151" s="191"/>
      <c r="BD151" s="191"/>
      <c r="BE151" s="191"/>
      <c r="BF151" s="191"/>
      <c r="BG151" s="191"/>
      <c r="BH151" s="191"/>
      <c r="BI151" s="191"/>
      <c r="BJ151" s="191"/>
      <c r="BK151" s="191"/>
      <c r="BL151" s="191"/>
      <c r="BM151" s="191"/>
      <c r="BN151" s="191"/>
      <c r="BO151" s="191"/>
      <c r="BP151" s="191"/>
    </row>
    <row r="152" spans="11:68">
      <c r="K152" s="191"/>
      <c r="L152" s="191"/>
      <c r="M152" s="191"/>
      <c r="N152" s="191"/>
      <c r="O152" s="191"/>
      <c r="P152" s="191"/>
      <c r="Q152" s="191"/>
      <c r="R152" s="191"/>
      <c r="S152" s="191"/>
      <c r="T152" s="191"/>
      <c r="U152" s="191"/>
      <c r="V152" s="191"/>
      <c r="W152" s="191"/>
      <c r="X152" s="191"/>
      <c r="Y152" s="191"/>
      <c r="Z152" s="191"/>
      <c r="AA152" s="191"/>
      <c r="AB152" s="191"/>
      <c r="AC152" s="191"/>
      <c r="AD152" s="191"/>
      <c r="AE152" s="191"/>
      <c r="AF152" s="191"/>
      <c r="AG152" s="191"/>
      <c r="AH152" s="191"/>
      <c r="AI152" s="191"/>
      <c r="AJ152" s="191"/>
      <c r="AK152" s="191"/>
      <c r="AL152" s="191"/>
      <c r="AM152" s="191"/>
      <c r="AN152" s="191"/>
      <c r="AO152" s="191"/>
      <c r="AP152" s="191"/>
      <c r="AQ152" s="191"/>
      <c r="AR152" s="191"/>
      <c r="AS152" s="191"/>
      <c r="AT152" s="191"/>
      <c r="AU152" s="191"/>
      <c r="AV152" s="191"/>
      <c r="AW152" s="191"/>
      <c r="AX152" s="191"/>
      <c r="AY152" s="191"/>
      <c r="AZ152" s="191"/>
      <c r="BA152" s="191"/>
      <c r="BB152" s="191"/>
      <c r="BC152" s="191"/>
      <c r="BD152" s="191"/>
      <c r="BE152" s="191"/>
      <c r="BF152" s="191"/>
      <c r="BG152" s="191"/>
      <c r="BH152" s="191"/>
      <c r="BI152" s="191"/>
      <c r="BJ152" s="191"/>
      <c r="BK152" s="191"/>
      <c r="BL152" s="191"/>
      <c r="BM152" s="191"/>
      <c r="BN152" s="191"/>
      <c r="BO152" s="191"/>
      <c r="BP152" s="191"/>
    </row>
    <row r="153" spans="11:68">
      <c r="K153" s="191"/>
      <c r="L153" s="191"/>
      <c r="M153" s="191"/>
      <c r="N153" s="191"/>
      <c r="O153" s="191"/>
      <c r="P153" s="191"/>
      <c r="Q153" s="191"/>
      <c r="R153" s="191"/>
      <c r="S153" s="191"/>
      <c r="T153" s="191"/>
      <c r="U153" s="191"/>
      <c r="V153" s="191"/>
      <c r="W153" s="191"/>
      <c r="X153" s="191"/>
      <c r="Y153" s="191"/>
      <c r="Z153" s="191"/>
      <c r="AA153" s="191"/>
      <c r="AB153" s="191"/>
      <c r="AC153" s="191"/>
      <c r="AD153" s="191"/>
      <c r="AE153" s="191"/>
      <c r="AF153" s="191"/>
      <c r="AG153" s="191"/>
      <c r="AH153" s="191"/>
      <c r="AI153" s="191"/>
      <c r="AJ153" s="191"/>
      <c r="AK153" s="191"/>
      <c r="AL153" s="191"/>
      <c r="AM153" s="191"/>
      <c r="AN153" s="191"/>
      <c r="AO153" s="191"/>
      <c r="AP153" s="191"/>
      <c r="AQ153" s="191"/>
      <c r="AR153" s="191"/>
      <c r="AS153" s="191"/>
      <c r="AT153" s="191"/>
      <c r="AU153" s="191"/>
      <c r="AV153" s="191"/>
      <c r="AW153" s="191"/>
      <c r="AX153" s="191"/>
      <c r="AY153" s="191"/>
      <c r="AZ153" s="191"/>
      <c r="BA153" s="191"/>
      <c r="BB153" s="191"/>
      <c r="BC153" s="191"/>
      <c r="BD153" s="191"/>
      <c r="BE153" s="191"/>
      <c r="BF153" s="191"/>
      <c r="BG153" s="191"/>
      <c r="BH153" s="191"/>
      <c r="BI153" s="191"/>
      <c r="BJ153" s="191"/>
      <c r="BK153" s="191"/>
      <c r="BL153" s="191"/>
      <c r="BM153" s="191"/>
      <c r="BN153" s="191"/>
      <c r="BO153" s="191"/>
      <c r="BP153" s="191"/>
    </row>
    <row r="154" spans="11:68">
      <c r="K154" s="191"/>
      <c r="L154" s="191"/>
      <c r="M154" s="191"/>
      <c r="N154" s="191"/>
      <c r="O154" s="191"/>
      <c r="P154" s="191"/>
      <c r="Q154" s="191"/>
      <c r="R154" s="191"/>
      <c r="S154" s="191"/>
      <c r="T154" s="191"/>
      <c r="U154" s="191"/>
      <c r="V154" s="191"/>
      <c r="W154" s="191"/>
      <c r="X154" s="191"/>
      <c r="Y154" s="191"/>
      <c r="Z154" s="191"/>
      <c r="AA154" s="191"/>
      <c r="AB154" s="191"/>
      <c r="AC154" s="191"/>
      <c r="AD154" s="191"/>
      <c r="AE154" s="191"/>
      <c r="AF154" s="191"/>
      <c r="AG154" s="191"/>
      <c r="AH154" s="191"/>
      <c r="AI154" s="191"/>
      <c r="AJ154" s="191"/>
      <c r="AK154" s="191"/>
      <c r="AL154" s="191"/>
      <c r="AM154" s="191"/>
      <c r="AN154" s="191"/>
      <c r="AO154" s="191"/>
      <c r="AP154" s="191"/>
      <c r="AQ154" s="191"/>
      <c r="AR154" s="191"/>
      <c r="AS154" s="191"/>
      <c r="AT154" s="191"/>
      <c r="AU154" s="191"/>
      <c r="AV154" s="191"/>
      <c r="AW154" s="191"/>
      <c r="AX154" s="191"/>
      <c r="AY154" s="191"/>
      <c r="AZ154" s="191"/>
      <c r="BA154" s="191"/>
      <c r="BB154" s="191"/>
      <c r="BC154" s="191"/>
      <c r="BD154" s="191"/>
      <c r="BE154" s="191"/>
      <c r="BF154" s="191"/>
      <c r="BG154" s="191"/>
      <c r="BH154" s="191"/>
      <c r="BI154" s="191"/>
      <c r="BJ154" s="191"/>
      <c r="BK154" s="191"/>
      <c r="BL154" s="191"/>
      <c r="BM154" s="191"/>
      <c r="BN154" s="191"/>
      <c r="BO154" s="191"/>
      <c r="BP154" s="191"/>
    </row>
    <row r="155" spans="11:68">
      <c r="K155" s="191"/>
      <c r="L155" s="191"/>
      <c r="M155" s="191"/>
      <c r="N155" s="191"/>
      <c r="O155" s="191"/>
      <c r="P155" s="191"/>
      <c r="Q155" s="191"/>
      <c r="R155" s="191"/>
      <c r="S155" s="191"/>
      <c r="T155" s="191"/>
      <c r="U155" s="191"/>
      <c r="V155" s="191"/>
      <c r="W155" s="191"/>
      <c r="X155" s="191"/>
      <c r="Y155" s="191"/>
      <c r="Z155" s="191"/>
      <c r="AA155" s="191"/>
      <c r="AB155" s="191"/>
      <c r="AC155" s="191"/>
      <c r="AD155" s="191"/>
      <c r="AE155" s="191"/>
      <c r="AF155" s="191"/>
      <c r="AG155" s="191"/>
      <c r="AH155" s="191"/>
      <c r="AI155" s="191"/>
      <c r="AJ155" s="191"/>
      <c r="AK155" s="191"/>
      <c r="AL155" s="191"/>
      <c r="AM155" s="191"/>
      <c r="AN155" s="191"/>
      <c r="AO155" s="191"/>
      <c r="AP155" s="191"/>
      <c r="AQ155" s="191"/>
      <c r="AR155" s="191"/>
      <c r="AS155" s="191"/>
      <c r="AT155" s="191"/>
      <c r="AU155" s="191"/>
      <c r="AV155" s="191"/>
      <c r="AW155" s="191"/>
      <c r="AX155" s="191"/>
      <c r="AY155" s="191"/>
      <c r="AZ155" s="191"/>
      <c r="BA155" s="191"/>
      <c r="BB155" s="191"/>
      <c r="BC155" s="191"/>
      <c r="BD155" s="191"/>
      <c r="BE155" s="191"/>
      <c r="BF155" s="191"/>
      <c r="BG155" s="191"/>
      <c r="BH155" s="191"/>
      <c r="BI155" s="191"/>
      <c r="BJ155" s="191"/>
      <c r="BK155" s="191"/>
      <c r="BL155" s="191"/>
      <c r="BM155" s="191"/>
      <c r="BN155" s="191"/>
      <c r="BO155" s="191"/>
      <c r="BP155" s="191"/>
    </row>
    <row r="156" spans="11:68">
      <c r="K156" s="191"/>
      <c r="L156" s="191"/>
      <c r="M156" s="191"/>
      <c r="N156" s="191"/>
      <c r="O156" s="191"/>
      <c r="P156" s="191"/>
      <c r="Q156" s="191"/>
      <c r="R156" s="191"/>
      <c r="S156" s="191"/>
      <c r="T156" s="191"/>
      <c r="U156" s="191"/>
      <c r="V156" s="191"/>
      <c r="W156" s="191"/>
      <c r="X156" s="191"/>
      <c r="Y156" s="191"/>
      <c r="Z156" s="191"/>
      <c r="AA156" s="191"/>
      <c r="AB156" s="191"/>
      <c r="AC156" s="191"/>
      <c r="AD156" s="191"/>
      <c r="AE156" s="191"/>
      <c r="AF156" s="191"/>
      <c r="AG156" s="191"/>
      <c r="AH156" s="191"/>
      <c r="AI156" s="191"/>
      <c r="AJ156" s="191"/>
      <c r="AK156" s="191"/>
      <c r="AL156" s="191"/>
      <c r="AM156" s="191"/>
      <c r="AN156" s="191"/>
      <c r="AO156" s="191"/>
      <c r="AP156" s="191"/>
      <c r="AQ156" s="191"/>
      <c r="AR156" s="191"/>
      <c r="AS156" s="191"/>
      <c r="AT156" s="191"/>
      <c r="AU156" s="191"/>
      <c r="AV156" s="191"/>
      <c r="AW156" s="191"/>
      <c r="AX156" s="191"/>
      <c r="AY156" s="191"/>
      <c r="AZ156" s="191"/>
      <c r="BA156" s="191"/>
      <c r="BB156" s="191"/>
      <c r="BC156" s="191"/>
      <c r="BD156" s="191"/>
      <c r="BE156" s="191"/>
      <c r="BF156" s="191"/>
      <c r="BG156" s="191"/>
      <c r="BH156" s="191"/>
      <c r="BI156" s="191"/>
      <c r="BJ156" s="191"/>
      <c r="BK156" s="191"/>
      <c r="BL156" s="191"/>
      <c r="BM156" s="191"/>
      <c r="BN156" s="191"/>
      <c r="BO156" s="191"/>
      <c r="BP156" s="191"/>
    </row>
    <row r="157" spans="11:68">
      <c r="K157" s="191"/>
      <c r="L157" s="191"/>
      <c r="M157" s="191"/>
      <c r="N157" s="191"/>
      <c r="O157" s="191"/>
      <c r="P157" s="191"/>
      <c r="Q157" s="191"/>
      <c r="R157" s="191"/>
      <c r="S157" s="191"/>
      <c r="T157" s="191"/>
      <c r="U157" s="191"/>
      <c r="V157" s="191"/>
      <c r="W157" s="191"/>
      <c r="X157" s="191"/>
      <c r="Y157" s="191"/>
      <c r="Z157" s="191"/>
      <c r="AA157" s="191"/>
      <c r="AB157" s="191"/>
      <c r="AC157" s="191"/>
      <c r="AD157" s="191"/>
      <c r="AE157" s="191"/>
      <c r="AF157" s="191"/>
      <c r="AG157" s="191"/>
      <c r="AH157" s="191"/>
      <c r="AI157" s="191"/>
      <c r="AJ157" s="191"/>
      <c r="AK157" s="191"/>
      <c r="AL157" s="191"/>
      <c r="AM157" s="191"/>
      <c r="AN157" s="191"/>
      <c r="AO157" s="191"/>
      <c r="AP157" s="191"/>
      <c r="AQ157" s="191"/>
      <c r="AR157" s="191"/>
      <c r="AS157" s="191"/>
      <c r="AT157" s="191"/>
      <c r="AU157" s="191"/>
      <c r="AV157" s="191"/>
      <c r="AW157" s="191"/>
      <c r="AX157" s="191"/>
      <c r="AY157" s="191"/>
      <c r="AZ157" s="191"/>
      <c r="BA157" s="191"/>
      <c r="BB157" s="191"/>
      <c r="BC157" s="191"/>
      <c r="BD157" s="191"/>
      <c r="BE157" s="191"/>
      <c r="BF157" s="191"/>
      <c r="BG157" s="191"/>
      <c r="BH157" s="191"/>
      <c r="BI157" s="191"/>
      <c r="BJ157" s="191"/>
      <c r="BK157" s="191"/>
      <c r="BL157" s="191"/>
      <c r="BM157" s="191"/>
      <c r="BN157" s="191"/>
      <c r="BO157" s="191"/>
      <c r="BP157" s="191"/>
    </row>
    <row r="158" spans="11:68">
      <c r="K158" s="191"/>
      <c r="L158" s="191"/>
      <c r="M158" s="191"/>
      <c r="N158" s="191"/>
      <c r="O158" s="191"/>
      <c r="P158" s="191"/>
      <c r="Q158" s="191"/>
      <c r="R158" s="191"/>
      <c r="S158" s="191"/>
      <c r="T158" s="191"/>
      <c r="U158" s="191"/>
      <c r="V158" s="191"/>
      <c r="W158" s="191"/>
      <c r="X158" s="191"/>
      <c r="Y158" s="191"/>
      <c r="Z158" s="191"/>
      <c r="AA158" s="191"/>
      <c r="AB158" s="191"/>
      <c r="AC158" s="191"/>
      <c r="AD158" s="191"/>
      <c r="AE158" s="191"/>
      <c r="AF158" s="191"/>
      <c r="AG158" s="191"/>
      <c r="AH158" s="191"/>
      <c r="AI158" s="191"/>
      <c r="AJ158" s="191"/>
      <c r="AK158" s="191"/>
      <c r="AL158" s="191"/>
      <c r="AM158" s="191"/>
      <c r="AN158" s="191"/>
      <c r="AO158" s="191"/>
      <c r="AP158" s="191"/>
      <c r="AQ158" s="191"/>
      <c r="AR158" s="191"/>
      <c r="AS158" s="191"/>
      <c r="AT158" s="191"/>
      <c r="AU158" s="191"/>
      <c r="AV158" s="191"/>
      <c r="AW158" s="191"/>
      <c r="AX158" s="191"/>
      <c r="AY158" s="191"/>
      <c r="AZ158" s="191"/>
      <c r="BA158" s="191"/>
      <c r="BB158" s="191"/>
      <c r="BC158" s="191"/>
      <c r="BD158" s="191"/>
      <c r="BE158" s="191"/>
      <c r="BF158" s="191"/>
      <c r="BG158" s="191"/>
      <c r="BH158" s="191"/>
      <c r="BI158" s="191"/>
      <c r="BJ158" s="191"/>
      <c r="BK158" s="191"/>
      <c r="BL158" s="191"/>
      <c r="BM158" s="191"/>
      <c r="BN158" s="191"/>
      <c r="BO158" s="191"/>
      <c r="BP158" s="191"/>
    </row>
    <row r="159" spans="11:68">
      <c r="K159" s="191"/>
      <c r="L159" s="191"/>
      <c r="M159" s="191"/>
      <c r="N159" s="191"/>
      <c r="O159" s="191"/>
      <c r="P159" s="191"/>
      <c r="Q159" s="191"/>
      <c r="R159" s="191"/>
      <c r="S159" s="191"/>
      <c r="T159" s="191"/>
      <c r="U159" s="191"/>
      <c r="V159" s="191"/>
      <c r="W159" s="191"/>
      <c r="X159" s="191"/>
      <c r="Y159" s="191"/>
      <c r="Z159" s="191"/>
      <c r="AA159" s="191"/>
      <c r="AB159" s="191"/>
      <c r="AC159" s="191"/>
      <c r="AD159" s="191"/>
      <c r="AE159" s="191"/>
      <c r="AF159" s="191"/>
      <c r="AG159" s="191"/>
      <c r="AH159" s="191"/>
      <c r="AI159" s="191"/>
      <c r="AJ159" s="191"/>
      <c r="AK159" s="191"/>
      <c r="AL159" s="191"/>
      <c r="AM159" s="191"/>
      <c r="AN159" s="191"/>
      <c r="AO159" s="191"/>
      <c r="AP159" s="191"/>
      <c r="AQ159" s="191"/>
      <c r="AR159" s="191"/>
      <c r="AS159" s="191"/>
      <c r="AT159" s="191"/>
      <c r="AU159" s="191"/>
      <c r="AV159" s="191"/>
      <c r="AW159" s="191"/>
      <c r="AX159" s="191"/>
      <c r="AY159" s="191"/>
      <c r="AZ159" s="191"/>
      <c r="BA159" s="191"/>
      <c r="BB159" s="191"/>
      <c r="BC159" s="191"/>
      <c r="BD159" s="191"/>
      <c r="BE159" s="191"/>
      <c r="BF159" s="191"/>
      <c r="BG159" s="191"/>
      <c r="BH159" s="191"/>
      <c r="BI159" s="191"/>
      <c r="BJ159" s="191"/>
      <c r="BK159" s="191"/>
      <c r="BL159" s="191"/>
      <c r="BM159" s="191"/>
      <c r="BN159" s="191"/>
      <c r="BO159" s="191"/>
      <c r="BP159" s="191"/>
    </row>
    <row r="160" spans="11:68">
      <c r="K160" s="191"/>
      <c r="L160" s="191"/>
      <c r="M160" s="191"/>
      <c r="N160" s="191"/>
      <c r="O160" s="191"/>
      <c r="P160" s="191"/>
      <c r="Q160" s="191"/>
      <c r="R160" s="191"/>
      <c r="S160" s="191"/>
      <c r="T160" s="191"/>
      <c r="U160" s="191"/>
      <c r="V160" s="191"/>
      <c r="W160" s="191"/>
      <c r="X160" s="191"/>
      <c r="Y160" s="191"/>
      <c r="Z160" s="191"/>
      <c r="AA160" s="191"/>
      <c r="AB160" s="191"/>
      <c r="AC160" s="191"/>
      <c r="AD160" s="191"/>
      <c r="AE160" s="191"/>
      <c r="AF160" s="191"/>
      <c r="AG160" s="191"/>
      <c r="AH160" s="191"/>
      <c r="AI160" s="191"/>
      <c r="AJ160" s="191"/>
      <c r="AK160" s="191"/>
      <c r="AL160" s="191"/>
      <c r="AM160" s="191"/>
      <c r="AN160" s="191"/>
      <c r="AO160" s="191"/>
      <c r="AP160" s="191"/>
      <c r="AQ160" s="191"/>
      <c r="AR160" s="191"/>
      <c r="AS160" s="191"/>
      <c r="AT160" s="191"/>
      <c r="AU160" s="191"/>
      <c r="AV160" s="191"/>
      <c r="AW160" s="191"/>
      <c r="AX160" s="191"/>
      <c r="AY160" s="191"/>
      <c r="AZ160" s="191"/>
      <c r="BA160" s="191"/>
      <c r="BB160" s="191"/>
      <c r="BC160" s="191"/>
      <c r="BD160" s="191"/>
      <c r="BE160" s="191"/>
      <c r="BF160" s="191"/>
      <c r="BG160" s="191"/>
      <c r="BH160" s="191"/>
      <c r="BI160" s="191"/>
      <c r="BJ160" s="191"/>
      <c r="BK160" s="191"/>
      <c r="BL160" s="191"/>
      <c r="BM160" s="191"/>
      <c r="BN160" s="191"/>
      <c r="BO160" s="191"/>
      <c r="BP160" s="191"/>
    </row>
    <row r="161" spans="11:68">
      <c r="K161" s="191"/>
      <c r="L161" s="191"/>
      <c r="M161" s="191"/>
      <c r="N161" s="191"/>
      <c r="O161" s="191"/>
      <c r="P161" s="191"/>
      <c r="Q161" s="191"/>
      <c r="R161" s="191"/>
      <c r="S161" s="191"/>
      <c r="T161" s="191"/>
      <c r="U161" s="191"/>
      <c r="V161" s="191"/>
      <c r="W161" s="191"/>
      <c r="X161" s="191"/>
      <c r="Y161" s="191"/>
      <c r="Z161" s="191"/>
      <c r="AA161" s="191"/>
      <c r="AB161" s="191"/>
      <c r="AC161" s="191"/>
      <c r="AD161" s="191"/>
      <c r="AE161" s="191"/>
      <c r="AF161" s="191"/>
      <c r="AG161" s="191"/>
      <c r="AH161" s="191"/>
      <c r="AI161" s="191"/>
      <c r="AJ161" s="191"/>
      <c r="AK161" s="191"/>
      <c r="AL161" s="191"/>
      <c r="AM161" s="191"/>
      <c r="AN161" s="191"/>
      <c r="AO161" s="191"/>
      <c r="AP161" s="191"/>
      <c r="AQ161" s="191"/>
      <c r="AR161" s="191"/>
      <c r="AS161" s="191"/>
      <c r="AT161" s="191"/>
      <c r="AU161" s="191"/>
      <c r="AV161" s="191"/>
      <c r="AW161" s="191"/>
      <c r="AX161" s="191"/>
      <c r="AY161" s="191"/>
      <c r="AZ161" s="191"/>
      <c r="BA161" s="191"/>
      <c r="BB161" s="191"/>
      <c r="BC161" s="191"/>
      <c r="BD161" s="191"/>
      <c r="BE161" s="191"/>
      <c r="BF161" s="191"/>
      <c r="BG161" s="191"/>
      <c r="BH161" s="191"/>
      <c r="BI161" s="191"/>
      <c r="BJ161" s="191"/>
      <c r="BK161" s="191"/>
      <c r="BL161" s="191"/>
      <c r="BM161" s="191"/>
      <c r="BN161" s="191"/>
      <c r="BO161" s="191"/>
      <c r="BP161" s="191"/>
    </row>
    <row r="162" spans="11:68">
      <c r="K162" s="191"/>
      <c r="L162" s="191"/>
      <c r="M162" s="191"/>
      <c r="N162" s="191"/>
      <c r="O162" s="191"/>
      <c r="P162" s="191"/>
      <c r="Q162" s="191"/>
      <c r="R162" s="191"/>
      <c r="S162" s="191"/>
      <c r="T162" s="191"/>
      <c r="U162" s="191"/>
      <c r="V162" s="191"/>
      <c r="W162" s="191"/>
      <c r="X162" s="191"/>
      <c r="Y162" s="191"/>
      <c r="Z162" s="191"/>
      <c r="AA162" s="191"/>
      <c r="AB162" s="191"/>
      <c r="AC162" s="191"/>
      <c r="AD162" s="191"/>
      <c r="AE162" s="191"/>
      <c r="AF162" s="191"/>
      <c r="AG162" s="191"/>
      <c r="AH162" s="191"/>
      <c r="AI162" s="191"/>
      <c r="AJ162" s="191"/>
      <c r="AK162" s="191"/>
      <c r="AL162" s="191"/>
      <c r="AM162" s="191"/>
      <c r="AN162" s="191"/>
      <c r="AO162" s="191"/>
      <c r="AP162" s="191"/>
      <c r="AQ162" s="191"/>
      <c r="AR162" s="191"/>
      <c r="AS162" s="191"/>
      <c r="AT162" s="191"/>
      <c r="AU162" s="191"/>
      <c r="AV162" s="191"/>
      <c r="AW162" s="191"/>
      <c r="AX162" s="191"/>
      <c r="AY162" s="191"/>
      <c r="AZ162" s="191"/>
      <c r="BA162" s="191"/>
      <c r="BB162" s="191"/>
      <c r="BC162" s="191"/>
      <c r="BD162" s="191"/>
      <c r="BE162" s="191"/>
      <c r="BF162" s="191"/>
      <c r="BG162" s="191"/>
      <c r="BH162" s="191"/>
      <c r="BI162" s="191"/>
      <c r="BJ162" s="191"/>
      <c r="BK162" s="191"/>
      <c r="BL162" s="191"/>
      <c r="BM162" s="191"/>
      <c r="BN162" s="191"/>
      <c r="BO162" s="191"/>
      <c r="BP162" s="191"/>
    </row>
    <row r="163" spans="11:68">
      <c r="K163" s="191"/>
      <c r="L163" s="191"/>
      <c r="M163" s="191"/>
      <c r="N163" s="191"/>
      <c r="O163" s="191"/>
      <c r="P163" s="191"/>
      <c r="Q163" s="191"/>
      <c r="R163" s="191"/>
      <c r="S163" s="191"/>
      <c r="T163" s="191"/>
      <c r="U163" s="191"/>
      <c r="V163" s="191"/>
      <c r="W163" s="191"/>
      <c r="X163" s="191"/>
      <c r="Y163" s="191"/>
      <c r="Z163" s="191"/>
      <c r="AA163" s="191"/>
      <c r="AB163" s="191"/>
      <c r="AC163" s="191"/>
      <c r="AD163" s="191"/>
      <c r="AE163" s="191"/>
      <c r="AF163" s="191"/>
      <c r="AG163" s="191"/>
      <c r="AH163" s="191"/>
      <c r="AI163" s="191"/>
      <c r="AJ163" s="191"/>
      <c r="AK163" s="191"/>
      <c r="AL163" s="191"/>
      <c r="AM163" s="191"/>
      <c r="AN163" s="191"/>
      <c r="AO163" s="191"/>
      <c r="AP163" s="191"/>
      <c r="AQ163" s="191"/>
      <c r="AR163" s="191"/>
      <c r="AS163" s="191"/>
      <c r="AT163" s="191"/>
      <c r="AU163" s="191"/>
      <c r="AV163" s="191"/>
      <c r="AW163" s="191"/>
      <c r="AX163" s="191"/>
      <c r="AY163" s="191"/>
      <c r="AZ163" s="191"/>
      <c r="BA163" s="191"/>
      <c r="BB163" s="191"/>
      <c r="BC163" s="191"/>
      <c r="BD163" s="191"/>
      <c r="BE163" s="191"/>
      <c r="BF163" s="191"/>
      <c r="BG163" s="191"/>
      <c r="BH163" s="191"/>
      <c r="BI163" s="191"/>
      <c r="BJ163" s="191"/>
      <c r="BK163" s="191"/>
      <c r="BL163" s="191"/>
      <c r="BM163" s="191"/>
      <c r="BN163" s="191"/>
      <c r="BO163" s="191"/>
      <c r="BP163" s="191"/>
    </row>
    <row r="164" spans="11:68">
      <c r="K164" s="191"/>
      <c r="L164" s="191"/>
      <c r="M164" s="191"/>
      <c r="N164" s="191"/>
      <c r="O164" s="191"/>
      <c r="P164" s="191"/>
      <c r="Q164" s="191"/>
      <c r="R164" s="191"/>
      <c r="S164" s="191"/>
      <c r="T164" s="191"/>
      <c r="U164" s="191"/>
      <c r="V164" s="191"/>
      <c r="W164" s="191"/>
      <c r="X164" s="191"/>
      <c r="Y164" s="191"/>
      <c r="Z164" s="191"/>
      <c r="AA164" s="191"/>
      <c r="AB164" s="191"/>
      <c r="AC164" s="191"/>
      <c r="AD164" s="191"/>
      <c r="AE164" s="191"/>
      <c r="AF164" s="191"/>
      <c r="AG164" s="191"/>
      <c r="AH164" s="191"/>
      <c r="AI164" s="191"/>
      <c r="AJ164" s="191"/>
      <c r="AK164" s="191"/>
      <c r="AL164" s="191"/>
      <c r="AM164" s="191"/>
      <c r="AN164" s="191"/>
      <c r="AO164" s="191"/>
      <c r="AP164" s="191"/>
      <c r="AQ164" s="191"/>
      <c r="AR164" s="191"/>
      <c r="AS164" s="191"/>
      <c r="AT164" s="191"/>
      <c r="AU164" s="191"/>
      <c r="AV164" s="191"/>
      <c r="AW164" s="191"/>
      <c r="AX164" s="191"/>
      <c r="AY164" s="191"/>
      <c r="AZ164" s="191"/>
      <c r="BA164" s="191"/>
      <c r="BB164" s="191"/>
      <c r="BC164" s="191"/>
      <c r="BD164" s="191"/>
      <c r="BE164" s="191"/>
      <c r="BF164" s="191"/>
      <c r="BG164" s="191"/>
      <c r="BH164" s="191"/>
      <c r="BI164" s="191"/>
      <c r="BJ164" s="191"/>
      <c r="BK164" s="191"/>
      <c r="BL164" s="191"/>
      <c r="BM164" s="191"/>
      <c r="BN164" s="191"/>
      <c r="BO164" s="191"/>
      <c r="BP164" s="191"/>
    </row>
    <row r="165" spans="11:68">
      <c r="K165" s="191"/>
      <c r="L165" s="191"/>
      <c r="M165" s="191"/>
      <c r="N165" s="191"/>
      <c r="O165" s="191"/>
      <c r="P165" s="191"/>
      <c r="Q165" s="191"/>
      <c r="R165" s="191"/>
      <c r="S165" s="191"/>
      <c r="T165" s="191"/>
      <c r="U165" s="191"/>
      <c r="V165" s="191"/>
      <c r="W165" s="191"/>
      <c r="X165" s="191"/>
      <c r="Y165" s="191"/>
      <c r="Z165" s="191"/>
      <c r="AA165" s="191"/>
      <c r="AB165" s="191"/>
      <c r="AC165" s="191"/>
      <c r="AD165" s="191"/>
      <c r="AE165" s="191"/>
      <c r="AF165" s="191"/>
      <c r="AG165" s="191"/>
      <c r="AH165" s="191"/>
      <c r="AI165" s="191"/>
      <c r="AJ165" s="191"/>
      <c r="AK165" s="191"/>
      <c r="AL165" s="191"/>
      <c r="AM165" s="191"/>
      <c r="AN165" s="191"/>
      <c r="AO165" s="191"/>
      <c r="AP165" s="191"/>
      <c r="AQ165" s="191"/>
      <c r="AR165" s="191"/>
      <c r="AS165" s="191"/>
      <c r="AT165" s="191"/>
      <c r="AU165" s="191"/>
      <c r="AV165" s="191"/>
      <c r="AW165" s="191"/>
      <c r="AX165" s="191"/>
      <c r="AY165" s="191"/>
      <c r="AZ165" s="191"/>
      <c r="BA165" s="191"/>
      <c r="BB165" s="191"/>
      <c r="BC165" s="191"/>
      <c r="BD165" s="191"/>
      <c r="BE165" s="191"/>
      <c r="BF165" s="191"/>
      <c r="BG165" s="191"/>
      <c r="BH165" s="191"/>
      <c r="BI165" s="191"/>
      <c r="BJ165" s="191"/>
      <c r="BK165" s="191"/>
      <c r="BL165" s="191"/>
      <c r="BM165" s="191"/>
      <c r="BN165" s="191"/>
      <c r="BO165" s="191"/>
      <c r="BP165" s="191"/>
    </row>
    <row r="166" spans="11:68">
      <c r="K166" s="191"/>
      <c r="L166" s="191"/>
      <c r="M166" s="191"/>
      <c r="N166" s="191"/>
      <c r="O166" s="191"/>
      <c r="P166" s="191"/>
      <c r="Q166" s="191"/>
      <c r="R166" s="191"/>
      <c r="S166" s="191"/>
      <c r="T166" s="191"/>
      <c r="U166" s="191"/>
      <c r="V166" s="191"/>
      <c r="W166" s="191"/>
      <c r="X166" s="191"/>
      <c r="Y166" s="191"/>
      <c r="Z166" s="191"/>
      <c r="AA166" s="191"/>
      <c r="AB166" s="191"/>
      <c r="AC166" s="191"/>
      <c r="AD166" s="191"/>
      <c r="AE166" s="191"/>
      <c r="AF166" s="191"/>
      <c r="AG166" s="191"/>
      <c r="AH166" s="191"/>
      <c r="AI166" s="191"/>
      <c r="AJ166" s="191"/>
      <c r="AK166" s="191"/>
      <c r="AL166" s="191"/>
      <c r="AM166" s="191"/>
      <c r="AN166" s="191"/>
      <c r="AO166" s="191"/>
      <c r="AP166" s="191"/>
      <c r="AQ166" s="191"/>
      <c r="AR166" s="191"/>
      <c r="AS166" s="191"/>
      <c r="AT166" s="191"/>
      <c r="AU166" s="191"/>
      <c r="AV166" s="191"/>
      <c r="AW166" s="191"/>
      <c r="AX166" s="191"/>
      <c r="AY166" s="191"/>
      <c r="AZ166" s="191"/>
      <c r="BA166" s="191"/>
      <c r="BB166" s="191"/>
      <c r="BC166" s="191"/>
      <c r="BD166" s="191"/>
      <c r="BE166" s="191"/>
      <c r="BF166" s="191"/>
      <c r="BG166" s="191"/>
      <c r="BH166" s="191"/>
      <c r="BI166" s="191"/>
      <c r="BJ166" s="191"/>
      <c r="BK166" s="191"/>
      <c r="BL166" s="191"/>
      <c r="BM166" s="191"/>
      <c r="BN166" s="191"/>
      <c r="BO166" s="191"/>
      <c r="BP166" s="191"/>
    </row>
    <row r="167" spans="11:68">
      <c r="K167" s="191"/>
      <c r="L167" s="191"/>
      <c r="M167" s="191"/>
      <c r="N167" s="191"/>
      <c r="O167" s="191"/>
      <c r="P167" s="191"/>
      <c r="Q167" s="191"/>
      <c r="R167" s="191"/>
      <c r="S167" s="191"/>
      <c r="T167" s="191"/>
      <c r="U167" s="191"/>
      <c r="V167" s="191"/>
      <c r="W167" s="191"/>
      <c r="X167" s="191"/>
      <c r="Y167" s="191"/>
      <c r="Z167" s="191"/>
      <c r="AA167" s="191"/>
      <c r="AB167" s="191"/>
      <c r="AC167" s="191"/>
      <c r="AD167" s="191"/>
      <c r="AE167" s="191"/>
      <c r="AF167" s="191"/>
      <c r="AG167" s="191"/>
      <c r="AH167" s="191"/>
      <c r="AI167" s="191"/>
      <c r="AJ167" s="191"/>
      <c r="AK167" s="191"/>
      <c r="AL167" s="191"/>
      <c r="AM167" s="191"/>
      <c r="AN167" s="191"/>
      <c r="AO167" s="191"/>
      <c r="AP167" s="191"/>
      <c r="AQ167" s="191"/>
      <c r="AR167" s="191"/>
      <c r="AS167" s="191"/>
      <c r="AT167" s="191"/>
      <c r="AU167" s="191"/>
      <c r="AV167" s="191"/>
      <c r="AW167" s="191"/>
      <c r="AX167" s="191"/>
      <c r="AY167" s="191"/>
      <c r="AZ167" s="191"/>
      <c r="BA167" s="191"/>
      <c r="BB167" s="191"/>
      <c r="BC167" s="191"/>
      <c r="BD167" s="191"/>
      <c r="BE167" s="191"/>
      <c r="BF167" s="191"/>
      <c r="BG167" s="191"/>
      <c r="BH167" s="191"/>
      <c r="BI167" s="191"/>
      <c r="BJ167" s="191"/>
      <c r="BK167" s="191"/>
      <c r="BL167" s="191"/>
      <c r="BM167" s="191"/>
      <c r="BN167" s="191"/>
      <c r="BO167" s="191"/>
      <c r="BP167" s="191"/>
    </row>
    <row r="168" spans="11:68">
      <c r="K168" s="191"/>
      <c r="L168" s="191"/>
      <c r="M168" s="191"/>
      <c r="N168" s="191"/>
      <c r="O168" s="191"/>
      <c r="P168" s="191"/>
      <c r="Q168" s="191"/>
      <c r="R168" s="191"/>
      <c r="S168" s="191"/>
      <c r="T168" s="191"/>
      <c r="U168" s="191"/>
      <c r="V168" s="191"/>
      <c r="W168" s="191"/>
      <c r="X168" s="191"/>
      <c r="Y168" s="191"/>
      <c r="Z168" s="191"/>
      <c r="AA168" s="191"/>
      <c r="AB168" s="191"/>
      <c r="AC168" s="191"/>
      <c r="AD168" s="191"/>
      <c r="AE168" s="191"/>
      <c r="AF168" s="191"/>
      <c r="AG168" s="191"/>
      <c r="AH168" s="191"/>
      <c r="AI168" s="191"/>
      <c r="AJ168" s="191"/>
      <c r="AK168" s="191"/>
      <c r="AL168" s="191"/>
      <c r="AM168" s="191"/>
      <c r="AN168" s="191"/>
      <c r="AO168" s="191"/>
      <c r="AP168" s="191"/>
      <c r="AQ168" s="191"/>
      <c r="AR168" s="191"/>
      <c r="AS168" s="191"/>
      <c r="AT168" s="191"/>
      <c r="AU168" s="191"/>
      <c r="AV168" s="191"/>
      <c r="AW168" s="191"/>
      <c r="AX168" s="191"/>
      <c r="AY168" s="191"/>
      <c r="AZ168" s="191"/>
      <c r="BA168" s="191"/>
      <c r="BB168" s="191"/>
      <c r="BC168" s="191"/>
      <c r="BD168" s="191"/>
      <c r="BE168" s="191"/>
      <c r="BF168" s="191"/>
      <c r="BG168" s="191"/>
      <c r="BH168" s="191"/>
      <c r="BI168" s="191"/>
      <c r="BJ168" s="191"/>
      <c r="BK168" s="191"/>
      <c r="BL168" s="191"/>
      <c r="BM168" s="191"/>
      <c r="BN168" s="191"/>
      <c r="BO168" s="191"/>
      <c r="BP168" s="191"/>
    </row>
    <row r="169" spans="11:68">
      <c r="K169" s="191"/>
      <c r="L169" s="191"/>
      <c r="M169" s="191"/>
      <c r="N169" s="191"/>
      <c r="O169" s="191"/>
      <c r="P169" s="191"/>
      <c r="Q169" s="191"/>
      <c r="R169" s="191"/>
      <c r="S169" s="191"/>
      <c r="T169" s="191"/>
      <c r="U169" s="191"/>
      <c r="V169" s="191"/>
      <c r="W169" s="191"/>
      <c r="X169" s="191"/>
      <c r="Y169" s="191"/>
      <c r="Z169" s="191"/>
      <c r="AA169" s="191"/>
      <c r="AB169" s="191"/>
      <c r="AC169" s="191"/>
      <c r="AD169" s="191"/>
      <c r="AE169" s="191"/>
      <c r="AF169" s="191"/>
      <c r="AG169" s="191"/>
      <c r="AH169" s="191"/>
      <c r="AI169" s="191"/>
      <c r="AJ169" s="191"/>
      <c r="AK169" s="191"/>
      <c r="AL169" s="191"/>
      <c r="AM169" s="191"/>
      <c r="AN169" s="191"/>
      <c r="AO169" s="191"/>
      <c r="AP169" s="191"/>
      <c r="AQ169" s="191"/>
      <c r="AR169" s="191"/>
      <c r="AS169" s="191"/>
      <c r="AT169" s="191"/>
      <c r="AU169" s="191"/>
      <c r="AV169" s="191"/>
      <c r="AW169" s="191"/>
      <c r="AX169" s="191"/>
      <c r="AY169" s="191"/>
      <c r="AZ169" s="191"/>
      <c r="BA169" s="191"/>
      <c r="BB169" s="191"/>
      <c r="BC169" s="191"/>
      <c r="BD169" s="191"/>
      <c r="BE169" s="191"/>
      <c r="BF169" s="191"/>
      <c r="BG169" s="191"/>
      <c r="BH169" s="191"/>
      <c r="BI169" s="191"/>
      <c r="BJ169" s="191"/>
      <c r="BK169" s="191"/>
      <c r="BL169" s="191"/>
      <c r="BM169" s="191"/>
      <c r="BN169" s="191"/>
      <c r="BO169" s="191"/>
      <c r="BP169" s="191"/>
    </row>
    <row r="170" spans="11:68">
      <c r="K170" s="191"/>
      <c r="L170" s="191"/>
      <c r="M170" s="191"/>
      <c r="N170" s="191"/>
      <c r="O170" s="191"/>
      <c r="P170" s="191"/>
      <c r="Q170" s="191"/>
      <c r="R170" s="191"/>
      <c r="S170" s="191"/>
      <c r="T170" s="191"/>
      <c r="U170" s="191"/>
      <c r="V170" s="191"/>
      <c r="W170" s="191"/>
      <c r="X170" s="191"/>
      <c r="Y170" s="191"/>
      <c r="Z170" s="191"/>
      <c r="AA170" s="191"/>
      <c r="AB170" s="191"/>
      <c r="AC170" s="191"/>
      <c r="AD170" s="191"/>
      <c r="AE170" s="191"/>
      <c r="AF170" s="191"/>
      <c r="AG170" s="191"/>
      <c r="AH170" s="191"/>
      <c r="AI170" s="191"/>
      <c r="AJ170" s="191"/>
      <c r="AK170" s="191"/>
      <c r="AL170" s="191"/>
      <c r="AM170" s="191"/>
      <c r="AN170" s="191"/>
      <c r="AO170" s="191"/>
      <c r="AP170" s="191"/>
      <c r="AQ170" s="191"/>
      <c r="AR170" s="191"/>
      <c r="AS170" s="191"/>
      <c r="AT170" s="191"/>
      <c r="AU170" s="191"/>
      <c r="AV170" s="191"/>
      <c r="AW170" s="191"/>
      <c r="AX170" s="191"/>
      <c r="AY170" s="191"/>
      <c r="AZ170" s="191"/>
      <c r="BA170" s="191"/>
      <c r="BB170" s="191"/>
      <c r="BC170" s="191"/>
      <c r="BD170" s="191"/>
      <c r="BE170" s="191"/>
      <c r="BF170" s="191"/>
      <c r="BG170" s="191"/>
      <c r="BH170" s="191"/>
      <c r="BI170" s="191"/>
      <c r="BJ170" s="191"/>
      <c r="BK170" s="191"/>
      <c r="BL170" s="191"/>
      <c r="BM170" s="191"/>
      <c r="BN170" s="191"/>
      <c r="BO170" s="191"/>
      <c r="BP170" s="191"/>
    </row>
    <row r="171" spans="11:68">
      <c r="K171" s="191"/>
      <c r="L171" s="191"/>
      <c r="M171" s="191"/>
      <c r="N171" s="191"/>
      <c r="O171" s="191"/>
      <c r="P171" s="191"/>
      <c r="Q171" s="191"/>
      <c r="R171" s="191"/>
      <c r="S171" s="191"/>
      <c r="T171" s="191"/>
      <c r="U171" s="191"/>
      <c r="V171" s="191"/>
      <c r="W171" s="191"/>
      <c r="X171" s="191"/>
      <c r="Y171" s="191"/>
      <c r="Z171" s="191"/>
      <c r="AA171" s="191"/>
      <c r="AB171" s="191"/>
      <c r="AC171" s="191"/>
      <c r="AD171" s="191"/>
      <c r="AE171" s="191"/>
      <c r="AF171" s="191"/>
      <c r="AG171" s="191"/>
      <c r="AH171" s="191"/>
      <c r="AI171" s="191"/>
      <c r="AJ171" s="191"/>
      <c r="AK171" s="191"/>
      <c r="AL171" s="191"/>
      <c r="AM171" s="191"/>
      <c r="AN171" s="191"/>
      <c r="AO171" s="191"/>
      <c r="AP171" s="191"/>
      <c r="AQ171" s="191"/>
      <c r="AR171" s="191"/>
      <c r="AS171" s="191"/>
      <c r="AT171" s="191"/>
      <c r="AU171" s="191"/>
      <c r="AV171" s="191"/>
      <c r="AW171" s="191"/>
      <c r="AX171" s="191"/>
      <c r="AY171" s="191"/>
      <c r="AZ171" s="191"/>
      <c r="BA171" s="191"/>
      <c r="BB171" s="191"/>
      <c r="BC171" s="191"/>
      <c r="BD171" s="191"/>
      <c r="BE171" s="191"/>
      <c r="BF171" s="191"/>
      <c r="BG171" s="191"/>
      <c r="BH171" s="191"/>
      <c r="BI171" s="191"/>
      <c r="BJ171" s="191"/>
      <c r="BK171" s="191"/>
      <c r="BL171" s="191"/>
      <c r="BM171" s="191"/>
      <c r="BN171" s="191"/>
      <c r="BO171" s="191"/>
      <c r="BP171" s="191"/>
    </row>
    <row r="172" spans="11:68">
      <c r="K172" s="191"/>
      <c r="L172" s="191"/>
      <c r="M172" s="191"/>
      <c r="N172" s="191"/>
      <c r="O172" s="191"/>
      <c r="P172" s="191"/>
      <c r="Q172" s="191"/>
      <c r="R172" s="191"/>
      <c r="S172" s="191"/>
      <c r="T172" s="191"/>
      <c r="U172" s="191"/>
      <c r="V172" s="191"/>
      <c r="W172" s="191"/>
      <c r="X172" s="191"/>
      <c r="Y172" s="191"/>
      <c r="Z172" s="191"/>
      <c r="AA172" s="191"/>
      <c r="AB172" s="191"/>
      <c r="AC172" s="191"/>
      <c r="AD172" s="191"/>
      <c r="AE172" s="191"/>
      <c r="AF172" s="191"/>
      <c r="AG172" s="191"/>
      <c r="AH172" s="191"/>
      <c r="AI172" s="191"/>
      <c r="AJ172" s="191"/>
      <c r="AK172" s="191"/>
      <c r="AL172" s="191"/>
      <c r="AM172" s="191"/>
      <c r="AN172" s="191"/>
      <c r="AO172" s="191"/>
      <c r="AP172" s="191"/>
      <c r="AQ172" s="191"/>
      <c r="AR172" s="191"/>
      <c r="AS172" s="191"/>
      <c r="AT172" s="191"/>
      <c r="AU172" s="191"/>
      <c r="AV172" s="191"/>
      <c r="AW172" s="191"/>
      <c r="AX172" s="191"/>
      <c r="AY172" s="191"/>
      <c r="AZ172" s="191"/>
      <c r="BA172" s="191"/>
      <c r="BB172" s="191"/>
      <c r="BC172" s="191"/>
      <c r="BD172" s="191"/>
      <c r="BE172" s="191"/>
      <c r="BF172" s="191"/>
      <c r="BG172" s="191"/>
      <c r="BH172" s="191"/>
      <c r="BI172" s="191"/>
      <c r="BJ172" s="191"/>
      <c r="BK172" s="191"/>
      <c r="BL172" s="191"/>
      <c r="BM172" s="191"/>
      <c r="BN172" s="191"/>
      <c r="BO172" s="191"/>
      <c r="BP172" s="191"/>
    </row>
    <row r="173" spans="11:68">
      <c r="K173" s="191"/>
      <c r="L173" s="191"/>
      <c r="M173" s="191"/>
      <c r="N173" s="191"/>
      <c r="O173" s="191"/>
      <c r="P173" s="191"/>
      <c r="Q173" s="191"/>
      <c r="R173" s="191"/>
      <c r="S173" s="191"/>
      <c r="T173" s="191"/>
      <c r="U173" s="191"/>
      <c r="V173" s="191"/>
      <c r="W173" s="191"/>
      <c r="X173" s="191"/>
      <c r="Y173" s="191"/>
      <c r="Z173" s="191"/>
      <c r="AA173" s="191"/>
      <c r="AB173" s="191"/>
      <c r="AC173" s="191"/>
      <c r="AD173" s="191"/>
      <c r="AE173" s="191"/>
      <c r="AF173" s="191"/>
      <c r="AG173" s="191"/>
      <c r="AH173" s="191"/>
      <c r="AI173" s="191"/>
      <c r="AJ173" s="191"/>
      <c r="AK173" s="191"/>
      <c r="AL173" s="191"/>
      <c r="AM173" s="191"/>
      <c r="AN173" s="191"/>
      <c r="AO173" s="191"/>
      <c r="AP173" s="191"/>
      <c r="AQ173" s="191"/>
      <c r="AR173" s="191"/>
      <c r="AS173" s="191"/>
      <c r="AT173" s="191"/>
      <c r="AU173" s="191"/>
      <c r="AV173" s="191"/>
      <c r="AW173" s="191"/>
      <c r="AX173" s="191"/>
      <c r="AY173" s="191"/>
      <c r="AZ173" s="191"/>
      <c r="BA173" s="191"/>
      <c r="BB173" s="191"/>
      <c r="BC173" s="191"/>
      <c r="BD173" s="191"/>
      <c r="BE173" s="191"/>
      <c r="BF173" s="191"/>
      <c r="BG173" s="191"/>
      <c r="BH173" s="191"/>
      <c r="BI173" s="191"/>
      <c r="BJ173" s="191"/>
      <c r="BK173" s="191"/>
      <c r="BL173" s="191"/>
      <c r="BM173" s="191"/>
      <c r="BN173" s="191"/>
      <c r="BO173" s="191"/>
      <c r="BP173" s="191"/>
    </row>
    <row r="174" spans="11:68">
      <c r="K174" s="191"/>
      <c r="L174" s="191"/>
      <c r="M174" s="191"/>
      <c r="N174" s="191"/>
      <c r="O174" s="191"/>
      <c r="P174" s="191"/>
      <c r="Q174" s="191"/>
      <c r="R174" s="191"/>
      <c r="S174" s="191"/>
      <c r="T174" s="191"/>
      <c r="U174" s="191"/>
      <c r="V174" s="191"/>
      <c r="W174" s="191"/>
      <c r="X174" s="191"/>
      <c r="Y174" s="191"/>
      <c r="Z174" s="191"/>
      <c r="AA174" s="191"/>
      <c r="AB174" s="191"/>
      <c r="AC174" s="191"/>
      <c r="AD174" s="191"/>
      <c r="AE174" s="191"/>
      <c r="AF174" s="191"/>
      <c r="AG174" s="191"/>
      <c r="AH174" s="191"/>
      <c r="AI174" s="191"/>
      <c r="AJ174" s="191"/>
      <c r="AK174" s="191"/>
      <c r="AL174" s="191"/>
      <c r="AM174" s="191"/>
      <c r="AN174" s="191"/>
      <c r="AO174" s="191"/>
      <c r="AP174" s="191"/>
      <c r="AQ174" s="191"/>
      <c r="AR174" s="191"/>
      <c r="AS174" s="191"/>
      <c r="AT174" s="191"/>
      <c r="AU174" s="191"/>
      <c r="AV174" s="191"/>
      <c r="AW174" s="191"/>
      <c r="AX174" s="191"/>
      <c r="AY174" s="191"/>
      <c r="AZ174" s="191"/>
      <c r="BA174" s="191"/>
      <c r="BB174" s="191"/>
      <c r="BC174" s="191"/>
      <c r="BD174" s="191"/>
      <c r="BE174" s="191"/>
      <c r="BF174" s="191"/>
      <c r="BG174" s="191"/>
      <c r="BH174" s="191"/>
      <c r="BI174" s="191"/>
      <c r="BJ174" s="191"/>
      <c r="BK174" s="191"/>
      <c r="BL174" s="191"/>
      <c r="BM174" s="191"/>
      <c r="BN174" s="191"/>
      <c r="BO174" s="191"/>
      <c r="BP174" s="191"/>
    </row>
    <row r="175" spans="11:68">
      <c r="K175" s="191"/>
      <c r="L175" s="191"/>
      <c r="M175" s="191"/>
      <c r="N175" s="191"/>
      <c r="O175" s="191"/>
      <c r="P175" s="191"/>
      <c r="Q175" s="191"/>
      <c r="R175" s="191"/>
      <c r="S175" s="191"/>
      <c r="T175" s="191"/>
      <c r="U175" s="191"/>
      <c r="V175" s="191"/>
      <c r="W175" s="191"/>
      <c r="X175" s="191"/>
      <c r="Y175" s="191"/>
      <c r="Z175" s="191"/>
      <c r="AA175" s="191"/>
      <c r="AB175" s="191"/>
      <c r="AC175" s="191"/>
      <c r="AD175" s="191"/>
      <c r="AE175" s="191"/>
      <c r="AF175" s="191"/>
      <c r="AG175" s="191"/>
      <c r="AH175" s="191"/>
      <c r="AI175" s="191"/>
      <c r="AJ175" s="191"/>
      <c r="AK175" s="191"/>
      <c r="AL175" s="191"/>
      <c r="AM175" s="191"/>
      <c r="AN175" s="191"/>
      <c r="AO175" s="191"/>
      <c r="AP175" s="191"/>
      <c r="AQ175" s="191"/>
      <c r="AR175" s="191"/>
      <c r="AS175" s="191"/>
      <c r="AT175" s="191"/>
      <c r="AU175" s="191"/>
      <c r="AV175" s="191"/>
      <c r="AW175" s="191"/>
      <c r="AX175" s="191"/>
      <c r="AY175" s="191"/>
      <c r="AZ175" s="191"/>
      <c r="BA175" s="191"/>
      <c r="BB175" s="191"/>
      <c r="BC175" s="191"/>
      <c r="BD175" s="191"/>
      <c r="BE175" s="191"/>
      <c r="BF175" s="191"/>
      <c r="BG175" s="191"/>
      <c r="BH175" s="191"/>
      <c r="BI175" s="191"/>
      <c r="BJ175" s="191"/>
      <c r="BK175" s="191"/>
      <c r="BL175" s="191"/>
      <c r="BM175" s="191"/>
      <c r="BN175" s="191"/>
      <c r="BO175" s="191"/>
      <c r="BP175" s="191"/>
    </row>
    <row r="176" spans="11:68">
      <c r="K176" s="191"/>
      <c r="L176" s="191"/>
      <c r="M176" s="191"/>
      <c r="N176" s="191"/>
      <c r="O176" s="191"/>
      <c r="P176" s="191"/>
      <c r="Q176" s="191"/>
      <c r="R176" s="191"/>
      <c r="S176" s="191"/>
      <c r="T176" s="191"/>
      <c r="U176" s="191"/>
      <c r="V176" s="191"/>
      <c r="W176" s="191"/>
      <c r="X176" s="191"/>
      <c r="Y176" s="191"/>
      <c r="Z176" s="191"/>
      <c r="AA176" s="191"/>
      <c r="AB176" s="191"/>
      <c r="AC176" s="191"/>
      <c r="AD176" s="191"/>
      <c r="AE176" s="191"/>
      <c r="AF176" s="191"/>
      <c r="AG176" s="191"/>
      <c r="AH176" s="191"/>
      <c r="AI176" s="191"/>
      <c r="AJ176" s="191"/>
      <c r="AK176" s="191"/>
      <c r="AL176" s="191"/>
      <c r="AM176" s="191"/>
      <c r="AN176" s="191"/>
      <c r="AO176" s="191"/>
      <c r="AP176" s="191"/>
      <c r="AQ176" s="191"/>
      <c r="AR176" s="191"/>
      <c r="AS176" s="191"/>
      <c r="AT176" s="191"/>
      <c r="AU176" s="191"/>
      <c r="AV176" s="191"/>
      <c r="AW176" s="191"/>
      <c r="AX176" s="191"/>
      <c r="AY176" s="191"/>
      <c r="AZ176" s="191"/>
      <c r="BA176" s="191"/>
      <c r="BB176" s="191"/>
      <c r="BC176" s="191"/>
      <c r="BD176" s="191"/>
      <c r="BE176" s="191"/>
      <c r="BF176" s="191"/>
      <c r="BG176" s="191"/>
      <c r="BH176" s="191"/>
      <c r="BI176" s="191"/>
      <c r="BJ176" s="191"/>
      <c r="BK176" s="191"/>
      <c r="BL176" s="191"/>
      <c r="BM176" s="191"/>
      <c r="BN176" s="191"/>
      <c r="BO176" s="191"/>
      <c r="BP176" s="191"/>
    </row>
    <row r="177" spans="11:68">
      <c r="K177" s="191"/>
      <c r="L177" s="191"/>
      <c r="M177" s="191"/>
      <c r="N177" s="191"/>
      <c r="O177" s="191"/>
      <c r="P177" s="191"/>
      <c r="Q177" s="191"/>
      <c r="R177" s="191"/>
      <c r="S177" s="191"/>
      <c r="T177" s="191"/>
      <c r="U177" s="191"/>
      <c r="V177" s="191"/>
      <c r="W177" s="191"/>
      <c r="X177" s="191"/>
      <c r="Y177" s="191"/>
      <c r="Z177" s="191"/>
      <c r="AA177" s="191"/>
      <c r="AB177" s="191"/>
      <c r="AC177" s="191"/>
      <c r="AD177" s="191"/>
      <c r="AE177" s="191"/>
      <c r="AF177" s="191"/>
      <c r="AG177" s="191"/>
      <c r="AH177" s="191"/>
      <c r="AI177" s="191"/>
      <c r="AJ177" s="191"/>
      <c r="AK177" s="191"/>
      <c r="AL177" s="191"/>
      <c r="AM177" s="191"/>
      <c r="AN177" s="191"/>
      <c r="AO177" s="191"/>
      <c r="AP177" s="191"/>
      <c r="AQ177" s="191"/>
      <c r="AR177" s="191"/>
      <c r="AS177" s="191"/>
      <c r="AT177" s="191"/>
      <c r="AU177" s="191"/>
      <c r="AV177" s="191"/>
      <c r="AW177" s="191"/>
      <c r="AX177" s="191"/>
      <c r="AY177" s="191"/>
      <c r="AZ177" s="191"/>
      <c r="BA177" s="191"/>
      <c r="BB177" s="191"/>
      <c r="BC177" s="191"/>
      <c r="BD177" s="191"/>
      <c r="BE177" s="191"/>
      <c r="BF177" s="191"/>
      <c r="BG177" s="191"/>
      <c r="BH177" s="191"/>
      <c r="BI177" s="191"/>
      <c r="BJ177" s="191"/>
      <c r="BK177" s="191"/>
      <c r="BL177" s="191"/>
      <c r="BM177" s="191"/>
      <c r="BN177" s="191"/>
      <c r="BO177" s="191"/>
      <c r="BP177" s="191"/>
    </row>
    <row r="178" spans="11:68">
      <c r="K178" s="191"/>
      <c r="L178" s="191"/>
      <c r="M178" s="191"/>
      <c r="N178" s="191"/>
      <c r="O178" s="191"/>
      <c r="P178" s="191"/>
      <c r="Q178" s="191"/>
      <c r="R178" s="191"/>
      <c r="S178" s="191"/>
      <c r="T178" s="191"/>
      <c r="U178" s="191"/>
      <c r="V178" s="191"/>
      <c r="W178" s="191"/>
      <c r="X178" s="191"/>
      <c r="Y178" s="191"/>
      <c r="Z178" s="191"/>
      <c r="AA178" s="191"/>
      <c r="AB178" s="191"/>
      <c r="AC178" s="191"/>
      <c r="AD178" s="191"/>
      <c r="AE178" s="191"/>
      <c r="AF178" s="191"/>
      <c r="AG178" s="191"/>
      <c r="AH178" s="191"/>
      <c r="AI178" s="191"/>
      <c r="AJ178" s="191"/>
      <c r="AK178" s="191"/>
      <c r="AL178" s="191"/>
      <c r="AM178" s="191"/>
      <c r="AN178" s="191"/>
      <c r="AO178" s="191"/>
      <c r="AP178" s="191"/>
      <c r="AQ178" s="191"/>
      <c r="AR178" s="191"/>
      <c r="AS178" s="191"/>
      <c r="AT178" s="191"/>
      <c r="AU178" s="191"/>
      <c r="AV178" s="191"/>
      <c r="AW178" s="191"/>
      <c r="AX178" s="191"/>
      <c r="AY178" s="191"/>
      <c r="AZ178" s="191"/>
      <c r="BA178" s="191"/>
      <c r="BB178" s="191"/>
      <c r="BC178" s="191"/>
      <c r="BD178" s="191"/>
      <c r="BE178" s="191"/>
      <c r="BF178" s="191"/>
      <c r="BG178" s="191"/>
      <c r="BH178" s="191"/>
      <c r="BI178" s="191"/>
      <c r="BJ178" s="191"/>
      <c r="BK178" s="191"/>
      <c r="BL178" s="191"/>
      <c r="BM178" s="191"/>
      <c r="BN178" s="191"/>
      <c r="BO178" s="191"/>
      <c r="BP178" s="191"/>
    </row>
    <row r="179" spans="11:68">
      <c r="K179" s="191"/>
      <c r="L179" s="191"/>
      <c r="M179" s="191"/>
      <c r="N179" s="191"/>
      <c r="O179" s="191"/>
      <c r="P179" s="191"/>
      <c r="Q179" s="191"/>
      <c r="R179" s="191"/>
      <c r="S179" s="191"/>
      <c r="T179" s="191"/>
      <c r="U179" s="191"/>
      <c r="V179" s="191"/>
      <c r="W179" s="191"/>
      <c r="X179" s="191"/>
      <c r="Y179" s="191"/>
      <c r="Z179" s="191"/>
      <c r="AA179" s="191"/>
      <c r="AB179" s="191"/>
      <c r="AC179" s="191"/>
      <c r="AD179" s="191"/>
      <c r="AE179" s="191"/>
      <c r="AF179" s="191"/>
      <c r="AG179" s="191"/>
      <c r="AH179" s="191"/>
      <c r="AI179" s="191"/>
      <c r="AJ179" s="191"/>
      <c r="AK179" s="191"/>
      <c r="AL179" s="191"/>
      <c r="AM179" s="191"/>
      <c r="AN179" s="191"/>
      <c r="AO179" s="191"/>
      <c r="AP179" s="191"/>
      <c r="AQ179" s="191"/>
      <c r="AR179" s="191"/>
      <c r="AS179" s="191"/>
      <c r="AT179" s="191"/>
      <c r="AU179" s="191"/>
      <c r="AV179" s="191"/>
      <c r="AW179" s="191"/>
      <c r="AX179" s="191"/>
      <c r="AY179" s="191"/>
      <c r="AZ179" s="191"/>
      <c r="BA179" s="191"/>
      <c r="BB179" s="191"/>
      <c r="BC179" s="191"/>
      <c r="BD179" s="191"/>
      <c r="BE179" s="191"/>
      <c r="BF179" s="191"/>
      <c r="BG179" s="191"/>
      <c r="BH179" s="191"/>
      <c r="BI179" s="191"/>
      <c r="BJ179" s="191"/>
      <c r="BK179" s="191"/>
      <c r="BL179" s="191"/>
      <c r="BM179" s="191"/>
      <c r="BN179" s="191"/>
      <c r="BO179" s="191"/>
      <c r="BP179" s="191"/>
    </row>
    <row r="180" spans="11:68">
      <c r="K180" s="191"/>
      <c r="L180" s="191"/>
      <c r="M180" s="191"/>
      <c r="N180" s="191"/>
      <c r="O180" s="191"/>
      <c r="P180" s="191"/>
      <c r="Q180" s="191"/>
      <c r="R180" s="191"/>
      <c r="S180" s="191"/>
      <c r="T180" s="191"/>
      <c r="U180" s="191"/>
      <c r="V180" s="191"/>
      <c r="W180" s="191"/>
      <c r="X180" s="191"/>
      <c r="Y180" s="191"/>
      <c r="Z180" s="191"/>
      <c r="AA180" s="191"/>
      <c r="AB180" s="191"/>
      <c r="AC180" s="191"/>
      <c r="AD180" s="191"/>
      <c r="AE180" s="191"/>
      <c r="AF180" s="191"/>
      <c r="AG180" s="191"/>
      <c r="AH180" s="191"/>
      <c r="AI180" s="191"/>
      <c r="AJ180" s="191"/>
      <c r="AK180" s="191"/>
      <c r="AL180" s="191"/>
      <c r="AM180" s="191"/>
      <c r="AN180" s="191"/>
      <c r="AO180" s="191"/>
      <c r="AP180" s="191"/>
      <c r="AQ180" s="191"/>
      <c r="AR180" s="191"/>
      <c r="AS180" s="191"/>
      <c r="AT180" s="191"/>
      <c r="AU180" s="191"/>
      <c r="AV180" s="191"/>
      <c r="AW180" s="191"/>
      <c r="AX180" s="191"/>
      <c r="AY180" s="191"/>
      <c r="AZ180" s="191"/>
      <c r="BA180" s="191"/>
      <c r="BB180" s="191"/>
      <c r="BC180" s="191"/>
      <c r="BD180" s="191"/>
      <c r="BE180" s="191"/>
      <c r="BF180" s="191"/>
      <c r="BG180" s="191"/>
      <c r="BH180" s="191"/>
      <c r="BI180" s="191"/>
      <c r="BJ180" s="191"/>
      <c r="BK180" s="191"/>
      <c r="BL180" s="191"/>
      <c r="BM180" s="191"/>
      <c r="BN180" s="191"/>
      <c r="BO180" s="191"/>
      <c r="BP180" s="191"/>
    </row>
    <row r="181" spans="11:68">
      <c r="K181" s="191"/>
      <c r="L181" s="191"/>
      <c r="M181" s="191"/>
      <c r="N181" s="191"/>
      <c r="O181" s="191"/>
      <c r="P181" s="191"/>
      <c r="Q181" s="191"/>
      <c r="R181" s="191"/>
      <c r="S181" s="191"/>
      <c r="T181" s="191"/>
      <c r="U181" s="191"/>
      <c r="V181" s="191"/>
      <c r="W181" s="191"/>
      <c r="X181" s="191"/>
      <c r="Y181" s="191"/>
      <c r="Z181" s="191"/>
      <c r="AA181" s="191"/>
      <c r="AB181" s="191"/>
      <c r="AC181" s="191"/>
      <c r="AD181" s="191"/>
      <c r="AE181" s="191"/>
      <c r="AF181" s="191"/>
      <c r="AG181" s="191"/>
      <c r="AH181" s="191"/>
      <c r="AI181" s="191"/>
      <c r="AJ181" s="191"/>
      <c r="AK181" s="191"/>
      <c r="AL181" s="191"/>
      <c r="AM181" s="191"/>
      <c r="AN181" s="191"/>
      <c r="AO181" s="191"/>
      <c r="AP181" s="191"/>
      <c r="AQ181" s="191"/>
      <c r="AR181" s="191"/>
      <c r="AS181" s="191"/>
      <c r="AT181" s="191"/>
      <c r="AU181" s="191"/>
      <c r="AV181" s="191"/>
      <c r="AW181" s="191"/>
      <c r="AX181" s="191"/>
      <c r="AY181" s="191"/>
      <c r="AZ181" s="191"/>
      <c r="BA181" s="191"/>
      <c r="BB181" s="191"/>
      <c r="BC181" s="191"/>
      <c r="BD181" s="191"/>
      <c r="BE181" s="191"/>
      <c r="BF181" s="191"/>
      <c r="BG181" s="191"/>
      <c r="BH181" s="191"/>
      <c r="BI181" s="191"/>
      <c r="BJ181" s="191"/>
      <c r="BK181" s="191"/>
      <c r="BL181" s="191"/>
      <c r="BM181" s="191"/>
      <c r="BN181" s="191"/>
      <c r="BO181" s="191"/>
      <c r="BP181" s="191"/>
    </row>
    <row r="182" spans="11:68">
      <c r="K182" s="191"/>
      <c r="L182" s="191"/>
      <c r="M182" s="191"/>
      <c r="N182" s="191"/>
      <c r="O182" s="191"/>
      <c r="P182" s="191"/>
      <c r="Q182" s="191"/>
      <c r="R182" s="191"/>
      <c r="S182" s="191"/>
      <c r="T182" s="191"/>
      <c r="U182" s="191"/>
      <c r="V182" s="191"/>
      <c r="W182" s="191"/>
      <c r="X182" s="191"/>
      <c r="Y182" s="191"/>
      <c r="Z182" s="191"/>
      <c r="AA182" s="191"/>
      <c r="AB182" s="191"/>
      <c r="AC182" s="191"/>
      <c r="AD182" s="191"/>
      <c r="AE182" s="191"/>
      <c r="AF182" s="191"/>
      <c r="AG182" s="191"/>
      <c r="AH182" s="191"/>
      <c r="AI182" s="191"/>
      <c r="AJ182" s="191"/>
      <c r="AK182" s="191"/>
      <c r="AL182" s="191"/>
      <c r="AM182" s="191"/>
      <c r="AN182" s="191"/>
      <c r="AO182" s="191"/>
      <c r="AP182" s="191"/>
      <c r="AQ182" s="191"/>
      <c r="AR182" s="191"/>
      <c r="AS182" s="191"/>
      <c r="AT182" s="191"/>
      <c r="AU182" s="191"/>
      <c r="AV182" s="191"/>
      <c r="AW182" s="191"/>
      <c r="AX182" s="191"/>
      <c r="AY182" s="191"/>
      <c r="AZ182" s="191"/>
      <c r="BA182" s="191"/>
      <c r="BB182" s="191"/>
      <c r="BC182" s="191"/>
      <c r="BD182" s="191"/>
      <c r="BE182" s="191"/>
      <c r="BF182" s="191"/>
      <c r="BG182" s="191"/>
      <c r="BH182" s="191"/>
      <c r="BI182" s="191"/>
      <c r="BJ182" s="191"/>
      <c r="BK182" s="191"/>
      <c r="BL182" s="191"/>
      <c r="BM182" s="191"/>
      <c r="BN182" s="191"/>
      <c r="BO182" s="191"/>
      <c r="BP182" s="191"/>
    </row>
    <row r="183" spans="11:68">
      <c r="K183" s="191"/>
      <c r="L183" s="191"/>
      <c r="M183" s="191"/>
      <c r="N183" s="191"/>
      <c r="O183" s="191"/>
      <c r="P183" s="191"/>
      <c r="Q183" s="191"/>
      <c r="R183" s="191"/>
      <c r="S183" s="191"/>
      <c r="T183" s="191"/>
      <c r="U183" s="191"/>
      <c r="V183" s="191"/>
      <c r="W183" s="191"/>
      <c r="X183" s="191"/>
      <c r="Y183" s="191"/>
      <c r="Z183" s="191"/>
      <c r="AA183" s="191"/>
      <c r="AB183" s="191"/>
      <c r="AC183" s="191"/>
      <c r="AD183" s="191"/>
      <c r="AE183" s="191"/>
      <c r="AF183" s="191"/>
      <c r="AG183" s="191"/>
      <c r="AH183" s="191"/>
      <c r="AI183" s="191"/>
      <c r="AJ183" s="191"/>
      <c r="AK183" s="191"/>
      <c r="AL183" s="191"/>
      <c r="AM183" s="191"/>
      <c r="AN183" s="191"/>
      <c r="AO183" s="191"/>
      <c r="AP183" s="191"/>
      <c r="AQ183" s="191"/>
      <c r="AR183" s="191"/>
      <c r="AS183" s="191"/>
      <c r="AT183" s="191"/>
      <c r="AU183" s="191"/>
      <c r="AV183" s="191"/>
      <c r="AW183" s="191"/>
      <c r="AX183" s="191"/>
      <c r="AY183" s="191"/>
      <c r="AZ183" s="191"/>
      <c r="BA183" s="191"/>
      <c r="BB183" s="191"/>
      <c r="BC183" s="191"/>
      <c r="BD183" s="191"/>
      <c r="BE183" s="191"/>
      <c r="BF183" s="191"/>
      <c r="BG183" s="191"/>
      <c r="BH183" s="191"/>
      <c r="BI183" s="191"/>
      <c r="BJ183" s="191"/>
      <c r="BK183" s="191"/>
      <c r="BL183" s="191"/>
      <c r="BM183" s="191"/>
      <c r="BN183" s="191"/>
      <c r="BO183" s="191"/>
      <c r="BP183" s="191"/>
    </row>
    <row r="184" spans="11:68">
      <c r="K184" s="191"/>
      <c r="L184" s="191"/>
      <c r="M184" s="191"/>
      <c r="N184" s="191"/>
      <c r="O184" s="191"/>
      <c r="P184" s="191"/>
      <c r="Q184" s="191"/>
      <c r="R184" s="191"/>
      <c r="S184" s="191"/>
      <c r="T184" s="191"/>
      <c r="U184" s="191"/>
      <c r="V184" s="191"/>
      <c r="W184" s="191"/>
      <c r="X184" s="191"/>
      <c r="Y184" s="191"/>
      <c r="Z184" s="191"/>
      <c r="AA184" s="191"/>
      <c r="AB184" s="191"/>
      <c r="AC184" s="191"/>
      <c r="AD184" s="191"/>
      <c r="AE184" s="191"/>
      <c r="AF184" s="191"/>
      <c r="AG184" s="191"/>
      <c r="AH184" s="191"/>
      <c r="AI184" s="191"/>
      <c r="AJ184" s="191"/>
      <c r="AK184" s="191"/>
      <c r="AL184" s="191"/>
      <c r="AM184" s="191"/>
      <c r="AN184" s="191"/>
      <c r="AO184" s="191"/>
      <c r="AP184" s="191"/>
      <c r="AQ184" s="191"/>
      <c r="AR184" s="191"/>
      <c r="AS184" s="191"/>
      <c r="AT184" s="191"/>
      <c r="AU184" s="191"/>
      <c r="AV184" s="191"/>
      <c r="AW184" s="191"/>
      <c r="AX184" s="191"/>
      <c r="AY184" s="191"/>
      <c r="AZ184" s="191"/>
      <c r="BA184" s="191"/>
      <c r="BB184" s="191"/>
      <c r="BC184" s="191"/>
      <c r="BD184" s="191"/>
      <c r="BE184" s="191"/>
      <c r="BF184" s="191"/>
      <c r="BG184" s="191"/>
      <c r="BH184" s="191"/>
      <c r="BI184" s="191"/>
      <c r="BJ184" s="191"/>
      <c r="BK184" s="191"/>
      <c r="BL184" s="191"/>
      <c r="BM184" s="191"/>
      <c r="BN184" s="191"/>
      <c r="BO184" s="191"/>
      <c r="BP184" s="191"/>
    </row>
    <row r="185" spans="11:68">
      <c r="K185" s="191"/>
      <c r="L185" s="191"/>
      <c r="M185" s="191"/>
      <c r="N185" s="191"/>
      <c r="O185" s="191"/>
      <c r="P185" s="191"/>
      <c r="Q185" s="191"/>
      <c r="R185" s="191"/>
      <c r="S185" s="191"/>
      <c r="T185" s="191"/>
      <c r="U185" s="191"/>
      <c r="V185" s="191"/>
      <c r="W185" s="191"/>
      <c r="X185" s="191"/>
      <c r="Y185" s="191"/>
      <c r="Z185" s="191"/>
      <c r="AA185" s="191"/>
      <c r="AB185" s="191"/>
      <c r="AC185" s="191"/>
      <c r="AD185" s="191"/>
      <c r="AE185" s="191"/>
      <c r="AF185" s="191"/>
      <c r="AG185" s="191"/>
      <c r="AH185" s="191"/>
      <c r="AI185" s="191"/>
      <c r="AJ185" s="191"/>
      <c r="AK185" s="191"/>
      <c r="AL185" s="191"/>
      <c r="AM185" s="191"/>
      <c r="AN185" s="191"/>
      <c r="AO185" s="191"/>
      <c r="AP185" s="191"/>
      <c r="AQ185" s="191"/>
      <c r="AR185" s="191"/>
      <c r="AS185" s="191"/>
      <c r="AT185" s="191"/>
      <c r="AU185" s="191"/>
      <c r="AV185" s="191"/>
      <c r="AW185" s="191"/>
      <c r="AX185" s="191"/>
      <c r="AY185" s="191"/>
      <c r="AZ185" s="191"/>
      <c r="BA185" s="191"/>
      <c r="BB185" s="191"/>
      <c r="BC185" s="191"/>
      <c r="BD185" s="191"/>
      <c r="BE185" s="191"/>
      <c r="BF185" s="191"/>
      <c r="BG185" s="191"/>
      <c r="BH185" s="191"/>
      <c r="BI185" s="191"/>
      <c r="BJ185" s="191"/>
      <c r="BK185" s="191"/>
      <c r="BL185" s="191"/>
      <c r="BM185" s="191"/>
      <c r="BN185" s="191"/>
      <c r="BO185" s="191"/>
      <c r="BP185" s="191"/>
    </row>
    <row r="186" spans="11:68">
      <c r="K186" s="191"/>
      <c r="L186" s="191"/>
      <c r="M186" s="191"/>
      <c r="N186" s="191"/>
      <c r="O186" s="191"/>
      <c r="P186" s="191"/>
      <c r="Q186" s="191"/>
      <c r="R186" s="191"/>
      <c r="S186" s="191"/>
      <c r="T186" s="191"/>
      <c r="U186" s="191"/>
      <c r="V186" s="191"/>
      <c r="W186" s="191"/>
      <c r="X186" s="191"/>
      <c r="Y186" s="191"/>
      <c r="Z186" s="191"/>
      <c r="AA186" s="191"/>
      <c r="AB186" s="191"/>
      <c r="AC186" s="191"/>
      <c r="AD186" s="191"/>
      <c r="AE186" s="191"/>
      <c r="AF186" s="191"/>
      <c r="AG186" s="191"/>
      <c r="AH186" s="191"/>
      <c r="AI186" s="191"/>
      <c r="AJ186" s="191"/>
      <c r="AK186" s="191"/>
      <c r="AL186" s="191"/>
      <c r="AM186" s="191"/>
      <c r="AN186" s="191"/>
      <c r="AO186" s="191"/>
      <c r="AP186" s="191"/>
      <c r="AQ186" s="191"/>
      <c r="AR186" s="191"/>
      <c r="AS186" s="191"/>
      <c r="AT186" s="191"/>
      <c r="AU186" s="191"/>
      <c r="AV186" s="191"/>
      <c r="AW186" s="191"/>
      <c r="AX186" s="191"/>
      <c r="AY186" s="191"/>
      <c r="AZ186" s="191"/>
      <c r="BA186" s="191"/>
      <c r="BB186" s="191"/>
      <c r="BC186" s="191"/>
      <c r="BD186" s="191"/>
      <c r="BE186" s="191"/>
      <c r="BF186" s="191"/>
      <c r="BG186" s="191"/>
      <c r="BH186" s="191"/>
      <c r="BI186" s="191"/>
      <c r="BJ186" s="191"/>
      <c r="BK186" s="191"/>
      <c r="BL186" s="191"/>
      <c r="BM186" s="191"/>
      <c r="BN186" s="191"/>
      <c r="BO186" s="191"/>
      <c r="BP186" s="191"/>
    </row>
    <row r="187" spans="11:68">
      <c r="K187" s="191"/>
      <c r="L187" s="191"/>
      <c r="M187" s="191"/>
      <c r="N187" s="191"/>
      <c r="O187" s="191"/>
      <c r="P187" s="191"/>
      <c r="Q187" s="191"/>
      <c r="R187" s="191"/>
      <c r="S187" s="191"/>
      <c r="T187" s="191"/>
      <c r="U187" s="191"/>
      <c r="V187" s="191"/>
      <c r="W187" s="191"/>
      <c r="X187" s="191"/>
      <c r="Y187" s="191"/>
      <c r="Z187" s="191"/>
      <c r="AA187" s="191"/>
      <c r="AB187" s="191"/>
      <c r="AC187" s="191"/>
      <c r="AD187" s="191"/>
      <c r="AE187" s="191"/>
      <c r="AF187" s="191"/>
      <c r="AG187" s="191"/>
      <c r="AH187" s="191"/>
      <c r="AI187" s="191"/>
      <c r="AJ187" s="191"/>
      <c r="AK187" s="191"/>
      <c r="AL187" s="191"/>
      <c r="AM187" s="191"/>
      <c r="AN187" s="191"/>
      <c r="AO187" s="191"/>
      <c r="AP187" s="191"/>
      <c r="AQ187" s="191"/>
      <c r="AR187" s="191"/>
      <c r="AS187" s="191"/>
      <c r="AT187" s="191"/>
      <c r="AU187" s="191"/>
      <c r="AV187" s="191"/>
      <c r="AW187" s="191"/>
      <c r="AX187" s="191"/>
      <c r="AY187" s="191"/>
      <c r="AZ187" s="191"/>
      <c r="BA187" s="191"/>
      <c r="BB187" s="191"/>
      <c r="BC187" s="191"/>
      <c r="BD187" s="191"/>
      <c r="BE187" s="191"/>
      <c r="BF187" s="191"/>
      <c r="BG187" s="191"/>
      <c r="BH187" s="191"/>
      <c r="BI187" s="191"/>
      <c r="BJ187" s="191"/>
      <c r="BK187" s="191"/>
      <c r="BL187" s="191"/>
      <c r="BM187" s="191"/>
      <c r="BN187" s="191"/>
      <c r="BO187" s="191"/>
      <c r="BP187" s="191"/>
    </row>
    <row r="188" spans="11:68">
      <c r="K188" s="191"/>
      <c r="L188" s="191"/>
      <c r="M188" s="191"/>
      <c r="N188" s="191"/>
      <c r="O188" s="191"/>
      <c r="P188" s="191"/>
      <c r="Q188" s="191"/>
      <c r="R188" s="191"/>
      <c r="S188" s="191"/>
      <c r="T188" s="191"/>
      <c r="U188" s="191"/>
      <c r="V188" s="191"/>
      <c r="W188" s="191"/>
      <c r="X188" s="191"/>
      <c r="Y188" s="191"/>
      <c r="Z188" s="191"/>
      <c r="AA188" s="191"/>
      <c r="AB188" s="191"/>
      <c r="AC188" s="191"/>
      <c r="AD188" s="191"/>
      <c r="AE188" s="191"/>
      <c r="AF188" s="191"/>
      <c r="AG188" s="191"/>
      <c r="AH188" s="191"/>
      <c r="AI188" s="191"/>
      <c r="AJ188" s="191"/>
      <c r="AK188" s="191"/>
      <c r="AL188" s="191"/>
      <c r="AM188" s="191"/>
      <c r="AN188" s="191"/>
      <c r="AO188" s="191"/>
      <c r="AP188" s="191"/>
      <c r="AQ188" s="191"/>
      <c r="AR188" s="191"/>
      <c r="AS188" s="191"/>
      <c r="AT188" s="191"/>
      <c r="AU188" s="191"/>
      <c r="AV188" s="191"/>
      <c r="AW188" s="191"/>
      <c r="AX188" s="191"/>
      <c r="AY188" s="191"/>
      <c r="AZ188" s="191"/>
      <c r="BA188" s="191"/>
      <c r="BB188" s="191"/>
      <c r="BC188" s="191"/>
      <c r="BD188" s="191"/>
      <c r="BE188" s="191"/>
      <c r="BF188" s="191"/>
      <c r="BG188" s="191"/>
      <c r="BH188" s="191"/>
      <c r="BI188" s="191"/>
      <c r="BJ188" s="191"/>
      <c r="BK188" s="191"/>
      <c r="BL188" s="191"/>
      <c r="BM188" s="191"/>
      <c r="BN188" s="191"/>
      <c r="BO188" s="191"/>
      <c r="BP188" s="191"/>
    </row>
    <row r="189" spans="11:68">
      <c r="K189" s="191"/>
      <c r="L189" s="191"/>
      <c r="M189" s="191"/>
      <c r="N189" s="191"/>
      <c r="O189" s="191"/>
      <c r="P189" s="191"/>
      <c r="Q189" s="191"/>
      <c r="R189" s="191"/>
      <c r="S189" s="191"/>
      <c r="T189" s="191"/>
      <c r="U189" s="191"/>
      <c r="V189" s="191"/>
      <c r="W189" s="191"/>
      <c r="X189" s="191"/>
      <c r="Y189" s="191"/>
      <c r="Z189" s="191"/>
      <c r="AA189" s="191"/>
      <c r="AB189" s="191"/>
      <c r="AC189" s="191"/>
      <c r="AD189" s="191"/>
      <c r="AE189" s="191"/>
      <c r="AF189" s="191"/>
      <c r="AG189" s="191"/>
      <c r="AH189" s="191"/>
      <c r="AI189" s="191"/>
      <c r="AJ189" s="191"/>
      <c r="AK189" s="191"/>
      <c r="AL189" s="191"/>
      <c r="AM189" s="191"/>
      <c r="AN189" s="191"/>
      <c r="AO189" s="191"/>
      <c r="AP189" s="191"/>
      <c r="AQ189" s="191"/>
      <c r="AR189" s="191"/>
      <c r="AS189" s="191"/>
      <c r="AT189" s="191"/>
      <c r="AU189" s="191"/>
      <c r="AV189" s="191"/>
      <c r="AW189" s="191"/>
      <c r="AX189" s="191"/>
      <c r="AY189" s="191"/>
      <c r="AZ189" s="191"/>
      <c r="BA189" s="191"/>
      <c r="BB189" s="191"/>
      <c r="BC189" s="191"/>
      <c r="BD189" s="191"/>
      <c r="BE189" s="191"/>
      <c r="BF189" s="191"/>
      <c r="BG189" s="191"/>
      <c r="BH189" s="191"/>
      <c r="BI189" s="191"/>
      <c r="BJ189" s="191"/>
      <c r="BK189" s="191"/>
      <c r="BL189" s="191"/>
      <c r="BM189" s="191"/>
      <c r="BN189" s="191"/>
      <c r="BO189" s="191"/>
      <c r="BP189" s="191"/>
    </row>
    <row r="190" spans="11:68">
      <c r="K190" s="191"/>
      <c r="L190" s="191"/>
      <c r="M190" s="191"/>
      <c r="N190" s="191"/>
      <c r="O190" s="191"/>
      <c r="P190" s="191"/>
      <c r="Q190" s="191"/>
      <c r="R190" s="191"/>
      <c r="S190" s="191"/>
      <c r="T190" s="191"/>
      <c r="U190" s="191"/>
      <c r="V190" s="191"/>
      <c r="W190" s="191"/>
      <c r="X190" s="191"/>
      <c r="Y190" s="191"/>
      <c r="Z190" s="191"/>
      <c r="AA190" s="191"/>
      <c r="AB190" s="191"/>
      <c r="AC190" s="191"/>
      <c r="AD190" s="191"/>
      <c r="AE190" s="191"/>
      <c r="AF190" s="191"/>
      <c r="AG190" s="191"/>
      <c r="AH190" s="191"/>
      <c r="AI190" s="191"/>
      <c r="AJ190" s="191"/>
      <c r="AK190" s="191"/>
      <c r="AL190" s="191"/>
      <c r="AM190" s="191"/>
      <c r="AN190" s="191"/>
      <c r="AO190" s="191"/>
      <c r="AP190" s="191"/>
      <c r="AQ190" s="191"/>
      <c r="AR190" s="191"/>
      <c r="AS190" s="191"/>
      <c r="AT190" s="191"/>
      <c r="AU190" s="191"/>
      <c r="AV190" s="191"/>
      <c r="AW190" s="191"/>
      <c r="AX190" s="191"/>
      <c r="AY190" s="191"/>
      <c r="AZ190" s="191"/>
      <c r="BA190" s="191"/>
      <c r="BB190" s="191"/>
      <c r="BC190" s="191"/>
      <c r="BD190" s="191"/>
      <c r="BE190" s="191"/>
      <c r="BF190" s="191"/>
      <c r="BG190" s="191"/>
      <c r="BH190" s="191"/>
      <c r="BI190" s="191"/>
      <c r="BJ190" s="191"/>
      <c r="BK190" s="191"/>
      <c r="BL190" s="191"/>
      <c r="BM190" s="191"/>
      <c r="BN190" s="191"/>
      <c r="BO190" s="191"/>
      <c r="BP190" s="191"/>
    </row>
    <row r="191" spans="11:68">
      <c r="K191" s="191"/>
      <c r="L191" s="191"/>
      <c r="M191" s="191"/>
      <c r="N191" s="191"/>
      <c r="O191" s="191"/>
      <c r="P191" s="191"/>
      <c r="Q191" s="191"/>
      <c r="R191" s="191"/>
      <c r="S191" s="191"/>
      <c r="T191" s="191"/>
      <c r="U191" s="191"/>
      <c r="V191" s="191"/>
      <c r="W191" s="191"/>
      <c r="X191" s="191"/>
      <c r="Y191" s="191"/>
      <c r="Z191" s="191"/>
      <c r="AA191" s="191"/>
      <c r="AB191" s="191"/>
      <c r="AC191" s="191"/>
      <c r="AD191" s="191"/>
      <c r="AE191" s="191"/>
      <c r="AF191" s="191"/>
      <c r="AG191" s="191"/>
      <c r="AH191" s="191"/>
      <c r="AI191" s="191"/>
      <c r="AJ191" s="191"/>
      <c r="AK191" s="191"/>
      <c r="AL191" s="191"/>
      <c r="AM191" s="191"/>
      <c r="AN191" s="191"/>
      <c r="AO191" s="191"/>
      <c r="AP191" s="191"/>
      <c r="AQ191" s="191"/>
      <c r="AR191" s="191"/>
      <c r="AS191" s="191"/>
      <c r="AT191" s="191"/>
      <c r="AU191" s="191"/>
      <c r="AV191" s="191"/>
      <c r="AW191" s="191"/>
      <c r="AX191" s="191"/>
      <c r="AY191" s="191"/>
      <c r="AZ191" s="191"/>
      <c r="BA191" s="191"/>
      <c r="BB191" s="191"/>
      <c r="BC191" s="191"/>
      <c r="BD191" s="191"/>
      <c r="BE191" s="191"/>
      <c r="BF191" s="191"/>
      <c r="BG191" s="191"/>
      <c r="BH191" s="191"/>
      <c r="BI191" s="191"/>
      <c r="BJ191" s="191"/>
      <c r="BK191" s="191"/>
      <c r="BL191" s="191"/>
      <c r="BM191" s="191"/>
      <c r="BN191" s="191"/>
      <c r="BO191" s="191"/>
      <c r="BP191" s="191"/>
    </row>
    <row r="192" spans="11:68">
      <c r="K192" s="191"/>
      <c r="L192" s="191"/>
      <c r="M192" s="191"/>
      <c r="N192" s="191"/>
      <c r="O192" s="191"/>
      <c r="P192" s="191"/>
      <c r="Q192" s="191"/>
      <c r="R192" s="191"/>
      <c r="S192" s="191"/>
      <c r="T192" s="191"/>
      <c r="U192" s="191"/>
      <c r="V192" s="191"/>
      <c r="W192" s="191"/>
      <c r="X192" s="191"/>
      <c r="Y192" s="191"/>
      <c r="Z192" s="191"/>
      <c r="AA192" s="191"/>
      <c r="AB192" s="191"/>
      <c r="AC192" s="191"/>
      <c r="AD192" s="191"/>
      <c r="AE192" s="191"/>
      <c r="AF192" s="191"/>
      <c r="AG192" s="191"/>
      <c r="AH192" s="191"/>
      <c r="AI192" s="191"/>
      <c r="AJ192" s="191"/>
      <c r="AK192" s="191"/>
      <c r="AL192" s="191"/>
      <c r="AM192" s="191"/>
      <c r="AN192" s="191"/>
      <c r="AO192" s="191"/>
      <c r="AP192" s="191"/>
      <c r="AQ192" s="191"/>
      <c r="AR192" s="191"/>
      <c r="AS192" s="191"/>
      <c r="AT192" s="191"/>
      <c r="AU192" s="191"/>
      <c r="AV192" s="191"/>
      <c r="AW192" s="191"/>
      <c r="AX192" s="191"/>
      <c r="AY192" s="191"/>
      <c r="AZ192" s="191"/>
      <c r="BA192" s="191"/>
      <c r="BB192" s="191"/>
      <c r="BC192" s="191"/>
      <c r="BD192" s="191"/>
      <c r="BE192" s="191"/>
      <c r="BF192" s="191"/>
      <c r="BG192" s="191"/>
      <c r="BH192" s="191"/>
      <c r="BI192" s="191"/>
      <c r="BJ192" s="191"/>
      <c r="BK192" s="191"/>
      <c r="BL192" s="191"/>
      <c r="BM192" s="191"/>
      <c r="BN192" s="191"/>
      <c r="BO192" s="191"/>
      <c r="BP192" s="191"/>
    </row>
    <row r="193" spans="11:68">
      <c r="K193" s="191"/>
      <c r="L193" s="191"/>
      <c r="M193" s="191"/>
      <c r="N193" s="191"/>
      <c r="O193" s="191"/>
      <c r="P193" s="191"/>
      <c r="Q193" s="191"/>
      <c r="R193" s="191"/>
      <c r="S193" s="191"/>
      <c r="T193" s="191"/>
      <c r="U193" s="191"/>
      <c r="V193" s="191"/>
      <c r="W193" s="191"/>
      <c r="X193" s="191"/>
      <c r="Y193" s="191"/>
      <c r="Z193" s="191"/>
      <c r="AA193" s="191"/>
      <c r="AB193" s="191"/>
      <c r="AC193" s="191"/>
      <c r="AD193" s="191"/>
      <c r="AE193" s="191"/>
      <c r="AF193" s="191"/>
      <c r="AG193" s="191"/>
      <c r="AH193" s="191"/>
      <c r="AI193" s="191"/>
      <c r="AJ193" s="191"/>
      <c r="AK193" s="191"/>
      <c r="AL193" s="191"/>
      <c r="AM193" s="191"/>
      <c r="AN193" s="191"/>
      <c r="AO193" s="191"/>
      <c r="AP193" s="191"/>
      <c r="AQ193" s="191"/>
      <c r="AR193" s="191"/>
      <c r="AS193" s="191"/>
      <c r="AT193" s="191"/>
      <c r="AU193" s="191"/>
      <c r="AV193" s="191"/>
      <c r="AW193" s="191"/>
      <c r="AX193" s="191"/>
      <c r="AY193" s="191"/>
      <c r="AZ193" s="191"/>
      <c r="BA193" s="191"/>
      <c r="BB193" s="191"/>
      <c r="BC193" s="191"/>
      <c r="BD193" s="191"/>
      <c r="BE193" s="191"/>
      <c r="BF193" s="191"/>
      <c r="BG193" s="191"/>
      <c r="BH193" s="191"/>
      <c r="BI193" s="191"/>
      <c r="BJ193" s="191"/>
      <c r="BK193" s="191"/>
      <c r="BL193" s="191"/>
      <c r="BM193" s="191"/>
      <c r="BN193" s="191"/>
      <c r="BO193" s="191"/>
      <c r="BP193" s="191"/>
    </row>
    <row r="194" spans="11:68">
      <c r="K194" s="191"/>
      <c r="L194" s="191"/>
      <c r="M194" s="191"/>
      <c r="N194" s="191"/>
      <c r="O194" s="191"/>
      <c r="P194" s="191"/>
      <c r="Q194" s="191"/>
      <c r="R194" s="191"/>
      <c r="S194" s="191"/>
      <c r="T194" s="191"/>
      <c r="U194" s="191"/>
      <c r="V194" s="191"/>
      <c r="W194" s="191"/>
      <c r="X194" s="191"/>
      <c r="Y194" s="191"/>
      <c r="Z194" s="191"/>
      <c r="AA194" s="191"/>
      <c r="AB194" s="191"/>
      <c r="AC194" s="191"/>
      <c r="AD194" s="191"/>
      <c r="AE194" s="191"/>
      <c r="AF194" s="191"/>
      <c r="AG194" s="191"/>
      <c r="AH194" s="191"/>
      <c r="AI194" s="191"/>
      <c r="AJ194" s="191"/>
      <c r="AK194" s="191"/>
      <c r="AL194" s="191"/>
      <c r="AM194" s="191"/>
      <c r="AN194" s="191"/>
      <c r="AO194" s="191"/>
      <c r="AP194" s="191"/>
      <c r="AQ194" s="191"/>
      <c r="AR194" s="191"/>
      <c r="AS194" s="191"/>
      <c r="AT194" s="191"/>
      <c r="AU194" s="191"/>
      <c r="AV194" s="191"/>
      <c r="AW194" s="191"/>
      <c r="AX194" s="191"/>
      <c r="AY194" s="191"/>
      <c r="AZ194" s="191"/>
      <c r="BA194" s="191"/>
      <c r="BB194" s="191"/>
      <c r="BC194" s="191"/>
      <c r="BD194" s="191"/>
      <c r="BE194" s="191"/>
      <c r="BF194" s="191"/>
      <c r="BG194" s="191"/>
      <c r="BH194" s="191"/>
      <c r="BI194" s="191"/>
      <c r="BJ194" s="191"/>
      <c r="BK194" s="191"/>
      <c r="BL194" s="191"/>
      <c r="BM194" s="191"/>
      <c r="BN194" s="191"/>
      <c r="BO194" s="191"/>
      <c r="BP194" s="191"/>
    </row>
    <row r="195" spans="11:68">
      <c r="K195" s="191"/>
      <c r="L195" s="191"/>
      <c r="M195" s="191"/>
      <c r="N195" s="191"/>
      <c r="O195" s="191"/>
      <c r="P195" s="191"/>
      <c r="Q195" s="191"/>
      <c r="R195" s="191"/>
      <c r="S195" s="191"/>
      <c r="T195" s="191"/>
      <c r="U195" s="191"/>
      <c r="V195" s="191"/>
      <c r="W195" s="191"/>
      <c r="X195" s="191"/>
      <c r="Y195" s="191"/>
      <c r="Z195" s="191"/>
      <c r="AA195" s="191"/>
      <c r="AB195" s="191"/>
      <c r="AC195" s="191"/>
      <c r="AD195" s="191"/>
      <c r="AE195" s="191"/>
      <c r="AF195" s="191"/>
      <c r="AG195" s="191"/>
      <c r="AH195" s="191"/>
      <c r="AI195" s="191"/>
      <c r="AJ195" s="191"/>
      <c r="AK195" s="191"/>
      <c r="AL195" s="191"/>
      <c r="AM195" s="191"/>
      <c r="AN195" s="191"/>
      <c r="AO195" s="191"/>
      <c r="AP195" s="191"/>
      <c r="AQ195" s="191"/>
      <c r="AR195" s="191"/>
      <c r="AS195" s="191"/>
      <c r="AT195" s="191"/>
      <c r="AU195" s="191"/>
      <c r="AV195" s="191"/>
      <c r="AW195" s="191"/>
      <c r="AX195" s="191"/>
      <c r="AY195" s="191"/>
      <c r="AZ195" s="191"/>
      <c r="BA195" s="191"/>
      <c r="BB195" s="191"/>
      <c r="BC195" s="191"/>
      <c r="BD195" s="191"/>
      <c r="BE195" s="191"/>
      <c r="BF195" s="191"/>
      <c r="BG195" s="191"/>
      <c r="BH195" s="191"/>
      <c r="BI195" s="191"/>
      <c r="BJ195" s="191"/>
      <c r="BK195" s="191"/>
      <c r="BL195" s="191"/>
      <c r="BM195" s="191"/>
      <c r="BN195" s="191"/>
      <c r="BO195" s="191"/>
      <c r="BP195" s="191"/>
    </row>
    <row r="196" spans="11:68">
      <c r="K196" s="191"/>
      <c r="L196" s="191"/>
      <c r="M196" s="191"/>
      <c r="N196" s="191"/>
      <c r="O196" s="191"/>
      <c r="P196" s="191"/>
      <c r="Q196" s="191"/>
      <c r="R196" s="191"/>
      <c r="S196" s="191"/>
      <c r="T196" s="191"/>
      <c r="U196" s="191"/>
      <c r="V196" s="191"/>
      <c r="W196" s="191"/>
      <c r="X196" s="191"/>
      <c r="Y196" s="191"/>
      <c r="Z196" s="191"/>
      <c r="AA196" s="191"/>
      <c r="AB196" s="191"/>
      <c r="AC196" s="191"/>
      <c r="AD196" s="191"/>
      <c r="AE196" s="191"/>
      <c r="AF196" s="191"/>
      <c r="AG196" s="191"/>
      <c r="AH196" s="191"/>
      <c r="AI196" s="191"/>
      <c r="AJ196" s="191"/>
      <c r="AK196" s="191"/>
      <c r="AL196" s="191"/>
      <c r="AM196" s="191"/>
      <c r="AN196" s="191"/>
      <c r="AO196" s="191"/>
      <c r="AP196" s="191"/>
      <c r="AQ196" s="191"/>
      <c r="AR196" s="191"/>
      <c r="AS196" s="191"/>
      <c r="AT196" s="191"/>
      <c r="AU196" s="191"/>
      <c r="AV196" s="191"/>
      <c r="AW196" s="191"/>
      <c r="AX196" s="191"/>
      <c r="AY196" s="191"/>
      <c r="AZ196" s="191"/>
      <c r="BA196" s="191"/>
      <c r="BB196" s="191"/>
      <c r="BC196" s="191"/>
      <c r="BD196" s="191"/>
      <c r="BE196" s="191"/>
      <c r="BF196" s="191"/>
      <c r="BG196" s="191"/>
      <c r="BH196" s="191"/>
      <c r="BI196" s="191"/>
      <c r="BJ196" s="191"/>
      <c r="BK196" s="191"/>
      <c r="BL196" s="191"/>
      <c r="BM196" s="191"/>
      <c r="BN196" s="191"/>
      <c r="BO196" s="191"/>
      <c r="BP196" s="191"/>
    </row>
    <row r="197" spans="11:68">
      <c r="K197" s="191"/>
      <c r="L197" s="191"/>
      <c r="M197" s="191"/>
      <c r="N197" s="191"/>
      <c r="O197" s="191"/>
      <c r="P197" s="191"/>
      <c r="Q197" s="191"/>
      <c r="R197" s="191"/>
      <c r="S197" s="191"/>
      <c r="T197" s="191"/>
      <c r="U197" s="191"/>
      <c r="V197" s="191"/>
      <c r="W197" s="191"/>
      <c r="X197" s="191"/>
      <c r="Y197" s="191"/>
      <c r="Z197" s="191"/>
      <c r="AA197" s="191"/>
      <c r="AB197" s="191"/>
      <c r="AC197" s="191"/>
      <c r="AD197" s="191"/>
      <c r="AE197" s="191"/>
      <c r="AF197" s="191"/>
      <c r="AG197" s="191"/>
      <c r="AH197" s="191"/>
      <c r="AI197" s="191"/>
      <c r="AJ197" s="191"/>
      <c r="AK197" s="191"/>
      <c r="AL197" s="191"/>
      <c r="AM197" s="191"/>
      <c r="AN197" s="191"/>
      <c r="AO197" s="191"/>
      <c r="AP197" s="191"/>
      <c r="AQ197" s="191"/>
      <c r="AR197" s="191"/>
      <c r="AS197" s="191"/>
      <c r="AT197" s="191"/>
      <c r="AU197" s="191"/>
      <c r="AV197" s="191"/>
      <c r="AW197" s="191"/>
      <c r="AX197" s="191"/>
      <c r="AY197" s="191"/>
      <c r="AZ197" s="191"/>
      <c r="BA197" s="191"/>
      <c r="BB197" s="191"/>
      <c r="BC197" s="191"/>
      <c r="BD197" s="191"/>
      <c r="BE197" s="191"/>
      <c r="BF197" s="191"/>
      <c r="BG197" s="191"/>
      <c r="BH197" s="191"/>
      <c r="BI197" s="191"/>
      <c r="BJ197" s="191"/>
      <c r="BK197" s="191"/>
      <c r="BL197" s="191"/>
      <c r="BM197" s="191"/>
      <c r="BN197" s="191"/>
      <c r="BO197" s="191"/>
      <c r="BP197" s="191"/>
    </row>
    <row r="198" spans="11:68">
      <c r="K198" s="191"/>
      <c r="L198" s="191"/>
      <c r="M198" s="191"/>
      <c r="N198" s="191"/>
      <c r="O198" s="191"/>
      <c r="P198" s="191"/>
      <c r="Q198" s="191"/>
      <c r="R198" s="191"/>
      <c r="S198" s="191"/>
      <c r="T198" s="191"/>
      <c r="U198" s="191"/>
      <c r="V198" s="191"/>
      <c r="W198" s="191"/>
      <c r="X198" s="191"/>
      <c r="Y198" s="191"/>
      <c r="Z198" s="191"/>
      <c r="AA198" s="191"/>
      <c r="AB198" s="191"/>
      <c r="AC198" s="191"/>
      <c r="AD198" s="191"/>
      <c r="AE198" s="191"/>
      <c r="AF198" s="191"/>
      <c r="AG198" s="191"/>
      <c r="AH198" s="191"/>
      <c r="AI198" s="191"/>
      <c r="AJ198" s="191"/>
      <c r="AK198" s="191"/>
      <c r="AL198" s="191"/>
      <c r="AM198" s="191"/>
      <c r="AN198" s="191"/>
      <c r="AO198" s="191"/>
      <c r="AP198" s="191"/>
      <c r="AQ198" s="191"/>
      <c r="AR198" s="191"/>
      <c r="AS198" s="191"/>
      <c r="AT198" s="191"/>
      <c r="AU198" s="191"/>
      <c r="AV198" s="191"/>
      <c r="AW198" s="191"/>
      <c r="AX198" s="191"/>
      <c r="AY198" s="191"/>
      <c r="AZ198" s="191"/>
      <c r="BA198" s="191"/>
      <c r="BB198" s="191"/>
      <c r="BC198" s="191"/>
      <c r="BD198" s="191"/>
      <c r="BE198" s="191"/>
      <c r="BF198" s="191"/>
      <c r="BG198" s="191"/>
      <c r="BH198" s="191"/>
      <c r="BI198" s="191"/>
      <c r="BJ198" s="191"/>
      <c r="BK198" s="191"/>
      <c r="BL198" s="191"/>
      <c r="BM198" s="191"/>
      <c r="BN198" s="191"/>
      <c r="BO198" s="191"/>
      <c r="BP198" s="191"/>
    </row>
    <row r="199" spans="11:68">
      <c r="K199" s="191"/>
      <c r="L199" s="191"/>
      <c r="M199" s="191"/>
      <c r="N199" s="191"/>
      <c r="O199" s="191"/>
      <c r="P199" s="191"/>
      <c r="Q199" s="191"/>
      <c r="R199" s="191"/>
      <c r="S199" s="191"/>
      <c r="T199" s="191"/>
      <c r="U199" s="191"/>
      <c r="V199" s="191"/>
      <c r="W199" s="191"/>
      <c r="X199" s="191"/>
      <c r="Y199" s="191"/>
      <c r="Z199" s="191"/>
      <c r="AA199" s="191"/>
      <c r="AB199" s="191"/>
      <c r="AC199" s="191"/>
      <c r="AD199" s="191"/>
      <c r="AE199" s="191"/>
      <c r="AF199" s="191"/>
      <c r="AG199" s="191"/>
      <c r="AH199" s="191"/>
      <c r="AI199" s="191"/>
      <c r="AJ199" s="191"/>
      <c r="AK199" s="191"/>
      <c r="AL199" s="191"/>
      <c r="AM199" s="191"/>
      <c r="AN199" s="191"/>
      <c r="AO199" s="191"/>
      <c r="AP199" s="191"/>
      <c r="AQ199" s="191"/>
      <c r="AR199" s="191"/>
      <c r="AS199" s="191"/>
      <c r="AT199" s="191"/>
      <c r="AU199" s="191"/>
      <c r="AV199" s="191"/>
      <c r="AW199" s="191"/>
      <c r="AX199" s="191"/>
      <c r="AY199" s="191"/>
      <c r="AZ199" s="191"/>
      <c r="BA199" s="191"/>
      <c r="BB199" s="191"/>
      <c r="BC199" s="191"/>
      <c r="BD199" s="191"/>
      <c r="BE199" s="191"/>
      <c r="BF199" s="191"/>
      <c r="BG199" s="191"/>
      <c r="BH199" s="191"/>
      <c r="BI199" s="191"/>
      <c r="BJ199" s="191"/>
      <c r="BK199" s="191"/>
      <c r="BL199" s="191"/>
      <c r="BM199" s="191"/>
      <c r="BN199" s="191"/>
      <c r="BO199" s="191"/>
      <c r="BP199" s="191"/>
    </row>
    <row r="200" spans="11:68">
      <c r="K200" s="191"/>
      <c r="L200" s="191"/>
      <c r="M200" s="191"/>
      <c r="N200" s="191"/>
      <c r="O200" s="191"/>
      <c r="P200" s="191"/>
      <c r="Q200" s="191"/>
      <c r="R200" s="191"/>
      <c r="S200" s="191"/>
      <c r="T200" s="191"/>
      <c r="U200" s="191"/>
      <c r="V200" s="191"/>
      <c r="W200" s="191"/>
      <c r="X200" s="191"/>
      <c r="Y200" s="191"/>
      <c r="Z200" s="191"/>
      <c r="AA200" s="191"/>
      <c r="AB200" s="191"/>
      <c r="AC200" s="191"/>
      <c r="AD200" s="191"/>
      <c r="AE200" s="191"/>
      <c r="AF200" s="191"/>
      <c r="AG200" s="191"/>
      <c r="AH200" s="191"/>
      <c r="AI200" s="191"/>
      <c r="AJ200" s="191"/>
      <c r="AK200" s="191"/>
      <c r="AL200" s="191"/>
      <c r="AM200" s="191"/>
      <c r="AN200" s="191"/>
      <c r="AO200" s="191"/>
      <c r="AP200" s="191"/>
      <c r="AQ200" s="191"/>
      <c r="AR200" s="191"/>
      <c r="AS200" s="191"/>
      <c r="AT200" s="191"/>
      <c r="AU200" s="191"/>
      <c r="AV200" s="191"/>
      <c r="AW200" s="191"/>
      <c r="AX200" s="191"/>
      <c r="AY200" s="191"/>
      <c r="AZ200" s="191"/>
      <c r="BA200" s="191"/>
      <c r="BB200" s="191"/>
      <c r="BC200" s="191"/>
      <c r="BD200" s="191"/>
      <c r="BE200" s="191"/>
      <c r="BF200" s="191"/>
      <c r="BG200" s="191"/>
      <c r="BH200" s="191"/>
      <c r="BI200" s="191"/>
      <c r="BJ200" s="191"/>
      <c r="BK200" s="191"/>
      <c r="BL200" s="191"/>
      <c r="BM200" s="191"/>
      <c r="BN200" s="191"/>
      <c r="BO200" s="191"/>
      <c r="BP200" s="191"/>
    </row>
    <row r="201" spans="11:68">
      <c r="K201" s="191"/>
      <c r="L201" s="191"/>
      <c r="M201" s="191"/>
      <c r="N201" s="191"/>
      <c r="O201" s="191"/>
      <c r="P201" s="191"/>
      <c r="Q201" s="191"/>
      <c r="R201" s="191"/>
      <c r="S201" s="191"/>
      <c r="T201" s="191"/>
      <c r="U201" s="191"/>
      <c r="V201" s="191"/>
      <c r="W201" s="191"/>
      <c r="X201" s="191"/>
      <c r="Y201" s="191"/>
      <c r="Z201" s="191"/>
      <c r="AA201" s="191"/>
      <c r="AB201" s="191"/>
      <c r="AC201" s="191"/>
      <c r="AD201" s="191"/>
      <c r="AE201" s="191"/>
      <c r="AF201" s="191"/>
      <c r="AG201" s="191"/>
      <c r="AH201" s="191"/>
      <c r="AI201" s="191"/>
      <c r="AJ201" s="191"/>
      <c r="AK201" s="191"/>
      <c r="AL201" s="191"/>
      <c r="AM201" s="191"/>
      <c r="AN201" s="191"/>
      <c r="AO201" s="191"/>
      <c r="AP201" s="191"/>
      <c r="AQ201" s="191"/>
      <c r="AR201" s="191"/>
      <c r="AS201" s="191"/>
      <c r="AT201" s="191"/>
      <c r="AU201" s="191"/>
      <c r="AV201" s="191"/>
      <c r="AW201" s="191"/>
      <c r="AX201" s="191"/>
      <c r="AY201" s="191"/>
      <c r="AZ201" s="191"/>
      <c r="BA201" s="191"/>
      <c r="BB201" s="191"/>
      <c r="BC201" s="191"/>
      <c r="BD201" s="191"/>
      <c r="BE201" s="191"/>
      <c r="BF201" s="191"/>
      <c r="BG201" s="191"/>
      <c r="BH201" s="191"/>
      <c r="BI201" s="191"/>
      <c r="BJ201" s="191"/>
      <c r="BK201" s="191"/>
      <c r="BL201" s="191"/>
      <c r="BM201" s="191"/>
      <c r="BN201" s="191"/>
      <c r="BO201" s="191"/>
      <c r="BP201" s="191"/>
    </row>
    <row r="202" spans="11:68">
      <c r="K202" s="191"/>
      <c r="L202" s="191"/>
      <c r="M202" s="191"/>
      <c r="N202" s="191"/>
      <c r="O202" s="191"/>
      <c r="P202" s="191"/>
      <c r="Q202" s="191"/>
      <c r="R202" s="191"/>
      <c r="S202" s="191"/>
      <c r="T202" s="191"/>
      <c r="U202" s="191"/>
      <c r="V202" s="191"/>
      <c r="W202" s="191"/>
      <c r="X202" s="191"/>
      <c r="Y202" s="191"/>
      <c r="Z202" s="191"/>
      <c r="AA202" s="191"/>
      <c r="AB202" s="191"/>
      <c r="AC202" s="191"/>
      <c r="AD202" s="191"/>
      <c r="AE202" s="191"/>
      <c r="AF202" s="191"/>
      <c r="AG202" s="191"/>
      <c r="AH202" s="191"/>
      <c r="AI202" s="191"/>
      <c r="AJ202" s="191"/>
      <c r="AK202" s="191"/>
      <c r="AL202" s="191"/>
      <c r="AM202" s="191"/>
      <c r="AN202" s="191"/>
      <c r="AO202" s="191"/>
      <c r="AP202" s="191"/>
      <c r="AQ202" s="191"/>
      <c r="AR202" s="191"/>
      <c r="AS202" s="191"/>
      <c r="AT202" s="191"/>
      <c r="AU202" s="191"/>
      <c r="AV202" s="191"/>
      <c r="AW202" s="191"/>
      <c r="AX202" s="191"/>
      <c r="AY202" s="191"/>
      <c r="AZ202" s="191"/>
      <c r="BA202" s="191"/>
      <c r="BB202" s="191"/>
      <c r="BC202" s="191"/>
      <c r="BD202" s="191"/>
      <c r="BE202" s="191"/>
      <c r="BF202" s="191"/>
      <c r="BG202" s="191"/>
      <c r="BH202" s="191"/>
      <c r="BI202" s="191"/>
      <c r="BJ202" s="191"/>
      <c r="BK202" s="191"/>
      <c r="BL202" s="191"/>
      <c r="BM202" s="191"/>
      <c r="BN202" s="191"/>
      <c r="BO202" s="191"/>
      <c r="BP202" s="191"/>
    </row>
    <row r="203" spans="11:68">
      <c r="K203" s="191"/>
      <c r="L203" s="191"/>
      <c r="M203" s="191"/>
      <c r="N203" s="191"/>
      <c r="O203" s="191"/>
      <c r="P203" s="191"/>
      <c r="Q203" s="191"/>
      <c r="R203" s="191"/>
      <c r="S203" s="191"/>
      <c r="T203" s="191"/>
      <c r="U203" s="191"/>
      <c r="V203" s="191"/>
      <c r="W203" s="191"/>
      <c r="X203" s="191"/>
      <c r="Y203" s="191"/>
      <c r="Z203" s="191"/>
      <c r="AA203" s="191"/>
      <c r="AB203" s="191"/>
      <c r="AC203" s="191"/>
      <c r="AD203" s="191"/>
      <c r="AE203" s="191"/>
      <c r="AF203" s="191"/>
      <c r="AG203" s="191"/>
      <c r="AH203" s="191"/>
      <c r="AI203" s="191"/>
      <c r="AJ203" s="191"/>
      <c r="AK203" s="191"/>
      <c r="AL203" s="191"/>
      <c r="AM203" s="191"/>
      <c r="AN203" s="191"/>
      <c r="AO203" s="191"/>
      <c r="AP203" s="191"/>
      <c r="AQ203" s="191"/>
      <c r="AR203" s="191"/>
      <c r="AS203" s="191"/>
      <c r="AT203" s="191"/>
      <c r="AU203" s="191"/>
      <c r="AV203" s="191"/>
      <c r="AW203" s="191"/>
      <c r="AX203" s="191"/>
      <c r="AY203" s="191"/>
      <c r="AZ203" s="191"/>
      <c r="BA203" s="191"/>
      <c r="BB203" s="191"/>
      <c r="BC203" s="191"/>
      <c r="BD203" s="191"/>
      <c r="BE203" s="191"/>
      <c r="BF203" s="191"/>
      <c r="BG203" s="191"/>
      <c r="BH203" s="191"/>
      <c r="BI203" s="191"/>
      <c r="BJ203" s="191"/>
      <c r="BK203" s="191"/>
      <c r="BL203" s="191"/>
      <c r="BM203" s="191"/>
      <c r="BN203" s="191"/>
      <c r="BO203" s="191"/>
      <c r="BP203" s="191"/>
    </row>
    <row r="204" spans="11:68">
      <c r="K204" s="191"/>
      <c r="L204" s="191"/>
      <c r="M204" s="191"/>
      <c r="N204" s="191"/>
      <c r="O204" s="191"/>
      <c r="P204" s="191"/>
      <c r="Q204" s="191"/>
      <c r="R204" s="191"/>
      <c r="S204" s="191"/>
      <c r="T204" s="191"/>
      <c r="U204" s="191"/>
      <c r="V204" s="191"/>
      <c r="W204" s="191"/>
      <c r="X204" s="191"/>
      <c r="Y204" s="191"/>
      <c r="Z204" s="191"/>
      <c r="AA204" s="191"/>
      <c r="AB204" s="191"/>
      <c r="AC204" s="191"/>
      <c r="AD204" s="191"/>
      <c r="AE204" s="191"/>
      <c r="AF204" s="191"/>
      <c r="AG204" s="191"/>
      <c r="AH204" s="191"/>
      <c r="AI204" s="191"/>
      <c r="AJ204" s="191"/>
      <c r="AK204" s="191"/>
      <c r="AL204" s="191"/>
      <c r="AM204" s="191"/>
      <c r="AN204" s="191"/>
      <c r="AO204" s="191"/>
      <c r="AP204" s="191"/>
      <c r="AQ204" s="191"/>
      <c r="AR204" s="191"/>
      <c r="AS204" s="191"/>
      <c r="AT204" s="191"/>
      <c r="AU204" s="191"/>
      <c r="AV204" s="191"/>
      <c r="AW204" s="191"/>
      <c r="AX204" s="191"/>
      <c r="AY204" s="191"/>
      <c r="AZ204" s="191"/>
      <c r="BA204" s="191"/>
      <c r="BB204" s="191"/>
      <c r="BC204" s="191"/>
      <c r="BD204" s="191"/>
      <c r="BE204" s="191"/>
      <c r="BF204" s="191"/>
      <c r="BG204" s="191"/>
      <c r="BH204" s="191"/>
      <c r="BI204" s="191"/>
      <c r="BJ204" s="191"/>
      <c r="BK204" s="191"/>
      <c r="BL204" s="191"/>
      <c r="BM204" s="191"/>
      <c r="BN204" s="191"/>
      <c r="BO204" s="191"/>
      <c r="BP204" s="191"/>
    </row>
    <row r="205" spans="11:68">
      <c r="K205" s="191"/>
      <c r="L205" s="191"/>
      <c r="M205" s="191"/>
      <c r="N205" s="191"/>
      <c r="O205" s="191"/>
      <c r="P205" s="191"/>
      <c r="Q205" s="191"/>
      <c r="R205" s="191"/>
      <c r="S205" s="191"/>
      <c r="T205" s="191"/>
      <c r="U205" s="191"/>
      <c r="V205" s="191"/>
      <c r="W205" s="191"/>
      <c r="X205" s="191"/>
      <c r="Y205" s="191"/>
      <c r="Z205" s="191"/>
      <c r="AA205" s="191"/>
      <c r="AB205" s="191"/>
      <c r="AC205" s="191"/>
      <c r="AD205" s="191"/>
      <c r="AE205" s="191"/>
      <c r="AF205" s="191"/>
      <c r="AG205" s="191"/>
      <c r="AH205" s="191"/>
      <c r="AI205" s="191"/>
      <c r="AJ205" s="191"/>
      <c r="AK205" s="191"/>
      <c r="AL205" s="191"/>
      <c r="AM205" s="191"/>
      <c r="AN205" s="191"/>
      <c r="AO205" s="191"/>
      <c r="AP205" s="191"/>
      <c r="AQ205" s="191"/>
      <c r="AR205" s="191"/>
      <c r="AS205" s="191"/>
      <c r="AT205" s="191"/>
      <c r="AU205" s="191"/>
      <c r="AV205" s="191"/>
      <c r="AW205" s="191"/>
      <c r="AX205" s="191"/>
      <c r="AY205" s="191"/>
      <c r="AZ205" s="191"/>
      <c r="BA205" s="191"/>
      <c r="BB205" s="191"/>
      <c r="BC205" s="191"/>
      <c r="BD205" s="191"/>
      <c r="BE205" s="191"/>
      <c r="BF205" s="191"/>
      <c r="BG205" s="191"/>
      <c r="BH205" s="191"/>
      <c r="BI205" s="191"/>
      <c r="BJ205" s="191"/>
      <c r="BK205" s="191"/>
      <c r="BL205" s="191"/>
      <c r="BM205" s="191"/>
      <c r="BN205" s="191"/>
      <c r="BO205" s="191"/>
      <c r="BP205" s="191"/>
    </row>
    <row r="206" spans="11:68">
      <c r="K206" s="191"/>
      <c r="L206" s="191"/>
      <c r="M206" s="191"/>
      <c r="N206" s="191"/>
      <c r="O206" s="191"/>
      <c r="P206" s="191"/>
      <c r="Q206" s="191"/>
      <c r="R206" s="191"/>
      <c r="S206" s="191"/>
      <c r="T206" s="191"/>
      <c r="U206" s="191"/>
      <c r="V206" s="191"/>
      <c r="W206" s="191"/>
      <c r="X206" s="191"/>
      <c r="Y206" s="191"/>
      <c r="Z206" s="191"/>
      <c r="AA206" s="191"/>
      <c r="AB206" s="191"/>
      <c r="AC206" s="191"/>
      <c r="AD206" s="191"/>
      <c r="AE206" s="191"/>
      <c r="AF206" s="191"/>
      <c r="AG206" s="191"/>
      <c r="AH206" s="191"/>
      <c r="AI206" s="191"/>
      <c r="AJ206" s="191"/>
      <c r="AK206" s="191"/>
      <c r="AL206" s="191"/>
      <c r="AM206" s="191"/>
      <c r="AN206" s="191"/>
      <c r="AO206" s="191"/>
      <c r="AP206" s="191"/>
      <c r="AQ206" s="191"/>
      <c r="AR206" s="191"/>
      <c r="AS206" s="191"/>
      <c r="AT206" s="191"/>
      <c r="AU206" s="191"/>
      <c r="AV206" s="191"/>
      <c r="AW206" s="191"/>
      <c r="AX206" s="191"/>
      <c r="AY206" s="191"/>
      <c r="AZ206" s="191"/>
      <c r="BA206" s="191"/>
      <c r="BB206" s="191"/>
      <c r="BC206" s="191"/>
      <c r="BD206" s="191"/>
      <c r="BE206" s="191"/>
      <c r="BF206" s="191"/>
      <c r="BG206" s="191"/>
      <c r="BH206" s="191"/>
      <c r="BI206" s="191"/>
      <c r="BJ206" s="191"/>
      <c r="BK206" s="191"/>
      <c r="BL206" s="191"/>
      <c r="BM206" s="191"/>
      <c r="BN206" s="191"/>
      <c r="BO206" s="191"/>
      <c r="BP206" s="191"/>
    </row>
    <row r="207" spans="11:68">
      <c r="K207" s="191"/>
      <c r="L207" s="191"/>
      <c r="M207" s="191"/>
      <c r="N207" s="191"/>
      <c r="O207" s="191"/>
      <c r="P207" s="191"/>
      <c r="Q207" s="191"/>
      <c r="R207" s="191"/>
      <c r="S207" s="191"/>
      <c r="T207" s="191"/>
      <c r="U207" s="191"/>
      <c r="V207" s="191"/>
      <c r="W207" s="191"/>
      <c r="X207" s="191"/>
      <c r="Y207" s="191"/>
      <c r="Z207" s="191"/>
      <c r="AA207" s="191"/>
      <c r="AB207" s="191"/>
      <c r="AC207" s="191"/>
      <c r="AD207" s="191"/>
      <c r="AE207" s="191"/>
      <c r="AF207" s="191"/>
      <c r="AG207" s="191"/>
      <c r="AH207" s="191"/>
      <c r="AI207" s="191"/>
      <c r="AJ207" s="191"/>
      <c r="AK207" s="191"/>
      <c r="AL207" s="191"/>
      <c r="AM207" s="191"/>
      <c r="AN207" s="191"/>
      <c r="AO207" s="191"/>
      <c r="AP207" s="191"/>
      <c r="AQ207" s="191"/>
      <c r="AR207" s="191"/>
      <c r="AS207" s="191"/>
      <c r="AT207" s="191"/>
      <c r="AU207" s="191"/>
      <c r="AV207" s="191"/>
      <c r="AW207" s="191"/>
      <c r="AX207" s="191"/>
      <c r="AY207" s="191"/>
      <c r="AZ207" s="191"/>
      <c r="BA207" s="191"/>
      <c r="BB207" s="191"/>
      <c r="BC207" s="191"/>
      <c r="BD207" s="191"/>
      <c r="BE207" s="191"/>
      <c r="BF207" s="191"/>
      <c r="BG207" s="191"/>
      <c r="BH207" s="191"/>
      <c r="BI207" s="191"/>
      <c r="BJ207" s="191"/>
      <c r="BK207" s="191"/>
      <c r="BL207" s="191"/>
      <c r="BM207" s="191"/>
      <c r="BN207" s="191"/>
      <c r="BO207" s="191"/>
      <c r="BP207" s="191"/>
    </row>
    <row r="208" spans="11:68">
      <c r="K208" s="191"/>
      <c r="L208" s="191"/>
      <c r="M208" s="191"/>
      <c r="N208" s="191"/>
      <c r="O208" s="191"/>
      <c r="P208" s="191"/>
      <c r="Q208" s="191"/>
      <c r="R208" s="191"/>
      <c r="S208" s="191"/>
      <c r="T208" s="191"/>
      <c r="U208" s="191"/>
      <c r="V208" s="191"/>
      <c r="W208" s="191"/>
      <c r="X208" s="191"/>
      <c r="Y208" s="191"/>
      <c r="Z208" s="191"/>
      <c r="AA208" s="191"/>
      <c r="AB208" s="191"/>
      <c r="AC208" s="191"/>
      <c r="AD208" s="191"/>
      <c r="AE208" s="191"/>
      <c r="AF208" s="191"/>
      <c r="AG208" s="191"/>
      <c r="AH208" s="191"/>
      <c r="AI208" s="191"/>
      <c r="AJ208" s="191"/>
      <c r="AK208" s="191"/>
      <c r="AL208" s="191"/>
      <c r="AM208" s="191"/>
      <c r="AN208" s="191"/>
      <c r="AO208" s="191"/>
      <c r="AP208" s="191"/>
      <c r="AQ208" s="191"/>
      <c r="AR208" s="191"/>
      <c r="AS208" s="191"/>
      <c r="AT208" s="191"/>
      <c r="AU208" s="191"/>
      <c r="AV208" s="191"/>
      <c r="AW208" s="191"/>
      <c r="AX208" s="191"/>
      <c r="AY208" s="191"/>
      <c r="AZ208" s="191"/>
      <c r="BA208" s="191"/>
      <c r="BB208" s="191"/>
      <c r="BC208" s="191"/>
      <c r="BD208" s="191"/>
      <c r="BE208" s="191"/>
      <c r="BF208" s="191"/>
      <c r="BG208" s="191"/>
      <c r="BH208" s="191"/>
      <c r="BI208" s="191"/>
      <c r="BJ208" s="191"/>
      <c r="BK208" s="191"/>
      <c r="BL208" s="191"/>
      <c r="BM208" s="191"/>
      <c r="BN208" s="191"/>
      <c r="BO208" s="191"/>
      <c r="BP208" s="191"/>
    </row>
    <row r="209" spans="11:68">
      <c r="K209" s="191"/>
      <c r="L209" s="191"/>
      <c r="M209" s="191"/>
      <c r="N209" s="191"/>
      <c r="O209" s="191"/>
      <c r="P209" s="191"/>
      <c r="Q209" s="191"/>
      <c r="R209" s="191"/>
      <c r="S209" s="191"/>
      <c r="T209" s="191"/>
      <c r="U209" s="191"/>
      <c r="V209" s="191"/>
      <c r="W209" s="191"/>
      <c r="X209" s="191"/>
      <c r="Y209" s="191"/>
      <c r="Z209" s="191"/>
      <c r="AA209" s="191"/>
      <c r="AB209" s="191"/>
      <c r="AC209" s="191"/>
      <c r="AD209" s="191"/>
      <c r="AE209" s="191"/>
      <c r="AF209" s="191"/>
      <c r="AG209" s="191"/>
      <c r="AH209" s="191"/>
      <c r="AI209" s="191"/>
      <c r="AJ209" s="191"/>
      <c r="AK209" s="191"/>
      <c r="AL209" s="191"/>
      <c r="AM209" s="191"/>
      <c r="AN209" s="191"/>
      <c r="AO209" s="191"/>
      <c r="AP209" s="191"/>
      <c r="AQ209" s="191"/>
      <c r="AR209" s="191"/>
      <c r="AS209" s="191"/>
      <c r="AT209" s="191"/>
      <c r="AU209" s="191"/>
      <c r="AV209" s="191"/>
      <c r="AW209" s="191"/>
      <c r="AX209" s="191"/>
      <c r="AY209" s="191"/>
      <c r="AZ209" s="191"/>
      <c r="BA209" s="191"/>
      <c r="BB209" s="191"/>
      <c r="BC209" s="191"/>
      <c r="BD209" s="191"/>
      <c r="BE209" s="191"/>
      <c r="BF209" s="191"/>
      <c r="BG209" s="191"/>
      <c r="BH209" s="191"/>
      <c r="BI209" s="191"/>
      <c r="BJ209" s="191"/>
      <c r="BK209" s="191"/>
      <c r="BL209" s="191"/>
      <c r="BM209" s="191"/>
      <c r="BN209" s="191"/>
      <c r="BO209" s="191"/>
      <c r="BP209" s="191"/>
    </row>
    <row r="210" spans="11:68">
      <c r="K210" s="191"/>
      <c r="L210" s="191"/>
      <c r="M210" s="191"/>
      <c r="N210" s="191"/>
      <c r="O210" s="191"/>
      <c r="P210" s="191"/>
      <c r="Q210" s="191"/>
      <c r="R210" s="191"/>
      <c r="S210" s="191"/>
      <c r="T210" s="191"/>
      <c r="U210" s="191"/>
      <c r="V210" s="191"/>
      <c r="W210" s="191"/>
      <c r="X210" s="191"/>
      <c r="Y210" s="191"/>
      <c r="Z210" s="191"/>
      <c r="AA210" s="191"/>
      <c r="AB210" s="191"/>
      <c r="AC210" s="191"/>
      <c r="AD210" s="191"/>
      <c r="AE210" s="191"/>
      <c r="AF210" s="191"/>
      <c r="AG210" s="191"/>
      <c r="AH210" s="191"/>
      <c r="AI210" s="191"/>
      <c r="AJ210" s="191"/>
      <c r="AK210" s="191"/>
      <c r="AL210" s="191"/>
      <c r="AM210" s="191"/>
      <c r="AN210" s="191"/>
      <c r="AO210" s="191"/>
      <c r="AP210" s="191"/>
      <c r="AQ210" s="191"/>
      <c r="AR210" s="191"/>
      <c r="AS210" s="191"/>
      <c r="AT210" s="191"/>
      <c r="AU210" s="191"/>
      <c r="AV210" s="191"/>
      <c r="AW210" s="191"/>
      <c r="AX210" s="191"/>
      <c r="AY210" s="191"/>
      <c r="AZ210" s="191"/>
      <c r="BA210" s="191"/>
      <c r="BB210" s="191"/>
      <c r="BC210" s="191"/>
      <c r="BD210" s="191"/>
      <c r="BE210" s="191"/>
      <c r="BF210" s="191"/>
      <c r="BG210" s="191"/>
      <c r="BH210" s="191"/>
      <c r="BI210" s="191"/>
      <c r="BJ210" s="191"/>
      <c r="BK210" s="191"/>
      <c r="BL210" s="191"/>
      <c r="BM210" s="191"/>
      <c r="BN210" s="191"/>
      <c r="BO210" s="191"/>
      <c r="BP210" s="191"/>
    </row>
    <row r="211" spans="11:68">
      <c r="K211" s="191"/>
      <c r="L211" s="191"/>
      <c r="M211" s="191"/>
      <c r="N211" s="191"/>
      <c r="O211" s="191"/>
      <c r="P211" s="191"/>
      <c r="Q211" s="191"/>
      <c r="R211" s="191"/>
      <c r="S211" s="191"/>
      <c r="T211" s="191"/>
      <c r="U211" s="191"/>
      <c r="V211" s="191"/>
      <c r="W211" s="191"/>
      <c r="X211" s="191"/>
      <c r="Y211" s="191"/>
      <c r="Z211" s="191"/>
      <c r="AA211" s="191"/>
      <c r="AB211" s="191"/>
      <c r="AC211" s="191"/>
      <c r="AD211" s="191"/>
      <c r="AE211" s="191"/>
      <c r="AF211" s="191"/>
      <c r="AG211" s="191"/>
      <c r="AH211" s="191"/>
      <c r="AI211" s="191"/>
      <c r="AJ211" s="191"/>
      <c r="AK211" s="191"/>
      <c r="AL211" s="191"/>
      <c r="AM211" s="191"/>
      <c r="AN211" s="191"/>
      <c r="AO211" s="191"/>
      <c r="AP211" s="191"/>
      <c r="AQ211" s="191"/>
      <c r="AR211" s="191"/>
      <c r="AS211" s="191"/>
      <c r="AT211" s="191"/>
      <c r="AU211" s="191"/>
      <c r="AV211" s="191"/>
      <c r="AW211" s="191"/>
      <c r="AX211" s="191"/>
      <c r="AY211" s="191"/>
      <c r="AZ211" s="191"/>
      <c r="BA211" s="191"/>
      <c r="BB211" s="191"/>
      <c r="BC211" s="191"/>
      <c r="BD211" s="191"/>
      <c r="BE211" s="191"/>
      <c r="BF211" s="191"/>
      <c r="BG211" s="191"/>
      <c r="BH211" s="191"/>
      <c r="BI211" s="191"/>
      <c r="BJ211" s="191"/>
      <c r="BK211" s="191"/>
      <c r="BL211" s="191"/>
      <c r="BM211" s="191"/>
      <c r="BN211" s="191"/>
      <c r="BO211" s="191"/>
      <c r="BP211" s="191"/>
    </row>
    <row r="212" spans="11:68">
      <c r="K212" s="191"/>
      <c r="L212" s="191"/>
      <c r="M212" s="191"/>
      <c r="N212" s="191"/>
      <c r="O212" s="191"/>
      <c r="P212" s="191"/>
      <c r="Q212" s="191"/>
      <c r="R212" s="191"/>
      <c r="S212" s="191"/>
      <c r="T212" s="191"/>
      <c r="U212" s="191"/>
      <c r="V212" s="191"/>
      <c r="W212" s="191"/>
      <c r="X212" s="191"/>
      <c r="Y212" s="191"/>
      <c r="Z212" s="191"/>
      <c r="AA212" s="191"/>
      <c r="AB212" s="191"/>
      <c r="AC212" s="191"/>
      <c r="AD212" s="191"/>
      <c r="AE212" s="191"/>
      <c r="AF212" s="191"/>
      <c r="AG212" s="191"/>
      <c r="AH212" s="191"/>
      <c r="AI212" s="191"/>
      <c r="AJ212" s="191"/>
      <c r="AK212" s="191"/>
      <c r="AL212" s="191"/>
      <c r="AM212" s="191"/>
      <c r="AN212" s="191"/>
      <c r="AO212" s="191"/>
      <c r="AP212" s="191"/>
      <c r="AQ212" s="191"/>
      <c r="AR212" s="191"/>
      <c r="AS212" s="191"/>
      <c r="AT212" s="191"/>
      <c r="AU212" s="191"/>
      <c r="AV212" s="191"/>
      <c r="AW212" s="191"/>
      <c r="AX212" s="191"/>
      <c r="AY212" s="191"/>
      <c r="AZ212" s="191"/>
      <c r="BA212" s="191"/>
      <c r="BB212" s="191"/>
      <c r="BC212" s="191"/>
      <c r="BD212" s="191"/>
      <c r="BE212" s="191"/>
      <c r="BF212" s="191"/>
      <c r="BG212" s="191"/>
      <c r="BH212" s="191"/>
      <c r="BI212" s="191"/>
      <c r="BJ212" s="191"/>
      <c r="BK212" s="191"/>
      <c r="BL212" s="191"/>
      <c r="BM212" s="191"/>
      <c r="BN212" s="191"/>
      <c r="BO212" s="191"/>
      <c r="BP212" s="191"/>
    </row>
    <row r="213" spans="11:68">
      <c r="K213" s="191"/>
      <c r="L213" s="191"/>
      <c r="M213" s="191"/>
      <c r="N213" s="191"/>
      <c r="O213" s="191"/>
      <c r="P213" s="191"/>
      <c r="Q213" s="191"/>
      <c r="R213" s="191"/>
      <c r="S213" s="191"/>
      <c r="T213" s="191"/>
      <c r="U213" s="191"/>
      <c r="V213" s="191"/>
      <c r="W213" s="191"/>
      <c r="X213" s="191"/>
      <c r="Y213" s="191"/>
      <c r="Z213" s="191"/>
      <c r="AA213" s="191"/>
      <c r="AB213" s="191"/>
      <c r="AC213" s="191"/>
      <c r="AD213" s="191"/>
      <c r="AE213" s="191"/>
      <c r="AF213" s="191"/>
      <c r="AG213" s="191"/>
      <c r="AH213" s="191"/>
      <c r="AI213" s="191"/>
      <c r="AJ213" s="191"/>
      <c r="AK213" s="191"/>
      <c r="AL213" s="191"/>
      <c r="AM213" s="191"/>
      <c r="AN213" s="191"/>
      <c r="AO213" s="191"/>
      <c r="AP213" s="191"/>
      <c r="AQ213" s="191"/>
      <c r="AR213" s="191"/>
      <c r="AS213" s="191"/>
      <c r="AT213" s="191"/>
      <c r="AU213" s="191"/>
      <c r="AV213" s="191"/>
      <c r="AW213" s="191"/>
      <c r="AX213" s="191"/>
      <c r="AY213" s="191"/>
      <c r="AZ213" s="191"/>
      <c r="BA213" s="191"/>
      <c r="BB213" s="191"/>
      <c r="BC213" s="191"/>
      <c r="BD213" s="191"/>
      <c r="BE213" s="191"/>
      <c r="BF213" s="191"/>
      <c r="BG213" s="191"/>
      <c r="BH213" s="191"/>
      <c r="BI213" s="191"/>
      <c r="BJ213" s="191"/>
      <c r="BK213" s="191"/>
      <c r="BL213" s="191"/>
      <c r="BM213" s="191"/>
      <c r="BN213" s="191"/>
      <c r="BO213" s="191"/>
      <c r="BP213" s="191"/>
    </row>
    <row r="214" spans="11:68">
      <c r="K214" s="191"/>
      <c r="L214" s="191"/>
      <c r="M214" s="191"/>
      <c r="N214" s="191"/>
      <c r="O214" s="191"/>
      <c r="P214" s="191"/>
      <c r="Q214" s="191"/>
      <c r="R214" s="191"/>
      <c r="S214" s="191"/>
      <c r="T214" s="191"/>
      <c r="U214" s="191"/>
      <c r="V214" s="191"/>
      <c r="W214" s="191"/>
      <c r="X214" s="191"/>
      <c r="Y214" s="191"/>
      <c r="Z214" s="191"/>
      <c r="AA214" s="191"/>
      <c r="AB214" s="191"/>
      <c r="AC214" s="191"/>
      <c r="AD214" s="191"/>
      <c r="AE214" s="191"/>
      <c r="AF214" s="191"/>
      <c r="AG214" s="191"/>
      <c r="AH214" s="191"/>
      <c r="AI214" s="191"/>
      <c r="AJ214" s="191"/>
      <c r="AK214" s="191"/>
      <c r="AL214" s="191"/>
      <c r="AM214" s="191"/>
      <c r="AN214" s="191"/>
      <c r="AO214" s="191"/>
      <c r="AP214" s="191"/>
      <c r="AQ214" s="191"/>
      <c r="AR214" s="191"/>
      <c r="AS214" s="191"/>
      <c r="AT214" s="191"/>
      <c r="AU214" s="191"/>
      <c r="AV214" s="191"/>
      <c r="AW214" s="191"/>
      <c r="AX214" s="191"/>
      <c r="AY214" s="191"/>
      <c r="AZ214" s="191"/>
      <c r="BA214" s="191"/>
      <c r="BB214" s="191"/>
      <c r="BC214" s="191"/>
      <c r="BD214" s="191"/>
      <c r="BE214" s="191"/>
      <c r="BF214" s="191"/>
      <c r="BG214" s="191"/>
      <c r="BH214" s="191"/>
      <c r="BI214" s="191"/>
      <c r="BJ214" s="191"/>
      <c r="BK214" s="191"/>
      <c r="BL214" s="191"/>
      <c r="BM214" s="191"/>
      <c r="BN214" s="191"/>
      <c r="BO214" s="191"/>
      <c r="BP214" s="191"/>
    </row>
    <row r="215" spans="11:68">
      <c r="K215" s="191"/>
      <c r="L215" s="191"/>
      <c r="M215" s="191"/>
      <c r="N215" s="191"/>
      <c r="O215" s="191"/>
      <c r="P215" s="191"/>
      <c r="Q215" s="191"/>
      <c r="R215" s="191"/>
      <c r="S215" s="191"/>
      <c r="T215" s="191"/>
      <c r="U215" s="191"/>
      <c r="V215" s="191"/>
      <c r="W215" s="191"/>
      <c r="X215" s="191"/>
      <c r="Y215" s="191"/>
      <c r="Z215" s="191"/>
      <c r="AA215" s="191"/>
      <c r="AB215" s="191"/>
      <c r="AC215" s="191"/>
      <c r="AD215" s="191"/>
      <c r="AE215" s="191"/>
      <c r="AF215" s="191"/>
      <c r="AG215" s="191"/>
      <c r="AH215" s="191"/>
      <c r="AI215" s="191"/>
      <c r="AJ215" s="191"/>
      <c r="AK215" s="191"/>
      <c r="AL215" s="191"/>
      <c r="AM215" s="191"/>
      <c r="AN215" s="191"/>
      <c r="AO215" s="191"/>
      <c r="AP215" s="191"/>
      <c r="AQ215" s="191"/>
      <c r="AR215" s="191"/>
      <c r="AS215" s="191"/>
      <c r="AT215" s="191"/>
      <c r="AU215" s="191"/>
      <c r="AV215" s="191"/>
      <c r="AW215" s="191"/>
      <c r="AX215" s="191"/>
      <c r="AY215" s="191"/>
      <c r="AZ215" s="191"/>
      <c r="BA215" s="191"/>
      <c r="BB215" s="191"/>
      <c r="BC215" s="191"/>
      <c r="BD215" s="191"/>
      <c r="BE215" s="191"/>
      <c r="BF215" s="191"/>
      <c r="BG215" s="191"/>
      <c r="BH215" s="191"/>
      <c r="BI215" s="191"/>
      <c r="BJ215" s="191"/>
      <c r="BK215" s="191"/>
      <c r="BL215" s="191"/>
      <c r="BM215" s="191"/>
      <c r="BN215" s="191"/>
      <c r="BO215" s="191"/>
      <c r="BP215" s="191"/>
    </row>
    <row r="216" spans="11:68">
      <c r="K216" s="191"/>
      <c r="L216" s="191"/>
      <c r="M216" s="191"/>
      <c r="N216" s="191"/>
      <c r="O216" s="191"/>
      <c r="P216" s="191"/>
      <c r="Q216" s="191"/>
      <c r="R216" s="191"/>
      <c r="S216" s="191"/>
      <c r="T216" s="191"/>
      <c r="U216" s="191"/>
      <c r="V216" s="191"/>
      <c r="W216" s="191"/>
      <c r="X216" s="191"/>
      <c r="Y216" s="191"/>
      <c r="Z216" s="191"/>
      <c r="AA216" s="191"/>
      <c r="AB216" s="191"/>
      <c r="AC216" s="191"/>
      <c r="AD216" s="191"/>
      <c r="AE216" s="191"/>
      <c r="AF216" s="191"/>
      <c r="AG216" s="191"/>
      <c r="AH216" s="191"/>
      <c r="AI216" s="191"/>
      <c r="AJ216" s="191"/>
      <c r="AK216" s="191"/>
      <c r="AL216" s="191"/>
      <c r="AM216" s="191"/>
      <c r="AN216" s="191"/>
      <c r="AO216" s="191"/>
      <c r="AP216" s="191"/>
      <c r="AQ216" s="191"/>
      <c r="AR216" s="191"/>
      <c r="AS216" s="191"/>
      <c r="AT216" s="191"/>
      <c r="AU216" s="191"/>
      <c r="AV216" s="191"/>
      <c r="AW216" s="191"/>
      <c r="AX216" s="191"/>
      <c r="AY216" s="191"/>
      <c r="AZ216" s="191"/>
      <c r="BA216" s="191"/>
      <c r="BB216" s="191"/>
      <c r="BC216" s="191"/>
      <c r="BD216" s="191"/>
      <c r="BE216" s="191"/>
      <c r="BF216" s="191"/>
      <c r="BG216" s="191"/>
      <c r="BH216" s="191"/>
      <c r="BI216" s="191"/>
      <c r="BJ216" s="191"/>
      <c r="BK216" s="191"/>
      <c r="BL216" s="191"/>
      <c r="BM216" s="191"/>
      <c r="BN216" s="191"/>
      <c r="BO216" s="191"/>
      <c r="BP216" s="191"/>
    </row>
    <row r="217" spans="11:68">
      <c r="K217" s="191"/>
      <c r="L217" s="191"/>
      <c r="M217" s="191"/>
      <c r="N217" s="191"/>
      <c r="O217" s="191"/>
      <c r="P217" s="191"/>
      <c r="Q217" s="191"/>
      <c r="R217" s="191"/>
      <c r="S217" s="191"/>
      <c r="T217" s="191"/>
      <c r="U217" s="191"/>
      <c r="V217" s="191"/>
      <c r="W217" s="191"/>
      <c r="X217" s="191"/>
      <c r="Y217" s="191"/>
      <c r="Z217" s="191"/>
      <c r="AA217" s="191"/>
      <c r="AB217" s="191"/>
      <c r="AC217" s="191"/>
      <c r="AD217" s="191"/>
      <c r="AE217" s="191"/>
      <c r="AF217" s="191"/>
      <c r="AG217" s="191"/>
      <c r="AH217" s="191"/>
      <c r="AI217" s="191"/>
      <c r="AJ217" s="191"/>
      <c r="AK217" s="191"/>
      <c r="AL217" s="191"/>
      <c r="AM217" s="191"/>
      <c r="AN217" s="191"/>
      <c r="AO217" s="191"/>
      <c r="AP217" s="191"/>
      <c r="AQ217" s="191"/>
      <c r="AR217" s="191"/>
      <c r="AS217" s="191"/>
      <c r="AT217" s="191"/>
      <c r="AU217" s="191"/>
      <c r="AV217" s="191"/>
      <c r="AW217" s="191"/>
      <c r="AX217" s="191"/>
      <c r="AY217" s="191"/>
      <c r="AZ217" s="191"/>
      <c r="BA217" s="191"/>
      <c r="BB217" s="191"/>
      <c r="BC217" s="191"/>
      <c r="BD217" s="191"/>
      <c r="BE217" s="191"/>
      <c r="BF217" s="191"/>
      <c r="BG217" s="191"/>
      <c r="BH217" s="191"/>
      <c r="BI217" s="191"/>
      <c r="BJ217" s="191"/>
      <c r="BK217" s="191"/>
      <c r="BL217" s="191"/>
      <c r="BM217" s="191"/>
      <c r="BN217" s="191"/>
      <c r="BO217" s="191"/>
      <c r="BP217" s="191"/>
    </row>
    <row r="218" spans="11:68">
      <c r="K218" s="191"/>
      <c r="L218" s="191"/>
      <c r="M218" s="191"/>
      <c r="N218" s="191"/>
      <c r="O218" s="191"/>
      <c r="P218" s="191"/>
      <c r="Q218" s="191"/>
      <c r="R218" s="191"/>
      <c r="S218" s="191"/>
      <c r="T218" s="191"/>
      <c r="U218" s="191"/>
      <c r="V218" s="191"/>
      <c r="W218" s="191"/>
      <c r="X218" s="191"/>
      <c r="Y218" s="191"/>
      <c r="Z218" s="191"/>
      <c r="AA218" s="191"/>
      <c r="AB218" s="191"/>
      <c r="AC218" s="191"/>
      <c r="AD218" s="191"/>
      <c r="AE218" s="191"/>
      <c r="AF218" s="191"/>
      <c r="AG218" s="191"/>
      <c r="AH218" s="191"/>
      <c r="AI218" s="191"/>
      <c r="AJ218" s="191"/>
      <c r="AK218" s="191"/>
      <c r="AL218" s="191"/>
      <c r="AM218" s="191"/>
      <c r="AN218" s="191"/>
      <c r="AO218" s="191"/>
      <c r="AP218" s="191"/>
      <c r="AQ218" s="191"/>
      <c r="AR218" s="191"/>
      <c r="AS218" s="191"/>
      <c r="AT218" s="191"/>
      <c r="AU218" s="191"/>
      <c r="AV218" s="191"/>
      <c r="AW218" s="191"/>
      <c r="AX218" s="191"/>
      <c r="AY218" s="191"/>
      <c r="AZ218" s="191"/>
      <c r="BA218" s="191"/>
      <c r="BB218" s="191"/>
      <c r="BC218" s="191"/>
      <c r="BD218" s="191"/>
      <c r="BE218" s="191"/>
      <c r="BF218" s="191"/>
      <c r="BG218" s="191"/>
      <c r="BH218" s="191"/>
      <c r="BI218" s="191"/>
      <c r="BJ218" s="191"/>
      <c r="BK218" s="191"/>
      <c r="BL218" s="191"/>
      <c r="BM218" s="191"/>
      <c r="BN218" s="191"/>
      <c r="BO218" s="191"/>
      <c r="BP218" s="191"/>
    </row>
    <row r="219" spans="11:68">
      <c r="K219" s="191"/>
      <c r="L219" s="191"/>
      <c r="M219" s="191"/>
      <c r="N219" s="191"/>
      <c r="O219" s="191"/>
      <c r="P219" s="191"/>
      <c r="Q219" s="191"/>
      <c r="R219" s="191"/>
      <c r="S219" s="191"/>
      <c r="T219" s="191"/>
      <c r="U219" s="191"/>
      <c r="V219" s="191"/>
      <c r="W219" s="191"/>
      <c r="X219" s="191"/>
      <c r="Y219" s="191"/>
      <c r="Z219" s="191"/>
      <c r="AA219" s="191"/>
      <c r="AB219" s="191"/>
      <c r="AC219" s="191"/>
      <c r="AD219" s="191"/>
      <c r="AE219" s="191"/>
      <c r="AF219" s="191"/>
      <c r="AG219" s="191"/>
      <c r="AH219" s="191"/>
      <c r="AI219" s="191"/>
      <c r="AJ219" s="191"/>
      <c r="AK219" s="191"/>
      <c r="AL219" s="191"/>
      <c r="AM219" s="191"/>
      <c r="AN219" s="191"/>
      <c r="AO219" s="191"/>
      <c r="AP219" s="191"/>
      <c r="AQ219" s="191"/>
      <c r="AR219" s="191"/>
      <c r="AS219" s="191"/>
      <c r="AT219" s="191"/>
      <c r="AU219" s="191"/>
      <c r="AV219" s="191"/>
      <c r="AW219" s="191"/>
      <c r="AX219" s="191"/>
      <c r="AY219" s="191"/>
      <c r="AZ219" s="191"/>
      <c r="BA219" s="191"/>
      <c r="BB219" s="191"/>
      <c r="BC219" s="191"/>
      <c r="BD219" s="191"/>
      <c r="BE219" s="191"/>
      <c r="BF219" s="191"/>
      <c r="BG219" s="191"/>
      <c r="BH219" s="191"/>
      <c r="BI219" s="191"/>
      <c r="BJ219" s="191"/>
      <c r="BK219" s="191"/>
      <c r="BL219" s="191"/>
      <c r="BM219" s="191"/>
      <c r="BN219" s="191"/>
      <c r="BO219" s="191"/>
      <c r="BP219" s="191"/>
    </row>
    <row r="220" spans="11:68">
      <c r="K220" s="191"/>
      <c r="L220" s="191"/>
      <c r="M220" s="191"/>
      <c r="N220" s="191"/>
      <c r="O220" s="191"/>
      <c r="P220" s="191"/>
      <c r="Q220" s="191"/>
      <c r="R220" s="191"/>
      <c r="S220" s="191"/>
      <c r="T220" s="191"/>
      <c r="U220" s="191"/>
      <c r="V220" s="191"/>
      <c r="W220" s="191"/>
      <c r="X220" s="191"/>
      <c r="Y220" s="191"/>
      <c r="Z220" s="191"/>
      <c r="AA220" s="191"/>
      <c r="AB220" s="191"/>
      <c r="AC220" s="191"/>
      <c r="AD220" s="191"/>
      <c r="AE220" s="191"/>
      <c r="AF220" s="191"/>
      <c r="AG220" s="191"/>
      <c r="AH220" s="191"/>
      <c r="AI220" s="191"/>
      <c r="AJ220" s="191"/>
      <c r="AK220" s="191"/>
      <c r="AL220" s="191"/>
      <c r="AM220" s="191"/>
      <c r="AN220" s="191"/>
      <c r="AO220" s="191"/>
      <c r="AP220" s="191"/>
      <c r="AQ220" s="191"/>
      <c r="AR220" s="191"/>
      <c r="AS220" s="191"/>
      <c r="AT220" s="191"/>
      <c r="AU220" s="191"/>
      <c r="AV220" s="191"/>
      <c r="AW220" s="191"/>
      <c r="AX220" s="191"/>
      <c r="AY220" s="191"/>
      <c r="AZ220" s="191"/>
      <c r="BA220" s="191"/>
      <c r="BB220" s="191"/>
      <c r="BC220" s="191"/>
      <c r="BD220" s="191"/>
      <c r="BE220" s="191"/>
      <c r="BF220" s="191"/>
      <c r="BG220" s="191"/>
      <c r="BH220" s="191"/>
      <c r="BI220" s="191"/>
      <c r="BJ220" s="191"/>
      <c r="BK220" s="191"/>
      <c r="BL220" s="191"/>
      <c r="BM220" s="191"/>
      <c r="BN220" s="191"/>
      <c r="BO220" s="191"/>
      <c r="BP220" s="191"/>
    </row>
    <row r="221" spans="11:68">
      <c r="K221" s="191"/>
      <c r="L221" s="191"/>
      <c r="M221" s="191"/>
      <c r="N221" s="191"/>
      <c r="O221" s="191"/>
      <c r="P221" s="191"/>
      <c r="Q221" s="191"/>
      <c r="R221" s="191"/>
      <c r="S221" s="191"/>
      <c r="T221" s="191"/>
      <c r="U221" s="191"/>
      <c r="V221" s="191"/>
      <c r="W221" s="191"/>
      <c r="X221" s="191"/>
      <c r="Y221" s="191"/>
      <c r="Z221" s="191"/>
      <c r="AA221" s="191"/>
      <c r="AB221" s="191"/>
      <c r="AC221" s="191"/>
      <c r="AD221" s="191"/>
      <c r="AE221" s="191"/>
      <c r="AF221" s="191"/>
      <c r="AG221" s="191"/>
      <c r="AH221" s="191"/>
      <c r="AI221" s="191"/>
      <c r="AJ221" s="191"/>
      <c r="AK221" s="191"/>
      <c r="AL221" s="191"/>
      <c r="AM221" s="191"/>
      <c r="AN221" s="191"/>
      <c r="AO221" s="191"/>
      <c r="AP221" s="191"/>
      <c r="AQ221" s="191"/>
      <c r="AR221" s="191"/>
      <c r="AS221" s="191"/>
      <c r="AT221" s="191"/>
      <c r="AU221" s="191"/>
      <c r="AV221" s="191"/>
      <c r="AW221" s="191"/>
      <c r="AX221" s="191"/>
      <c r="AY221" s="191"/>
      <c r="AZ221" s="191"/>
      <c r="BA221" s="191"/>
      <c r="BB221" s="191"/>
      <c r="BC221" s="191"/>
      <c r="BD221" s="191"/>
      <c r="BE221" s="191"/>
      <c r="BF221" s="191"/>
      <c r="BG221" s="191"/>
      <c r="BH221" s="191"/>
      <c r="BI221" s="191"/>
      <c r="BJ221" s="191"/>
      <c r="BK221" s="191"/>
      <c r="BL221" s="191"/>
      <c r="BM221" s="191"/>
      <c r="BN221" s="191"/>
      <c r="BO221" s="191"/>
      <c r="BP221" s="191"/>
    </row>
    <row r="222" spans="11:68">
      <c r="K222" s="191"/>
      <c r="L222" s="191"/>
      <c r="M222" s="191"/>
      <c r="N222" s="191"/>
      <c r="O222" s="191"/>
      <c r="P222" s="191"/>
      <c r="Q222" s="191"/>
      <c r="R222" s="191"/>
      <c r="S222" s="191"/>
      <c r="T222" s="191"/>
      <c r="U222" s="191"/>
      <c r="V222" s="191"/>
      <c r="W222" s="191"/>
      <c r="X222" s="191"/>
      <c r="Y222" s="191"/>
      <c r="Z222" s="191"/>
      <c r="AA222" s="191"/>
      <c r="AB222" s="191"/>
      <c r="AC222" s="191"/>
      <c r="AD222" s="191"/>
      <c r="AE222" s="191"/>
      <c r="AF222" s="191"/>
      <c r="AG222" s="191"/>
      <c r="AH222" s="191"/>
      <c r="AI222" s="191"/>
      <c r="AJ222" s="191"/>
      <c r="AK222" s="191"/>
      <c r="AL222" s="191"/>
      <c r="AM222" s="191"/>
      <c r="AN222" s="191"/>
      <c r="AO222" s="191"/>
      <c r="AP222" s="191"/>
      <c r="AQ222" s="191"/>
      <c r="AR222" s="191"/>
      <c r="AS222" s="191"/>
      <c r="AT222" s="191"/>
      <c r="AU222" s="191"/>
      <c r="AV222" s="191"/>
      <c r="AW222" s="191"/>
      <c r="AX222" s="191"/>
      <c r="AY222" s="191"/>
      <c r="AZ222" s="191"/>
      <c r="BA222" s="191"/>
      <c r="BB222" s="191"/>
      <c r="BC222" s="191"/>
      <c r="BD222" s="191"/>
      <c r="BE222" s="191"/>
      <c r="BF222" s="191"/>
      <c r="BG222" s="191"/>
      <c r="BH222" s="191"/>
      <c r="BI222" s="191"/>
      <c r="BJ222" s="191"/>
      <c r="BK222" s="191"/>
      <c r="BL222" s="191"/>
      <c r="BM222" s="191"/>
      <c r="BN222" s="191"/>
      <c r="BO222" s="191"/>
      <c r="BP222" s="191"/>
    </row>
    <row r="223" spans="11:68">
      <c r="K223" s="191"/>
      <c r="L223" s="191"/>
      <c r="M223" s="191"/>
      <c r="N223" s="191"/>
      <c r="O223" s="191"/>
      <c r="P223" s="191"/>
      <c r="Q223" s="191"/>
      <c r="R223" s="191"/>
      <c r="S223" s="191"/>
      <c r="T223" s="191"/>
      <c r="U223" s="191"/>
      <c r="V223" s="191"/>
      <c r="W223" s="191"/>
      <c r="X223" s="191"/>
      <c r="Y223" s="191"/>
      <c r="Z223" s="191"/>
      <c r="AA223" s="191"/>
      <c r="AB223" s="191"/>
      <c r="AC223" s="191"/>
      <c r="AD223" s="191"/>
      <c r="AE223" s="191"/>
      <c r="AF223" s="191"/>
      <c r="AG223" s="191"/>
      <c r="AH223" s="191"/>
      <c r="AI223" s="191"/>
      <c r="AJ223" s="191"/>
      <c r="AK223" s="191"/>
      <c r="AL223" s="191"/>
      <c r="AM223" s="191"/>
      <c r="AN223" s="191"/>
      <c r="AO223" s="191"/>
      <c r="AP223" s="191"/>
      <c r="AQ223" s="191"/>
      <c r="AR223" s="191"/>
      <c r="AS223" s="191"/>
      <c r="AT223" s="191"/>
      <c r="AU223" s="191"/>
      <c r="AV223" s="191"/>
      <c r="AW223" s="191"/>
      <c r="AX223" s="191"/>
      <c r="AY223" s="191"/>
      <c r="AZ223" s="191"/>
      <c r="BA223" s="191"/>
      <c r="BB223" s="191"/>
      <c r="BC223" s="191"/>
      <c r="BD223" s="191"/>
      <c r="BE223" s="191"/>
      <c r="BF223" s="191"/>
      <c r="BG223" s="191"/>
      <c r="BH223" s="191"/>
      <c r="BI223" s="191"/>
      <c r="BJ223" s="191"/>
      <c r="BK223" s="191"/>
      <c r="BL223" s="191"/>
      <c r="BM223" s="191"/>
      <c r="BN223" s="191"/>
      <c r="BO223" s="191"/>
      <c r="BP223" s="191"/>
    </row>
    <row r="224" spans="11:68">
      <c r="K224" s="191"/>
      <c r="L224" s="191"/>
      <c r="M224" s="191"/>
      <c r="N224" s="191"/>
      <c r="O224" s="191"/>
      <c r="P224" s="191"/>
      <c r="Q224" s="191"/>
      <c r="R224" s="191"/>
      <c r="S224" s="191"/>
      <c r="T224" s="191"/>
      <c r="U224" s="191"/>
      <c r="V224" s="191"/>
      <c r="W224" s="191"/>
      <c r="X224" s="191"/>
      <c r="Y224" s="191"/>
      <c r="Z224" s="191"/>
      <c r="AA224" s="191"/>
      <c r="AB224" s="191"/>
      <c r="AC224" s="191"/>
      <c r="AD224" s="191"/>
      <c r="AE224" s="191"/>
      <c r="AF224" s="191"/>
      <c r="AG224" s="191"/>
      <c r="AH224" s="191"/>
      <c r="AI224" s="191"/>
      <c r="AJ224" s="191"/>
      <c r="AK224" s="191"/>
      <c r="AL224" s="191"/>
      <c r="AM224" s="191"/>
      <c r="AN224" s="191"/>
      <c r="AO224" s="191"/>
      <c r="AP224" s="191"/>
      <c r="AQ224" s="191"/>
      <c r="AR224" s="191"/>
      <c r="AS224" s="191"/>
      <c r="AT224" s="191"/>
      <c r="AU224" s="191"/>
      <c r="AV224" s="191"/>
      <c r="AW224" s="191"/>
      <c r="AX224" s="191"/>
      <c r="AY224" s="191"/>
      <c r="AZ224" s="191"/>
      <c r="BA224" s="191"/>
      <c r="BB224" s="191"/>
      <c r="BC224" s="191"/>
      <c r="BD224" s="191"/>
      <c r="BE224" s="191"/>
      <c r="BF224" s="191"/>
      <c r="BG224" s="191"/>
      <c r="BH224" s="191"/>
      <c r="BI224" s="191"/>
      <c r="BJ224" s="191"/>
      <c r="BK224" s="191"/>
      <c r="BL224" s="191"/>
      <c r="BM224" s="191"/>
      <c r="BN224" s="191"/>
      <c r="BO224" s="191"/>
      <c r="BP224" s="191"/>
    </row>
    <row r="225" spans="11:68">
      <c r="K225" s="191"/>
      <c r="L225" s="191"/>
      <c r="M225" s="191"/>
      <c r="N225" s="191"/>
      <c r="O225" s="191"/>
      <c r="P225" s="191"/>
      <c r="Q225" s="191"/>
      <c r="R225" s="191"/>
      <c r="S225" s="191"/>
      <c r="T225" s="191"/>
      <c r="U225" s="191"/>
      <c r="V225" s="191"/>
      <c r="W225" s="191"/>
      <c r="X225" s="191"/>
      <c r="Y225" s="191"/>
      <c r="Z225" s="191"/>
      <c r="AA225" s="191"/>
      <c r="AB225" s="191"/>
      <c r="AC225" s="191"/>
      <c r="AD225" s="191"/>
      <c r="AE225" s="191"/>
      <c r="AF225" s="191"/>
      <c r="AG225" s="191"/>
      <c r="AH225" s="191"/>
      <c r="AI225" s="191"/>
      <c r="AJ225" s="191"/>
      <c r="AK225" s="191"/>
      <c r="AL225" s="191"/>
      <c r="AM225" s="191"/>
      <c r="AN225" s="191"/>
      <c r="AO225" s="191"/>
      <c r="AP225" s="191"/>
      <c r="AQ225" s="191"/>
      <c r="AR225" s="191"/>
      <c r="AS225" s="191"/>
      <c r="AT225" s="191"/>
      <c r="AU225" s="191"/>
      <c r="AV225" s="191"/>
      <c r="AW225" s="191"/>
      <c r="AX225" s="191"/>
      <c r="AY225" s="191"/>
      <c r="AZ225" s="191"/>
      <c r="BA225" s="191"/>
      <c r="BB225" s="191"/>
      <c r="BC225" s="191"/>
      <c r="BD225" s="191"/>
      <c r="BE225" s="191"/>
      <c r="BF225" s="191"/>
      <c r="BG225" s="191"/>
      <c r="BH225" s="191"/>
      <c r="BI225" s="191"/>
      <c r="BJ225" s="191"/>
      <c r="BK225" s="191"/>
      <c r="BL225" s="191"/>
      <c r="BM225" s="191"/>
      <c r="BN225" s="191"/>
      <c r="BO225" s="191"/>
      <c r="BP225" s="191"/>
    </row>
    <row r="226" spans="11:68">
      <c r="K226" s="191"/>
      <c r="L226" s="191"/>
      <c r="M226" s="191"/>
      <c r="N226" s="191"/>
      <c r="O226" s="191"/>
      <c r="P226" s="191"/>
      <c r="Q226" s="191"/>
      <c r="R226" s="191"/>
      <c r="S226" s="191"/>
      <c r="T226" s="191"/>
      <c r="U226" s="191"/>
      <c r="V226" s="191"/>
      <c r="W226" s="191"/>
      <c r="X226" s="191"/>
      <c r="Y226" s="191"/>
      <c r="Z226" s="191"/>
      <c r="AA226" s="191"/>
      <c r="AB226" s="191"/>
      <c r="AC226" s="191"/>
      <c r="AD226" s="191"/>
      <c r="AE226" s="191"/>
      <c r="AF226" s="191"/>
      <c r="AG226" s="191"/>
      <c r="AH226" s="191"/>
      <c r="AI226" s="191"/>
      <c r="AJ226" s="191"/>
      <c r="AK226" s="191"/>
      <c r="AL226" s="191"/>
      <c r="AM226" s="191"/>
      <c r="AN226" s="191"/>
      <c r="AO226" s="191"/>
      <c r="AP226" s="191"/>
      <c r="AQ226" s="191"/>
      <c r="AR226" s="191"/>
      <c r="AS226" s="191"/>
      <c r="AT226" s="191"/>
      <c r="AU226" s="191"/>
      <c r="AV226" s="191"/>
      <c r="AW226" s="191"/>
      <c r="AX226" s="191"/>
      <c r="AY226" s="191"/>
      <c r="AZ226" s="191"/>
      <c r="BA226" s="191"/>
      <c r="BB226" s="191"/>
      <c r="BC226" s="191"/>
      <c r="BD226" s="191"/>
      <c r="BE226" s="191"/>
      <c r="BF226" s="191"/>
      <c r="BG226" s="191"/>
      <c r="BH226" s="191"/>
      <c r="BI226" s="191"/>
      <c r="BJ226" s="191"/>
      <c r="BK226" s="191"/>
      <c r="BL226" s="191"/>
      <c r="BM226" s="191"/>
      <c r="BN226" s="191"/>
      <c r="BO226" s="191"/>
      <c r="BP226" s="191"/>
    </row>
    <row r="227" spans="11:68">
      <c r="K227" s="191"/>
      <c r="L227" s="191"/>
      <c r="M227" s="191"/>
      <c r="N227" s="191"/>
      <c r="O227" s="191"/>
      <c r="P227" s="191"/>
      <c r="Q227" s="191"/>
      <c r="R227" s="191"/>
      <c r="S227" s="191"/>
      <c r="T227" s="191"/>
      <c r="U227" s="191"/>
      <c r="V227" s="191"/>
      <c r="W227" s="191"/>
      <c r="X227" s="191"/>
      <c r="Y227" s="191"/>
      <c r="Z227" s="191"/>
      <c r="AA227" s="191"/>
      <c r="AB227" s="191"/>
      <c r="AC227" s="191"/>
      <c r="AD227" s="191"/>
      <c r="AE227" s="191"/>
      <c r="AF227" s="191"/>
      <c r="AG227" s="191"/>
      <c r="AH227" s="191"/>
      <c r="AI227" s="191"/>
      <c r="AJ227" s="191"/>
      <c r="AK227" s="191"/>
      <c r="AL227" s="191"/>
      <c r="AM227" s="191"/>
      <c r="AN227" s="191"/>
      <c r="AO227" s="191"/>
      <c r="AP227" s="191"/>
      <c r="AQ227" s="191"/>
      <c r="AR227" s="191"/>
      <c r="AS227" s="191"/>
      <c r="AT227" s="191"/>
      <c r="AU227" s="191"/>
      <c r="AV227" s="191"/>
      <c r="AW227" s="191"/>
      <c r="AX227" s="191"/>
      <c r="AY227" s="191"/>
      <c r="AZ227" s="191"/>
      <c r="BA227" s="191"/>
      <c r="BB227" s="191"/>
      <c r="BC227" s="191"/>
      <c r="BD227" s="191"/>
      <c r="BE227" s="191"/>
      <c r="BF227" s="191"/>
      <c r="BG227" s="191"/>
      <c r="BH227" s="191"/>
      <c r="BI227" s="191"/>
      <c r="BJ227" s="191"/>
      <c r="BK227" s="191"/>
      <c r="BL227" s="191"/>
      <c r="BM227" s="191"/>
      <c r="BN227" s="191"/>
      <c r="BO227" s="191"/>
      <c r="BP227" s="191"/>
    </row>
    <row r="228" spans="11:68">
      <c r="K228" s="191"/>
      <c r="L228" s="191"/>
      <c r="M228" s="191"/>
      <c r="N228" s="191"/>
      <c r="O228" s="191"/>
      <c r="P228" s="191"/>
      <c r="Q228" s="191"/>
      <c r="R228" s="191"/>
      <c r="S228" s="191"/>
      <c r="T228" s="191"/>
      <c r="U228" s="191"/>
      <c r="V228" s="191"/>
      <c r="W228" s="191"/>
      <c r="X228" s="191"/>
      <c r="Y228" s="191"/>
      <c r="Z228" s="191"/>
      <c r="AA228" s="191"/>
      <c r="AB228" s="191"/>
      <c r="AC228" s="191"/>
      <c r="AD228" s="191"/>
      <c r="AE228" s="191"/>
      <c r="AF228" s="191"/>
      <c r="AG228" s="191"/>
      <c r="AH228" s="191"/>
      <c r="AI228" s="191"/>
      <c r="AJ228" s="191"/>
      <c r="AK228" s="191"/>
      <c r="AL228" s="191"/>
      <c r="AM228" s="191"/>
      <c r="AN228" s="191"/>
      <c r="AO228" s="191"/>
      <c r="AP228" s="191"/>
      <c r="AQ228" s="191"/>
      <c r="AR228" s="191"/>
      <c r="AS228" s="191"/>
      <c r="AT228" s="191"/>
      <c r="AU228" s="191"/>
      <c r="AV228" s="191"/>
      <c r="AW228" s="191"/>
      <c r="AX228" s="191"/>
      <c r="AY228" s="191"/>
      <c r="AZ228" s="191"/>
      <c r="BA228" s="191"/>
      <c r="BB228" s="191"/>
      <c r="BC228" s="191"/>
      <c r="BD228" s="191"/>
      <c r="BE228" s="191"/>
      <c r="BF228" s="191"/>
      <c r="BG228" s="191"/>
      <c r="BH228" s="191"/>
      <c r="BI228" s="191"/>
      <c r="BJ228" s="191"/>
      <c r="BK228" s="191"/>
      <c r="BL228" s="191"/>
      <c r="BM228" s="191"/>
      <c r="BN228" s="191"/>
      <c r="BO228" s="191"/>
      <c r="BP228" s="191"/>
    </row>
    <row r="229" spans="11:68">
      <c r="K229" s="191"/>
      <c r="L229" s="191"/>
      <c r="M229" s="191"/>
      <c r="N229" s="191"/>
      <c r="O229" s="191"/>
      <c r="P229" s="191"/>
      <c r="Q229" s="191"/>
      <c r="R229" s="191"/>
      <c r="S229" s="191"/>
      <c r="T229" s="191"/>
      <c r="U229" s="191"/>
      <c r="V229" s="191"/>
      <c r="W229" s="191"/>
      <c r="X229" s="191"/>
      <c r="Y229" s="191"/>
      <c r="Z229" s="191"/>
      <c r="AA229" s="191"/>
      <c r="AB229" s="191"/>
      <c r="AC229" s="191"/>
      <c r="AD229" s="191"/>
      <c r="AE229" s="191"/>
      <c r="AF229" s="191"/>
      <c r="AG229" s="191"/>
      <c r="AH229" s="191"/>
      <c r="AI229" s="191"/>
      <c r="AJ229" s="191"/>
      <c r="AK229" s="191"/>
      <c r="AL229" s="191"/>
      <c r="AM229" s="191"/>
      <c r="AN229" s="191"/>
      <c r="AO229" s="191"/>
      <c r="AP229" s="191"/>
      <c r="AQ229" s="191"/>
      <c r="AR229" s="191"/>
      <c r="AS229" s="191"/>
      <c r="AT229" s="191"/>
      <c r="AU229" s="191"/>
      <c r="AV229" s="191"/>
      <c r="AW229" s="191"/>
      <c r="AX229" s="191"/>
      <c r="AY229" s="191"/>
      <c r="AZ229" s="191"/>
      <c r="BA229" s="191"/>
      <c r="BB229" s="191"/>
      <c r="BC229" s="191"/>
      <c r="BD229" s="191"/>
      <c r="BE229" s="191"/>
      <c r="BF229" s="191"/>
      <c r="BG229" s="191"/>
      <c r="BH229" s="191"/>
      <c r="BI229" s="191"/>
      <c r="BJ229" s="191"/>
      <c r="BK229" s="191"/>
      <c r="BL229" s="191"/>
      <c r="BM229" s="191"/>
      <c r="BN229" s="191"/>
      <c r="BO229" s="191"/>
      <c r="BP229" s="191"/>
    </row>
    <row r="230" spans="11:68">
      <c r="K230" s="191"/>
      <c r="L230" s="191"/>
      <c r="M230" s="191"/>
      <c r="N230" s="191"/>
      <c r="O230" s="191"/>
      <c r="P230" s="191"/>
      <c r="Q230" s="191"/>
      <c r="R230" s="191"/>
      <c r="S230" s="191"/>
      <c r="T230" s="191"/>
      <c r="U230" s="191"/>
      <c r="V230" s="191"/>
      <c r="W230" s="191"/>
      <c r="X230" s="191"/>
      <c r="Y230" s="191"/>
      <c r="Z230" s="191"/>
      <c r="AA230" s="191"/>
      <c r="AB230" s="191"/>
      <c r="AC230" s="191"/>
      <c r="AD230" s="191"/>
      <c r="AE230" s="191"/>
      <c r="AF230" s="191"/>
      <c r="AG230" s="191"/>
      <c r="AH230" s="191"/>
      <c r="AI230" s="191"/>
      <c r="AJ230" s="191"/>
      <c r="AK230" s="191"/>
      <c r="AL230" s="191"/>
      <c r="AM230" s="191"/>
      <c r="AN230" s="191"/>
      <c r="AO230" s="191"/>
      <c r="AP230" s="191"/>
      <c r="AQ230" s="191"/>
      <c r="AR230" s="191"/>
      <c r="AS230" s="191"/>
      <c r="AT230" s="191"/>
      <c r="AU230" s="191"/>
      <c r="AV230" s="191"/>
      <c r="AW230" s="191"/>
      <c r="AX230" s="191"/>
      <c r="AY230" s="191"/>
      <c r="AZ230" s="191"/>
      <c r="BA230" s="191"/>
      <c r="BB230" s="191"/>
      <c r="BC230" s="191"/>
      <c r="BD230" s="191"/>
      <c r="BE230" s="191"/>
      <c r="BF230" s="191"/>
      <c r="BG230" s="191"/>
      <c r="BH230" s="191"/>
      <c r="BI230" s="191"/>
      <c r="BJ230" s="191"/>
      <c r="BK230" s="191"/>
      <c r="BL230" s="191"/>
      <c r="BM230" s="191"/>
      <c r="BN230" s="191"/>
      <c r="BO230" s="191"/>
      <c r="BP230" s="191"/>
    </row>
    <row r="231" spans="11:68">
      <c r="K231" s="191"/>
      <c r="L231" s="191"/>
      <c r="M231" s="191"/>
      <c r="N231" s="191"/>
      <c r="O231" s="191"/>
      <c r="P231" s="191"/>
      <c r="Q231" s="191"/>
      <c r="R231" s="191"/>
      <c r="S231" s="191"/>
      <c r="T231" s="191"/>
      <c r="U231" s="191"/>
      <c r="V231" s="191"/>
      <c r="W231" s="191"/>
      <c r="X231" s="191"/>
      <c r="Y231" s="191"/>
      <c r="Z231" s="191"/>
      <c r="AA231" s="191"/>
      <c r="AB231" s="191"/>
      <c r="AC231" s="191"/>
      <c r="AD231" s="191"/>
      <c r="AE231" s="191"/>
      <c r="AF231" s="191"/>
      <c r="AG231" s="191"/>
      <c r="AH231" s="191"/>
      <c r="AI231" s="191"/>
      <c r="AJ231" s="191"/>
      <c r="AK231" s="191"/>
      <c r="AL231" s="191"/>
      <c r="AM231" s="191"/>
      <c r="AN231" s="191"/>
      <c r="AO231" s="191"/>
      <c r="AP231" s="191"/>
      <c r="AQ231" s="191"/>
      <c r="AR231" s="191"/>
      <c r="AS231" s="191"/>
      <c r="AT231" s="191"/>
      <c r="AU231" s="191"/>
      <c r="AV231" s="191"/>
      <c r="AW231" s="191"/>
      <c r="AX231" s="191"/>
      <c r="AY231" s="191"/>
      <c r="AZ231" s="191"/>
      <c r="BA231" s="191"/>
      <c r="BB231" s="191"/>
      <c r="BC231" s="191"/>
      <c r="BD231" s="191"/>
      <c r="BE231" s="191"/>
      <c r="BF231" s="191"/>
      <c r="BG231" s="191"/>
      <c r="BH231" s="191"/>
      <c r="BI231" s="191"/>
      <c r="BJ231" s="191"/>
      <c r="BK231" s="191"/>
      <c r="BL231" s="191"/>
      <c r="BM231" s="191"/>
      <c r="BN231" s="191"/>
      <c r="BO231" s="191"/>
      <c r="BP231" s="191"/>
    </row>
    <row r="232" spans="11:68">
      <c r="K232" s="191"/>
      <c r="L232" s="191"/>
      <c r="M232" s="191"/>
      <c r="N232" s="191"/>
      <c r="O232" s="191"/>
      <c r="P232" s="191"/>
      <c r="Q232" s="191"/>
      <c r="R232" s="191"/>
      <c r="S232" s="191"/>
      <c r="T232" s="191"/>
      <c r="U232" s="191"/>
      <c r="V232" s="191"/>
      <c r="W232" s="191"/>
      <c r="X232" s="191"/>
      <c r="Y232" s="191"/>
      <c r="Z232" s="191"/>
      <c r="AA232" s="191"/>
      <c r="AB232" s="191"/>
      <c r="AC232" s="191"/>
      <c r="AD232" s="191"/>
      <c r="AE232" s="191"/>
      <c r="AF232" s="191"/>
      <c r="AG232" s="191"/>
      <c r="AH232" s="191"/>
      <c r="AI232" s="191"/>
      <c r="AJ232" s="191"/>
      <c r="AK232" s="191"/>
      <c r="AL232" s="191"/>
      <c r="AM232" s="191"/>
      <c r="AN232" s="191"/>
      <c r="AO232" s="191"/>
      <c r="AP232" s="191"/>
      <c r="AQ232" s="191"/>
      <c r="AR232" s="191"/>
      <c r="AS232" s="191"/>
      <c r="AT232" s="191"/>
      <c r="AU232" s="191"/>
      <c r="AV232" s="191"/>
      <c r="AW232" s="191"/>
      <c r="AX232" s="191"/>
      <c r="AY232" s="191"/>
      <c r="AZ232" s="191"/>
      <c r="BA232" s="191"/>
      <c r="BB232" s="191"/>
      <c r="BC232" s="191"/>
      <c r="BD232" s="191"/>
      <c r="BE232" s="191"/>
      <c r="BF232" s="191"/>
      <c r="BG232" s="191"/>
      <c r="BH232" s="191"/>
      <c r="BI232" s="191"/>
      <c r="BJ232" s="191"/>
      <c r="BK232" s="191"/>
      <c r="BL232" s="191"/>
      <c r="BM232" s="191"/>
      <c r="BN232" s="191"/>
      <c r="BO232" s="191"/>
      <c r="BP232" s="191"/>
    </row>
    <row r="233" spans="11:68">
      <c r="K233" s="191"/>
      <c r="L233" s="191"/>
      <c r="M233" s="191"/>
      <c r="N233" s="191"/>
      <c r="O233" s="191"/>
      <c r="P233" s="191"/>
      <c r="Q233" s="191"/>
      <c r="R233" s="191"/>
      <c r="S233" s="191"/>
      <c r="T233" s="191"/>
      <c r="U233" s="191"/>
      <c r="V233" s="191"/>
      <c r="W233" s="191"/>
      <c r="X233" s="191"/>
      <c r="Y233" s="191"/>
      <c r="Z233" s="191"/>
      <c r="AA233" s="191"/>
      <c r="AB233" s="191"/>
      <c r="AC233" s="191"/>
      <c r="AD233" s="191"/>
      <c r="AE233" s="191"/>
      <c r="AF233" s="191"/>
      <c r="AG233" s="191"/>
      <c r="AH233" s="191"/>
      <c r="AI233" s="191"/>
      <c r="AJ233" s="191"/>
      <c r="AK233" s="191"/>
      <c r="AL233" s="191"/>
      <c r="AM233" s="191"/>
      <c r="AN233" s="191"/>
      <c r="AO233" s="191"/>
      <c r="AP233" s="191"/>
      <c r="AQ233" s="191"/>
      <c r="AR233" s="191"/>
      <c r="AS233" s="191"/>
      <c r="AT233" s="191"/>
      <c r="AU233" s="191"/>
      <c r="AV233" s="191"/>
      <c r="AW233" s="191"/>
      <c r="AX233" s="191"/>
      <c r="AY233" s="191"/>
      <c r="AZ233" s="191"/>
      <c r="BA233" s="191"/>
      <c r="BB233" s="191"/>
      <c r="BC233" s="191"/>
      <c r="BD233" s="191"/>
      <c r="BE233" s="191"/>
      <c r="BF233" s="191"/>
      <c r="BG233" s="191"/>
      <c r="BH233" s="191"/>
      <c r="BI233" s="191"/>
      <c r="BJ233" s="191"/>
      <c r="BK233" s="191"/>
      <c r="BL233" s="191"/>
      <c r="BM233" s="191"/>
      <c r="BN233" s="191"/>
      <c r="BO233" s="191"/>
      <c r="BP233" s="191"/>
    </row>
    <row r="234" spans="11:68">
      <c r="K234" s="191"/>
      <c r="L234" s="191"/>
      <c r="M234" s="191"/>
      <c r="N234" s="191"/>
      <c r="O234" s="191"/>
      <c r="P234" s="191"/>
      <c r="Q234" s="191"/>
      <c r="R234" s="191"/>
      <c r="S234" s="191"/>
      <c r="T234" s="191"/>
      <c r="U234" s="191"/>
      <c r="V234" s="191"/>
      <c r="W234" s="191"/>
      <c r="X234" s="191"/>
      <c r="Y234" s="191"/>
      <c r="Z234" s="191"/>
      <c r="AA234" s="191"/>
      <c r="AB234" s="191"/>
      <c r="AC234" s="191"/>
      <c r="AD234" s="191"/>
      <c r="AE234" s="191"/>
      <c r="AF234" s="191"/>
      <c r="AG234" s="191"/>
      <c r="AH234" s="191"/>
      <c r="AI234" s="191"/>
      <c r="AJ234" s="191"/>
      <c r="AK234" s="191"/>
      <c r="AL234" s="191"/>
      <c r="AM234" s="191"/>
      <c r="AN234" s="191"/>
      <c r="AO234" s="191"/>
      <c r="AP234" s="191"/>
      <c r="AQ234" s="191"/>
      <c r="AR234" s="191"/>
      <c r="AS234" s="191"/>
      <c r="AT234" s="191"/>
      <c r="AU234" s="191"/>
      <c r="AV234" s="191"/>
      <c r="AW234" s="191"/>
      <c r="AX234" s="191"/>
      <c r="AY234" s="191"/>
      <c r="AZ234" s="191"/>
      <c r="BA234" s="191"/>
      <c r="BB234" s="191"/>
      <c r="BC234" s="191"/>
      <c r="BD234" s="191"/>
      <c r="BE234" s="191"/>
      <c r="BF234" s="191"/>
      <c r="BG234" s="191"/>
      <c r="BH234" s="191"/>
      <c r="BI234" s="191"/>
      <c r="BJ234" s="191"/>
      <c r="BK234" s="191"/>
      <c r="BL234" s="191"/>
      <c r="BM234" s="191"/>
      <c r="BN234" s="191"/>
      <c r="BO234" s="191"/>
      <c r="BP234" s="191"/>
    </row>
    <row r="235" spans="11:68">
      <c r="K235" s="191"/>
      <c r="L235" s="191"/>
      <c r="M235" s="191"/>
      <c r="N235" s="191"/>
      <c r="O235" s="191"/>
      <c r="P235" s="191"/>
      <c r="Q235" s="191"/>
      <c r="R235" s="191"/>
      <c r="S235" s="191"/>
      <c r="T235" s="191"/>
      <c r="U235" s="191"/>
      <c r="V235" s="191"/>
      <c r="W235" s="191"/>
      <c r="X235" s="191"/>
      <c r="Y235" s="191"/>
      <c r="Z235" s="191"/>
      <c r="AA235" s="191"/>
      <c r="AB235" s="191"/>
      <c r="AC235" s="191"/>
      <c r="AD235" s="191"/>
      <c r="AE235" s="191"/>
      <c r="AF235" s="191"/>
      <c r="AG235" s="191"/>
      <c r="AH235" s="191"/>
      <c r="AI235" s="191"/>
      <c r="AJ235" s="191"/>
      <c r="AK235" s="191"/>
      <c r="AL235" s="191"/>
      <c r="AM235" s="191"/>
      <c r="AN235" s="191"/>
      <c r="AO235" s="191"/>
      <c r="AP235" s="191"/>
      <c r="AQ235" s="191"/>
      <c r="AR235" s="191"/>
      <c r="AS235" s="191"/>
      <c r="AT235" s="191"/>
      <c r="AU235" s="191"/>
      <c r="AV235" s="191"/>
      <c r="AW235" s="191"/>
      <c r="AX235" s="191"/>
      <c r="AY235" s="191"/>
      <c r="AZ235" s="191"/>
      <c r="BA235" s="191"/>
      <c r="BB235" s="191"/>
      <c r="BC235" s="191"/>
      <c r="BD235" s="191"/>
      <c r="BE235" s="191"/>
      <c r="BF235" s="191"/>
      <c r="BG235" s="191"/>
      <c r="BH235" s="191"/>
      <c r="BI235" s="191"/>
      <c r="BJ235" s="191"/>
      <c r="BK235" s="191"/>
      <c r="BL235" s="191"/>
      <c r="BM235" s="191"/>
      <c r="BN235" s="191"/>
      <c r="BO235" s="191"/>
      <c r="BP235" s="191"/>
    </row>
    <row r="236" spans="11:68">
      <c r="K236" s="191"/>
      <c r="L236" s="191"/>
      <c r="M236" s="191"/>
      <c r="N236" s="191"/>
      <c r="O236" s="191"/>
      <c r="P236" s="191"/>
      <c r="Q236" s="191"/>
      <c r="R236" s="191"/>
      <c r="S236" s="191"/>
      <c r="T236" s="191"/>
      <c r="U236" s="191"/>
      <c r="V236" s="191"/>
      <c r="W236" s="191"/>
      <c r="X236" s="191"/>
      <c r="Y236" s="191"/>
      <c r="Z236" s="191"/>
      <c r="AA236" s="191"/>
      <c r="AB236" s="191"/>
      <c r="AC236" s="191"/>
      <c r="AD236" s="191"/>
      <c r="AE236" s="191"/>
      <c r="AF236" s="191"/>
      <c r="AG236" s="191"/>
      <c r="AH236" s="191"/>
      <c r="AI236" s="191"/>
      <c r="AJ236" s="191"/>
      <c r="AK236" s="191"/>
      <c r="AL236" s="191"/>
      <c r="AM236" s="191"/>
      <c r="AN236" s="191"/>
      <c r="AO236" s="191"/>
      <c r="AP236" s="191"/>
      <c r="AQ236" s="191"/>
      <c r="AR236" s="191"/>
      <c r="AS236" s="191"/>
      <c r="AT236" s="191"/>
      <c r="AU236" s="191"/>
      <c r="AV236" s="191"/>
      <c r="AW236" s="191"/>
      <c r="AX236" s="191"/>
      <c r="AY236" s="191"/>
      <c r="AZ236" s="191"/>
      <c r="BA236" s="191"/>
      <c r="BB236" s="191"/>
      <c r="BC236" s="191"/>
      <c r="BD236" s="191"/>
      <c r="BE236" s="191"/>
      <c r="BF236" s="191"/>
      <c r="BG236" s="191"/>
      <c r="BH236" s="191"/>
      <c r="BI236" s="191"/>
      <c r="BJ236" s="191"/>
      <c r="BK236" s="191"/>
      <c r="BL236" s="191"/>
      <c r="BM236" s="191"/>
      <c r="BN236" s="191"/>
      <c r="BO236" s="191"/>
      <c r="BP236" s="191"/>
    </row>
    <row r="237" spans="11:68">
      <c r="K237" s="191"/>
      <c r="L237" s="191"/>
      <c r="M237" s="191"/>
      <c r="N237" s="191"/>
      <c r="O237" s="191"/>
      <c r="P237" s="191"/>
      <c r="Q237" s="191"/>
      <c r="R237" s="191"/>
      <c r="S237" s="191"/>
      <c r="T237" s="191"/>
      <c r="U237" s="191"/>
      <c r="V237" s="191"/>
      <c r="W237" s="191"/>
      <c r="X237" s="191"/>
      <c r="Y237" s="191"/>
      <c r="Z237" s="191"/>
      <c r="AA237" s="191"/>
      <c r="AB237" s="191"/>
      <c r="AC237" s="191"/>
      <c r="AD237" s="191"/>
      <c r="AE237" s="191"/>
      <c r="AF237" s="191"/>
      <c r="AG237" s="191"/>
      <c r="AH237" s="191"/>
      <c r="AI237" s="191"/>
      <c r="AJ237" s="191"/>
      <c r="AK237" s="191"/>
      <c r="AL237" s="191"/>
      <c r="AM237" s="191"/>
      <c r="AN237" s="191"/>
      <c r="AO237" s="191"/>
      <c r="AP237" s="191"/>
      <c r="AQ237" s="191"/>
      <c r="AR237" s="191"/>
      <c r="AS237" s="191"/>
      <c r="AT237" s="191"/>
      <c r="AU237" s="191"/>
      <c r="AV237" s="191"/>
      <c r="AW237" s="191"/>
      <c r="AX237" s="191"/>
      <c r="AY237" s="191"/>
      <c r="AZ237" s="191"/>
      <c r="BA237" s="191"/>
      <c r="BB237" s="191"/>
      <c r="BC237" s="191"/>
      <c r="BD237" s="191"/>
      <c r="BE237" s="191"/>
      <c r="BF237" s="191"/>
      <c r="BG237" s="191"/>
      <c r="BH237" s="191"/>
      <c r="BI237" s="191"/>
      <c r="BJ237" s="191"/>
      <c r="BK237" s="191"/>
      <c r="BL237" s="191"/>
      <c r="BM237" s="191"/>
      <c r="BN237" s="191"/>
      <c r="BO237" s="191"/>
      <c r="BP237" s="191"/>
    </row>
    <row r="238" spans="11:68">
      <c r="K238" s="191"/>
      <c r="L238" s="191"/>
      <c r="M238" s="191"/>
      <c r="N238" s="191"/>
      <c r="O238" s="191"/>
      <c r="P238" s="191"/>
      <c r="Q238" s="191"/>
      <c r="R238" s="191"/>
      <c r="S238" s="191"/>
      <c r="T238" s="191"/>
      <c r="U238" s="191"/>
      <c r="V238" s="191"/>
      <c r="W238" s="191"/>
      <c r="X238" s="191"/>
      <c r="Y238" s="191"/>
      <c r="Z238" s="191"/>
      <c r="AA238" s="191"/>
      <c r="AB238" s="191"/>
      <c r="AC238" s="191"/>
      <c r="AD238" s="191"/>
      <c r="AE238" s="191"/>
      <c r="AF238" s="191"/>
      <c r="AG238" s="191"/>
      <c r="AH238" s="191"/>
      <c r="AI238" s="191"/>
      <c r="AJ238" s="191"/>
      <c r="AK238" s="191"/>
      <c r="AL238" s="191"/>
      <c r="AM238" s="191"/>
      <c r="AN238" s="191"/>
      <c r="AO238" s="191"/>
      <c r="AP238" s="191"/>
      <c r="AQ238" s="191"/>
      <c r="AR238" s="191"/>
      <c r="AS238" s="191"/>
      <c r="AT238" s="191"/>
      <c r="AU238" s="191"/>
      <c r="AV238" s="191"/>
      <c r="AW238" s="191"/>
      <c r="AX238" s="191"/>
      <c r="AY238" s="191"/>
      <c r="AZ238" s="191"/>
      <c r="BA238" s="191"/>
      <c r="BB238" s="191"/>
      <c r="BC238" s="191"/>
      <c r="BD238" s="191"/>
      <c r="BE238" s="191"/>
      <c r="BF238" s="191"/>
      <c r="BG238" s="191"/>
      <c r="BH238" s="191"/>
      <c r="BI238" s="191"/>
      <c r="BJ238" s="191"/>
      <c r="BK238" s="191"/>
      <c r="BL238" s="191"/>
      <c r="BM238" s="191"/>
      <c r="BN238" s="191"/>
      <c r="BO238" s="191"/>
      <c r="BP238" s="191"/>
    </row>
    <row r="239" spans="11:68">
      <c r="K239" s="191"/>
      <c r="L239" s="191"/>
      <c r="M239" s="191"/>
      <c r="N239" s="191"/>
      <c r="O239" s="191"/>
      <c r="P239" s="191"/>
      <c r="Q239" s="191"/>
      <c r="R239" s="191"/>
      <c r="S239" s="191"/>
      <c r="T239" s="191"/>
      <c r="U239" s="191"/>
      <c r="V239" s="191"/>
      <c r="W239" s="191"/>
      <c r="X239" s="191"/>
      <c r="Y239" s="191"/>
      <c r="Z239" s="191"/>
      <c r="AA239" s="191"/>
      <c r="AB239" s="191"/>
      <c r="AC239" s="191"/>
      <c r="AD239" s="191"/>
      <c r="AE239" s="191"/>
      <c r="AF239" s="191"/>
      <c r="AG239" s="191"/>
      <c r="AH239" s="191"/>
      <c r="AI239" s="191"/>
      <c r="AJ239" s="191"/>
      <c r="AK239" s="191"/>
      <c r="AL239" s="191"/>
      <c r="AM239" s="191"/>
      <c r="AN239" s="191"/>
      <c r="AO239" s="191"/>
      <c r="AP239" s="191"/>
      <c r="AQ239" s="191"/>
      <c r="AR239" s="191"/>
      <c r="AS239" s="191"/>
      <c r="AT239" s="191"/>
      <c r="AU239" s="191"/>
      <c r="AV239" s="191"/>
      <c r="AW239" s="191"/>
      <c r="AX239" s="191"/>
      <c r="AY239" s="191"/>
      <c r="AZ239" s="191"/>
      <c r="BA239" s="191"/>
      <c r="BB239" s="191"/>
      <c r="BC239" s="191"/>
      <c r="BD239" s="191"/>
      <c r="BE239" s="191"/>
      <c r="BF239" s="191"/>
      <c r="BG239" s="191"/>
      <c r="BH239" s="191"/>
      <c r="BI239" s="191"/>
      <c r="BJ239" s="191"/>
      <c r="BK239" s="191"/>
      <c r="BL239" s="191"/>
      <c r="BM239" s="191"/>
      <c r="BN239" s="191"/>
      <c r="BO239" s="191"/>
      <c r="BP239" s="191"/>
    </row>
    <row r="240" spans="11:68">
      <c r="K240" s="191"/>
      <c r="L240" s="191"/>
      <c r="M240" s="191"/>
      <c r="N240" s="191"/>
      <c r="O240" s="191"/>
      <c r="P240" s="191"/>
      <c r="Q240" s="191"/>
      <c r="R240" s="191"/>
      <c r="S240" s="191"/>
      <c r="T240" s="191"/>
      <c r="U240" s="191"/>
      <c r="V240" s="191"/>
      <c r="W240" s="191"/>
      <c r="X240" s="191"/>
      <c r="Y240" s="191"/>
      <c r="Z240" s="191"/>
      <c r="AA240" s="191"/>
      <c r="AB240" s="191"/>
      <c r="AC240" s="191"/>
      <c r="AD240" s="191"/>
      <c r="AE240" s="191"/>
      <c r="AF240" s="191"/>
      <c r="AG240" s="191"/>
      <c r="AH240" s="191"/>
      <c r="AI240" s="191"/>
      <c r="AJ240" s="191"/>
      <c r="AK240" s="191"/>
      <c r="AL240" s="191"/>
      <c r="AM240" s="191"/>
      <c r="AN240" s="191"/>
      <c r="AO240" s="191"/>
      <c r="AP240" s="191"/>
      <c r="AQ240" s="191"/>
      <c r="AR240" s="191"/>
      <c r="AS240" s="191"/>
      <c r="AT240" s="191"/>
      <c r="AU240" s="191"/>
      <c r="AV240" s="191"/>
      <c r="AW240" s="191"/>
      <c r="AX240" s="191"/>
      <c r="AY240" s="191"/>
      <c r="AZ240" s="191"/>
      <c r="BA240" s="191"/>
      <c r="BB240" s="191"/>
      <c r="BC240" s="191"/>
      <c r="BD240" s="191"/>
      <c r="BE240" s="191"/>
      <c r="BF240" s="191"/>
      <c r="BG240" s="191"/>
      <c r="BH240" s="191"/>
      <c r="BI240" s="191"/>
      <c r="BJ240" s="191"/>
      <c r="BK240" s="191"/>
      <c r="BL240" s="191"/>
      <c r="BM240" s="191"/>
      <c r="BN240" s="191"/>
      <c r="BO240" s="191"/>
      <c r="BP240" s="191"/>
    </row>
    <row r="241" spans="11:68">
      <c r="K241" s="191"/>
      <c r="L241" s="191"/>
      <c r="M241" s="191"/>
      <c r="N241" s="191"/>
      <c r="O241" s="191"/>
      <c r="P241" s="191"/>
      <c r="Q241" s="191"/>
      <c r="R241" s="191"/>
      <c r="S241" s="191"/>
      <c r="T241" s="191"/>
      <c r="U241" s="191"/>
      <c r="V241" s="191"/>
      <c r="W241" s="191"/>
      <c r="X241" s="191"/>
      <c r="Y241" s="191"/>
      <c r="Z241" s="191"/>
      <c r="AA241" s="191"/>
      <c r="AB241" s="191"/>
      <c r="AC241" s="191"/>
      <c r="AD241" s="191"/>
      <c r="AE241" s="191"/>
      <c r="AF241" s="191"/>
      <c r="AG241" s="191"/>
      <c r="AH241" s="191"/>
      <c r="AI241" s="191"/>
      <c r="AJ241" s="191"/>
      <c r="AK241" s="191"/>
      <c r="AL241" s="191"/>
      <c r="AM241" s="191"/>
      <c r="AN241" s="191"/>
      <c r="AO241" s="191"/>
      <c r="AP241" s="191"/>
      <c r="AQ241" s="191"/>
      <c r="AR241" s="191"/>
      <c r="AS241" s="191"/>
      <c r="AT241" s="191"/>
      <c r="AU241" s="191"/>
      <c r="AV241" s="191"/>
      <c r="AW241" s="191"/>
      <c r="AX241" s="191"/>
      <c r="AY241" s="191"/>
      <c r="AZ241" s="191"/>
      <c r="BA241" s="191"/>
      <c r="BB241" s="191"/>
      <c r="BC241" s="191"/>
      <c r="BD241" s="191"/>
      <c r="BE241" s="191"/>
      <c r="BF241" s="191"/>
      <c r="BG241" s="191"/>
      <c r="BH241" s="191"/>
      <c r="BI241" s="191"/>
      <c r="BJ241" s="191"/>
      <c r="BK241" s="191"/>
      <c r="BL241" s="191"/>
      <c r="BM241" s="191"/>
      <c r="BN241" s="191"/>
      <c r="BO241" s="191"/>
      <c r="BP241" s="191"/>
    </row>
    <row r="242" spans="11:68">
      <c r="K242" s="191"/>
      <c r="L242" s="191"/>
      <c r="M242" s="191"/>
      <c r="N242" s="191"/>
      <c r="O242" s="191"/>
      <c r="P242" s="191"/>
      <c r="Q242" s="191"/>
      <c r="R242" s="191"/>
      <c r="S242" s="191"/>
      <c r="T242" s="191"/>
      <c r="U242" s="191"/>
      <c r="V242" s="191"/>
      <c r="W242" s="191"/>
      <c r="X242" s="191"/>
      <c r="Y242" s="191"/>
      <c r="Z242" s="191"/>
      <c r="AA242" s="191"/>
      <c r="AB242" s="191"/>
      <c r="AC242" s="191"/>
      <c r="AD242" s="191"/>
      <c r="AE242" s="191"/>
      <c r="AF242" s="191"/>
      <c r="AG242" s="191"/>
      <c r="AH242" s="191"/>
      <c r="AI242" s="191"/>
      <c r="AJ242" s="191"/>
      <c r="AK242" s="191"/>
      <c r="AL242" s="191"/>
      <c r="AM242" s="191"/>
      <c r="AN242" s="191"/>
      <c r="AO242" s="191"/>
      <c r="AP242" s="191"/>
      <c r="AQ242" s="191"/>
      <c r="AR242" s="191"/>
      <c r="AS242" s="191"/>
      <c r="AT242" s="191"/>
      <c r="AU242" s="191"/>
      <c r="AV242" s="191"/>
      <c r="AW242" s="191"/>
      <c r="AX242" s="191"/>
      <c r="AY242" s="191"/>
      <c r="AZ242" s="191"/>
      <c r="BA242" s="191"/>
      <c r="BB242" s="191"/>
      <c r="BC242" s="191"/>
      <c r="BD242" s="191"/>
      <c r="BE242" s="191"/>
      <c r="BF242" s="191"/>
      <c r="BG242" s="191"/>
      <c r="BH242" s="191"/>
      <c r="BI242" s="191"/>
      <c r="BJ242" s="191"/>
      <c r="BK242" s="191"/>
      <c r="BL242" s="191"/>
      <c r="BM242" s="191"/>
      <c r="BN242" s="191"/>
      <c r="BO242" s="191"/>
      <c r="BP242" s="191"/>
    </row>
    <row r="243" spans="11:68">
      <c r="K243" s="191"/>
      <c r="L243" s="191"/>
      <c r="M243" s="191"/>
      <c r="N243" s="191"/>
      <c r="O243" s="191"/>
      <c r="P243" s="191"/>
      <c r="Q243" s="191"/>
      <c r="R243" s="191"/>
      <c r="S243" s="191"/>
      <c r="T243" s="191"/>
      <c r="U243" s="191"/>
      <c r="V243" s="191"/>
      <c r="W243" s="191"/>
      <c r="X243" s="191"/>
      <c r="Y243" s="191"/>
      <c r="Z243" s="191"/>
      <c r="AA243" s="191"/>
      <c r="AB243" s="191"/>
      <c r="AC243" s="191"/>
      <c r="AD243" s="191"/>
      <c r="AE243" s="191"/>
      <c r="AF243" s="191"/>
      <c r="AG243" s="191"/>
      <c r="AH243" s="191"/>
      <c r="AI243" s="191"/>
      <c r="AJ243" s="191"/>
      <c r="AK243" s="191"/>
      <c r="AL243" s="191"/>
      <c r="AM243" s="191"/>
      <c r="AN243" s="191"/>
      <c r="AO243" s="191"/>
      <c r="AP243" s="191"/>
      <c r="AQ243" s="191"/>
      <c r="AR243" s="191"/>
      <c r="AS243" s="191"/>
      <c r="AT243" s="191"/>
      <c r="AU243" s="191"/>
      <c r="AV243" s="191"/>
      <c r="AW243" s="191"/>
      <c r="AX243" s="191"/>
      <c r="AY243" s="191"/>
      <c r="AZ243" s="191"/>
      <c r="BA243" s="191"/>
      <c r="BB243" s="191"/>
      <c r="BC243" s="191"/>
      <c r="BD243" s="191"/>
      <c r="BE243" s="191"/>
      <c r="BF243" s="191"/>
      <c r="BG243" s="191"/>
      <c r="BH243" s="191"/>
      <c r="BI243" s="191"/>
      <c r="BJ243" s="191"/>
      <c r="BK243" s="191"/>
      <c r="BL243" s="191"/>
      <c r="BM243" s="191"/>
      <c r="BN243" s="191"/>
      <c r="BO243" s="191"/>
      <c r="BP243" s="191"/>
    </row>
    <row r="244" spans="11:68">
      <c r="K244" s="191"/>
      <c r="L244" s="191"/>
      <c r="M244" s="191"/>
      <c r="N244" s="191"/>
      <c r="O244" s="191"/>
      <c r="P244" s="191"/>
      <c r="Q244" s="191"/>
      <c r="R244" s="191"/>
      <c r="S244" s="191"/>
      <c r="T244" s="191"/>
      <c r="U244" s="191"/>
      <c r="V244" s="191"/>
      <c r="W244" s="191"/>
      <c r="X244" s="191"/>
      <c r="Y244" s="191"/>
      <c r="Z244" s="191"/>
      <c r="AA244" s="191"/>
      <c r="AB244" s="191"/>
      <c r="AC244" s="191"/>
      <c r="AD244" s="191"/>
      <c r="AE244" s="191"/>
      <c r="AF244" s="191"/>
      <c r="AG244" s="191"/>
      <c r="AH244" s="191"/>
      <c r="AI244" s="191"/>
      <c r="AJ244" s="191"/>
      <c r="AK244" s="191"/>
      <c r="AL244" s="191"/>
      <c r="AM244" s="191"/>
      <c r="AN244" s="191"/>
      <c r="AO244" s="191"/>
      <c r="AP244" s="191"/>
      <c r="AQ244" s="191"/>
      <c r="AR244" s="191"/>
      <c r="AS244" s="191"/>
      <c r="AT244" s="191"/>
      <c r="AU244" s="191"/>
      <c r="AV244" s="191"/>
      <c r="AW244" s="191"/>
      <c r="AX244" s="191"/>
      <c r="AY244" s="191"/>
      <c r="AZ244" s="191"/>
      <c r="BA244" s="191"/>
      <c r="BB244" s="191"/>
      <c r="BC244" s="191"/>
      <c r="BD244" s="191"/>
      <c r="BE244" s="191"/>
      <c r="BF244" s="191"/>
      <c r="BG244" s="191"/>
      <c r="BH244" s="191"/>
      <c r="BI244" s="191"/>
      <c r="BJ244" s="191"/>
      <c r="BK244" s="191"/>
      <c r="BL244" s="191"/>
      <c r="BM244" s="191"/>
      <c r="BN244" s="191"/>
      <c r="BO244" s="191"/>
      <c r="BP244" s="191"/>
    </row>
    <row r="245" spans="11:68">
      <c r="K245" s="191"/>
      <c r="L245" s="191"/>
      <c r="M245" s="191"/>
      <c r="N245" s="191"/>
      <c r="O245" s="191"/>
      <c r="P245" s="191"/>
      <c r="Q245" s="191"/>
      <c r="R245" s="191"/>
      <c r="S245" s="191"/>
      <c r="T245" s="191"/>
      <c r="U245" s="191"/>
      <c r="V245" s="191"/>
      <c r="W245" s="191"/>
      <c r="X245" s="191"/>
      <c r="Y245" s="191"/>
      <c r="Z245" s="191"/>
      <c r="AA245" s="191"/>
      <c r="AB245" s="191"/>
      <c r="AC245" s="191"/>
      <c r="AD245" s="191"/>
      <c r="AE245" s="191"/>
      <c r="AF245" s="191"/>
      <c r="AG245" s="191"/>
      <c r="AH245" s="191"/>
      <c r="AI245" s="191"/>
      <c r="AJ245" s="191"/>
      <c r="AK245" s="191"/>
      <c r="AL245" s="191"/>
      <c r="AM245" s="191"/>
      <c r="AN245" s="191"/>
      <c r="AO245" s="191"/>
      <c r="AP245" s="191"/>
      <c r="AQ245" s="191"/>
      <c r="AR245" s="191"/>
      <c r="AS245" s="191"/>
      <c r="AT245" s="191"/>
      <c r="AU245" s="191"/>
      <c r="AV245" s="191"/>
      <c r="AW245" s="191"/>
      <c r="AX245" s="191"/>
      <c r="AY245" s="191"/>
      <c r="AZ245" s="191"/>
      <c r="BA245" s="191"/>
      <c r="BB245" s="191"/>
      <c r="BC245" s="191"/>
      <c r="BD245" s="191"/>
      <c r="BE245" s="191"/>
      <c r="BF245" s="191"/>
      <c r="BG245" s="191"/>
      <c r="BH245" s="191"/>
      <c r="BI245" s="191"/>
      <c r="BJ245" s="191"/>
      <c r="BK245" s="191"/>
      <c r="BL245" s="191"/>
      <c r="BM245" s="191"/>
      <c r="BN245" s="191"/>
      <c r="BO245" s="191"/>
      <c r="BP245" s="191"/>
    </row>
    <row r="246" spans="11:68">
      <c r="K246" s="191"/>
      <c r="L246" s="191"/>
      <c r="M246" s="191"/>
      <c r="N246" s="191"/>
      <c r="O246" s="191"/>
      <c r="P246" s="191"/>
      <c r="Q246" s="191"/>
      <c r="R246" s="191"/>
      <c r="S246" s="191"/>
      <c r="T246" s="191"/>
      <c r="U246" s="191"/>
      <c r="V246" s="191"/>
      <c r="W246" s="191"/>
      <c r="X246" s="191"/>
      <c r="Y246" s="191"/>
      <c r="Z246" s="191"/>
      <c r="AA246" s="191"/>
      <c r="AB246" s="191"/>
      <c r="AC246" s="191"/>
      <c r="AD246" s="191"/>
      <c r="AE246" s="191"/>
      <c r="AF246" s="191"/>
      <c r="AG246" s="191"/>
      <c r="AH246" s="191"/>
      <c r="AI246" s="191"/>
      <c r="AJ246" s="191"/>
      <c r="AK246" s="191"/>
      <c r="AL246" s="191"/>
      <c r="AM246" s="191"/>
      <c r="AN246" s="191"/>
      <c r="AO246" s="191"/>
      <c r="AP246" s="191"/>
      <c r="AQ246" s="191"/>
      <c r="AR246" s="191"/>
      <c r="AS246" s="191"/>
      <c r="AT246" s="191"/>
      <c r="AU246" s="191"/>
      <c r="AV246" s="191"/>
      <c r="AW246" s="191"/>
      <c r="AX246" s="191"/>
      <c r="AY246" s="191"/>
      <c r="AZ246" s="191"/>
      <c r="BA246" s="191"/>
      <c r="BB246" s="191"/>
      <c r="BC246" s="191"/>
      <c r="BD246" s="191"/>
      <c r="BE246" s="191"/>
      <c r="BF246" s="191"/>
      <c r="BG246" s="191"/>
      <c r="BH246" s="191"/>
      <c r="BI246" s="191"/>
      <c r="BJ246" s="191"/>
      <c r="BK246" s="191"/>
      <c r="BL246" s="191"/>
      <c r="BM246" s="191"/>
      <c r="BN246" s="191"/>
      <c r="BO246" s="191"/>
      <c r="BP246" s="191"/>
    </row>
    <row r="247" spans="11:68">
      <c r="K247" s="191"/>
      <c r="L247" s="191"/>
      <c r="M247" s="191"/>
      <c r="N247" s="191"/>
      <c r="O247" s="191"/>
      <c r="P247" s="191"/>
      <c r="Q247" s="191"/>
      <c r="R247" s="191"/>
      <c r="S247" s="191"/>
      <c r="T247" s="191"/>
      <c r="U247" s="191"/>
      <c r="V247" s="191"/>
      <c r="W247" s="191"/>
      <c r="X247" s="191"/>
      <c r="Y247" s="191"/>
      <c r="Z247" s="191"/>
      <c r="AA247" s="191"/>
      <c r="AB247" s="191"/>
      <c r="AC247" s="191"/>
      <c r="AD247" s="191"/>
      <c r="AE247" s="191"/>
      <c r="AF247" s="191"/>
      <c r="AG247" s="191"/>
      <c r="AH247" s="191"/>
      <c r="AI247" s="191"/>
      <c r="AJ247" s="191"/>
      <c r="AK247" s="191"/>
      <c r="AL247" s="191"/>
      <c r="AM247" s="191"/>
      <c r="AN247" s="191"/>
      <c r="AO247" s="191"/>
      <c r="AP247" s="191"/>
      <c r="AQ247" s="191"/>
      <c r="AR247" s="191"/>
      <c r="AS247" s="191"/>
      <c r="AT247" s="191"/>
      <c r="AU247" s="191"/>
      <c r="AV247" s="191"/>
      <c r="AW247" s="191"/>
      <c r="AX247" s="191"/>
      <c r="AY247" s="191"/>
      <c r="AZ247" s="191"/>
      <c r="BA247" s="191"/>
      <c r="BB247" s="191"/>
      <c r="BC247" s="191"/>
      <c r="BD247" s="191"/>
      <c r="BE247" s="191"/>
      <c r="BF247" s="191"/>
      <c r="BG247" s="191"/>
      <c r="BH247" s="191"/>
      <c r="BI247" s="191"/>
      <c r="BJ247" s="191"/>
      <c r="BK247" s="191"/>
      <c r="BL247" s="191"/>
      <c r="BM247" s="191"/>
      <c r="BN247" s="191"/>
      <c r="BO247" s="191"/>
      <c r="BP247" s="191"/>
    </row>
    <row r="248" spans="11:68">
      <c r="K248" s="191"/>
      <c r="L248" s="191"/>
      <c r="M248" s="191"/>
      <c r="N248" s="191"/>
      <c r="O248" s="191"/>
      <c r="P248" s="191"/>
      <c r="Q248" s="191"/>
      <c r="R248" s="191"/>
      <c r="S248" s="191"/>
      <c r="T248" s="191"/>
      <c r="U248" s="191"/>
      <c r="V248" s="191"/>
      <c r="W248" s="191"/>
      <c r="X248" s="191"/>
      <c r="Y248" s="191"/>
      <c r="Z248" s="191"/>
      <c r="AA248" s="191"/>
      <c r="AB248" s="191"/>
      <c r="AC248" s="191"/>
      <c r="AD248" s="191"/>
      <c r="AE248" s="191"/>
      <c r="AF248" s="191"/>
      <c r="AG248" s="191"/>
      <c r="AH248" s="191"/>
      <c r="AI248" s="191"/>
      <c r="AJ248" s="191"/>
      <c r="AK248" s="191"/>
      <c r="AL248" s="191"/>
      <c r="AM248" s="191"/>
      <c r="AN248" s="191"/>
      <c r="AO248" s="191"/>
      <c r="AP248" s="191"/>
      <c r="AQ248" s="191"/>
      <c r="AR248" s="191"/>
      <c r="AS248" s="191"/>
      <c r="AT248" s="191"/>
      <c r="AU248" s="191"/>
      <c r="AV248" s="191"/>
      <c r="AW248" s="191"/>
      <c r="AX248" s="191"/>
      <c r="AY248" s="191"/>
      <c r="AZ248" s="191"/>
      <c r="BA248" s="191"/>
      <c r="BB248" s="191"/>
      <c r="BC248" s="191"/>
      <c r="BD248" s="191"/>
      <c r="BE248" s="191"/>
      <c r="BF248" s="191"/>
      <c r="BG248" s="191"/>
      <c r="BH248" s="191"/>
      <c r="BI248" s="191"/>
      <c r="BJ248" s="191"/>
      <c r="BK248" s="191"/>
      <c r="BL248" s="191"/>
      <c r="BM248" s="191"/>
      <c r="BN248" s="191"/>
      <c r="BO248" s="191"/>
      <c r="BP248" s="191"/>
    </row>
    <row r="249" spans="11:68">
      <c r="K249" s="191"/>
      <c r="L249" s="191"/>
      <c r="M249" s="191"/>
      <c r="N249" s="191"/>
      <c r="O249" s="191"/>
      <c r="P249" s="191"/>
      <c r="Q249" s="191"/>
      <c r="R249" s="191"/>
      <c r="S249" s="191"/>
      <c r="T249" s="191"/>
      <c r="U249" s="191"/>
      <c r="V249" s="191"/>
      <c r="W249" s="191"/>
      <c r="X249" s="191"/>
      <c r="Y249" s="191"/>
      <c r="Z249" s="191"/>
      <c r="AA249" s="191"/>
      <c r="AB249" s="191"/>
      <c r="AC249" s="191"/>
      <c r="AD249" s="191"/>
      <c r="AE249" s="191"/>
      <c r="AF249" s="191"/>
      <c r="AG249" s="191"/>
      <c r="AH249" s="191"/>
      <c r="AI249" s="191"/>
      <c r="AJ249" s="191"/>
      <c r="AK249" s="191"/>
      <c r="AL249" s="191"/>
      <c r="AM249" s="191"/>
      <c r="AN249" s="191"/>
      <c r="AO249" s="191"/>
      <c r="AP249" s="191"/>
      <c r="AQ249" s="191"/>
      <c r="AR249" s="191"/>
      <c r="AS249" s="191"/>
      <c r="AT249" s="191"/>
      <c r="AU249" s="191"/>
      <c r="AV249" s="191"/>
      <c r="AW249" s="191"/>
      <c r="AX249" s="191"/>
      <c r="AY249" s="191"/>
      <c r="AZ249" s="191"/>
      <c r="BA249" s="191"/>
      <c r="BB249" s="191"/>
      <c r="BC249" s="191"/>
      <c r="BD249" s="191"/>
      <c r="BE249" s="191"/>
      <c r="BF249" s="191"/>
      <c r="BG249" s="191"/>
      <c r="BH249" s="191"/>
      <c r="BI249" s="191"/>
      <c r="BJ249" s="191"/>
      <c r="BK249" s="191"/>
      <c r="BL249" s="191"/>
      <c r="BM249" s="191"/>
      <c r="BN249" s="191"/>
      <c r="BO249" s="191"/>
      <c r="BP249" s="191"/>
    </row>
    <row r="250" spans="11:68">
      <c r="K250" s="191"/>
      <c r="L250" s="191"/>
      <c r="M250" s="191"/>
      <c r="N250" s="191"/>
      <c r="O250" s="191"/>
      <c r="P250" s="191"/>
      <c r="Q250" s="191"/>
      <c r="R250" s="191"/>
      <c r="S250" s="191"/>
      <c r="T250" s="191"/>
      <c r="U250" s="191"/>
      <c r="V250" s="191"/>
      <c r="W250" s="191"/>
      <c r="X250" s="191"/>
      <c r="Y250" s="191"/>
      <c r="Z250" s="191"/>
      <c r="AA250" s="191"/>
      <c r="AB250" s="191"/>
      <c r="AC250" s="191"/>
      <c r="AD250" s="191"/>
      <c r="AE250" s="191"/>
      <c r="AF250" s="191"/>
      <c r="AG250" s="191"/>
      <c r="AH250" s="191"/>
      <c r="AI250" s="191"/>
      <c r="AJ250" s="191"/>
      <c r="AK250" s="191"/>
      <c r="AL250" s="191"/>
      <c r="AM250" s="191"/>
      <c r="AN250" s="191"/>
      <c r="AO250" s="191"/>
      <c r="AP250" s="191"/>
      <c r="AQ250" s="191"/>
      <c r="AR250" s="191"/>
      <c r="AS250" s="191"/>
      <c r="AT250" s="191"/>
      <c r="AU250" s="191"/>
      <c r="AV250" s="191"/>
      <c r="AW250" s="191"/>
      <c r="AX250" s="191"/>
      <c r="AY250" s="191"/>
      <c r="AZ250" s="191"/>
      <c r="BA250" s="191"/>
      <c r="BB250" s="191"/>
      <c r="BC250" s="191"/>
      <c r="BD250" s="191"/>
      <c r="BE250" s="191"/>
      <c r="BF250" s="191"/>
      <c r="BG250" s="191"/>
      <c r="BH250" s="191"/>
      <c r="BI250" s="191"/>
      <c r="BJ250" s="191"/>
      <c r="BK250" s="191"/>
      <c r="BL250" s="191"/>
      <c r="BM250" s="191"/>
      <c r="BN250" s="191"/>
      <c r="BO250" s="191"/>
      <c r="BP250" s="191"/>
    </row>
    <row r="251" spans="11:68">
      <c r="K251" s="191"/>
      <c r="L251" s="191"/>
      <c r="M251" s="191"/>
      <c r="N251" s="191"/>
      <c r="O251" s="191"/>
      <c r="P251" s="191"/>
      <c r="Q251" s="191"/>
      <c r="R251" s="191"/>
      <c r="S251" s="191"/>
      <c r="T251" s="191"/>
      <c r="U251" s="191"/>
      <c r="V251" s="191"/>
      <c r="W251" s="191"/>
      <c r="X251" s="191"/>
      <c r="Y251" s="191"/>
      <c r="Z251" s="191"/>
      <c r="AA251" s="191"/>
      <c r="AB251" s="191"/>
      <c r="AC251" s="191"/>
      <c r="AD251" s="191"/>
      <c r="AE251" s="191"/>
      <c r="AF251" s="191"/>
      <c r="AG251" s="191"/>
      <c r="AH251" s="191"/>
      <c r="AI251" s="191"/>
      <c r="AJ251" s="191"/>
      <c r="AK251" s="191"/>
      <c r="AL251" s="191"/>
      <c r="AM251" s="191"/>
      <c r="AN251" s="191"/>
      <c r="AO251" s="191"/>
      <c r="AP251" s="191"/>
      <c r="AQ251" s="191"/>
      <c r="AR251" s="191"/>
      <c r="AS251" s="191"/>
      <c r="AT251" s="191"/>
      <c r="AU251" s="191"/>
      <c r="AV251" s="191"/>
      <c r="AW251" s="191"/>
      <c r="AX251" s="191"/>
      <c r="AY251" s="191"/>
      <c r="AZ251" s="191"/>
      <c r="BA251" s="191"/>
      <c r="BB251" s="191"/>
      <c r="BC251" s="191"/>
      <c r="BD251" s="191"/>
      <c r="BE251" s="191"/>
      <c r="BF251" s="191"/>
      <c r="BG251" s="191"/>
      <c r="BH251" s="191"/>
      <c r="BI251" s="191"/>
      <c r="BJ251" s="191"/>
      <c r="BK251" s="191"/>
      <c r="BL251" s="191"/>
      <c r="BM251" s="191"/>
      <c r="BN251" s="191"/>
      <c r="BO251" s="191"/>
      <c r="BP251" s="191"/>
    </row>
    <row r="252" spans="11:68">
      <c r="K252" s="191"/>
      <c r="L252" s="191"/>
      <c r="M252" s="191"/>
      <c r="N252" s="191"/>
      <c r="O252" s="191"/>
      <c r="P252" s="191"/>
      <c r="Q252" s="191"/>
      <c r="R252" s="191"/>
      <c r="S252" s="191"/>
      <c r="T252" s="191"/>
      <c r="U252" s="191"/>
      <c r="V252" s="191"/>
      <c r="W252" s="191"/>
      <c r="X252" s="191"/>
      <c r="Y252" s="191"/>
      <c r="Z252" s="191"/>
      <c r="AA252" s="191"/>
      <c r="AB252" s="191"/>
      <c r="AC252" s="191"/>
      <c r="AD252" s="191"/>
      <c r="AE252" s="191"/>
      <c r="AF252" s="191"/>
      <c r="AG252" s="191"/>
      <c r="AH252" s="191"/>
      <c r="AI252" s="191"/>
      <c r="AJ252" s="191"/>
      <c r="AK252" s="191"/>
      <c r="AL252" s="191"/>
      <c r="AM252" s="191"/>
      <c r="AN252" s="191"/>
      <c r="AO252" s="191"/>
      <c r="AP252" s="191"/>
      <c r="AQ252" s="191"/>
      <c r="AR252" s="191"/>
      <c r="AS252" s="191"/>
      <c r="AT252" s="191"/>
      <c r="AU252" s="191"/>
      <c r="AV252" s="191"/>
      <c r="AW252" s="191"/>
      <c r="AX252" s="191"/>
      <c r="AY252" s="191"/>
      <c r="AZ252" s="191"/>
      <c r="BA252" s="191"/>
      <c r="BB252" s="191"/>
      <c r="BC252" s="191"/>
      <c r="BD252" s="191"/>
      <c r="BE252" s="191"/>
      <c r="BF252" s="191"/>
      <c r="BG252" s="191"/>
      <c r="BH252" s="191"/>
      <c r="BI252" s="191"/>
      <c r="BJ252" s="191"/>
      <c r="BK252" s="191"/>
      <c r="BL252" s="191"/>
      <c r="BM252" s="191"/>
      <c r="BN252" s="191"/>
      <c r="BO252" s="191"/>
      <c r="BP252" s="191"/>
    </row>
    <row r="253" spans="11:68">
      <c r="K253" s="191"/>
      <c r="L253" s="191"/>
      <c r="M253" s="191"/>
      <c r="N253" s="191"/>
      <c r="O253" s="191"/>
      <c r="P253" s="191"/>
      <c r="Q253" s="191"/>
      <c r="R253" s="191"/>
      <c r="S253" s="191"/>
      <c r="T253" s="191"/>
      <c r="U253" s="191"/>
      <c r="V253" s="191"/>
      <c r="W253" s="191"/>
      <c r="X253" s="191"/>
      <c r="Y253" s="191"/>
      <c r="Z253" s="191"/>
      <c r="AA253" s="191"/>
      <c r="AB253" s="191"/>
      <c r="AC253" s="191"/>
      <c r="AD253" s="191"/>
      <c r="AE253" s="191"/>
      <c r="AF253" s="191"/>
      <c r="AG253" s="191"/>
      <c r="AH253" s="191"/>
      <c r="AI253" s="191"/>
      <c r="AJ253" s="191"/>
      <c r="AK253" s="191"/>
      <c r="AL253" s="191"/>
      <c r="AM253" s="191"/>
      <c r="AN253" s="191"/>
      <c r="AO253" s="191"/>
      <c r="AP253" s="191"/>
      <c r="AQ253" s="191"/>
      <c r="AR253" s="191"/>
      <c r="AS253" s="191"/>
      <c r="AT253" s="191"/>
      <c r="AU253" s="191"/>
      <c r="AV253" s="191"/>
      <c r="AW253" s="191"/>
      <c r="AX253" s="191"/>
      <c r="AY253" s="191"/>
      <c r="AZ253" s="191"/>
      <c r="BA253" s="191"/>
      <c r="BB253" s="191"/>
      <c r="BC253" s="191"/>
      <c r="BD253" s="191"/>
      <c r="BE253" s="191"/>
      <c r="BF253" s="191"/>
      <c r="BG253" s="191"/>
      <c r="BH253" s="191"/>
      <c r="BI253" s="191"/>
      <c r="BJ253" s="191"/>
      <c r="BK253" s="191"/>
      <c r="BL253" s="191"/>
      <c r="BM253" s="191"/>
      <c r="BN253" s="191"/>
      <c r="BO253" s="191"/>
      <c r="BP253" s="191"/>
    </row>
    <row r="254" spans="11:68">
      <c r="K254" s="191"/>
      <c r="L254" s="191"/>
      <c r="M254" s="191"/>
      <c r="N254" s="191"/>
      <c r="O254" s="191"/>
      <c r="P254" s="191"/>
      <c r="Q254" s="191"/>
      <c r="R254" s="191"/>
      <c r="S254" s="191"/>
      <c r="T254" s="191"/>
      <c r="U254" s="191"/>
      <c r="V254" s="191"/>
      <c r="W254" s="191"/>
      <c r="X254" s="191"/>
      <c r="Y254" s="191"/>
      <c r="Z254" s="191"/>
      <c r="AA254" s="191"/>
      <c r="AB254" s="191"/>
      <c r="AC254" s="191"/>
      <c r="AD254" s="191"/>
      <c r="AE254" s="191"/>
      <c r="AF254" s="191"/>
      <c r="AG254" s="191"/>
      <c r="AH254" s="191"/>
      <c r="AI254" s="191"/>
      <c r="AJ254" s="191"/>
      <c r="AK254" s="191"/>
      <c r="AL254" s="191"/>
      <c r="AM254" s="191"/>
      <c r="AN254" s="191"/>
      <c r="AO254" s="191"/>
      <c r="AP254" s="191"/>
      <c r="AQ254" s="191"/>
      <c r="AR254" s="191"/>
      <c r="AS254" s="191"/>
      <c r="AT254" s="191"/>
      <c r="AU254" s="191"/>
      <c r="AV254" s="191"/>
      <c r="AW254" s="191"/>
      <c r="AX254" s="191"/>
      <c r="AY254" s="191"/>
      <c r="AZ254" s="191"/>
      <c r="BA254" s="191"/>
      <c r="BB254" s="191"/>
      <c r="BC254" s="191"/>
      <c r="BD254" s="191"/>
      <c r="BE254" s="191"/>
      <c r="BF254" s="191"/>
      <c r="BG254" s="191"/>
      <c r="BH254" s="191"/>
      <c r="BI254" s="191"/>
      <c r="BJ254" s="191"/>
      <c r="BK254" s="191"/>
      <c r="BL254" s="191"/>
      <c r="BM254" s="191"/>
      <c r="BN254" s="191"/>
      <c r="BO254" s="191"/>
      <c r="BP254" s="191"/>
    </row>
    <row r="255" spans="11:68">
      <c r="K255" s="191"/>
      <c r="L255" s="191"/>
      <c r="M255" s="191"/>
      <c r="N255" s="191"/>
      <c r="O255" s="191"/>
      <c r="P255" s="191"/>
      <c r="Q255" s="191"/>
      <c r="R255" s="191"/>
      <c r="S255" s="191"/>
      <c r="T255" s="191"/>
      <c r="U255" s="191"/>
      <c r="V255" s="191"/>
      <c r="W255" s="191"/>
      <c r="X255" s="191"/>
      <c r="Y255" s="191"/>
      <c r="Z255" s="191"/>
      <c r="AA255" s="191"/>
      <c r="AB255" s="191"/>
      <c r="AC255" s="191"/>
      <c r="AD255" s="191"/>
      <c r="AE255" s="191"/>
      <c r="AF255" s="191"/>
      <c r="AG255" s="191"/>
      <c r="AH255" s="191"/>
      <c r="AI255" s="191"/>
      <c r="AJ255" s="191"/>
      <c r="AK255" s="191"/>
      <c r="AL255" s="191"/>
      <c r="AM255" s="191"/>
      <c r="AN255" s="191"/>
      <c r="AO255" s="191"/>
      <c r="AP255" s="191"/>
      <c r="AQ255" s="191"/>
      <c r="AR255" s="191"/>
      <c r="AS255" s="191"/>
      <c r="AT255" s="191"/>
      <c r="AU255" s="191"/>
      <c r="AV255" s="191"/>
      <c r="AW255" s="191"/>
      <c r="AX255" s="191"/>
      <c r="AY255" s="191"/>
      <c r="AZ255" s="191"/>
      <c r="BA255" s="191"/>
      <c r="BB255" s="191"/>
      <c r="BC255" s="191"/>
      <c r="BD255" s="191"/>
      <c r="BE255" s="191"/>
      <c r="BF255" s="191"/>
      <c r="BG255" s="191"/>
      <c r="BH255" s="191"/>
      <c r="BI255" s="191"/>
      <c r="BJ255" s="191"/>
      <c r="BK255" s="191"/>
      <c r="BL255" s="191"/>
      <c r="BM255" s="191"/>
      <c r="BN255" s="191"/>
      <c r="BO255" s="191"/>
      <c r="BP255" s="191"/>
    </row>
    <row r="256" spans="11:68">
      <c r="K256" s="191"/>
      <c r="L256" s="191"/>
      <c r="M256" s="191"/>
      <c r="N256" s="191"/>
      <c r="O256" s="191"/>
      <c r="P256" s="191"/>
      <c r="Q256" s="191"/>
      <c r="R256" s="191"/>
      <c r="S256" s="191"/>
      <c r="T256" s="191"/>
      <c r="U256" s="191"/>
      <c r="V256" s="191"/>
      <c r="W256" s="191"/>
      <c r="X256" s="191"/>
      <c r="Y256" s="191"/>
      <c r="Z256" s="191"/>
      <c r="AA256" s="191"/>
      <c r="AB256" s="191"/>
      <c r="AC256" s="191"/>
      <c r="AD256" s="191"/>
      <c r="AE256" s="191"/>
      <c r="AF256" s="191"/>
      <c r="AG256" s="191"/>
      <c r="AH256" s="191"/>
      <c r="AI256" s="191"/>
      <c r="AJ256" s="191"/>
      <c r="AK256" s="191"/>
      <c r="AL256" s="191"/>
      <c r="AM256" s="191"/>
      <c r="AN256" s="191"/>
      <c r="AO256" s="191"/>
      <c r="AP256" s="191"/>
      <c r="AQ256" s="191"/>
      <c r="AR256" s="191"/>
      <c r="AS256" s="191"/>
      <c r="AT256" s="191"/>
      <c r="AU256" s="191"/>
      <c r="AV256" s="191"/>
      <c r="AW256" s="191"/>
      <c r="AX256" s="191"/>
      <c r="AY256" s="191"/>
      <c r="AZ256" s="191"/>
      <c r="BA256" s="191"/>
      <c r="BB256" s="191"/>
      <c r="BC256" s="191"/>
      <c r="BD256" s="191"/>
      <c r="BE256" s="191"/>
      <c r="BF256" s="191"/>
      <c r="BG256" s="191"/>
      <c r="BH256" s="191"/>
      <c r="BI256" s="191"/>
      <c r="BJ256" s="191"/>
      <c r="BK256" s="191"/>
      <c r="BL256" s="191"/>
      <c r="BM256" s="191"/>
      <c r="BN256" s="191"/>
      <c r="BO256" s="191"/>
      <c r="BP256" s="191"/>
    </row>
    <row r="257" spans="11:68">
      <c r="K257" s="191"/>
      <c r="L257" s="191"/>
      <c r="M257" s="191"/>
      <c r="N257" s="191"/>
      <c r="O257" s="191"/>
      <c r="P257" s="191"/>
      <c r="Q257" s="191"/>
      <c r="R257" s="191"/>
      <c r="S257" s="191"/>
      <c r="T257" s="191"/>
      <c r="U257" s="191"/>
      <c r="V257" s="191"/>
      <c r="W257" s="191"/>
      <c r="X257" s="191"/>
      <c r="Y257" s="191"/>
      <c r="Z257" s="191"/>
      <c r="AA257" s="191"/>
      <c r="AB257" s="191"/>
      <c r="AC257" s="191"/>
      <c r="AD257" s="191"/>
      <c r="AE257" s="191"/>
      <c r="AF257" s="191"/>
      <c r="AG257" s="191"/>
      <c r="AH257" s="191"/>
      <c r="AI257" s="191"/>
      <c r="AJ257" s="191"/>
      <c r="AK257" s="191"/>
      <c r="AL257" s="191"/>
      <c r="AM257" s="191"/>
      <c r="AN257" s="191"/>
      <c r="AO257" s="191"/>
      <c r="AP257" s="191"/>
      <c r="AQ257" s="191"/>
      <c r="AR257" s="191"/>
      <c r="AS257" s="191"/>
      <c r="AT257" s="191"/>
      <c r="AU257" s="191"/>
      <c r="AV257" s="191"/>
      <c r="AW257" s="191"/>
      <c r="AX257" s="191"/>
      <c r="AY257" s="191"/>
      <c r="AZ257" s="191"/>
      <c r="BA257" s="191"/>
      <c r="BB257" s="191"/>
      <c r="BC257" s="191"/>
      <c r="BD257" s="191"/>
      <c r="BE257" s="191"/>
      <c r="BF257" s="191"/>
      <c r="BG257" s="191"/>
      <c r="BH257" s="191"/>
      <c r="BI257" s="191"/>
      <c r="BJ257" s="191"/>
      <c r="BK257" s="191"/>
      <c r="BL257" s="191"/>
      <c r="BM257" s="191"/>
      <c r="BN257" s="191"/>
      <c r="BO257" s="191"/>
      <c r="BP257" s="191"/>
    </row>
    <row r="258" spans="11:68">
      <c r="K258" s="191"/>
      <c r="L258" s="191"/>
      <c r="M258" s="191"/>
      <c r="N258" s="191"/>
      <c r="O258" s="191"/>
      <c r="P258" s="191"/>
      <c r="Q258" s="191"/>
      <c r="R258" s="191"/>
      <c r="S258" s="191"/>
      <c r="T258" s="191"/>
      <c r="U258" s="191"/>
      <c r="V258" s="191"/>
      <c r="W258" s="191"/>
      <c r="X258" s="191"/>
      <c r="Y258" s="191"/>
      <c r="Z258" s="191"/>
      <c r="AA258" s="191"/>
      <c r="AB258" s="191"/>
      <c r="AC258" s="191"/>
      <c r="AD258" s="191"/>
      <c r="AE258" s="191"/>
      <c r="AF258" s="191"/>
      <c r="AG258" s="191"/>
      <c r="AH258" s="191"/>
      <c r="AI258" s="191"/>
      <c r="AJ258" s="191"/>
      <c r="AK258" s="191"/>
      <c r="AL258" s="191"/>
      <c r="AM258" s="191"/>
      <c r="AN258" s="191"/>
      <c r="AO258" s="191"/>
      <c r="AP258" s="191"/>
      <c r="AQ258" s="191"/>
      <c r="AR258" s="191"/>
      <c r="AS258" s="191"/>
      <c r="AT258" s="191"/>
      <c r="AU258" s="191"/>
      <c r="AV258" s="191"/>
      <c r="AW258" s="191"/>
      <c r="AX258" s="191"/>
      <c r="AY258" s="191"/>
      <c r="AZ258" s="191"/>
      <c r="BA258" s="191"/>
      <c r="BB258" s="191"/>
      <c r="BC258" s="191"/>
      <c r="BD258" s="191"/>
      <c r="BE258" s="191"/>
      <c r="BF258" s="191"/>
      <c r="BG258" s="191"/>
      <c r="BH258" s="191"/>
      <c r="BI258" s="191"/>
      <c r="BJ258" s="191"/>
      <c r="BK258" s="191"/>
      <c r="BL258" s="191"/>
      <c r="BM258" s="191"/>
      <c r="BN258" s="191"/>
      <c r="BO258" s="191"/>
      <c r="BP258" s="191"/>
    </row>
    <row r="259" spans="11:68">
      <c r="K259" s="191"/>
      <c r="L259" s="191"/>
      <c r="M259" s="191"/>
      <c r="N259" s="191"/>
      <c r="O259" s="191"/>
      <c r="P259" s="191"/>
      <c r="Q259" s="191"/>
      <c r="R259" s="191"/>
      <c r="S259" s="191"/>
      <c r="T259" s="191"/>
      <c r="U259" s="191"/>
      <c r="V259" s="191"/>
      <c r="W259" s="191"/>
      <c r="X259" s="191"/>
      <c r="Y259" s="191"/>
      <c r="Z259" s="191"/>
      <c r="AA259" s="191"/>
      <c r="AB259" s="191"/>
      <c r="AC259" s="191"/>
      <c r="AD259" s="191"/>
      <c r="AE259" s="191"/>
      <c r="AF259" s="191"/>
      <c r="AG259" s="191"/>
      <c r="AH259" s="191"/>
      <c r="AI259" s="191"/>
      <c r="AJ259" s="191"/>
      <c r="AK259" s="191"/>
      <c r="AL259" s="191"/>
      <c r="AM259" s="191"/>
      <c r="AN259" s="191"/>
      <c r="AO259" s="191"/>
      <c r="AP259" s="191"/>
      <c r="AQ259" s="191"/>
      <c r="AR259" s="191"/>
      <c r="AS259" s="191"/>
      <c r="AT259" s="191"/>
      <c r="AU259" s="191"/>
      <c r="AV259" s="191"/>
      <c r="AW259" s="191"/>
      <c r="AX259" s="191"/>
      <c r="AY259" s="191"/>
      <c r="AZ259" s="191"/>
      <c r="BA259" s="191"/>
      <c r="BB259" s="191"/>
      <c r="BC259" s="191"/>
      <c r="BD259" s="191"/>
      <c r="BE259" s="191"/>
      <c r="BF259" s="191"/>
      <c r="BG259" s="191"/>
      <c r="BH259" s="191"/>
      <c r="BI259" s="191"/>
      <c r="BJ259" s="191"/>
      <c r="BK259" s="191"/>
      <c r="BL259" s="191"/>
      <c r="BM259" s="191"/>
      <c r="BN259" s="191"/>
      <c r="BO259" s="191"/>
      <c r="BP259" s="191"/>
    </row>
    <row r="260" spans="11:68">
      <c r="K260" s="191"/>
      <c r="L260" s="191"/>
      <c r="M260" s="191"/>
      <c r="N260" s="191"/>
      <c r="O260" s="191"/>
      <c r="P260" s="191"/>
      <c r="Q260" s="191"/>
      <c r="R260" s="191"/>
      <c r="S260" s="191"/>
      <c r="T260" s="191"/>
      <c r="U260" s="191"/>
      <c r="V260" s="191"/>
      <c r="W260" s="191"/>
      <c r="X260" s="191"/>
      <c r="Y260" s="191"/>
      <c r="Z260" s="191"/>
      <c r="AA260" s="191"/>
      <c r="AB260" s="191"/>
      <c r="AC260" s="191"/>
      <c r="AD260" s="191"/>
      <c r="AE260" s="191"/>
      <c r="AF260" s="191"/>
      <c r="AG260" s="191"/>
      <c r="AH260" s="191"/>
      <c r="AI260" s="191"/>
      <c r="AJ260" s="191"/>
      <c r="AK260" s="191"/>
      <c r="AL260" s="191"/>
      <c r="AM260" s="191"/>
      <c r="AN260" s="191"/>
      <c r="AO260" s="191"/>
      <c r="AP260" s="191"/>
      <c r="AQ260" s="191"/>
      <c r="AR260" s="191"/>
      <c r="AS260" s="191"/>
      <c r="AT260" s="191"/>
      <c r="AU260" s="191"/>
      <c r="AV260" s="191"/>
      <c r="AW260" s="191"/>
      <c r="AX260" s="191"/>
      <c r="AY260" s="191"/>
      <c r="AZ260" s="191"/>
      <c r="BA260" s="191"/>
      <c r="BB260" s="191"/>
      <c r="BC260" s="191"/>
      <c r="BD260" s="191"/>
      <c r="BE260" s="191"/>
      <c r="BF260" s="191"/>
      <c r="BG260" s="191"/>
      <c r="BH260" s="191"/>
      <c r="BI260" s="191"/>
      <c r="BJ260" s="191"/>
      <c r="BK260" s="191"/>
      <c r="BL260" s="191"/>
      <c r="BM260" s="191"/>
      <c r="BN260" s="191"/>
      <c r="BO260" s="191"/>
      <c r="BP260" s="191"/>
    </row>
    <row r="261" spans="11:68">
      <c r="K261" s="191"/>
      <c r="L261" s="191"/>
      <c r="M261" s="191"/>
      <c r="N261" s="191"/>
      <c r="O261" s="191"/>
      <c r="P261" s="191"/>
      <c r="Q261" s="191"/>
      <c r="R261" s="191"/>
      <c r="S261" s="191"/>
      <c r="T261" s="191"/>
      <c r="U261" s="191"/>
      <c r="V261" s="191"/>
      <c r="W261" s="191"/>
      <c r="X261" s="191"/>
      <c r="Y261" s="191"/>
      <c r="Z261" s="191"/>
      <c r="AA261" s="191"/>
      <c r="AB261" s="191"/>
      <c r="AC261" s="191"/>
      <c r="AD261" s="191"/>
      <c r="AE261" s="191"/>
      <c r="AF261" s="191"/>
      <c r="AG261" s="191"/>
      <c r="AH261" s="191"/>
      <c r="AI261" s="191"/>
      <c r="AJ261" s="191"/>
      <c r="AK261" s="191"/>
      <c r="AL261" s="191"/>
      <c r="AM261" s="191"/>
      <c r="AN261" s="191"/>
      <c r="AO261" s="191"/>
      <c r="AP261" s="191"/>
      <c r="AQ261" s="191"/>
      <c r="AR261" s="191"/>
      <c r="AS261" s="191"/>
      <c r="AT261" s="191"/>
      <c r="AU261" s="191"/>
      <c r="AV261" s="191"/>
      <c r="AW261" s="191"/>
      <c r="AX261" s="191"/>
      <c r="AY261" s="191"/>
      <c r="AZ261" s="191"/>
      <c r="BA261" s="191"/>
      <c r="BB261" s="191"/>
      <c r="BC261" s="191"/>
      <c r="BD261" s="191"/>
      <c r="BE261" s="191"/>
      <c r="BF261" s="191"/>
      <c r="BG261" s="191"/>
      <c r="BH261" s="191"/>
      <c r="BI261" s="191"/>
      <c r="BJ261" s="191"/>
      <c r="BK261" s="191"/>
      <c r="BL261" s="191"/>
      <c r="BM261" s="191"/>
      <c r="BN261" s="191"/>
      <c r="BO261" s="191"/>
      <c r="BP261" s="191"/>
    </row>
    <row r="262" spans="11:68">
      <c r="K262" s="191"/>
      <c r="L262" s="191"/>
      <c r="M262" s="191"/>
      <c r="N262" s="191"/>
      <c r="O262" s="191"/>
      <c r="P262" s="191"/>
      <c r="Q262" s="191"/>
      <c r="R262" s="191"/>
      <c r="S262" s="191"/>
      <c r="T262" s="191"/>
      <c r="U262" s="191"/>
      <c r="V262" s="191"/>
      <c r="W262" s="191"/>
      <c r="X262" s="191"/>
      <c r="Y262" s="191"/>
      <c r="Z262" s="191"/>
      <c r="AA262" s="191"/>
      <c r="AB262" s="191"/>
      <c r="AC262" s="191"/>
      <c r="AD262" s="191"/>
      <c r="AE262" s="191"/>
      <c r="AF262" s="191"/>
      <c r="AG262" s="191"/>
      <c r="AH262" s="191"/>
      <c r="AI262" s="191"/>
      <c r="AJ262" s="191"/>
      <c r="AK262" s="191"/>
      <c r="AL262" s="191"/>
      <c r="AM262" s="191"/>
      <c r="AN262" s="191"/>
      <c r="AO262" s="191"/>
      <c r="AP262" s="191"/>
      <c r="AQ262" s="191"/>
      <c r="AR262" s="191"/>
      <c r="AS262" s="191"/>
      <c r="AT262" s="191"/>
      <c r="AU262" s="191"/>
      <c r="AV262" s="191"/>
      <c r="AW262" s="191"/>
      <c r="AX262" s="191"/>
      <c r="AY262" s="191"/>
      <c r="AZ262" s="191"/>
      <c r="BA262" s="191"/>
      <c r="BB262" s="191"/>
      <c r="BC262" s="191"/>
      <c r="BD262" s="191"/>
      <c r="BE262" s="191"/>
      <c r="BF262" s="191"/>
      <c r="BG262" s="191"/>
      <c r="BH262" s="191"/>
      <c r="BI262" s="191"/>
      <c r="BJ262" s="191"/>
      <c r="BK262" s="191"/>
      <c r="BL262" s="191"/>
      <c r="BM262" s="191"/>
      <c r="BN262" s="191"/>
      <c r="BO262" s="191"/>
      <c r="BP262" s="191"/>
    </row>
    <row r="263" spans="11:68">
      <c r="K263" s="191"/>
      <c r="L263" s="191"/>
      <c r="M263" s="191"/>
      <c r="N263" s="191"/>
      <c r="O263" s="191"/>
      <c r="P263" s="191"/>
      <c r="Q263" s="191"/>
      <c r="R263" s="191"/>
      <c r="S263" s="191"/>
      <c r="T263" s="191"/>
      <c r="U263" s="191"/>
      <c r="V263" s="191"/>
      <c r="W263" s="191"/>
      <c r="X263" s="191"/>
      <c r="Y263" s="191"/>
      <c r="Z263" s="191"/>
      <c r="AA263" s="191"/>
      <c r="AB263" s="191"/>
      <c r="AC263" s="191"/>
      <c r="AD263" s="191"/>
      <c r="AE263" s="191"/>
      <c r="AF263" s="191"/>
      <c r="AG263" s="191"/>
      <c r="AH263" s="191"/>
      <c r="AI263" s="191"/>
      <c r="AJ263" s="191"/>
      <c r="AK263" s="191"/>
      <c r="AL263" s="191"/>
      <c r="AM263" s="191"/>
      <c r="AN263" s="191"/>
      <c r="AO263" s="191"/>
      <c r="AP263" s="191"/>
      <c r="AQ263" s="191"/>
      <c r="AR263" s="191"/>
      <c r="AS263" s="191"/>
      <c r="AT263" s="191"/>
      <c r="AU263" s="191"/>
      <c r="AV263" s="191"/>
      <c r="AW263" s="191"/>
      <c r="AX263" s="191"/>
      <c r="AY263" s="191"/>
      <c r="AZ263" s="191"/>
      <c r="BA263" s="191"/>
      <c r="BB263" s="191"/>
      <c r="BC263" s="191"/>
      <c r="BD263" s="191"/>
      <c r="BE263" s="191"/>
      <c r="BF263" s="191"/>
      <c r="BG263" s="191"/>
      <c r="BH263" s="191"/>
      <c r="BI263" s="191"/>
      <c r="BJ263" s="191"/>
      <c r="BK263" s="191"/>
      <c r="BL263" s="191"/>
      <c r="BM263" s="191"/>
      <c r="BN263" s="191"/>
      <c r="BO263" s="191"/>
      <c r="BP263" s="191"/>
    </row>
    <row r="264" spans="11:68">
      <c r="K264" s="191"/>
      <c r="L264" s="191"/>
      <c r="M264" s="191"/>
      <c r="N264" s="191"/>
      <c r="O264" s="191"/>
      <c r="P264" s="191"/>
      <c r="Q264" s="191"/>
      <c r="R264" s="191"/>
      <c r="S264" s="191"/>
      <c r="T264" s="191"/>
      <c r="U264" s="191"/>
      <c r="V264" s="191"/>
      <c r="W264" s="191"/>
      <c r="X264" s="191"/>
      <c r="Y264" s="191"/>
      <c r="Z264" s="191"/>
      <c r="AA264" s="191"/>
      <c r="AB264" s="191"/>
      <c r="AC264" s="191"/>
      <c r="AD264" s="191"/>
      <c r="AE264" s="191"/>
      <c r="AF264" s="191"/>
      <c r="AG264" s="191"/>
      <c r="AH264" s="191"/>
      <c r="AI264" s="191"/>
      <c r="AJ264" s="191"/>
      <c r="AK264" s="191"/>
      <c r="AL264" s="191"/>
      <c r="AM264" s="191"/>
      <c r="AN264" s="191"/>
      <c r="AO264" s="191"/>
      <c r="AP264" s="191"/>
      <c r="AQ264" s="191"/>
      <c r="AR264" s="191"/>
      <c r="AS264" s="191"/>
      <c r="AT264" s="191"/>
      <c r="AU264" s="191"/>
      <c r="AV264" s="191"/>
      <c r="AW264" s="191"/>
      <c r="AX264" s="191"/>
      <c r="AY264" s="191"/>
      <c r="AZ264" s="191"/>
      <c r="BA264" s="191"/>
      <c r="BB264" s="191"/>
      <c r="BC264" s="191"/>
      <c r="BD264" s="191"/>
      <c r="BE264" s="191"/>
      <c r="BF264" s="191"/>
      <c r="BG264" s="191"/>
      <c r="BH264" s="191"/>
      <c r="BI264" s="191"/>
      <c r="BJ264" s="191"/>
      <c r="BK264" s="191"/>
      <c r="BL264" s="191"/>
      <c r="BM264" s="191"/>
      <c r="BN264" s="191"/>
      <c r="BO264" s="191"/>
      <c r="BP264" s="191"/>
    </row>
    <row r="265" spans="11:68">
      <c r="K265" s="191"/>
      <c r="L265" s="191"/>
      <c r="M265" s="191"/>
      <c r="N265" s="191"/>
      <c r="O265" s="191"/>
      <c r="P265" s="191"/>
      <c r="Q265" s="191"/>
      <c r="R265" s="191"/>
      <c r="S265" s="191"/>
      <c r="T265" s="191"/>
      <c r="U265" s="191"/>
      <c r="V265" s="191"/>
      <c r="W265" s="191"/>
      <c r="X265" s="191"/>
      <c r="Y265" s="191"/>
      <c r="Z265" s="191"/>
      <c r="AA265" s="191"/>
      <c r="AB265" s="191"/>
      <c r="AC265" s="191"/>
      <c r="AD265" s="191"/>
      <c r="AE265" s="191"/>
      <c r="AF265" s="191"/>
      <c r="AG265" s="191"/>
      <c r="AH265" s="191"/>
      <c r="AI265" s="191"/>
      <c r="AJ265" s="191"/>
      <c r="AK265" s="191"/>
      <c r="AL265" s="191"/>
      <c r="AM265" s="191"/>
      <c r="AN265" s="191"/>
      <c r="AO265" s="191"/>
      <c r="AP265" s="191"/>
      <c r="AQ265" s="191"/>
      <c r="AR265" s="191"/>
      <c r="AS265" s="191"/>
      <c r="AT265" s="191"/>
      <c r="AU265" s="191"/>
      <c r="AV265" s="191"/>
      <c r="AW265" s="191"/>
      <c r="AX265" s="191"/>
      <c r="AY265" s="191"/>
      <c r="AZ265" s="191"/>
      <c r="BA265" s="191"/>
      <c r="BB265" s="191"/>
      <c r="BC265" s="191"/>
      <c r="BD265" s="191"/>
      <c r="BE265" s="191"/>
      <c r="BF265" s="191"/>
      <c r="BG265" s="191"/>
      <c r="BH265" s="191"/>
      <c r="BI265" s="191"/>
      <c r="BJ265" s="191"/>
      <c r="BK265" s="191"/>
      <c r="BL265" s="191"/>
      <c r="BM265" s="191"/>
      <c r="BN265" s="191"/>
      <c r="BO265" s="191"/>
      <c r="BP265" s="191"/>
    </row>
    <row r="266" spans="11:68">
      <c r="K266" s="191"/>
      <c r="L266" s="191"/>
      <c r="M266" s="191"/>
      <c r="N266" s="191"/>
      <c r="O266" s="191"/>
      <c r="P266" s="191"/>
      <c r="Q266" s="191"/>
      <c r="R266" s="191"/>
      <c r="S266" s="191"/>
      <c r="T266" s="191"/>
      <c r="U266" s="191"/>
      <c r="V266" s="191"/>
      <c r="W266" s="191"/>
      <c r="X266" s="191"/>
      <c r="Y266" s="191"/>
      <c r="Z266" s="191"/>
      <c r="AA266" s="191"/>
      <c r="AB266" s="191"/>
      <c r="AC266" s="191"/>
      <c r="AD266" s="191"/>
      <c r="AE266" s="191"/>
      <c r="AF266" s="191"/>
      <c r="AG266" s="191"/>
      <c r="AH266" s="191"/>
      <c r="AI266" s="191"/>
      <c r="AJ266" s="191"/>
      <c r="AK266" s="191"/>
      <c r="AL266" s="191"/>
      <c r="AM266" s="191"/>
      <c r="AN266" s="191"/>
      <c r="AO266" s="191"/>
      <c r="AP266" s="191"/>
      <c r="AQ266" s="191"/>
      <c r="AR266" s="191"/>
      <c r="AS266" s="191"/>
      <c r="AT266" s="191"/>
      <c r="AU266" s="191"/>
      <c r="AV266" s="191"/>
      <c r="AW266" s="191"/>
      <c r="AX266" s="191"/>
      <c r="AY266" s="191"/>
      <c r="AZ266" s="191"/>
      <c r="BA266" s="191"/>
      <c r="BB266" s="191"/>
      <c r="BC266" s="191"/>
      <c r="BD266" s="191"/>
      <c r="BE266" s="191"/>
      <c r="BF266" s="191"/>
      <c r="BG266" s="191"/>
      <c r="BH266" s="191"/>
      <c r="BI266" s="191"/>
      <c r="BJ266" s="191"/>
      <c r="BK266" s="191"/>
      <c r="BL266" s="191"/>
      <c r="BM266" s="191"/>
      <c r="BN266" s="191"/>
      <c r="BO266" s="191"/>
      <c r="BP266" s="191"/>
    </row>
    <row r="267" spans="11:68">
      <c r="K267" s="191"/>
      <c r="L267" s="191"/>
      <c r="M267" s="191"/>
      <c r="N267" s="191"/>
      <c r="O267" s="191"/>
      <c r="P267" s="191"/>
      <c r="Q267" s="191"/>
      <c r="R267" s="191"/>
      <c r="S267" s="191"/>
      <c r="T267" s="191"/>
      <c r="U267" s="191"/>
      <c r="V267" s="191"/>
      <c r="W267" s="191"/>
      <c r="X267" s="191"/>
      <c r="Y267" s="191"/>
      <c r="Z267" s="191"/>
      <c r="AA267" s="191"/>
      <c r="AB267" s="191"/>
      <c r="AC267" s="191"/>
      <c r="AD267" s="191"/>
      <c r="AE267" s="191"/>
      <c r="AF267" s="191"/>
      <c r="AG267" s="191"/>
      <c r="AH267" s="191"/>
      <c r="AI267" s="191"/>
      <c r="AJ267" s="191"/>
      <c r="AK267" s="191"/>
      <c r="AL267" s="191"/>
      <c r="AM267" s="191"/>
      <c r="AN267" s="191"/>
      <c r="AO267" s="191"/>
      <c r="AP267" s="191"/>
      <c r="AQ267" s="191"/>
      <c r="AR267" s="191"/>
      <c r="AS267" s="191"/>
      <c r="AT267" s="191"/>
      <c r="AU267" s="191"/>
      <c r="AV267" s="191"/>
      <c r="AW267" s="191"/>
      <c r="AX267" s="191"/>
      <c r="AY267" s="191"/>
      <c r="AZ267" s="191"/>
      <c r="BA267" s="191"/>
      <c r="BB267" s="191"/>
      <c r="BC267" s="191"/>
      <c r="BD267" s="191"/>
      <c r="BE267" s="191"/>
      <c r="BF267" s="191"/>
      <c r="BG267" s="191"/>
      <c r="BH267" s="191"/>
      <c r="BI267" s="191"/>
      <c r="BJ267" s="191"/>
      <c r="BK267" s="191"/>
      <c r="BL267" s="191"/>
      <c r="BM267" s="191"/>
      <c r="BN267" s="191"/>
      <c r="BO267" s="191"/>
      <c r="BP267" s="191"/>
    </row>
    <row r="268" spans="11:68">
      <c r="K268" s="191"/>
      <c r="L268" s="191"/>
      <c r="M268" s="191"/>
      <c r="N268" s="191"/>
      <c r="O268" s="191"/>
      <c r="P268" s="191"/>
      <c r="Q268" s="191"/>
      <c r="R268" s="191"/>
      <c r="S268" s="191"/>
      <c r="T268" s="191"/>
      <c r="U268" s="191"/>
      <c r="V268" s="191"/>
      <c r="W268" s="191"/>
      <c r="X268" s="191"/>
      <c r="Y268" s="191"/>
      <c r="Z268" s="191"/>
      <c r="AA268" s="191"/>
      <c r="AB268" s="191"/>
      <c r="AC268" s="191"/>
      <c r="AD268" s="191"/>
      <c r="AE268" s="191"/>
      <c r="AF268" s="191"/>
      <c r="AG268" s="191"/>
      <c r="AH268" s="191"/>
      <c r="AI268" s="191"/>
      <c r="AJ268" s="191"/>
      <c r="AK268" s="191"/>
      <c r="AL268" s="191"/>
      <c r="AM268" s="191"/>
      <c r="AN268" s="191"/>
      <c r="AO268" s="191"/>
      <c r="AP268" s="191"/>
      <c r="AQ268" s="191"/>
      <c r="AR268" s="191"/>
      <c r="AS268" s="191"/>
      <c r="AT268" s="191"/>
      <c r="AU268" s="191"/>
      <c r="AV268" s="191"/>
      <c r="AW268" s="191"/>
      <c r="AX268" s="191"/>
      <c r="AY268" s="191"/>
      <c r="AZ268" s="191"/>
      <c r="BA268" s="191"/>
      <c r="BB268" s="191"/>
      <c r="BC268" s="191"/>
      <c r="BD268" s="191"/>
      <c r="BE268" s="191"/>
      <c r="BF268" s="191"/>
      <c r="BG268" s="191"/>
      <c r="BH268" s="191"/>
      <c r="BI268" s="191"/>
      <c r="BJ268" s="191"/>
      <c r="BK268" s="191"/>
      <c r="BL268" s="191"/>
      <c r="BM268" s="191"/>
      <c r="BN268" s="191"/>
      <c r="BO268" s="191"/>
      <c r="BP268" s="191"/>
    </row>
    <row r="269" spans="11:68">
      <c r="K269" s="191"/>
      <c r="L269" s="191"/>
      <c r="M269" s="191"/>
      <c r="N269" s="191"/>
      <c r="O269" s="191"/>
      <c r="P269" s="191"/>
      <c r="Q269" s="191"/>
      <c r="R269" s="191"/>
      <c r="S269" s="191"/>
      <c r="T269" s="191"/>
      <c r="U269" s="191"/>
      <c r="V269" s="191"/>
      <c r="W269" s="191"/>
      <c r="X269" s="191"/>
      <c r="Y269" s="191"/>
      <c r="Z269" s="191"/>
      <c r="AA269" s="191"/>
      <c r="AB269" s="191"/>
      <c r="AC269" s="191"/>
      <c r="AD269" s="191"/>
      <c r="AE269" s="191"/>
      <c r="AF269" s="191"/>
      <c r="AG269" s="191"/>
      <c r="AH269" s="191"/>
      <c r="AI269" s="191"/>
      <c r="AJ269" s="191"/>
      <c r="AK269" s="191"/>
      <c r="AL269" s="191"/>
      <c r="AM269" s="191"/>
      <c r="AN269" s="191"/>
      <c r="AO269" s="191"/>
      <c r="AP269" s="191"/>
      <c r="AQ269" s="191"/>
      <c r="AR269" s="191"/>
      <c r="AS269" s="191"/>
      <c r="AT269" s="191"/>
      <c r="AU269" s="191"/>
      <c r="AV269" s="191"/>
      <c r="AW269" s="191"/>
      <c r="AX269" s="191"/>
      <c r="AY269" s="191"/>
      <c r="AZ269" s="191"/>
      <c r="BA269" s="191"/>
      <c r="BB269" s="191"/>
      <c r="BC269" s="191"/>
      <c r="BD269" s="191"/>
      <c r="BE269" s="191"/>
      <c r="BF269" s="191"/>
      <c r="BG269" s="191"/>
      <c r="BH269" s="191"/>
      <c r="BI269" s="191"/>
      <c r="BJ269" s="191"/>
      <c r="BK269" s="191"/>
      <c r="BL269" s="191"/>
      <c r="BM269" s="191"/>
      <c r="BN269" s="191"/>
      <c r="BO269" s="191"/>
      <c r="BP269" s="191"/>
    </row>
    <row r="270" spans="11:68">
      <c r="K270" s="191"/>
      <c r="L270" s="191"/>
      <c r="M270" s="191"/>
      <c r="N270" s="191"/>
      <c r="O270" s="191"/>
      <c r="P270" s="191"/>
      <c r="Q270" s="191"/>
      <c r="R270" s="191"/>
      <c r="S270" s="191"/>
      <c r="T270" s="191"/>
      <c r="U270" s="191"/>
      <c r="V270" s="191"/>
      <c r="W270" s="191"/>
      <c r="X270" s="191"/>
      <c r="Y270" s="191"/>
      <c r="Z270" s="191"/>
      <c r="AA270" s="191"/>
      <c r="AB270" s="191"/>
      <c r="AC270" s="191"/>
      <c r="AD270" s="191"/>
      <c r="AE270" s="191"/>
      <c r="AF270" s="191"/>
      <c r="AG270" s="191"/>
      <c r="AH270" s="191"/>
      <c r="AI270" s="191"/>
      <c r="AJ270" s="191"/>
      <c r="AK270" s="191"/>
      <c r="AL270" s="191"/>
      <c r="AM270" s="191"/>
      <c r="AN270" s="191"/>
      <c r="AO270" s="191"/>
      <c r="AP270" s="191"/>
      <c r="AQ270" s="191"/>
      <c r="AR270" s="191"/>
      <c r="AS270" s="191"/>
      <c r="AT270" s="191"/>
      <c r="AU270" s="191"/>
      <c r="AV270" s="191"/>
      <c r="AW270" s="191"/>
      <c r="AX270" s="191"/>
      <c r="AY270" s="191"/>
      <c r="AZ270" s="191"/>
      <c r="BA270" s="191"/>
      <c r="BB270" s="191"/>
      <c r="BC270" s="191"/>
      <c r="BD270" s="191"/>
      <c r="BE270" s="191"/>
      <c r="BF270" s="191"/>
      <c r="BG270" s="191"/>
      <c r="BH270" s="191"/>
      <c r="BI270" s="191"/>
      <c r="BJ270" s="191"/>
      <c r="BK270" s="191"/>
      <c r="BL270" s="191"/>
      <c r="BM270" s="191"/>
      <c r="BN270" s="191"/>
      <c r="BO270" s="191"/>
      <c r="BP270" s="191"/>
    </row>
    <row r="271" spans="11:68">
      <c r="K271" s="191"/>
      <c r="L271" s="191"/>
      <c r="M271" s="191"/>
      <c r="N271" s="191"/>
      <c r="O271" s="191"/>
      <c r="P271" s="191"/>
      <c r="Q271" s="191"/>
      <c r="R271" s="191"/>
      <c r="S271" s="191"/>
      <c r="T271" s="191"/>
      <c r="U271" s="191"/>
      <c r="V271" s="191"/>
      <c r="W271" s="191"/>
      <c r="X271" s="191"/>
      <c r="Y271" s="191"/>
      <c r="Z271" s="191"/>
      <c r="AA271" s="191"/>
      <c r="AB271" s="191"/>
      <c r="AC271" s="191"/>
      <c r="AD271" s="191"/>
      <c r="AE271" s="191"/>
      <c r="AF271" s="191"/>
      <c r="AG271" s="191"/>
      <c r="AH271" s="191"/>
      <c r="AI271" s="191"/>
      <c r="AJ271" s="191"/>
      <c r="AK271" s="191"/>
      <c r="AL271" s="191"/>
      <c r="AM271" s="191"/>
      <c r="AN271" s="191"/>
      <c r="AO271" s="191"/>
      <c r="AP271" s="191"/>
      <c r="AQ271" s="191"/>
      <c r="AR271" s="191"/>
      <c r="AS271" s="191"/>
      <c r="AT271" s="191"/>
      <c r="AU271" s="191"/>
      <c r="AV271" s="191"/>
      <c r="AW271" s="191"/>
      <c r="AX271" s="191"/>
      <c r="AY271" s="191"/>
      <c r="AZ271" s="191"/>
      <c r="BA271" s="191"/>
      <c r="BB271" s="191"/>
      <c r="BC271" s="191"/>
      <c r="BD271" s="191"/>
      <c r="BE271" s="191"/>
      <c r="BF271" s="191"/>
      <c r="BG271" s="191"/>
      <c r="BH271" s="191"/>
      <c r="BI271" s="191"/>
      <c r="BJ271" s="191"/>
      <c r="BK271" s="191"/>
      <c r="BL271" s="191"/>
      <c r="BM271" s="191"/>
      <c r="BN271" s="191"/>
      <c r="BO271" s="191"/>
      <c r="BP271" s="191"/>
    </row>
    <row r="272" spans="11:68">
      <c r="K272" s="191"/>
      <c r="L272" s="191"/>
      <c r="M272" s="191"/>
      <c r="N272" s="191"/>
      <c r="O272" s="191"/>
      <c r="P272" s="191"/>
      <c r="Q272" s="191"/>
      <c r="R272" s="191"/>
      <c r="S272" s="191"/>
      <c r="T272" s="191"/>
      <c r="U272" s="191"/>
      <c r="V272" s="191"/>
      <c r="W272" s="191"/>
      <c r="X272" s="191"/>
      <c r="Y272" s="191"/>
      <c r="Z272" s="191"/>
      <c r="AA272" s="191"/>
      <c r="AB272" s="191"/>
      <c r="AC272" s="191"/>
      <c r="AD272" s="191"/>
      <c r="AE272" s="191"/>
      <c r="AF272" s="191"/>
      <c r="AG272" s="191"/>
      <c r="AH272" s="191"/>
      <c r="AI272" s="191"/>
      <c r="AJ272" s="191"/>
      <c r="AK272" s="191"/>
      <c r="AL272" s="191"/>
      <c r="AM272" s="191"/>
      <c r="AN272" s="191"/>
      <c r="AO272" s="191"/>
      <c r="AP272" s="191"/>
      <c r="AQ272" s="191"/>
      <c r="AR272" s="191"/>
      <c r="AS272" s="191"/>
      <c r="AT272" s="191"/>
      <c r="AU272" s="191"/>
      <c r="AV272" s="191"/>
      <c r="AW272" s="191"/>
      <c r="AX272" s="191"/>
      <c r="AY272" s="191"/>
      <c r="AZ272" s="191"/>
      <c r="BA272" s="191"/>
      <c r="BB272" s="191"/>
      <c r="BC272" s="191"/>
      <c r="BD272" s="191"/>
      <c r="BE272" s="191"/>
      <c r="BF272" s="191"/>
      <c r="BG272" s="191"/>
      <c r="BH272" s="191"/>
      <c r="BI272" s="191"/>
      <c r="BJ272" s="191"/>
      <c r="BK272" s="191"/>
      <c r="BL272" s="191"/>
      <c r="BM272" s="191"/>
      <c r="BN272" s="191"/>
      <c r="BO272" s="191"/>
      <c r="BP272" s="191"/>
    </row>
    <row r="273" spans="11:68">
      <c r="K273" s="191"/>
      <c r="L273" s="191"/>
      <c r="M273" s="191"/>
      <c r="N273" s="191"/>
      <c r="O273" s="191"/>
      <c r="P273" s="191"/>
      <c r="Q273" s="191"/>
      <c r="R273" s="191"/>
      <c r="S273" s="191"/>
      <c r="T273" s="191"/>
      <c r="U273" s="191"/>
      <c r="V273" s="191"/>
      <c r="W273" s="191"/>
      <c r="X273" s="191"/>
      <c r="Y273" s="191"/>
      <c r="Z273" s="191"/>
      <c r="AA273" s="191"/>
      <c r="AB273" s="191"/>
      <c r="AC273" s="191"/>
      <c r="AD273" s="191"/>
      <c r="AE273" s="191"/>
      <c r="AF273" s="191"/>
      <c r="AG273" s="191"/>
      <c r="AH273" s="191"/>
      <c r="AI273" s="191"/>
      <c r="AJ273" s="191"/>
      <c r="AK273" s="191"/>
      <c r="AL273" s="191"/>
      <c r="AM273" s="191"/>
      <c r="AN273" s="191"/>
      <c r="AO273" s="191"/>
      <c r="AP273" s="191"/>
      <c r="AQ273" s="191"/>
      <c r="AR273" s="191"/>
      <c r="AS273" s="191"/>
      <c r="AT273" s="191"/>
      <c r="AU273" s="191"/>
      <c r="AV273" s="191"/>
      <c r="AW273" s="191"/>
      <c r="AX273" s="191"/>
      <c r="AY273" s="191"/>
      <c r="AZ273" s="191"/>
      <c r="BA273" s="191"/>
      <c r="BB273" s="191"/>
      <c r="BC273" s="191"/>
      <c r="BD273" s="191"/>
      <c r="BE273" s="191"/>
      <c r="BF273" s="191"/>
      <c r="BG273" s="191"/>
      <c r="BH273" s="191"/>
      <c r="BI273" s="191"/>
      <c r="BJ273" s="191"/>
      <c r="BK273" s="191"/>
      <c r="BL273" s="191"/>
      <c r="BM273" s="191"/>
      <c r="BN273" s="191"/>
      <c r="BO273" s="191"/>
      <c r="BP273" s="191"/>
    </row>
    <row r="274" spans="11:68">
      <c r="K274" s="191"/>
      <c r="L274" s="191"/>
      <c r="M274" s="191"/>
      <c r="N274" s="191"/>
      <c r="O274" s="191"/>
      <c r="P274" s="191"/>
      <c r="Q274" s="191"/>
      <c r="R274" s="191"/>
      <c r="S274" s="191"/>
      <c r="T274" s="191"/>
      <c r="U274" s="191"/>
      <c r="V274" s="191"/>
      <c r="W274" s="191"/>
      <c r="X274" s="191"/>
      <c r="Y274" s="191"/>
      <c r="Z274" s="191"/>
      <c r="AA274" s="191"/>
      <c r="AB274" s="191"/>
      <c r="AC274" s="191"/>
      <c r="AD274" s="191"/>
      <c r="AE274" s="191"/>
      <c r="AF274" s="191"/>
      <c r="AG274" s="191"/>
      <c r="AH274" s="191"/>
      <c r="AI274" s="191"/>
      <c r="AJ274" s="191"/>
      <c r="AK274" s="191"/>
      <c r="AL274" s="191"/>
      <c r="AM274" s="191"/>
      <c r="AN274" s="191"/>
      <c r="AO274" s="191"/>
      <c r="AP274" s="191"/>
      <c r="AQ274" s="191"/>
      <c r="AR274" s="191"/>
      <c r="AS274" s="191"/>
      <c r="AT274" s="191"/>
      <c r="AU274" s="191"/>
      <c r="AV274" s="191"/>
      <c r="AW274" s="191"/>
      <c r="AX274" s="191"/>
      <c r="AY274" s="191"/>
      <c r="AZ274" s="191"/>
      <c r="BA274" s="191"/>
      <c r="BB274" s="191"/>
      <c r="BC274" s="191"/>
      <c r="BD274" s="191"/>
      <c r="BE274" s="191"/>
      <c r="BF274" s="191"/>
      <c r="BG274" s="191"/>
      <c r="BH274" s="191"/>
      <c r="BI274" s="191"/>
      <c r="BJ274" s="191"/>
      <c r="BK274" s="191"/>
      <c r="BL274" s="191"/>
      <c r="BM274" s="191"/>
      <c r="BN274" s="191"/>
      <c r="BO274" s="191"/>
      <c r="BP274" s="191"/>
    </row>
    <row r="275" spans="11:68">
      <c r="K275" s="191"/>
      <c r="L275" s="191"/>
      <c r="M275" s="191"/>
      <c r="N275" s="191"/>
      <c r="O275" s="191"/>
      <c r="P275" s="191"/>
      <c r="Q275" s="191"/>
      <c r="R275" s="191"/>
      <c r="S275" s="191"/>
      <c r="T275" s="191"/>
      <c r="U275" s="191"/>
      <c r="V275" s="191"/>
      <c r="W275" s="191"/>
      <c r="X275" s="191"/>
      <c r="Y275" s="191"/>
      <c r="Z275" s="191"/>
      <c r="AA275" s="191"/>
      <c r="AB275" s="191"/>
      <c r="AC275" s="191"/>
      <c r="AD275" s="191"/>
      <c r="AE275" s="191"/>
      <c r="AF275" s="191"/>
      <c r="AG275" s="191"/>
      <c r="AH275" s="191"/>
      <c r="AI275" s="191"/>
      <c r="AJ275" s="191"/>
      <c r="AK275" s="191"/>
      <c r="AL275" s="191"/>
      <c r="AM275" s="191"/>
      <c r="AN275" s="191"/>
      <c r="AO275" s="191"/>
      <c r="AP275" s="191"/>
      <c r="AQ275" s="191"/>
      <c r="AR275" s="191"/>
      <c r="AS275" s="191"/>
      <c r="AT275" s="191"/>
      <c r="AU275" s="191"/>
      <c r="AV275" s="191"/>
      <c r="AW275" s="191"/>
      <c r="AX275" s="191"/>
      <c r="AY275" s="191"/>
      <c r="AZ275" s="191"/>
      <c r="BA275" s="191"/>
      <c r="BB275" s="191"/>
      <c r="BC275" s="191"/>
      <c r="BD275" s="191"/>
      <c r="BE275" s="191"/>
      <c r="BF275" s="191"/>
      <c r="BG275" s="191"/>
      <c r="BH275" s="191"/>
      <c r="BI275" s="191"/>
      <c r="BJ275" s="191"/>
      <c r="BK275" s="191"/>
      <c r="BL275" s="191"/>
      <c r="BM275" s="191"/>
      <c r="BN275" s="191"/>
      <c r="BO275" s="191"/>
      <c r="BP275" s="191"/>
    </row>
    <row r="276" spans="11:68">
      <c r="K276" s="191"/>
      <c r="L276" s="191"/>
      <c r="M276" s="191"/>
      <c r="N276" s="191"/>
      <c r="O276" s="191"/>
      <c r="P276" s="191"/>
      <c r="Q276" s="191"/>
      <c r="R276" s="191"/>
      <c r="S276" s="191"/>
      <c r="T276" s="191"/>
      <c r="U276" s="191"/>
      <c r="V276" s="191"/>
      <c r="W276" s="191"/>
      <c r="X276" s="191"/>
      <c r="Y276" s="191"/>
      <c r="Z276" s="191"/>
      <c r="AA276" s="191"/>
      <c r="AB276" s="191"/>
      <c r="AC276" s="191"/>
      <c r="AD276" s="191"/>
      <c r="AE276" s="191"/>
      <c r="AF276" s="191"/>
      <c r="AG276" s="191"/>
      <c r="AH276" s="191"/>
      <c r="AI276" s="191"/>
      <c r="AJ276" s="191"/>
      <c r="AK276" s="191"/>
      <c r="AL276" s="191"/>
      <c r="AM276" s="191"/>
      <c r="AN276" s="191"/>
      <c r="AO276" s="191"/>
      <c r="AP276" s="191"/>
      <c r="AQ276" s="191"/>
      <c r="AR276" s="191"/>
      <c r="AS276" s="191"/>
      <c r="AT276" s="191"/>
      <c r="AU276" s="191"/>
      <c r="AV276" s="191"/>
      <c r="AW276" s="191"/>
      <c r="AX276" s="191"/>
      <c r="AY276" s="191"/>
      <c r="AZ276" s="191"/>
      <c r="BA276" s="191"/>
      <c r="BB276" s="191"/>
      <c r="BC276" s="191"/>
      <c r="BD276" s="191"/>
      <c r="BE276" s="191"/>
      <c r="BF276" s="191"/>
      <c r="BG276" s="191"/>
      <c r="BH276" s="191"/>
      <c r="BI276" s="191"/>
      <c r="BJ276" s="191"/>
      <c r="BK276" s="191"/>
      <c r="BL276" s="191"/>
      <c r="BM276" s="191"/>
      <c r="BN276" s="191"/>
      <c r="BO276" s="191"/>
      <c r="BP276" s="191"/>
    </row>
    <row r="277" spans="11:68">
      <c r="K277" s="191"/>
      <c r="L277" s="191"/>
      <c r="M277" s="191"/>
      <c r="N277" s="191"/>
      <c r="O277" s="191"/>
      <c r="P277" s="191"/>
      <c r="Q277" s="191"/>
      <c r="R277" s="191"/>
      <c r="S277" s="191"/>
      <c r="T277" s="191"/>
      <c r="U277" s="191"/>
      <c r="V277" s="191"/>
      <c r="W277" s="191"/>
      <c r="X277" s="191"/>
      <c r="Y277" s="191"/>
      <c r="Z277" s="191"/>
      <c r="AA277" s="191"/>
      <c r="AB277" s="191"/>
      <c r="AC277" s="191"/>
      <c r="AD277" s="191"/>
      <c r="AE277" s="191"/>
      <c r="AF277" s="191"/>
      <c r="AG277" s="191"/>
      <c r="AH277" s="191"/>
      <c r="AI277" s="191"/>
      <c r="AJ277" s="191"/>
      <c r="AK277" s="191"/>
      <c r="AL277" s="191"/>
      <c r="AM277" s="191"/>
      <c r="AN277" s="191"/>
      <c r="AO277" s="191"/>
      <c r="AP277" s="191"/>
      <c r="AQ277" s="191"/>
      <c r="AR277" s="191"/>
      <c r="AS277" s="191"/>
      <c r="AT277" s="191"/>
      <c r="AU277" s="191"/>
      <c r="AV277" s="191"/>
      <c r="AW277" s="191"/>
      <c r="AX277" s="191"/>
      <c r="AY277" s="191"/>
      <c r="AZ277" s="191"/>
      <c r="BA277" s="191"/>
      <c r="BB277" s="191"/>
      <c r="BC277" s="191"/>
      <c r="BD277" s="191"/>
      <c r="BE277" s="191"/>
      <c r="BF277" s="191"/>
      <c r="BG277" s="191"/>
      <c r="BH277" s="191"/>
      <c r="BI277" s="191"/>
      <c r="BJ277" s="191"/>
      <c r="BK277" s="191"/>
      <c r="BL277" s="191"/>
      <c r="BM277" s="191"/>
      <c r="BN277" s="191"/>
      <c r="BO277" s="191"/>
      <c r="BP277" s="191"/>
    </row>
    <row r="278" spans="11:68">
      <c r="K278" s="191"/>
      <c r="L278" s="191"/>
      <c r="M278" s="191"/>
      <c r="N278" s="191"/>
      <c r="O278" s="191"/>
      <c r="P278" s="191"/>
      <c r="Q278" s="191"/>
      <c r="R278" s="191"/>
      <c r="S278" s="191"/>
      <c r="T278" s="191"/>
      <c r="U278" s="191"/>
      <c r="V278" s="191"/>
      <c r="W278" s="191"/>
      <c r="X278" s="191"/>
      <c r="Y278" s="191"/>
      <c r="Z278" s="191"/>
      <c r="AA278" s="191"/>
      <c r="AB278" s="191"/>
      <c r="AC278" s="191"/>
      <c r="AD278" s="191"/>
      <c r="AE278" s="191"/>
      <c r="AF278" s="191"/>
      <c r="AG278" s="191"/>
      <c r="AH278" s="191"/>
      <c r="AI278" s="191"/>
      <c r="AJ278" s="191"/>
      <c r="AK278" s="191"/>
      <c r="AL278" s="191"/>
      <c r="AM278" s="191"/>
      <c r="AN278" s="191"/>
      <c r="AO278" s="191"/>
      <c r="AP278" s="191"/>
      <c r="AQ278" s="191"/>
      <c r="AR278" s="191"/>
      <c r="AS278" s="191"/>
      <c r="AT278" s="191"/>
      <c r="AU278" s="191"/>
      <c r="AV278" s="191"/>
      <c r="AW278" s="191"/>
      <c r="AX278" s="191"/>
      <c r="AY278" s="191"/>
      <c r="AZ278" s="191"/>
      <c r="BA278" s="191"/>
      <c r="BB278" s="191"/>
      <c r="BC278" s="191"/>
      <c r="BD278" s="191"/>
      <c r="BE278" s="191"/>
      <c r="BF278" s="191"/>
      <c r="BG278" s="191"/>
      <c r="BH278" s="191"/>
      <c r="BI278" s="191"/>
      <c r="BJ278" s="191"/>
      <c r="BK278" s="191"/>
      <c r="BL278" s="191"/>
      <c r="BM278" s="191"/>
      <c r="BN278" s="191"/>
      <c r="BO278" s="191"/>
      <c r="BP278" s="191"/>
    </row>
    <row r="279" spans="11:68">
      <c r="K279" s="191"/>
      <c r="L279" s="191"/>
      <c r="M279" s="191"/>
      <c r="N279" s="191"/>
      <c r="O279" s="191"/>
      <c r="P279" s="191"/>
      <c r="Q279" s="191"/>
      <c r="R279" s="191"/>
      <c r="S279" s="191"/>
      <c r="T279" s="191"/>
      <c r="U279" s="191"/>
      <c r="V279" s="191"/>
      <c r="W279" s="191"/>
      <c r="X279" s="191"/>
      <c r="Y279" s="191"/>
      <c r="Z279" s="191"/>
      <c r="AA279" s="191"/>
      <c r="AB279" s="191"/>
      <c r="AC279" s="191"/>
      <c r="AD279" s="191"/>
      <c r="AE279" s="191"/>
      <c r="AF279" s="191"/>
      <c r="AG279" s="191"/>
      <c r="AH279" s="191"/>
      <c r="AI279" s="191"/>
      <c r="AJ279" s="191"/>
      <c r="AK279" s="191"/>
      <c r="AL279" s="191"/>
      <c r="AM279" s="191"/>
      <c r="AN279" s="191"/>
      <c r="AO279" s="191"/>
      <c r="AP279" s="191"/>
      <c r="AQ279" s="191"/>
      <c r="AR279" s="191"/>
      <c r="AS279" s="191"/>
      <c r="AT279" s="191"/>
      <c r="AU279" s="191"/>
      <c r="AV279" s="191"/>
      <c r="AW279" s="191"/>
      <c r="AX279" s="191"/>
      <c r="AY279" s="191"/>
      <c r="AZ279" s="191"/>
      <c r="BA279" s="191"/>
      <c r="BB279" s="191"/>
      <c r="BC279" s="191"/>
      <c r="BD279" s="191"/>
      <c r="BE279" s="191"/>
      <c r="BF279" s="191"/>
      <c r="BG279" s="191"/>
      <c r="BH279" s="191"/>
      <c r="BI279" s="191"/>
      <c r="BJ279" s="191"/>
      <c r="BK279" s="191"/>
      <c r="BL279" s="191"/>
      <c r="BM279" s="191"/>
      <c r="BN279" s="191"/>
      <c r="BO279" s="191"/>
      <c r="BP279" s="191"/>
    </row>
    <row r="280" spans="11:68">
      <c r="K280" s="191"/>
      <c r="L280" s="191"/>
      <c r="M280" s="191"/>
      <c r="N280" s="191"/>
      <c r="O280" s="191"/>
      <c r="P280" s="191"/>
      <c r="Q280" s="191"/>
      <c r="R280" s="191"/>
      <c r="S280" s="191"/>
      <c r="T280" s="191"/>
      <c r="U280" s="191"/>
      <c r="V280" s="191"/>
      <c r="W280" s="191"/>
      <c r="X280" s="191"/>
      <c r="Y280" s="191"/>
      <c r="Z280" s="191"/>
      <c r="AA280" s="191"/>
      <c r="AB280" s="191"/>
      <c r="AC280" s="191"/>
      <c r="AD280" s="191"/>
      <c r="AE280" s="191"/>
      <c r="AF280" s="191"/>
      <c r="AG280" s="191"/>
      <c r="AH280" s="191"/>
      <c r="AI280" s="191"/>
      <c r="AJ280" s="191"/>
      <c r="AK280" s="191"/>
      <c r="AL280" s="191"/>
      <c r="AM280" s="191"/>
      <c r="AN280" s="191"/>
      <c r="AO280" s="191"/>
      <c r="AP280" s="191"/>
      <c r="AQ280" s="191"/>
      <c r="AR280" s="191"/>
      <c r="AS280" s="191"/>
      <c r="AT280" s="191"/>
      <c r="AU280" s="191"/>
      <c r="AV280" s="191"/>
      <c r="AW280" s="191"/>
      <c r="AX280" s="191"/>
      <c r="AY280" s="191"/>
      <c r="AZ280" s="191"/>
      <c r="BA280" s="191"/>
      <c r="BB280" s="191"/>
      <c r="BC280" s="191"/>
      <c r="BD280" s="191"/>
      <c r="BE280" s="191"/>
      <c r="BF280" s="191"/>
      <c r="BG280" s="191"/>
      <c r="BH280" s="191"/>
      <c r="BI280" s="191"/>
      <c r="BJ280" s="191"/>
      <c r="BK280" s="191"/>
      <c r="BL280" s="191"/>
      <c r="BM280" s="191"/>
      <c r="BN280" s="191"/>
      <c r="BO280" s="191"/>
      <c r="BP280" s="191"/>
    </row>
    <row r="281" spans="11:68">
      <c r="K281" s="191"/>
      <c r="L281" s="191"/>
      <c r="M281" s="191"/>
      <c r="N281" s="191"/>
      <c r="O281" s="191"/>
      <c r="P281" s="191"/>
      <c r="Q281" s="191"/>
      <c r="R281" s="191"/>
      <c r="S281" s="191"/>
      <c r="T281" s="191"/>
      <c r="U281" s="191"/>
      <c r="V281" s="191"/>
      <c r="W281" s="191"/>
      <c r="X281" s="191"/>
      <c r="Y281" s="191"/>
      <c r="Z281" s="191"/>
      <c r="AA281" s="191"/>
      <c r="AB281" s="191"/>
      <c r="AC281" s="191"/>
      <c r="AD281" s="191"/>
      <c r="AE281" s="191"/>
      <c r="AF281" s="191"/>
      <c r="AG281" s="191"/>
      <c r="AH281" s="191"/>
      <c r="AI281" s="191"/>
      <c r="AJ281" s="191"/>
      <c r="AK281" s="191"/>
      <c r="AL281" s="191"/>
      <c r="AM281" s="191"/>
      <c r="AN281" s="191"/>
      <c r="AO281" s="191"/>
      <c r="AP281" s="191"/>
      <c r="AQ281" s="191"/>
      <c r="AR281" s="191"/>
      <c r="AS281" s="191"/>
      <c r="AT281" s="191"/>
      <c r="AU281" s="191"/>
      <c r="AV281" s="191"/>
      <c r="AW281" s="191"/>
      <c r="AX281" s="191"/>
      <c r="AY281" s="191"/>
      <c r="AZ281" s="191"/>
      <c r="BA281" s="191"/>
      <c r="BB281" s="191"/>
      <c r="BC281" s="191"/>
      <c r="BD281" s="191"/>
      <c r="BE281" s="191"/>
      <c r="BF281" s="191"/>
      <c r="BG281" s="191"/>
      <c r="BH281" s="191"/>
      <c r="BI281" s="191"/>
      <c r="BJ281" s="191"/>
      <c r="BK281" s="191"/>
      <c r="BL281" s="191"/>
      <c r="BM281" s="191"/>
      <c r="BN281" s="191"/>
      <c r="BO281" s="191"/>
      <c r="BP281" s="191"/>
    </row>
    <row r="282" spans="11:68">
      <c r="K282" s="191"/>
      <c r="L282" s="191"/>
      <c r="M282" s="191"/>
      <c r="N282" s="191"/>
      <c r="O282" s="191"/>
      <c r="P282" s="191"/>
      <c r="Q282" s="191"/>
      <c r="R282" s="191"/>
      <c r="S282" s="191"/>
      <c r="T282" s="191"/>
      <c r="U282" s="191"/>
      <c r="V282" s="191"/>
      <c r="W282" s="191"/>
      <c r="X282" s="191"/>
      <c r="Y282" s="191"/>
      <c r="Z282" s="191"/>
      <c r="AA282" s="191"/>
      <c r="AB282" s="191"/>
      <c r="AC282" s="191"/>
      <c r="AD282" s="191"/>
      <c r="AE282" s="191"/>
      <c r="AF282" s="191"/>
      <c r="AG282" s="191"/>
      <c r="AH282" s="191"/>
      <c r="AI282" s="191"/>
      <c r="AJ282" s="191"/>
      <c r="AK282" s="191"/>
      <c r="AL282" s="191"/>
      <c r="AM282" s="191"/>
      <c r="AN282" s="191"/>
      <c r="AO282" s="191"/>
      <c r="AP282" s="191"/>
      <c r="AQ282" s="191"/>
      <c r="AR282" s="191"/>
      <c r="AS282" s="191"/>
      <c r="AT282" s="191"/>
      <c r="AU282" s="191"/>
      <c r="AV282" s="191"/>
      <c r="AW282" s="191"/>
      <c r="AX282" s="191"/>
      <c r="AY282" s="191"/>
      <c r="AZ282" s="191"/>
      <c r="BA282" s="191"/>
      <c r="BB282" s="191"/>
      <c r="BC282" s="191"/>
      <c r="BD282" s="191"/>
      <c r="BE282" s="191"/>
      <c r="BF282" s="191"/>
      <c r="BG282" s="191"/>
      <c r="BH282" s="191"/>
      <c r="BI282" s="191"/>
      <c r="BJ282" s="191"/>
      <c r="BK282" s="191"/>
      <c r="BL282" s="191"/>
      <c r="BM282" s="191"/>
      <c r="BN282" s="191"/>
      <c r="BO282" s="191"/>
      <c r="BP282" s="191"/>
    </row>
    <row r="283" spans="11:68">
      <c r="K283" s="191"/>
      <c r="L283" s="191"/>
      <c r="M283" s="191"/>
      <c r="N283" s="191"/>
      <c r="O283" s="191"/>
      <c r="P283" s="191"/>
      <c r="Q283" s="191"/>
      <c r="R283" s="191"/>
      <c r="S283" s="191"/>
      <c r="T283" s="191"/>
      <c r="U283" s="191"/>
      <c r="V283" s="191"/>
      <c r="W283" s="191"/>
      <c r="X283" s="191"/>
      <c r="Y283" s="191"/>
      <c r="Z283" s="191"/>
      <c r="AA283" s="191"/>
      <c r="AB283" s="191"/>
      <c r="AC283" s="191"/>
      <c r="AD283" s="191"/>
      <c r="AE283" s="191"/>
      <c r="AF283" s="191"/>
      <c r="AG283" s="191"/>
      <c r="AH283" s="191"/>
      <c r="AI283" s="191"/>
      <c r="AJ283" s="191"/>
      <c r="AK283" s="191"/>
      <c r="AL283" s="191"/>
      <c r="AM283" s="191"/>
      <c r="AN283" s="191"/>
      <c r="AO283" s="191"/>
      <c r="AP283" s="191"/>
      <c r="AQ283" s="191"/>
      <c r="AR283" s="191"/>
      <c r="AS283" s="191"/>
      <c r="AT283" s="191"/>
      <c r="AU283" s="191"/>
      <c r="AV283" s="191"/>
      <c r="AW283" s="191"/>
      <c r="AX283" s="191"/>
      <c r="AY283" s="191"/>
      <c r="AZ283" s="191"/>
      <c r="BA283" s="191"/>
      <c r="BB283" s="191"/>
      <c r="BC283" s="191"/>
      <c r="BD283" s="191"/>
      <c r="BE283" s="191"/>
      <c r="BF283" s="191"/>
      <c r="BG283" s="191"/>
      <c r="BH283" s="191"/>
      <c r="BI283" s="191"/>
      <c r="BJ283" s="191"/>
      <c r="BK283" s="191"/>
      <c r="BL283" s="191"/>
      <c r="BM283" s="191"/>
      <c r="BN283" s="191"/>
      <c r="BO283" s="191"/>
      <c r="BP283" s="191"/>
    </row>
    <row r="284" spans="11:68">
      <c r="K284" s="191"/>
      <c r="L284" s="191"/>
      <c r="M284" s="191"/>
      <c r="N284" s="191"/>
      <c r="O284" s="191"/>
      <c r="P284" s="191"/>
      <c r="Q284" s="191"/>
      <c r="R284" s="191"/>
      <c r="S284" s="191"/>
      <c r="T284" s="191"/>
      <c r="U284" s="191"/>
      <c r="V284" s="191"/>
      <c r="W284" s="191"/>
      <c r="X284" s="191"/>
      <c r="Y284" s="191"/>
      <c r="Z284" s="191"/>
      <c r="AA284" s="191"/>
      <c r="AB284" s="191"/>
      <c r="AC284" s="191"/>
      <c r="AD284" s="191"/>
      <c r="AE284" s="191"/>
      <c r="AF284" s="191"/>
      <c r="AG284" s="191"/>
      <c r="AH284" s="191"/>
      <c r="AI284" s="191"/>
      <c r="AJ284" s="191"/>
      <c r="AK284" s="191"/>
      <c r="AL284" s="191"/>
      <c r="AM284" s="191"/>
      <c r="AN284" s="191"/>
      <c r="AO284" s="191"/>
      <c r="AP284" s="191"/>
      <c r="AQ284" s="191"/>
      <c r="AR284" s="191"/>
      <c r="AS284" s="191"/>
      <c r="AT284" s="191"/>
      <c r="AU284" s="191"/>
      <c r="AV284" s="191"/>
      <c r="AW284" s="191"/>
      <c r="AX284" s="191"/>
      <c r="AY284" s="191"/>
      <c r="AZ284" s="191"/>
      <c r="BA284" s="191"/>
      <c r="BB284" s="191"/>
      <c r="BC284" s="191"/>
      <c r="BD284" s="191"/>
      <c r="BE284" s="191"/>
      <c r="BF284" s="191"/>
      <c r="BG284" s="191"/>
      <c r="BH284" s="191"/>
      <c r="BI284" s="191"/>
      <c r="BJ284" s="191"/>
      <c r="BK284" s="191"/>
      <c r="BL284" s="191"/>
      <c r="BM284" s="191"/>
      <c r="BN284" s="191"/>
      <c r="BO284" s="191"/>
      <c r="BP284" s="191"/>
    </row>
    <row r="285" spans="11:68">
      <c r="K285" s="191"/>
      <c r="L285" s="191"/>
      <c r="M285" s="191"/>
      <c r="N285" s="191"/>
      <c r="O285" s="191"/>
      <c r="P285" s="191"/>
      <c r="Q285" s="191"/>
      <c r="R285" s="191"/>
      <c r="S285" s="191"/>
      <c r="T285" s="191"/>
      <c r="U285" s="191"/>
      <c r="V285" s="191"/>
      <c r="W285" s="191"/>
      <c r="X285" s="191"/>
      <c r="Y285" s="191"/>
      <c r="Z285" s="191"/>
      <c r="AA285" s="191"/>
      <c r="AB285" s="191"/>
      <c r="AC285" s="191"/>
      <c r="AD285" s="191"/>
      <c r="AE285" s="191"/>
      <c r="AF285" s="191"/>
      <c r="AG285" s="191"/>
      <c r="AH285" s="191"/>
      <c r="AI285" s="191"/>
      <c r="AJ285" s="191"/>
      <c r="AK285" s="191"/>
      <c r="AL285" s="191"/>
      <c r="AM285" s="191"/>
      <c r="AN285" s="191"/>
      <c r="AO285" s="191"/>
      <c r="AP285" s="191"/>
      <c r="AQ285" s="191"/>
      <c r="AR285" s="191"/>
      <c r="AS285" s="191"/>
      <c r="AT285" s="191"/>
      <c r="AU285" s="191"/>
      <c r="AV285" s="191"/>
      <c r="AW285" s="191"/>
      <c r="AX285" s="191"/>
      <c r="AY285" s="191"/>
      <c r="AZ285" s="191"/>
      <c r="BA285" s="191"/>
      <c r="BB285" s="191"/>
      <c r="BC285" s="191"/>
      <c r="BD285" s="191"/>
      <c r="BE285" s="191"/>
      <c r="BF285" s="191"/>
      <c r="BG285" s="191"/>
      <c r="BH285" s="191"/>
      <c r="BI285" s="191"/>
      <c r="BJ285" s="191"/>
      <c r="BK285" s="191"/>
      <c r="BL285" s="191"/>
      <c r="BM285" s="191"/>
      <c r="BN285" s="191"/>
      <c r="BO285" s="191"/>
      <c r="BP285" s="191"/>
    </row>
    <row r="286" spans="11:68">
      <c r="K286" s="191"/>
      <c r="L286" s="191"/>
      <c r="M286" s="191"/>
      <c r="N286" s="191"/>
      <c r="O286" s="191"/>
      <c r="P286" s="191"/>
      <c r="Q286" s="191"/>
      <c r="R286" s="191"/>
      <c r="S286" s="191"/>
      <c r="T286" s="191"/>
      <c r="U286" s="191"/>
      <c r="V286" s="191"/>
      <c r="W286" s="191"/>
      <c r="X286" s="191"/>
      <c r="Y286" s="191"/>
      <c r="Z286" s="191"/>
      <c r="AA286" s="191"/>
      <c r="AB286" s="191"/>
      <c r="AC286" s="191"/>
      <c r="AD286" s="191"/>
      <c r="AE286" s="191"/>
      <c r="AF286" s="191"/>
      <c r="AG286" s="191"/>
      <c r="AH286" s="191"/>
      <c r="AI286" s="191"/>
      <c r="AJ286" s="191"/>
      <c r="AK286" s="191"/>
      <c r="AL286" s="191"/>
      <c r="AM286" s="191"/>
      <c r="AN286" s="191"/>
      <c r="AO286" s="191"/>
      <c r="AP286" s="191"/>
      <c r="AQ286" s="191"/>
      <c r="AR286" s="191"/>
      <c r="AS286" s="191"/>
      <c r="AT286" s="191"/>
      <c r="AU286" s="191"/>
      <c r="AV286" s="191"/>
      <c r="AW286" s="191"/>
      <c r="AX286" s="191"/>
      <c r="AY286" s="191"/>
      <c r="AZ286" s="191"/>
      <c r="BA286" s="191"/>
      <c r="BB286" s="191"/>
      <c r="BC286" s="191"/>
      <c r="BD286" s="191"/>
      <c r="BE286" s="191"/>
      <c r="BF286" s="191"/>
      <c r="BG286" s="191"/>
      <c r="BH286" s="191"/>
      <c r="BI286" s="191"/>
      <c r="BJ286" s="191"/>
      <c r="BK286" s="191"/>
      <c r="BL286" s="191"/>
      <c r="BM286" s="191"/>
      <c r="BN286" s="191"/>
      <c r="BO286" s="191"/>
      <c r="BP286" s="191"/>
    </row>
    <row r="287" spans="11:68">
      <c r="K287" s="191"/>
      <c r="L287" s="191"/>
      <c r="M287" s="191"/>
      <c r="N287" s="191"/>
      <c r="O287" s="191"/>
      <c r="P287" s="191"/>
      <c r="Q287" s="191"/>
      <c r="R287" s="191"/>
      <c r="S287" s="191"/>
      <c r="T287" s="191"/>
      <c r="U287" s="191"/>
      <c r="V287" s="191"/>
      <c r="W287" s="191"/>
      <c r="X287" s="191"/>
      <c r="Y287" s="191"/>
      <c r="Z287" s="191"/>
      <c r="AA287" s="191"/>
      <c r="AB287" s="191"/>
      <c r="AC287" s="191"/>
      <c r="AD287" s="191"/>
      <c r="AE287" s="191"/>
      <c r="AF287" s="191"/>
      <c r="AG287" s="191"/>
      <c r="AH287" s="191"/>
      <c r="AI287" s="191"/>
      <c r="AJ287" s="191"/>
      <c r="AK287" s="191"/>
      <c r="AL287" s="191"/>
      <c r="AM287" s="191"/>
      <c r="AN287" s="191"/>
      <c r="AO287" s="191"/>
      <c r="AP287" s="191"/>
      <c r="AQ287" s="191"/>
      <c r="AR287" s="191"/>
      <c r="AS287" s="191"/>
      <c r="AT287" s="191"/>
      <c r="AU287" s="191"/>
      <c r="AV287" s="191"/>
      <c r="AW287" s="191"/>
      <c r="AX287" s="191"/>
      <c r="AY287" s="191"/>
      <c r="AZ287" s="191"/>
      <c r="BA287" s="191"/>
      <c r="BB287" s="191"/>
      <c r="BC287" s="191"/>
      <c r="BD287" s="191"/>
      <c r="BE287" s="191"/>
      <c r="BF287" s="191"/>
      <c r="BG287" s="191"/>
      <c r="BH287" s="191"/>
      <c r="BI287" s="191"/>
      <c r="BJ287" s="191"/>
      <c r="BK287" s="191"/>
      <c r="BL287" s="191"/>
      <c r="BM287" s="191"/>
      <c r="BN287" s="191"/>
      <c r="BO287" s="191"/>
      <c r="BP287" s="191"/>
    </row>
    <row r="288" spans="11:68">
      <c r="K288" s="191"/>
      <c r="L288" s="191"/>
      <c r="M288" s="191"/>
      <c r="N288" s="191"/>
      <c r="O288" s="191"/>
      <c r="P288" s="191"/>
      <c r="Q288" s="191"/>
      <c r="R288" s="191"/>
      <c r="S288" s="191"/>
      <c r="T288" s="191"/>
      <c r="U288" s="191"/>
      <c r="V288" s="191"/>
      <c r="W288" s="191"/>
      <c r="X288" s="191"/>
      <c r="Y288" s="191"/>
      <c r="Z288" s="191"/>
      <c r="AA288" s="191"/>
      <c r="AB288" s="191"/>
      <c r="AC288" s="191"/>
      <c r="AD288" s="191"/>
      <c r="AE288" s="191"/>
      <c r="AF288" s="191"/>
      <c r="AG288" s="191"/>
      <c r="AH288" s="191"/>
      <c r="AI288" s="191"/>
      <c r="AJ288" s="191"/>
      <c r="AK288" s="191"/>
      <c r="AL288" s="191"/>
      <c r="AM288" s="191"/>
      <c r="AN288" s="191"/>
      <c r="AO288" s="191"/>
      <c r="AP288" s="191"/>
      <c r="AQ288" s="191"/>
      <c r="AR288" s="191"/>
      <c r="AS288" s="191"/>
      <c r="AT288" s="191"/>
      <c r="AU288" s="191"/>
      <c r="AV288" s="191"/>
      <c r="AW288" s="191"/>
      <c r="AX288" s="191"/>
      <c r="AY288" s="191"/>
      <c r="AZ288" s="191"/>
      <c r="BA288" s="191"/>
      <c r="BB288" s="191"/>
      <c r="BC288" s="191"/>
      <c r="BD288" s="191"/>
      <c r="BE288" s="191"/>
      <c r="BF288" s="191"/>
      <c r="BG288" s="191"/>
      <c r="BH288" s="191"/>
      <c r="BI288" s="191"/>
      <c r="BJ288" s="191"/>
      <c r="BK288" s="191"/>
      <c r="BL288" s="191"/>
      <c r="BM288" s="191"/>
      <c r="BN288" s="191"/>
      <c r="BO288" s="191"/>
      <c r="BP288" s="191"/>
    </row>
    <row r="289" spans="11:68">
      <c r="K289" s="191"/>
      <c r="L289" s="191"/>
      <c r="M289" s="191"/>
      <c r="N289" s="191"/>
      <c r="O289" s="191"/>
      <c r="P289" s="191"/>
      <c r="Q289" s="191"/>
      <c r="R289" s="191"/>
      <c r="S289" s="191"/>
      <c r="T289" s="191"/>
      <c r="U289" s="191"/>
      <c r="V289" s="191"/>
      <c r="W289" s="191"/>
      <c r="X289" s="191"/>
      <c r="Y289" s="191"/>
      <c r="Z289" s="191"/>
      <c r="AA289" s="191"/>
      <c r="AB289" s="191"/>
      <c r="AC289" s="191"/>
      <c r="AD289" s="191"/>
      <c r="AE289" s="191"/>
      <c r="AF289" s="191"/>
      <c r="AG289" s="191"/>
      <c r="AH289" s="191"/>
      <c r="AI289" s="191"/>
      <c r="AJ289" s="191"/>
      <c r="AK289" s="191"/>
      <c r="AL289" s="191"/>
      <c r="AM289" s="191"/>
      <c r="AN289" s="191"/>
      <c r="AO289" s="191"/>
      <c r="AP289" s="191"/>
      <c r="AQ289" s="191"/>
      <c r="AR289" s="191"/>
      <c r="AS289" s="191"/>
      <c r="AT289" s="191"/>
      <c r="AU289" s="191"/>
      <c r="AV289" s="191"/>
      <c r="AW289" s="191"/>
      <c r="AX289" s="191"/>
      <c r="AY289" s="191"/>
      <c r="AZ289" s="191"/>
      <c r="BA289" s="191"/>
      <c r="BB289" s="191"/>
      <c r="BC289" s="191"/>
      <c r="BD289" s="191"/>
      <c r="BE289" s="191"/>
      <c r="BF289" s="191"/>
      <c r="BG289" s="191"/>
      <c r="BH289" s="191"/>
      <c r="BI289" s="191"/>
      <c r="BJ289" s="191"/>
      <c r="BK289" s="191"/>
      <c r="BL289" s="191"/>
      <c r="BM289" s="191"/>
      <c r="BN289" s="191"/>
      <c r="BO289" s="191"/>
      <c r="BP289" s="191"/>
    </row>
    <row r="290" spans="11:68">
      <c r="K290" s="191"/>
      <c r="L290" s="191"/>
      <c r="M290" s="191"/>
      <c r="N290" s="191"/>
      <c r="O290" s="191"/>
      <c r="P290" s="191"/>
      <c r="Q290" s="191"/>
      <c r="R290" s="191"/>
      <c r="S290" s="191"/>
      <c r="T290" s="191"/>
      <c r="U290" s="191"/>
      <c r="V290" s="191"/>
      <c r="W290" s="191"/>
      <c r="X290" s="191"/>
      <c r="Y290" s="191"/>
      <c r="Z290" s="191"/>
      <c r="AA290" s="191"/>
      <c r="AB290" s="191"/>
      <c r="AC290" s="191"/>
      <c r="AD290" s="191"/>
      <c r="AE290" s="191"/>
      <c r="AF290" s="191"/>
      <c r="AG290" s="191"/>
      <c r="AH290" s="191"/>
      <c r="AI290" s="191"/>
      <c r="AJ290" s="191"/>
      <c r="AK290" s="191"/>
      <c r="AL290" s="191"/>
      <c r="AM290" s="191"/>
      <c r="AN290" s="191"/>
      <c r="AO290" s="191"/>
      <c r="AP290" s="191"/>
      <c r="AQ290" s="191"/>
      <c r="AR290" s="191"/>
      <c r="AS290" s="191"/>
      <c r="AT290" s="191"/>
      <c r="AU290" s="191"/>
      <c r="AV290" s="191"/>
      <c r="AW290" s="191"/>
      <c r="AX290" s="191"/>
      <c r="AY290" s="191"/>
      <c r="AZ290" s="191"/>
      <c r="BA290" s="191"/>
      <c r="BB290" s="191"/>
      <c r="BC290" s="191"/>
      <c r="BD290" s="191"/>
      <c r="BE290" s="191"/>
      <c r="BF290" s="191"/>
      <c r="BG290" s="191"/>
      <c r="BH290" s="191"/>
      <c r="BI290" s="191"/>
      <c r="BJ290" s="191"/>
      <c r="BK290" s="191"/>
      <c r="BL290" s="191"/>
      <c r="BM290" s="191"/>
      <c r="BN290" s="191"/>
      <c r="BO290" s="191"/>
      <c r="BP290" s="191"/>
    </row>
    <row r="291" spans="11:68">
      <c r="K291" s="191"/>
      <c r="L291" s="191"/>
      <c r="M291" s="191"/>
      <c r="N291" s="191"/>
      <c r="O291" s="191"/>
      <c r="P291" s="191"/>
      <c r="Q291" s="191"/>
      <c r="R291" s="191"/>
      <c r="S291" s="191"/>
      <c r="T291" s="191"/>
      <c r="U291" s="191"/>
      <c r="V291" s="191"/>
      <c r="W291" s="191"/>
      <c r="X291" s="191"/>
      <c r="Y291" s="191"/>
      <c r="Z291" s="191"/>
      <c r="AA291" s="191"/>
      <c r="AB291" s="191"/>
      <c r="AC291" s="191"/>
      <c r="AD291" s="191"/>
      <c r="AE291" s="191"/>
      <c r="AF291" s="191"/>
      <c r="AG291" s="191"/>
      <c r="AH291" s="191"/>
      <c r="AI291" s="191"/>
      <c r="AJ291" s="191"/>
      <c r="AK291" s="191"/>
      <c r="AL291" s="191"/>
      <c r="AM291" s="191"/>
      <c r="AN291" s="191"/>
      <c r="AO291" s="191"/>
      <c r="AP291" s="191"/>
      <c r="AQ291" s="191"/>
      <c r="AR291" s="191"/>
      <c r="AS291" s="191"/>
      <c r="AT291" s="191"/>
      <c r="AU291" s="191"/>
      <c r="AV291" s="191"/>
      <c r="AW291" s="191"/>
      <c r="AX291" s="191"/>
      <c r="AY291" s="191"/>
      <c r="AZ291" s="191"/>
      <c r="BA291" s="191"/>
      <c r="BB291" s="191"/>
      <c r="BC291" s="191"/>
      <c r="BD291" s="191"/>
      <c r="BE291" s="191"/>
      <c r="BF291" s="191"/>
      <c r="BG291" s="191"/>
      <c r="BH291" s="191"/>
      <c r="BI291" s="191"/>
      <c r="BJ291" s="191"/>
      <c r="BK291" s="191"/>
      <c r="BL291" s="191"/>
      <c r="BM291" s="191"/>
      <c r="BN291" s="191"/>
      <c r="BO291" s="191"/>
      <c r="BP291" s="191"/>
    </row>
    <row r="292" spans="11:68">
      <c r="K292" s="191"/>
      <c r="L292" s="191"/>
      <c r="M292" s="191"/>
      <c r="N292" s="191"/>
      <c r="O292" s="191"/>
      <c r="P292" s="191"/>
      <c r="Q292" s="191"/>
      <c r="R292" s="191"/>
      <c r="S292" s="191"/>
      <c r="T292" s="191"/>
      <c r="U292" s="191"/>
      <c r="V292" s="191"/>
      <c r="W292" s="191"/>
      <c r="X292" s="191"/>
      <c r="Y292" s="191"/>
      <c r="Z292" s="191"/>
      <c r="AA292" s="191"/>
      <c r="AB292" s="191"/>
      <c r="AC292" s="191"/>
      <c r="AD292" s="191"/>
      <c r="AE292" s="191"/>
      <c r="AF292" s="191"/>
      <c r="AG292" s="191"/>
      <c r="AH292" s="191"/>
      <c r="AI292" s="191"/>
      <c r="AJ292" s="191"/>
      <c r="AK292" s="191"/>
      <c r="AL292" s="191"/>
      <c r="AM292" s="191"/>
      <c r="AN292" s="191"/>
      <c r="AO292" s="191"/>
      <c r="AP292" s="191"/>
      <c r="AQ292" s="191"/>
      <c r="AR292" s="191"/>
      <c r="AS292" s="191"/>
      <c r="AT292" s="191"/>
      <c r="AU292" s="191"/>
      <c r="AV292" s="191"/>
      <c r="AW292" s="191"/>
      <c r="AX292" s="191"/>
      <c r="AY292" s="191"/>
      <c r="AZ292" s="191"/>
      <c r="BA292" s="191"/>
      <c r="BB292" s="191"/>
      <c r="BC292" s="191"/>
      <c r="BD292" s="191"/>
      <c r="BE292" s="191"/>
      <c r="BF292" s="191"/>
      <c r="BG292" s="191"/>
      <c r="BH292" s="191"/>
      <c r="BI292" s="191"/>
      <c r="BJ292" s="191"/>
      <c r="BK292" s="191"/>
      <c r="BL292" s="191"/>
      <c r="BM292" s="191"/>
      <c r="BN292" s="191"/>
      <c r="BO292" s="191"/>
      <c r="BP292" s="191"/>
    </row>
    <row r="293" spans="11:68">
      <c r="K293" s="191"/>
      <c r="L293" s="191"/>
      <c r="M293" s="191"/>
      <c r="N293" s="191"/>
      <c r="O293" s="191"/>
      <c r="P293" s="191"/>
      <c r="Q293" s="191"/>
      <c r="R293" s="191"/>
      <c r="S293" s="191"/>
      <c r="T293" s="191"/>
      <c r="U293" s="191"/>
      <c r="V293" s="191"/>
      <c r="W293" s="191"/>
      <c r="X293" s="191"/>
      <c r="Y293" s="191"/>
      <c r="Z293" s="191"/>
      <c r="AA293" s="191"/>
      <c r="AB293" s="191"/>
      <c r="AC293" s="191"/>
      <c r="AD293" s="191"/>
      <c r="AE293" s="191"/>
      <c r="AF293" s="191"/>
      <c r="AG293" s="191"/>
      <c r="AH293" s="191"/>
      <c r="AI293" s="191"/>
      <c r="AJ293" s="191"/>
      <c r="AK293" s="191"/>
      <c r="AL293" s="191"/>
      <c r="AM293" s="191"/>
      <c r="AN293" s="191"/>
      <c r="AO293" s="191"/>
      <c r="AP293" s="191"/>
      <c r="AQ293" s="191"/>
      <c r="AR293" s="191"/>
      <c r="AS293" s="191"/>
      <c r="AT293" s="191"/>
      <c r="AU293" s="191"/>
      <c r="AV293" s="191"/>
      <c r="AW293" s="191"/>
      <c r="AX293" s="191"/>
      <c r="AY293" s="191"/>
      <c r="AZ293" s="191"/>
      <c r="BA293" s="191"/>
      <c r="BB293" s="191"/>
      <c r="BC293" s="191"/>
      <c r="BD293" s="191"/>
      <c r="BE293" s="191"/>
      <c r="BF293" s="191"/>
      <c r="BG293" s="191"/>
      <c r="BH293" s="191"/>
      <c r="BI293" s="191"/>
      <c r="BJ293" s="191"/>
      <c r="BK293" s="191"/>
      <c r="BL293" s="191"/>
      <c r="BM293" s="191"/>
      <c r="BN293" s="191"/>
      <c r="BO293" s="191"/>
      <c r="BP293" s="191"/>
    </row>
    <row r="294" spans="11:68">
      <c r="K294" s="191"/>
      <c r="L294" s="191"/>
      <c r="M294" s="191"/>
      <c r="N294" s="191"/>
      <c r="O294" s="191"/>
      <c r="P294" s="191"/>
      <c r="Q294" s="191"/>
      <c r="R294" s="191"/>
      <c r="S294" s="191"/>
      <c r="T294" s="191"/>
      <c r="U294" s="191"/>
      <c r="V294" s="191"/>
      <c r="W294" s="191"/>
      <c r="X294" s="191"/>
      <c r="Y294" s="191"/>
      <c r="Z294" s="191"/>
      <c r="AA294" s="191"/>
      <c r="AB294" s="191"/>
      <c r="AC294" s="191"/>
      <c r="AD294" s="191"/>
      <c r="AE294" s="191"/>
      <c r="AF294" s="191"/>
      <c r="AG294" s="191"/>
      <c r="AH294" s="191"/>
      <c r="AI294" s="191"/>
      <c r="AJ294" s="191"/>
      <c r="AK294" s="191"/>
      <c r="AL294" s="191"/>
      <c r="AM294" s="191"/>
      <c r="AN294" s="191"/>
      <c r="AO294" s="191"/>
      <c r="AP294" s="191"/>
      <c r="AQ294" s="191"/>
      <c r="AR294" s="191"/>
      <c r="AS294" s="191"/>
      <c r="AT294" s="191"/>
      <c r="AU294" s="191"/>
      <c r="AV294" s="191"/>
      <c r="AW294" s="191"/>
      <c r="AX294" s="191"/>
      <c r="AY294" s="191"/>
      <c r="AZ294" s="191"/>
      <c r="BA294" s="191"/>
      <c r="BB294" s="191"/>
      <c r="BC294" s="191"/>
      <c r="BD294" s="191"/>
      <c r="BE294" s="191"/>
      <c r="BF294" s="191"/>
      <c r="BG294" s="191"/>
      <c r="BH294" s="191"/>
      <c r="BI294" s="191"/>
      <c r="BJ294" s="191"/>
      <c r="BK294" s="191"/>
      <c r="BL294" s="191"/>
      <c r="BM294" s="191"/>
      <c r="BN294" s="191"/>
      <c r="BO294" s="191"/>
      <c r="BP294" s="191"/>
    </row>
    <row r="295" spans="11:68">
      <c r="K295" s="191"/>
      <c r="L295" s="191"/>
      <c r="M295" s="191"/>
      <c r="N295" s="191"/>
      <c r="O295" s="191"/>
      <c r="P295" s="191"/>
      <c r="Q295" s="191"/>
      <c r="R295" s="191"/>
      <c r="S295" s="191"/>
      <c r="T295" s="191"/>
      <c r="U295" s="191"/>
      <c r="V295" s="191"/>
      <c r="W295" s="191"/>
      <c r="X295" s="191"/>
      <c r="Y295" s="191"/>
      <c r="Z295" s="191"/>
      <c r="AA295" s="191"/>
      <c r="AB295" s="191"/>
      <c r="AC295" s="191"/>
      <c r="AD295" s="191"/>
      <c r="AE295" s="191"/>
      <c r="AF295" s="191"/>
      <c r="AG295" s="191"/>
      <c r="AH295" s="191"/>
      <c r="AI295" s="191"/>
      <c r="AJ295" s="191"/>
      <c r="AK295" s="191"/>
      <c r="AL295" s="191"/>
      <c r="AM295" s="191"/>
      <c r="AN295" s="191"/>
      <c r="AO295" s="191"/>
      <c r="AP295" s="191"/>
      <c r="AQ295" s="191"/>
      <c r="AR295" s="191"/>
      <c r="AS295" s="191"/>
      <c r="AT295" s="191"/>
      <c r="AU295" s="191"/>
      <c r="AV295" s="191"/>
      <c r="AW295" s="191"/>
      <c r="AX295" s="191"/>
      <c r="AY295" s="191"/>
      <c r="AZ295" s="191"/>
      <c r="BA295" s="191"/>
      <c r="BB295" s="191"/>
      <c r="BC295" s="191"/>
      <c r="BD295" s="191"/>
      <c r="BE295" s="191"/>
      <c r="BF295" s="191"/>
      <c r="BG295" s="191"/>
      <c r="BH295" s="191"/>
      <c r="BI295" s="191"/>
      <c r="BJ295" s="191"/>
      <c r="BK295" s="191"/>
      <c r="BL295" s="191"/>
      <c r="BM295" s="191"/>
      <c r="BN295" s="191"/>
      <c r="BO295" s="191"/>
      <c r="BP295" s="191"/>
    </row>
    <row r="296" spans="11:68">
      <c r="K296" s="191"/>
      <c r="L296" s="191"/>
      <c r="M296" s="191"/>
      <c r="N296" s="191"/>
      <c r="O296" s="191"/>
      <c r="P296" s="191"/>
      <c r="Q296" s="191"/>
      <c r="R296" s="191"/>
      <c r="S296" s="191"/>
      <c r="T296" s="191"/>
      <c r="U296" s="191"/>
      <c r="V296" s="191"/>
      <c r="W296" s="191"/>
      <c r="X296" s="191"/>
      <c r="Y296" s="191"/>
      <c r="Z296" s="191"/>
      <c r="AA296" s="191"/>
      <c r="AB296" s="191"/>
      <c r="AC296" s="191"/>
      <c r="AD296" s="191"/>
      <c r="AE296" s="191"/>
      <c r="AF296" s="191"/>
      <c r="AG296" s="191"/>
      <c r="AH296" s="191"/>
      <c r="AI296" s="191"/>
      <c r="AJ296" s="191"/>
      <c r="AK296" s="191"/>
      <c r="AL296" s="191"/>
      <c r="AM296" s="191"/>
      <c r="AN296" s="191"/>
      <c r="AO296" s="191"/>
      <c r="AP296" s="191"/>
      <c r="AQ296" s="191"/>
      <c r="AR296" s="191"/>
      <c r="AS296" s="191"/>
      <c r="AT296" s="191"/>
      <c r="AU296" s="191"/>
      <c r="AV296" s="191"/>
      <c r="AW296" s="191"/>
      <c r="AX296" s="191"/>
      <c r="AY296" s="191"/>
      <c r="AZ296" s="191"/>
      <c r="BA296" s="191"/>
      <c r="BB296" s="191"/>
      <c r="BC296" s="191"/>
      <c r="BD296" s="191"/>
      <c r="BE296" s="191"/>
      <c r="BF296" s="191"/>
      <c r="BG296" s="191"/>
      <c r="BH296" s="191"/>
      <c r="BI296" s="191"/>
      <c r="BJ296" s="191"/>
      <c r="BK296" s="191"/>
      <c r="BL296" s="191"/>
      <c r="BM296" s="191"/>
      <c r="BN296" s="191"/>
      <c r="BO296" s="191"/>
      <c r="BP296" s="191"/>
    </row>
    <row r="297" spans="11:68">
      <c r="K297" s="191"/>
      <c r="L297" s="191"/>
      <c r="M297" s="191"/>
      <c r="N297" s="191"/>
      <c r="O297" s="191"/>
      <c r="P297" s="191"/>
      <c r="Q297" s="191"/>
      <c r="R297" s="191"/>
      <c r="S297" s="191"/>
      <c r="T297" s="191"/>
      <c r="U297" s="191"/>
      <c r="V297" s="191"/>
      <c r="W297" s="191"/>
      <c r="X297" s="191"/>
      <c r="Y297" s="191"/>
      <c r="Z297" s="191"/>
      <c r="AA297" s="191"/>
      <c r="AB297" s="191"/>
      <c r="AC297" s="191"/>
      <c r="AD297" s="191"/>
      <c r="AE297" s="191"/>
      <c r="AF297" s="191"/>
      <c r="AG297" s="191"/>
      <c r="AH297" s="191"/>
      <c r="AI297" s="191"/>
      <c r="AJ297" s="191"/>
      <c r="AK297" s="191"/>
      <c r="AL297" s="191"/>
      <c r="AM297" s="191"/>
      <c r="AN297" s="191"/>
      <c r="AO297" s="191"/>
      <c r="AP297" s="191"/>
      <c r="AQ297" s="191"/>
      <c r="AR297" s="191"/>
      <c r="AS297" s="191"/>
      <c r="AT297" s="191"/>
      <c r="AU297" s="191"/>
      <c r="AV297" s="191"/>
      <c r="AW297" s="191"/>
      <c r="AX297" s="191"/>
      <c r="AY297" s="191"/>
      <c r="AZ297" s="191"/>
      <c r="BA297" s="191"/>
      <c r="BB297" s="191"/>
      <c r="BC297" s="191"/>
      <c r="BD297" s="191"/>
      <c r="BE297" s="191"/>
      <c r="BF297" s="191"/>
      <c r="BG297" s="191"/>
      <c r="BH297" s="191"/>
      <c r="BI297" s="191"/>
      <c r="BJ297" s="191"/>
      <c r="BK297" s="191"/>
      <c r="BL297" s="191"/>
      <c r="BM297" s="191"/>
      <c r="BN297" s="191"/>
      <c r="BO297" s="191"/>
      <c r="BP297" s="191"/>
    </row>
    <row r="298" spans="11:68">
      <c r="K298" s="191"/>
      <c r="L298" s="191"/>
      <c r="M298" s="191"/>
      <c r="N298" s="191"/>
      <c r="O298" s="191"/>
      <c r="P298" s="191"/>
      <c r="Q298" s="191"/>
      <c r="R298" s="191"/>
      <c r="S298" s="191"/>
      <c r="T298" s="191"/>
      <c r="U298" s="191"/>
      <c r="V298" s="191"/>
      <c r="W298" s="191"/>
      <c r="X298" s="191"/>
      <c r="Y298" s="191"/>
      <c r="Z298" s="191"/>
      <c r="AA298" s="191"/>
      <c r="AB298" s="191"/>
      <c r="AC298" s="191"/>
      <c r="AD298" s="191"/>
      <c r="AE298" s="191"/>
      <c r="AF298" s="191"/>
      <c r="AG298" s="191"/>
      <c r="AH298" s="191"/>
      <c r="AI298" s="191"/>
      <c r="AJ298" s="191"/>
      <c r="AK298" s="191"/>
      <c r="AL298" s="191"/>
      <c r="AM298" s="191"/>
      <c r="AN298" s="191"/>
      <c r="AO298" s="191"/>
      <c r="AP298" s="191"/>
      <c r="AQ298" s="191"/>
      <c r="AR298" s="191"/>
      <c r="AS298" s="191"/>
      <c r="AT298" s="191"/>
      <c r="AU298" s="191"/>
      <c r="AV298" s="191"/>
      <c r="AW298" s="191"/>
      <c r="AX298" s="191"/>
      <c r="AY298" s="191"/>
      <c r="AZ298" s="191"/>
      <c r="BA298" s="191"/>
      <c r="BB298" s="191"/>
      <c r="BC298" s="191"/>
      <c r="BD298" s="191"/>
      <c r="BE298" s="191"/>
      <c r="BF298" s="191"/>
      <c r="BG298" s="191"/>
      <c r="BH298" s="191"/>
      <c r="BI298" s="191"/>
      <c r="BJ298" s="191"/>
      <c r="BK298" s="191"/>
      <c r="BL298" s="191"/>
      <c r="BM298" s="191"/>
      <c r="BN298" s="191"/>
      <c r="BO298" s="191"/>
      <c r="BP298" s="191"/>
    </row>
    <row r="299" spans="11:68">
      <c r="K299" s="191"/>
      <c r="L299" s="191"/>
      <c r="M299" s="191"/>
      <c r="N299" s="191"/>
      <c r="O299" s="191"/>
      <c r="P299" s="191"/>
      <c r="Q299" s="191"/>
      <c r="R299" s="191"/>
      <c r="S299" s="191"/>
      <c r="T299" s="191"/>
      <c r="U299" s="191"/>
      <c r="V299" s="191"/>
      <c r="W299" s="191"/>
      <c r="X299" s="191"/>
      <c r="Y299" s="191"/>
      <c r="Z299" s="191"/>
      <c r="AA299" s="191"/>
      <c r="AB299" s="191"/>
      <c r="AC299" s="191"/>
      <c r="AD299" s="191"/>
      <c r="AE299" s="191"/>
      <c r="AF299" s="191"/>
      <c r="AG299" s="191"/>
      <c r="AH299" s="191"/>
      <c r="AI299" s="191"/>
      <c r="AJ299" s="191"/>
      <c r="AK299" s="191"/>
      <c r="AL299" s="191"/>
      <c r="AM299" s="191"/>
      <c r="AN299" s="191"/>
      <c r="AO299" s="191"/>
      <c r="AP299" s="191"/>
      <c r="AQ299" s="191"/>
      <c r="AR299" s="191"/>
      <c r="AS299" s="191"/>
      <c r="AT299" s="191"/>
      <c r="AU299" s="191"/>
      <c r="AV299" s="191"/>
      <c r="AW299" s="191"/>
      <c r="AX299" s="191"/>
      <c r="AY299" s="191"/>
      <c r="AZ299" s="191"/>
      <c r="BA299" s="191"/>
      <c r="BB299" s="191"/>
      <c r="BC299" s="191"/>
      <c r="BD299" s="191"/>
      <c r="BE299" s="191"/>
      <c r="BF299" s="191"/>
      <c r="BG299" s="191"/>
      <c r="BH299" s="191"/>
      <c r="BI299" s="191"/>
      <c r="BJ299" s="191"/>
      <c r="BK299" s="191"/>
      <c r="BL299" s="191"/>
      <c r="BM299" s="191"/>
      <c r="BN299" s="191"/>
      <c r="BO299" s="191"/>
      <c r="BP299" s="191"/>
    </row>
    <row r="300" spans="11:68">
      <c r="K300" s="191"/>
      <c r="L300" s="191"/>
      <c r="M300" s="191"/>
      <c r="N300" s="191"/>
      <c r="O300" s="191"/>
      <c r="P300" s="191"/>
      <c r="Q300" s="191"/>
      <c r="R300" s="191"/>
      <c r="S300" s="191"/>
      <c r="T300" s="191"/>
      <c r="U300" s="191"/>
      <c r="V300" s="191"/>
      <c r="W300" s="191"/>
      <c r="X300" s="191"/>
      <c r="Y300" s="191"/>
      <c r="Z300" s="191"/>
      <c r="AA300" s="191"/>
      <c r="AB300" s="191"/>
      <c r="AC300" s="191"/>
      <c r="AD300" s="191"/>
      <c r="AE300" s="191"/>
      <c r="AF300" s="191"/>
      <c r="AG300" s="191"/>
      <c r="AH300" s="191"/>
      <c r="AI300" s="191"/>
      <c r="AJ300" s="191"/>
      <c r="AK300" s="191"/>
      <c r="AL300" s="191"/>
      <c r="AM300" s="191"/>
      <c r="AN300" s="191"/>
      <c r="AO300" s="191"/>
      <c r="AP300" s="191"/>
      <c r="AQ300" s="191"/>
      <c r="AR300" s="191"/>
      <c r="AS300" s="191"/>
      <c r="AT300" s="191"/>
      <c r="AU300" s="191"/>
      <c r="AV300" s="191"/>
      <c r="AW300" s="191"/>
      <c r="AX300" s="191"/>
      <c r="AY300" s="191"/>
      <c r="AZ300" s="191"/>
      <c r="BA300" s="191"/>
      <c r="BB300" s="191"/>
      <c r="BC300" s="191"/>
      <c r="BD300" s="191"/>
      <c r="BE300" s="191"/>
      <c r="BF300" s="191"/>
      <c r="BG300" s="191"/>
      <c r="BH300" s="191"/>
      <c r="BI300" s="191"/>
      <c r="BJ300" s="191"/>
      <c r="BK300" s="191"/>
      <c r="BL300" s="191"/>
      <c r="BM300" s="191"/>
      <c r="BN300" s="191"/>
      <c r="BO300" s="191"/>
      <c r="BP300" s="191"/>
    </row>
    <row r="301" spans="11:68">
      <c r="K301" s="191"/>
      <c r="L301" s="191"/>
      <c r="M301" s="191"/>
      <c r="N301" s="191"/>
      <c r="O301" s="191"/>
      <c r="P301" s="191"/>
      <c r="Q301" s="191"/>
      <c r="R301" s="191"/>
      <c r="S301" s="191"/>
      <c r="T301" s="191"/>
      <c r="U301" s="191"/>
      <c r="V301" s="191"/>
      <c r="W301" s="191"/>
      <c r="X301" s="191"/>
      <c r="Y301" s="191"/>
      <c r="Z301" s="191"/>
      <c r="AA301" s="191"/>
      <c r="AB301" s="191"/>
      <c r="AC301" s="191"/>
      <c r="AD301" s="191"/>
      <c r="AE301" s="191"/>
      <c r="AF301" s="191"/>
      <c r="AG301" s="191"/>
      <c r="AH301" s="191"/>
      <c r="AI301" s="191"/>
      <c r="AJ301" s="191"/>
      <c r="AK301" s="191"/>
      <c r="AL301" s="191"/>
      <c r="AM301" s="191"/>
      <c r="AN301" s="191"/>
      <c r="AO301" s="191"/>
      <c r="AP301" s="191"/>
      <c r="AQ301" s="191"/>
      <c r="AR301" s="191"/>
      <c r="AS301" s="191"/>
      <c r="AT301" s="191"/>
      <c r="AU301" s="191"/>
      <c r="AV301" s="191"/>
      <c r="AW301" s="191"/>
      <c r="AX301" s="191"/>
      <c r="AY301" s="191"/>
      <c r="AZ301" s="191"/>
      <c r="BA301" s="191"/>
      <c r="BB301" s="191"/>
      <c r="BC301" s="191"/>
      <c r="BD301" s="191"/>
      <c r="BE301" s="191"/>
      <c r="BF301" s="191"/>
      <c r="BG301" s="191"/>
      <c r="BH301" s="191"/>
      <c r="BI301" s="191"/>
      <c r="BJ301" s="191"/>
      <c r="BK301" s="191"/>
      <c r="BL301" s="191"/>
      <c r="BM301" s="191"/>
      <c r="BN301" s="191"/>
      <c r="BO301" s="191"/>
      <c r="BP301" s="191"/>
    </row>
    <row r="302" spans="11:68">
      <c r="K302" s="191"/>
      <c r="L302" s="191"/>
      <c r="M302" s="191"/>
      <c r="N302" s="191"/>
      <c r="O302" s="191"/>
      <c r="P302" s="191"/>
      <c r="Q302" s="191"/>
      <c r="R302" s="191"/>
      <c r="S302" s="191"/>
      <c r="T302" s="191"/>
      <c r="U302" s="191"/>
      <c r="V302" s="191"/>
      <c r="W302" s="191"/>
      <c r="X302" s="191"/>
      <c r="Y302" s="191"/>
      <c r="Z302" s="191"/>
      <c r="AA302" s="191"/>
      <c r="AB302" s="191"/>
      <c r="AC302" s="191"/>
      <c r="AD302" s="191"/>
      <c r="AE302" s="191"/>
      <c r="AF302" s="191"/>
      <c r="AG302" s="191"/>
      <c r="AH302" s="191"/>
      <c r="AI302" s="191"/>
      <c r="AJ302" s="191"/>
      <c r="AK302" s="191"/>
      <c r="AL302" s="191"/>
      <c r="AM302" s="191"/>
      <c r="AN302" s="191"/>
      <c r="AO302" s="191"/>
      <c r="AP302" s="191"/>
      <c r="AQ302" s="191"/>
      <c r="AR302" s="191"/>
      <c r="AS302" s="191"/>
      <c r="AT302" s="191"/>
      <c r="AU302" s="191"/>
      <c r="AV302" s="191"/>
      <c r="AW302" s="191"/>
      <c r="AX302" s="191"/>
      <c r="AY302" s="191"/>
      <c r="AZ302" s="191"/>
      <c r="BA302" s="191"/>
      <c r="BB302" s="191"/>
      <c r="BC302" s="191"/>
      <c r="BD302" s="191"/>
      <c r="BE302" s="191"/>
      <c r="BF302" s="191"/>
      <c r="BG302" s="191"/>
      <c r="BH302" s="191"/>
      <c r="BI302" s="191"/>
      <c r="BJ302" s="191"/>
      <c r="BK302" s="191"/>
      <c r="BL302" s="191"/>
      <c r="BM302" s="191"/>
      <c r="BN302" s="191"/>
      <c r="BO302" s="191"/>
      <c r="BP302" s="191"/>
    </row>
    <row r="303" spans="11:68">
      <c r="K303" s="191"/>
      <c r="L303" s="191"/>
      <c r="M303" s="191"/>
      <c r="N303" s="191"/>
      <c r="O303" s="191"/>
      <c r="P303" s="191"/>
      <c r="Q303" s="191"/>
      <c r="R303" s="191"/>
      <c r="S303" s="191"/>
      <c r="T303" s="191"/>
      <c r="U303" s="191"/>
      <c r="V303" s="191"/>
      <c r="W303" s="191"/>
      <c r="X303" s="191"/>
      <c r="Y303" s="191"/>
      <c r="Z303" s="191"/>
      <c r="AA303" s="191"/>
      <c r="AB303" s="191"/>
      <c r="AC303" s="191"/>
      <c r="AD303" s="191"/>
      <c r="AE303" s="191"/>
      <c r="AF303" s="191"/>
      <c r="AG303" s="191"/>
      <c r="AH303" s="191"/>
      <c r="AI303" s="191"/>
      <c r="AJ303" s="191"/>
      <c r="AK303" s="191"/>
      <c r="AL303" s="191"/>
      <c r="AM303" s="191"/>
      <c r="AN303" s="191"/>
      <c r="AO303" s="191"/>
      <c r="AP303" s="191"/>
      <c r="AQ303" s="191"/>
      <c r="AR303" s="191"/>
      <c r="AS303" s="191"/>
      <c r="AT303" s="191"/>
      <c r="AU303" s="191"/>
      <c r="AV303" s="191"/>
      <c r="AW303" s="191"/>
      <c r="AX303" s="191"/>
      <c r="AY303" s="191"/>
      <c r="AZ303" s="191"/>
      <c r="BA303" s="191"/>
      <c r="BB303" s="191"/>
      <c r="BC303" s="191"/>
      <c r="BD303" s="191"/>
      <c r="BE303" s="191"/>
      <c r="BF303" s="191"/>
      <c r="BG303" s="191"/>
      <c r="BH303" s="191"/>
      <c r="BI303" s="191"/>
      <c r="BJ303" s="191"/>
      <c r="BK303" s="191"/>
      <c r="BL303" s="191"/>
      <c r="BM303" s="191"/>
      <c r="BN303" s="191"/>
      <c r="BO303" s="191"/>
      <c r="BP303" s="191"/>
    </row>
    <row r="304" spans="11:68">
      <c r="K304" s="191"/>
      <c r="L304" s="191"/>
      <c r="M304" s="191"/>
      <c r="N304" s="191"/>
      <c r="O304" s="191"/>
      <c r="P304" s="191"/>
      <c r="Q304" s="191"/>
      <c r="R304" s="191"/>
      <c r="S304" s="191"/>
      <c r="T304" s="191"/>
      <c r="U304" s="191"/>
      <c r="V304" s="191"/>
      <c r="W304" s="191"/>
      <c r="X304" s="191"/>
      <c r="Y304" s="191"/>
      <c r="Z304" s="191"/>
      <c r="AA304" s="191"/>
      <c r="AB304" s="191"/>
      <c r="AC304" s="191"/>
      <c r="AD304" s="191"/>
      <c r="AE304" s="191"/>
      <c r="AF304" s="191"/>
      <c r="AG304" s="191"/>
      <c r="AH304" s="191"/>
      <c r="AI304" s="191"/>
      <c r="AJ304" s="191"/>
      <c r="AK304" s="191"/>
      <c r="AL304" s="191"/>
      <c r="AM304" s="191"/>
      <c r="AN304" s="191"/>
      <c r="AO304" s="191"/>
      <c r="AP304" s="191"/>
      <c r="AQ304" s="191"/>
      <c r="AR304" s="191"/>
      <c r="AS304" s="191"/>
      <c r="AT304" s="191"/>
      <c r="AU304" s="191"/>
      <c r="AV304" s="191"/>
      <c r="AW304" s="191"/>
      <c r="AX304" s="191"/>
      <c r="AY304" s="191"/>
      <c r="AZ304" s="191"/>
      <c r="BA304" s="191"/>
      <c r="BB304" s="191"/>
      <c r="BC304" s="191"/>
      <c r="BD304" s="191"/>
      <c r="BE304" s="191"/>
      <c r="BF304" s="191"/>
      <c r="BG304" s="191"/>
      <c r="BH304" s="191"/>
      <c r="BI304" s="191"/>
      <c r="BJ304" s="191"/>
      <c r="BK304" s="191"/>
      <c r="BL304" s="191"/>
      <c r="BM304" s="191"/>
      <c r="BN304" s="191"/>
      <c r="BO304" s="191"/>
      <c r="BP304" s="191"/>
    </row>
    <row r="305" spans="11:68">
      <c r="K305" s="191"/>
      <c r="L305" s="191"/>
      <c r="M305" s="191"/>
      <c r="N305" s="191"/>
      <c r="O305" s="191"/>
      <c r="P305" s="191"/>
      <c r="Q305" s="191"/>
      <c r="R305" s="191"/>
      <c r="S305" s="191"/>
      <c r="T305" s="191"/>
      <c r="U305" s="191"/>
      <c r="V305" s="191"/>
      <c r="W305" s="191"/>
      <c r="X305" s="191"/>
      <c r="Y305" s="191"/>
      <c r="Z305" s="191"/>
      <c r="AA305" s="191"/>
      <c r="AB305" s="191"/>
      <c r="AC305" s="191"/>
      <c r="AD305" s="191"/>
      <c r="AE305" s="191"/>
      <c r="AF305" s="191"/>
      <c r="AG305" s="191"/>
      <c r="AH305" s="191"/>
      <c r="AI305" s="191"/>
      <c r="AJ305" s="191"/>
      <c r="AK305" s="191"/>
      <c r="AL305" s="191"/>
      <c r="AM305" s="191"/>
      <c r="AN305" s="191"/>
      <c r="AO305" s="191"/>
      <c r="AP305" s="191"/>
      <c r="AQ305" s="191"/>
      <c r="AR305" s="191"/>
      <c r="AS305" s="191"/>
      <c r="AT305" s="191"/>
      <c r="AU305" s="191"/>
      <c r="AV305" s="191"/>
      <c r="AW305" s="191"/>
      <c r="AX305" s="191"/>
      <c r="AY305" s="191"/>
      <c r="AZ305" s="191"/>
      <c r="BA305" s="191"/>
      <c r="BB305" s="191"/>
      <c r="BC305" s="191"/>
      <c r="BD305" s="191"/>
      <c r="BE305" s="191"/>
      <c r="BF305" s="191"/>
      <c r="BG305" s="191"/>
      <c r="BH305" s="191"/>
      <c r="BI305" s="191"/>
      <c r="BJ305" s="191"/>
      <c r="BK305" s="191"/>
      <c r="BL305" s="191"/>
      <c r="BM305" s="191"/>
      <c r="BN305" s="191"/>
      <c r="BO305" s="191"/>
      <c r="BP305" s="191"/>
    </row>
    <row r="306" spans="11:68">
      <c r="K306" s="191"/>
      <c r="L306" s="191"/>
      <c r="M306" s="191"/>
      <c r="N306" s="191"/>
      <c r="O306" s="191"/>
      <c r="P306" s="191"/>
      <c r="Q306" s="191"/>
      <c r="R306" s="191"/>
      <c r="S306" s="191"/>
      <c r="T306" s="191"/>
      <c r="U306" s="191"/>
      <c r="V306" s="191"/>
      <c r="W306" s="191"/>
      <c r="X306" s="191"/>
      <c r="Y306" s="191"/>
      <c r="Z306" s="191"/>
      <c r="AA306" s="191"/>
      <c r="AB306" s="191"/>
      <c r="AC306" s="191"/>
      <c r="AD306" s="191"/>
      <c r="AE306" s="191"/>
      <c r="AF306" s="191"/>
      <c r="AG306" s="191"/>
      <c r="AH306" s="191"/>
      <c r="AI306" s="191"/>
      <c r="AJ306" s="191"/>
      <c r="AK306" s="191"/>
      <c r="AL306" s="191"/>
      <c r="AM306" s="191"/>
      <c r="AN306" s="191"/>
      <c r="AO306" s="191"/>
      <c r="AP306" s="191"/>
      <c r="AQ306" s="191"/>
      <c r="AR306" s="191"/>
      <c r="AS306" s="191"/>
      <c r="AT306" s="191"/>
      <c r="AU306" s="191"/>
      <c r="AV306" s="191"/>
      <c r="AW306" s="191"/>
      <c r="AX306" s="191"/>
      <c r="AY306" s="191"/>
      <c r="AZ306" s="191"/>
      <c r="BA306" s="191"/>
      <c r="BB306" s="191"/>
      <c r="BC306" s="191"/>
      <c r="BD306" s="191"/>
      <c r="BE306" s="191"/>
      <c r="BF306" s="191"/>
      <c r="BG306" s="191"/>
      <c r="BH306" s="191"/>
      <c r="BI306" s="191"/>
      <c r="BJ306" s="191"/>
      <c r="BK306" s="191"/>
      <c r="BL306" s="191"/>
      <c r="BM306" s="191"/>
      <c r="BN306" s="191"/>
      <c r="BO306" s="191"/>
      <c r="BP306" s="191"/>
    </row>
    <row r="307" spans="11:68">
      <c r="K307" s="191"/>
      <c r="L307" s="191"/>
      <c r="M307" s="191"/>
      <c r="N307" s="191"/>
      <c r="O307" s="191"/>
      <c r="P307" s="191"/>
      <c r="Q307" s="191"/>
      <c r="R307" s="191"/>
      <c r="S307" s="191"/>
      <c r="T307" s="191"/>
      <c r="U307" s="191"/>
      <c r="V307" s="191"/>
      <c r="W307" s="191"/>
      <c r="X307" s="191"/>
      <c r="Y307" s="191"/>
      <c r="Z307" s="191"/>
      <c r="AA307" s="191"/>
      <c r="AB307" s="191"/>
      <c r="AC307" s="191"/>
      <c r="AD307" s="191"/>
      <c r="AE307" s="191"/>
      <c r="AF307" s="191"/>
      <c r="AG307" s="191"/>
      <c r="AH307" s="191"/>
      <c r="AI307" s="191"/>
      <c r="AJ307" s="191"/>
      <c r="AK307" s="191"/>
      <c r="AL307" s="191"/>
      <c r="AM307" s="191"/>
      <c r="AN307" s="191"/>
      <c r="AO307" s="191"/>
      <c r="AP307" s="191"/>
      <c r="AQ307" s="191"/>
      <c r="AR307" s="191"/>
      <c r="AS307" s="191"/>
      <c r="AT307" s="191"/>
      <c r="AU307" s="191"/>
      <c r="AV307" s="191"/>
      <c r="AW307" s="191"/>
      <c r="AX307" s="191"/>
      <c r="AY307" s="191"/>
      <c r="AZ307" s="191"/>
      <c r="BA307" s="191"/>
      <c r="BB307" s="191"/>
      <c r="BC307" s="191"/>
      <c r="BD307" s="191"/>
      <c r="BE307" s="191"/>
      <c r="BF307" s="191"/>
      <c r="BG307" s="191"/>
      <c r="BH307" s="191"/>
      <c r="BI307" s="191"/>
      <c r="BJ307" s="191"/>
      <c r="BK307" s="191"/>
      <c r="BL307" s="191"/>
      <c r="BM307" s="191"/>
      <c r="BN307" s="191"/>
      <c r="BO307" s="191"/>
      <c r="BP307" s="191"/>
    </row>
    <row r="308" spans="11:68">
      <c r="K308" s="191"/>
      <c r="L308" s="191"/>
      <c r="M308" s="191"/>
      <c r="N308" s="191"/>
      <c r="O308" s="191"/>
      <c r="P308" s="191"/>
      <c r="Q308" s="191"/>
      <c r="R308" s="191"/>
      <c r="S308" s="191"/>
      <c r="T308" s="191"/>
      <c r="U308" s="191"/>
      <c r="V308" s="191"/>
      <c r="W308" s="191"/>
      <c r="X308" s="191"/>
      <c r="Y308" s="191"/>
      <c r="Z308" s="191"/>
      <c r="AA308" s="191"/>
      <c r="AB308" s="191"/>
      <c r="AC308" s="191"/>
      <c r="AD308" s="191"/>
      <c r="AE308" s="191"/>
      <c r="AF308" s="191"/>
      <c r="AG308" s="191"/>
      <c r="AH308" s="191"/>
      <c r="AI308" s="191"/>
      <c r="AJ308" s="191"/>
      <c r="AK308" s="191"/>
      <c r="AL308" s="191"/>
      <c r="AM308" s="191"/>
      <c r="AN308" s="191"/>
      <c r="AO308" s="191"/>
      <c r="AP308" s="191"/>
      <c r="AQ308" s="191"/>
      <c r="AR308" s="191"/>
      <c r="AS308" s="191"/>
      <c r="AT308" s="191"/>
      <c r="AU308" s="191"/>
      <c r="AV308" s="191"/>
      <c r="AW308" s="191"/>
      <c r="AX308" s="191"/>
      <c r="AY308" s="191"/>
      <c r="AZ308" s="191"/>
      <c r="BA308" s="191"/>
      <c r="BB308" s="191"/>
      <c r="BC308" s="191"/>
      <c r="BD308" s="191"/>
      <c r="BE308" s="191"/>
      <c r="BF308" s="191"/>
      <c r="BG308" s="191"/>
      <c r="BH308" s="191"/>
      <c r="BI308" s="191"/>
      <c r="BJ308" s="191"/>
      <c r="BK308" s="191"/>
      <c r="BL308" s="191"/>
      <c r="BM308" s="191"/>
      <c r="BN308" s="191"/>
      <c r="BO308" s="191"/>
      <c r="BP308" s="191"/>
    </row>
    <row r="309" spans="11:68">
      <c r="K309" s="191"/>
      <c r="L309" s="191"/>
      <c r="M309" s="191"/>
      <c r="N309" s="191"/>
      <c r="O309" s="191"/>
      <c r="P309" s="191"/>
      <c r="Q309" s="191"/>
      <c r="R309" s="191"/>
      <c r="S309" s="191"/>
      <c r="T309" s="191"/>
      <c r="U309" s="191"/>
      <c r="V309" s="191"/>
      <c r="W309" s="191"/>
      <c r="X309" s="191"/>
      <c r="Y309" s="191"/>
      <c r="Z309" s="191"/>
      <c r="AA309" s="191"/>
      <c r="AB309" s="191"/>
      <c r="AC309" s="191"/>
      <c r="AD309" s="191"/>
      <c r="AE309" s="191"/>
      <c r="AF309" s="191"/>
      <c r="AG309" s="191"/>
      <c r="AH309" s="191"/>
      <c r="AI309" s="191"/>
      <c r="AJ309" s="191"/>
      <c r="AK309" s="191"/>
      <c r="AL309" s="191"/>
      <c r="AM309" s="191"/>
      <c r="AN309" s="191"/>
      <c r="AO309" s="191"/>
      <c r="AP309" s="191"/>
      <c r="AQ309" s="191"/>
      <c r="AR309" s="191"/>
      <c r="AS309" s="191"/>
      <c r="AT309" s="191"/>
      <c r="AU309" s="191"/>
      <c r="AV309" s="191"/>
      <c r="AW309" s="191"/>
      <c r="AX309" s="191"/>
      <c r="AY309" s="191"/>
      <c r="AZ309" s="191"/>
      <c r="BA309" s="191"/>
      <c r="BB309" s="191"/>
      <c r="BC309" s="191"/>
      <c r="BD309" s="191"/>
      <c r="BE309" s="191"/>
      <c r="BF309" s="191"/>
      <c r="BG309" s="191"/>
      <c r="BH309" s="191"/>
      <c r="BI309" s="191"/>
      <c r="BJ309" s="191"/>
      <c r="BK309" s="191"/>
      <c r="BL309" s="191"/>
      <c r="BM309" s="191"/>
      <c r="BN309" s="191"/>
      <c r="BO309" s="191"/>
      <c r="BP309" s="191"/>
    </row>
    <row r="310" spans="11:68">
      <c r="K310" s="191"/>
      <c r="L310" s="191"/>
      <c r="M310" s="191"/>
      <c r="N310" s="191"/>
      <c r="O310" s="191"/>
      <c r="P310" s="191"/>
      <c r="Q310" s="191"/>
      <c r="R310" s="191"/>
      <c r="S310" s="191"/>
      <c r="T310" s="191"/>
      <c r="U310" s="191"/>
      <c r="V310" s="191"/>
      <c r="W310" s="191"/>
      <c r="X310" s="191"/>
      <c r="Y310" s="191"/>
      <c r="Z310" s="191"/>
      <c r="AA310" s="191"/>
      <c r="AB310" s="191"/>
      <c r="AC310" s="191"/>
      <c r="AD310" s="191"/>
      <c r="AE310" s="191"/>
      <c r="AF310" s="191"/>
      <c r="AG310" s="191"/>
      <c r="AH310" s="191"/>
      <c r="AI310" s="191"/>
      <c r="AJ310" s="191"/>
      <c r="AK310" s="191"/>
      <c r="AL310" s="191"/>
      <c r="AM310" s="191"/>
      <c r="AN310" s="191"/>
      <c r="AO310" s="191"/>
      <c r="AP310" s="191"/>
      <c r="AQ310" s="191"/>
      <c r="AR310" s="191"/>
      <c r="AS310" s="191"/>
      <c r="AT310" s="191"/>
      <c r="AU310" s="191"/>
      <c r="AV310" s="191"/>
      <c r="AW310" s="191"/>
      <c r="AX310" s="191"/>
      <c r="AY310" s="191"/>
      <c r="AZ310" s="191"/>
      <c r="BA310" s="191"/>
      <c r="BB310" s="191"/>
      <c r="BC310" s="191"/>
      <c r="BD310" s="191"/>
      <c r="BE310" s="191"/>
      <c r="BF310" s="191"/>
      <c r="BG310" s="191"/>
      <c r="BH310" s="191"/>
      <c r="BI310" s="191"/>
      <c r="BJ310" s="191"/>
      <c r="BK310" s="191"/>
      <c r="BL310" s="191"/>
      <c r="BM310" s="191"/>
      <c r="BN310" s="191"/>
      <c r="BO310" s="191"/>
      <c r="BP310" s="191"/>
    </row>
    <row r="311" spans="11:68">
      <c r="K311" s="191"/>
      <c r="L311" s="191"/>
      <c r="M311" s="191"/>
      <c r="N311" s="191"/>
      <c r="O311" s="191"/>
      <c r="P311" s="191"/>
      <c r="Q311" s="191"/>
      <c r="R311" s="191"/>
      <c r="S311" s="191"/>
      <c r="T311" s="191"/>
      <c r="U311" s="191"/>
      <c r="V311" s="191"/>
      <c r="W311" s="191"/>
      <c r="X311" s="191"/>
      <c r="Y311" s="191"/>
      <c r="Z311" s="191"/>
      <c r="AA311" s="191"/>
      <c r="AB311" s="191"/>
      <c r="AC311" s="191"/>
      <c r="AD311" s="191"/>
      <c r="AE311" s="191"/>
      <c r="AF311" s="191"/>
      <c r="AG311" s="191"/>
      <c r="AH311" s="191"/>
      <c r="AI311" s="191"/>
      <c r="AJ311" s="191"/>
      <c r="AK311" s="191"/>
      <c r="AL311" s="191"/>
      <c r="AM311" s="191"/>
      <c r="AN311" s="191"/>
      <c r="AO311" s="191"/>
      <c r="AP311" s="191"/>
      <c r="AQ311" s="191"/>
      <c r="AR311" s="191"/>
      <c r="AS311" s="191"/>
      <c r="AT311" s="191"/>
      <c r="AU311" s="191"/>
      <c r="AV311" s="191"/>
      <c r="AW311" s="191"/>
      <c r="AX311" s="191"/>
      <c r="AY311" s="191"/>
      <c r="AZ311" s="191"/>
      <c r="BA311" s="191"/>
      <c r="BB311" s="191"/>
      <c r="BC311" s="191"/>
      <c r="BD311" s="191"/>
      <c r="BE311" s="191"/>
      <c r="BF311" s="191"/>
      <c r="BG311" s="191"/>
      <c r="BH311" s="191"/>
      <c r="BI311" s="191"/>
      <c r="BJ311" s="191"/>
      <c r="BK311" s="191"/>
      <c r="BL311" s="191"/>
      <c r="BM311" s="191"/>
      <c r="BN311" s="191"/>
      <c r="BO311" s="191"/>
      <c r="BP311" s="191"/>
    </row>
    <row r="312" spans="11:68">
      <c r="K312" s="191"/>
      <c r="L312" s="191"/>
      <c r="M312" s="191"/>
      <c r="N312" s="191"/>
      <c r="O312" s="191"/>
      <c r="P312" s="191"/>
      <c r="Q312" s="191"/>
      <c r="R312" s="191"/>
      <c r="S312" s="191"/>
      <c r="T312" s="191"/>
      <c r="U312" s="191"/>
      <c r="V312" s="191"/>
      <c r="W312" s="191"/>
      <c r="X312" s="191"/>
      <c r="Y312" s="191"/>
      <c r="Z312" s="191"/>
      <c r="AA312" s="191"/>
      <c r="AB312" s="191"/>
      <c r="AC312" s="191"/>
      <c r="AD312" s="191"/>
      <c r="AE312" s="191"/>
      <c r="AF312" s="191"/>
      <c r="AG312" s="191"/>
      <c r="AH312" s="191"/>
      <c r="AI312" s="191"/>
      <c r="AJ312" s="191"/>
      <c r="AK312" s="191"/>
      <c r="AL312" s="191"/>
      <c r="AM312" s="191"/>
      <c r="AN312" s="191"/>
      <c r="AO312" s="191"/>
      <c r="AP312" s="191"/>
      <c r="AQ312" s="191"/>
      <c r="AR312" s="191"/>
      <c r="AS312" s="191"/>
      <c r="AT312" s="191"/>
      <c r="AU312" s="191"/>
      <c r="AV312" s="191"/>
      <c r="AW312" s="191"/>
      <c r="AX312" s="191"/>
      <c r="AY312" s="191"/>
      <c r="AZ312" s="191"/>
      <c r="BA312" s="191"/>
      <c r="BB312" s="191"/>
      <c r="BC312" s="191"/>
      <c r="BD312" s="191"/>
      <c r="BE312" s="191"/>
      <c r="BF312" s="191"/>
      <c r="BG312" s="191"/>
      <c r="BH312" s="191"/>
      <c r="BI312" s="191"/>
      <c r="BJ312" s="191"/>
      <c r="BK312" s="191"/>
      <c r="BL312" s="191"/>
      <c r="BM312" s="191"/>
      <c r="BN312" s="191"/>
      <c r="BO312" s="191"/>
      <c r="BP312" s="191"/>
    </row>
    <row r="313" spans="11:68">
      <c r="K313" s="191"/>
      <c r="L313" s="191"/>
      <c r="M313" s="191"/>
      <c r="N313" s="191"/>
      <c r="O313" s="191"/>
      <c r="P313" s="191"/>
      <c r="Q313" s="191"/>
      <c r="R313" s="191"/>
      <c r="S313" s="191"/>
      <c r="T313" s="191"/>
      <c r="U313" s="191"/>
      <c r="V313" s="191"/>
      <c r="W313" s="191"/>
      <c r="X313" s="191"/>
      <c r="Y313" s="191"/>
      <c r="Z313" s="191"/>
      <c r="AA313" s="191"/>
      <c r="AB313" s="191"/>
      <c r="AC313" s="191"/>
      <c r="AD313" s="191"/>
      <c r="AE313" s="191"/>
      <c r="AF313" s="191"/>
      <c r="AG313" s="191"/>
      <c r="AH313" s="191"/>
      <c r="AI313" s="191"/>
      <c r="AJ313" s="191"/>
      <c r="AK313" s="191"/>
      <c r="AL313" s="191"/>
      <c r="AM313" s="191"/>
      <c r="AN313" s="191"/>
      <c r="AO313" s="191"/>
      <c r="AP313" s="191"/>
      <c r="AQ313" s="191"/>
      <c r="AR313" s="191"/>
      <c r="AS313" s="191"/>
      <c r="AT313" s="191"/>
      <c r="AU313" s="191"/>
      <c r="AV313" s="191"/>
      <c r="AW313" s="191"/>
      <c r="AX313" s="191"/>
      <c r="AY313" s="191"/>
      <c r="AZ313" s="191"/>
      <c r="BA313" s="191"/>
      <c r="BB313" s="191"/>
      <c r="BC313" s="191"/>
      <c r="BD313" s="191"/>
      <c r="BE313" s="191"/>
      <c r="BF313" s="191"/>
      <c r="BG313" s="191"/>
      <c r="BH313" s="191"/>
      <c r="BI313" s="191"/>
      <c r="BJ313" s="191"/>
      <c r="BK313" s="191"/>
      <c r="BL313" s="191"/>
      <c r="BM313" s="191"/>
      <c r="BN313" s="191"/>
      <c r="BO313" s="191"/>
      <c r="BP313" s="191"/>
    </row>
    <row r="314" spans="11:68">
      <c r="K314" s="191"/>
      <c r="L314" s="191"/>
      <c r="M314" s="191"/>
      <c r="N314" s="191"/>
      <c r="O314" s="191"/>
      <c r="P314" s="191"/>
      <c r="Q314" s="191"/>
      <c r="R314" s="191"/>
      <c r="S314" s="191"/>
      <c r="T314" s="191"/>
      <c r="U314" s="191"/>
      <c r="V314" s="191"/>
      <c r="W314" s="191"/>
      <c r="X314" s="191"/>
      <c r="Y314" s="191"/>
      <c r="Z314" s="191"/>
      <c r="AA314" s="191"/>
      <c r="AB314" s="191"/>
      <c r="AC314" s="191"/>
      <c r="AD314" s="191"/>
      <c r="AE314" s="191"/>
      <c r="AF314" s="191"/>
      <c r="AG314" s="191"/>
      <c r="AH314" s="191"/>
      <c r="AI314" s="191"/>
      <c r="AJ314" s="191"/>
      <c r="AK314" s="191"/>
      <c r="AL314" s="191"/>
      <c r="AM314" s="191"/>
      <c r="AN314" s="191"/>
      <c r="AO314" s="191"/>
      <c r="AP314" s="191"/>
      <c r="AQ314" s="191"/>
      <c r="AR314" s="191"/>
      <c r="AS314" s="191"/>
      <c r="AT314" s="191"/>
      <c r="AU314" s="191"/>
      <c r="AV314" s="191"/>
      <c r="AW314" s="191"/>
      <c r="AX314" s="191"/>
      <c r="AY314" s="191"/>
      <c r="AZ314" s="191"/>
      <c r="BA314" s="191"/>
      <c r="BB314" s="191"/>
      <c r="BC314" s="191"/>
      <c r="BD314" s="191"/>
      <c r="BE314" s="191"/>
      <c r="BF314" s="191"/>
      <c r="BG314" s="191"/>
      <c r="BH314" s="191"/>
      <c r="BI314" s="191"/>
      <c r="BJ314" s="191"/>
      <c r="BK314" s="191"/>
      <c r="BL314" s="191"/>
      <c r="BM314" s="191"/>
      <c r="BN314" s="191"/>
      <c r="BO314" s="191"/>
      <c r="BP314" s="191"/>
    </row>
    <row r="315" spans="11:68">
      <c r="K315" s="191"/>
      <c r="L315" s="191"/>
      <c r="M315" s="191"/>
      <c r="N315" s="191"/>
      <c r="O315" s="191"/>
      <c r="P315" s="191"/>
      <c r="Q315" s="191"/>
      <c r="R315" s="191"/>
      <c r="S315" s="191"/>
      <c r="T315" s="191"/>
      <c r="U315" s="191"/>
      <c r="V315" s="191"/>
      <c r="W315" s="191"/>
      <c r="X315" s="191"/>
      <c r="Y315" s="191"/>
      <c r="Z315" s="191"/>
      <c r="AA315" s="191"/>
      <c r="AB315" s="191"/>
      <c r="AC315" s="191"/>
      <c r="AD315" s="191"/>
      <c r="AE315" s="191"/>
      <c r="AF315" s="191"/>
      <c r="AG315" s="191"/>
      <c r="AH315" s="191"/>
      <c r="AI315" s="191"/>
      <c r="AJ315" s="191"/>
      <c r="AK315" s="191"/>
      <c r="AL315" s="191"/>
      <c r="AM315" s="191"/>
      <c r="AN315" s="191"/>
      <c r="AO315" s="191"/>
      <c r="AP315" s="191"/>
      <c r="AQ315" s="191"/>
      <c r="AR315" s="191"/>
      <c r="AS315" s="191"/>
      <c r="AT315" s="191"/>
      <c r="AU315" s="191"/>
      <c r="AV315" s="191"/>
      <c r="AW315" s="191"/>
      <c r="AX315" s="191"/>
      <c r="AY315" s="191"/>
      <c r="AZ315" s="191"/>
      <c r="BA315" s="191"/>
      <c r="BB315" s="191"/>
      <c r="BC315" s="191"/>
      <c r="BD315" s="191"/>
      <c r="BE315" s="191"/>
      <c r="BF315" s="191"/>
      <c r="BG315" s="191"/>
      <c r="BH315" s="191"/>
      <c r="BI315" s="191"/>
      <c r="BJ315" s="191"/>
      <c r="BK315" s="191"/>
      <c r="BL315" s="191"/>
      <c r="BM315" s="191"/>
      <c r="BN315" s="191"/>
      <c r="BO315" s="191"/>
      <c r="BP315" s="191"/>
    </row>
    <row r="316" spans="11:68">
      <c r="K316" s="191"/>
      <c r="L316" s="191"/>
      <c r="M316" s="191"/>
      <c r="N316" s="191"/>
      <c r="O316" s="191"/>
      <c r="P316" s="191"/>
      <c r="Q316" s="191"/>
      <c r="R316" s="191"/>
      <c r="S316" s="191"/>
      <c r="T316" s="191"/>
      <c r="U316" s="191"/>
      <c r="V316" s="191"/>
      <c r="W316" s="191"/>
      <c r="X316" s="191"/>
      <c r="Y316" s="191"/>
      <c r="Z316" s="191"/>
      <c r="AA316" s="191"/>
      <c r="AB316" s="191"/>
      <c r="AC316" s="191"/>
      <c r="AD316" s="191"/>
      <c r="AE316" s="191"/>
      <c r="AF316" s="191"/>
      <c r="AG316" s="191"/>
      <c r="AH316" s="191"/>
      <c r="AI316" s="191"/>
      <c r="AJ316" s="191"/>
      <c r="AK316" s="191"/>
      <c r="AL316" s="191"/>
      <c r="AM316" s="191"/>
      <c r="AN316" s="191"/>
      <c r="AO316" s="191"/>
      <c r="AP316" s="191"/>
      <c r="AQ316" s="191"/>
      <c r="AR316" s="191"/>
      <c r="AS316" s="191"/>
      <c r="AT316" s="191"/>
      <c r="AU316" s="191"/>
      <c r="AV316" s="191"/>
      <c r="AW316" s="191"/>
      <c r="AX316" s="191"/>
      <c r="AY316" s="191"/>
      <c r="AZ316" s="191"/>
      <c r="BA316" s="191"/>
      <c r="BB316" s="191"/>
      <c r="BC316" s="191"/>
      <c r="BD316" s="191"/>
      <c r="BE316" s="191"/>
      <c r="BF316" s="191"/>
      <c r="BG316" s="191"/>
      <c r="BH316" s="191"/>
      <c r="BI316" s="191"/>
      <c r="BJ316" s="191"/>
      <c r="BK316" s="191"/>
      <c r="BL316" s="191"/>
      <c r="BM316" s="191"/>
      <c r="BN316" s="191"/>
      <c r="BO316" s="191"/>
      <c r="BP316" s="191"/>
    </row>
    <row r="317" spans="11:68">
      <c r="K317" s="191"/>
      <c r="L317" s="191"/>
      <c r="M317" s="191"/>
      <c r="N317" s="191"/>
      <c r="O317" s="191"/>
      <c r="P317" s="191"/>
      <c r="Q317" s="191"/>
      <c r="R317" s="191"/>
      <c r="S317" s="191"/>
      <c r="T317" s="191"/>
      <c r="U317" s="191"/>
      <c r="V317" s="191"/>
      <c r="W317" s="191"/>
      <c r="X317" s="191"/>
      <c r="Y317" s="191"/>
      <c r="Z317" s="191"/>
      <c r="AA317" s="191"/>
      <c r="AB317" s="191"/>
      <c r="AC317" s="191"/>
      <c r="AD317" s="191"/>
      <c r="AE317" s="191"/>
      <c r="AF317" s="191"/>
      <c r="AG317" s="191"/>
      <c r="AH317" s="191"/>
      <c r="AI317" s="191"/>
      <c r="AJ317" s="191"/>
      <c r="AK317" s="191"/>
      <c r="AL317" s="191"/>
      <c r="AM317" s="191"/>
      <c r="AN317" s="191"/>
      <c r="AO317" s="191"/>
      <c r="AP317" s="191"/>
      <c r="AQ317" s="191"/>
      <c r="AR317" s="191"/>
      <c r="AS317" s="191"/>
      <c r="AT317" s="191"/>
      <c r="AU317" s="191"/>
      <c r="AV317" s="191"/>
      <c r="AW317" s="191"/>
      <c r="AX317" s="191"/>
      <c r="AY317" s="191"/>
      <c r="AZ317" s="191"/>
      <c r="BA317" s="191"/>
      <c r="BB317" s="191"/>
      <c r="BC317" s="191"/>
      <c r="BD317" s="191"/>
      <c r="BE317" s="191"/>
      <c r="BF317" s="191"/>
      <c r="BG317" s="191"/>
      <c r="BH317" s="191"/>
      <c r="BI317" s="191"/>
      <c r="BJ317" s="191"/>
      <c r="BK317" s="191"/>
      <c r="BL317" s="191"/>
      <c r="BM317" s="191"/>
      <c r="BN317" s="191"/>
      <c r="BO317" s="191"/>
      <c r="BP317" s="191"/>
    </row>
    <row r="318" spans="11:68">
      <c r="K318" s="191"/>
      <c r="L318" s="191"/>
      <c r="M318" s="191"/>
      <c r="N318" s="191"/>
      <c r="O318" s="191"/>
      <c r="P318" s="191"/>
      <c r="Q318" s="191"/>
      <c r="R318" s="191"/>
      <c r="S318" s="191"/>
      <c r="T318" s="191"/>
      <c r="U318" s="191"/>
      <c r="V318" s="191"/>
      <c r="W318" s="191"/>
      <c r="X318" s="191"/>
      <c r="Y318" s="191"/>
      <c r="Z318" s="191"/>
      <c r="AA318" s="191"/>
      <c r="AB318" s="191"/>
      <c r="AC318" s="191"/>
      <c r="AD318" s="191"/>
      <c r="AE318" s="191"/>
      <c r="AF318" s="191"/>
      <c r="AG318" s="191"/>
      <c r="AH318" s="191"/>
      <c r="AI318" s="191"/>
      <c r="AJ318" s="191"/>
      <c r="AK318" s="191"/>
      <c r="AL318" s="191"/>
      <c r="AM318" s="191"/>
      <c r="AN318" s="191"/>
      <c r="AO318" s="191"/>
      <c r="AP318" s="191"/>
      <c r="AQ318" s="191"/>
      <c r="AR318" s="191"/>
      <c r="AS318" s="191"/>
      <c r="AT318" s="191"/>
      <c r="AU318" s="191"/>
      <c r="AV318" s="191"/>
      <c r="AW318" s="191"/>
      <c r="AX318" s="191"/>
      <c r="AY318" s="191"/>
      <c r="AZ318" s="191"/>
      <c r="BA318" s="191"/>
      <c r="BB318" s="191"/>
      <c r="BC318" s="191"/>
      <c r="BD318" s="191"/>
      <c r="BE318" s="191"/>
      <c r="BF318" s="191"/>
      <c r="BG318" s="191"/>
      <c r="BH318" s="191"/>
      <c r="BI318" s="191"/>
      <c r="BJ318" s="191"/>
      <c r="BK318" s="191"/>
      <c r="BL318" s="191"/>
      <c r="BM318" s="191"/>
      <c r="BN318" s="191"/>
      <c r="BO318" s="191"/>
      <c r="BP318" s="191"/>
    </row>
    <row r="319" spans="11:68">
      <c r="K319" s="191"/>
      <c r="L319" s="191"/>
      <c r="M319" s="191"/>
      <c r="N319" s="191"/>
      <c r="O319" s="191"/>
      <c r="P319" s="191"/>
      <c r="Q319" s="191"/>
      <c r="R319" s="191"/>
      <c r="S319" s="191"/>
      <c r="T319" s="191"/>
      <c r="U319" s="191"/>
      <c r="V319" s="191"/>
      <c r="W319" s="191"/>
      <c r="X319" s="191"/>
      <c r="Y319" s="191"/>
      <c r="Z319" s="191"/>
      <c r="AA319" s="191"/>
      <c r="AB319" s="191"/>
      <c r="AC319" s="191"/>
      <c r="AD319" s="191"/>
      <c r="AE319" s="191"/>
      <c r="AF319" s="191"/>
      <c r="AG319" s="191"/>
      <c r="AH319" s="191"/>
      <c r="AI319" s="191"/>
      <c r="AJ319" s="191"/>
      <c r="AK319" s="191"/>
      <c r="AL319" s="191"/>
      <c r="AM319" s="191"/>
      <c r="AN319" s="191"/>
      <c r="AO319" s="191"/>
      <c r="AP319" s="191"/>
      <c r="AQ319" s="191"/>
      <c r="AR319" s="191"/>
      <c r="AS319" s="191"/>
      <c r="AT319" s="191"/>
      <c r="AU319" s="191"/>
      <c r="AV319" s="191"/>
      <c r="AW319" s="191"/>
      <c r="AX319" s="191"/>
      <c r="AY319" s="191"/>
      <c r="AZ319" s="191"/>
      <c r="BA319" s="191"/>
      <c r="BB319" s="191"/>
      <c r="BC319" s="191"/>
      <c r="BD319" s="191"/>
      <c r="BE319" s="191"/>
      <c r="BF319" s="191"/>
      <c r="BG319" s="191"/>
      <c r="BH319" s="191"/>
      <c r="BI319" s="191"/>
      <c r="BJ319" s="191"/>
      <c r="BK319" s="191"/>
      <c r="BL319" s="191"/>
      <c r="BM319" s="191"/>
      <c r="BN319" s="191"/>
      <c r="BO319" s="191"/>
      <c r="BP319" s="191"/>
    </row>
    <row r="320" spans="11:68">
      <c r="K320" s="191"/>
      <c r="L320" s="191"/>
      <c r="M320" s="191"/>
      <c r="N320" s="191"/>
      <c r="O320" s="191"/>
      <c r="P320" s="191"/>
      <c r="Q320" s="191"/>
      <c r="R320" s="191"/>
      <c r="S320" s="191"/>
      <c r="T320" s="191"/>
      <c r="U320" s="191"/>
      <c r="V320" s="191"/>
      <c r="W320" s="191"/>
      <c r="X320" s="191"/>
      <c r="Y320" s="191"/>
      <c r="Z320" s="191"/>
      <c r="AA320" s="191"/>
      <c r="AB320" s="191"/>
      <c r="AC320" s="191"/>
      <c r="AD320" s="191"/>
      <c r="AE320" s="191"/>
      <c r="AF320" s="191"/>
      <c r="AG320" s="191"/>
      <c r="AH320" s="191"/>
      <c r="AI320" s="191"/>
      <c r="AJ320" s="191"/>
      <c r="AK320" s="191"/>
      <c r="AL320" s="191"/>
      <c r="AM320" s="191"/>
      <c r="AN320" s="191"/>
      <c r="AO320" s="191"/>
      <c r="AP320" s="191"/>
      <c r="AQ320" s="191"/>
      <c r="AR320" s="191"/>
      <c r="AS320" s="191"/>
      <c r="AT320" s="191"/>
      <c r="AU320" s="191"/>
      <c r="AV320" s="191"/>
      <c r="AW320" s="191"/>
      <c r="AX320" s="191"/>
      <c r="AY320" s="191"/>
      <c r="AZ320" s="191"/>
      <c r="BA320" s="191"/>
      <c r="BB320" s="191"/>
      <c r="BC320" s="191"/>
      <c r="BD320" s="191"/>
      <c r="BE320" s="191"/>
      <c r="BF320" s="191"/>
      <c r="BG320" s="191"/>
      <c r="BH320" s="191"/>
      <c r="BI320" s="191"/>
      <c r="BJ320" s="191"/>
      <c r="BK320" s="191"/>
      <c r="BL320" s="191"/>
      <c r="BM320" s="191"/>
      <c r="BN320" s="191"/>
      <c r="BO320" s="191"/>
      <c r="BP320" s="191"/>
    </row>
    <row r="321" spans="11:68">
      <c r="K321" s="191"/>
      <c r="L321" s="191"/>
      <c r="M321" s="191"/>
      <c r="N321" s="191"/>
      <c r="O321" s="191"/>
      <c r="P321" s="191"/>
      <c r="Q321" s="191"/>
      <c r="R321" s="191"/>
      <c r="S321" s="191"/>
      <c r="T321" s="191"/>
      <c r="U321" s="191"/>
      <c r="V321" s="191"/>
      <c r="W321" s="191"/>
      <c r="X321" s="191"/>
      <c r="Y321" s="191"/>
      <c r="Z321" s="191"/>
      <c r="AA321" s="191"/>
      <c r="AB321" s="191"/>
      <c r="AC321" s="191"/>
      <c r="AD321" s="191"/>
      <c r="AE321" s="191"/>
      <c r="AF321" s="191"/>
      <c r="AG321" s="191"/>
      <c r="AH321" s="191"/>
      <c r="AI321" s="191"/>
      <c r="AJ321" s="191"/>
      <c r="AK321" s="191"/>
      <c r="AL321" s="191"/>
      <c r="AM321" s="191"/>
      <c r="AN321" s="191"/>
      <c r="AO321" s="191"/>
      <c r="AP321" s="191"/>
      <c r="AQ321" s="191"/>
      <c r="AR321" s="191"/>
      <c r="AS321" s="191"/>
      <c r="AT321" s="191"/>
      <c r="AU321" s="191"/>
      <c r="AV321" s="191"/>
      <c r="AW321" s="191"/>
      <c r="AX321" s="191"/>
      <c r="AY321" s="191"/>
      <c r="AZ321" s="191"/>
      <c r="BA321" s="191"/>
      <c r="BB321" s="191"/>
      <c r="BC321" s="191"/>
      <c r="BD321" s="191"/>
      <c r="BE321" s="191"/>
      <c r="BF321" s="191"/>
      <c r="BG321" s="191"/>
      <c r="BH321" s="191"/>
      <c r="BI321" s="191"/>
      <c r="BJ321" s="191"/>
      <c r="BK321" s="191"/>
      <c r="BL321" s="191"/>
      <c r="BM321" s="191"/>
      <c r="BN321" s="191"/>
      <c r="BO321" s="191"/>
      <c r="BP321" s="191"/>
    </row>
    <row r="322" spans="11:68">
      <c r="K322" s="191"/>
      <c r="L322" s="191"/>
      <c r="M322" s="191"/>
      <c r="N322" s="191"/>
      <c r="O322" s="191"/>
      <c r="P322" s="191"/>
      <c r="Q322" s="191"/>
      <c r="R322" s="191"/>
      <c r="S322" s="191"/>
      <c r="T322" s="191"/>
      <c r="U322" s="191"/>
      <c r="V322" s="191"/>
      <c r="W322" s="191"/>
      <c r="X322" s="191"/>
      <c r="Y322" s="191"/>
      <c r="Z322" s="191"/>
      <c r="AA322" s="191"/>
      <c r="AB322" s="191"/>
      <c r="AC322" s="191"/>
      <c r="AD322" s="191"/>
      <c r="AE322" s="191"/>
      <c r="AF322" s="191"/>
      <c r="AG322" s="191"/>
      <c r="AH322" s="191"/>
      <c r="AI322" s="191"/>
      <c r="AJ322" s="191"/>
      <c r="AK322" s="191"/>
      <c r="AL322" s="191"/>
      <c r="AM322" s="191"/>
      <c r="AN322" s="191"/>
      <c r="AO322" s="191"/>
      <c r="AP322" s="191"/>
      <c r="AQ322" s="191"/>
      <c r="AR322" s="191"/>
      <c r="AS322" s="191"/>
      <c r="AT322" s="191"/>
      <c r="AU322" s="191"/>
      <c r="AV322" s="191"/>
      <c r="AW322" s="191"/>
      <c r="AX322" s="191"/>
      <c r="AY322" s="191"/>
      <c r="AZ322" s="191"/>
      <c r="BA322" s="191"/>
      <c r="BB322" s="191"/>
      <c r="BC322" s="191"/>
      <c r="BD322" s="191"/>
      <c r="BE322" s="191"/>
      <c r="BF322" s="191"/>
      <c r="BG322" s="191"/>
      <c r="BH322" s="191"/>
      <c r="BI322" s="191"/>
      <c r="BJ322" s="191"/>
      <c r="BK322" s="191"/>
      <c r="BL322" s="191"/>
      <c r="BM322" s="191"/>
      <c r="BN322" s="191"/>
      <c r="BO322" s="191"/>
      <c r="BP322" s="191"/>
    </row>
    <row r="323" spans="11:68">
      <c r="K323" s="191"/>
      <c r="L323" s="191"/>
      <c r="M323" s="191"/>
      <c r="N323" s="191"/>
      <c r="O323" s="191"/>
      <c r="P323" s="191"/>
      <c r="Q323" s="191"/>
      <c r="R323" s="191"/>
      <c r="S323" s="191"/>
      <c r="T323" s="191"/>
      <c r="U323" s="191"/>
      <c r="V323" s="191"/>
      <c r="W323" s="191"/>
      <c r="X323" s="191"/>
      <c r="Y323" s="191"/>
      <c r="Z323" s="191"/>
      <c r="AA323" s="191"/>
      <c r="AB323" s="191"/>
      <c r="AC323" s="191"/>
      <c r="AD323" s="191"/>
      <c r="AE323" s="191"/>
      <c r="AF323" s="191"/>
      <c r="AG323" s="191"/>
      <c r="AH323" s="191"/>
      <c r="AI323" s="191"/>
      <c r="AJ323" s="191"/>
      <c r="AK323" s="191"/>
      <c r="AL323" s="191"/>
      <c r="AM323" s="191"/>
      <c r="AN323" s="191"/>
      <c r="AO323" s="191"/>
      <c r="AP323" s="191"/>
      <c r="AQ323" s="191"/>
      <c r="AR323" s="191"/>
      <c r="AS323" s="191"/>
      <c r="AT323" s="191"/>
      <c r="AU323" s="191"/>
      <c r="AV323" s="191"/>
      <c r="AW323" s="191"/>
      <c r="AX323" s="191"/>
      <c r="AY323" s="191"/>
      <c r="AZ323" s="191"/>
      <c r="BA323" s="191"/>
      <c r="BB323" s="191"/>
      <c r="BC323" s="191"/>
      <c r="BD323" s="191"/>
      <c r="BE323" s="191"/>
      <c r="BF323" s="191"/>
      <c r="BG323" s="191"/>
      <c r="BH323" s="191"/>
      <c r="BI323" s="191"/>
      <c r="BJ323" s="191"/>
      <c r="BK323" s="191"/>
      <c r="BL323" s="191"/>
      <c r="BM323" s="191"/>
      <c r="BN323" s="191"/>
      <c r="BO323" s="191"/>
      <c r="BP323" s="191"/>
    </row>
    <row r="324" spans="11:68">
      <c r="K324" s="191"/>
      <c r="L324" s="191"/>
      <c r="M324" s="191"/>
      <c r="N324" s="191"/>
      <c r="O324" s="191"/>
      <c r="P324" s="191"/>
      <c r="Q324" s="191"/>
      <c r="R324" s="191"/>
      <c r="S324" s="191"/>
      <c r="T324" s="191"/>
      <c r="U324" s="191"/>
      <c r="V324" s="191"/>
      <c r="W324" s="191"/>
      <c r="X324" s="191"/>
      <c r="Y324" s="191"/>
      <c r="Z324" s="191"/>
      <c r="AA324" s="191"/>
      <c r="AB324" s="191"/>
      <c r="AC324" s="191"/>
      <c r="AD324" s="191"/>
      <c r="AE324" s="191"/>
      <c r="AF324" s="191"/>
      <c r="AG324" s="191"/>
      <c r="AH324" s="191"/>
      <c r="AI324" s="191"/>
      <c r="AJ324" s="191"/>
      <c r="AK324" s="191"/>
      <c r="AL324" s="191"/>
      <c r="AM324" s="191"/>
      <c r="AN324" s="191"/>
      <c r="AO324" s="191"/>
      <c r="AP324" s="191"/>
      <c r="AQ324" s="191"/>
      <c r="AR324" s="191"/>
      <c r="AS324" s="191"/>
      <c r="AT324" s="191"/>
      <c r="AU324" s="191"/>
      <c r="AV324" s="191"/>
      <c r="AW324" s="191"/>
      <c r="AX324" s="191"/>
      <c r="AY324" s="191"/>
      <c r="AZ324" s="191"/>
      <c r="BA324" s="191"/>
      <c r="BB324" s="191"/>
      <c r="BC324" s="191"/>
      <c r="BD324" s="191"/>
      <c r="BE324" s="191"/>
      <c r="BF324" s="191"/>
      <c r="BG324" s="191"/>
      <c r="BH324" s="191"/>
      <c r="BI324" s="191"/>
      <c r="BJ324" s="191"/>
      <c r="BK324" s="191"/>
      <c r="BL324" s="191"/>
      <c r="BM324" s="191"/>
      <c r="BN324" s="191"/>
      <c r="BO324" s="191"/>
      <c r="BP324" s="191"/>
    </row>
    <row r="325" spans="11:68">
      <c r="K325" s="191"/>
      <c r="L325" s="191"/>
      <c r="M325" s="191"/>
      <c r="N325" s="191"/>
      <c r="O325" s="191"/>
      <c r="P325" s="191"/>
      <c r="Q325" s="191"/>
      <c r="R325" s="191"/>
      <c r="S325" s="191"/>
      <c r="T325" s="191"/>
      <c r="U325" s="191"/>
      <c r="V325" s="191"/>
      <c r="W325" s="191"/>
      <c r="X325" s="191"/>
      <c r="Y325" s="191"/>
      <c r="Z325" s="191"/>
      <c r="AA325" s="191"/>
      <c r="AB325" s="191"/>
      <c r="AC325" s="191"/>
      <c r="AD325" s="191"/>
      <c r="AE325" s="191"/>
      <c r="AF325" s="191"/>
      <c r="AG325" s="191"/>
      <c r="AH325" s="191"/>
      <c r="AI325" s="191"/>
      <c r="AJ325" s="191"/>
      <c r="AK325" s="191"/>
      <c r="AL325" s="191"/>
      <c r="AM325" s="191"/>
      <c r="AN325" s="191"/>
      <c r="AO325" s="191"/>
      <c r="AP325" s="191"/>
      <c r="AQ325" s="191"/>
      <c r="AR325" s="191"/>
      <c r="AS325" s="191"/>
      <c r="AT325" s="191"/>
      <c r="AU325" s="191"/>
      <c r="AV325" s="191"/>
      <c r="AW325" s="191"/>
      <c r="AX325" s="191"/>
      <c r="AY325" s="191"/>
      <c r="AZ325" s="191"/>
      <c r="BA325" s="191"/>
      <c r="BB325" s="191"/>
      <c r="BC325" s="191"/>
      <c r="BD325" s="191"/>
      <c r="BE325" s="191"/>
      <c r="BF325" s="191"/>
      <c r="BG325" s="191"/>
      <c r="BH325" s="191"/>
      <c r="BI325" s="191"/>
      <c r="BJ325" s="191"/>
      <c r="BK325" s="191"/>
      <c r="BL325" s="191"/>
      <c r="BM325" s="191"/>
      <c r="BN325" s="191"/>
      <c r="BO325" s="191"/>
      <c r="BP325" s="191"/>
    </row>
    <row r="326" spans="11:68">
      <c r="K326" s="191"/>
      <c r="L326" s="191"/>
      <c r="M326" s="191"/>
      <c r="N326" s="191"/>
      <c r="O326" s="191"/>
      <c r="P326" s="191"/>
      <c r="Q326" s="191"/>
      <c r="R326" s="191"/>
      <c r="S326" s="191"/>
      <c r="T326" s="191"/>
      <c r="U326" s="191"/>
      <c r="V326" s="191"/>
      <c r="W326" s="191"/>
      <c r="X326" s="191"/>
      <c r="Y326" s="191"/>
      <c r="Z326" s="191"/>
      <c r="AA326" s="191"/>
      <c r="AB326" s="191"/>
      <c r="AC326" s="191"/>
      <c r="AD326" s="191"/>
      <c r="AE326" s="191"/>
      <c r="AF326" s="191"/>
      <c r="AG326" s="191"/>
      <c r="AH326" s="191"/>
      <c r="AI326" s="191"/>
      <c r="AJ326" s="191"/>
      <c r="AK326" s="191"/>
      <c r="AL326" s="191"/>
      <c r="AM326" s="191"/>
      <c r="AN326" s="191"/>
      <c r="AO326" s="191"/>
      <c r="AP326" s="191"/>
      <c r="AQ326" s="191"/>
      <c r="AR326" s="191"/>
      <c r="AS326" s="191"/>
      <c r="AT326" s="191"/>
      <c r="AU326" s="191"/>
      <c r="AV326" s="191"/>
      <c r="AW326" s="191"/>
      <c r="AX326" s="191"/>
      <c r="AY326" s="191"/>
      <c r="AZ326" s="191"/>
      <c r="BA326" s="191"/>
      <c r="BB326" s="191"/>
      <c r="BC326" s="191"/>
      <c r="BD326" s="191"/>
      <c r="BE326" s="191"/>
      <c r="BF326" s="191"/>
      <c r="BG326" s="191"/>
      <c r="BH326" s="191"/>
      <c r="BI326" s="191"/>
      <c r="BJ326" s="191"/>
      <c r="BK326" s="191"/>
      <c r="BL326" s="191"/>
      <c r="BM326" s="191"/>
      <c r="BN326" s="191"/>
      <c r="BO326" s="191"/>
      <c r="BP326" s="191"/>
    </row>
    <row r="327" spans="11:68">
      <c r="K327" s="191"/>
      <c r="L327" s="191"/>
      <c r="M327" s="191"/>
      <c r="N327" s="191"/>
      <c r="O327" s="191"/>
      <c r="P327" s="191"/>
      <c r="Q327" s="191"/>
      <c r="R327" s="191"/>
      <c r="S327" s="191"/>
      <c r="T327" s="191"/>
      <c r="U327" s="191"/>
      <c r="V327" s="191"/>
      <c r="W327" s="191"/>
      <c r="X327" s="191"/>
      <c r="Y327" s="191"/>
      <c r="Z327" s="191"/>
      <c r="AA327" s="191"/>
      <c r="AB327" s="191"/>
      <c r="AC327" s="191"/>
      <c r="AD327" s="191"/>
      <c r="AE327" s="191"/>
      <c r="AF327" s="191"/>
      <c r="AG327" s="191"/>
      <c r="AH327" s="191"/>
      <c r="AI327" s="191"/>
      <c r="AJ327" s="191"/>
      <c r="AK327" s="191"/>
      <c r="AL327" s="191"/>
      <c r="AM327" s="191"/>
      <c r="AN327" s="191"/>
      <c r="AO327" s="191"/>
      <c r="AP327" s="191"/>
      <c r="AQ327" s="191"/>
      <c r="AR327" s="191"/>
      <c r="AS327" s="191"/>
      <c r="AT327" s="191"/>
      <c r="AU327" s="191"/>
      <c r="AV327" s="191"/>
      <c r="AW327" s="191"/>
      <c r="AX327" s="191"/>
      <c r="AY327" s="191"/>
      <c r="AZ327" s="191"/>
      <c r="BA327" s="191"/>
      <c r="BB327" s="191"/>
      <c r="BC327" s="191"/>
      <c r="BD327" s="191"/>
      <c r="BE327" s="191"/>
      <c r="BF327" s="191"/>
      <c r="BG327" s="191"/>
      <c r="BH327" s="191"/>
      <c r="BI327" s="191"/>
      <c r="BJ327" s="191"/>
      <c r="BK327" s="191"/>
      <c r="BL327" s="191"/>
      <c r="BM327" s="191"/>
      <c r="BN327" s="191"/>
      <c r="BO327" s="191"/>
      <c r="BP327" s="191"/>
    </row>
    <row r="328" spans="11:68">
      <c r="K328" s="191"/>
      <c r="L328" s="191"/>
      <c r="M328" s="191"/>
      <c r="N328" s="191"/>
      <c r="O328" s="191"/>
      <c r="P328" s="191"/>
      <c r="Q328" s="191"/>
      <c r="R328" s="191"/>
      <c r="S328" s="191"/>
      <c r="T328" s="191"/>
      <c r="U328" s="191"/>
      <c r="V328" s="191"/>
      <c r="W328" s="191"/>
      <c r="X328" s="191"/>
      <c r="Y328" s="191"/>
      <c r="Z328" s="191"/>
      <c r="AA328" s="191"/>
      <c r="AB328" s="191"/>
      <c r="AC328" s="191"/>
      <c r="AD328" s="191"/>
      <c r="AE328" s="191"/>
      <c r="AF328" s="191"/>
      <c r="AG328" s="191"/>
      <c r="AH328" s="191"/>
      <c r="AI328" s="191"/>
      <c r="AJ328" s="191"/>
      <c r="AK328" s="191"/>
      <c r="AL328" s="191"/>
      <c r="AM328" s="191"/>
      <c r="AN328" s="191"/>
      <c r="AO328" s="191"/>
      <c r="AP328" s="191"/>
      <c r="AQ328" s="191"/>
      <c r="AR328" s="191"/>
      <c r="AS328" s="191"/>
      <c r="AT328" s="191"/>
      <c r="AU328" s="191"/>
      <c r="AV328" s="191"/>
      <c r="AW328" s="191"/>
      <c r="AX328" s="191"/>
      <c r="AY328" s="191"/>
      <c r="AZ328" s="191"/>
      <c r="BA328" s="191"/>
      <c r="BB328" s="191"/>
      <c r="BC328" s="191"/>
      <c r="BD328" s="191"/>
      <c r="BE328" s="191"/>
      <c r="BF328" s="191"/>
      <c r="BG328" s="191"/>
      <c r="BH328" s="191"/>
      <c r="BI328" s="191"/>
      <c r="BJ328" s="191"/>
      <c r="BK328" s="191"/>
      <c r="BL328" s="191"/>
      <c r="BM328" s="191"/>
      <c r="BN328" s="191"/>
      <c r="BO328" s="191"/>
      <c r="BP328" s="191"/>
    </row>
    <row r="329" spans="11:68">
      <c r="K329" s="191"/>
      <c r="L329" s="191"/>
      <c r="M329" s="191"/>
      <c r="N329" s="191"/>
      <c r="O329" s="191"/>
      <c r="P329" s="191"/>
      <c r="Q329" s="191"/>
      <c r="R329" s="191"/>
      <c r="S329" s="191"/>
      <c r="T329" s="191"/>
      <c r="U329" s="191"/>
      <c r="V329" s="191"/>
      <c r="W329" s="191"/>
      <c r="X329" s="191"/>
      <c r="Y329" s="191"/>
      <c r="Z329" s="191"/>
      <c r="AA329" s="191"/>
      <c r="AB329" s="191"/>
      <c r="AC329" s="191"/>
      <c r="AD329" s="191"/>
      <c r="AE329" s="191"/>
      <c r="AF329" s="191"/>
      <c r="AG329" s="191"/>
      <c r="AH329" s="191"/>
      <c r="AI329" s="191"/>
      <c r="AJ329" s="191"/>
      <c r="AK329" s="191"/>
      <c r="AL329" s="191"/>
      <c r="AM329" s="191"/>
      <c r="AN329" s="191"/>
      <c r="AO329" s="191"/>
      <c r="AP329" s="191"/>
      <c r="AQ329" s="191"/>
      <c r="AR329" s="191"/>
      <c r="AS329" s="191"/>
      <c r="AT329" s="191"/>
      <c r="AU329" s="191"/>
      <c r="AV329" s="191"/>
      <c r="AW329" s="191"/>
      <c r="AX329" s="191"/>
      <c r="AY329" s="191"/>
      <c r="AZ329" s="191"/>
      <c r="BA329" s="191"/>
      <c r="BB329" s="191"/>
      <c r="BC329" s="191"/>
      <c r="BD329" s="191"/>
      <c r="BE329" s="191"/>
      <c r="BF329" s="191"/>
      <c r="BG329" s="191"/>
      <c r="BH329" s="191"/>
      <c r="BI329" s="191"/>
      <c r="BJ329" s="191"/>
      <c r="BK329" s="191"/>
      <c r="BL329" s="191"/>
      <c r="BM329" s="191"/>
      <c r="BN329" s="191"/>
      <c r="BO329" s="191"/>
      <c r="BP329" s="191"/>
    </row>
    <row r="330" spans="11:68">
      <c r="K330" s="191"/>
      <c r="L330" s="191"/>
      <c r="M330" s="191"/>
      <c r="N330" s="191"/>
      <c r="O330" s="191"/>
      <c r="P330" s="191"/>
      <c r="Q330" s="191"/>
      <c r="R330" s="191"/>
      <c r="S330" s="191"/>
      <c r="T330" s="191"/>
      <c r="U330" s="191"/>
      <c r="V330" s="191"/>
      <c r="W330" s="191"/>
      <c r="X330" s="191"/>
      <c r="Y330" s="191"/>
      <c r="Z330" s="191"/>
      <c r="AA330" s="191"/>
      <c r="AB330" s="191"/>
      <c r="AC330" s="191"/>
      <c r="AD330" s="191"/>
      <c r="AE330" s="191"/>
      <c r="AF330" s="191"/>
      <c r="AG330" s="191"/>
      <c r="AH330" s="191"/>
      <c r="AI330" s="191"/>
      <c r="AJ330" s="191"/>
      <c r="AK330" s="191"/>
      <c r="AL330" s="191"/>
      <c r="AM330" s="191"/>
      <c r="AN330" s="191"/>
      <c r="AO330" s="191"/>
      <c r="AP330" s="191"/>
      <c r="AQ330" s="191"/>
      <c r="AR330" s="191"/>
      <c r="AS330" s="191"/>
      <c r="AT330" s="191"/>
      <c r="AU330" s="191"/>
      <c r="AV330" s="191"/>
      <c r="AW330" s="191"/>
      <c r="AX330" s="191"/>
      <c r="AY330" s="191"/>
      <c r="AZ330" s="191"/>
      <c r="BA330" s="191"/>
      <c r="BB330" s="191"/>
      <c r="BC330" s="191"/>
      <c r="BD330" s="191"/>
      <c r="BE330" s="191"/>
      <c r="BF330" s="191"/>
      <c r="BG330" s="191"/>
      <c r="BH330" s="191"/>
      <c r="BI330" s="191"/>
      <c r="BJ330" s="191"/>
      <c r="BK330" s="191"/>
      <c r="BL330" s="191"/>
      <c r="BM330" s="191"/>
      <c r="BN330" s="191"/>
      <c r="BO330" s="191"/>
      <c r="BP330" s="191"/>
    </row>
    <row r="331" spans="11:68">
      <c r="K331" s="191"/>
      <c r="L331" s="191"/>
      <c r="M331" s="191"/>
      <c r="N331" s="191"/>
      <c r="O331" s="191"/>
      <c r="P331" s="191"/>
      <c r="Q331" s="191"/>
      <c r="R331" s="191"/>
      <c r="S331" s="191"/>
      <c r="T331" s="191"/>
      <c r="U331" s="191"/>
      <c r="V331" s="191"/>
      <c r="W331" s="191"/>
      <c r="X331" s="191"/>
      <c r="Y331" s="191"/>
      <c r="Z331" s="191"/>
      <c r="AA331" s="191"/>
      <c r="AB331" s="191"/>
      <c r="AC331" s="191"/>
      <c r="AD331" s="191"/>
      <c r="AE331" s="191"/>
      <c r="AF331" s="191"/>
      <c r="AG331" s="191"/>
      <c r="AH331" s="191"/>
      <c r="AI331" s="191"/>
      <c r="AJ331" s="191"/>
      <c r="AK331" s="191"/>
      <c r="AL331" s="191"/>
      <c r="AM331" s="191"/>
      <c r="AN331" s="191"/>
      <c r="AO331" s="191"/>
      <c r="AP331" s="191"/>
      <c r="AQ331" s="191"/>
      <c r="AR331" s="191"/>
      <c r="AS331" s="191"/>
      <c r="AT331" s="191"/>
      <c r="AU331" s="191"/>
      <c r="AV331" s="191"/>
      <c r="AW331" s="191"/>
      <c r="AX331" s="191"/>
      <c r="AY331" s="191"/>
      <c r="AZ331" s="191"/>
      <c r="BA331" s="191"/>
      <c r="BB331" s="191"/>
      <c r="BC331" s="191"/>
      <c r="BD331" s="191"/>
      <c r="BE331" s="191"/>
      <c r="BF331" s="191"/>
      <c r="BG331" s="191"/>
      <c r="BH331" s="191"/>
      <c r="BI331" s="191"/>
      <c r="BJ331" s="191"/>
      <c r="BK331" s="191"/>
      <c r="BL331" s="191"/>
      <c r="BM331" s="191"/>
      <c r="BN331" s="191"/>
      <c r="BO331" s="191"/>
      <c r="BP331" s="191"/>
    </row>
    <row r="332" spans="11:68">
      <c r="K332" s="191"/>
      <c r="L332" s="191"/>
      <c r="M332" s="191"/>
      <c r="N332" s="191"/>
      <c r="O332" s="191"/>
      <c r="P332" s="191"/>
      <c r="Q332" s="191"/>
      <c r="R332" s="191"/>
      <c r="S332" s="191"/>
      <c r="T332" s="191"/>
      <c r="U332" s="191"/>
      <c r="V332" s="191"/>
      <c r="W332" s="191"/>
      <c r="X332" s="191"/>
      <c r="Y332" s="191"/>
      <c r="Z332" s="191"/>
      <c r="AA332" s="191"/>
      <c r="AB332" s="191"/>
      <c r="AC332" s="191"/>
      <c r="AD332" s="191"/>
      <c r="AE332" s="191"/>
      <c r="AF332" s="191"/>
      <c r="AG332" s="191"/>
      <c r="AH332" s="191"/>
      <c r="AI332" s="191"/>
      <c r="AJ332" s="191"/>
      <c r="AK332" s="191"/>
      <c r="AL332" s="191"/>
      <c r="AM332" s="191"/>
      <c r="AN332" s="191"/>
      <c r="AO332" s="191"/>
      <c r="AP332" s="191"/>
      <c r="AQ332" s="191"/>
      <c r="AR332" s="191"/>
      <c r="AS332" s="191"/>
      <c r="AT332" s="191"/>
      <c r="AU332" s="191"/>
      <c r="AV332" s="191"/>
      <c r="AW332" s="191"/>
      <c r="AX332" s="191"/>
      <c r="AY332" s="191"/>
      <c r="AZ332" s="191"/>
      <c r="BA332" s="191"/>
      <c r="BB332" s="191"/>
      <c r="BC332" s="191"/>
      <c r="BD332" s="191"/>
      <c r="BE332" s="191"/>
      <c r="BF332" s="191"/>
      <c r="BG332" s="191"/>
      <c r="BH332" s="191"/>
      <c r="BI332" s="191"/>
      <c r="BJ332" s="191"/>
      <c r="BK332" s="191"/>
      <c r="BL332" s="191"/>
      <c r="BM332" s="191"/>
      <c r="BN332" s="191"/>
      <c r="BO332" s="191"/>
      <c r="BP332" s="191"/>
    </row>
    <row r="333" spans="11:68">
      <c r="K333" s="191"/>
      <c r="L333" s="191"/>
      <c r="M333" s="191"/>
      <c r="N333" s="191"/>
      <c r="O333" s="191"/>
      <c r="P333" s="191"/>
      <c r="Q333" s="191"/>
      <c r="R333" s="191"/>
      <c r="S333" s="191"/>
      <c r="T333" s="191"/>
      <c r="U333" s="191"/>
      <c r="V333" s="191"/>
      <c r="W333" s="191"/>
      <c r="X333" s="191"/>
      <c r="Y333" s="191"/>
      <c r="Z333" s="191"/>
      <c r="AA333" s="191"/>
      <c r="AB333" s="191"/>
      <c r="AC333" s="191"/>
      <c r="AD333" s="191"/>
      <c r="AE333" s="191"/>
      <c r="AF333" s="191"/>
      <c r="AG333" s="191"/>
      <c r="AH333" s="191"/>
      <c r="AI333" s="191"/>
      <c r="AJ333" s="191"/>
      <c r="AK333" s="191"/>
      <c r="AL333" s="191"/>
      <c r="AM333" s="191"/>
      <c r="AN333" s="191"/>
      <c r="AO333" s="191"/>
      <c r="AP333" s="191"/>
      <c r="AQ333" s="191"/>
      <c r="AR333" s="191"/>
      <c r="AS333" s="191"/>
      <c r="AT333" s="191"/>
      <c r="AU333" s="191"/>
      <c r="AV333" s="191"/>
      <c r="AW333" s="191"/>
      <c r="AX333" s="191"/>
      <c r="AY333" s="191"/>
      <c r="AZ333" s="191"/>
      <c r="BA333" s="191"/>
      <c r="BB333" s="191"/>
      <c r="BC333" s="191"/>
      <c r="BD333" s="191"/>
      <c r="BE333" s="191"/>
      <c r="BF333" s="191"/>
      <c r="BG333" s="191"/>
      <c r="BH333" s="191"/>
      <c r="BI333" s="191"/>
      <c r="BJ333" s="191"/>
      <c r="BK333" s="191"/>
      <c r="BL333" s="191"/>
      <c r="BM333" s="191"/>
      <c r="BN333" s="191"/>
      <c r="BO333" s="191"/>
      <c r="BP333" s="191"/>
    </row>
    <row r="334" spans="11:68">
      <c r="K334" s="191"/>
      <c r="L334" s="191"/>
      <c r="M334" s="191"/>
      <c r="N334" s="191"/>
      <c r="O334" s="191"/>
      <c r="P334" s="191"/>
      <c r="Q334" s="191"/>
      <c r="R334" s="191"/>
      <c r="S334" s="191"/>
      <c r="T334" s="191"/>
      <c r="U334" s="191"/>
      <c r="V334" s="191"/>
      <c r="W334" s="191"/>
      <c r="X334" s="191"/>
      <c r="Y334" s="191"/>
      <c r="Z334" s="191"/>
      <c r="AA334" s="191"/>
      <c r="AB334" s="191"/>
      <c r="AC334" s="191"/>
      <c r="AD334" s="191"/>
      <c r="AE334" s="191"/>
      <c r="AF334" s="191"/>
      <c r="AG334" s="191"/>
      <c r="AH334" s="191"/>
      <c r="AI334" s="191"/>
      <c r="AJ334" s="191"/>
      <c r="AK334" s="191"/>
      <c r="AL334" s="191"/>
      <c r="AM334" s="191"/>
      <c r="AN334" s="191"/>
      <c r="AO334" s="191"/>
      <c r="AP334" s="191"/>
      <c r="AQ334" s="191"/>
      <c r="AR334" s="191"/>
      <c r="AS334" s="191"/>
      <c r="AT334" s="191"/>
      <c r="AU334" s="191"/>
      <c r="AV334" s="191"/>
      <c r="AW334" s="191"/>
      <c r="AX334" s="191"/>
      <c r="AY334" s="191"/>
      <c r="AZ334" s="191"/>
      <c r="BA334" s="191"/>
      <c r="BB334" s="191"/>
      <c r="BC334" s="191"/>
      <c r="BD334" s="191"/>
      <c r="BE334" s="191"/>
      <c r="BF334" s="191"/>
      <c r="BG334" s="191"/>
      <c r="BH334" s="191"/>
      <c r="BI334" s="191"/>
      <c r="BJ334" s="191"/>
      <c r="BK334" s="191"/>
      <c r="BL334" s="191"/>
      <c r="BM334" s="191"/>
      <c r="BN334" s="191"/>
      <c r="BO334" s="191"/>
      <c r="BP334" s="191"/>
    </row>
    <row r="335" spans="11:68">
      <c r="K335" s="191"/>
      <c r="L335" s="191"/>
      <c r="M335" s="191"/>
      <c r="N335" s="191"/>
      <c r="O335" s="191"/>
      <c r="P335" s="191"/>
      <c r="Q335" s="191"/>
      <c r="R335" s="191"/>
      <c r="S335" s="191"/>
      <c r="T335" s="191"/>
      <c r="U335" s="191"/>
      <c r="V335" s="191"/>
      <c r="W335" s="191"/>
      <c r="X335" s="191"/>
      <c r="Y335" s="191"/>
      <c r="Z335" s="191"/>
      <c r="AA335" s="191"/>
      <c r="AB335" s="191"/>
      <c r="AC335" s="191"/>
      <c r="AD335" s="191"/>
      <c r="AE335" s="191"/>
      <c r="AF335" s="191"/>
      <c r="AG335" s="191"/>
      <c r="AH335" s="191"/>
      <c r="AI335" s="191"/>
      <c r="AJ335" s="191"/>
      <c r="AK335" s="191"/>
      <c r="AL335" s="191"/>
      <c r="AM335" s="191"/>
      <c r="AN335" s="191"/>
      <c r="AO335" s="191"/>
      <c r="AP335" s="191"/>
      <c r="AQ335" s="191"/>
      <c r="AR335" s="191"/>
      <c r="AS335" s="191"/>
      <c r="AT335" s="191"/>
      <c r="AU335" s="191"/>
      <c r="AV335" s="191"/>
      <c r="AW335" s="191"/>
      <c r="AX335" s="191"/>
      <c r="AY335" s="191"/>
      <c r="AZ335" s="191"/>
      <c r="BA335" s="191"/>
      <c r="BB335" s="191"/>
      <c r="BC335" s="191"/>
      <c r="BD335" s="191"/>
      <c r="BE335" s="191"/>
      <c r="BF335" s="191"/>
      <c r="BG335" s="191"/>
      <c r="BH335" s="191"/>
      <c r="BI335" s="191"/>
      <c r="BJ335" s="191"/>
      <c r="BK335" s="191"/>
      <c r="BL335" s="191"/>
      <c r="BM335" s="191"/>
      <c r="BN335" s="191"/>
      <c r="BO335" s="191"/>
      <c r="BP335" s="191"/>
    </row>
    <row r="336" spans="11:68">
      <c r="K336" s="191"/>
      <c r="L336" s="191"/>
      <c r="M336" s="191"/>
      <c r="N336" s="191"/>
      <c r="O336" s="191"/>
      <c r="P336" s="191"/>
      <c r="Q336" s="191"/>
      <c r="R336" s="191"/>
      <c r="S336" s="191"/>
      <c r="T336" s="191"/>
      <c r="U336" s="191"/>
      <c r="V336" s="191"/>
      <c r="W336" s="191"/>
      <c r="X336" s="191"/>
      <c r="Y336" s="191"/>
      <c r="Z336" s="191"/>
      <c r="AA336" s="191"/>
      <c r="AB336" s="191"/>
      <c r="AC336" s="191"/>
      <c r="AD336" s="191"/>
      <c r="AE336" s="191"/>
      <c r="AF336" s="191"/>
      <c r="AG336" s="191"/>
      <c r="AH336" s="191"/>
      <c r="AI336" s="191"/>
      <c r="AJ336" s="191"/>
      <c r="AK336" s="191"/>
      <c r="AL336" s="191"/>
      <c r="AM336" s="191"/>
      <c r="AN336" s="191"/>
      <c r="AO336" s="191"/>
      <c r="AP336" s="191"/>
      <c r="AQ336" s="191"/>
      <c r="AR336" s="191"/>
      <c r="AS336" s="191"/>
      <c r="AT336" s="191"/>
      <c r="AU336" s="191"/>
      <c r="AV336" s="191"/>
      <c r="AW336" s="191"/>
      <c r="AX336" s="191"/>
      <c r="AY336" s="191"/>
      <c r="AZ336" s="191"/>
      <c r="BA336" s="191"/>
      <c r="BB336" s="191"/>
      <c r="BC336" s="191"/>
      <c r="BD336" s="191"/>
      <c r="BE336" s="191"/>
      <c r="BF336" s="191"/>
      <c r="BG336" s="191"/>
      <c r="BH336" s="191"/>
      <c r="BI336" s="191"/>
      <c r="BJ336" s="191"/>
      <c r="BK336" s="191"/>
      <c r="BL336" s="191"/>
      <c r="BM336" s="191"/>
      <c r="BN336" s="191"/>
      <c r="BO336" s="191"/>
      <c r="BP336" s="191"/>
    </row>
    <row r="337" spans="11:68">
      <c r="K337" s="191"/>
      <c r="L337" s="191"/>
      <c r="M337" s="191"/>
      <c r="N337" s="191"/>
      <c r="O337" s="191"/>
      <c r="P337" s="191"/>
      <c r="Q337" s="191"/>
      <c r="R337" s="191"/>
      <c r="S337" s="191"/>
      <c r="T337" s="191"/>
      <c r="U337" s="191"/>
      <c r="V337" s="191"/>
      <c r="W337" s="191"/>
      <c r="X337" s="191"/>
      <c r="Y337" s="191"/>
      <c r="Z337" s="191"/>
      <c r="AA337" s="191"/>
      <c r="AB337" s="191"/>
      <c r="AC337" s="191"/>
      <c r="AD337" s="191"/>
      <c r="AE337" s="191"/>
      <c r="AF337" s="191"/>
      <c r="AG337" s="191"/>
      <c r="AH337" s="191"/>
      <c r="AI337" s="191"/>
      <c r="AJ337" s="191"/>
      <c r="AK337" s="191"/>
      <c r="AL337" s="191"/>
      <c r="AM337" s="191"/>
      <c r="AN337" s="191"/>
      <c r="AO337" s="191"/>
      <c r="AP337" s="191"/>
      <c r="AQ337" s="191"/>
      <c r="AR337" s="191"/>
      <c r="AS337" s="191"/>
      <c r="AT337" s="191"/>
      <c r="AU337" s="191"/>
      <c r="AV337" s="191"/>
      <c r="AW337" s="191"/>
      <c r="AX337" s="191"/>
      <c r="AY337" s="191"/>
      <c r="AZ337" s="191"/>
      <c r="BA337" s="191"/>
      <c r="BB337" s="191"/>
      <c r="BC337" s="191"/>
      <c r="BD337" s="191"/>
      <c r="BE337" s="191"/>
      <c r="BF337" s="191"/>
      <c r="BG337" s="191"/>
      <c r="BH337" s="191"/>
      <c r="BI337" s="191"/>
      <c r="BJ337" s="191"/>
      <c r="BK337" s="191"/>
      <c r="BL337" s="191"/>
      <c r="BM337" s="191"/>
      <c r="BN337" s="191"/>
      <c r="BO337" s="191"/>
      <c r="BP337" s="191"/>
    </row>
    <row r="338" spans="11:68">
      <c r="K338" s="191"/>
      <c r="L338" s="191"/>
      <c r="M338" s="191"/>
      <c r="N338" s="191"/>
      <c r="O338" s="191"/>
      <c r="P338" s="191"/>
      <c r="Q338" s="191"/>
      <c r="R338" s="191"/>
      <c r="S338" s="191"/>
      <c r="T338" s="191"/>
      <c r="U338" s="191"/>
      <c r="V338" s="191"/>
      <c r="W338" s="191"/>
      <c r="X338" s="191"/>
      <c r="Y338" s="191"/>
      <c r="Z338" s="191"/>
      <c r="AA338" s="191"/>
      <c r="AB338" s="191"/>
      <c r="AC338" s="191"/>
      <c r="AD338" s="191"/>
      <c r="AE338" s="191"/>
      <c r="AF338" s="191"/>
      <c r="AG338" s="191"/>
      <c r="AH338" s="191"/>
      <c r="AI338" s="191"/>
      <c r="AJ338" s="191"/>
      <c r="AK338" s="191"/>
      <c r="AL338" s="191"/>
      <c r="AM338" s="191"/>
      <c r="AN338" s="191"/>
      <c r="AO338" s="191"/>
      <c r="AP338" s="191"/>
      <c r="AQ338" s="191"/>
      <c r="AR338" s="191"/>
      <c r="AS338" s="191"/>
      <c r="AT338" s="191"/>
      <c r="AU338" s="191"/>
      <c r="AV338" s="191"/>
      <c r="AW338" s="191"/>
      <c r="AX338" s="191"/>
      <c r="AY338" s="191"/>
      <c r="AZ338" s="191"/>
      <c r="BA338" s="191"/>
      <c r="BB338" s="191"/>
      <c r="BC338" s="191"/>
      <c r="BD338" s="191"/>
      <c r="BE338" s="191"/>
      <c r="BF338" s="191"/>
      <c r="BG338" s="191"/>
      <c r="BH338" s="191"/>
      <c r="BI338" s="191"/>
      <c r="BJ338" s="191"/>
      <c r="BK338" s="191"/>
      <c r="BL338" s="191"/>
      <c r="BM338" s="191"/>
      <c r="BN338" s="191"/>
      <c r="BO338" s="191"/>
      <c r="BP338" s="191"/>
    </row>
    <row r="339" spans="11:68">
      <c r="K339" s="191"/>
      <c r="L339" s="191"/>
      <c r="M339" s="191"/>
      <c r="N339" s="191"/>
      <c r="O339" s="191"/>
      <c r="P339" s="191"/>
      <c r="Q339" s="191"/>
      <c r="R339" s="191"/>
      <c r="S339" s="191"/>
      <c r="T339" s="191"/>
      <c r="U339" s="191"/>
      <c r="V339" s="191"/>
      <c r="W339" s="191"/>
      <c r="X339" s="191"/>
      <c r="Y339" s="191"/>
      <c r="Z339" s="191"/>
      <c r="AA339" s="191"/>
      <c r="AB339" s="191"/>
      <c r="AC339" s="191"/>
      <c r="AD339" s="191"/>
      <c r="AE339" s="191"/>
      <c r="AF339" s="191"/>
      <c r="AG339" s="191"/>
      <c r="AH339" s="191"/>
      <c r="AI339" s="191"/>
      <c r="AJ339" s="191"/>
      <c r="AK339" s="191"/>
      <c r="AL339" s="191"/>
      <c r="AM339" s="191"/>
      <c r="AN339" s="191"/>
      <c r="AO339" s="191"/>
      <c r="AP339" s="191"/>
      <c r="AQ339" s="191"/>
      <c r="AR339" s="191"/>
      <c r="AS339" s="191"/>
      <c r="AT339" s="191"/>
      <c r="AU339" s="191"/>
      <c r="AV339" s="191"/>
      <c r="AW339" s="191"/>
      <c r="AX339" s="191"/>
      <c r="AY339" s="191"/>
      <c r="AZ339" s="191"/>
      <c r="BA339" s="191"/>
      <c r="BB339" s="191"/>
      <c r="BC339" s="191"/>
      <c r="BD339" s="191"/>
      <c r="BE339" s="191"/>
      <c r="BF339" s="191"/>
      <c r="BG339" s="191"/>
      <c r="BH339" s="191"/>
      <c r="BI339" s="191"/>
      <c r="BJ339" s="191"/>
      <c r="BK339" s="191"/>
      <c r="BL339" s="191"/>
      <c r="BM339" s="191"/>
      <c r="BN339" s="191"/>
      <c r="BO339" s="191"/>
      <c r="BP339" s="191"/>
    </row>
    <row r="340" spans="11:68">
      <c r="K340" s="191"/>
      <c r="L340" s="191"/>
      <c r="M340" s="191"/>
      <c r="N340" s="191"/>
      <c r="O340" s="191"/>
      <c r="P340" s="191"/>
      <c r="Q340" s="191"/>
      <c r="R340" s="191"/>
      <c r="S340" s="191"/>
      <c r="T340" s="191"/>
      <c r="U340" s="191"/>
      <c r="V340" s="191"/>
      <c r="W340" s="191"/>
      <c r="X340" s="191"/>
      <c r="Y340" s="191"/>
      <c r="Z340" s="191"/>
      <c r="AA340" s="191"/>
      <c r="AB340" s="191"/>
      <c r="AC340" s="191"/>
      <c r="AD340" s="191"/>
      <c r="AE340" s="191"/>
      <c r="AF340" s="191"/>
      <c r="AG340" s="191"/>
      <c r="AH340" s="191"/>
      <c r="AI340" s="191"/>
      <c r="AJ340" s="191"/>
      <c r="AK340" s="191"/>
      <c r="AL340" s="191"/>
      <c r="AM340" s="191"/>
      <c r="AN340" s="191"/>
      <c r="AO340" s="191"/>
      <c r="AP340" s="191"/>
      <c r="AQ340" s="191"/>
      <c r="AR340" s="191"/>
      <c r="AS340" s="191"/>
      <c r="AT340" s="191"/>
      <c r="AU340" s="191"/>
      <c r="AV340" s="191"/>
      <c r="AW340" s="191"/>
      <c r="AX340" s="191"/>
      <c r="AY340" s="191"/>
      <c r="AZ340" s="191"/>
      <c r="BA340" s="191"/>
      <c r="BB340" s="191"/>
      <c r="BC340" s="191"/>
      <c r="BD340" s="191"/>
      <c r="BE340" s="191"/>
      <c r="BF340" s="191"/>
      <c r="BG340" s="191"/>
      <c r="BH340" s="191"/>
      <c r="BI340" s="191"/>
      <c r="BJ340" s="191"/>
      <c r="BK340" s="191"/>
      <c r="BL340" s="191"/>
      <c r="BM340" s="191"/>
      <c r="BN340" s="191"/>
      <c r="BO340" s="191"/>
      <c r="BP340" s="191"/>
    </row>
    <row r="341" spans="11:68">
      <c r="K341" s="191"/>
      <c r="L341" s="191"/>
      <c r="M341" s="191"/>
      <c r="N341" s="191"/>
      <c r="O341" s="191"/>
      <c r="P341" s="191"/>
      <c r="Q341" s="191"/>
      <c r="R341" s="191"/>
      <c r="S341" s="191"/>
      <c r="T341" s="191"/>
      <c r="U341" s="191"/>
      <c r="V341" s="191"/>
      <c r="W341" s="191"/>
      <c r="X341" s="191"/>
      <c r="Y341" s="191"/>
      <c r="Z341" s="191"/>
      <c r="AA341" s="191"/>
      <c r="AB341" s="191"/>
      <c r="AC341" s="191"/>
      <c r="AD341" s="191"/>
      <c r="AE341" s="191"/>
      <c r="AF341" s="191"/>
      <c r="AG341" s="191"/>
      <c r="AH341" s="191"/>
      <c r="AI341" s="191"/>
      <c r="AJ341" s="191"/>
      <c r="AK341" s="191"/>
      <c r="AL341" s="191"/>
      <c r="AM341" s="191"/>
      <c r="AN341" s="191"/>
      <c r="AO341" s="191"/>
      <c r="AP341" s="191"/>
      <c r="AQ341" s="191"/>
      <c r="AR341" s="191"/>
      <c r="AS341" s="191"/>
      <c r="AT341" s="191"/>
      <c r="AU341" s="191"/>
      <c r="AV341" s="191"/>
      <c r="AW341" s="191"/>
      <c r="AX341" s="191"/>
      <c r="AY341" s="191"/>
      <c r="AZ341" s="191"/>
      <c r="BA341" s="191"/>
      <c r="BB341" s="191"/>
      <c r="BC341" s="191"/>
      <c r="BD341" s="191"/>
      <c r="BE341" s="191"/>
      <c r="BF341" s="191"/>
      <c r="BG341" s="191"/>
      <c r="BH341" s="191"/>
      <c r="BI341" s="191"/>
      <c r="BJ341" s="191"/>
      <c r="BK341" s="191"/>
      <c r="BL341" s="191"/>
      <c r="BM341" s="191"/>
      <c r="BN341" s="191"/>
      <c r="BO341" s="191"/>
      <c r="BP341" s="191"/>
    </row>
    <row r="342" spans="11:68">
      <c r="K342" s="191"/>
      <c r="L342" s="191"/>
      <c r="M342" s="191"/>
      <c r="N342" s="191"/>
      <c r="O342" s="191"/>
      <c r="P342" s="191"/>
      <c r="Q342" s="191"/>
      <c r="R342" s="191"/>
      <c r="S342" s="191"/>
      <c r="T342" s="191"/>
      <c r="U342" s="191"/>
      <c r="V342" s="191"/>
      <c r="W342" s="191"/>
      <c r="X342" s="191"/>
      <c r="Y342" s="191"/>
      <c r="Z342" s="191"/>
      <c r="AA342" s="191"/>
      <c r="AB342" s="191"/>
      <c r="AC342" s="191"/>
      <c r="AD342" s="191"/>
      <c r="AE342" s="191"/>
      <c r="AF342" s="191"/>
      <c r="AG342" s="191"/>
      <c r="AH342" s="191"/>
      <c r="AI342" s="191"/>
      <c r="AJ342" s="191"/>
      <c r="AK342" s="191"/>
      <c r="AL342" s="191"/>
      <c r="AM342" s="191"/>
      <c r="AN342" s="191"/>
      <c r="AO342" s="191"/>
      <c r="AP342" s="191"/>
      <c r="AQ342" s="191"/>
      <c r="AR342" s="191"/>
      <c r="AS342" s="191"/>
      <c r="AT342" s="191"/>
      <c r="AU342" s="191"/>
      <c r="AV342" s="191"/>
      <c r="AW342" s="191"/>
      <c r="AX342" s="191"/>
      <c r="AY342" s="191"/>
      <c r="AZ342" s="191"/>
      <c r="BA342" s="191"/>
      <c r="BB342" s="191"/>
      <c r="BC342" s="191"/>
      <c r="BD342" s="191"/>
      <c r="BE342" s="191"/>
      <c r="BF342" s="191"/>
      <c r="BG342" s="191"/>
      <c r="BH342" s="191"/>
      <c r="BI342" s="191"/>
      <c r="BJ342" s="191"/>
      <c r="BK342" s="191"/>
      <c r="BL342" s="191"/>
      <c r="BM342" s="191"/>
      <c r="BN342" s="191"/>
      <c r="BO342" s="191"/>
      <c r="BP342" s="191"/>
    </row>
    <row r="343" spans="11:68">
      <c r="K343" s="191"/>
      <c r="L343" s="191"/>
      <c r="M343" s="191"/>
      <c r="N343" s="191"/>
      <c r="O343" s="191"/>
      <c r="P343" s="191"/>
      <c r="Q343" s="191"/>
      <c r="R343" s="191"/>
      <c r="S343" s="191"/>
      <c r="T343" s="191"/>
      <c r="U343" s="191"/>
      <c r="V343" s="191"/>
      <c r="W343" s="191"/>
      <c r="X343" s="191"/>
      <c r="Y343" s="191"/>
      <c r="Z343" s="191"/>
      <c r="AA343" s="191"/>
      <c r="AB343" s="191"/>
      <c r="AC343" s="191"/>
      <c r="AD343" s="191"/>
      <c r="AE343" s="191"/>
      <c r="AF343" s="191"/>
      <c r="AG343" s="191"/>
      <c r="AH343" s="191"/>
      <c r="AI343" s="191"/>
      <c r="AJ343" s="191"/>
      <c r="AK343" s="191"/>
      <c r="AL343" s="191"/>
      <c r="AM343" s="191"/>
      <c r="AN343" s="191"/>
      <c r="AO343" s="191"/>
      <c r="AP343" s="191"/>
      <c r="AQ343" s="191"/>
      <c r="AR343" s="191"/>
      <c r="AS343" s="191"/>
      <c r="AT343" s="191"/>
      <c r="AU343" s="191"/>
      <c r="AV343" s="191"/>
      <c r="AW343" s="191"/>
      <c r="AX343" s="191"/>
      <c r="AY343" s="191"/>
      <c r="AZ343" s="191"/>
      <c r="BA343" s="191"/>
      <c r="BB343" s="191"/>
      <c r="BC343" s="191"/>
      <c r="BD343" s="191"/>
      <c r="BE343" s="191"/>
      <c r="BF343" s="191"/>
      <c r="BG343" s="191"/>
      <c r="BH343" s="191"/>
      <c r="BI343" s="191"/>
      <c r="BJ343" s="191"/>
      <c r="BK343" s="191"/>
      <c r="BL343" s="191"/>
      <c r="BM343" s="191"/>
      <c r="BN343" s="191"/>
      <c r="BO343" s="191"/>
      <c r="BP343" s="191"/>
    </row>
    <row r="344" spans="11:68">
      <c r="K344" s="191"/>
      <c r="L344" s="191"/>
      <c r="M344" s="191"/>
      <c r="N344" s="191"/>
      <c r="O344" s="191"/>
      <c r="P344" s="191"/>
      <c r="Q344" s="191"/>
      <c r="R344" s="191"/>
      <c r="S344" s="191"/>
      <c r="T344" s="191"/>
      <c r="U344" s="191"/>
      <c r="V344" s="191"/>
      <c r="W344" s="191"/>
      <c r="X344" s="191"/>
      <c r="Y344" s="191"/>
      <c r="Z344" s="191"/>
      <c r="AA344" s="191"/>
      <c r="AB344" s="191"/>
      <c r="AC344" s="191"/>
      <c r="AD344" s="191"/>
      <c r="AE344" s="191"/>
      <c r="AF344" s="191"/>
      <c r="AG344" s="191"/>
      <c r="AH344" s="191"/>
      <c r="AI344" s="191"/>
      <c r="AJ344" s="191"/>
      <c r="AK344" s="191"/>
      <c r="AL344" s="191"/>
      <c r="AM344" s="191"/>
      <c r="AN344" s="191"/>
      <c r="AO344" s="191"/>
      <c r="AP344" s="191"/>
      <c r="AQ344" s="191"/>
      <c r="AR344" s="191"/>
      <c r="AS344" s="191"/>
      <c r="AT344" s="191"/>
      <c r="AU344" s="191"/>
      <c r="AV344" s="191"/>
      <c r="AW344" s="191"/>
      <c r="AX344" s="191"/>
      <c r="AY344" s="191"/>
      <c r="AZ344" s="191"/>
      <c r="BA344" s="191"/>
      <c r="BB344" s="191"/>
      <c r="BC344" s="191"/>
      <c r="BD344" s="191"/>
      <c r="BE344" s="191"/>
      <c r="BF344" s="191"/>
      <c r="BG344" s="191"/>
      <c r="BH344" s="191"/>
      <c r="BI344" s="191"/>
      <c r="BJ344" s="191"/>
      <c r="BK344" s="191"/>
      <c r="BL344" s="191"/>
      <c r="BM344" s="191"/>
      <c r="BN344" s="191"/>
      <c r="BO344" s="191"/>
      <c r="BP344" s="191"/>
    </row>
    <row r="345" spans="11:68">
      <c r="K345" s="191"/>
      <c r="L345" s="191"/>
      <c r="M345" s="191"/>
      <c r="N345" s="191"/>
      <c r="O345" s="191"/>
      <c r="P345" s="191"/>
      <c r="Q345" s="191"/>
      <c r="R345" s="191"/>
      <c r="S345" s="191"/>
      <c r="T345" s="191"/>
      <c r="U345" s="191"/>
      <c r="V345" s="191"/>
      <c r="W345" s="191"/>
      <c r="X345" s="191"/>
      <c r="Y345" s="191"/>
      <c r="Z345" s="191"/>
      <c r="AA345" s="191"/>
      <c r="AB345" s="191"/>
      <c r="AC345" s="191"/>
      <c r="AD345" s="191"/>
      <c r="AE345" s="191"/>
      <c r="AF345" s="191"/>
      <c r="AG345" s="191"/>
      <c r="AH345" s="191"/>
      <c r="AI345" s="191"/>
      <c r="AJ345" s="191"/>
      <c r="AK345" s="191"/>
      <c r="AL345" s="191"/>
      <c r="AM345" s="191"/>
      <c r="AN345" s="191"/>
      <c r="AO345" s="191"/>
      <c r="AP345" s="191"/>
      <c r="AQ345" s="191"/>
      <c r="AR345" s="191"/>
      <c r="AS345" s="191"/>
      <c r="AT345" s="191"/>
      <c r="AU345" s="191"/>
      <c r="AV345" s="191"/>
      <c r="AW345" s="191"/>
      <c r="AX345" s="191"/>
      <c r="AY345" s="191"/>
      <c r="AZ345" s="191"/>
      <c r="BA345" s="191"/>
      <c r="BB345" s="191"/>
      <c r="BC345" s="191"/>
      <c r="BD345" s="191"/>
      <c r="BE345" s="191"/>
      <c r="BF345" s="191"/>
      <c r="BG345" s="191"/>
      <c r="BH345" s="191"/>
      <c r="BI345" s="191"/>
      <c r="BJ345" s="191"/>
      <c r="BK345" s="191"/>
      <c r="BL345" s="191"/>
      <c r="BM345" s="191"/>
      <c r="BN345" s="191"/>
      <c r="BO345" s="191"/>
      <c r="BP345" s="191"/>
    </row>
    <row r="346" spans="11:68">
      <c r="K346" s="191"/>
      <c r="L346" s="191"/>
      <c r="M346" s="191"/>
      <c r="N346" s="191"/>
      <c r="O346" s="191"/>
      <c r="P346" s="191"/>
      <c r="Q346" s="191"/>
      <c r="R346" s="191"/>
      <c r="S346" s="191"/>
      <c r="T346" s="191"/>
      <c r="U346" s="191"/>
      <c r="V346" s="191"/>
      <c r="W346" s="191"/>
      <c r="X346" s="191"/>
      <c r="Y346" s="191"/>
      <c r="Z346" s="191"/>
      <c r="AA346" s="191"/>
      <c r="AB346" s="191"/>
      <c r="AC346" s="191"/>
      <c r="AD346" s="191"/>
      <c r="AE346" s="191"/>
      <c r="AF346" s="191"/>
      <c r="AG346" s="191"/>
      <c r="AH346" s="191"/>
      <c r="AI346" s="191"/>
      <c r="AJ346" s="191"/>
      <c r="AK346" s="191"/>
      <c r="AL346" s="191"/>
      <c r="AM346" s="191"/>
      <c r="AN346" s="191"/>
      <c r="AO346" s="191"/>
      <c r="AP346" s="191"/>
      <c r="AQ346" s="191"/>
      <c r="AR346" s="191"/>
      <c r="AS346" s="191"/>
      <c r="AT346" s="191"/>
      <c r="AU346" s="191"/>
      <c r="AV346" s="191"/>
      <c r="AW346" s="191"/>
      <c r="AX346" s="191"/>
      <c r="AY346" s="191"/>
      <c r="AZ346" s="191"/>
      <c r="BA346" s="191"/>
      <c r="BB346" s="191"/>
      <c r="BC346" s="191"/>
      <c r="BD346" s="191"/>
      <c r="BE346" s="191"/>
      <c r="BF346" s="191"/>
      <c r="BG346" s="191"/>
      <c r="BH346" s="191"/>
      <c r="BI346" s="191"/>
      <c r="BJ346" s="191"/>
      <c r="BK346" s="191"/>
      <c r="BL346" s="191"/>
      <c r="BM346" s="191"/>
      <c r="BN346" s="191"/>
      <c r="BO346" s="191"/>
      <c r="BP346" s="191"/>
    </row>
    <row r="347" spans="11:68">
      <c r="K347" s="191"/>
      <c r="L347" s="191"/>
      <c r="M347" s="191"/>
      <c r="N347" s="191"/>
      <c r="O347" s="191"/>
      <c r="P347" s="191"/>
      <c r="Q347" s="191"/>
      <c r="R347" s="191"/>
      <c r="S347" s="191"/>
      <c r="T347" s="191"/>
      <c r="U347" s="191"/>
      <c r="V347" s="191"/>
      <c r="W347" s="191"/>
      <c r="X347" s="191"/>
      <c r="Y347" s="191"/>
      <c r="Z347" s="191"/>
      <c r="AA347" s="191"/>
      <c r="AB347" s="191"/>
      <c r="AC347" s="191"/>
      <c r="AD347" s="191"/>
      <c r="AE347" s="191"/>
      <c r="AF347" s="191"/>
      <c r="AG347" s="191"/>
      <c r="AH347" s="191"/>
      <c r="AI347" s="191"/>
      <c r="AJ347" s="191"/>
      <c r="AK347" s="191"/>
      <c r="AL347" s="191"/>
      <c r="AM347" s="191"/>
      <c r="AN347" s="191"/>
      <c r="AO347" s="191"/>
      <c r="AP347" s="191"/>
      <c r="AQ347" s="191"/>
      <c r="AR347" s="191"/>
      <c r="AS347" s="191"/>
      <c r="AT347" s="191"/>
      <c r="AU347" s="191"/>
      <c r="AV347" s="191"/>
      <c r="AW347" s="191"/>
      <c r="AX347" s="191"/>
      <c r="AY347" s="191"/>
      <c r="AZ347" s="191"/>
      <c r="BA347" s="191"/>
      <c r="BB347" s="191"/>
      <c r="BC347" s="191"/>
      <c r="BD347" s="191"/>
      <c r="BE347" s="191"/>
      <c r="BF347" s="191"/>
      <c r="BG347" s="191"/>
      <c r="BH347" s="191"/>
      <c r="BI347" s="191"/>
      <c r="BJ347" s="191"/>
      <c r="BK347" s="191"/>
      <c r="BL347" s="191"/>
      <c r="BM347" s="191"/>
      <c r="BN347" s="191"/>
      <c r="BO347" s="191"/>
      <c r="BP347" s="191"/>
    </row>
    <row r="348" spans="11:68">
      <c r="K348" s="191"/>
      <c r="L348" s="191"/>
      <c r="M348" s="191"/>
      <c r="N348" s="191"/>
      <c r="O348" s="191"/>
      <c r="P348" s="191"/>
      <c r="Q348" s="191"/>
      <c r="R348" s="191"/>
      <c r="S348" s="191"/>
      <c r="T348" s="191"/>
      <c r="U348" s="191"/>
      <c r="V348" s="191"/>
      <c r="W348" s="191"/>
      <c r="X348" s="191"/>
      <c r="Y348" s="191"/>
      <c r="Z348" s="191"/>
      <c r="AA348" s="191"/>
      <c r="AB348" s="191"/>
      <c r="AC348" s="191"/>
      <c r="AD348" s="191"/>
      <c r="AE348" s="191"/>
      <c r="AF348" s="191"/>
      <c r="AG348" s="191"/>
      <c r="AH348" s="191"/>
      <c r="AI348" s="191"/>
      <c r="AJ348" s="191"/>
      <c r="AK348" s="191"/>
      <c r="AL348" s="191"/>
      <c r="AM348" s="191"/>
      <c r="AN348" s="191"/>
      <c r="AO348" s="191"/>
      <c r="AP348" s="191"/>
      <c r="AQ348" s="191"/>
      <c r="AR348" s="191"/>
      <c r="AS348" s="191"/>
      <c r="AT348" s="191"/>
      <c r="AU348" s="191"/>
      <c r="AV348" s="191"/>
      <c r="AW348" s="191"/>
      <c r="AX348" s="191"/>
      <c r="AY348" s="191"/>
      <c r="AZ348" s="191"/>
      <c r="BA348" s="191"/>
      <c r="BB348" s="191"/>
      <c r="BC348" s="191"/>
      <c r="BD348" s="191"/>
      <c r="BE348" s="191"/>
      <c r="BF348" s="191"/>
      <c r="BG348" s="191"/>
      <c r="BH348" s="191"/>
      <c r="BI348" s="191"/>
      <c r="BJ348" s="191"/>
      <c r="BK348" s="191"/>
      <c r="BL348" s="191"/>
      <c r="BM348" s="191"/>
      <c r="BN348" s="191"/>
      <c r="BO348" s="191"/>
      <c r="BP348" s="191"/>
    </row>
    <row r="349" spans="11:68">
      <c r="K349" s="191"/>
      <c r="L349" s="191"/>
      <c r="M349" s="191"/>
      <c r="N349" s="191"/>
      <c r="O349" s="191"/>
      <c r="P349" s="191"/>
      <c r="Q349" s="191"/>
      <c r="R349" s="191"/>
      <c r="S349" s="191"/>
      <c r="T349" s="191"/>
      <c r="U349" s="191"/>
      <c r="V349" s="191"/>
      <c r="W349" s="191"/>
      <c r="X349" s="191"/>
      <c r="Y349" s="191"/>
      <c r="Z349" s="191"/>
      <c r="AA349" s="191"/>
      <c r="AB349" s="191"/>
      <c r="AC349" s="191"/>
      <c r="AD349" s="191"/>
      <c r="AE349" s="191"/>
      <c r="AF349" s="191"/>
      <c r="AG349" s="191"/>
      <c r="AH349" s="191"/>
      <c r="AI349" s="191"/>
      <c r="AJ349" s="191"/>
      <c r="AK349" s="191"/>
      <c r="AL349" s="191"/>
      <c r="AM349" s="191"/>
      <c r="AN349" s="191"/>
      <c r="AO349" s="191"/>
      <c r="AP349" s="191"/>
      <c r="AQ349" s="191"/>
      <c r="AR349" s="191"/>
      <c r="AS349" s="191"/>
      <c r="AT349" s="191"/>
      <c r="AU349" s="191"/>
      <c r="AV349" s="191"/>
      <c r="AW349" s="191"/>
      <c r="AX349" s="191"/>
      <c r="AY349" s="191"/>
      <c r="AZ349" s="191"/>
      <c r="BA349" s="191"/>
      <c r="BB349" s="191"/>
      <c r="BC349" s="191"/>
      <c r="BD349" s="191"/>
      <c r="BE349" s="191"/>
      <c r="BF349" s="191"/>
      <c r="BG349" s="191"/>
      <c r="BH349" s="191"/>
      <c r="BI349" s="191"/>
      <c r="BJ349" s="191"/>
      <c r="BK349" s="191"/>
      <c r="BL349" s="191"/>
      <c r="BM349" s="191"/>
      <c r="BN349" s="191"/>
      <c r="BO349" s="191"/>
      <c r="BP349" s="191"/>
    </row>
    <row r="350" spans="11:68">
      <c r="K350" s="191"/>
      <c r="L350" s="191"/>
      <c r="M350" s="191"/>
      <c r="N350" s="191"/>
      <c r="O350" s="191"/>
      <c r="P350" s="191"/>
      <c r="Q350" s="191"/>
      <c r="R350" s="191"/>
      <c r="S350" s="191"/>
      <c r="T350" s="191"/>
      <c r="U350" s="191"/>
      <c r="V350" s="191"/>
      <c r="W350" s="191"/>
      <c r="X350" s="191"/>
      <c r="Y350" s="191"/>
      <c r="Z350" s="191"/>
      <c r="AA350" s="191"/>
      <c r="AB350" s="191"/>
      <c r="AC350" s="191"/>
      <c r="AD350" s="191"/>
      <c r="AE350" s="191"/>
      <c r="AF350" s="191"/>
      <c r="AG350" s="191"/>
      <c r="AH350" s="191"/>
      <c r="AI350" s="191"/>
      <c r="AJ350" s="191"/>
      <c r="AK350" s="191"/>
      <c r="AL350" s="191"/>
      <c r="AM350" s="191"/>
      <c r="AN350" s="191"/>
      <c r="AO350" s="191"/>
      <c r="AP350" s="191"/>
      <c r="AQ350" s="191"/>
      <c r="AR350" s="191"/>
      <c r="AS350" s="191"/>
      <c r="AT350" s="191"/>
      <c r="AU350" s="191"/>
      <c r="AV350" s="191"/>
      <c r="AW350" s="191"/>
      <c r="AX350" s="191"/>
      <c r="AY350" s="191"/>
      <c r="AZ350" s="191"/>
      <c r="BA350" s="191"/>
      <c r="BB350" s="191"/>
      <c r="BC350" s="191"/>
      <c r="BD350" s="191"/>
      <c r="BE350" s="191"/>
      <c r="BF350" s="191"/>
      <c r="BG350" s="191"/>
      <c r="BH350" s="191"/>
      <c r="BI350" s="191"/>
      <c r="BJ350" s="191"/>
      <c r="BK350" s="191"/>
      <c r="BL350" s="191"/>
      <c r="BM350" s="191"/>
      <c r="BN350" s="191"/>
      <c r="BO350" s="191"/>
      <c r="BP350" s="191"/>
    </row>
    <row r="351" spans="11:68">
      <c r="K351" s="191"/>
      <c r="L351" s="191"/>
      <c r="M351" s="191"/>
      <c r="N351" s="191"/>
      <c r="O351" s="191"/>
      <c r="P351" s="191"/>
      <c r="Q351" s="191"/>
      <c r="R351" s="191"/>
      <c r="S351" s="191"/>
      <c r="T351" s="191"/>
      <c r="U351" s="191"/>
      <c r="V351" s="191"/>
      <c r="W351" s="191"/>
      <c r="X351" s="191"/>
      <c r="Y351" s="191"/>
      <c r="Z351" s="191"/>
      <c r="AA351" s="191"/>
      <c r="AB351" s="191"/>
      <c r="AC351" s="191"/>
      <c r="AD351" s="191"/>
      <c r="AE351" s="191"/>
      <c r="AF351" s="191"/>
      <c r="AG351" s="191"/>
      <c r="AH351" s="191"/>
      <c r="AI351" s="191"/>
      <c r="AJ351" s="191"/>
      <c r="AK351" s="191"/>
      <c r="AL351" s="191"/>
      <c r="AM351" s="191"/>
      <c r="AN351" s="191"/>
      <c r="AO351" s="191"/>
      <c r="AP351" s="191"/>
      <c r="AQ351" s="191"/>
      <c r="AR351" s="191"/>
      <c r="AS351" s="191"/>
      <c r="AT351" s="191"/>
      <c r="AU351" s="191"/>
      <c r="AV351" s="191"/>
      <c r="AW351" s="191"/>
      <c r="AX351" s="191"/>
      <c r="AY351" s="191"/>
      <c r="AZ351" s="191"/>
      <c r="BA351" s="191"/>
      <c r="BB351" s="191"/>
      <c r="BC351" s="191"/>
      <c r="BD351" s="191"/>
      <c r="BE351" s="191"/>
      <c r="BF351" s="191"/>
      <c r="BG351" s="191"/>
      <c r="BH351" s="191"/>
      <c r="BI351" s="191"/>
      <c r="BJ351" s="191"/>
      <c r="BK351" s="191"/>
      <c r="BL351" s="191"/>
      <c r="BM351" s="191"/>
      <c r="BN351" s="191"/>
      <c r="BO351" s="191"/>
      <c r="BP351" s="191"/>
    </row>
    <row r="352" spans="11:68">
      <c r="K352" s="191"/>
      <c r="L352" s="191"/>
      <c r="M352" s="191"/>
      <c r="N352" s="191"/>
      <c r="O352" s="191"/>
      <c r="P352" s="191"/>
      <c r="Q352" s="191"/>
      <c r="R352" s="191"/>
      <c r="S352" s="191"/>
      <c r="T352" s="191"/>
      <c r="U352" s="191"/>
      <c r="V352" s="191"/>
      <c r="W352" s="191"/>
      <c r="X352" s="191"/>
      <c r="Y352" s="191"/>
      <c r="Z352" s="191"/>
      <c r="AA352" s="191"/>
      <c r="AB352" s="191"/>
      <c r="AC352" s="191"/>
      <c r="AD352" s="191"/>
      <c r="AE352" s="191"/>
      <c r="AF352" s="191"/>
      <c r="AG352" s="191"/>
      <c r="AH352" s="191"/>
      <c r="AI352" s="191"/>
      <c r="AJ352" s="191"/>
      <c r="AK352" s="191"/>
      <c r="AL352" s="191"/>
      <c r="AM352" s="191"/>
      <c r="AN352" s="191"/>
      <c r="AO352" s="191"/>
      <c r="AP352" s="191"/>
      <c r="AQ352" s="191"/>
      <c r="AR352" s="191"/>
      <c r="AS352" s="191"/>
      <c r="AT352" s="191"/>
      <c r="AU352" s="191"/>
      <c r="AV352" s="191"/>
      <c r="AW352" s="191"/>
      <c r="AX352" s="191"/>
      <c r="AY352" s="191"/>
      <c r="AZ352" s="191"/>
      <c r="BA352" s="191"/>
      <c r="BB352" s="191"/>
      <c r="BC352" s="191"/>
      <c r="BD352" s="191"/>
      <c r="BE352" s="191"/>
      <c r="BF352" s="191"/>
      <c r="BG352" s="191"/>
      <c r="BH352" s="191"/>
      <c r="BI352" s="191"/>
      <c r="BJ352" s="191"/>
      <c r="BK352" s="191"/>
      <c r="BL352" s="191"/>
      <c r="BM352" s="191"/>
      <c r="BN352" s="191"/>
      <c r="BO352" s="191"/>
      <c r="BP352" s="191"/>
    </row>
    <row r="353" spans="1:68">
      <c r="K353" s="191"/>
      <c r="L353" s="191"/>
      <c r="M353" s="191"/>
      <c r="N353" s="191"/>
      <c r="O353" s="191"/>
      <c r="P353" s="191"/>
      <c r="Q353" s="191"/>
      <c r="R353" s="191"/>
      <c r="S353" s="191"/>
      <c r="T353" s="191"/>
      <c r="U353" s="191"/>
      <c r="V353" s="191"/>
      <c r="W353" s="191"/>
      <c r="X353" s="191"/>
      <c r="Y353" s="191"/>
      <c r="Z353" s="191"/>
      <c r="AA353" s="191"/>
      <c r="AB353" s="191"/>
      <c r="AC353" s="191"/>
      <c r="AD353" s="191"/>
      <c r="AE353" s="191"/>
      <c r="AF353" s="191"/>
      <c r="AG353" s="191"/>
      <c r="AH353" s="191"/>
      <c r="AI353" s="191"/>
      <c r="AJ353" s="191"/>
      <c r="AK353" s="191"/>
      <c r="AL353" s="191"/>
      <c r="AM353" s="191"/>
      <c r="AN353" s="191"/>
      <c r="AO353" s="191"/>
      <c r="AP353" s="191"/>
      <c r="AQ353" s="191"/>
      <c r="AR353" s="191"/>
      <c r="AS353" s="191"/>
      <c r="AT353" s="191"/>
      <c r="AU353" s="191"/>
      <c r="AV353" s="191"/>
      <c r="AW353" s="191"/>
      <c r="AX353" s="191"/>
      <c r="AY353" s="191"/>
      <c r="AZ353" s="191"/>
      <c r="BA353" s="191"/>
      <c r="BB353" s="191"/>
      <c r="BC353" s="191"/>
      <c r="BD353" s="191"/>
      <c r="BE353" s="191"/>
      <c r="BF353" s="191"/>
      <c r="BG353" s="191"/>
      <c r="BH353" s="191"/>
      <c r="BI353" s="191"/>
      <c r="BJ353" s="191"/>
      <c r="BK353" s="191"/>
      <c r="BL353" s="191"/>
      <c r="BM353" s="191"/>
      <c r="BN353" s="191"/>
      <c r="BO353" s="191"/>
      <c r="BP353" s="191"/>
    </row>
    <row r="354" spans="1:68">
      <c r="K354" s="191"/>
      <c r="L354" s="191"/>
      <c r="M354" s="191"/>
      <c r="N354" s="191"/>
      <c r="O354" s="191"/>
      <c r="P354" s="191"/>
      <c r="Q354" s="191"/>
      <c r="R354" s="191"/>
      <c r="S354" s="191"/>
      <c r="T354" s="191"/>
      <c r="U354" s="191"/>
      <c r="V354" s="191"/>
      <c r="W354" s="191"/>
      <c r="X354" s="191"/>
      <c r="Y354" s="191"/>
      <c r="Z354" s="191"/>
      <c r="AA354" s="191"/>
      <c r="AB354" s="191"/>
      <c r="AC354" s="191"/>
      <c r="AD354" s="191"/>
      <c r="AE354" s="191"/>
      <c r="AF354" s="191"/>
      <c r="AG354" s="191"/>
      <c r="AH354" s="191"/>
      <c r="AI354" s="191"/>
      <c r="AJ354" s="191"/>
      <c r="AK354" s="191"/>
      <c r="AL354" s="191"/>
      <c r="AM354" s="191"/>
      <c r="AN354" s="191"/>
      <c r="AO354" s="191"/>
      <c r="AP354" s="191"/>
      <c r="AQ354" s="191"/>
      <c r="AR354" s="191"/>
      <c r="AS354" s="191"/>
      <c r="AT354" s="191"/>
      <c r="AU354" s="191"/>
      <c r="AV354" s="191"/>
      <c r="AW354" s="191"/>
      <c r="AX354" s="191"/>
      <c r="AY354" s="191"/>
      <c r="AZ354" s="191"/>
      <c r="BA354" s="191"/>
      <c r="BB354" s="191"/>
      <c r="BC354" s="191"/>
      <c r="BD354" s="191"/>
      <c r="BE354" s="191"/>
      <c r="BF354" s="191"/>
      <c r="BG354" s="191"/>
      <c r="BH354" s="191"/>
      <c r="BI354" s="191"/>
      <c r="BJ354" s="191"/>
      <c r="BK354" s="191"/>
      <c r="BL354" s="191"/>
      <c r="BM354" s="191"/>
      <c r="BN354" s="191"/>
      <c r="BO354" s="191"/>
      <c r="BP354" s="191"/>
    </row>
    <row r="355" spans="1:68">
      <c r="K355" s="191"/>
      <c r="L355" s="191"/>
      <c r="M355" s="191"/>
      <c r="N355" s="191"/>
      <c r="O355" s="191"/>
      <c r="P355" s="191"/>
      <c r="Q355" s="191"/>
      <c r="R355" s="191"/>
      <c r="S355" s="191"/>
      <c r="T355" s="191"/>
      <c r="U355" s="191"/>
      <c r="V355" s="191"/>
      <c r="W355" s="191"/>
      <c r="X355" s="191"/>
      <c r="Y355" s="191"/>
      <c r="Z355" s="191"/>
      <c r="AA355" s="191"/>
      <c r="AB355" s="191"/>
      <c r="AC355" s="191"/>
      <c r="AD355" s="191"/>
      <c r="AE355" s="191"/>
      <c r="AF355" s="191"/>
      <c r="AG355" s="191"/>
      <c r="AH355" s="191"/>
      <c r="AI355" s="191"/>
      <c r="AJ355" s="191"/>
      <c r="AK355" s="191"/>
      <c r="AL355" s="191"/>
      <c r="AM355" s="191"/>
      <c r="AN355" s="191"/>
      <c r="AO355" s="191"/>
      <c r="AP355" s="191"/>
      <c r="AQ355" s="191"/>
      <c r="AR355" s="191"/>
      <c r="AS355" s="191"/>
      <c r="AT355" s="191"/>
      <c r="AU355" s="191"/>
      <c r="AV355" s="191"/>
      <c r="AW355" s="191"/>
      <c r="AX355" s="191"/>
      <c r="AY355" s="191"/>
      <c r="AZ355" s="191"/>
      <c r="BA355" s="191"/>
      <c r="BB355" s="191"/>
      <c r="BC355" s="191"/>
      <c r="BD355" s="191"/>
      <c r="BE355" s="191"/>
      <c r="BF355" s="191"/>
      <c r="BG355" s="191"/>
      <c r="BH355" s="191"/>
      <c r="BI355" s="191"/>
      <c r="BJ355" s="191"/>
      <c r="BK355" s="191"/>
      <c r="BL355" s="191"/>
      <c r="BM355" s="191"/>
      <c r="BN355" s="191"/>
      <c r="BO355" s="191"/>
      <c r="BP355" s="191"/>
    </row>
    <row r="356" spans="1:68">
      <c r="K356" s="191"/>
      <c r="L356" s="191"/>
      <c r="M356" s="191"/>
      <c r="N356" s="191"/>
      <c r="O356" s="191"/>
      <c r="P356" s="191"/>
      <c r="Q356" s="191"/>
      <c r="R356" s="191"/>
      <c r="S356" s="191"/>
      <c r="T356" s="191"/>
      <c r="U356" s="191"/>
      <c r="V356" s="191"/>
      <c r="W356" s="191"/>
      <c r="X356" s="191"/>
      <c r="Y356" s="191"/>
      <c r="Z356" s="191"/>
      <c r="AA356" s="191"/>
      <c r="AB356" s="191"/>
      <c r="AC356" s="191"/>
      <c r="AD356" s="191"/>
      <c r="AE356" s="191"/>
      <c r="AF356" s="191"/>
      <c r="AG356" s="191"/>
      <c r="AH356" s="191"/>
      <c r="AI356" s="191"/>
      <c r="AJ356" s="191"/>
      <c r="AK356" s="191"/>
      <c r="AL356" s="191"/>
      <c r="AM356" s="191"/>
      <c r="AN356" s="191"/>
      <c r="AO356" s="191"/>
      <c r="AP356" s="191"/>
      <c r="AQ356" s="191"/>
      <c r="AR356" s="191"/>
      <c r="AS356" s="191"/>
      <c r="AT356" s="191"/>
      <c r="AU356" s="191"/>
      <c r="AV356" s="191"/>
      <c r="AW356" s="191"/>
      <c r="AX356" s="191"/>
      <c r="AY356" s="191"/>
      <c r="AZ356" s="191"/>
      <c r="BA356" s="191"/>
      <c r="BB356" s="191"/>
      <c r="BC356" s="191"/>
      <c r="BD356" s="191"/>
      <c r="BE356" s="191"/>
      <c r="BF356" s="191"/>
      <c r="BG356" s="191"/>
      <c r="BH356" s="191"/>
      <c r="BI356" s="191"/>
      <c r="BJ356" s="191"/>
      <c r="BK356" s="191"/>
      <c r="BL356" s="191"/>
      <c r="BM356" s="191"/>
      <c r="BN356" s="191"/>
      <c r="BO356" s="191"/>
      <c r="BP356" s="191"/>
    </row>
    <row r="357" spans="1:68">
      <c r="K357" s="191"/>
      <c r="L357" s="191"/>
      <c r="M357" s="191"/>
      <c r="N357" s="191"/>
      <c r="O357" s="191"/>
      <c r="P357" s="191"/>
      <c r="Q357" s="191"/>
      <c r="R357" s="191"/>
      <c r="S357" s="191"/>
      <c r="T357" s="191"/>
      <c r="U357" s="191"/>
      <c r="V357" s="191"/>
      <c r="W357" s="191"/>
      <c r="X357" s="191"/>
      <c r="Y357" s="191"/>
      <c r="Z357" s="191"/>
      <c r="AA357" s="191"/>
      <c r="AB357" s="191"/>
      <c r="AC357" s="191"/>
      <c r="AD357" s="191"/>
      <c r="AE357" s="191"/>
      <c r="AF357" s="191"/>
      <c r="AG357" s="191"/>
      <c r="AH357" s="191"/>
      <c r="AI357" s="191"/>
      <c r="AJ357" s="191"/>
      <c r="AK357" s="191"/>
      <c r="AL357" s="191"/>
      <c r="AM357" s="191"/>
      <c r="AN357" s="191"/>
      <c r="AO357" s="191"/>
      <c r="AP357" s="191"/>
      <c r="AQ357" s="191"/>
      <c r="AR357" s="191"/>
      <c r="AS357" s="191"/>
      <c r="AT357" s="191"/>
      <c r="AU357" s="191"/>
      <c r="AV357" s="191"/>
      <c r="AW357" s="191"/>
      <c r="AX357" s="191"/>
      <c r="AY357" s="191"/>
      <c r="AZ357" s="191"/>
      <c r="BA357" s="191"/>
      <c r="BB357" s="191"/>
      <c r="BC357" s="191"/>
      <c r="BD357" s="191"/>
      <c r="BE357" s="191"/>
      <c r="BF357" s="191"/>
      <c r="BG357" s="191"/>
      <c r="BH357" s="191"/>
      <c r="BI357" s="191"/>
      <c r="BJ357" s="191"/>
      <c r="BK357" s="191"/>
      <c r="BL357" s="191"/>
      <c r="BM357" s="191"/>
      <c r="BN357" s="191"/>
      <c r="BO357" s="191"/>
      <c r="BP357" s="191"/>
    </row>
    <row r="358" spans="1:68">
      <c r="K358" s="191"/>
      <c r="L358" s="191"/>
      <c r="M358" s="191"/>
      <c r="N358" s="191"/>
      <c r="O358" s="191"/>
      <c r="P358" s="191"/>
      <c r="Q358" s="191"/>
      <c r="R358" s="191"/>
      <c r="S358" s="191"/>
      <c r="T358" s="191"/>
      <c r="U358" s="191"/>
      <c r="V358" s="191"/>
      <c r="W358" s="191"/>
      <c r="X358" s="191"/>
      <c r="Y358" s="191"/>
      <c r="Z358" s="191"/>
      <c r="AA358" s="191"/>
      <c r="AB358" s="191"/>
      <c r="AC358" s="191"/>
      <c r="AD358" s="191"/>
      <c r="AE358" s="191"/>
      <c r="AF358" s="191"/>
      <c r="AG358" s="191"/>
      <c r="AH358" s="191"/>
      <c r="AI358" s="191"/>
      <c r="AJ358" s="191"/>
      <c r="AK358" s="191"/>
      <c r="AL358" s="191"/>
      <c r="AM358" s="191"/>
      <c r="AN358" s="191"/>
      <c r="AO358" s="191"/>
      <c r="AP358" s="191"/>
      <c r="AQ358" s="191"/>
      <c r="AR358" s="191"/>
      <c r="AS358" s="191"/>
      <c r="AT358" s="191"/>
      <c r="AU358" s="191"/>
      <c r="AV358" s="191"/>
      <c r="AW358" s="191"/>
      <c r="AX358" s="191"/>
      <c r="AY358" s="191"/>
      <c r="AZ358" s="191"/>
      <c r="BA358" s="191"/>
      <c r="BB358" s="191"/>
      <c r="BC358" s="191"/>
      <c r="BD358" s="191"/>
      <c r="BE358" s="191"/>
      <c r="BF358" s="191"/>
      <c r="BG358" s="191"/>
      <c r="BH358" s="191"/>
      <c r="BI358" s="191"/>
      <c r="BJ358" s="191"/>
      <c r="BK358" s="191"/>
      <c r="BL358" s="191"/>
      <c r="BM358" s="191"/>
      <c r="BN358" s="191"/>
      <c r="BO358" s="191"/>
      <c r="BP358" s="191"/>
    </row>
    <row r="359" spans="1:68">
      <c r="K359" s="191"/>
      <c r="L359" s="191"/>
      <c r="M359" s="191"/>
      <c r="N359" s="191"/>
      <c r="O359" s="191"/>
      <c r="P359" s="191"/>
      <c r="Q359" s="191"/>
      <c r="R359" s="191"/>
      <c r="S359" s="191"/>
      <c r="T359" s="191"/>
      <c r="U359" s="191"/>
      <c r="V359" s="191"/>
      <c r="W359" s="191"/>
      <c r="X359" s="191"/>
      <c r="Y359" s="191"/>
      <c r="Z359" s="191"/>
      <c r="AA359" s="191"/>
      <c r="AB359" s="191"/>
      <c r="AC359" s="191"/>
      <c r="AD359" s="191"/>
      <c r="AE359" s="191"/>
      <c r="AF359" s="191"/>
      <c r="AG359" s="191"/>
      <c r="AH359" s="191"/>
      <c r="AI359" s="191"/>
      <c r="AJ359" s="191"/>
      <c r="AK359" s="191"/>
      <c r="AL359" s="191"/>
      <c r="AM359" s="191"/>
      <c r="AN359" s="191"/>
      <c r="AO359" s="191"/>
      <c r="AP359" s="191"/>
      <c r="AQ359" s="191"/>
      <c r="AR359" s="191"/>
      <c r="AS359" s="191"/>
      <c r="AT359" s="191"/>
      <c r="AU359" s="191"/>
      <c r="AV359" s="191"/>
      <c r="AW359" s="191"/>
      <c r="AX359" s="191"/>
      <c r="AY359" s="191"/>
      <c r="AZ359" s="191"/>
      <c r="BA359" s="191"/>
      <c r="BB359" s="191"/>
      <c r="BC359" s="191"/>
      <c r="BD359" s="191"/>
      <c r="BE359" s="191"/>
      <c r="BF359" s="191"/>
      <c r="BG359" s="191"/>
      <c r="BH359" s="191"/>
      <c r="BI359" s="191"/>
      <c r="BJ359" s="191"/>
      <c r="BK359" s="191"/>
      <c r="BL359" s="191"/>
      <c r="BM359" s="191"/>
      <c r="BN359" s="191"/>
      <c r="BO359" s="191"/>
      <c r="BP359" s="191"/>
    </row>
    <row r="360" spans="1:68">
      <c r="K360" s="191"/>
      <c r="L360" s="191"/>
      <c r="M360" s="191"/>
      <c r="N360" s="191"/>
      <c r="O360" s="191"/>
      <c r="P360" s="191"/>
      <c r="Q360" s="191"/>
      <c r="R360" s="191"/>
      <c r="S360" s="191"/>
      <c r="T360" s="191"/>
      <c r="U360" s="191"/>
      <c r="V360" s="191"/>
      <c r="W360" s="191"/>
      <c r="X360" s="191"/>
      <c r="Y360" s="191"/>
      <c r="Z360" s="191"/>
      <c r="AA360" s="191"/>
      <c r="AB360" s="191"/>
      <c r="AC360" s="191"/>
      <c r="AD360" s="191"/>
      <c r="AE360" s="191"/>
      <c r="AF360" s="191"/>
      <c r="AG360" s="191"/>
      <c r="AH360" s="191"/>
      <c r="AI360" s="191"/>
      <c r="AJ360" s="191"/>
      <c r="AK360" s="191"/>
      <c r="AL360" s="191"/>
      <c r="AM360" s="191"/>
      <c r="AN360" s="191"/>
      <c r="AO360" s="191"/>
      <c r="AP360" s="191"/>
      <c r="AQ360" s="191"/>
      <c r="AR360" s="191"/>
      <c r="AS360" s="191"/>
      <c r="AT360" s="191"/>
      <c r="AU360" s="191"/>
      <c r="AV360" s="191"/>
      <c r="AW360" s="191"/>
      <c r="AX360" s="191"/>
      <c r="AY360" s="191"/>
      <c r="AZ360" s="191"/>
      <c r="BA360" s="191"/>
      <c r="BB360" s="191"/>
      <c r="BC360" s="191"/>
      <c r="BD360" s="191"/>
      <c r="BE360" s="191"/>
      <c r="BF360" s="191"/>
      <c r="BG360" s="191"/>
      <c r="BH360" s="191"/>
      <c r="BI360" s="191"/>
      <c r="BJ360" s="191"/>
      <c r="BK360" s="191"/>
      <c r="BL360" s="191"/>
      <c r="BM360" s="191"/>
      <c r="BN360" s="191"/>
      <c r="BO360" s="191"/>
      <c r="BP360" s="191"/>
    </row>
    <row r="361" spans="1:68">
      <c r="K361" s="191"/>
      <c r="L361" s="191"/>
      <c r="M361" s="191"/>
      <c r="N361" s="191"/>
      <c r="O361" s="191"/>
      <c r="P361" s="191"/>
      <c r="Q361" s="191"/>
      <c r="R361" s="191"/>
      <c r="S361" s="191"/>
      <c r="T361" s="191"/>
      <c r="U361" s="191"/>
      <c r="V361" s="191"/>
      <c r="W361" s="191"/>
      <c r="X361" s="191"/>
      <c r="Y361" s="191"/>
      <c r="Z361" s="191"/>
      <c r="AA361" s="191"/>
      <c r="AB361" s="191"/>
      <c r="AC361" s="191"/>
      <c r="AD361" s="191"/>
      <c r="AE361" s="191"/>
      <c r="AF361" s="191"/>
      <c r="AG361" s="191"/>
      <c r="AH361" s="191"/>
      <c r="AI361" s="191"/>
      <c r="AJ361" s="191"/>
      <c r="AK361" s="191"/>
      <c r="AL361" s="191"/>
      <c r="AM361" s="191"/>
      <c r="AN361" s="191"/>
      <c r="AO361" s="191"/>
      <c r="AP361" s="191"/>
      <c r="AQ361" s="191"/>
      <c r="AR361" s="191"/>
      <c r="AS361" s="191"/>
      <c r="AT361" s="191"/>
      <c r="AU361" s="191"/>
      <c r="AV361" s="191"/>
      <c r="AW361" s="191"/>
      <c r="AX361" s="191"/>
      <c r="AY361" s="191"/>
      <c r="AZ361" s="191"/>
      <c r="BA361" s="191"/>
      <c r="BB361" s="191"/>
      <c r="BC361" s="191"/>
      <c r="BD361" s="191"/>
      <c r="BE361" s="191"/>
      <c r="BF361" s="191"/>
      <c r="BG361" s="191"/>
      <c r="BH361" s="191"/>
      <c r="BI361" s="191"/>
      <c r="BJ361" s="191"/>
      <c r="BK361" s="191"/>
      <c r="BL361" s="191"/>
      <c r="BM361" s="191"/>
      <c r="BN361" s="191"/>
      <c r="BO361" s="191"/>
      <c r="BP361" s="191"/>
    </row>
    <row r="362" spans="1:68">
      <c r="K362" s="191"/>
      <c r="L362" s="191"/>
      <c r="M362" s="191"/>
      <c r="N362" s="191"/>
      <c r="O362" s="191"/>
      <c r="P362" s="191"/>
      <c r="Q362" s="191"/>
      <c r="R362" s="191"/>
      <c r="S362" s="191"/>
      <c r="T362" s="191"/>
      <c r="U362" s="191"/>
      <c r="V362" s="191"/>
      <c r="W362" s="191"/>
      <c r="X362" s="191"/>
      <c r="Y362" s="191"/>
      <c r="Z362" s="191"/>
      <c r="AA362" s="191"/>
      <c r="AB362" s="191"/>
      <c r="AC362" s="191"/>
      <c r="AD362" s="191"/>
      <c r="AE362" s="191"/>
      <c r="AF362" s="191"/>
      <c r="AG362" s="191"/>
      <c r="AH362" s="191"/>
      <c r="AI362" s="191"/>
      <c r="AJ362" s="191"/>
      <c r="AK362" s="191"/>
      <c r="AL362" s="191"/>
      <c r="AM362" s="191"/>
      <c r="AN362" s="191"/>
      <c r="AO362" s="191"/>
      <c r="AP362" s="191"/>
      <c r="AQ362" s="191"/>
      <c r="AR362" s="191"/>
      <c r="AS362" s="191"/>
      <c r="AT362" s="191"/>
      <c r="AU362" s="191"/>
      <c r="AV362" s="191"/>
      <c r="AW362" s="191"/>
      <c r="AX362" s="191"/>
      <c r="AY362" s="191"/>
      <c r="AZ362" s="191"/>
      <c r="BA362" s="191"/>
      <c r="BB362" s="191"/>
      <c r="BC362" s="191"/>
      <c r="BD362" s="191"/>
      <c r="BE362" s="191"/>
      <c r="BF362" s="191"/>
      <c r="BG362" s="191"/>
      <c r="BH362" s="191"/>
      <c r="BI362" s="191"/>
      <c r="BJ362" s="191"/>
      <c r="BK362" s="191"/>
      <c r="BL362" s="191"/>
      <c r="BM362" s="191"/>
      <c r="BN362" s="191"/>
      <c r="BO362" s="191"/>
      <c r="BP362" s="191"/>
    </row>
    <row r="363" spans="1:68">
      <c r="K363" s="191"/>
      <c r="L363" s="191"/>
      <c r="M363" s="191"/>
      <c r="N363" s="191"/>
      <c r="O363" s="191"/>
      <c r="P363" s="191"/>
      <c r="Q363" s="191"/>
      <c r="R363" s="191"/>
      <c r="S363" s="191"/>
      <c r="T363" s="191"/>
      <c r="U363" s="191"/>
      <c r="V363" s="191"/>
      <c r="W363" s="191"/>
      <c r="X363" s="191"/>
      <c r="Y363" s="191"/>
      <c r="Z363" s="191"/>
      <c r="AA363" s="191"/>
      <c r="AB363" s="191"/>
      <c r="AC363" s="191"/>
      <c r="AD363" s="191"/>
      <c r="AE363" s="191"/>
      <c r="AF363" s="191"/>
      <c r="AG363" s="191"/>
      <c r="AH363" s="191"/>
      <c r="AI363" s="191"/>
      <c r="AJ363" s="191"/>
      <c r="AK363" s="191"/>
      <c r="AL363" s="191"/>
      <c r="AM363" s="191"/>
      <c r="AN363" s="191"/>
      <c r="AO363" s="191"/>
      <c r="AP363" s="191"/>
      <c r="AQ363" s="191"/>
      <c r="AR363" s="191"/>
      <c r="AS363" s="191"/>
      <c r="AT363" s="191"/>
      <c r="AU363" s="191"/>
      <c r="AV363" s="191"/>
      <c r="AW363" s="191"/>
      <c r="AX363" s="191"/>
      <c r="AY363" s="191"/>
      <c r="AZ363" s="191"/>
      <c r="BA363" s="191"/>
      <c r="BB363" s="191"/>
      <c r="BC363" s="191"/>
      <c r="BD363" s="191"/>
      <c r="BE363" s="191"/>
      <c r="BF363" s="191"/>
      <c r="BG363" s="191"/>
      <c r="BH363" s="191"/>
      <c r="BI363" s="191"/>
      <c r="BJ363" s="191"/>
      <c r="BK363" s="191"/>
      <c r="BL363" s="191"/>
      <c r="BM363" s="191"/>
      <c r="BN363" s="191"/>
      <c r="BO363" s="191"/>
      <c r="BP363" s="191"/>
    </row>
    <row r="364" spans="1:68">
      <c r="A364" s="195"/>
      <c r="K364" s="191"/>
      <c r="L364" s="191"/>
      <c r="M364" s="191"/>
      <c r="N364" s="191"/>
      <c r="O364" s="191"/>
      <c r="P364" s="191"/>
      <c r="Q364" s="191"/>
      <c r="R364" s="191"/>
      <c r="S364" s="191"/>
      <c r="T364" s="191"/>
      <c r="U364" s="191"/>
      <c r="V364" s="191"/>
      <c r="W364" s="191"/>
      <c r="X364" s="191"/>
      <c r="Y364" s="191"/>
      <c r="Z364" s="191"/>
      <c r="AA364" s="191"/>
      <c r="AB364" s="191"/>
      <c r="AC364" s="191"/>
      <c r="AD364" s="191"/>
      <c r="AE364" s="191"/>
      <c r="AF364" s="191"/>
      <c r="AG364" s="191"/>
      <c r="AH364" s="191"/>
      <c r="AI364" s="191"/>
      <c r="AJ364" s="191"/>
      <c r="AK364" s="191"/>
      <c r="AL364" s="191"/>
      <c r="AM364" s="191"/>
      <c r="AN364" s="191"/>
      <c r="AO364" s="191"/>
      <c r="AP364" s="191"/>
      <c r="AQ364" s="191"/>
      <c r="AR364" s="191"/>
      <c r="AS364" s="191"/>
      <c r="AT364" s="191"/>
      <c r="AU364" s="191"/>
      <c r="AV364" s="191"/>
      <c r="AW364" s="191"/>
      <c r="AX364" s="191"/>
      <c r="AY364" s="191"/>
      <c r="AZ364" s="191"/>
      <c r="BA364" s="191"/>
      <c r="BB364" s="191"/>
      <c r="BC364" s="191"/>
      <c r="BD364" s="191"/>
      <c r="BE364" s="191"/>
      <c r="BF364" s="191"/>
      <c r="BG364" s="191"/>
      <c r="BH364" s="191"/>
      <c r="BI364" s="191"/>
      <c r="BJ364" s="191"/>
      <c r="BK364" s="191"/>
      <c r="BL364" s="191"/>
      <c r="BM364" s="191"/>
      <c r="BN364" s="191"/>
      <c r="BO364" s="191"/>
      <c r="BP364" s="191"/>
    </row>
    <row r="365" spans="1:68">
      <c r="A365" s="195"/>
      <c r="K365" s="191"/>
      <c r="L365" s="191"/>
      <c r="M365" s="191"/>
      <c r="N365" s="191"/>
      <c r="O365" s="191"/>
      <c r="P365" s="191"/>
      <c r="Q365" s="191"/>
      <c r="R365" s="191"/>
      <c r="S365" s="191"/>
      <c r="T365" s="191"/>
      <c r="U365" s="191"/>
      <c r="V365" s="191"/>
      <c r="W365" s="191"/>
      <c r="X365" s="191"/>
      <c r="Y365" s="191"/>
      <c r="Z365" s="191"/>
      <c r="AA365" s="191"/>
      <c r="AB365" s="191"/>
      <c r="AC365" s="191"/>
      <c r="AD365" s="191"/>
      <c r="AE365" s="191"/>
      <c r="AF365" s="191"/>
      <c r="AG365" s="191"/>
      <c r="AH365" s="191"/>
      <c r="AI365" s="191"/>
      <c r="AJ365" s="191"/>
      <c r="AK365" s="191"/>
      <c r="AL365" s="191"/>
      <c r="AM365" s="191"/>
      <c r="AN365" s="191"/>
      <c r="AO365" s="191"/>
      <c r="AP365" s="191"/>
      <c r="AQ365" s="191"/>
      <c r="AR365" s="191"/>
      <c r="AS365" s="191"/>
      <c r="AT365" s="191"/>
      <c r="AU365" s="191"/>
      <c r="AV365" s="191"/>
      <c r="AW365" s="191"/>
      <c r="AX365" s="191"/>
      <c r="AY365" s="191"/>
      <c r="AZ365" s="191"/>
      <c r="BA365" s="191"/>
      <c r="BB365" s="191"/>
      <c r="BC365" s="191"/>
      <c r="BD365" s="191"/>
      <c r="BE365" s="191"/>
      <c r="BF365" s="191"/>
      <c r="BG365" s="191"/>
      <c r="BH365" s="191"/>
      <c r="BI365" s="191"/>
      <c r="BJ365" s="191"/>
      <c r="BK365" s="191"/>
      <c r="BL365" s="191"/>
      <c r="BM365" s="191"/>
      <c r="BN365" s="191"/>
      <c r="BO365" s="191"/>
      <c r="BP365" s="191"/>
    </row>
    <row r="366" spans="1:68">
      <c r="A366" s="195"/>
      <c r="K366" s="191"/>
      <c r="L366" s="191"/>
      <c r="M366" s="191"/>
      <c r="N366" s="191"/>
      <c r="O366" s="191"/>
      <c r="P366" s="191"/>
      <c r="Q366" s="191"/>
      <c r="R366" s="191"/>
      <c r="S366" s="191"/>
      <c r="T366" s="191"/>
      <c r="U366" s="191"/>
      <c r="V366" s="191"/>
      <c r="W366" s="191"/>
      <c r="X366" s="191"/>
      <c r="Y366" s="191"/>
      <c r="Z366" s="191"/>
      <c r="AA366" s="191"/>
      <c r="AB366" s="191"/>
      <c r="AC366" s="191"/>
      <c r="AD366" s="191"/>
      <c r="AE366" s="191"/>
      <c r="AF366" s="191"/>
      <c r="AG366" s="191"/>
      <c r="AH366" s="191"/>
      <c r="AI366" s="191"/>
      <c r="AJ366" s="191"/>
      <c r="AK366" s="191"/>
      <c r="AL366" s="191"/>
      <c r="AM366" s="191"/>
      <c r="AN366" s="191"/>
      <c r="AO366" s="191"/>
      <c r="AP366" s="191"/>
      <c r="AQ366" s="191"/>
      <c r="AR366" s="191"/>
      <c r="AS366" s="191"/>
      <c r="AT366" s="191"/>
      <c r="AU366" s="191"/>
      <c r="AV366" s="191"/>
      <c r="AW366" s="191"/>
      <c r="AX366" s="191"/>
      <c r="AY366" s="191"/>
      <c r="AZ366" s="191"/>
      <c r="BA366" s="191"/>
      <c r="BB366" s="191"/>
      <c r="BC366" s="191"/>
      <c r="BD366" s="191"/>
      <c r="BE366" s="191"/>
      <c r="BF366" s="191"/>
      <c r="BG366" s="191"/>
      <c r="BH366" s="191"/>
      <c r="BI366" s="191"/>
      <c r="BJ366" s="191"/>
      <c r="BK366" s="191"/>
      <c r="BL366" s="191"/>
      <c r="BM366" s="191"/>
      <c r="BN366" s="191"/>
      <c r="BO366" s="191"/>
      <c r="BP366" s="191"/>
    </row>
    <row r="367" spans="1:68">
      <c r="A367" s="195"/>
      <c r="K367" s="191"/>
      <c r="L367" s="191"/>
      <c r="M367" s="191"/>
      <c r="N367" s="191"/>
      <c r="O367" s="191"/>
      <c r="P367" s="191"/>
      <c r="Q367" s="191"/>
      <c r="R367" s="191"/>
      <c r="S367" s="191"/>
      <c r="T367" s="191"/>
      <c r="U367" s="191"/>
      <c r="V367" s="191"/>
      <c r="W367" s="191"/>
      <c r="X367" s="191"/>
      <c r="Y367" s="191"/>
      <c r="Z367" s="191"/>
      <c r="AA367" s="191"/>
      <c r="AB367" s="191"/>
      <c r="AC367" s="191"/>
      <c r="AD367" s="191"/>
      <c r="AE367" s="191"/>
      <c r="AF367" s="191"/>
      <c r="AG367" s="191"/>
      <c r="AH367" s="191"/>
      <c r="AI367" s="191"/>
      <c r="AJ367" s="191"/>
      <c r="AK367" s="191"/>
      <c r="AL367" s="191"/>
      <c r="AM367" s="191"/>
      <c r="AN367" s="191"/>
      <c r="AO367" s="191"/>
      <c r="AP367" s="191"/>
      <c r="AQ367" s="191"/>
      <c r="AR367" s="191"/>
      <c r="AS367" s="191"/>
      <c r="AT367" s="191"/>
      <c r="AU367" s="191"/>
      <c r="AV367" s="191"/>
      <c r="AW367" s="191"/>
      <c r="AX367" s="191"/>
      <c r="AY367" s="191"/>
      <c r="AZ367" s="191"/>
      <c r="BA367" s="191"/>
      <c r="BB367" s="191"/>
      <c r="BC367" s="191"/>
      <c r="BD367" s="191"/>
      <c r="BE367" s="191"/>
      <c r="BF367" s="191"/>
      <c r="BG367" s="191"/>
      <c r="BH367" s="191"/>
      <c r="BI367" s="191"/>
      <c r="BJ367" s="191"/>
      <c r="BK367" s="191"/>
      <c r="BL367" s="191"/>
      <c r="BM367" s="191"/>
      <c r="BN367" s="191"/>
      <c r="BO367" s="191"/>
      <c r="BP367" s="191"/>
    </row>
    <row r="368" spans="1:68">
      <c r="A368" s="195"/>
      <c r="K368" s="191"/>
      <c r="L368" s="191"/>
      <c r="M368" s="191"/>
      <c r="N368" s="191"/>
      <c r="O368" s="191"/>
      <c r="P368" s="191"/>
      <c r="Q368" s="191"/>
      <c r="R368" s="191"/>
      <c r="S368" s="191"/>
      <c r="T368" s="191"/>
      <c r="U368" s="191"/>
      <c r="V368" s="191"/>
      <c r="W368" s="191"/>
      <c r="X368" s="191"/>
      <c r="Y368" s="191"/>
      <c r="Z368" s="191"/>
      <c r="AA368" s="191"/>
      <c r="AB368" s="191"/>
      <c r="AC368" s="191"/>
      <c r="AD368" s="191"/>
      <c r="AE368" s="191"/>
      <c r="AF368" s="191"/>
      <c r="AG368" s="191"/>
      <c r="AH368" s="191"/>
      <c r="AI368" s="191"/>
      <c r="AJ368" s="191"/>
      <c r="AK368" s="191"/>
      <c r="AL368" s="191"/>
      <c r="AM368" s="191"/>
      <c r="AN368" s="191"/>
      <c r="AO368" s="191"/>
      <c r="AP368" s="191"/>
      <c r="AQ368" s="191"/>
      <c r="AR368" s="191"/>
      <c r="AS368" s="191"/>
      <c r="AT368" s="191"/>
      <c r="AU368" s="191"/>
      <c r="AV368" s="191"/>
      <c r="AW368" s="191"/>
      <c r="AX368" s="191"/>
      <c r="AY368" s="191"/>
      <c r="AZ368" s="191"/>
      <c r="BA368" s="191"/>
      <c r="BB368" s="191"/>
      <c r="BC368" s="191"/>
      <c r="BD368" s="191"/>
      <c r="BE368" s="191"/>
      <c r="BF368" s="191"/>
      <c r="BG368" s="191"/>
      <c r="BH368" s="191"/>
      <c r="BI368" s="191"/>
      <c r="BJ368" s="191"/>
      <c r="BK368" s="191"/>
      <c r="BL368" s="191"/>
      <c r="BM368" s="191"/>
      <c r="BN368" s="191"/>
      <c r="BO368" s="191"/>
      <c r="BP368" s="191"/>
    </row>
    <row r="369" spans="1:68">
      <c r="A369" s="195"/>
      <c r="K369" s="191"/>
      <c r="L369" s="191"/>
      <c r="M369" s="191"/>
      <c r="N369" s="191"/>
      <c r="O369" s="191"/>
      <c r="P369" s="191"/>
      <c r="Q369" s="191"/>
      <c r="R369" s="191"/>
      <c r="S369" s="191"/>
      <c r="T369" s="191"/>
      <c r="U369" s="191"/>
      <c r="V369" s="191"/>
      <c r="W369" s="191"/>
      <c r="X369" s="191"/>
      <c r="Y369" s="191"/>
      <c r="Z369" s="191"/>
      <c r="AA369" s="191"/>
      <c r="AB369" s="191"/>
      <c r="AC369" s="191"/>
      <c r="AD369" s="191"/>
      <c r="AE369" s="191"/>
      <c r="AF369" s="191"/>
      <c r="AG369" s="191"/>
      <c r="AH369" s="191"/>
      <c r="AI369" s="191"/>
      <c r="AJ369" s="191"/>
      <c r="AK369" s="191"/>
      <c r="AL369" s="191"/>
      <c r="AM369" s="191"/>
      <c r="AN369" s="191"/>
      <c r="AO369" s="191"/>
      <c r="AP369" s="191"/>
      <c r="AQ369" s="191"/>
      <c r="AR369" s="191"/>
      <c r="AS369" s="191"/>
      <c r="AT369" s="191"/>
      <c r="AU369" s="191"/>
      <c r="AV369" s="191"/>
      <c r="AW369" s="191"/>
      <c r="AX369" s="191"/>
      <c r="AY369" s="191"/>
      <c r="AZ369" s="191"/>
      <c r="BA369" s="191"/>
      <c r="BB369" s="191"/>
      <c r="BC369" s="191"/>
      <c r="BD369" s="191"/>
      <c r="BE369" s="191"/>
      <c r="BF369" s="191"/>
      <c r="BG369" s="191"/>
      <c r="BH369" s="191"/>
      <c r="BI369" s="191"/>
      <c r="BJ369" s="191"/>
      <c r="BK369" s="191"/>
      <c r="BL369" s="191"/>
      <c r="BM369" s="191"/>
      <c r="BN369" s="191"/>
      <c r="BO369" s="191"/>
      <c r="BP369" s="191"/>
    </row>
    <row r="370" spans="1:68">
      <c r="A370" s="195"/>
      <c r="K370" s="191"/>
      <c r="L370" s="191"/>
      <c r="M370" s="191"/>
      <c r="N370" s="191"/>
      <c r="O370" s="191"/>
      <c r="P370" s="191"/>
      <c r="Q370" s="191"/>
      <c r="R370" s="191"/>
      <c r="S370" s="191"/>
      <c r="T370" s="191"/>
      <c r="U370" s="191"/>
      <c r="V370" s="191"/>
      <c r="W370" s="191"/>
      <c r="X370" s="191"/>
      <c r="Y370" s="191"/>
      <c r="Z370" s="191"/>
      <c r="AA370" s="191"/>
      <c r="AB370" s="191"/>
      <c r="AC370" s="191"/>
      <c r="AD370" s="191"/>
      <c r="AE370" s="191"/>
      <c r="AF370" s="191"/>
      <c r="AG370" s="191"/>
      <c r="AH370" s="191"/>
      <c r="AI370" s="191"/>
      <c r="AJ370" s="191"/>
      <c r="AK370" s="191"/>
      <c r="AL370" s="191"/>
      <c r="AM370" s="191"/>
      <c r="AN370" s="191"/>
      <c r="AO370" s="191"/>
      <c r="AP370" s="191"/>
      <c r="AQ370" s="191"/>
      <c r="AR370" s="191"/>
      <c r="AS370" s="191"/>
      <c r="AT370" s="191"/>
      <c r="AU370" s="191"/>
      <c r="AV370" s="191"/>
      <c r="AW370" s="191"/>
      <c r="AX370" s="191"/>
      <c r="AY370" s="191"/>
      <c r="AZ370" s="191"/>
      <c r="BA370" s="191"/>
      <c r="BB370" s="191"/>
      <c r="BC370" s="191"/>
      <c r="BD370" s="191"/>
      <c r="BE370" s="191"/>
      <c r="BF370" s="191"/>
      <c r="BG370" s="191"/>
      <c r="BH370" s="191"/>
      <c r="BI370" s="191"/>
      <c r="BJ370" s="191"/>
      <c r="BK370" s="191"/>
      <c r="BL370" s="191"/>
      <c r="BM370" s="191"/>
      <c r="BN370" s="191"/>
      <c r="BO370" s="191"/>
      <c r="BP370" s="191"/>
    </row>
    <row r="371" spans="1:68">
      <c r="A371" s="195"/>
      <c r="K371" s="191"/>
      <c r="L371" s="191"/>
      <c r="M371" s="191"/>
      <c r="N371" s="191"/>
      <c r="O371" s="191"/>
      <c r="P371" s="191"/>
      <c r="Q371" s="191"/>
      <c r="R371" s="191"/>
      <c r="S371" s="191"/>
      <c r="T371" s="191"/>
      <c r="U371" s="191"/>
      <c r="V371" s="191"/>
      <c r="W371" s="191"/>
      <c r="X371" s="191"/>
      <c r="Y371" s="191"/>
      <c r="Z371" s="191"/>
      <c r="AA371" s="191"/>
      <c r="AB371" s="191"/>
      <c r="AC371" s="191"/>
      <c r="AD371" s="191"/>
      <c r="AE371" s="191"/>
      <c r="AF371" s="191"/>
      <c r="AG371" s="191"/>
      <c r="AH371" s="191"/>
      <c r="AI371" s="191"/>
      <c r="AJ371" s="191"/>
      <c r="AK371" s="191"/>
      <c r="AL371" s="191"/>
      <c r="AM371" s="191"/>
      <c r="AN371" s="191"/>
      <c r="AO371" s="191"/>
      <c r="AP371" s="191"/>
      <c r="AQ371" s="191"/>
      <c r="AR371" s="191"/>
      <c r="AS371" s="191"/>
      <c r="AT371" s="191"/>
      <c r="AU371" s="191"/>
      <c r="AV371" s="191"/>
      <c r="AW371" s="191"/>
      <c r="AX371" s="191"/>
      <c r="AY371" s="191"/>
      <c r="AZ371" s="191"/>
      <c r="BA371" s="191"/>
      <c r="BB371" s="191"/>
      <c r="BC371" s="191"/>
      <c r="BD371" s="191"/>
      <c r="BE371" s="191"/>
      <c r="BF371" s="191"/>
      <c r="BG371" s="191"/>
      <c r="BH371" s="191"/>
      <c r="BI371" s="191"/>
      <c r="BJ371" s="191"/>
      <c r="BK371" s="191"/>
      <c r="BL371" s="191"/>
      <c r="BM371" s="191"/>
      <c r="BN371" s="191"/>
      <c r="BO371" s="191"/>
      <c r="BP371" s="191"/>
    </row>
    <row r="372" spans="1:68">
      <c r="A372" s="195"/>
      <c r="K372" s="191"/>
      <c r="L372" s="191"/>
      <c r="M372" s="191"/>
      <c r="N372" s="191"/>
      <c r="O372" s="191"/>
      <c r="P372" s="191"/>
      <c r="Q372" s="191"/>
      <c r="R372" s="191"/>
      <c r="S372" s="191"/>
      <c r="T372" s="191"/>
      <c r="U372" s="191"/>
      <c r="V372" s="191"/>
      <c r="W372" s="191"/>
      <c r="X372" s="191"/>
      <c r="Y372" s="191"/>
      <c r="Z372" s="191"/>
      <c r="AA372" s="191"/>
      <c r="AB372" s="191"/>
      <c r="AC372" s="191"/>
      <c r="AD372" s="191"/>
      <c r="AE372" s="191"/>
      <c r="AF372" s="191"/>
      <c r="AG372" s="191"/>
      <c r="AH372" s="191"/>
      <c r="AI372" s="191"/>
      <c r="AJ372" s="191"/>
      <c r="AK372" s="191"/>
      <c r="AL372" s="191"/>
      <c r="AM372" s="191"/>
      <c r="AN372" s="191"/>
      <c r="AO372" s="191"/>
      <c r="AP372" s="191"/>
      <c r="AQ372" s="191"/>
      <c r="AR372" s="191"/>
      <c r="AS372" s="191"/>
      <c r="AT372" s="191"/>
      <c r="AU372" s="191"/>
      <c r="AV372" s="191"/>
      <c r="AW372" s="191"/>
      <c r="AX372" s="191"/>
      <c r="AY372" s="191"/>
      <c r="AZ372" s="191"/>
      <c r="BA372" s="191"/>
      <c r="BB372" s="191"/>
      <c r="BC372" s="191"/>
      <c r="BD372" s="191"/>
      <c r="BE372" s="191"/>
      <c r="BF372" s="191"/>
      <c r="BG372" s="191"/>
      <c r="BH372" s="191"/>
      <c r="BI372" s="191"/>
      <c r="BJ372" s="191"/>
      <c r="BK372" s="191"/>
      <c r="BL372" s="191"/>
      <c r="BM372" s="191"/>
      <c r="BN372" s="191"/>
      <c r="BO372" s="191"/>
      <c r="BP372" s="191"/>
    </row>
    <row r="373" spans="1:68">
      <c r="A373" s="195"/>
      <c r="K373" s="191"/>
      <c r="L373" s="191"/>
      <c r="M373" s="191"/>
      <c r="N373" s="191"/>
      <c r="O373" s="191"/>
      <c r="P373" s="191"/>
      <c r="Q373" s="191"/>
      <c r="R373" s="191"/>
      <c r="S373" s="191"/>
      <c r="T373" s="191"/>
      <c r="U373" s="191"/>
      <c r="V373" s="191"/>
      <c r="W373" s="191"/>
      <c r="X373" s="191"/>
      <c r="Y373" s="191"/>
      <c r="Z373" s="191"/>
      <c r="AA373" s="191"/>
      <c r="AB373" s="191"/>
      <c r="AC373" s="191"/>
      <c r="AD373" s="191"/>
      <c r="AE373" s="191"/>
      <c r="AF373" s="191"/>
      <c r="AG373" s="191"/>
      <c r="AH373" s="191"/>
      <c r="AI373" s="191"/>
      <c r="AJ373" s="191"/>
      <c r="AK373" s="191"/>
      <c r="AL373" s="191"/>
      <c r="AM373" s="191"/>
      <c r="AN373" s="191"/>
      <c r="AO373" s="191"/>
      <c r="AP373" s="191"/>
      <c r="AQ373" s="191"/>
      <c r="AR373" s="191"/>
      <c r="AS373" s="191"/>
      <c r="AT373" s="191"/>
      <c r="AU373" s="191"/>
      <c r="AV373" s="191"/>
      <c r="AW373" s="191"/>
      <c r="AX373" s="191"/>
      <c r="AY373" s="191"/>
      <c r="AZ373" s="191"/>
      <c r="BA373" s="191"/>
      <c r="BB373" s="191"/>
      <c r="BC373" s="191"/>
      <c r="BD373" s="191"/>
      <c r="BE373" s="191"/>
      <c r="BF373" s="191"/>
      <c r="BG373" s="191"/>
      <c r="BH373" s="191"/>
      <c r="BI373" s="191"/>
      <c r="BJ373" s="191"/>
      <c r="BK373" s="191"/>
      <c r="BL373" s="191"/>
      <c r="BM373" s="191"/>
      <c r="BN373" s="191"/>
      <c r="BO373" s="191"/>
      <c r="BP373" s="191"/>
    </row>
    <row r="374" spans="1:68">
      <c r="A374" s="195"/>
      <c r="K374" s="191"/>
      <c r="L374" s="191"/>
      <c r="M374" s="191"/>
      <c r="N374" s="191"/>
      <c r="O374" s="191"/>
      <c r="P374" s="191"/>
      <c r="Q374" s="191"/>
      <c r="R374" s="191"/>
      <c r="S374" s="191"/>
      <c r="T374" s="191"/>
      <c r="U374" s="191"/>
      <c r="V374" s="191"/>
      <c r="W374" s="191"/>
      <c r="X374" s="191"/>
      <c r="Y374" s="191"/>
      <c r="Z374" s="191"/>
      <c r="AA374" s="191"/>
      <c r="AB374" s="191"/>
      <c r="AC374" s="191"/>
      <c r="AD374" s="191"/>
      <c r="AE374" s="191"/>
      <c r="AF374" s="191"/>
      <c r="AG374" s="191"/>
      <c r="AH374" s="191"/>
      <c r="AI374" s="191"/>
      <c r="AJ374" s="191"/>
      <c r="AK374" s="191"/>
      <c r="AL374" s="191"/>
      <c r="AM374" s="191"/>
      <c r="AN374" s="191"/>
      <c r="AO374" s="191"/>
      <c r="AP374" s="191"/>
      <c r="AQ374" s="191"/>
      <c r="AR374" s="191"/>
      <c r="AS374" s="191"/>
      <c r="AT374" s="191"/>
      <c r="AU374" s="191"/>
      <c r="AV374" s="191"/>
      <c r="AW374" s="191"/>
      <c r="AX374" s="191"/>
      <c r="AY374" s="191"/>
      <c r="AZ374" s="191"/>
      <c r="BA374" s="191"/>
      <c r="BB374" s="191"/>
      <c r="BC374" s="191"/>
      <c r="BD374" s="191"/>
      <c r="BE374" s="191"/>
      <c r="BF374" s="191"/>
      <c r="BG374" s="191"/>
      <c r="BH374" s="191"/>
      <c r="BI374" s="191"/>
      <c r="BJ374" s="191"/>
      <c r="BK374" s="191"/>
      <c r="BL374" s="191"/>
      <c r="BM374" s="191"/>
      <c r="BN374" s="191"/>
      <c r="BO374" s="191"/>
      <c r="BP374" s="191"/>
    </row>
    <row r="375" spans="1:68">
      <c r="A375" s="195"/>
      <c r="K375" s="191"/>
      <c r="L375" s="191"/>
      <c r="M375" s="191"/>
      <c r="N375" s="191"/>
      <c r="O375" s="191"/>
      <c r="P375" s="191"/>
      <c r="Q375" s="191"/>
      <c r="R375" s="191"/>
      <c r="S375" s="191"/>
      <c r="T375" s="191"/>
      <c r="U375" s="191"/>
      <c r="V375" s="191"/>
      <c r="W375" s="191"/>
      <c r="X375" s="191"/>
      <c r="Y375" s="191"/>
      <c r="Z375" s="191"/>
      <c r="AA375" s="191"/>
      <c r="AB375" s="191"/>
      <c r="AC375" s="191"/>
      <c r="AD375" s="191"/>
      <c r="AE375" s="191"/>
      <c r="AF375" s="191"/>
      <c r="AG375" s="191"/>
      <c r="AH375" s="191"/>
      <c r="AI375" s="191"/>
      <c r="AJ375" s="191"/>
      <c r="AK375" s="191"/>
      <c r="AL375" s="191"/>
      <c r="AM375" s="191"/>
      <c r="AN375" s="191"/>
      <c r="AO375" s="191"/>
      <c r="AP375" s="191"/>
      <c r="AQ375" s="191"/>
      <c r="AR375" s="191"/>
      <c r="AS375" s="191"/>
      <c r="AT375" s="191"/>
      <c r="AU375" s="191"/>
      <c r="AV375" s="191"/>
      <c r="AW375" s="191"/>
      <c r="AX375" s="191"/>
      <c r="AY375" s="191"/>
      <c r="AZ375" s="191"/>
      <c r="BA375" s="191"/>
      <c r="BB375" s="191"/>
      <c r="BC375" s="191"/>
      <c r="BD375" s="191"/>
      <c r="BE375" s="191"/>
      <c r="BF375" s="191"/>
      <c r="BG375" s="191"/>
      <c r="BH375" s="191"/>
      <c r="BI375" s="191"/>
      <c r="BJ375" s="191"/>
      <c r="BK375" s="191"/>
      <c r="BL375" s="191"/>
      <c r="BM375" s="191"/>
      <c r="BN375" s="191"/>
      <c r="BO375" s="191"/>
      <c r="BP375" s="191"/>
    </row>
    <row r="376" spans="1:68">
      <c r="A376" s="195"/>
      <c r="K376" s="191"/>
      <c r="L376" s="191"/>
      <c r="M376" s="191"/>
      <c r="N376" s="191"/>
      <c r="O376" s="191"/>
      <c r="P376" s="191"/>
      <c r="Q376" s="191"/>
      <c r="R376" s="191"/>
      <c r="S376" s="191"/>
      <c r="T376" s="191"/>
      <c r="U376" s="191"/>
      <c r="V376" s="191"/>
      <c r="W376" s="191"/>
      <c r="X376" s="191"/>
      <c r="Y376" s="191"/>
      <c r="Z376" s="191"/>
      <c r="AA376" s="191"/>
      <c r="AB376" s="191"/>
      <c r="AC376" s="191"/>
      <c r="AD376" s="191"/>
      <c r="AE376" s="191"/>
      <c r="AF376" s="191"/>
      <c r="AG376" s="191"/>
      <c r="AH376" s="191"/>
      <c r="AI376" s="191"/>
      <c r="AJ376" s="191"/>
      <c r="AK376" s="191"/>
      <c r="AL376" s="191"/>
      <c r="AM376" s="191"/>
      <c r="AN376" s="191"/>
      <c r="AO376" s="191"/>
      <c r="AP376" s="191"/>
      <c r="AQ376" s="191"/>
      <c r="AR376" s="191"/>
      <c r="AS376" s="191"/>
      <c r="AT376" s="191"/>
      <c r="AU376" s="191"/>
      <c r="AV376" s="191"/>
      <c r="AW376" s="191"/>
      <c r="AX376" s="191"/>
      <c r="AY376" s="191"/>
      <c r="AZ376" s="191"/>
      <c r="BA376" s="191"/>
      <c r="BB376" s="191"/>
      <c r="BC376" s="191"/>
      <c r="BD376" s="191"/>
      <c r="BE376" s="191"/>
      <c r="BF376" s="191"/>
      <c r="BG376" s="191"/>
      <c r="BH376" s="191"/>
      <c r="BI376" s="191"/>
      <c r="BJ376" s="191"/>
      <c r="BK376" s="191"/>
      <c r="BL376" s="191"/>
      <c r="BM376" s="191"/>
      <c r="BN376" s="191"/>
      <c r="BO376" s="191"/>
      <c r="BP376" s="191"/>
    </row>
    <row r="377" spans="1:68">
      <c r="A377" s="195"/>
      <c r="K377" s="191"/>
      <c r="L377" s="191"/>
      <c r="M377" s="191"/>
      <c r="N377" s="191"/>
      <c r="O377" s="191"/>
      <c r="P377" s="191"/>
      <c r="Q377" s="191"/>
      <c r="R377" s="191"/>
      <c r="S377" s="191"/>
      <c r="T377" s="191"/>
      <c r="U377" s="191"/>
      <c r="V377" s="191"/>
      <c r="W377" s="191"/>
      <c r="X377" s="191"/>
      <c r="Y377" s="191"/>
      <c r="Z377" s="191"/>
      <c r="AA377" s="191"/>
      <c r="AB377" s="191"/>
      <c r="AC377" s="191"/>
      <c r="AD377" s="191"/>
      <c r="AE377" s="191"/>
      <c r="AF377" s="191"/>
      <c r="AG377" s="191"/>
      <c r="AH377" s="191"/>
      <c r="AI377" s="191"/>
      <c r="AJ377" s="191"/>
      <c r="AK377" s="191"/>
      <c r="AL377" s="191"/>
      <c r="AM377" s="191"/>
      <c r="AN377" s="191"/>
      <c r="AO377" s="191"/>
      <c r="AP377" s="191"/>
      <c r="AQ377" s="191"/>
      <c r="AR377" s="191"/>
      <c r="AS377" s="191"/>
      <c r="AT377" s="191"/>
      <c r="AU377" s="191"/>
      <c r="AV377" s="191"/>
      <c r="AW377" s="191"/>
      <c r="AX377" s="191"/>
      <c r="AY377" s="191"/>
      <c r="AZ377" s="191"/>
      <c r="BA377" s="191"/>
      <c r="BB377" s="191"/>
      <c r="BC377" s="191"/>
      <c r="BD377" s="191"/>
      <c r="BE377" s="191"/>
      <c r="BF377" s="191"/>
      <c r="BG377" s="191"/>
      <c r="BH377" s="191"/>
      <c r="BI377" s="191"/>
      <c r="BJ377" s="191"/>
      <c r="BK377" s="191"/>
      <c r="BL377" s="191"/>
      <c r="BM377" s="191"/>
      <c r="BN377" s="191"/>
      <c r="BO377" s="191"/>
      <c r="BP377" s="191"/>
    </row>
    <row r="378" spans="1:68">
      <c r="A378" s="195"/>
      <c r="K378" s="191"/>
      <c r="L378" s="191"/>
      <c r="M378" s="191"/>
      <c r="N378" s="191"/>
      <c r="O378" s="191"/>
      <c r="P378" s="191"/>
      <c r="Q378" s="191"/>
      <c r="R378" s="191"/>
      <c r="S378" s="191"/>
      <c r="T378" s="191"/>
      <c r="U378" s="191"/>
      <c r="V378" s="191"/>
      <c r="W378" s="191"/>
      <c r="X378" s="191"/>
      <c r="Y378" s="191"/>
      <c r="Z378" s="191"/>
      <c r="AA378" s="191"/>
      <c r="AB378" s="191"/>
      <c r="AC378" s="191"/>
      <c r="AD378" s="191"/>
      <c r="AE378" s="191"/>
      <c r="AF378" s="191"/>
      <c r="AG378" s="191"/>
      <c r="AH378" s="191"/>
      <c r="AI378" s="191"/>
      <c r="AJ378" s="191"/>
      <c r="AK378" s="191"/>
      <c r="AL378" s="191"/>
      <c r="AM378" s="191"/>
      <c r="AN378" s="191"/>
      <c r="AO378" s="191"/>
      <c r="AP378" s="191"/>
      <c r="AQ378" s="191"/>
      <c r="AR378" s="191"/>
      <c r="AS378" s="191"/>
      <c r="AT378" s="191"/>
      <c r="AU378" s="191"/>
      <c r="AV378" s="191"/>
      <c r="AW378" s="191"/>
      <c r="AX378" s="191"/>
      <c r="AY378" s="191"/>
      <c r="AZ378" s="191"/>
      <c r="BA378" s="191"/>
      <c r="BB378" s="191"/>
      <c r="BC378" s="191"/>
      <c r="BD378" s="191"/>
      <c r="BE378" s="191"/>
      <c r="BF378" s="191"/>
      <c r="BG378" s="191"/>
      <c r="BH378" s="191"/>
      <c r="BI378" s="191"/>
      <c r="BJ378" s="191"/>
      <c r="BK378" s="191"/>
      <c r="BL378" s="191"/>
      <c r="BM378" s="191"/>
      <c r="BN378" s="191"/>
      <c r="BO378" s="191"/>
      <c r="BP378" s="191"/>
    </row>
    <row r="379" spans="1:68">
      <c r="A379" s="195"/>
      <c r="K379" s="191"/>
      <c r="L379" s="191"/>
      <c r="M379" s="191"/>
      <c r="N379" s="191"/>
      <c r="O379" s="191"/>
      <c r="P379" s="191"/>
      <c r="Q379" s="191"/>
      <c r="R379" s="191"/>
      <c r="S379" s="191"/>
      <c r="T379" s="191"/>
      <c r="U379" s="191"/>
      <c r="V379" s="191"/>
      <c r="W379" s="191"/>
      <c r="X379" s="191"/>
      <c r="Y379" s="191"/>
      <c r="Z379" s="191"/>
      <c r="AA379" s="191"/>
      <c r="AB379" s="191"/>
      <c r="AC379" s="191"/>
      <c r="AD379" s="191"/>
      <c r="AE379" s="191"/>
      <c r="AF379" s="191"/>
      <c r="AG379" s="191"/>
      <c r="AH379" s="191"/>
      <c r="AI379" s="191"/>
      <c r="AJ379" s="191"/>
      <c r="AK379" s="191"/>
      <c r="AL379" s="191"/>
      <c r="AM379" s="191"/>
      <c r="AN379" s="191"/>
      <c r="AO379" s="191"/>
      <c r="AP379" s="191"/>
      <c r="AQ379" s="191"/>
      <c r="AR379" s="191"/>
      <c r="AS379" s="191"/>
      <c r="AT379" s="191"/>
      <c r="AU379" s="191"/>
      <c r="AV379" s="191"/>
      <c r="AW379" s="191"/>
      <c r="AX379" s="191"/>
      <c r="AY379" s="191"/>
      <c r="AZ379" s="191"/>
      <c r="BA379" s="191"/>
      <c r="BB379" s="191"/>
      <c r="BC379" s="191"/>
      <c r="BD379" s="191"/>
      <c r="BE379" s="191"/>
      <c r="BF379" s="191"/>
      <c r="BG379" s="191"/>
      <c r="BH379" s="191"/>
      <c r="BI379" s="191"/>
      <c r="BJ379" s="191"/>
      <c r="BK379" s="191"/>
      <c r="BL379" s="191"/>
      <c r="BM379" s="191"/>
      <c r="BN379" s="191"/>
      <c r="BO379" s="191"/>
      <c r="BP379" s="191"/>
    </row>
    <row r="380" spans="1:68">
      <c r="A380" s="195"/>
      <c r="K380" s="191"/>
      <c r="L380" s="191"/>
      <c r="M380" s="191"/>
      <c r="N380" s="191"/>
      <c r="O380" s="191"/>
      <c r="P380" s="191"/>
      <c r="Q380" s="191"/>
      <c r="R380" s="191"/>
      <c r="S380" s="191"/>
      <c r="T380" s="191"/>
      <c r="U380" s="191"/>
      <c r="V380" s="191"/>
      <c r="W380" s="191"/>
      <c r="X380" s="191"/>
      <c r="Y380" s="191"/>
      <c r="Z380" s="191"/>
      <c r="AA380" s="191"/>
      <c r="AB380" s="191"/>
      <c r="AC380" s="191"/>
      <c r="AD380" s="191"/>
      <c r="AE380" s="191"/>
      <c r="AF380" s="191"/>
      <c r="AG380" s="191"/>
      <c r="AH380" s="191"/>
      <c r="AI380" s="191"/>
      <c r="AJ380" s="191"/>
      <c r="AK380" s="191"/>
      <c r="AL380" s="191"/>
      <c r="AM380" s="191"/>
      <c r="AN380" s="191"/>
      <c r="AO380" s="191"/>
      <c r="AP380" s="191"/>
      <c r="AQ380" s="191"/>
      <c r="AR380" s="191"/>
      <c r="AS380" s="191"/>
      <c r="AT380" s="191"/>
      <c r="AU380" s="191"/>
      <c r="AV380" s="191"/>
      <c r="AW380" s="191"/>
      <c r="AX380" s="191"/>
      <c r="AY380" s="191"/>
      <c r="AZ380" s="191"/>
      <c r="BA380" s="191"/>
      <c r="BB380" s="191"/>
      <c r="BC380" s="191"/>
      <c r="BD380" s="191"/>
      <c r="BE380" s="191"/>
      <c r="BF380" s="191"/>
      <c r="BG380" s="191"/>
      <c r="BH380" s="191"/>
      <c r="BI380" s="191"/>
      <c r="BJ380" s="191"/>
      <c r="BK380" s="191"/>
      <c r="BL380" s="191"/>
      <c r="BM380" s="191"/>
      <c r="BN380" s="191"/>
      <c r="BO380" s="191"/>
      <c r="BP380" s="191"/>
    </row>
    <row r="381" spans="1:68">
      <c r="A381" s="195"/>
      <c r="K381" s="191"/>
      <c r="L381" s="191"/>
      <c r="M381" s="191"/>
      <c r="N381" s="191"/>
      <c r="O381" s="191"/>
      <c r="P381" s="191"/>
      <c r="Q381" s="191"/>
      <c r="R381" s="191"/>
      <c r="S381" s="191"/>
      <c r="T381" s="191"/>
      <c r="U381" s="191"/>
      <c r="V381" s="191"/>
      <c r="W381" s="191"/>
      <c r="X381" s="191"/>
      <c r="Y381" s="191"/>
      <c r="Z381" s="191"/>
      <c r="AA381" s="191"/>
      <c r="AB381" s="191"/>
      <c r="AC381" s="191"/>
      <c r="AD381" s="191"/>
      <c r="AE381" s="191"/>
      <c r="AF381" s="191"/>
      <c r="AG381" s="191"/>
      <c r="AH381" s="191"/>
      <c r="AI381" s="191"/>
      <c r="AJ381" s="191"/>
      <c r="AK381" s="191"/>
      <c r="AL381" s="191"/>
      <c r="AM381" s="191"/>
      <c r="AN381" s="191"/>
      <c r="AO381" s="191"/>
      <c r="AP381" s="191"/>
      <c r="AQ381" s="191"/>
      <c r="AR381" s="191"/>
      <c r="AS381" s="191"/>
      <c r="AT381" s="191"/>
      <c r="AU381" s="191"/>
      <c r="AV381" s="191"/>
      <c r="AW381" s="191"/>
      <c r="AX381" s="191"/>
      <c r="AY381" s="191"/>
      <c r="AZ381" s="191"/>
      <c r="BA381" s="191"/>
      <c r="BB381" s="191"/>
      <c r="BC381" s="191"/>
      <c r="BD381" s="191"/>
      <c r="BE381" s="191"/>
      <c r="BF381" s="191"/>
      <c r="BG381" s="191"/>
      <c r="BH381" s="191"/>
      <c r="BI381" s="191"/>
      <c r="BJ381" s="191"/>
      <c r="BK381" s="191"/>
      <c r="BL381" s="191"/>
      <c r="BM381" s="191"/>
      <c r="BN381" s="191"/>
      <c r="BO381" s="191"/>
      <c r="BP381" s="191"/>
    </row>
    <row r="382" spans="1:68">
      <c r="A382" s="195"/>
      <c r="K382" s="191"/>
      <c r="L382" s="191"/>
      <c r="M382" s="191"/>
      <c r="N382" s="191"/>
      <c r="O382" s="191"/>
      <c r="P382" s="191"/>
      <c r="Q382" s="191"/>
      <c r="R382" s="191"/>
      <c r="S382" s="191"/>
      <c r="T382" s="191"/>
      <c r="U382" s="191"/>
      <c r="V382" s="191"/>
      <c r="W382" s="191"/>
      <c r="X382" s="191"/>
      <c r="Y382" s="191"/>
      <c r="Z382" s="191"/>
      <c r="AA382" s="191"/>
      <c r="AB382" s="191"/>
      <c r="AC382" s="191"/>
      <c r="AD382" s="191"/>
      <c r="AE382" s="191"/>
      <c r="AF382" s="191"/>
      <c r="AG382" s="191"/>
      <c r="AH382" s="191"/>
      <c r="AI382" s="191"/>
      <c r="AJ382" s="191"/>
      <c r="AK382" s="191"/>
      <c r="AL382" s="191"/>
      <c r="AM382" s="191"/>
      <c r="AN382" s="191"/>
      <c r="AO382" s="191"/>
      <c r="AP382" s="191"/>
      <c r="AQ382" s="191"/>
      <c r="AR382" s="191"/>
      <c r="AS382" s="191"/>
      <c r="AT382" s="191"/>
      <c r="AU382" s="191"/>
      <c r="AV382" s="191"/>
      <c r="AW382" s="191"/>
      <c r="AX382" s="191"/>
      <c r="AY382" s="191"/>
      <c r="AZ382" s="191"/>
      <c r="BA382" s="191"/>
      <c r="BB382" s="191"/>
      <c r="BC382" s="191"/>
      <c r="BD382" s="191"/>
      <c r="BE382" s="191"/>
      <c r="BF382" s="191"/>
      <c r="BG382" s="191"/>
      <c r="BH382" s="191"/>
      <c r="BI382" s="191"/>
      <c r="BJ382" s="191"/>
      <c r="BK382" s="191"/>
      <c r="BL382" s="191"/>
      <c r="BM382" s="191"/>
      <c r="BN382" s="191"/>
      <c r="BO382" s="191"/>
      <c r="BP382" s="191"/>
    </row>
    <row r="383" spans="1:68">
      <c r="A383" s="195"/>
      <c r="K383" s="191"/>
      <c r="L383" s="191"/>
      <c r="M383" s="191"/>
      <c r="N383" s="191"/>
      <c r="O383" s="191"/>
      <c r="P383" s="191"/>
      <c r="Q383" s="191"/>
      <c r="R383" s="191"/>
      <c r="S383" s="191"/>
      <c r="T383" s="191"/>
      <c r="U383" s="191"/>
      <c r="V383" s="191"/>
      <c r="W383" s="191"/>
      <c r="X383" s="191"/>
      <c r="Y383" s="191"/>
      <c r="Z383" s="191"/>
      <c r="AA383" s="191"/>
      <c r="AB383" s="191"/>
      <c r="AC383" s="191"/>
      <c r="AD383" s="191"/>
      <c r="AE383" s="191"/>
      <c r="AF383" s="191"/>
      <c r="AG383" s="191"/>
      <c r="AH383" s="191"/>
      <c r="AI383" s="191"/>
      <c r="AJ383" s="191"/>
      <c r="AK383" s="191"/>
      <c r="AL383" s="191"/>
      <c r="AM383" s="191"/>
      <c r="AN383" s="191"/>
      <c r="AO383" s="191"/>
      <c r="AP383" s="191"/>
      <c r="AQ383" s="191"/>
      <c r="AR383" s="191"/>
      <c r="AS383" s="191"/>
      <c r="AT383" s="191"/>
      <c r="AU383" s="191"/>
      <c r="AV383" s="191"/>
      <c r="AW383" s="191"/>
      <c r="AX383" s="191"/>
      <c r="AY383" s="191"/>
      <c r="AZ383" s="191"/>
      <c r="BA383" s="191"/>
      <c r="BB383" s="191"/>
      <c r="BC383" s="191"/>
      <c r="BD383" s="191"/>
      <c r="BE383" s="191"/>
      <c r="BF383" s="191"/>
      <c r="BG383" s="191"/>
      <c r="BH383" s="191"/>
      <c r="BI383" s="191"/>
      <c r="BJ383" s="191"/>
      <c r="BK383" s="191"/>
      <c r="BL383" s="191"/>
      <c r="BM383" s="191"/>
      <c r="BN383" s="191"/>
      <c r="BO383" s="191"/>
      <c r="BP383" s="191"/>
    </row>
    <row r="384" spans="1:68">
      <c r="A384" s="195"/>
      <c r="K384" s="191"/>
      <c r="L384" s="191"/>
      <c r="M384" s="191"/>
      <c r="N384" s="191"/>
      <c r="O384" s="191"/>
      <c r="P384" s="191"/>
      <c r="Q384" s="191"/>
      <c r="R384" s="191"/>
      <c r="S384" s="191"/>
      <c r="T384" s="191"/>
      <c r="U384" s="191"/>
      <c r="V384" s="191"/>
      <c r="W384" s="191"/>
      <c r="X384" s="191"/>
      <c r="Y384" s="191"/>
      <c r="Z384" s="191"/>
      <c r="AA384" s="191"/>
      <c r="AB384" s="191"/>
      <c r="AC384" s="191"/>
      <c r="AD384" s="191"/>
      <c r="AE384" s="191"/>
      <c r="AF384" s="191"/>
      <c r="AG384" s="191"/>
      <c r="AH384" s="191"/>
      <c r="AI384" s="191"/>
      <c r="AJ384" s="191"/>
      <c r="AK384" s="191"/>
      <c r="AL384" s="191"/>
      <c r="AM384" s="191"/>
      <c r="AN384" s="191"/>
      <c r="AO384" s="191"/>
      <c r="AP384" s="191"/>
      <c r="AQ384" s="191"/>
      <c r="AR384" s="191"/>
      <c r="AS384" s="191"/>
      <c r="AT384" s="191"/>
      <c r="AU384" s="191"/>
      <c r="AV384" s="191"/>
      <c r="AW384" s="191"/>
      <c r="AX384" s="191"/>
      <c r="AY384" s="191"/>
      <c r="AZ384" s="191"/>
      <c r="BA384" s="191"/>
      <c r="BB384" s="191"/>
      <c r="BC384" s="191"/>
      <c r="BD384" s="191"/>
      <c r="BE384" s="191"/>
      <c r="BF384" s="191"/>
      <c r="BG384" s="191"/>
      <c r="BH384" s="191"/>
      <c r="BI384" s="191"/>
      <c r="BJ384" s="191"/>
      <c r="BK384" s="191"/>
      <c r="BL384" s="191"/>
      <c r="BM384" s="191"/>
      <c r="BN384" s="191"/>
      <c r="BO384" s="191"/>
      <c r="BP384" s="191"/>
    </row>
    <row r="385" spans="1:68">
      <c r="A385" s="195"/>
      <c r="K385" s="191"/>
      <c r="L385" s="191"/>
      <c r="M385" s="191"/>
      <c r="N385" s="191"/>
      <c r="O385" s="191"/>
      <c r="P385" s="191"/>
      <c r="Q385" s="191"/>
      <c r="R385" s="191"/>
      <c r="S385" s="191"/>
      <c r="T385" s="191"/>
      <c r="U385" s="191"/>
      <c r="V385" s="191"/>
      <c r="W385" s="191"/>
      <c r="X385" s="191"/>
      <c r="Y385" s="191"/>
      <c r="Z385" s="191"/>
      <c r="AA385" s="191"/>
      <c r="AB385" s="191"/>
      <c r="AC385" s="191"/>
      <c r="AD385" s="191"/>
      <c r="AE385" s="191"/>
      <c r="AF385" s="191"/>
      <c r="AG385" s="191"/>
      <c r="AH385" s="191"/>
      <c r="AI385" s="191"/>
      <c r="AJ385" s="191"/>
      <c r="AK385" s="191"/>
      <c r="AL385" s="191"/>
      <c r="AM385" s="191"/>
      <c r="AN385" s="191"/>
      <c r="AO385" s="191"/>
      <c r="AP385" s="191"/>
      <c r="AQ385" s="191"/>
      <c r="AR385" s="191"/>
      <c r="AS385" s="191"/>
      <c r="AT385" s="191"/>
      <c r="AU385" s="191"/>
      <c r="AV385" s="191"/>
      <c r="AW385" s="191"/>
      <c r="AX385" s="191"/>
      <c r="AY385" s="191"/>
      <c r="AZ385" s="191"/>
      <c r="BA385" s="191"/>
      <c r="BB385" s="191"/>
      <c r="BC385" s="191"/>
      <c r="BD385" s="191"/>
      <c r="BE385" s="191"/>
      <c r="BF385" s="191"/>
      <c r="BG385" s="191"/>
      <c r="BH385" s="191"/>
      <c r="BI385" s="191"/>
      <c r="BJ385" s="191"/>
      <c r="BK385" s="191"/>
      <c r="BL385" s="191"/>
      <c r="BM385" s="191"/>
      <c r="BN385" s="191"/>
      <c r="BO385" s="191"/>
      <c r="BP385" s="191"/>
    </row>
    <row r="386" spans="1:68">
      <c r="A386" s="195"/>
      <c r="K386" s="191"/>
      <c r="L386" s="191"/>
      <c r="M386" s="191"/>
      <c r="N386" s="191"/>
      <c r="O386" s="191"/>
      <c r="P386" s="191"/>
      <c r="Q386" s="191"/>
      <c r="R386" s="191"/>
      <c r="S386" s="191"/>
      <c r="T386" s="191"/>
      <c r="U386" s="191"/>
      <c r="V386" s="191"/>
      <c r="W386" s="191"/>
      <c r="X386" s="191"/>
      <c r="Y386" s="191"/>
      <c r="Z386" s="191"/>
      <c r="AA386" s="191"/>
      <c r="AB386" s="191"/>
      <c r="AC386" s="191"/>
      <c r="AD386" s="191"/>
      <c r="AE386" s="191"/>
      <c r="AF386" s="191"/>
      <c r="AG386" s="191"/>
      <c r="AH386" s="191"/>
      <c r="AI386" s="191"/>
      <c r="AJ386" s="191"/>
      <c r="AK386" s="191"/>
      <c r="AL386" s="191"/>
      <c r="AM386" s="191"/>
      <c r="AN386" s="191"/>
      <c r="AO386" s="191"/>
      <c r="AP386" s="191"/>
      <c r="AQ386" s="191"/>
      <c r="AR386" s="191"/>
      <c r="AS386" s="191"/>
      <c r="AT386" s="191"/>
      <c r="AU386" s="191"/>
      <c r="AV386" s="191"/>
      <c r="AW386" s="191"/>
      <c r="AX386" s="191"/>
      <c r="AY386" s="191"/>
      <c r="AZ386" s="191"/>
      <c r="BA386" s="191"/>
      <c r="BB386" s="191"/>
      <c r="BC386" s="191"/>
      <c r="BD386" s="191"/>
      <c r="BE386" s="191"/>
      <c r="BF386" s="191"/>
      <c r="BG386" s="191"/>
      <c r="BH386" s="191"/>
      <c r="BI386" s="191"/>
      <c r="BJ386" s="191"/>
      <c r="BK386" s="191"/>
      <c r="BL386" s="191"/>
      <c r="BM386" s="191"/>
      <c r="BN386" s="191"/>
      <c r="BO386" s="191"/>
      <c r="BP386" s="191"/>
    </row>
    <row r="387" spans="1:68">
      <c r="A387" s="195"/>
      <c r="K387" s="191"/>
      <c r="L387" s="191"/>
      <c r="M387" s="191"/>
      <c r="N387" s="191"/>
      <c r="O387" s="191"/>
      <c r="P387" s="191"/>
      <c r="Q387" s="191"/>
      <c r="R387" s="191"/>
      <c r="S387" s="191"/>
      <c r="T387" s="191"/>
      <c r="U387" s="191"/>
      <c r="V387" s="191"/>
      <c r="W387" s="191"/>
      <c r="X387" s="191"/>
      <c r="Y387" s="191"/>
      <c r="Z387" s="191"/>
      <c r="AA387" s="191"/>
      <c r="AB387" s="191"/>
      <c r="AC387" s="191"/>
      <c r="AD387" s="191"/>
      <c r="AE387" s="191"/>
      <c r="AF387" s="191"/>
      <c r="AG387" s="191"/>
      <c r="AH387" s="191"/>
      <c r="AI387" s="191"/>
      <c r="AJ387" s="191"/>
      <c r="AK387" s="191"/>
      <c r="AL387" s="191"/>
      <c r="AM387" s="191"/>
      <c r="AN387" s="191"/>
      <c r="AO387" s="191"/>
      <c r="AP387" s="191"/>
      <c r="AQ387" s="191"/>
      <c r="AR387" s="191"/>
      <c r="AS387" s="191"/>
      <c r="AT387" s="191"/>
      <c r="AU387" s="191"/>
      <c r="AV387" s="191"/>
      <c r="AW387" s="191"/>
      <c r="AX387" s="191"/>
      <c r="AY387" s="191"/>
      <c r="AZ387" s="191"/>
      <c r="BA387" s="191"/>
      <c r="BB387" s="191"/>
      <c r="BC387" s="191"/>
      <c r="BD387" s="191"/>
      <c r="BE387" s="191"/>
      <c r="BF387" s="191"/>
      <c r="BG387" s="191"/>
      <c r="BH387" s="191"/>
      <c r="BI387" s="191"/>
      <c r="BJ387" s="191"/>
      <c r="BK387" s="191"/>
      <c r="BL387" s="191"/>
      <c r="BM387" s="191"/>
      <c r="BN387" s="191"/>
      <c r="BO387" s="191"/>
      <c r="BP387" s="191"/>
    </row>
    <row r="388" spans="1:68">
      <c r="A388" s="195"/>
      <c r="K388" s="191"/>
      <c r="L388" s="191"/>
      <c r="M388" s="191"/>
      <c r="N388" s="191"/>
      <c r="O388" s="191"/>
      <c r="P388" s="191"/>
      <c r="Q388" s="191"/>
      <c r="R388" s="191"/>
      <c r="S388" s="191"/>
      <c r="T388" s="191"/>
      <c r="U388" s="191"/>
      <c r="V388" s="191"/>
      <c r="W388" s="191"/>
      <c r="X388" s="191"/>
      <c r="Y388" s="191"/>
      <c r="Z388" s="191"/>
      <c r="AA388" s="191"/>
      <c r="AB388" s="191"/>
      <c r="AC388" s="191"/>
      <c r="AD388" s="191"/>
      <c r="AE388" s="191"/>
      <c r="AF388" s="191"/>
      <c r="AG388" s="191"/>
      <c r="AH388" s="191"/>
      <c r="AI388" s="191"/>
      <c r="AJ388" s="191"/>
      <c r="AK388" s="191"/>
      <c r="AL388" s="191"/>
      <c r="AM388" s="191"/>
      <c r="AN388" s="191"/>
      <c r="AO388" s="191"/>
      <c r="AP388" s="191"/>
      <c r="AQ388" s="191"/>
      <c r="AR388" s="191"/>
      <c r="AS388" s="191"/>
      <c r="AT388" s="191"/>
      <c r="AU388" s="191"/>
      <c r="AV388" s="191"/>
      <c r="AW388" s="191"/>
      <c r="AX388" s="191"/>
      <c r="AY388" s="191"/>
      <c r="AZ388" s="191"/>
      <c r="BA388" s="191"/>
      <c r="BB388" s="191"/>
      <c r="BC388" s="191"/>
      <c r="BD388" s="191"/>
      <c r="BE388" s="191"/>
      <c r="BF388" s="191"/>
      <c r="BG388" s="191"/>
      <c r="BH388" s="191"/>
      <c r="BI388" s="191"/>
      <c r="BJ388" s="191"/>
      <c r="BK388" s="191"/>
      <c r="BL388" s="191"/>
      <c r="BM388" s="191"/>
      <c r="BN388" s="191"/>
      <c r="BO388" s="191"/>
      <c r="BP388" s="191"/>
    </row>
    <row r="389" spans="1:68">
      <c r="A389" s="195"/>
      <c r="K389" s="191"/>
      <c r="L389" s="191"/>
      <c r="M389" s="191"/>
      <c r="N389" s="191"/>
      <c r="O389" s="191"/>
      <c r="P389" s="191"/>
      <c r="Q389" s="191"/>
      <c r="R389" s="191"/>
      <c r="S389" s="191"/>
      <c r="T389" s="191"/>
      <c r="U389" s="191"/>
      <c r="V389" s="191"/>
      <c r="W389" s="191"/>
      <c r="X389" s="191"/>
      <c r="Y389" s="191"/>
      <c r="Z389" s="191"/>
      <c r="AA389" s="191"/>
      <c r="AB389" s="191"/>
      <c r="AC389" s="191"/>
      <c r="AD389" s="191"/>
      <c r="AE389" s="191"/>
      <c r="AF389" s="191"/>
      <c r="AG389" s="191"/>
      <c r="AH389" s="191"/>
      <c r="AI389" s="191"/>
      <c r="AJ389" s="191"/>
      <c r="AK389" s="191"/>
      <c r="AL389" s="191"/>
      <c r="AM389" s="191"/>
      <c r="AN389" s="191"/>
      <c r="AO389" s="191"/>
      <c r="AP389" s="191"/>
      <c r="AQ389" s="191"/>
      <c r="AR389" s="191"/>
      <c r="AS389" s="191"/>
      <c r="AT389" s="191"/>
      <c r="AU389" s="191"/>
      <c r="AV389" s="191"/>
      <c r="AW389" s="191"/>
      <c r="AX389" s="191"/>
      <c r="AY389" s="191"/>
      <c r="AZ389" s="191"/>
      <c r="BA389" s="191"/>
      <c r="BB389" s="191"/>
      <c r="BC389" s="191"/>
      <c r="BD389" s="191"/>
      <c r="BE389" s="191"/>
      <c r="BF389" s="191"/>
      <c r="BG389" s="191"/>
      <c r="BH389" s="191"/>
      <c r="BI389" s="191"/>
      <c r="BJ389" s="191"/>
      <c r="BK389" s="191"/>
      <c r="BL389" s="191"/>
      <c r="BM389" s="191"/>
      <c r="BN389" s="191"/>
      <c r="BO389" s="191"/>
      <c r="BP389" s="191"/>
    </row>
    <row r="390" spans="1:68">
      <c r="A390" s="195"/>
      <c r="K390" s="191"/>
      <c r="L390" s="191"/>
      <c r="M390" s="191"/>
      <c r="N390" s="191"/>
      <c r="O390" s="191"/>
      <c r="P390" s="191"/>
      <c r="Q390" s="191"/>
      <c r="R390" s="191"/>
      <c r="S390" s="191"/>
      <c r="T390" s="191"/>
      <c r="U390" s="191"/>
      <c r="V390" s="191"/>
      <c r="W390" s="191"/>
      <c r="X390" s="191"/>
      <c r="Y390" s="191"/>
      <c r="Z390" s="191"/>
      <c r="AA390" s="191"/>
      <c r="AB390" s="191"/>
      <c r="AC390" s="191"/>
      <c r="AD390" s="191"/>
      <c r="AE390" s="191"/>
      <c r="AF390" s="191"/>
      <c r="AG390" s="191"/>
      <c r="AH390" s="191"/>
      <c r="AI390" s="191"/>
      <c r="AJ390" s="191"/>
      <c r="AK390" s="191"/>
      <c r="AL390" s="191"/>
      <c r="AM390" s="191"/>
      <c r="AN390" s="191"/>
      <c r="AO390" s="191"/>
      <c r="AP390" s="191"/>
      <c r="AQ390" s="191"/>
      <c r="AR390" s="191"/>
      <c r="AS390" s="191"/>
      <c r="AT390" s="191"/>
      <c r="AU390" s="191"/>
      <c r="AV390" s="191"/>
      <c r="AW390" s="191"/>
      <c r="AX390" s="191"/>
      <c r="AY390" s="191"/>
      <c r="AZ390" s="191"/>
      <c r="BA390" s="191"/>
      <c r="BB390" s="191"/>
      <c r="BC390" s="191"/>
      <c r="BD390" s="191"/>
      <c r="BE390" s="191"/>
      <c r="BF390" s="191"/>
      <c r="BG390" s="191"/>
      <c r="BH390" s="191"/>
      <c r="BI390" s="191"/>
      <c r="BJ390" s="191"/>
      <c r="BK390" s="191"/>
      <c r="BL390" s="191"/>
      <c r="BM390" s="191"/>
      <c r="BN390" s="191"/>
      <c r="BO390" s="191"/>
      <c r="BP390" s="191"/>
    </row>
    <row r="391" spans="1:68">
      <c r="A391" s="195"/>
      <c r="K391" s="191"/>
      <c r="L391" s="191"/>
      <c r="M391" s="191"/>
      <c r="N391" s="191"/>
      <c r="O391" s="191"/>
      <c r="P391" s="191"/>
      <c r="Q391" s="191"/>
      <c r="R391" s="191"/>
      <c r="S391" s="191"/>
      <c r="T391" s="191"/>
      <c r="U391" s="191"/>
      <c r="V391" s="191"/>
      <c r="W391" s="191"/>
      <c r="X391" s="191"/>
      <c r="Y391" s="191"/>
      <c r="Z391" s="191"/>
      <c r="AA391" s="191"/>
      <c r="AB391" s="191"/>
      <c r="AC391" s="191"/>
      <c r="AD391" s="191"/>
      <c r="AE391" s="191"/>
      <c r="AF391" s="191"/>
      <c r="AG391" s="191"/>
      <c r="AH391" s="191"/>
      <c r="AI391" s="191"/>
      <c r="AJ391" s="191"/>
      <c r="AK391" s="191"/>
      <c r="AL391" s="191"/>
      <c r="AM391" s="191"/>
      <c r="AN391" s="191"/>
      <c r="AO391" s="191"/>
      <c r="AP391" s="191"/>
      <c r="AQ391" s="191"/>
      <c r="AR391" s="191"/>
      <c r="AS391" s="191"/>
      <c r="AT391" s="191"/>
      <c r="AU391" s="191"/>
      <c r="AV391" s="191"/>
      <c r="AW391" s="191"/>
      <c r="AX391" s="191"/>
      <c r="AY391" s="191"/>
      <c r="AZ391" s="191"/>
      <c r="BA391" s="191"/>
      <c r="BB391" s="191"/>
      <c r="BC391" s="191"/>
      <c r="BD391" s="191"/>
      <c r="BE391" s="191"/>
      <c r="BF391" s="191"/>
      <c r="BG391" s="191"/>
      <c r="BH391" s="191"/>
      <c r="BI391" s="191"/>
      <c r="BJ391" s="191"/>
      <c r="BK391" s="191"/>
      <c r="BL391" s="191"/>
      <c r="BM391" s="191"/>
      <c r="BN391" s="191"/>
      <c r="BO391" s="191"/>
      <c r="BP391" s="191"/>
    </row>
    <row r="392" spans="1:68">
      <c r="A392" s="195"/>
      <c r="K392" s="191"/>
      <c r="L392" s="191"/>
      <c r="M392" s="191"/>
      <c r="N392" s="191"/>
      <c r="O392" s="191"/>
      <c r="P392" s="191"/>
      <c r="Q392" s="191"/>
      <c r="R392" s="191"/>
      <c r="S392" s="191"/>
      <c r="T392" s="191"/>
      <c r="U392" s="191"/>
      <c r="V392" s="191"/>
      <c r="W392" s="191"/>
      <c r="X392" s="191"/>
      <c r="Y392" s="191"/>
      <c r="Z392" s="191"/>
      <c r="AA392" s="191"/>
      <c r="AB392" s="191"/>
      <c r="AC392" s="191"/>
      <c r="AD392" s="191"/>
      <c r="AE392" s="191"/>
      <c r="AF392" s="191"/>
      <c r="AG392" s="191"/>
      <c r="AH392" s="191"/>
      <c r="AI392" s="191"/>
      <c r="AJ392" s="191"/>
      <c r="AK392" s="191"/>
      <c r="AL392" s="191"/>
      <c r="AM392" s="191"/>
      <c r="AN392" s="191"/>
      <c r="AO392" s="191"/>
      <c r="AP392" s="191"/>
      <c r="AQ392" s="191"/>
      <c r="AR392" s="191"/>
      <c r="AS392" s="191"/>
      <c r="AT392" s="191"/>
      <c r="AU392" s="191"/>
      <c r="AV392" s="191"/>
      <c r="AW392" s="191"/>
      <c r="AX392" s="191"/>
      <c r="AY392" s="191"/>
      <c r="AZ392" s="191"/>
      <c r="BA392" s="191"/>
      <c r="BB392" s="191"/>
      <c r="BC392" s="191"/>
      <c r="BD392" s="191"/>
      <c r="BE392" s="191"/>
      <c r="BF392" s="191"/>
      <c r="BG392" s="191"/>
      <c r="BH392" s="191"/>
      <c r="BI392" s="191"/>
      <c r="BJ392" s="191"/>
      <c r="BK392" s="191"/>
      <c r="BL392" s="191"/>
      <c r="BM392" s="191"/>
      <c r="BN392" s="191"/>
      <c r="BO392" s="191"/>
      <c r="BP392" s="191"/>
    </row>
    <row r="393" spans="1:68">
      <c r="A393" s="195"/>
      <c r="K393" s="191"/>
      <c r="L393" s="191"/>
      <c r="M393" s="191"/>
      <c r="N393" s="191"/>
      <c r="O393" s="191"/>
      <c r="P393" s="191"/>
      <c r="Q393" s="191"/>
      <c r="R393" s="191"/>
      <c r="S393" s="191"/>
      <c r="T393" s="191"/>
      <c r="U393" s="191"/>
      <c r="V393" s="191"/>
      <c r="W393" s="191"/>
      <c r="X393" s="191"/>
      <c r="Y393" s="191"/>
      <c r="Z393" s="191"/>
      <c r="AA393" s="191"/>
      <c r="AB393" s="191"/>
      <c r="AC393" s="191"/>
      <c r="AD393" s="191"/>
      <c r="AE393" s="191"/>
      <c r="AF393" s="191"/>
      <c r="AG393" s="191"/>
      <c r="AH393" s="191"/>
      <c r="AI393" s="191"/>
      <c r="AJ393" s="191"/>
      <c r="AK393" s="191"/>
      <c r="AL393" s="191"/>
      <c r="AM393" s="191"/>
      <c r="AN393" s="191"/>
      <c r="AO393" s="191"/>
      <c r="AP393" s="191"/>
      <c r="AQ393" s="191"/>
      <c r="AR393" s="191"/>
      <c r="AS393" s="191"/>
      <c r="AT393" s="191"/>
      <c r="AU393" s="191"/>
      <c r="AV393" s="191"/>
      <c r="AW393" s="191"/>
      <c r="AX393" s="191"/>
      <c r="AY393" s="191"/>
      <c r="AZ393" s="191"/>
      <c r="BA393" s="191"/>
      <c r="BB393" s="191"/>
      <c r="BC393" s="191"/>
      <c r="BD393" s="191"/>
      <c r="BE393" s="191"/>
      <c r="BF393" s="191"/>
      <c r="BG393" s="191"/>
      <c r="BH393" s="191"/>
      <c r="BI393" s="191"/>
      <c r="BJ393" s="191"/>
      <c r="BK393" s="191"/>
      <c r="BL393" s="191"/>
      <c r="BM393" s="191"/>
      <c r="BN393" s="191"/>
      <c r="BO393" s="191"/>
      <c r="BP393" s="191"/>
    </row>
    <row r="394" spans="1:68">
      <c r="A394" s="195"/>
      <c r="K394" s="191"/>
      <c r="L394" s="191"/>
      <c r="M394" s="191"/>
      <c r="N394" s="191"/>
      <c r="O394" s="191"/>
      <c r="P394" s="191"/>
      <c r="Q394" s="191"/>
      <c r="R394" s="191"/>
      <c r="S394" s="191"/>
      <c r="T394" s="191"/>
      <c r="U394" s="191"/>
      <c r="V394" s="191"/>
      <c r="W394" s="191"/>
      <c r="X394" s="191"/>
      <c r="Y394" s="191"/>
      <c r="Z394" s="191"/>
      <c r="AA394" s="191"/>
      <c r="AB394" s="191"/>
      <c r="AC394" s="191"/>
      <c r="AD394" s="191"/>
      <c r="AE394" s="191"/>
      <c r="AF394" s="191"/>
      <c r="AG394" s="191"/>
      <c r="AH394" s="191"/>
      <c r="AI394" s="191"/>
      <c r="AJ394" s="191"/>
      <c r="AK394" s="191"/>
      <c r="AL394" s="191"/>
      <c r="AM394" s="191"/>
      <c r="AN394" s="191"/>
      <c r="AO394" s="191"/>
      <c r="AP394" s="191"/>
      <c r="AQ394" s="191"/>
      <c r="AR394" s="191"/>
      <c r="AS394" s="191"/>
      <c r="AT394" s="191"/>
      <c r="AU394" s="191"/>
      <c r="AV394" s="191"/>
      <c r="AW394" s="191"/>
      <c r="AX394" s="191"/>
      <c r="AY394" s="191"/>
      <c r="AZ394" s="191"/>
      <c r="BA394" s="191"/>
      <c r="BB394" s="191"/>
      <c r="BC394" s="191"/>
      <c r="BD394" s="191"/>
      <c r="BE394" s="191"/>
      <c r="BF394" s="191"/>
      <c r="BG394" s="191"/>
      <c r="BH394" s="191"/>
      <c r="BI394" s="191"/>
      <c r="BJ394" s="191"/>
      <c r="BK394" s="191"/>
      <c r="BL394" s="191"/>
      <c r="BM394" s="191"/>
      <c r="BN394" s="191"/>
      <c r="BO394" s="191"/>
      <c r="BP394" s="191"/>
    </row>
    <row r="395" spans="1:68">
      <c r="A395" s="195"/>
      <c r="K395" s="191"/>
      <c r="L395" s="191"/>
      <c r="M395" s="191"/>
      <c r="N395" s="191"/>
      <c r="O395" s="191"/>
      <c r="P395" s="191"/>
      <c r="Q395" s="191"/>
      <c r="R395" s="191"/>
      <c r="S395" s="191"/>
      <c r="T395" s="191"/>
      <c r="U395" s="191"/>
      <c r="V395" s="191"/>
      <c r="W395" s="191"/>
      <c r="X395" s="191"/>
      <c r="Y395" s="191"/>
      <c r="Z395" s="191"/>
      <c r="AA395" s="191"/>
      <c r="AB395" s="191"/>
      <c r="AC395" s="191"/>
      <c r="AD395" s="191"/>
      <c r="AE395" s="191"/>
      <c r="AF395" s="191"/>
      <c r="AG395" s="191"/>
      <c r="AH395" s="191"/>
      <c r="AI395" s="191"/>
      <c r="AJ395" s="191"/>
      <c r="AK395" s="191"/>
      <c r="AL395" s="191"/>
      <c r="AM395" s="191"/>
      <c r="AN395" s="191"/>
      <c r="AO395" s="191"/>
      <c r="AP395" s="191"/>
      <c r="AQ395" s="191"/>
      <c r="AR395" s="191"/>
      <c r="AS395" s="191"/>
      <c r="AT395" s="191"/>
      <c r="AU395" s="191"/>
      <c r="AV395" s="191"/>
      <c r="AW395" s="191"/>
      <c r="AX395" s="191"/>
      <c r="AY395" s="191"/>
      <c r="AZ395" s="191"/>
      <c r="BA395" s="191"/>
      <c r="BB395" s="191"/>
      <c r="BC395" s="191"/>
      <c r="BD395" s="191"/>
      <c r="BE395" s="191"/>
      <c r="BF395" s="191"/>
      <c r="BG395" s="191"/>
      <c r="BH395" s="191"/>
      <c r="BI395" s="191"/>
      <c r="BJ395" s="191"/>
      <c r="BK395" s="191"/>
      <c r="BL395" s="191"/>
      <c r="BM395" s="191"/>
      <c r="BN395" s="191"/>
      <c r="BO395" s="191"/>
      <c r="BP395" s="191"/>
    </row>
    <row r="396" spans="1:68">
      <c r="A396" s="195"/>
      <c r="K396" s="191"/>
      <c r="L396" s="191"/>
      <c r="M396" s="191"/>
      <c r="N396" s="191"/>
      <c r="O396" s="191"/>
      <c r="P396" s="191"/>
      <c r="Q396" s="191"/>
      <c r="R396" s="191"/>
      <c r="S396" s="191"/>
      <c r="T396" s="191"/>
      <c r="U396" s="191"/>
      <c r="V396" s="191"/>
      <c r="W396" s="191"/>
      <c r="X396" s="191"/>
      <c r="Y396" s="191"/>
      <c r="Z396" s="191"/>
      <c r="AA396" s="191"/>
      <c r="AB396" s="191"/>
      <c r="AC396" s="191"/>
      <c r="AD396" s="191"/>
      <c r="AE396" s="191"/>
      <c r="AF396" s="191"/>
      <c r="AG396" s="191"/>
      <c r="AH396" s="191"/>
      <c r="AI396" s="191"/>
      <c r="AJ396" s="191"/>
      <c r="AK396" s="191"/>
      <c r="AL396" s="191"/>
      <c r="AM396" s="191"/>
      <c r="AN396" s="191"/>
      <c r="AO396" s="191"/>
      <c r="AP396" s="191"/>
      <c r="AQ396" s="191"/>
      <c r="AR396" s="191"/>
      <c r="AS396" s="191"/>
      <c r="AT396" s="191"/>
      <c r="AU396" s="191"/>
      <c r="AV396" s="191"/>
      <c r="AW396" s="191"/>
      <c r="AX396" s="191"/>
      <c r="AY396" s="191"/>
      <c r="AZ396" s="191"/>
      <c r="BA396" s="191"/>
      <c r="BB396" s="191"/>
      <c r="BC396" s="191"/>
      <c r="BD396" s="191"/>
      <c r="BE396" s="191"/>
      <c r="BF396" s="191"/>
      <c r="BG396" s="191"/>
      <c r="BH396" s="191"/>
      <c r="BI396" s="191"/>
      <c r="BJ396" s="191"/>
      <c r="BK396" s="191"/>
      <c r="BL396" s="191"/>
      <c r="BM396" s="191"/>
      <c r="BN396" s="191"/>
      <c r="BO396" s="191"/>
      <c r="BP396" s="191"/>
    </row>
    <row r="397" spans="1:68">
      <c r="A397" s="195"/>
      <c r="K397" s="191"/>
      <c r="L397" s="191"/>
      <c r="M397" s="191"/>
      <c r="N397" s="191"/>
      <c r="O397" s="191"/>
      <c r="P397" s="191"/>
      <c r="Q397" s="191"/>
      <c r="R397" s="191"/>
      <c r="S397" s="191"/>
      <c r="T397" s="191"/>
      <c r="U397" s="191"/>
      <c r="V397" s="191"/>
      <c r="W397" s="191"/>
      <c r="X397" s="191"/>
      <c r="Y397" s="191"/>
      <c r="Z397" s="191"/>
      <c r="AA397" s="191"/>
      <c r="AB397" s="191"/>
      <c r="AC397" s="191"/>
      <c r="AD397" s="191"/>
      <c r="AE397" s="191"/>
      <c r="AF397" s="191"/>
      <c r="AG397" s="191"/>
      <c r="AH397" s="191"/>
      <c r="AI397" s="191"/>
      <c r="AJ397" s="191"/>
      <c r="AK397" s="191"/>
      <c r="AL397" s="191"/>
      <c r="AM397" s="191"/>
      <c r="AN397" s="191"/>
      <c r="AO397" s="191"/>
      <c r="AP397" s="191"/>
      <c r="AQ397" s="191"/>
      <c r="AR397" s="191"/>
      <c r="AS397" s="191"/>
      <c r="AT397" s="191"/>
      <c r="AU397" s="191"/>
      <c r="AV397" s="191"/>
      <c r="AW397" s="191"/>
      <c r="AX397" s="191"/>
      <c r="AY397" s="191"/>
      <c r="AZ397" s="191"/>
      <c r="BA397" s="191"/>
      <c r="BB397" s="191"/>
      <c r="BC397" s="191"/>
      <c r="BD397" s="191"/>
      <c r="BE397" s="191"/>
      <c r="BF397" s="191"/>
      <c r="BG397" s="191"/>
      <c r="BH397" s="191"/>
      <c r="BI397" s="191"/>
      <c r="BJ397" s="191"/>
      <c r="BK397" s="191"/>
      <c r="BL397" s="191"/>
      <c r="BM397" s="191"/>
      <c r="BN397" s="191"/>
      <c r="BO397" s="191"/>
      <c r="BP397" s="191"/>
    </row>
    <row r="398" spans="1:68">
      <c r="A398" s="195"/>
      <c r="K398" s="191"/>
      <c r="L398" s="191"/>
      <c r="M398" s="191"/>
      <c r="N398" s="191"/>
      <c r="O398" s="191"/>
      <c r="P398" s="191"/>
      <c r="Q398" s="191"/>
      <c r="R398" s="191"/>
      <c r="S398" s="191"/>
      <c r="T398" s="191"/>
      <c r="U398" s="191"/>
      <c r="V398" s="191"/>
      <c r="W398" s="191"/>
      <c r="X398" s="191"/>
      <c r="Y398" s="191"/>
      <c r="Z398" s="191"/>
      <c r="AA398" s="191"/>
      <c r="AB398" s="191"/>
      <c r="AC398" s="191"/>
      <c r="AD398" s="191"/>
      <c r="AE398" s="191"/>
      <c r="AF398" s="191"/>
      <c r="AG398" s="191"/>
      <c r="AH398" s="191"/>
      <c r="AI398" s="191"/>
      <c r="AJ398" s="191"/>
      <c r="AK398" s="191"/>
      <c r="AL398" s="191"/>
      <c r="AM398" s="191"/>
      <c r="AN398" s="191"/>
      <c r="AO398" s="191"/>
      <c r="AP398" s="191"/>
      <c r="AQ398" s="191"/>
      <c r="AR398" s="191"/>
      <c r="AS398" s="191"/>
      <c r="AT398" s="191"/>
      <c r="AU398" s="191"/>
      <c r="AV398" s="191"/>
      <c r="AW398" s="191"/>
      <c r="AX398" s="191"/>
      <c r="AY398" s="191"/>
      <c r="AZ398" s="191"/>
      <c r="BA398" s="191"/>
      <c r="BB398" s="191"/>
      <c r="BC398" s="191"/>
      <c r="BD398" s="191"/>
      <c r="BE398" s="191"/>
      <c r="BF398" s="191"/>
      <c r="BG398" s="191"/>
      <c r="BH398" s="191"/>
      <c r="BI398" s="191"/>
      <c r="BJ398" s="191"/>
      <c r="BK398" s="191"/>
      <c r="BL398" s="191"/>
      <c r="BM398" s="191"/>
      <c r="BN398" s="191"/>
      <c r="BO398" s="191"/>
      <c r="BP398" s="191"/>
    </row>
    <row r="399" spans="1:68">
      <c r="A399" s="195"/>
      <c r="K399" s="191"/>
      <c r="L399" s="191"/>
      <c r="M399" s="191"/>
      <c r="N399" s="191"/>
      <c r="O399" s="191"/>
      <c r="P399" s="191"/>
      <c r="Q399" s="191"/>
      <c r="R399" s="191"/>
      <c r="S399" s="191"/>
      <c r="T399" s="191"/>
      <c r="U399" s="191"/>
      <c r="V399" s="191"/>
      <c r="W399" s="191"/>
      <c r="X399" s="191"/>
      <c r="Y399" s="191"/>
      <c r="Z399" s="191"/>
      <c r="AA399" s="191"/>
      <c r="AB399" s="191"/>
      <c r="AC399" s="191"/>
      <c r="AD399" s="191"/>
      <c r="AE399" s="191"/>
      <c r="AF399" s="191"/>
      <c r="AG399" s="191"/>
      <c r="AH399" s="191"/>
      <c r="AI399" s="191"/>
      <c r="AJ399" s="191"/>
      <c r="AK399" s="191"/>
      <c r="AL399" s="191"/>
      <c r="AM399" s="191"/>
      <c r="AN399" s="191"/>
      <c r="AO399" s="191"/>
      <c r="AP399" s="191"/>
      <c r="AQ399" s="191"/>
      <c r="AR399" s="191"/>
      <c r="AS399" s="191"/>
      <c r="AT399" s="191"/>
      <c r="AU399" s="191"/>
      <c r="AV399" s="191"/>
      <c r="AW399" s="191"/>
      <c r="AX399" s="191"/>
      <c r="AY399" s="191"/>
      <c r="AZ399" s="191"/>
      <c r="BA399" s="191"/>
      <c r="BB399" s="191"/>
      <c r="BC399" s="191"/>
      <c r="BD399" s="191"/>
      <c r="BE399" s="191"/>
      <c r="BF399" s="191"/>
      <c r="BG399" s="191"/>
      <c r="BH399" s="191"/>
      <c r="BI399" s="191"/>
      <c r="BJ399" s="191"/>
      <c r="BK399" s="191"/>
      <c r="BL399" s="191"/>
      <c r="BM399" s="191"/>
      <c r="BN399" s="191"/>
      <c r="BO399" s="191"/>
      <c r="BP399" s="191"/>
    </row>
    <row r="400" spans="1:68">
      <c r="A400" s="195"/>
      <c r="K400" s="191"/>
      <c r="L400" s="191"/>
      <c r="M400" s="191"/>
      <c r="N400" s="191"/>
      <c r="O400" s="191"/>
      <c r="P400" s="191"/>
      <c r="Q400" s="191"/>
      <c r="R400" s="191"/>
      <c r="S400" s="191"/>
      <c r="T400" s="191"/>
      <c r="U400" s="191"/>
      <c r="V400" s="191"/>
      <c r="W400" s="191"/>
      <c r="X400" s="191"/>
      <c r="Y400" s="191"/>
      <c r="Z400" s="191"/>
      <c r="AA400" s="191"/>
      <c r="AB400" s="191"/>
      <c r="AC400" s="191"/>
      <c r="AD400" s="191"/>
      <c r="AE400" s="191"/>
      <c r="AF400" s="191"/>
      <c r="AG400" s="191"/>
      <c r="AH400" s="191"/>
      <c r="AI400" s="191"/>
      <c r="AJ400" s="191"/>
      <c r="AK400" s="191"/>
      <c r="AL400" s="191"/>
      <c r="AM400" s="191"/>
      <c r="AN400" s="191"/>
      <c r="AO400" s="191"/>
      <c r="AP400" s="191"/>
      <c r="AQ400" s="191"/>
      <c r="AR400" s="191"/>
      <c r="AS400" s="191"/>
      <c r="AT400" s="191"/>
      <c r="AU400" s="191"/>
      <c r="AV400" s="191"/>
      <c r="AW400" s="191"/>
      <c r="AX400" s="191"/>
      <c r="AY400" s="191"/>
      <c r="AZ400" s="191"/>
      <c r="BA400" s="191"/>
      <c r="BB400" s="191"/>
      <c r="BC400" s="191"/>
      <c r="BD400" s="191"/>
      <c r="BE400" s="191"/>
      <c r="BF400" s="191"/>
      <c r="BG400" s="191"/>
      <c r="BH400" s="191"/>
      <c r="BI400" s="191"/>
      <c r="BJ400" s="191"/>
      <c r="BK400" s="191"/>
      <c r="BL400" s="191"/>
      <c r="BM400" s="191"/>
      <c r="BN400" s="191"/>
      <c r="BO400" s="191"/>
      <c r="BP400" s="191"/>
    </row>
    <row r="401" spans="1:68">
      <c r="A401" s="195"/>
      <c r="K401" s="191"/>
      <c r="L401" s="191"/>
      <c r="M401" s="191"/>
      <c r="N401" s="191"/>
      <c r="O401" s="191"/>
      <c r="P401" s="191"/>
      <c r="Q401" s="191"/>
      <c r="R401" s="191"/>
      <c r="S401" s="191"/>
      <c r="T401" s="191"/>
      <c r="U401" s="191"/>
      <c r="V401" s="191"/>
      <c r="W401" s="191"/>
      <c r="X401" s="191"/>
      <c r="Y401" s="191"/>
      <c r="Z401" s="191"/>
      <c r="AA401" s="191"/>
      <c r="AB401" s="191"/>
      <c r="AC401" s="191"/>
      <c r="AD401" s="191"/>
      <c r="AE401" s="191"/>
      <c r="AF401" s="191"/>
      <c r="AG401" s="191"/>
      <c r="AH401" s="191"/>
      <c r="AI401" s="191"/>
      <c r="AJ401" s="191"/>
      <c r="AK401" s="191"/>
      <c r="AL401" s="191"/>
      <c r="AM401" s="191"/>
      <c r="AN401" s="191"/>
      <c r="AO401" s="191"/>
      <c r="AP401" s="191"/>
      <c r="AQ401" s="191"/>
      <c r="AR401" s="191"/>
      <c r="AS401" s="191"/>
      <c r="AT401" s="191"/>
      <c r="AU401" s="191"/>
      <c r="AV401" s="191"/>
      <c r="AW401" s="191"/>
      <c r="AX401" s="191"/>
      <c r="AY401" s="191"/>
      <c r="AZ401" s="191"/>
      <c r="BA401" s="191"/>
      <c r="BB401" s="191"/>
      <c r="BC401" s="191"/>
      <c r="BD401" s="191"/>
      <c r="BE401" s="191"/>
      <c r="BF401" s="191"/>
      <c r="BG401" s="191"/>
      <c r="BH401" s="191"/>
      <c r="BI401" s="191"/>
      <c r="BJ401" s="191"/>
      <c r="BK401" s="191"/>
      <c r="BL401" s="191"/>
      <c r="BM401" s="191"/>
      <c r="BN401" s="191"/>
      <c r="BO401" s="191"/>
      <c r="BP401" s="191"/>
    </row>
    <row r="402" spans="1:68">
      <c r="A402" s="195"/>
      <c r="K402" s="191"/>
      <c r="L402" s="191"/>
      <c r="M402" s="191"/>
      <c r="N402" s="191"/>
      <c r="O402" s="191"/>
      <c r="P402" s="191"/>
      <c r="Q402" s="191"/>
      <c r="R402" s="191"/>
      <c r="S402" s="191"/>
      <c r="T402" s="191"/>
      <c r="U402" s="191"/>
      <c r="V402" s="191"/>
      <c r="W402" s="191"/>
      <c r="X402" s="191"/>
      <c r="Y402" s="191"/>
      <c r="Z402" s="191"/>
      <c r="AA402" s="191"/>
      <c r="AB402" s="191"/>
      <c r="AC402" s="191"/>
      <c r="AD402" s="191"/>
      <c r="AE402" s="191"/>
      <c r="AF402" s="191"/>
      <c r="AG402" s="191"/>
      <c r="AH402" s="191"/>
      <c r="AI402" s="191"/>
      <c r="AJ402" s="191"/>
      <c r="AK402" s="191"/>
      <c r="AL402" s="191"/>
      <c r="AM402" s="191"/>
      <c r="AN402" s="191"/>
      <c r="AO402" s="191"/>
      <c r="AP402" s="191"/>
      <c r="AQ402" s="191"/>
      <c r="AR402" s="191"/>
      <c r="AS402" s="191"/>
      <c r="AT402" s="191"/>
      <c r="AU402" s="191"/>
      <c r="AV402" s="191"/>
      <c r="AW402" s="191"/>
      <c r="AX402" s="191"/>
      <c r="AY402" s="191"/>
      <c r="AZ402" s="191"/>
      <c r="BA402" s="191"/>
      <c r="BB402" s="191"/>
      <c r="BC402" s="191"/>
      <c r="BD402" s="191"/>
      <c r="BE402" s="191"/>
      <c r="BF402" s="191"/>
      <c r="BG402" s="191"/>
      <c r="BH402" s="191"/>
      <c r="BI402" s="191"/>
      <c r="BJ402" s="191"/>
      <c r="BK402" s="191"/>
      <c r="BL402" s="191"/>
      <c r="BM402" s="191"/>
      <c r="BN402" s="191"/>
      <c r="BO402" s="191"/>
      <c r="BP402" s="191"/>
    </row>
    <row r="403" spans="1:68">
      <c r="A403" s="195"/>
      <c r="K403" s="191"/>
      <c r="L403" s="191"/>
      <c r="M403" s="191"/>
      <c r="N403" s="191"/>
      <c r="O403" s="191"/>
      <c r="P403" s="191"/>
      <c r="Q403" s="191"/>
      <c r="R403" s="191"/>
      <c r="S403" s="191"/>
      <c r="T403" s="191"/>
      <c r="U403" s="191"/>
      <c r="V403" s="191"/>
      <c r="W403" s="191"/>
      <c r="X403" s="191"/>
      <c r="Y403" s="191"/>
      <c r="Z403" s="191"/>
      <c r="AA403" s="191"/>
      <c r="AB403" s="191"/>
      <c r="AC403" s="191"/>
      <c r="AD403" s="191"/>
      <c r="AE403" s="191"/>
      <c r="AF403" s="191"/>
      <c r="AG403" s="191"/>
      <c r="AH403" s="191"/>
      <c r="AI403" s="191"/>
      <c r="AJ403" s="191"/>
      <c r="AK403" s="191"/>
      <c r="AL403" s="191"/>
      <c r="AM403" s="191"/>
      <c r="AN403" s="191"/>
      <c r="AO403" s="191"/>
      <c r="AP403" s="191"/>
      <c r="AQ403" s="191"/>
      <c r="AR403" s="191"/>
      <c r="AS403" s="191"/>
      <c r="AT403" s="191"/>
      <c r="AU403" s="191"/>
      <c r="AV403" s="191"/>
      <c r="AW403" s="191"/>
      <c r="AX403" s="191"/>
      <c r="AY403" s="191"/>
      <c r="AZ403" s="191"/>
      <c r="BA403" s="191"/>
      <c r="BB403" s="191"/>
      <c r="BC403" s="191"/>
      <c r="BD403" s="191"/>
      <c r="BE403" s="191"/>
      <c r="BF403" s="191"/>
      <c r="BG403" s="191"/>
      <c r="BH403" s="191"/>
      <c r="BI403" s="191"/>
      <c r="BJ403" s="191"/>
      <c r="BK403" s="191"/>
      <c r="BL403" s="191"/>
      <c r="BM403" s="191"/>
      <c r="BN403" s="191"/>
      <c r="BO403" s="191"/>
      <c r="BP403" s="191"/>
    </row>
    <row r="404" spans="1:68">
      <c r="A404" s="195"/>
      <c r="K404" s="191"/>
      <c r="L404" s="191"/>
      <c r="M404" s="191"/>
      <c r="N404" s="191"/>
      <c r="O404" s="191"/>
      <c r="P404" s="191"/>
      <c r="Q404" s="191"/>
      <c r="R404" s="191"/>
      <c r="S404" s="191"/>
      <c r="T404" s="191"/>
      <c r="U404" s="191"/>
      <c r="V404" s="191"/>
      <c r="W404" s="191"/>
      <c r="X404" s="191"/>
      <c r="Y404" s="191"/>
      <c r="Z404" s="191"/>
      <c r="AA404" s="191"/>
      <c r="AB404" s="191"/>
      <c r="AC404" s="191"/>
      <c r="AD404" s="191"/>
      <c r="AE404" s="191"/>
      <c r="AF404" s="191"/>
      <c r="AG404" s="191"/>
      <c r="AH404" s="191"/>
      <c r="AI404" s="191"/>
      <c r="AJ404" s="191"/>
      <c r="AK404" s="191"/>
      <c r="AL404" s="191"/>
      <c r="AM404" s="191"/>
      <c r="AN404" s="191"/>
      <c r="AO404" s="191"/>
      <c r="AP404" s="191"/>
      <c r="AQ404" s="191"/>
      <c r="AR404" s="191"/>
      <c r="AS404" s="191"/>
      <c r="AT404" s="191"/>
      <c r="AU404" s="191"/>
      <c r="AV404" s="191"/>
      <c r="AW404" s="191"/>
      <c r="AX404" s="191"/>
      <c r="AY404" s="191"/>
      <c r="AZ404" s="191"/>
      <c r="BA404" s="191"/>
      <c r="BB404" s="191"/>
      <c r="BC404" s="191"/>
      <c r="BD404" s="191"/>
      <c r="BE404" s="191"/>
      <c r="BF404" s="191"/>
      <c r="BG404" s="191"/>
      <c r="BH404" s="191"/>
      <c r="BI404" s="191"/>
      <c r="BJ404" s="191"/>
      <c r="BK404" s="191"/>
      <c r="BL404" s="191"/>
      <c r="BM404" s="191"/>
      <c r="BN404" s="191"/>
      <c r="BO404" s="191"/>
      <c r="BP404" s="191"/>
    </row>
    <row r="405" spans="1:68">
      <c r="A405" s="195"/>
      <c r="K405" s="191"/>
      <c r="L405" s="191"/>
      <c r="M405" s="191"/>
      <c r="N405" s="191"/>
      <c r="O405" s="191"/>
      <c r="P405" s="191"/>
      <c r="Q405" s="191"/>
      <c r="R405" s="191"/>
      <c r="S405" s="191"/>
      <c r="T405" s="191"/>
      <c r="U405" s="191"/>
      <c r="V405" s="191"/>
      <c r="W405" s="191"/>
      <c r="X405" s="191"/>
      <c r="Y405" s="191"/>
      <c r="Z405" s="191"/>
      <c r="AA405" s="191"/>
      <c r="AB405" s="191"/>
      <c r="AC405" s="191"/>
      <c r="AD405" s="191"/>
      <c r="AE405" s="191"/>
      <c r="AF405" s="191"/>
      <c r="AG405" s="191"/>
      <c r="AH405" s="191"/>
      <c r="AI405" s="191"/>
      <c r="AJ405" s="191"/>
      <c r="AK405" s="191"/>
      <c r="AL405" s="191"/>
      <c r="AM405" s="191"/>
      <c r="AN405" s="191"/>
      <c r="AO405" s="191"/>
      <c r="AP405" s="191"/>
      <c r="AQ405" s="191"/>
      <c r="AR405" s="191"/>
      <c r="AS405" s="191"/>
      <c r="AT405" s="191"/>
      <c r="AU405" s="191"/>
      <c r="AV405" s="191"/>
      <c r="AW405" s="191"/>
      <c r="AX405" s="191"/>
      <c r="AY405" s="191"/>
      <c r="AZ405" s="191"/>
      <c r="BA405" s="191"/>
      <c r="BB405" s="191"/>
      <c r="BC405" s="191"/>
      <c r="BD405" s="191"/>
      <c r="BE405" s="191"/>
      <c r="BF405" s="191"/>
      <c r="BG405" s="191"/>
      <c r="BH405" s="191"/>
      <c r="BI405" s="191"/>
      <c r="BJ405" s="191"/>
      <c r="BK405" s="191"/>
      <c r="BL405" s="191"/>
      <c r="BM405" s="191"/>
      <c r="BN405" s="191"/>
      <c r="BO405" s="191"/>
      <c r="BP405" s="191"/>
    </row>
    <row r="406" spans="1:68">
      <c r="A406" s="195"/>
      <c r="K406" s="191"/>
      <c r="L406" s="191"/>
      <c r="M406" s="191"/>
      <c r="N406" s="191"/>
      <c r="O406" s="191"/>
      <c r="P406" s="191"/>
      <c r="Q406" s="191"/>
      <c r="R406" s="191"/>
      <c r="S406" s="191"/>
      <c r="T406" s="191"/>
      <c r="U406" s="191"/>
      <c r="V406" s="191"/>
      <c r="W406" s="191"/>
      <c r="X406" s="191"/>
      <c r="Y406" s="191"/>
      <c r="Z406" s="191"/>
      <c r="AA406" s="191"/>
      <c r="AB406" s="191"/>
      <c r="AC406" s="191"/>
      <c r="AD406" s="191"/>
      <c r="AE406" s="191"/>
      <c r="AF406" s="191"/>
      <c r="AG406" s="191"/>
      <c r="AH406" s="191"/>
      <c r="AI406" s="191"/>
      <c r="AJ406" s="191"/>
      <c r="AK406" s="191"/>
      <c r="AL406" s="191"/>
      <c r="AM406" s="191"/>
      <c r="AN406" s="191"/>
      <c r="AO406" s="191"/>
      <c r="AP406" s="191"/>
      <c r="AQ406" s="191"/>
      <c r="AR406" s="191"/>
      <c r="AS406" s="191"/>
      <c r="AT406" s="191"/>
      <c r="AU406" s="191"/>
      <c r="AV406" s="191"/>
      <c r="AW406" s="191"/>
      <c r="AX406" s="191"/>
      <c r="AY406" s="191"/>
      <c r="AZ406" s="191"/>
      <c r="BA406" s="191"/>
      <c r="BB406" s="191"/>
      <c r="BC406" s="191"/>
      <c r="BD406" s="191"/>
      <c r="BE406" s="191"/>
      <c r="BF406" s="191"/>
      <c r="BG406" s="191"/>
      <c r="BH406" s="191"/>
      <c r="BI406" s="191"/>
      <c r="BJ406" s="191"/>
      <c r="BK406" s="191"/>
      <c r="BL406" s="191"/>
      <c r="BM406" s="191"/>
      <c r="BN406" s="191"/>
      <c r="BO406" s="191"/>
      <c r="BP406" s="191"/>
    </row>
    <row r="407" spans="1:68">
      <c r="A407" s="195"/>
      <c r="K407" s="191"/>
      <c r="L407" s="191"/>
      <c r="M407" s="191"/>
      <c r="N407" s="191"/>
      <c r="O407" s="191"/>
      <c r="P407" s="191"/>
      <c r="Q407" s="191"/>
      <c r="R407" s="191"/>
      <c r="S407" s="191"/>
      <c r="T407" s="191"/>
      <c r="U407" s="191"/>
      <c r="V407" s="191"/>
      <c r="W407" s="191"/>
      <c r="X407" s="191"/>
      <c r="Y407" s="191"/>
      <c r="Z407" s="191"/>
      <c r="AA407" s="191"/>
      <c r="AB407" s="191"/>
      <c r="AC407" s="191"/>
      <c r="AD407" s="191"/>
      <c r="AE407" s="191"/>
      <c r="AF407" s="191"/>
      <c r="AG407" s="191"/>
      <c r="AH407" s="191"/>
      <c r="AI407" s="191"/>
      <c r="AJ407" s="191"/>
      <c r="AK407" s="191"/>
      <c r="AL407" s="191"/>
      <c r="AM407" s="191"/>
      <c r="AN407" s="191"/>
      <c r="AO407" s="191"/>
      <c r="AP407" s="191"/>
      <c r="AQ407" s="191"/>
      <c r="AR407" s="191"/>
      <c r="AS407" s="191"/>
      <c r="AT407" s="191"/>
      <c r="AU407" s="191"/>
      <c r="AV407" s="191"/>
      <c r="AW407" s="191"/>
      <c r="AX407" s="191"/>
      <c r="AY407" s="191"/>
      <c r="AZ407" s="191"/>
      <c r="BA407" s="191"/>
      <c r="BB407" s="191"/>
      <c r="BC407" s="191"/>
      <c r="BD407" s="191"/>
      <c r="BE407" s="191"/>
      <c r="BF407" s="191"/>
      <c r="BG407" s="191"/>
      <c r="BH407" s="191"/>
      <c r="BI407" s="191"/>
      <c r="BJ407" s="191"/>
      <c r="BK407" s="191"/>
      <c r="BL407" s="191"/>
      <c r="BM407" s="191"/>
      <c r="BN407" s="191"/>
      <c r="BO407" s="191"/>
      <c r="BP407" s="191"/>
    </row>
    <row r="408" spans="1:68">
      <c r="A408" s="195"/>
      <c r="K408" s="191"/>
      <c r="L408" s="191"/>
      <c r="M408" s="191"/>
      <c r="N408" s="191"/>
      <c r="O408" s="191"/>
      <c r="P408" s="191"/>
      <c r="Q408" s="191"/>
      <c r="R408" s="191"/>
      <c r="S408" s="191"/>
      <c r="T408" s="191"/>
      <c r="U408" s="191"/>
      <c r="V408" s="191"/>
      <c r="W408" s="191"/>
      <c r="X408" s="191"/>
      <c r="Y408" s="191"/>
      <c r="Z408" s="191"/>
      <c r="AA408" s="191"/>
      <c r="AB408" s="191"/>
      <c r="AC408" s="191"/>
      <c r="AD408" s="191"/>
      <c r="AE408" s="191"/>
      <c r="AF408" s="191"/>
      <c r="AG408" s="191"/>
      <c r="AH408" s="191"/>
      <c r="AI408" s="191"/>
      <c r="AJ408" s="191"/>
      <c r="AK408" s="191"/>
      <c r="AL408" s="191"/>
      <c r="AM408" s="191"/>
      <c r="AN408" s="191"/>
      <c r="AO408" s="191"/>
      <c r="AP408" s="191"/>
      <c r="AQ408" s="191"/>
      <c r="AR408" s="191"/>
      <c r="AS408" s="191"/>
      <c r="AT408" s="191"/>
      <c r="AU408" s="191"/>
      <c r="AV408" s="191"/>
      <c r="AW408" s="191"/>
      <c r="AX408" s="191"/>
      <c r="AY408" s="191"/>
      <c r="AZ408" s="191"/>
      <c r="BA408" s="191"/>
      <c r="BB408" s="191"/>
      <c r="BC408" s="191"/>
      <c r="BD408" s="191"/>
      <c r="BE408" s="191"/>
      <c r="BF408" s="191"/>
      <c r="BG408" s="191"/>
      <c r="BH408" s="191"/>
      <c r="BI408" s="191"/>
      <c r="BJ408" s="191"/>
      <c r="BK408" s="191"/>
      <c r="BL408" s="191"/>
      <c r="BM408" s="191"/>
      <c r="BN408" s="191"/>
      <c r="BO408" s="191"/>
      <c r="BP408" s="191"/>
    </row>
    <row r="409" spans="1:68">
      <c r="A409" s="195"/>
      <c r="K409" s="191"/>
      <c r="L409" s="191"/>
      <c r="M409" s="191"/>
      <c r="N409" s="191"/>
      <c r="O409" s="191"/>
      <c r="P409" s="191"/>
      <c r="Q409" s="191"/>
      <c r="R409" s="191"/>
      <c r="S409" s="191"/>
      <c r="T409" s="191"/>
      <c r="U409" s="191"/>
      <c r="V409" s="191"/>
      <c r="W409" s="191"/>
      <c r="X409" s="191"/>
      <c r="Y409" s="191"/>
      <c r="Z409" s="191"/>
      <c r="AA409" s="191"/>
      <c r="AB409" s="191"/>
      <c r="AC409" s="191"/>
      <c r="AD409" s="191"/>
      <c r="AE409" s="191"/>
      <c r="AF409" s="191"/>
      <c r="AG409" s="191"/>
      <c r="AH409" s="191"/>
      <c r="AI409" s="191"/>
      <c r="AJ409" s="191"/>
      <c r="AK409" s="191"/>
      <c r="AL409" s="191"/>
      <c r="AM409" s="191"/>
      <c r="AN409" s="191"/>
      <c r="AO409" s="191"/>
      <c r="AP409" s="191"/>
      <c r="AQ409" s="191"/>
      <c r="AR409" s="191"/>
      <c r="AS409" s="191"/>
      <c r="AT409" s="191"/>
      <c r="AU409" s="191"/>
      <c r="AV409" s="191"/>
      <c r="AW409" s="191"/>
      <c r="AX409" s="191"/>
      <c r="AY409" s="191"/>
      <c r="AZ409" s="191"/>
      <c r="BA409" s="191"/>
      <c r="BB409" s="191"/>
      <c r="BC409" s="191"/>
      <c r="BD409" s="191"/>
      <c r="BE409" s="191"/>
      <c r="BF409" s="191"/>
      <c r="BG409" s="191"/>
      <c r="BH409" s="191"/>
      <c r="BI409" s="191"/>
      <c r="BJ409" s="191"/>
      <c r="BK409" s="191"/>
      <c r="BL409" s="191"/>
      <c r="BM409" s="191"/>
      <c r="BN409" s="191"/>
      <c r="BO409" s="191"/>
      <c r="BP409" s="191"/>
    </row>
    <row r="410" spans="1:68">
      <c r="A410" s="195"/>
      <c r="K410" s="191"/>
      <c r="L410" s="191"/>
      <c r="M410" s="191"/>
      <c r="N410" s="191"/>
      <c r="O410" s="191"/>
      <c r="P410" s="191"/>
      <c r="Q410" s="191"/>
      <c r="R410" s="191"/>
      <c r="S410" s="191"/>
      <c r="T410" s="191"/>
      <c r="U410" s="191"/>
      <c r="V410" s="191"/>
      <c r="W410" s="191"/>
      <c r="X410" s="191"/>
      <c r="Y410" s="191"/>
      <c r="Z410" s="191"/>
      <c r="AA410" s="191"/>
      <c r="AB410" s="191"/>
      <c r="AC410" s="191"/>
      <c r="AD410" s="191"/>
      <c r="AE410" s="191"/>
      <c r="AF410" s="191"/>
      <c r="AG410" s="191"/>
      <c r="AH410" s="191"/>
      <c r="AI410" s="191"/>
      <c r="AJ410" s="191"/>
      <c r="AK410" s="191"/>
      <c r="AL410" s="191"/>
      <c r="AM410" s="191"/>
      <c r="AN410" s="191"/>
      <c r="AO410" s="191"/>
      <c r="AP410" s="191"/>
      <c r="AQ410" s="191"/>
      <c r="AR410" s="191"/>
      <c r="AS410" s="191"/>
      <c r="AT410" s="191"/>
      <c r="AU410" s="191"/>
      <c r="AV410" s="191"/>
      <c r="AW410" s="191"/>
      <c r="AX410" s="191"/>
      <c r="AY410" s="191"/>
      <c r="AZ410" s="191"/>
      <c r="BA410" s="191"/>
      <c r="BB410" s="191"/>
      <c r="BC410" s="191"/>
      <c r="BD410" s="191"/>
      <c r="BE410" s="191"/>
      <c r="BF410" s="191"/>
      <c r="BG410" s="191"/>
      <c r="BH410" s="191"/>
      <c r="BI410" s="191"/>
      <c r="BJ410" s="191"/>
      <c r="BK410" s="191"/>
      <c r="BL410" s="191"/>
      <c r="BM410" s="191"/>
      <c r="BN410" s="191"/>
      <c r="BO410" s="191"/>
      <c r="BP410" s="191"/>
    </row>
    <row r="411" spans="1:68">
      <c r="A411" s="195"/>
      <c r="K411" s="191"/>
      <c r="L411" s="191"/>
      <c r="M411" s="191"/>
      <c r="N411" s="191"/>
      <c r="O411" s="191"/>
      <c r="P411" s="191"/>
      <c r="Q411" s="191"/>
      <c r="R411" s="191"/>
      <c r="S411" s="191"/>
      <c r="T411" s="191"/>
      <c r="U411" s="191"/>
      <c r="V411" s="191"/>
      <c r="W411" s="191"/>
      <c r="X411" s="191"/>
      <c r="Y411" s="191"/>
      <c r="Z411" s="191"/>
      <c r="AA411" s="191"/>
      <c r="AB411" s="191"/>
      <c r="AC411" s="191"/>
      <c r="AD411" s="191"/>
      <c r="AE411" s="191"/>
      <c r="AF411" s="191"/>
      <c r="AG411" s="191"/>
      <c r="AH411" s="191"/>
      <c r="AI411" s="191"/>
      <c r="AJ411" s="191"/>
      <c r="AK411" s="191"/>
      <c r="AL411" s="191"/>
      <c r="AM411" s="191"/>
      <c r="AN411" s="191"/>
      <c r="AO411" s="191"/>
      <c r="AP411" s="191"/>
      <c r="AQ411" s="191"/>
      <c r="AR411" s="191"/>
      <c r="AS411" s="191"/>
      <c r="AT411" s="191"/>
      <c r="AU411" s="191"/>
      <c r="AV411" s="191"/>
      <c r="AW411" s="191"/>
      <c r="AX411" s="191"/>
      <c r="AY411" s="191"/>
      <c r="AZ411" s="191"/>
      <c r="BA411" s="191"/>
      <c r="BB411" s="191"/>
      <c r="BC411" s="191"/>
      <c r="BD411" s="191"/>
      <c r="BE411" s="191"/>
      <c r="BF411" s="191"/>
      <c r="BG411" s="191"/>
      <c r="BH411" s="191"/>
      <c r="BI411" s="191"/>
      <c r="BJ411" s="191"/>
      <c r="BK411" s="191"/>
      <c r="BL411" s="191"/>
      <c r="BM411" s="191"/>
      <c r="BN411" s="191"/>
      <c r="BO411" s="191"/>
      <c r="BP411" s="191"/>
    </row>
    <row r="412" spans="1:68">
      <c r="A412" s="195"/>
      <c r="K412" s="191"/>
      <c r="L412" s="191"/>
      <c r="M412" s="191"/>
      <c r="N412" s="191"/>
      <c r="O412" s="191"/>
      <c r="P412" s="191"/>
      <c r="Q412" s="191"/>
      <c r="R412" s="191"/>
      <c r="S412" s="191"/>
      <c r="T412" s="191"/>
      <c r="U412" s="191"/>
      <c r="V412" s="191"/>
      <c r="W412" s="191"/>
      <c r="X412" s="191"/>
      <c r="Y412" s="191"/>
      <c r="Z412" s="191"/>
      <c r="AA412" s="191"/>
      <c r="AB412" s="191"/>
      <c r="AC412" s="191"/>
      <c r="AD412" s="191"/>
      <c r="AE412" s="191"/>
      <c r="AF412" s="191"/>
      <c r="AG412" s="191"/>
      <c r="AH412" s="191"/>
      <c r="AI412" s="191"/>
      <c r="AJ412" s="191"/>
      <c r="AK412" s="191"/>
      <c r="AL412" s="191"/>
      <c r="AM412" s="191"/>
      <c r="AN412" s="191"/>
      <c r="AO412" s="191"/>
      <c r="AP412" s="191"/>
      <c r="AQ412" s="191"/>
      <c r="AR412" s="191"/>
      <c r="AS412" s="191"/>
      <c r="AT412" s="191"/>
      <c r="AU412" s="191"/>
      <c r="AV412" s="191"/>
      <c r="AW412" s="191"/>
      <c r="AX412" s="191"/>
      <c r="AY412" s="191"/>
      <c r="AZ412" s="191"/>
      <c r="BA412" s="191"/>
      <c r="BB412" s="191"/>
      <c r="BC412" s="191"/>
      <c r="BD412" s="191"/>
      <c r="BE412" s="191"/>
      <c r="BF412" s="191"/>
      <c r="BG412" s="191"/>
      <c r="BH412" s="191"/>
      <c r="BI412" s="191"/>
      <c r="BJ412" s="191"/>
      <c r="BK412" s="191"/>
      <c r="BL412" s="191"/>
      <c r="BM412" s="191"/>
      <c r="BN412" s="191"/>
      <c r="BO412" s="191"/>
      <c r="BP412" s="191"/>
    </row>
    <row r="413" spans="1:68">
      <c r="K413" s="191"/>
      <c r="L413" s="191"/>
      <c r="M413" s="191"/>
      <c r="N413" s="191"/>
      <c r="O413" s="191"/>
      <c r="P413" s="191"/>
      <c r="Q413" s="191"/>
      <c r="R413" s="191"/>
      <c r="S413" s="191"/>
      <c r="T413" s="191"/>
      <c r="U413" s="191"/>
      <c r="V413" s="191"/>
      <c r="W413" s="191"/>
      <c r="X413" s="191"/>
      <c r="Y413" s="191"/>
      <c r="Z413" s="191"/>
      <c r="AA413" s="191"/>
      <c r="AB413" s="191"/>
      <c r="AC413" s="191"/>
      <c r="AD413" s="191"/>
      <c r="AE413" s="191"/>
      <c r="AF413" s="191"/>
      <c r="AG413" s="191"/>
      <c r="AH413" s="191"/>
      <c r="AI413" s="191"/>
      <c r="AJ413" s="191"/>
      <c r="AK413" s="191"/>
      <c r="AL413" s="191"/>
      <c r="AM413" s="191"/>
      <c r="AN413" s="191"/>
      <c r="AO413" s="191"/>
      <c r="AP413" s="191"/>
      <c r="AQ413" s="191"/>
      <c r="AR413" s="191"/>
      <c r="AS413" s="191"/>
      <c r="AT413" s="191"/>
      <c r="AU413" s="191"/>
      <c r="AV413" s="191"/>
      <c r="AW413" s="191"/>
      <c r="AX413" s="191"/>
      <c r="AY413" s="191"/>
      <c r="AZ413" s="191"/>
      <c r="BA413" s="191"/>
      <c r="BB413" s="191"/>
      <c r="BC413" s="191"/>
      <c r="BD413" s="191"/>
      <c r="BE413" s="191"/>
      <c r="BF413" s="191"/>
      <c r="BG413" s="191"/>
      <c r="BH413" s="191"/>
      <c r="BI413" s="191"/>
      <c r="BJ413" s="191"/>
      <c r="BK413" s="191"/>
      <c r="BL413" s="191"/>
      <c r="BM413" s="191"/>
      <c r="BN413" s="191"/>
      <c r="BO413" s="191"/>
      <c r="BP413" s="191"/>
    </row>
    <row r="414" spans="1:68">
      <c r="K414" s="191"/>
      <c r="L414" s="191"/>
      <c r="M414" s="191"/>
      <c r="N414" s="191"/>
      <c r="O414" s="191"/>
      <c r="P414" s="191"/>
      <c r="Q414" s="191"/>
      <c r="R414" s="191"/>
      <c r="S414" s="191"/>
      <c r="T414" s="191"/>
      <c r="U414" s="191"/>
      <c r="V414" s="191"/>
      <c r="W414" s="191"/>
      <c r="X414" s="191"/>
      <c r="Y414" s="191"/>
      <c r="Z414" s="191"/>
      <c r="AA414" s="191"/>
      <c r="AB414" s="191"/>
      <c r="AC414" s="191"/>
      <c r="AD414" s="191"/>
      <c r="AE414" s="191"/>
      <c r="AF414" s="191"/>
      <c r="AG414" s="191"/>
      <c r="AH414" s="191"/>
      <c r="AI414" s="191"/>
      <c r="AJ414" s="191"/>
      <c r="AK414" s="191"/>
      <c r="AL414" s="191"/>
      <c r="AM414" s="191"/>
      <c r="AN414" s="191"/>
      <c r="AO414" s="191"/>
      <c r="AP414" s="191"/>
      <c r="AQ414" s="191"/>
      <c r="AR414" s="191"/>
      <c r="AS414" s="191"/>
      <c r="AT414" s="191"/>
      <c r="AU414" s="191"/>
      <c r="AV414" s="191"/>
      <c r="AW414" s="191"/>
      <c r="AX414" s="191"/>
      <c r="AY414" s="191"/>
      <c r="AZ414" s="191"/>
      <c r="BA414" s="191"/>
      <c r="BB414" s="191"/>
      <c r="BC414" s="191"/>
      <c r="BD414" s="191"/>
      <c r="BE414" s="191"/>
      <c r="BF414" s="191"/>
      <c r="BG414" s="191"/>
      <c r="BH414" s="191"/>
      <c r="BI414" s="191"/>
      <c r="BJ414" s="191"/>
      <c r="BK414" s="191"/>
      <c r="BL414" s="191"/>
      <c r="BM414" s="191"/>
      <c r="BN414" s="191"/>
      <c r="BO414" s="191"/>
      <c r="BP414" s="191"/>
    </row>
    <row r="415" spans="1:68">
      <c r="K415" s="191"/>
      <c r="L415" s="191"/>
      <c r="M415" s="191"/>
      <c r="N415" s="191"/>
      <c r="O415" s="191"/>
      <c r="P415" s="191"/>
      <c r="Q415" s="191"/>
      <c r="R415" s="191"/>
      <c r="S415" s="191"/>
      <c r="T415" s="191"/>
      <c r="U415" s="191"/>
      <c r="V415" s="191"/>
      <c r="W415" s="191"/>
      <c r="X415" s="191"/>
      <c r="Y415" s="191"/>
      <c r="Z415" s="191"/>
      <c r="AA415" s="191"/>
      <c r="AB415" s="191"/>
      <c r="AC415" s="191"/>
      <c r="AD415" s="191"/>
      <c r="AE415" s="191"/>
      <c r="AF415" s="191"/>
      <c r="AG415" s="191"/>
      <c r="AH415" s="191"/>
      <c r="AI415" s="191"/>
      <c r="AJ415" s="191"/>
      <c r="AK415" s="191"/>
      <c r="AL415" s="191"/>
      <c r="AM415" s="191"/>
      <c r="AN415" s="191"/>
      <c r="AO415" s="191"/>
      <c r="AP415" s="191"/>
      <c r="AQ415" s="191"/>
      <c r="AR415" s="191"/>
      <c r="AS415" s="191"/>
      <c r="AT415" s="191"/>
      <c r="AU415" s="191"/>
      <c r="AV415" s="191"/>
      <c r="AW415" s="191"/>
      <c r="AX415" s="191"/>
      <c r="AY415" s="191"/>
      <c r="AZ415" s="191"/>
      <c r="BA415" s="191"/>
      <c r="BB415" s="191"/>
      <c r="BC415" s="191"/>
      <c r="BD415" s="191"/>
      <c r="BE415" s="191"/>
      <c r="BF415" s="191"/>
      <c r="BG415" s="191"/>
      <c r="BH415" s="191"/>
      <c r="BI415" s="191"/>
      <c r="BJ415" s="191"/>
      <c r="BK415" s="191"/>
      <c r="BL415" s="191"/>
      <c r="BM415" s="191"/>
      <c r="BN415" s="191"/>
      <c r="BO415" s="191"/>
      <c r="BP415" s="191"/>
    </row>
    <row r="416" spans="1:68">
      <c r="K416" s="191"/>
      <c r="L416" s="191"/>
      <c r="M416" s="191"/>
      <c r="N416" s="191"/>
      <c r="O416" s="191"/>
      <c r="P416" s="191"/>
      <c r="Q416" s="191"/>
      <c r="R416" s="191"/>
      <c r="S416" s="191"/>
      <c r="T416" s="191"/>
      <c r="U416" s="191"/>
      <c r="V416" s="191"/>
      <c r="W416" s="191"/>
      <c r="X416" s="191"/>
      <c r="Y416" s="191"/>
      <c r="Z416" s="191"/>
      <c r="AA416" s="191"/>
      <c r="AB416" s="191"/>
      <c r="AC416" s="191"/>
      <c r="AD416" s="191"/>
      <c r="AE416" s="191"/>
      <c r="AF416" s="191"/>
      <c r="AG416" s="191"/>
      <c r="AH416" s="191"/>
      <c r="AI416" s="191"/>
      <c r="AJ416" s="191"/>
      <c r="AK416" s="191"/>
      <c r="AL416" s="191"/>
      <c r="AM416" s="191"/>
      <c r="AN416" s="191"/>
      <c r="AO416" s="191"/>
      <c r="AP416" s="191"/>
      <c r="AQ416" s="191"/>
      <c r="AR416" s="191"/>
      <c r="AS416" s="191"/>
      <c r="AT416" s="191"/>
      <c r="AU416" s="191"/>
      <c r="AV416" s="191"/>
      <c r="AW416" s="191"/>
      <c r="AX416" s="191"/>
      <c r="AY416" s="191"/>
      <c r="AZ416" s="191"/>
      <c r="BA416" s="191"/>
      <c r="BB416" s="191"/>
      <c r="BC416" s="191"/>
      <c r="BD416" s="191"/>
      <c r="BE416" s="191"/>
      <c r="BF416" s="191"/>
      <c r="BG416" s="191"/>
      <c r="BH416" s="191"/>
      <c r="BI416" s="191"/>
      <c r="BJ416" s="191"/>
      <c r="BK416" s="191"/>
      <c r="BL416" s="191"/>
      <c r="BM416" s="191"/>
      <c r="BN416" s="191"/>
      <c r="BO416" s="191"/>
      <c r="BP416" s="191"/>
    </row>
    <row r="417" spans="11:68">
      <c r="K417" s="191"/>
      <c r="L417" s="191"/>
      <c r="M417" s="191"/>
      <c r="N417" s="191"/>
      <c r="O417" s="191"/>
      <c r="P417" s="191"/>
      <c r="Q417" s="191"/>
      <c r="R417" s="191"/>
      <c r="S417" s="191"/>
      <c r="T417" s="191"/>
      <c r="U417" s="191"/>
      <c r="V417" s="191"/>
      <c r="W417" s="191"/>
      <c r="X417" s="191"/>
      <c r="Y417" s="191"/>
      <c r="Z417" s="191"/>
      <c r="AA417" s="191"/>
      <c r="AB417" s="191"/>
      <c r="AC417" s="191"/>
      <c r="AD417" s="191"/>
      <c r="AE417" s="191"/>
      <c r="AF417" s="191"/>
      <c r="AG417" s="191"/>
      <c r="AH417" s="191"/>
      <c r="AI417" s="191"/>
      <c r="AJ417" s="191"/>
      <c r="AK417" s="191"/>
      <c r="AL417" s="191"/>
      <c r="AM417" s="191"/>
      <c r="AN417" s="191"/>
      <c r="AO417" s="191"/>
      <c r="AP417" s="191"/>
      <c r="AQ417" s="191"/>
      <c r="AR417" s="191"/>
      <c r="AS417" s="191"/>
      <c r="AT417" s="191"/>
      <c r="AU417" s="191"/>
      <c r="AV417" s="191"/>
      <c r="AW417" s="191"/>
      <c r="AX417" s="191"/>
      <c r="AY417" s="191"/>
      <c r="AZ417" s="191"/>
      <c r="BA417" s="191"/>
      <c r="BB417" s="191"/>
      <c r="BC417" s="191"/>
      <c r="BD417" s="191"/>
      <c r="BE417" s="191"/>
      <c r="BF417" s="191"/>
      <c r="BG417" s="191"/>
      <c r="BH417" s="191"/>
      <c r="BI417" s="191"/>
      <c r="BJ417" s="191"/>
      <c r="BK417" s="191"/>
      <c r="BL417" s="191"/>
      <c r="BM417" s="191"/>
      <c r="BN417" s="191"/>
      <c r="BO417" s="191"/>
      <c r="BP417" s="191"/>
    </row>
    <row r="418" spans="11:68">
      <c r="K418" s="191"/>
      <c r="L418" s="191"/>
      <c r="M418" s="191"/>
      <c r="N418" s="191"/>
      <c r="O418" s="191"/>
      <c r="P418" s="191"/>
      <c r="Q418" s="191"/>
      <c r="R418" s="191"/>
      <c r="S418" s="191"/>
      <c r="T418" s="191"/>
      <c r="U418" s="191"/>
      <c r="V418" s="191"/>
      <c r="W418" s="191"/>
      <c r="X418" s="191"/>
      <c r="Y418" s="191"/>
      <c r="Z418" s="191"/>
      <c r="AA418" s="191"/>
      <c r="AB418" s="191"/>
      <c r="AC418" s="191"/>
      <c r="AD418" s="191"/>
      <c r="AE418" s="191"/>
      <c r="AF418" s="191"/>
      <c r="AG418" s="191"/>
      <c r="AH418" s="191"/>
      <c r="AI418" s="191"/>
      <c r="AJ418" s="191"/>
      <c r="AK418" s="191"/>
      <c r="AL418" s="191"/>
      <c r="AM418" s="191"/>
      <c r="AN418" s="191"/>
      <c r="AO418" s="191"/>
      <c r="AP418" s="191"/>
      <c r="AQ418" s="191"/>
      <c r="AR418" s="191"/>
      <c r="AS418" s="191"/>
      <c r="AT418" s="191"/>
      <c r="AU418" s="191"/>
      <c r="AV418" s="191"/>
      <c r="AW418" s="191"/>
      <c r="AX418" s="191"/>
      <c r="AY418" s="191"/>
      <c r="AZ418" s="191"/>
      <c r="BA418" s="191"/>
      <c r="BB418" s="191"/>
      <c r="BC418" s="191"/>
      <c r="BD418" s="191"/>
      <c r="BE418" s="191"/>
      <c r="BF418" s="191"/>
      <c r="BG418" s="191"/>
      <c r="BH418" s="191"/>
      <c r="BI418" s="191"/>
      <c r="BJ418" s="191"/>
      <c r="BK418" s="191"/>
      <c r="BL418" s="191"/>
      <c r="BM418" s="191"/>
      <c r="BN418" s="191"/>
      <c r="BO418" s="191"/>
      <c r="BP418" s="191"/>
    </row>
    <row r="419" spans="11:68">
      <c r="K419" s="191"/>
      <c r="L419" s="191"/>
      <c r="M419" s="191"/>
      <c r="N419" s="191"/>
      <c r="O419" s="191"/>
      <c r="P419" s="191"/>
      <c r="Q419" s="191"/>
      <c r="R419" s="191"/>
      <c r="S419" s="191"/>
      <c r="T419" s="191"/>
      <c r="U419" s="191"/>
      <c r="V419" s="191"/>
      <c r="W419" s="191"/>
      <c r="X419" s="191"/>
      <c r="Y419" s="191"/>
      <c r="Z419" s="191"/>
      <c r="AA419" s="191"/>
      <c r="AB419" s="191"/>
      <c r="AC419" s="191"/>
      <c r="AD419" s="191"/>
      <c r="AE419" s="191"/>
      <c r="AF419" s="191"/>
      <c r="AG419" s="191"/>
      <c r="AH419" s="191"/>
      <c r="AI419" s="191"/>
      <c r="AJ419" s="191"/>
      <c r="AK419" s="191"/>
      <c r="AL419" s="191"/>
      <c r="AM419" s="191"/>
      <c r="AN419" s="191"/>
      <c r="AO419" s="191"/>
      <c r="AP419" s="191"/>
      <c r="AQ419" s="191"/>
      <c r="AR419" s="191"/>
      <c r="AS419" s="191"/>
      <c r="AT419" s="191"/>
      <c r="AU419" s="191"/>
      <c r="AV419" s="191"/>
      <c r="AW419" s="191"/>
      <c r="AX419" s="191"/>
      <c r="AY419" s="191"/>
      <c r="AZ419" s="191"/>
      <c r="BA419" s="191"/>
      <c r="BB419" s="191"/>
      <c r="BC419" s="191"/>
      <c r="BD419" s="191"/>
      <c r="BE419" s="191"/>
      <c r="BF419" s="191"/>
      <c r="BG419" s="191"/>
      <c r="BH419" s="191"/>
      <c r="BI419" s="191"/>
      <c r="BJ419" s="191"/>
      <c r="BK419" s="191"/>
      <c r="BL419" s="191"/>
      <c r="BM419" s="191"/>
      <c r="BN419" s="191"/>
      <c r="BO419" s="191"/>
      <c r="BP419" s="191"/>
    </row>
    <row r="420" spans="11:68">
      <c r="K420" s="191"/>
      <c r="L420" s="191"/>
      <c r="M420" s="191"/>
      <c r="N420" s="191"/>
      <c r="O420" s="191"/>
      <c r="P420" s="191"/>
      <c r="Q420" s="191"/>
      <c r="R420" s="191"/>
      <c r="S420" s="191"/>
      <c r="T420" s="191"/>
      <c r="U420" s="191"/>
      <c r="V420" s="191"/>
      <c r="W420" s="191"/>
      <c r="X420" s="191"/>
      <c r="Y420" s="191"/>
      <c r="Z420" s="191"/>
      <c r="AA420" s="191"/>
      <c r="AB420" s="191"/>
      <c r="AC420" s="191"/>
      <c r="AD420" s="191"/>
      <c r="AE420" s="191"/>
      <c r="AF420" s="191"/>
      <c r="AG420" s="191"/>
      <c r="AH420" s="191"/>
      <c r="AI420" s="191"/>
      <c r="AJ420" s="191"/>
      <c r="AK420" s="191"/>
      <c r="AL420" s="191"/>
      <c r="AM420" s="191"/>
      <c r="AN420" s="191"/>
      <c r="AO420" s="191"/>
      <c r="AP420" s="191"/>
      <c r="AQ420" s="191"/>
      <c r="AR420" s="191"/>
      <c r="AS420" s="191"/>
      <c r="AT420" s="191"/>
      <c r="AU420" s="191"/>
      <c r="AV420" s="191"/>
      <c r="AW420" s="191"/>
      <c r="AX420" s="191"/>
      <c r="AY420" s="191"/>
      <c r="AZ420" s="191"/>
      <c r="BA420" s="191"/>
      <c r="BB420" s="191"/>
      <c r="BC420" s="191"/>
      <c r="BD420" s="191"/>
      <c r="BE420" s="191"/>
      <c r="BF420" s="191"/>
      <c r="BG420" s="191"/>
      <c r="BH420" s="191"/>
      <c r="BI420" s="191"/>
      <c r="BJ420" s="191"/>
      <c r="BK420" s="191"/>
      <c r="BL420" s="191"/>
      <c r="BM420" s="191"/>
      <c r="BN420" s="191"/>
      <c r="BO420" s="191"/>
      <c r="BP420" s="191"/>
    </row>
    <row r="421" spans="11:68">
      <c r="K421" s="191"/>
      <c r="L421" s="191"/>
      <c r="M421" s="191"/>
      <c r="N421" s="191"/>
      <c r="O421" s="191"/>
      <c r="P421" s="191"/>
      <c r="Q421" s="191"/>
      <c r="R421" s="191"/>
      <c r="S421" s="191"/>
      <c r="T421" s="191"/>
      <c r="U421" s="191"/>
      <c r="V421" s="191"/>
      <c r="W421" s="191"/>
      <c r="X421" s="191"/>
      <c r="Y421" s="191"/>
      <c r="Z421" s="191"/>
      <c r="AA421" s="191"/>
      <c r="AB421" s="191"/>
      <c r="AC421" s="191"/>
      <c r="AD421" s="191"/>
      <c r="AE421" s="191"/>
      <c r="AF421" s="191"/>
      <c r="AG421" s="191"/>
      <c r="AH421" s="191"/>
      <c r="AI421" s="191"/>
      <c r="AJ421" s="191"/>
      <c r="AK421" s="191"/>
      <c r="AL421" s="191"/>
      <c r="AM421" s="191"/>
      <c r="AN421" s="191"/>
      <c r="AO421" s="191"/>
      <c r="AP421" s="191"/>
      <c r="AQ421" s="191"/>
      <c r="AR421" s="191"/>
      <c r="AS421" s="191"/>
      <c r="AT421" s="191"/>
      <c r="AU421" s="191"/>
      <c r="AV421" s="191"/>
      <c r="AW421" s="191"/>
      <c r="AX421" s="191"/>
      <c r="AY421" s="191"/>
      <c r="AZ421" s="191"/>
      <c r="BA421" s="191"/>
      <c r="BB421" s="191"/>
      <c r="BC421" s="191"/>
      <c r="BD421" s="191"/>
      <c r="BE421" s="191"/>
      <c r="BF421" s="191"/>
      <c r="BG421" s="191"/>
      <c r="BH421" s="191"/>
      <c r="BI421" s="191"/>
      <c r="BJ421" s="191"/>
      <c r="BK421" s="191"/>
      <c r="BL421" s="191"/>
      <c r="BM421" s="191"/>
      <c r="BN421" s="191"/>
      <c r="BO421" s="191"/>
      <c r="BP421" s="191"/>
    </row>
    <row r="422" spans="11:68">
      <c r="K422" s="191"/>
      <c r="L422" s="191"/>
      <c r="M422" s="191"/>
      <c r="N422" s="191"/>
      <c r="O422" s="191"/>
      <c r="P422" s="191"/>
      <c r="Q422" s="191"/>
      <c r="R422" s="191"/>
      <c r="S422" s="191"/>
      <c r="T422" s="191"/>
      <c r="U422" s="191"/>
      <c r="V422" s="191"/>
      <c r="W422" s="191"/>
      <c r="X422" s="191"/>
      <c r="Y422" s="191"/>
      <c r="Z422" s="191"/>
      <c r="AA422" s="191"/>
      <c r="AB422" s="191"/>
      <c r="AC422" s="191"/>
      <c r="AD422" s="191"/>
      <c r="AE422" s="191"/>
      <c r="AF422" s="191"/>
      <c r="AG422" s="191"/>
      <c r="AH422" s="191"/>
      <c r="AI422" s="191"/>
      <c r="AJ422" s="191"/>
      <c r="AK422" s="191"/>
      <c r="AL422" s="191"/>
      <c r="AM422" s="191"/>
      <c r="AN422" s="191"/>
      <c r="AO422" s="191"/>
      <c r="AP422" s="191"/>
      <c r="AQ422" s="191"/>
      <c r="AR422" s="191"/>
      <c r="AS422" s="191"/>
      <c r="AT422" s="191"/>
      <c r="AU422" s="191"/>
      <c r="AV422" s="191"/>
      <c r="AW422" s="191"/>
      <c r="AX422" s="191"/>
      <c r="AY422" s="191"/>
      <c r="AZ422" s="191"/>
      <c r="BA422" s="191"/>
      <c r="BB422" s="191"/>
      <c r="BC422" s="191"/>
      <c r="BD422" s="191"/>
      <c r="BE422" s="191"/>
      <c r="BF422" s="191"/>
      <c r="BG422" s="191"/>
      <c r="BH422" s="191"/>
      <c r="BI422" s="191"/>
      <c r="BJ422" s="191"/>
      <c r="BK422" s="191"/>
      <c r="BL422" s="191"/>
      <c r="BM422" s="191"/>
      <c r="BN422" s="191"/>
      <c r="BO422" s="191"/>
      <c r="BP422" s="191"/>
    </row>
    <row r="423" spans="11:68">
      <c r="K423" s="191"/>
      <c r="L423" s="191"/>
      <c r="M423" s="191"/>
      <c r="N423" s="191"/>
      <c r="O423" s="191"/>
      <c r="P423" s="191"/>
      <c r="Q423" s="191"/>
      <c r="R423" s="191"/>
      <c r="S423" s="191"/>
      <c r="T423" s="191"/>
      <c r="U423" s="191"/>
      <c r="V423" s="191"/>
      <c r="W423" s="191"/>
      <c r="X423" s="191"/>
      <c r="Y423" s="191"/>
      <c r="Z423" s="191"/>
      <c r="AA423" s="191"/>
      <c r="AB423" s="191"/>
      <c r="AC423" s="191"/>
      <c r="AD423" s="191"/>
      <c r="AE423" s="191"/>
      <c r="AF423" s="191"/>
      <c r="AG423" s="191"/>
      <c r="AH423" s="191"/>
      <c r="AI423" s="191"/>
      <c r="AJ423" s="191"/>
      <c r="AK423" s="191"/>
      <c r="AL423" s="191"/>
      <c r="AM423" s="191"/>
      <c r="AN423" s="191"/>
      <c r="AO423" s="191"/>
      <c r="AP423" s="191"/>
      <c r="AQ423" s="191"/>
      <c r="AR423" s="191"/>
      <c r="AS423" s="191"/>
      <c r="AT423" s="191"/>
      <c r="AU423" s="191"/>
      <c r="AV423" s="191"/>
      <c r="AW423" s="191"/>
      <c r="AX423" s="191"/>
      <c r="AY423" s="191"/>
      <c r="AZ423" s="191"/>
      <c r="BA423" s="191"/>
      <c r="BB423" s="191"/>
      <c r="BC423" s="191"/>
      <c r="BD423" s="191"/>
      <c r="BE423" s="191"/>
      <c r="BF423" s="191"/>
      <c r="BG423" s="191"/>
      <c r="BH423" s="191"/>
      <c r="BI423" s="191"/>
      <c r="BJ423" s="191"/>
      <c r="BK423" s="191"/>
      <c r="BL423" s="191"/>
      <c r="BM423" s="191"/>
      <c r="BN423" s="191"/>
      <c r="BO423" s="191"/>
      <c r="BP423" s="191"/>
    </row>
    <row r="424" spans="11:68">
      <c r="K424" s="191"/>
      <c r="L424" s="191"/>
      <c r="M424" s="191"/>
      <c r="N424" s="191"/>
      <c r="O424" s="191"/>
      <c r="P424" s="191"/>
      <c r="Q424" s="191"/>
      <c r="R424" s="191"/>
      <c r="S424" s="191"/>
      <c r="T424" s="191"/>
      <c r="U424" s="191"/>
      <c r="V424" s="191"/>
      <c r="W424" s="191"/>
      <c r="X424" s="191"/>
      <c r="Y424" s="191"/>
      <c r="Z424" s="191"/>
      <c r="AA424" s="191"/>
      <c r="AB424" s="191"/>
      <c r="AC424" s="191"/>
      <c r="AD424" s="191"/>
      <c r="AE424" s="191"/>
      <c r="AF424" s="191"/>
      <c r="AG424" s="191"/>
      <c r="AH424" s="191"/>
      <c r="AI424" s="191"/>
      <c r="AJ424" s="191"/>
      <c r="AK424" s="191"/>
      <c r="AL424" s="191"/>
      <c r="AM424" s="191"/>
      <c r="AN424" s="191"/>
      <c r="AO424" s="191"/>
      <c r="AP424" s="191"/>
      <c r="AQ424" s="191"/>
      <c r="AR424" s="191"/>
      <c r="AS424" s="191"/>
      <c r="AT424" s="191"/>
      <c r="AU424" s="191"/>
      <c r="AV424" s="191"/>
      <c r="AW424" s="191"/>
      <c r="AX424" s="191"/>
      <c r="AY424" s="191"/>
      <c r="AZ424" s="191"/>
      <c r="BA424" s="191"/>
      <c r="BB424" s="191"/>
      <c r="BC424" s="191"/>
      <c r="BD424" s="191"/>
      <c r="BE424" s="191"/>
      <c r="BF424" s="191"/>
      <c r="BG424" s="191"/>
      <c r="BH424" s="191"/>
      <c r="BI424" s="191"/>
      <c r="BJ424" s="191"/>
      <c r="BK424" s="191"/>
      <c r="BL424" s="191"/>
      <c r="BM424" s="191"/>
      <c r="BN424" s="191"/>
      <c r="BO424" s="191"/>
      <c r="BP424" s="191"/>
    </row>
    <row r="425" spans="11:68">
      <c r="K425" s="191"/>
      <c r="L425" s="191"/>
      <c r="M425" s="191"/>
      <c r="N425" s="191"/>
      <c r="O425" s="191"/>
      <c r="P425" s="191"/>
      <c r="Q425" s="191"/>
      <c r="R425" s="191"/>
      <c r="S425" s="191"/>
      <c r="T425" s="191"/>
      <c r="U425" s="191"/>
      <c r="V425" s="191"/>
      <c r="W425" s="191"/>
      <c r="X425" s="191"/>
      <c r="Y425" s="191"/>
      <c r="Z425" s="191"/>
      <c r="AA425" s="191"/>
      <c r="AB425" s="191"/>
      <c r="AC425" s="191"/>
      <c r="AD425" s="191"/>
      <c r="AE425" s="191"/>
      <c r="AF425" s="191"/>
      <c r="AG425" s="191"/>
      <c r="AH425" s="191"/>
      <c r="AI425" s="191"/>
      <c r="AJ425" s="191"/>
      <c r="AK425" s="191"/>
      <c r="AL425" s="191"/>
      <c r="AM425" s="191"/>
      <c r="AN425" s="191"/>
      <c r="AO425" s="191"/>
      <c r="AP425" s="191"/>
      <c r="AQ425" s="191"/>
      <c r="AR425" s="191"/>
      <c r="AS425" s="191"/>
      <c r="AT425" s="191"/>
      <c r="AU425" s="191"/>
      <c r="AV425" s="191"/>
      <c r="AW425" s="191"/>
      <c r="AX425" s="191"/>
      <c r="AY425" s="191"/>
      <c r="AZ425" s="191"/>
      <c r="BA425" s="191"/>
      <c r="BB425" s="191"/>
      <c r="BC425" s="191"/>
      <c r="BD425" s="191"/>
      <c r="BE425" s="191"/>
      <c r="BF425" s="191"/>
      <c r="BG425" s="191"/>
      <c r="BH425" s="191"/>
      <c r="BI425" s="191"/>
      <c r="BJ425" s="191"/>
      <c r="BK425" s="191"/>
      <c r="BL425" s="191"/>
      <c r="BM425" s="191"/>
      <c r="BN425" s="191"/>
      <c r="BO425" s="191"/>
      <c r="BP425" s="191"/>
    </row>
    <row r="426" spans="11:68">
      <c r="K426" s="191"/>
      <c r="L426" s="191"/>
      <c r="M426" s="191"/>
      <c r="N426" s="191"/>
      <c r="O426" s="191"/>
      <c r="P426" s="191"/>
      <c r="Q426" s="191"/>
      <c r="R426" s="191"/>
      <c r="S426" s="191"/>
      <c r="T426" s="191"/>
      <c r="U426" s="191"/>
      <c r="V426" s="191"/>
      <c r="W426" s="191"/>
      <c r="X426" s="191"/>
      <c r="Y426" s="191"/>
      <c r="Z426" s="191"/>
      <c r="AA426" s="191"/>
      <c r="AB426" s="191"/>
      <c r="AC426" s="191"/>
      <c r="AD426" s="191"/>
      <c r="AE426" s="191"/>
      <c r="AF426" s="191"/>
      <c r="AG426" s="191"/>
      <c r="AH426" s="191"/>
      <c r="AI426" s="191"/>
      <c r="AJ426" s="191"/>
      <c r="AK426" s="191"/>
      <c r="AL426" s="191"/>
      <c r="AM426" s="191"/>
      <c r="AN426" s="191"/>
      <c r="AO426" s="191"/>
      <c r="AP426" s="191"/>
      <c r="AQ426" s="191"/>
      <c r="AR426" s="191"/>
      <c r="AS426" s="191"/>
      <c r="AT426" s="191"/>
      <c r="AU426" s="191"/>
      <c r="AV426" s="191"/>
      <c r="AW426" s="191"/>
      <c r="AX426" s="191"/>
      <c r="AY426" s="191"/>
      <c r="AZ426" s="191"/>
      <c r="BA426" s="191"/>
      <c r="BB426" s="191"/>
      <c r="BC426" s="191"/>
      <c r="BD426" s="191"/>
      <c r="BE426" s="191"/>
      <c r="BF426" s="191"/>
      <c r="BG426" s="191"/>
      <c r="BH426" s="191"/>
      <c r="BI426" s="191"/>
      <c r="BJ426" s="191"/>
      <c r="BK426" s="191"/>
      <c r="BL426" s="191"/>
      <c r="BM426" s="191"/>
      <c r="BN426" s="191"/>
      <c r="BO426" s="191"/>
      <c r="BP426" s="191"/>
    </row>
    <row r="427" spans="11:68">
      <c r="K427" s="191"/>
      <c r="L427" s="191"/>
      <c r="M427" s="191"/>
      <c r="N427" s="191"/>
      <c r="O427" s="191"/>
      <c r="P427" s="191"/>
      <c r="Q427" s="191"/>
      <c r="R427" s="191"/>
      <c r="S427" s="191"/>
      <c r="T427" s="191"/>
      <c r="U427" s="191"/>
      <c r="V427" s="191"/>
      <c r="W427" s="191"/>
      <c r="X427" s="191"/>
      <c r="Y427" s="191"/>
      <c r="Z427" s="191"/>
      <c r="AA427" s="191"/>
      <c r="AB427" s="191"/>
      <c r="AC427" s="191"/>
      <c r="AD427" s="191"/>
      <c r="AE427" s="191"/>
      <c r="AF427" s="191"/>
      <c r="AG427" s="191"/>
      <c r="AH427" s="191"/>
      <c r="AI427" s="191"/>
      <c r="AJ427" s="191"/>
      <c r="AK427" s="191"/>
      <c r="AL427" s="191"/>
      <c r="AM427" s="191"/>
      <c r="AN427" s="191"/>
      <c r="AO427" s="191"/>
      <c r="AP427" s="191"/>
      <c r="AQ427" s="191"/>
      <c r="AR427" s="191"/>
      <c r="AS427" s="191"/>
      <c r="AT427" s="191"/>
      <c r="AU427" s="191"/>
      <c r="AV427" s="191"/>
      <c r="AW427" s="191"/>
      <c r="AX427" s="191"/>
      <c r="AY427" s="191"/>
      <c r="AZ427" s="191"/>
      <c r="BA427" s="191"/>
      <c r="BB427" s="191"/>
      <c r="BC427" s="191"/>
      <c r="BD427" s="191"/>
      <c r="BE427" s="191"/>
      <c r="BF427" s="191"/>
      <c r="BG427" s="191"/>
      <c r="BH427" s="191"/>
      <c r="BI427" s="191"/>
      <c r="BJ427" s="191"/>
      <c r="BK427" s="191"/>
      <c r="BL427" s="191"/>
      <c r="BM427" s="191"/>
      <c r="BN427" s="191"/>
      <c r="BO427" s="191"/>
      <c r="BP427" s="191"/>
    </row>
    <row r="428" spans="11:68">
      <c r="K428" s="191"/>
      <c r="L428" s="191"/>
      <c r="M428" s="191"/>
      <c r="N428" s="191"/>
      <c r="O428" s="191"/>
      <c r="P428" s="191"/>
      <c r="Q428" s="191"/>
      <c r="R428" s="191"/>
      <c r="S428" s="191"/>
      <c r="T428" s="191"/>
      <c r="U428" s="191"/>
      <c r="V428" s="191"/>
      <c r="W428" s="191"/>
      <c r="X428" s="191"/>
      <c r="Y428" s="191"/>
      <c r="Z428" s="191"/>
      <c r="AA428" s="191"/>
      <c r="AB428" s="191"/>
      <c r="AC428" s="191"/>
      <c r="AD428" s="191"/>
      <c r="AE428" s="191"/>
      <c r="AF428" s="191"/>
      <c r="AG428" s="191"/>
      <c r="AH428" s="191"/>
      <c r="AI428" s="191"/>
      <c r="AJ428" s="191"/>
      <c r="AK428" s="191"/>
      <c r="AL428" s="191"/>
      <c r="AM428" s="191"/>
      <c r="AN428" s="191"/>
      <c r="AO428" s="191"/>
      <c r="AP428" s="191"/>
      <c r="AQ428" s="191"/>
      <c r="AR428" s="191"/>
      <c r="AS428" s="191"/>
      <c r="AT428" s="191"/>
      <c r="AU428" s="191"/>
      <c r="AV428" s="191"/>
      <c r="AW428" s="191"/>
      <c r="AX428" s="191"/>
      <c r="AY428" s="191"/>
      <c r="AZ428" s="191"/>
      <c r="BA428" s="191"/>
      <c r="BB428" s="191"/>
      <c r="BC428" s="191"/>
      <c r="BD428" s="191"/>
      <c r="BE428" s="191"/>
      <c r="BF428" s="191"/>
      <c r="BG428" s="191"/>
      <c r="BH428" s="191"/>
      <c r="BI428" s="191"/>
      <c r="BJ428" s="191"/>
      <c r="BK428" s="191"/>
      <c r="BL428" s="191"/>
      <c r="BM428" s="191"/>
      <c r="BN428" s="191"/>
      <c r="BO428" s="191"/>
      <c r="BP428" s="191"/>
    </row>
    <row r="429" spans="11:68">
      <c r="K429" s="191"/>
      <c r="L429" s="191"/>
      <c r="M429" s="191"/>
      <c r="N429" s="191"/>
      <c r="O429" s="191"/>
      <c r="P429" s="191"/>
      <c r="Q429" s="191"/>
      <c r="R429" s="191"/>
      <c r="S429" s="191"/>
      <c r="T429" s="191"/>
      <c r="U429" s="191"/>
      <c r="V429" s="191"/>
      <c r="W429" s="191"/>
      <c r="X429" s="191"/>
      <c r="Y429" s="191"/>
      <c r="Z429" s="191"/>
      <c r="AA429" s="191"/>
      <c r="AB429" s="191"/>
      <c r="AC429" s="191"/>
      <c r="AD429" s="191"/>
      <c r="AE429" s="191"/>
      <c r="AF429" s="191"/>
      <c r="AG429" s="191"/>
      <c r="AH429" s="191"/>
      <c r="AI429" s="191"/>
      <c r="AJ429" s="191"/>
      <c r="AK429" s="191"/>
      <c r="AL429" s="191"/>
      <c r="AM429" s="191"/>
      <c r="AN429" s="191"/>
      <c r="AO429" s="191"/>
      <c r="AP429" s="191"/>
      <c r="AQ429" s="191"/>
      <c r="AR429" s="191"/>
      <c r="AS429" s="191"/>
      <c r="AT429" s="191"/>
      <c r="AU429" s="191"/>
      <c r="AV429" s="191"/>
      <c r="AW429" s="191"/>
      <c r="AX429" s="191"/>
      <c r="AY429" s="191"/>
      <c r="AZ429" s="191"/>
      <c r="BA429" s="191"/>
      <c r="BB429" s="191"/>
      <c r="BC429" s="191"/>
      <c r="BD429" s="191"/>
      <c r="BE429" s="191"/>
      <c r="BF429" s="191"/>
      <c r="BG429" s="191"/>
      <c r="BH429" s="191"/>
      <c r="BI429" s="191"/>
      <c r="BJ429" s="191"/>
      <c r="BK429" s="191"/>
      <c r="BL429" s="191"/>
      <c r="BM429" s="191"/>
      <c r="BN429" s="191"/>
      <c r="BO429" s="191"/>
      <c r="BP429" s="191"/>
    </row>
    <row r="430" spans="11:68">
      <c r="K430" s="191"/>
      <c r="L430" s="191"/>
      <c r="M430" s="191"/>
      <c r="N430" s="191"/>
      <c r="O430" s="191"/>
      <c r="P430" s="191"/>
      <c r="Q430" s="191"/>
      <c r="R430" s="191"/>
      <c r="S430" s="191"/>
      <c r="T430" s="191"/>
      <c r="U430" s="191"/>
      <c r="V430" s="191"/>
      <c r="W430" s="191"/>
      <c r="X430" s="191"/>
      <c r="Y430" s="191"/>
      <c r="Z430" s="191"/>
      <c r="AA430" s="191"/>
      <c r="AB430" s="191"/>
      <c r="AC430" s="191"/>
      <c r="AD430" s="191"/>
      <c r="AE430" s="191"/>
      <c r="AF430" s="191"/>
      <c r="AG430" s="191"/>
      <c r="AH430" s="191"/>
      <c r="AI430" s="191"/>
      <c r="AJ430" s="191"/>
      <c r="AK430" s="191"/>
      <c r="AL430" s="191"/>
      <c r="AM430" s="191"/>
      <c r="AN430" s="191"/>
      <c r="AO430" s="191"/>
      <c r="AP430" s="191"/>
      <c r="AQ430" s="191"/>
      <c r="AR430" s="191"/>
      <c r="AS430" s="191"/>
      <c r="AT430" s="191"/>
      <c r="AU430" s="191"/>
      <c r="AV430" s="191"/>
      <c r="AW430" s="191"/>
      <c r="AX430" s="191"/>
      <c r="AY430" s="191"/>
      <c r="AZ430" s="191"/>
      <c r="BA430" s="191"/>
      <c r="BB430" s="191"/>
      <c r="BC430" s="191"/>
      <c r="BD430" s="191"/>
      <c r="BE430" s="191"/>
      <c r="BF430" s="191"/>
      <c r="BG430" s="191"/>
      <c r="BH430" s="191"/>
      <c r="BI430" s="191"/>
      <c r="BJ430" s="191"/>
      <c r="BK430" s="191"/>
      <c r="BL430" s="191"/>
      <c r="BM430" s="191"/>
      <c r="BN430" s="191"/>
      <c r="BO430" s="191"/>
      <c r="BP430" s="191"/>
    </row>
    <row r="431" spans="11:68">
      <c r="K431" s="191"/>
      <c r="L431" s="191"/>
      <c r="M431" s="191"/>
      <c r="N431" s="191"/>
      <c r="O431" s="191"/>
      <c r="P431" s="191"/>
      <c r="Q431" s="191"/>
      <c r="R431" s="191"/>
      <c r="S431" s="191"/>
      <c r="T431" s="191"/>
      <c r="U431" s="191"/>
      <c r="V431" s="191"/>
      <c r="W431" s="191"/>
      <c r="X431" s="191"/>
      <c r="Y431" s="191"/>
      <c r="Z431" s="191"/>
      <c r="AA431" s="191"/>
      <c r="AB431" s="191"/>
      <c r="AC431" s="191"/>
      <c r="AD431" s="191"/>
      <c r="AE431" s="191"/>
      <c r="AF431" s="191"/>
      <c r="AG431" s="191"/>
      <c r="AH431" s="191"/>
      <c r="AI431" s="191"/>
      <c r="AJ431" s="191"/>
      <c r="AK431" s="191"/>
      <c r="AL431" s="191"/>
      <c r="AM431" s="191"/>
      <c r="AN431" s="191"/>
      <c r="AO431" s="191"/>
      <c r="AP431" s="191"/>
      <c r="AQ431" s="191"/>
      <c r="AR431" s="191"/>
      <c r="AS431" s="191"/>
      <c r="AT431" s="191"/>
      <c r="AU431" s="191"/>
      <c r="AV431" s="191"/>
      <c r="AW431" s="191"/>
      <c r="AX431" s="191"/>
      <c r="AY431" s="191"/>
      <c r="AZ431" s="191"/>
      <c r="BA431" s="191"/>
      <c r="BB431" s="191"/>
      <c r="BC431" s="191"/>
      <c r="BD431" s="191"/>
      <c r="BE431" s="191"/>
      <c r="BF431" s="191"/>
      <c r="BG431" s="191"/>
      <c r="BH431" s="191"/>
      <c r="BI431" s="191"/>
      <c r="BJ431" s="191"/>
      <c r="BK431" s="191"/>
      <c r="BL431" s="191"/>
      <c r="BM431" s="191"/>
      <c r="BN431" s="191"/>
      <c r="BO431" s="191"/>
      <c r="BP431" s="191"/>
    </row>
    <row r="432" spans="11:68">
      <c r="K432" s="191"/>
      <c r="L432" s="191"/>
      <c r="M432" s="191"/>
      <c r="N432" s="191"/>
      <c r="O432" s="191"/>
      <c r="P432" s="191"/>
      <c r="Q432" s="191"/>
      <c r="R432" s="191"/>
      <c r="S432" s="191"/>
      <c r="T432" s="191"/>
      <c r="U432" s="191"/>
      <c r="V432" s="191"/>
      <c r="W432" s="191"/>
      <c r="X432" s="191"/>
      <c r="Y432" s="191"/>
      <c r="Z432" s="191"/>
      <c r="AA432" s="191"/>
      <c r="AB432" s="191"/>
      <c r="AC432" s="191"/>
      <c r="AD432" s="191"/>
      <c r="AE432" s="191"/>
      <c r="AF432" s="191"/>
      <c r="AG432" s="191"/>
      <c r="AH432" s="191"/>
      <c r="AI432" s="191"/>
      <c r="AJ432" s="191"/>
      <c r="AK432" s="191"/>
      <c r="AL432" s="191"/>
      <c r="AM432" s="191"/>
      <c r="AN432" s="191"/>
      <c r="AO432" s="191"/>
      <c r="AP432" s="191"/>
      <c r="AQ432" s="191"/>
      <c r="AR432" s="191"/>
      <c r="AS432" s="191"/>
      <c r="AT432" s="191"/>
      <c r="AU432" s="191"/>
      <c r="AV432" s="191"/>
      <c r="AW432" s="191"/>
      <c r="AX432" s="191"/>
      <c r="AY432" s="191"/>
      <c r="AZ432" s="191"/>
      <c r="BA432" s="191"/>
      <c r="BB432" s="191"/>
      <c r="BC432" s="191"/>
      <c r="BD432" s="191"/>
      <c r="BE432" s="191"/>
      <c r="BF432" s="191"/>
      <c r="BG432" s="191"/>
      <c r="BH432" s="191"/>
      <c r="BI432" s="191"/>
      <c r="BJ432" s="191"/>
      <c r="BK432" s="191"/>
      <c r="BL432" s="191"/>
      <c r="BM432" s="191"/>
      <c r="BN432" s="191"/>
      <c r="BO432" s="191"/>
      <c r="BP432" s="191"/>
    </row>
    <row r="433" spans="11:68">
      <c r="K433" s="191"/>
      <c r="L433" s="191"/>
      <c r="M433" s="191"/>
      <c r="N433" s="191"/>
      <c r="O433" s="191"/>
      <c r="P433" s="191"/>
      <c r="Q433" s="191"/>
      <c r="R433" s="191"/>
      <c r="S433" s="191"/>
      <c r="T433" s="191"/>
      <c r="U433" s="191"/>
      <c r="V433" s="191"/>
      <c r="W433" s="191"/>
      <c r="X433" s="191"/>
      <c r="Y433" s="191"/>
      <c r="Z433" s="191"/>
      <c r="AA433" s="191"/>
      <c r="AB433" s="191"/>
      <c r="AC433" s="191"/>
      <c r="AD433" s="191"/>
      <c r="AE433" s="191"/>
      <c r="AF433" s="191"/>
      <c r="AG433" s="191"/>
      <c r="AH433" s="191"/>
      <c r="AI433" s="191"/>
      <c r="AJ433" s="191"/>
      <c r="AK433" s="191"/>
      <c r="AL433" s="191"/>
      <c r="AM433" s="191"/>
      <c r="AN433" s="191"/>
      <c r="AO433" s="191"/>
      <c r="AP433" s="191"/>
      <c r="AQ433" s="191"/>
      <c r="AR433" s="191"/>
      <c r="AS433" s="191"/>
      <c r="AT433" s="191"/>
      <c r="AU433" s="191"/>
      <c r="AV433" s="191"/>
      <c r="AW433" s="191"/>
      <c r="AX433" s="191"/>
      <c r="AY433" s="191"/>
      <c r="AZ433" s="191"/>
      <c r="BA433" s="191"/>
      <c r="BB433" s="191"/>
      <c r="BC433" s="191"/>
      <c r="BD433" s="191"/>
      <c r="BE433" s="191"/>
      <c r="BF433" s="191"/>
      <c r="BG433" s="191"/>
      <c r="BH433" s="191"/>
      <c r="BI433" s="191"/>
      <c r="BJ433" s="191"/>
      <c r="BK433" s="191"/>
      <c r="BL433" s="191"/>
      <c r="BM433" s="191"/>
      <c r="BN433" s="191"/>
      <c r="BO433" s="191"/>
      <c r="BP433" s="191"/>
    </row>
    <row r="434" spans="11:68">
      <c r="K434" s="191"/>
      <c r="L434" s="191"/>
      <c r="M434" s="191"/>
      <c r="N434" s="191"/>
      <c r="O434" s="191"/>
      <c r="P434" s="191"/>
      <c r="Q434" s="191"/>
      <c r="R434" s="191"/>
      <c r="S434" s="191"/>
      <c r="T434" s="191"/>
      <c r="U434" s="191"/>
      <c r="V434" s="191"/>
      <c r="W434" s="191"/>
      <c r="X434" s="191"/>
      <c r="Y434" s="191"/>
      <c r="Z434" s="191"/>
      <c r="AA434" s="191"/>
      <c r="AB434" s="191"/>
      <c r="AC434" s="191"/>
      <c r="AD434" s="191"/>
      <c r="AE434" s="191"/>
      <c r="AF434" s="191"/>
      <c r="AG434" s="191"/>
      <c r="AH434" s="191"/>
      <c r="AI434" s="191"/>
      <c r="AJ434" s="191"/>
      <c r="AK434" s="191"/>
      <c r="AL434" s="191"/>
      <c r="AM434" s="191"/>
      <c r="AN434" s="191"/>
      <c r="AO434" s="191"/>
      <c r="AP434" s="191"/>
      <c r="AQ434" s="191"/>
      <c r="AR434" s="191"/>
      <c r="AS434" s="191"/>
      <c r="AT434" s="191"/>
      <c r="AU434" s="191"/>
      <c r="AV434" s="191"/>
      <c r="AW434" s="191"/>
      <c r="AX434" s="191"/>
      <c r="AY434" s="191"/>
      <c r="AZ434" s="191"/>
      <c r="BA434" s="191"/>
      <c r="BB434" s="191"/>
      <c r="BC434" s="191"/>
      <c r="BD434" s="191"/>
      <c r="BE434" s="191"/>
      <c r="BF434" s="191"/>
      <c r="BG434" s="191"/>
      <c r="BH434" s="191"/>
      <c r="BI434" s="191"/>
      <c r="BJ434" s="191"/>
      <c r="BK434" s="191"/>
      <c r="BL434" s="191"/>
      <c r="BM434" s="191"/>
      <c r="BN434" s="191"/>
      <c r="BO434" s="191"/>
      <c r="BP434" s="191"/>
    </row>
    <row r="435" spans="11:68">
      <c r="K435" s="191"/>
      <c r="L435" s="191"/>
      <c r="M435" s="191"/>
      <c r="N435" s="191"/>
      <c r="O435" s="191"/>
      <c r="P435" s="191"/>
      <c r="Q435" s="191"/>
      <c r="R435" s="191"/>
      <c r="S435" s="191"/>
      <c r="T435" s="191"/>
      <c r="U435" s="191"/>
      <c r="V435" s="191"/>
      <c r="W435" s="191"/>
      <c r="X435" s="191"/>
      <c r="Y435" s="191"/>
      <c r="Z435" s="191"/>
      <c r="AA435" s="191"/>
      <c r="AB435" s="191"/>
      <c r="AC435" s="191"/>
      <c r="AD435" s="191"/>
      <c r="AE435" s="191"/>
      <c r="AF435" s="191"/>
      <c r="AG435" s="191"/>
      <c r="AH435" s="191"/>
      <c r="AI435" s="191"/>
      <c r="AJ435" s="191"/>
      <c r="AK435" s="191"/>
      <c r="AL435" s="191"/>
      <c r="AM435" s="191"/>
      <c r="AN435" s="191"/>
      <c r="AO435" s="191"/>
      <c r="AP435" s="191"/>
      <c r="AQ435" s="191"/>
      <c r="AR435" s="191"/>
      <c r="AS435" s="191"/>
      <c r="AT435" s="191"/>
      <c r="AU435" s="191"/>
      <c r="AV435" s="191"/>
      <c r="AW435" s="191"/>
      <c r="AX435" s="191"/>
      <c r="AY435" s="191"/>
      <c r="AZ435" s="191"/>
      <c r="BA435" s="191"/>
      <c r="BB435" s="191"/>
      <c r="BC435" s="191"/>
      <c r="BD435" s="191"/>
      <c r="BE435" s="191"/>
      <c r="BF435" s="191"/>
      <c r="BG435" s="191"/>
      <c r="BH435" s="191"/>
      <c r="BI435" s="191"/>
      <c r="BJ435" s="191"/>
      <c r="BK435" s="191"/>
      <c r="BL435" s="191"/>
      <c r="BM435" s="191"/>
      <c r="BN435" s="191"/>
      <c r="BO435" s="191"/>
      <c r="BP435" s="191"/>
    </row>
    <row r="436" spans="11:68">
      <c r="K436" s="191"/>
      <c r="L436" s="191"/>
      <c r="M436" s="191"/>
      <c r="N436" s="191"/>
      <c r="O436" s="191"/>
      <c r="P436" s="191"/>
      <c r="Q436" s="191"/>
      <c r="R436" s="191"/>
      <c r="S436" s="191"/>
      <c r="T436" s="191"/>
      <c r="U436" s="191"/>
      <c r="V436" s="191"/>
      <c r="W436" s="191"/>
      <c r="X436" s="191"/>
      <c r="Y436" s="191"/>
      <c r="Z436" s="191"/>
      <c r="AA436" s="191"/>
      <c r="AB436" s="191"/>
      <c r="AC436" s="191"/>
      <c r="AD436" s="191"/>
      <c r="AE436" s="191"/>
      <c r="AF436" s="191"/>
      <c r="AG436" s="191"/>
      <c r="AH436" s="191"/>
      <c r="AI436" s="191"/>
      <c r="AJ436" s="191"/>
      <c r="AK436" s="191"/>
      <c r="AL436" s="191"/>
      <c r="AM436" s="191"/>
      <c r="AN436" s="191"/>
      <c r="AO436" s="191"/>
      <c r="AP436" s="191"/>
      <c r="AQ436" s="191"/>
      <c r="AR436" s="191"/>
      <c r="AS436" s="191"/>
      <c r="AT436" s="191"/>
      <c r="AU436" s="191"/>
      <c r="AV436" s="191"/>
      <c r="AW436" s="191"/>
      <c r="AX436" s="191"/>
      <c r="AY436" s="191"/>
      <c r="AZ436" s="191"/>
      <c r="BA436" s="191"/>
      <c r="BB436" s="191"/>
      <c r="BC436" s="191"/>
      <c r="BD436" s="191"/>
      <c r="BE436" s="191"/>
      <c r="BF436" s="191"/>
      <c r="BG436" s="191"/>
      <c r="BH436" s="191"/>
      <c r="BI436" s="191"/>
      <c r="BJ436" s="191"/>
      <c r="BK436" s="191"/>
      <c r="BL436" s="191"/>
      <c r="BM436" s="191"/>
      <c r="BN436" s="191"/>
      <c r="BO436" s="191"/>
      <c r="BP436" s="191"/>
    </row>
    <row r="437" spans="11:68">
      <c r="K437" s="191"/>
      <c r="L437" s="191"/>
      <c r="M437" s="191"/>
      <c r="N437" s="191"/>
      <c r="O437" s="191"/>
      <c r="P437" s="191"/>
      <c r="Q437" s="191"/>
      <c r="R437" s="191"/>
      <c r="S437" s="191"/>
      <c r="T437" s="191"/>
      <c r="U437" s="191"/>
      <c r="V437" s="191"/>
      <c r="W437" s="191"/>
      <c r="X437" s="191"/>
      <c r="Y437" s="191"/>
      <c r="Z437" s="191"/>
      <c r="AA437" s="191"/>
      <c r="AB437" s="191"/>
      <c r="AC437" s="191"/>
      <c r="AD437" s="191"/>
      <c r="AE437" s="191"/>
      <c r="AF437" s="191"/>
      <c r="AG437" s="191"/>
      <c r="AH437" s="191"/>
      <c r="AI437" s="191"/>
      <c r="AJ437" s="191"/>
      <c r="AK437" s="191"/>
      <c r="AL437" s="191"/>
      <c r="AM437" s="191"/>
      <c r="AN437" s="191"/>
      <c r="AO437" s="191"/>
      <c r="AP437" s="191"/>
      <c r="AQ437" s="191"/>
      <c r="AR437" s="191"/>
      <c r="AS437" s="191"/>
      <c r="AT437" s="191"/>
      <c r="AU437" s="191"/>
      <c r="AV437" s="191"/>
      <c r="AW437" s="191"/>
      <c r="AX437" s="191"/>
      <c r="AY437" s="191"/>
      <c r="AZ437" s="191"/>
      <c r="BA437" s="191"/>
      <c r="BB437" s="191"/>
      <c r="BC437" s="191"/>
      <c r="BD437" s="191"/>
      <c r="BE437" s="191"/>
      <c r="BF437" s="191"/>
      <c r="BG437" s="191"/>
      <c r="BH437" s="191"/>
      <c r="BI437" s="191"/>
      <c r="BJ437" s="191"/>
      <c r="BK437" s="191"/>
      <c r="BL437" s="191"/>
      <c r="BM437" s="191"/>
      <c r="BN437" s="191"/>
      <c r="BO437" s="191"/>
      <c r="BP437" s="191"/>
    </row>
    <row r="438" spans="11:68">
      <c r="K438" s="191"/>
      <c r="L438" s="191"/>
      <c r="M438" s="191"/>
      <c r="N438" s="191"/>
      <c r="O438" s="191"/>
      <c r="P438" s="191"/>
      <c r="Q438" s="191"/>
      <c r="R438" s="191"/>
      <c r="S438" s="191"/>
      <c r="T438" s="191"/>
      <c r="U438" s="191"/>
      <c r="V438" s="191"/>
      <c r="W438" s="191"/>
      <c r="X438" s="191"/>
      <c r="Y438" s="191"/>
      <c r="Z438" s="191"/>
      <c r="AA438" s="191"/>
      <c r="AB438" s="191"/>
      <c r="AC438" s="191"/>
      <c r="AD438" s="191"/>
      <c r="AE438" s="191"/>
      <c r="AF438" s="191"/>
      <c r="AG438" s="191"/>
      <c r="AH438" s="191"/>
      <c r="AI438" s="191"/>
      <c r="AJ438" s="191"/>
      <c r="AK438" s="191"/>
      <c r="AL438" s="191"/>
      <c r="AM438" s="191"/>
      <c r="AN438" s="191"/>
      <c r="AO438" s="191"/>
      <c r="AP438" s="191"/>
      <c r="AQ438" s="191"/>
      <c r="AR438" s="191"/>
      <c r="AS438" s="191"/>
      <c r="AT438" s="191"/>
      <c r="AU438" s="191"/>
      <c r="AV438" s="191"/>
      <c r="AW438" s="191"/>
      <c r="AX438" s="191"/>
      <c r="AY438" s="191"/>
      <c r="AZ438" s="191"/>
      <c r="BA438" s="191"/>
      <c r="BB438" s="191"/>
      <c r="BC438" s="191"/>
      <c r="BD438" s="191"/>
      <c r="BE438" s="191"/>
      <c r="BF438" s="191"/>
      <c r="BG438" s="191"/>
      <c r="BH438" s="191"/>
      <c r="BI438" s="191"/>
      <c r="BJ438" s="191"/>
      <c r="BK438" s="191"/>
      <c r="BL438" s="191"/>
      <c r="BM438" s="191"/>
      <c r="BN438" s="191"/>
      <c r="BO438" s="191"/>
      <c r="BP438" s="191"/>
    </row>
    <row r="439" spans="11:68">
      <c r="K439" s="191"/>
      <c r="L439" s="191"/>
      <c r="M439" s="191"/>
      <c r="N439" s="191"/>
      <c r="O439" s="191"/>
      <c r="P439" s="191"/>
      <c r="Q439" s="191"/>
      <c r="R439" s="191"/>
      <c r="S439" s="191"/>
      <c r="T439" s="191"/>
      <c r="U439" s="191"/>
      <c r="V439" s="191"/>
      <c r="W439" s="191"/>
      <c r="X439" s="191"/>
      <c r="Y439" s="191"/>
      <c r="Z439" s="191"/>
      <c r="AA439" s="191"/>
      <c r="AB439" s="191"/>
      <c r="AC439" s="191"/>
      <c r="AD439" s="191"/>
      <c r="AE439" s="191"/>
      <c r="AF439" s="191"/>
      <c r="AG439" s="191"/>
      <c r="AH439" s="191"/>
      <c r="AI439" s="191"/>
      <c r="AJ439" s="191"/>
      <c r="AK439" s="191"/>
      <c r="AL439" s="191"/>
      <c r="AM439" s="191"/>
      <c r="AN439" s="191"/>
      <c r="AO439" s="191"/>
      <c r="AP439" s="191"/>
      <c r="AQ439" s="191"/>
      <c r="AR439" s="191"/>
      <c r="AS439" s="191"/>
      <c r="AT439" s="191"/>
      <c r="AU439" s="191"/>
      <c r="AV439" s="191"/>
      <c r="AW439" s="191"/>
      <c r="AX439" s="191"/>
      <c r="AY439" s="191"/>
      <c r="AZ439" s="191"/>
      <c r="BA439" s="191"/>
      <c r="BB439" s="191"/>
      <c r="BC439" s="191"/>
      <c r="BD439" s="191"/>
      <c r="BE439" s="191"/>
      <c r="BF439" s="191"/>
      <c r="BG439" s="191"/>
      <c r="BH439" s="191"/>
      <c r="BI439" s="191"/>
      <c r="BJ439" s="191"/>
      <c r="BK439" s="191"/>
      <c r="BL439" s="191"/>
      <c r="BM439" s="191"/>
      <c r="BN439" s="191"/>
      <c r="BO439" s="191"/>
      <c r="BP439" s="191"/>
    </row>
    <row r="440" spans="11:68">
      <c r="K440" s="191"/>
      <c r="L440" s="191"/>
      <c r="M440" s="191"/>
      <c r="N440" s="191"/>
      <c r="O440" s="191"/>
      <c r="P440" s="191"/>
      <c r="Q440" s="191"/>
      <c r="R440" s="191"/>
      <c r="S440" s="191"/>
      <c r="T440" s="191"/>
      <c r="U440" s="191"/>
      <c r="V440" s="191"/>
      <c r="W440" s="191"/>
      <c r="X440" s="191"/>
      <c r="Y440" s="191"/>
      <c r="Z440" s="191"/>
      <c r="AA440" s="191"/>
      <c r="AB440" s="191"/>
      <c r="AC440" s="191"/>
      <c r="AD440" s="191"/>
      <c r="AE440" s="191"/>
      <c r="AF440" s="191"/>
      <c r="AG440" s="191"/>
      <c r="AH440" s="191"/>
      <c r="AI440" s="191"/>
      <c r="AJ440" s="191"/>
      <c r="AK440" s="191"/>
      <c r="AL440" s="191"/>
      <c r="AM440" s="191"/>
      <c r="AN440" s="191"/>
      <c r="AO440" s="191"/>
      <c r="AP440" s="191"/>
      <c r="AQ440" s="191"/>
      <c r="AR440" s="191"/>
      <c r="AS440" s="191"/>
      <c r="AT440" s="191"/>
      <c r="AU440" s="191"/>
      <c r="AV440" s="191"/>
      <c r="AW440" s="191"/>
      <c r="AX440" s="191"/>
      <c r="AY440" s="191"/>
      <c r="AZ440" s="191"/>
      <c r="BA440" s="191"/>
      <c r="BB440" s="191"/>
      <c r="BC440" s="191"/>
      <c r="BD440" s="191"/>
      <c r="BE440" s="191"/>
      <c r="BF440" s="191"/>
      <c r="BG440" s="191"/>
      <c r="BH440" s="191"/>
      <c r="BI440" s="191"/>
      <c r="BJ440" s="191"/>
      <c r="BK440" s="191"/>
      <c r="BL440" s="191"/>
      <c r="BM440" s="191"/>
      <c r="BN440" s="191"/>
      <c r="BO440" s="191"/>
      <c r="BP440" s="191"/>
    </row>
    <row r="441" spans="11:68">
      <c r="K441" s="191"/>
      <c r="L441" s="191"/>
      <c r="M441" s="191"/>
      <c r="N441" s="191"/>
      <c r="O441" s="191"/>
      <c r="P441" s="191"/>
      <c r="Q441" s="191"/>
      <c r="R441" s="191"/>
      <c r="S441" s="191"/>
      <c r="T441" s="191"/>
      <c r="U441" s="191"/>
      <c r="V441" s="191"/>
      <c r="W441" s="191"/>
      <c r="X441" s="191"/>
      <c r="Y441" s="191"/>
      <c r="Z441" s="191"/>
      <c r="AA441" s="191"/>
      <c r="AB441" s="191"/>
      <c r="AC441" s="191"/>
      <c r="AD441" s="191"/>
      <c r="AE441" s="191"/>
      <c r="AF441" s="191"/>
      <c r="AG441" s="191"/>
      <c r="AH441" s="191"/>
      <c r="AI441" s="191"/>
      <c r="AJ441" s="191"/>
      <c r="AK441" s="191"/>
      <c r="AL441" s="191"/>
      <c r="AM441" s="191"/>
      <c r="AN441" s="191"/>
      <c r="AO441" s="191"/>
      <c r="AP441" s="191"/>
      <c r="AQ441" s="191"/>
      <c r="AR441" s="191"/>
      <c r="AS441" s="191"/>
      <c r="AT441" s="191"/>
      <c r="AU441" s="191"/>
      <c r="AV441" s="191"/>
      <c r="AW441" s="191"/>
      <c r="AX441" s="191"/>
      <c r="AY441" s="191"/>
      <c r="AZ441" s="191"/>
      <c r="BA441" s="191"/>
      <c r="BB441" s="191"/>
      <c r="BC441" s="191"/>
      <c r="BD441" s="191"/>
      <c r="BE441" s="191"/>
      <c r="BF441" s="191"/>
      <c r="BG441" s="191"/>
      <c r="BH441" s="191"/>
      <c r="BI441" s="191"/>
      <c r="BJ441" s="191"/>
      <c r="BK441" s="191"/>
      <c r="BL441" s="191"/>
      <c r="BM441" s="191"/>
      <c r="BN441" s="191"/>
      <c r="BO441" s="191"/>
      <c r="BP441" s="191"/>
    </row>
    <row r="442" spans="11:68">
      <c r="K442" s="191"/>
      <c r="L442" s="191"/>
      <c r="M442" s="191"/>
      <c r="N442" s="191"/>
      <c r="O442" s="191"/>
      <c r="P442" s="191"/>
      <c r="Q442" s="191"/>
      <c r="R442" s="191"/>
      <c r="S442" s="191"/>
      <c r="T442" s="191"/>
      <c r="U442" s="191"/>
      <c r="V442" s="191"/>
      <c r="W442" s="191"/>
      <c r="X442" s="191"/>
      <c r="Y442" s="191"/>
      <c r="Z442" s="191"/>
      <c r="AA442" s="191"/>
      <c r="AB442" s="191"/>
      <c r="AC442" s="191"/>
      <c r="AD442" s="191"/>
      <c r="AE442" s="191"/>
      <c r="AF442" s="191"/>
      <c r="AG442" s="191"/>
      <c r="AH442" s="191"/>
      <c r="AI442" s="191"/>
      <c r="AJ442" s="191"/>
      <c r="AK442" s="191"/>
      <c r="AL442" s="191"/>
      <c r="AM442" s="191"/>
      <c r="AN442" s="191"/>
      <c r="AO442" s="191"/>
      <c r="AP442" s="191"/>
      <c r="AQ442" s="191"/>
      <c r="AR442" s="191"/>
      <c r="AS442" s="191"/>
      <c r="AT442" s="191"/>
      <c r="AU442" s="191"/>
      <c r="AV442" s="191"/>
      <c r="AW442" s="191"/>
      <c r="AX442" s="191"/>
      <c r="AY442" s="191"/>
      <c r="AZ442" s="191"/>
      <c r="BA442" s="191"/>
      <c r="BB442" s="191"/>
      <c r="BC442" s="191"/>
      <c r="BD442" s="191"/>
      <c r="BE442" s="191"/>
      <c r="BF442" s="191"/>
      <c r="BG442" s="191"/>
      <c r="BH442" s="191"/>
      <c r="BI442" s="191"/>
      <c r="BJ442" s="191"/>
      <c r="BK442" s="191"/>
      <c r="BL442" s="191"/>
      <c r="BM442" s="191"/>
      <c r="BN442" s="191"/>
      <c r="BO442" s="191"/>
      <c r="BP442" s="191"/>
    </row>
    <row r="443" spans="11:68">
      <c r="K443" s="191"/>
      <c r="L443" s="191"/>
      <c r="M443" s="191"/>
      <c r="N443" s="191"/>
      <c r="O443" s="191"/>
      <c r="P443" s="191"/>
      <c r="Q443" s="191"/>
      <c r="R443" s="191"/>
      <c r="S443" s="191"/>
      <c r="T443" s="191"/>
      <c r="U443" s="191"/>
      <c r="V443" s="191"/>
      <c r="W443" s="191"/>
      <c r="X443" s="191"/>
      <c r="Y443" s="191"/>
      <c r="Z443" s="191"/>
      <c r="AA443" s="191"/>
      <c r="AB443" s="191"/>
      <c r="AC443" s="191"/>
      <c r="AD443" s="191"/>
      <c r="AE443" s="191"/>
      <c r="AF443" s="191"/>
      <c r="AG443" s="191"/>
      <c r="AH443" s="191"/>
      <c r="AI443" s="191"/>
      <c r="AJ443" s="191"/>
      <c r="AK443" s="191"/>
      <c r="AL443" s="191"/>
      <c r="AM443" s="191"/>
      <c r="AN443" s="191"/>
      <c r="AO443" s="191"/>
      <c r="AP443" s="191"/>
      <c r="AQ443" s="191"/>
      <c r="AR443" s="191"/>
      <c r="AS443" s="191"/>
      <c r="AT443" s="191"/>
      <c r="AU443" s="191"/>
      <c r="AV443" s="191"/>
      <c r="AW443" s="191"/>
      <c r="AX443" s="191"/>
      <c r="AY443" s="191"/>
      <c r="AZ443" s="191"/>
      <c r="BA443" s="191"/>
      <c r="BB443" s="191"/>
      <c r="BC443" s="191"/>
      <c r="BD443" s="191"/>
      <c r="BE443" s="191"/>
      <c r="BF443" s="191"/>
      <c r="BG443" s="191"/>
      <c r="BH443" s="191"/>
      <c r="BI443" s="191"/>
      <c r="BJ443" s="191"/>
      <c r="BK443" s="191"/>
      <c r="BL443" s="191"/>
      <c r="BM443" s="191"/>
      <c r="BN443" s="191"/>
      <c r="BO443" s="191"/>
      <c r="BP443" s="191"/>
    </row>
    <row r="444" spans="11:68">
      <c r="K444" s="191"/>
      <c r="L444" s="191"/>
      <c r="M444" s="191"/>
      <c r="N444" s="191"/>
      <c r="O444" s="191"/>
      <c r="P444" s="191"/>
      <c r="Q444" s="191"/>
      <c r="R444" s="191"/>
      <c r="S444" s="191"/>
      <c r="T444" s="191"/>
      <c r="U444" s="191"/>
      <c r="V444" s="191"/>
      <c r="W444" s="191"/>
      <c r="X444" s="191"/>
      <c r="Y444" s="191"/>
      <c r="Z444" s="191"/>
      <c r="AA444" s="191"/>
      <c r="AB444" s="191"/>
      <c r="AC444" s="191"/>
      <c r="AD444" s="191"/>
      <c r="AE444" s="191"/>
      <c r="AF444" s="191"/>
      <c r="AG444" s="191"/>
      <c r="AH444" s="191"/>
      <c r="AI444" s="191"/>
      <c r="AJ444" s="191"/>
      <c r="AK444" s="191"/>
      <c r="AL444" s="191"/>
      <c r="AM444" s="191"/>
      <c r="AN444" s="191"/>
      <c r="AO444" s="191"/>
      <c r="AP444" s="191"/>
      <c r="AQ444" s="191"/>
      <c r="AR444" s="191"/>
      <c r="AS444" s="191"/>
      <c r="AT444" s="191"/>
      <c r="AU444" s="191"/>
      <c r="AV444" s="191"/>
      <c r="AW444" s="191"/>
      <c r="AX444" s="191"/>
      <c r="AY444" s="191"/>
      <c r="AZ444" s="191"/>
      <c r="BA444" s="191"/>
      <c r="BB444" s="191"/>
      <c r="BC444" s="191"/>
      <c r="BD444" s="191"/>
      <c r="BE444" s="191"/>
      <c r="BF444" s="191"/>
      <c r="BG444" s="191"/>
      <c r="BH444" s="191"/>
      <c r="BI444" s="191"/>
      <c r="BJ444" s="191"/>
      <c r="BK444" s="191"/>
      <c r="BL444" s="191"/>
      <c r="BM444" s="191"/>
      <c r="BN444" s="191"/>
      <c r="BO444" s="191"/>
      <c r="BP444" s="191"/>
    </row>
    <row r="445" spans="11:68">
      <c r="K445" s="191"/>
      <c r="L445" s="191"/>
      <c r="M445" s="191"/>
      <c r="N445" s="191"/>
      <c r="O445" s="191"/>
      <c r="P445" s="191"/>
      <c r="Q445" s="191"/>
      <c r="R445" s="191"/>
      <c r="S445" s="191"/>
      <c r="T445" s="191"/>
      <c r="U445" s="191"/>
      <c r="V445" s="191"/>
      <c r="W445" s="191"/>
      <c r="X445" s="191"/>
      <c r="Y445" s="191"/>
      <c r="Z445" s="191"/>
      <c r="AA445" s="191"/>
      <c r="AB445" s="191"/>
      <c r="AC445" s="191"/>
      <c r="AD445" s="191"/>
      <c r="AE445" s="191"/>
      <c r="AF445" s="191"/>
      <c r="AG445" s="191"/>
      <c r="AH445" s="191"/>
      <c r="AI445" s="191"/>
      <c r="AJ445" s="191"/>
      <c r="AK445" s="191"/>
      <c r="AL445" s="191"/>
      <c r="AM445" s="191"/>
      <c r="AN445" s="191"/>
      <c r="AO445" s="191"/>
      <c r="AP445" s="191"/>
      <c r="AQ445" s="191"/>
      <c r="AR445" s="191"/>
      <c r="AS445" s="191"/>
      <c r="AT445" s="191"/>
      <c r="AU445" s="191"/>
      <c r="AV445" s="191"/>
      <c r="AW445" s="191"/>
      <c r="AX445" s="191"/>
      <c r="AY445" s="191"/>
      <c r="AZ445" s="191"/>
      <c r="BA445" s="191"/>
      <c r="BB445" s="191"/>
      <c r="BC445" s="191"/>
      <c r="BD445" s="191"/>
      <c r="BE445" s="191"/>
      <c r="BF445" s="191"/>
      <c r="BG445" s="191"/>
      <c r="BH445" s="191"/>
      <c r="BI445" s="191"/>
      <c r="BJ445" s="191"/>
      <c r="BK445" s="191"/>
      <c r="BL445" s="191"/>
      <c r="BM445" s="191"/>
      <c r="BN445" s="191"/>
      <c r="BO445" s="191"/>
      <c r="BP445" s="191"/>
    </row>
    <row r="446" spans="11:68">
      <c r="K446" s="191"/>
      <c r="L446" s="191"/>
      <c r="M446" s="191"/>
      <c r="N446" s="191"/>
      <c r="O446" s="191"/>
      <c r="P446" s="191"/>
      <c r="Q446" s="191"/>
      <c r="R446" s="191"/>
      <c r="S446" s="191"/>
      <c r="T446" s="191"/>
      <c r="U446" s="191"/>
      <c r="V446" s="191"/>
      <c r="W446" s="191"/>
      <c r="X446" s="191"/>
      <c r="Y446" s="191"/>
      <c r="Z446" s="191"/>
      <c r="AA446" s="191"/>
      <c r="AB446" s="191"/>
      <c r="AC446" s="191"/>
      <c r="AD446" s="191"/>
      <c r="AE446" s="191"/>
      <c r="AF446" s="191"/>
      <c r="AG446" s="191"/>
      <c r="AH446" s="191"/>
      <c r="AI446" s="191"/>
      <c r="AJ446" s="191"/>
      <c r="AK446" s="191"/>
      <c r="AL446" s="191"/>
      <c r="AM446" s="191"/>
      <c r="AN446" s="191"/>
      <c r="AO446" s="191"/>
      <c r="AP446" s="191"/>
      <c r="AQ446" s="191"/>
      <c r="AR446" s="191"/>
      <c r="AS446" s="191"/>
      <c r="AT446" s="191"/>
      <c r="AU446" s="191"/>
      <c r="AV446" s="191"/>
      <c r="AW446" s="191"/>
      <c r="AX446" s="191"/>
      <c r="AY446" s="191"/>
      <c r="AZ446" s="191"/>
      <c r="BA446" s="191"/>
      <c r="BB446" s="191"/>
      <c r="BC446" s="191"/>
      <c r="BD446" s="191"/>
      <c r="BE446" s="191"/>
      <c r="BF446" s="191"/>
      <c r="BG446" s="191"/>
      <c r="BH446" s="191"/>
      <c r="BI446" s="191"/>
      <c r="BJ446" s="191"/>
      <c r="BK446" s="191"/>
      <c r="BL446" s="191"/>
      <c r="BM446" s="191"/>
      <c r="BN446" s="191"/>
      <c r="BO446" s="191"/>
      <c r="BP446" s="191"/>
    </row>
    <row r="447" spans="11:68">
      <c r="K447" s="191"/>
      <c r="L447" s="191"/>
      <c r="M447" s="191"/>
      <c r="N447" s="191"/>
      <c r="O447" s="191"/>
      <c r="P447" s="191"/>
      <c r="Q447" s="191"/>
      <c r="R447" s="191"/>
      <c r="S447" s="191"/>
      <c r="T447" s="191"/>
      <c r="U447" s="191"/>
      <c r="V447" s="191"/>
      <c r="W447" s="191"/>
      <c r="X447" s="191"/>
      <c r="Y447" s="191"/>
      <c r="Z447" s="191"/>
      <c r="AA447" s="191"/>
      <c r="AB447" s="191"/>
      <c r="AC447" s="191"/>
      <c r="AD447" s="191"/>
      <c r="AE447" s="191"/>
      <c r="AF447" s="191"/>
      <c r="AG447" s="191"/>
      <c r="AH447" s="191"/>
      <c r="AI447" s="191"/>
      <c r="AJ447" s="191"/>
      <c r="AK447" s="191"/>
      <c r="AL447" s="191"/>
      <c r="AM447" s="191"/>
      <c r="AN447" s="191"/>
      <c r="AO447" s="191"/>
      <c r="AP447" s="191"/>
      <c r="AQ447" s="191"/>
      <c r="AR447" s="191"/>
      <c r="AS447" s="191"/>
      <c r="AT447" s="191"/>
      <c r="AU447" s="191"/>
      <c r="AV447" s="191"/>
      <c r="AW447" s="191"/>
      <c r="AX447" s="191"/>
      <c r="AY447" s="191"/>
      <c r="AZ447" s="191"/>
      <c r="BA447" s="191"/>
      <c r="BB447" s="191"/>
      <c r="BC447" s="191"/>
      <c r="BD447" s="191"/>
      <c r="BE447" s="191"/>
      <c r="BF447" s="191"/>
      <c r="BG447" s="191"/>
      <c r="BH447" s="191"/>
      <c r="BI447" s="191"/>
      <c r="BJ447" s="191"/>
      <c r="BK447" s="191"/>
      <c r="BL447" s="191"/>
      <c r="BM447" s="191"/>
      <c r="BN447" s="191"/>
      <c r="BO447" s="191"/>
      <c r="BP447" s="191"/>
    </row>
    <row r="448" spans="11:68">
      <c r="K448" s="191"/>
      <c r="L448" s="191"/>
      <c r="M448" s="191"/>
      <c r="N448" s="191"/>
      <c r="O448" s="191"/>
      <c r="P448" s="191"/>
      <c r="Q448" s="191"/>
      <c r="R448" s="191"/>
      <c r="S448" s="191"/>
      <c r="T448" s="191"/>
      <c r="U448" s="191"/>
      <c r="V448" s="191"/>
      <c r="W448" s="191"/>
      <c r="X448" s="191"/>
      <c r="Y448" s="191"/>
      <c r="Z448" s="191"/>
      <c r="AA448" s="191"/>
      <c r="AB448" s="191"/>
      <c r="AC448" s="191"/>
      <c r="AD448" s="191"/>
      <c r="AE448" s="191"/>
      <c r="AF448" s="191"/>
      <c r="AG448" s="191"/>
      <c r="AH448" s="191"/>
      <c r="AI448" s="191"/>
      <c r="AJ448" s="191"/>
      <c r="AK448" s="191"/>
      <c r="AL448" s="191"/>
      <c r="AM448" s="191"/>
      <c r="AN448" s="191"/>
      <c r="AO448" s="191"/>
      <c r="AP448" s="191"/>
      <c r="AQ448" s="191"/>
      <c r="AR448" s="191"/>
      <c r="AS448" s="191"/>
      <c r="AT448" s="191"/>
      <c r="AU448" s="191"/>
      <c r="AV448" s="191"/>
      <c r="AW448" s="191"/>
      <c r="AX448" s="191"/>
      <c r="AY448" s="191"/>
      <c r="AZ448" s="191"/>
      <c r="BA448" s="191"/>
      <c r="BB448" s="191"/>
      <c r="BC448" s="191"/>
      <c r="BD448" s="191"/>
      <c r="BE448" s="191"/>
      <c r="BF448" s="191"/>
      <c r="BG448" s="191"/>
      <c r="BH448" s="191"/>
      <c r="BI448" s="191"/>
      <c r="BJ448" s="191"/>
      <c r="BK448" s="191"/>
      <c r="BL448" s="191"/>
      <c r="BM448" s="191"/>
      <c r="BN448" s="191"/>
      <c r="BO448" s="191"/>
      <c r="BP448" s="191"/>
    </row>
    <row r="449" spans="11:68">
      <c r="K449" s="191"/>
      <c r="L449" s="191"/>
      <c r="M449" s="191"/>
      <c r="N449" s="191"/>
      <c r="O449" s="191"/>
      <c r="P449" s="191"/>
      <c r="Q449" s="191"/>
      <c r="R449" s="191"/>
      <c r="S449" s="191"/>
      <c r="T449" s="191"/>
      <c r="U449" s="191"/>
      <c r="V449" s="191"/>
      <c r="W449" s="191"/>
      <c r="X449" s="191"/>
      <c r="Y449" s="191"/>
      <c r="Z449" s="191"/>
      <c r="AA449" s="191"/>
      <c r="AB449" s="191"/>
      <c r="AC449" s="191"/>
      <c r="AD449" s="191"/>
      <c r="AE449" s="191"/>
      <c r="AF449" s="191"/>
      <c r="AG449" s="191"/>
      <c r="AH449" s="191"/>
      <c r="AI449" s="191"/>
      <c r="AJ449" s="191"/>
      <c r="AK449" s="191"/>
      <c r="AL449" s="191"/>
      <c r="AM449" s="191"/>
      <c r="AN449" s="191"/>
      <c r="AO449" s="191"/>
      <c r="AP449" s="191"/>
      <c r="AQ449" s="191"/>
      <c r="AR449" s="191"/>
      <c r="AS449" s="191"/>
      <c r="AT449" s="191"/>
      <c r="AU449" s="191"/>
      <c r="AV449" s="191"/>
      <c r="AW449" s="191"/>
      <c r="AX449" s="191"/>
      <c r="AY449" s="191"/>
      <c r="AZ449" s="191"/>
      <c r="BA449" s="191"/>
      <c r="BB449" s="191"/>
      <c r="BC449" s="191"/>
      <c r="BD449" s="191"/>
      <c r="BE449" s="191"/>
      <c r="BF449" s="191"/>
      <c r="BG449" s="191"/>
      <c r="BH449" s="191"/>
      <c r="BI449" s="191"/>
      <c r="BJ449" s="191"/>
      <c r="BK449" s="191"/>
      <c r="BL449" s="191"/>
      <c r="BM449" s="191"/>
      <c r="BN449" s="191"/>
      <c r="BO449" s="191"/>
      <c r="BP449" s="191"/>
    </row>
    <row r="450" spans="11:68">
      <c r="K450" s="191"/>
      <c r="L450" s="191"/>
      <c r="M450" s="191"/>
      <c r="N450" s="191"/>
      <c r="O450" s="191"/>
      <c r="P450" s="191"/>
      <c r="Q450" s="191"/>
      <c r="R450" s="191"/>
      <c r="S450" s="191"/>
      <c r="T450" s="191"/>
      <c r="U450" s="191"/>
      <c r="V450" s="191"/>
      <c r="W450" s="191"/>
      <c r="X450" s="191"/>
      <c r="Y450" s="191"/>
      <c r="Z450" s="191"/>
      <c r="AA450" s="191"/>
      <c r="AB450" s="191"/>
      <c r="AC450" s="191"/>
      <c r="AD450" s="191"/>
      <c r="AE450" s="191"/>
      <c r="AF450" s="191"/>
      <c r="AG450" s="191"/>
      <c r="AH450" s="191"/>
      <c r="AI450" s="191"/>
      <c r="AJ450" s="191"/>
      <c r="AK450" s="191"/>
      <c r="AL450" s="191"/>
      <c r="AM450" s="191"/>
      <c r="AN450" s="191"/>
      <c r="AO450" s="191"/>
      <c r="AP450" s="191"/>
      <c r="AQ450" s="191"/>
      <c r="AR450" s="191"/>
      <c r="AS450" s="191"/>
      <c r="AT450" s="191"/>
      <c r="AU450" s="191"/>
      <c r="AV450" s="191"/>
      <c r="AW450" s="191"/>
      <c r="AX450" s="191"/>
      <c r="AY450" s="191"/>
      <c r="AZ450" s="191"/>
      <c r="BA450" s="191"/>
      <c r="BB450" s="191"/>
      <c r="BC450" s="191"/>
      <c r="BD450" s="191"/>
      <c r="BE450" s="191"/>
      <c r="BF450" s="191"/>
      <c r="BG450" s="191"/>
      <c r="BH450" s="191"/>
      <c r="BI450" s="191"/>
      <c r="BJ450" s="191"/>
      <c r="BK450" s="191"/>
      <c r="BL450" s="191"/>
      <c r="BM450" s="191"/>
      <c r="BN450" s="191"/>
      <c r="BO450" s="191"/>
      <c r="BP450" s="191"/>
    </row>
    <row r="451" spans="11:68">
      <c r="K451" s="191"/>
      <c r="L451" s="191"/>
      <c r="M451" s="191"/>
      <c r="N451" s="191"/>
      <c r="O451" s="191"/>
      <c r="P451" s="191"/>
      <c r="Q451" s="191"/>
      <c r="R451" s="191"/>
      <c r="S451" s="191"/>
      <c r="T451" s="191"/>
      <c r="U451" s="191"/>
      <c r="V451" s="191"/>
      <c r="W451" s="191"/>
      <c r="X451" s="191"/>
      <c r="Y451" s="191"/>
      <c r="Z451" s="191"/>
      <c r="AA451" s="191"/>
      <c r="AB451" s="191"/>
      <c r="AC451" s="191"/>
      <c r="AD451" s="191"/>
      <c r="AE451" s="191"/>
      <c r="AF451" s="191"/>
      <c r="AG451" s="191"/>
      <c r="AH451" s="191"/>
      <c r="AI451" s="191"/>
      <c r="AJ451" s="191"/>
      <c r="AK451" s="191"/>
      <c r="AL451" s="191"/>
      <c r="AM451" s="191"/>
      <c r="AN451" s="191"/>
      <c r="AO451" s="191"/>
      <c r="AP451" s="191"/>
      <c r="AQ451" s="191"/>
      <c r="AR451" s="191"/>
      <c r="AS451" s="191"/>
      <c r="AT451" s="191"/>
      <c r="AU451" s="191"/>
      <c r="AV451" s="191"/>
      <c r="AW451" s="191"/>
      <c r="AX451" s="191"/>
      <c r="AY451" s="191"/>
      <c r="AZ451" s="191"/>
      <c r="BA451" s="191"/>
      <c r="BB451" s="191"/>
      <c r="BC451" s="191"/>
      <c r="BD451" s="191"/>
      <c r="BE451" s="191"/>
      <c r="BF451" s="191"/>
      <c r="BG451" s="191"/>
      <c r="BH451" s="191"/>
      <c r="BI451" s="191"/>
      <c r="BJ451" s="191"/>
      <c r="BK451" s="191"/>
      <c r="BL451" s="191"/>
      <c r="BM451" s="191"/>
      <c r="BN451" s="191"/>
      <c r="BO451" s="191"/>
      <c r="BP451" s="191"/>
    </row>
    <row r="452" spans="11:68">
      <c r="K452" s="191"/>
      <c r="L452" s="191"/>
      <c r="M452" s="191"/>
      <c r="N452" s="191"/>
      <c r="O452" s="191"/>
      <c r="P452" s="191"/>
      <c r="Q452" s="191"/>
      <c r="R452" s="191"/>
      <c r="S452" s="191"/>
      <c r="T452" s="191"/>
      <c r="U452" s="191"/>
      <c r="V452" s="191"/>
      <c r="W452" s="191"/>
      <c r="X452" s="191"/>
      <c r="Y452" s="191"/>
      <c r="Z452" s="191"/>
      <c r="AA452" s="191"/>
      <c r="AB452" s="191"/>
      <c r="AC452" s="191"/>
      <c r="AD452" s="191"/>
      <c r="AE452" s="191"/>
      <c r="AF452" s="191"/>
      <c r="AG452" s="191"/>
      <c r="AH452" s="191"/>
      <c r="AI452" s="191"/>
      <c r="AJ452" s="191"/>
      <c r="AK452" s="191"/>
      <c r="AL452" s="191"/>
      <c r="AM452" s="191"/>
      <c r="AN452" s="191"/>
      <c r="AO452" s="191"/>
      <c r="AP452" s="191"/>
      <c r="AQ452" s="191"/>
      <c r="AR452" s="191"/>
      <c r="AS452" s="191"/>
      <c r="AT452" s="191"/>
      <c r="AU452" s="191"/>
      <c r="AV452" s="191"/>
      <c r="AW452" s="191"/>
      <c r="AX452" s="191"/>
      <c r="AY452" s="191"/>
      <c r="AZ452" s="191"/>
      <c r="BA452" s="191"/>
      <c r="BB452" s="191"/>
      <c r="BC452" s="191"/>
      <c r="BD452" s="191"/>
      <c r="BE452" s="191"/>
      <c r="BF452" s="191"/>
      <c r="BG452" s="191"/>
      <c r="BH452" s="191"/>
      <c r="BI452" s="191"/>
      <c r="BJ452" s="191"/>
      <c r="BK452" s="191"/>
      <c r="BL452" s="191"/>
      <c r="BM452" s="191"/>
      <c r="BN452" s="191"/>
      <c r="BO452" s="191"/>
      <c r="BP452" s="191"/>
    </row>
    <row r="453" spans="11:68">
      <c r="K453" s="191"/>
      <c r="L453" s="191"/>
      <c r="M453" s="191"/>
      <c r="N453" s="191"/>
      <c r="O453" s="191"/>
      <c r="P453" s="191"/>
      <c r="Q453" s="191"/>
      <c r="R453" s="191"/>
      <c r="S453" s="191"/>
      <c r="T453" s="191"/>
      <c r="U453" s="191"/>
      <c r="V453" s="191"/>
      <c r="W453" s="191"/>
      <c r="X453" s="191"/>
      <c r="Y453" s="191"/>
      <c r="Z453" s="191"/>
      <c r="AA453" s="191"/>
      <c r="AB453" s="191"/>
      <c r="AC453" s="191"/>
      <c r="AD453" s="191"/>
      <c r="AE453" s="191"/>
      <c r="AF453" s="191"/>
      <c r="AG453" s="191"/>
      <c r="AH453" s="191"/>
      <c r="AI453" s="191"/>
      <c r="AJ453" s="191"/>
      <c r="AK453" s="191"/>
      <c r="AL453" s="191"/>
      <c r="AM453" s="191"/>
      <c r="AN453" s="191"/>
      <c r="AO453" s="191"/>
      <c r="AP453" s="191"/>
      <c r="AQ453" s="191"/>
      <c r="AR453" s="191"/>
      <c r="AS453" s="191"/>
      <c r="AT453" s="191"/>
      <c r="AU453" s="191"/>
      <c r="AV453" s="191"/>
      <c r="AW453" s="191"/>
      <c r="AX453" s="191"/>
      <c r="AY453" s="191"/>
      <c r="AZ453" s="191"/>
      <c r="BA453" s="191"/>
      <c r="BB453" s="191"/>
      <c r="BC453" s="191"/>
      <c r="BD453" s="191"/>
      <c r="BE453" s="191"/>
      <c r="BF453" s="191"/>
      <c r="BG453" s="191"/>
      <c r="BH453" s="191"/>
      <c r="BI453" s="191"/>
      <c r="BJ453" s="191"/>
      <c r="BK453" s="191"/>
      <c r="BL453" s="191"/>
      <c r="BM453" s="191"/>
      <c r="BN453" s="191"/>
      <c r="BO453" s="191"/>
      <c r="BP453" s="191"/>
    </row>
    <row r="454" spans="11:68">
      <c r="K454" s="191"/>
      <c r="L454" s="191"/>
      <c r="M454" s="191"/>
      <c r="N454" s="191"/>
      <c r="O454" s="191"/>
      <c r="P454" s="191"/>
      <c r="Q454" s="191"/>
      <c r="R454" s="191"/>
      <c r="S454" s="191"/>
      <c r="T454" s="191"/>
      <c r="U454" s="191"/>
      <c r="V454" s="191"/>
      <c r="W454" s="191"/>
      <c r="X454" s="191"/>
      <c r="Y454" s="191"/>
      <c r="Z454" s="191"/>
      <c r="AA454" s="191"/>
      <c r="AB454" s="191"/>
      <c r="AC454" s="191"/>
      <c r="AD454" s="191"/>
      <c r="AE454" s="191"/>
      <c r="AF454" s="191"/>
      <c r="AG454" s="191"/>
      <c r="AH454" s="191"/>
      <c r="AI454" s="191"/>
      <c r="AJ454" s="191"/>
      <c r="AK454" s="191"/>
      <c r="AL454" s="191"/>
      <c r="AM454" s="191"/>
      <c r="AN454" s="191"/>
      <c r="AO454" s="191"/>
      <c r="AP454" s="191"/>
      <c r="AQ454" s="191"/>
      <c r="AR454" s="191"/>
      <c r="AS454" s="191"/>
      <c r="AT454" s="191"/>
      <c r="AU454" s="191"/>
      <c r="AV454" s="191"/>
      <c r="AW454" s="191"/>
      <c r="AX454" s="191"/>
      <c r="AY454" s="191"/>
      <c r="AZ454" s="191"/>
      <c r="BA454" s="191"/>
      <c r="BB454" s="191"/>
      <c r="BC454" s="191"/>
      <c r="BD454" s="191"/>
      <c r="BE454" s="191"/>
      <c r="BF454" s="191"/>
      <c r="BG454" s="191"/>
      <c r="BH454" s="191"/>
      <c r="BI454" s="191"/>
      <c r="BJ454" s="191"/>
      <c r="BK454" s="191"/>
      <c r="BL454" s="191"/>
      <c r="BM454" s="191"/>
      <c r="BN454" s="191"/>
      <c r="BO454" s="191"/>
      <c r="BP454" s="191"/>
    </row>
    <row r="455" spans="11:68">
      <c r="K455" s="191"/>
      <c r="L455" s="191"/>
      <c r="M455" s="191"/>
      <c r="N455" s="191"/>
      <c r="O455" s="191"/>
      <c r="P455" s="191"/>
      <c r="Q455" s="191"/>
      <c r="R455" s="191"/>
      <c r="S455" s="191"/>
      <c r="T455" s="191"/>
      <c r="U455" s="191"/>
      <c r="V455" s="191"/>
      <c r="W455" s="191"/>
      <c r="X455" s="191"/>
      <c r="Y455" s="191"/>
      <c r="Z455" s="191"/>
      <c r="AA455" s="191"/>
      <c r="AB455" s="191"/>
      <c r="AC455" s="191"/>
      <c r="AD455" s="191"/>
      <c r="AE455" s="191"/>
      <c r="AF455" s="191"/>
      <c r="AG455" s="191"/>
      <c r="AH455" s="191"/>
      <c r="AI455" s="191"/>
      <c r="AJ455" s="191"/>
      <c r="AK455" s="191"/>
      <c r="AL455" s="191"/>
      <c r="AM455" s="191"/>
      <c r="AN455" s="191"/>
      <c r="AO455" s="191"/>
      <c r="AP455" s="191"/>
      <c r="AQ455" s="191"/>
      <c r="AR455" s="191"/>
      <c r="AS455" s="191"/>
      <c r="AT455" s="191"/>
      <c r="AU455" s="191"/>
      <c r="AV455" s="191"/>
      <c r="AW455" s="191"/>
      <c r="AX455" s="191"/>
      <c r="AY455" s="191"/>
      <c r="AZ455" s="191"/>
      <c r="BA455" s="191"/>
      <c r="BB455" s="191"/>
      <c r="BC455" s="191"/>
      <c r="BD455" s="191"/>
      <c r="BE455" s="191"/>
      <c r="BF455" s="191"/>
      <c r="BG455" s="191"/>
      <c r="BH455" s="191"/>
      <c r="BI455" s="191"/>
      <c r="BJ455" s="191"/>
      <c r="BK455" s="191"/>
      <c r="BL455" s="191"/>
      <c r="BM455" s="191"/>
      <c r="BN455" s="191"/>
      <c r="BO455" s="191"/>
      <c r="BP455" s="191"/>
    </row>
    <row r="456" spans="11:68">
      <c r="K456" s="191"/>
      <c r="L456" s="191"/>
      <c r="M456" s="191"/>
      <c r="N456" s="191"/>
      <c r="O456" s="191"/>
      <c r="P456" s="191"/>
      <c r="Q456" s="191"/>
      <c r="R456" s="191"/>
      <c r="S456" s="191"/>
      <c r="T456" s="191"/>
      <c r="U456" s="191"/>
      <c r="V456" s="191"/>
      <c r="W456" s="191"/>
      <c r="X456" s="191"/>
      <c r="Y456" s="191"/>
      <c r="Z456" s="191"/>
      <c r="AA456" s="191"/>
      <c r="AB456" s="191"/>
      <c r="AC456" s="191"/>
      <c r="AD456" s="191"/>
      <c r="AE456" s="191"/>
      <c r="AF456" s="191"/>
      <c r="AG456" s="191"/>
      <c r="AH456" s="191"/>
      <c r="AI456" s="191"/>
      <c r="AJ456" s="191"/>
      <c r="AK456" s="191"/>
      <c r="AL456" s="191"/>
      <c r="AM456" s="191"/>
      <c r="AN456" s="191"/>
      <c r="AO456" s="191"/>
      <c r="AP456" s="191"/>
      <c r="AQ456" s="191"/>
      <c r="AR456" s="191"/>
      <c r="AS456" s="191"/>
      <c r="AT456" s="191"/>
      <c r="AU456" s="191"/>
      <c r="AV456" s="191"/>
      <c r="AW456" s="191"/>
      <c r="AX456" s="191"/>
      <c r="AY456" s="191"/>
      <c r="AZ456" s="191"/>
      <c r="BA456" s="191"/>
      <c r="BB456" s="191"/>
      <c r="BC456" s="191"/>
      <c r="BD456" s="191"/>
      <c r="BE456" s="191"/>
      <c r="BF456" s="191"/>
      <c r="BG456" s="191"/>
      <c r="BH456" s="191"/>
      <c r="BI456" s="191"/>
      <c r="BJ456" s="191"/>
      <c r="BK456" s="191"/>
      <c r="BL456" s="191"/>
      <c r="BM456" s="191"/>
      <c r="BN456" s="191"/>
      <c r="BO456" s="191"/>
      <c r="BP456" s="191"/>
    </row>
    <row r="457" spans="11:68">
      <c r="K457" s="191"/>
      <c r="L457" s="191"/>
      <c r="M457" s="191"/>
      <c r="N457" s="191"/>
      <c r="O457" s="191"/>
      <c r="P457" s="191"/>
      <c r="Q457" s="191"/>
      <c r="R457" s="191"/>
      <c r="S457" s="191"/>
      <c r="T457" s="191"/>
      <c r="U457" s="191"/>
      <c r="V457" s="191"/>
      <c r="W457" s="191"/>
      <c r="X457" s="191"/>
      <c r="Y457" s="191"/>
      <c r="Z457" s="191"/>
      <c r="AA457" s="191"/>
      <c r="AB457" s="191"/>
      <c r="AC457" s="191"/>
      <c r="AD457" s="191"/>
      <c r="AE457" s="191"/>
      <c r="AF457" s="191"/>
      <c r="AG457" s="191"/>
      <c r="AH457" s="191"/>
      <c r="AI457" s="191"/>
      <c r="AJ457" s="191"/>
      <c r="AK457" s="191"/>
      <c r="AL457" s="191"/>
      <c r="AM457" s="191"/>
      <c r="AN457" s="191"/>
      <c r="AO457" s="191"/>
      <c r="AP457" s="191"/>
      <c r="AQ457" s="191"/>
      <c r="AR457" s="191"/>
      <c r="AS457" s="191"/>
      <c r="AT457" s="191"/>
      <c r="AU457" s="191"/>
      <c r="AV457" s="191"/>
      <c r="AW457" s="191"/>
      <c r="AX457" s="191"/>
      <c r="AY457" s="191"/>
      <c r="AZ457" s="191"/>
      <c r="BA457" s="191"/>
      <c r="BB457" s="191"/>
      <c r="BC457" s="191"/>
      <c r="BD457" s="191"/>
      <c r="BE457" s="191"/>
      <c r="BF457" s="191"/>
      <c r="BG457" s="191"/>
      <c r="BH457" s="191"/>
      <c r="BI457" s="191"/>
      <c r="BJ457" s="191"/>
      <c r="BK457" s="191"/>
      <c r="BL457" s="191"/>
      <c r="BM457" s="191"/>
      <c r="BN457" s="191"/>
      <c r="BO457" s="191"/>
      <c r="BP457" s="191"/>
    </row>
    <row r="458" spans="11:68">
      <c r="K458" s="191"/>
      <c r="L458" s="191"/>
      <c r="M458" s="191"/>
      <c r="N458" s="191"/>
      <c r="O458" s="191"/>
      <c r="P458" s="191"/>
      <c r="Q458" s="191"/>
      <c r="R458" s="191"/>
      <c r="S458" s="191"/>
      <c r="T458" s="191"/>
      <c r="U458" s="191"/>
      <c r="V458" s="191"/>
      <c r="W458" s="191"/>
      <c r="X458" s="191"/>
      <c r="Y458" s="191"/>
      <c r="Z458" s="191"/>
      <c r="AA458" s="191"/>
      <c r="AB458" s="191"/>
      <c r="AC458" s="191"/>
      <c r="AD458" s="191"/>
      <c r="AE458" s="191"/>
      <c r="AF458" s="191"/>
      <c r="AG458" s="191"/>
      <c r="AH458" s="191"/>
      <c r="AI458" s="191"/>
      <c r="AJ458" s="191"/>
      <c r="AK458" s="191"/>
      <c r="AL458" s="191"/>
      <c r="AM458" s="191"/>
      <c r="AN458" s="191"/>
      <c r="AO458" s="191"/>
      <c r="AP458" s="191"/>
      <c r="AQ458" s="191"/>
      <c r="AR458" s="191"/>
      <c r="AS458" s="191"/>
      <c r="AT458" s="191"/>
      <c r="AU458" s="191"/>
      <c r="AV458" s="191"/>
      <c r="AW458" s="191"/>
      <c r="AX458" s="191"/>
      <c r="AY458" s="191"/>
      <c r="AZ458" s="191"/>
      <c r="BA458" s="191"/>
      <c r="BB458" s="191"/>
      <c r="BC458" s="191"/>
      <c r="BD458" s="191"/>
      <c r="BE458" s="191"/>
      <c r="BF458" s="191"/>
      <c r="BG458" s="191"/>
      <c r="BH458" s="191"/>
      <c r="BI458" s="191"/>
      <c r="BJ458" s="191"/>
      <c r="BK458" s="191"/>
      <c r="BL458" s="191"/>
      <c r="BM458" s="191"/>
      <c r="BN458" s="191"/>
      <c r="BO458" s="191"/>
      <c r="BP458" s="191"/>
    </row>
    <row r="459" spans="11:68">
      <c r="K459" s="191"/>
      <c r="L459" s="191"/>
      <c r="M459" s="191"/>
      <c r="N459" s="191"/>
      <c r="O459" s="191"/>
      <c r="P459" s="191"/>
      <c r="Q459" s="191"/>
      <c r="R459" s="191"/>
      <c r="S459" s="191"/>
      <c r="T459" s="191"/>
      <c r="U459" s="191"/>
      <c r="V459" s="191"/>
      <c r="W459" s="191"/>
      <c r="X459" s="191"/>
      <c r="Y459" s="191"/>
      <c r="Z459" s="191"/>
      <c r="AA459" s="191"/>
      <c r="AB459" s="191"/>
      <c r="AC459" s="191"/>
      <c r="AD459" s="191"/>
      <c r="AE459" s="191"/>
      <c r="AF459" s="191"/>
      <c r="AG459" s="191"/>
      <c r="AH459" s="191"/>
      <c r="AI459" s="191"/>
      <c r="AJ459" s="191"/>
      <c r="AK459" s="191"/>
      <c r="AL459" s="191"/>
      <c r="AM459" s="191"/>
      <c r="AN459" s="191"/>
      <c r="AO459" s="191"/>
      <c r="AP459" s="191"/>
      <c r="AQ459" s="191"/>
      <c r="AR459" s="191"/>
      <c r="AS459" s="191"/>
      <c r="AT459" s="191"/>
      <c r="AU459" s="191"/>
      <c r="AV459" s="191"/>
      <c r="AW459" s="191"/>
      <c r="AX459" s="191"/>
      <c r="AY459" s="191"/>
      <c r="AZ459" s="191"/>
      <c r="BA459" s="191"/>
      <c r="BB459" s="191"/>
      <c r="BC459" s="191"/>
      <c r="BD459" s="191"/>
      <c r="BE459" s="191"/>
      <c r="BF459" s="191"/>
      <c r="BG459" s="191"/>
      <c r="BH459" s="191"/>
      <c r="BI459" s="191"/>
      <c r="BJ459" s="191"/>
      <c r="BK459" s="191"/>
      <c r="BL459" s="191"/>
      <c r="BM459" s="191"/>
      <c r="BN459" s="191"/>
      <c r="BO459" s="191"/>
      <c r="BP459" s="191"/>
    </row>
    <row r="460" spans="11:68">
      <c r="K460" s="191"/>
      <c r="L460" s="191"/>
      <c r="M460" s="191"/>
      <c r="N460" s="191"/>
      <c r="O460" s="191"/>
      <c r="P460" s="191"/>
      <c r="Q460" s="191"/>
      <c r="R460" s="191"/>
      <c r="S460" s="191"/>
      <c r="T460" s="191"/>
      <c r="U460" s="191"/>
      <c r="V460" s="191"/>
      <c r="W460" s="191"/>
      <c r="X460" s="191"/>
      <c r="Y460" s="191"/>
      <c r="Z460" s="191"/>
      <c r="AA460" s="191"/>
      <c r="AB460" s="191"/>
      <c r="AC460" s="191"/>
      <c r="AD460" s="191"/>
      <c r="AE460" s="191"/>
      <c r="AF460" s="191"/>
      <c r="AG460" s="191"/>
      <c r="AH460" s="191"/>
      <c r="AI460" s="191"/>
      <c r="AJ460" s="191"/>
      <c r="AK460" s="191"/>
      <c r="AL460" s="191"/>
      <c r="AM460" s="191"/>
      <c r="AN460" s="191"/>
      <c r="AO460" s="191"/>
      <c r="AP460" s="191"/>
      <c r="AQ460" s="191"/>
      <c r="AR460" s="191"/>
      <c r="AS460" s="191"/>
      <c r="AT460" s="191"/>
      <c r="AU460" s="191"/>
      <c r="AV460" s="191"/>
      <c r="AW460" s="191"/>
      <c r="AX460" s="191"/>
      <c r="AY460" s="191"/>
      <c r="AZ460" s="191"/>
      <c r="BA460" s="191"/>
      <c r="BB460" s="191"/>
      <c r="BC460" s="191"/>
      <c r="BD460" s="191"/>
      <c r="BE460" s="191"/>
      <c r="BF460" s="191"/>
      <c r="BG460" s="191"/>
      <c r="BH460" s="191"/>
      <c r="BI460" s="191"/>
      <c r="BJ460" s="191"/>
      <c r="BK460" s="191"/>
      <c r="BL460" s="191"/>
      <c r="BM460" s="191"/>
      <c r="BN460" s="191"/>
      <c r="BO460" s="191"/>
      <c r="BP460" s="191"/>
    </row>
    <row r="461" spans="11:68">
      <c r="K461" s="191"/>
      <c r="L461" s="191"/>
      <c r="M461" s="191"/>
      <c r="N461" s="191"/>
      <c r="O461" s="191"/>
      <c r="P461" s="191"/>
      <c r="Q461" s="191"/>
      <c r="R461" s="191"/>
      <c r="S461" s="191"/>
      <c r="T461" s="191"/>
      <c r="U461" s="191"/>
      <c r="V461" s="191"/>
      <c r="W461" s="191"/>
      <c r="X461" s="191"/>
      <c r="Y461" s="191"/>
      <c r="Z461" s="191"/>
      <c r="AA461" s="191"/>
      <c r="AB461" s="191"/>
      <c r="AC461" s="191"/>
      <c r="AD461" s="191"/>
      <c r="AE461" s="191"/>
      <c r="AF461" s="191"/>
      <c r="AG461" s="191"/>
      <c r="AH461" s="191"/>
      <c r="AI461" s="191"/>
      <c r="AJ461" s="191"/>
      <c r="AK461" s="191"/>
      <c r="AL461" s="191"/>
      <c r="AM461" s="191"/>
      <c r="AN461" s="191"/>
      <c r="AO461" s="191"/>
      <c r="AP461" s="191"/>
      <c r="AQ461" s="191"/>
      <c r="AR461" s="191"/>
      <c r="AS461" s="191"/>
      <c r="AT461" s="191"/>
      <c r="AU461" s="191"/>
      <c r="AV461" s="191"/>
      <c r="AW461" s="191"/>
      <c r="AX461" s="191"/>
      <c r="AY461" s="191"/>
      <c r="AZ461" s="191"/>
      <c r="BA461" s="191"/>
      <c r="BB461" s="191"/>
      <c r="BC461" s="191"/>
      <c r="BD461" s="191"/>
      <c r="BE461" s="191"/>
      <c r="BF461" s="191"/>
      <c r="BG461" s="191"/>
      <c r="BH461" s="191"/>
      <c r="BI461" s="191"/>
      <c r="BJ461" s="191"/>
      <c r="BK461" s="191"/>
      <c r="BL461" s="191"/>
      <c r="BM461" s="191"/>
      <c r="BN461" s="191"/>
      <c r="BO461" s="191"/>
      <c r="BP461" s="191"/>
    </row>
    <row r="462" spans="11:68">
      <c r="K462" s="191"/>
      <c r="L462" s="191"/>
      <c r="M462" s="191"/>
      <c r="N462" s="191"/>
      <c r="O462" s="191"/>
      <c r="P462" s="191"/>
      <c r="Q462" s="191"/>
      <c r="R462" s="191"/>
      <c r="S462" s="191"/>
      <c r="T462" s="191"/>
      <c r="U462" s="191"/>
      <c r="V462" s="191"/>
      <c r="W462" s="191"/>
      <c r="X462" s="191"/>
      <c r="Y462" s="191"/>
      <c r="Z462" s="191"/>
      <c r="AA462" s="191"/>
      <c r="AB462" s="191"/>
      <c r="AC462" s="191"/>
      <c r="AD462" s="191"/>
      <c r="AE462" s="191"/>
      <c r="AF462" s="191"/>
      <c r="AG462" s="191"/>
      <c r="AH462" s="191"/>
      <c r="AI462" s="191"/>
      <c r="AJ462" s="191"/>
      <c r="AK462" s="191"/>
      <c r="AL462" s="191"/>
      <c r="AM462" s="191"/>
      <c r="AN462" s="191"/>
      <c r="AO462" s="191"/>
      <c r="AP462" s="191"/>
      <c r="AQ462" s="191"/>
      <c r="AR462" s="191"/>
      <c r="AS462" s="191"/>
      <c r="AT462" s="191"/>
      <c r="AU462" s="191"/>
      <c r="AV462" s="191"/>
      <c r="AW462" s="191"/>
      <c r="AX462" s="191"/>
      <c r="AY462" s="191"/>
      <c r="AZ462" s="191"/>
      <c r="BA462" s="191"/>
      <c r="BB462" s="191"/>
      <c r="BC462" s="191"/>
      <c r="BD462" s="191"/>
      <c r="BE462" s="191"/>
      <c r="BF462" s="191"/>
      <c r="BG462" s="191"/>
      <c r="BH462" s="191"/>
      <c r="BI462" s="191"/>
      <c r="BJ462" s="191"/>
      <c r="BK462" s="191"/>
      <c r="BL462" s="191"/>
      <c r="BM462" s="191"/>
      <c r="BN462" s="191"/>
      <c r="BO462" s="191"/>
      <c r="BP462" s="191"/>
    </row>
    <row r="463" spans="11:68">
      <c r="K463" s="191"/>
      <c r="L463" s="191"/>
      <c r="M463" s="191"/>
      <c r="N463" s="191"/>
      <c r="O463" s="191"/>
      <c r="P463" s="191"/>
      <c r="Q463" s="191"/>
      <c r="R463" s="191"/>
      <c r="S463" s="191"/>
      <c r="T463" s="191"/>
      <c r="U463" s="191"/>
      <c r="V463" s="191"/>
      <c r="W463" s="191"/>
      <c r="X463" s="191"/>
      <c r="Y463" s="191"/>
      <c r="Z463" s="191"/>
      <c r="AA463" s="191"/>
      <c r="AB463" s="191"/>
      <c r="AC463" s="191"/>
      <c r="AD463" s="191"/>
      <c r="AE463" s="191"/>
      <c r="AF463" s="191"/>
      <c r="AG463" s="191"/>
      <c r="AH463" s="191"/>
      <c r="AI463" s="191"/>
      <c r="AJ463" s="191"/>
      <c r="AK463" s="191"/>
      <c r="AL463" s="191"/>
      <c r="AM463" s="191"/>
      <c r="AN463" s="191"/>
      <c r="AO463" s="191"/>
      <c r="AP463" s="191"/>
      <c r="AQ463" s="191"/>
      <c r="AR463" s="191"/>
      <c r="AS463" s="191"/>
      <c r="AT463" s="191"/>
      <c r="AU463" s="191"/>
      <c r="AV463" s="191"/>
      <c r="AW463" s="191"/>
      <c r="AX463" s="191"/>
      <c r="AY463" s="191"/>
      <c r="AZ463" s="191"/>
      <c r="BA463" s="191"/>
      <c r="BB463" s="191"/>
      <c r="BC463" s="191"/>
      <c r="BD463" s="191"/>
      <c r="BE463" s="191"/>
      <c r="BF463" s="191"/>
      <c r="BG463" s="191"/>
      <c r="BH463" s="191"/>
      <c r="BI463" s="191"/>
      <c r="BJ463" s="191"/>
      <c r="BK463" s="191"/>
      <c r="BL463" s="191"/>
      <c r="BM463" s="191"/>
      <c r="BN463" s="191"/>
      <c r="BO463" s="191"/>
      <c r="BP463" s="191"/>
    </row>
    <row r="464" spans="11:68">
      <c r="K464" s="191"/>
      <c r="L464" s="191"/>
      <c r="M464" s="191"/>
      <c r="N464" s="191"/>
      <c r="O464" s="191"/>
      <c r="P464" s="191"/>
      <c r="Q464" s="191"/>
      <c r="R464" s="191"/>
      <c r="S464" s="191"/>
      <c r="T464" s="191"/>
      <c r="U464" s="191"/>
      <c r="V464" s="191"/>
      <c r="W464" s="191"/>
      <c r="X464" s="191"/>
      <c r="Y464" s="191"/>
      <c r="Z464" s="191"/>
      <c r="AA464" s="191"/>
      <c r="AB464" s="191"/>
      <c r="AC464" s="191"/>
      <c r="AD464" s="191"/>
      <c r="AE464" s="191"/>
      <c r="AF464" s="191"/>
      <c r="AG464" s="191"/>
      <c r="AH464" s="191"/>
      <c r="AI464" s="191"/>
      <c r="AJ464" s="191"/>
      <c r="AK464" s="191"/>
      <c r="AL464" s="191"/>
      <c r="AM464" s="191"/>
      <c r="AN464" s="191"/>
      <c r="AO464" s="191"/>
      <c r="AP464" s="191"/>
      <c r="AQ464" s="191"/>
      <c r="AR464" s="191"/>
      <c r="AS464" s="191"/>
      <c r="AT464" s="191"/>
      <c r="AU464" s="191"/>
      <c r="AV464" s="191"/>
      <c r="AW464" s="191"/>
      <c r="AX464" s="191"/>
      <c r="AY464" s="191"/>
      <c r="AZ464" s="191"/>
      <c r="BA464" s="191"/>
      <c r="BB464" s="191"/>
      <c r="BC464" s="191"/>
      <c r="BD464" s="191"/>
      <c r="BE464" s="191"/>
      <c r="BF464" s="191"/>
      <c r="BG464" s="191"/>
      <c r="BH464" s="191"/>
      <c r="BI464" s="191"/>
      <c r="BJ464" s="191"/>
      <c r="BK464" s="191"/>
      <c r="BL464" s="191"/>
      <c r="BM464" s="191"/>
      <c r="BN464" s="191"/>
      <c r="BO464" s="191"/>
      <c r="BP464" s="191"/>
    </row>
    <row r="465" spans="11:68">
      <c r="K465" s="191"/>
      <c r="L465" s="191"/>
      <c r="M465" s="191"/>
      <c r="N465" s="191"/>
      <c r="O465" s="191"/>
      <c r="P465" s="191"/>
      <c r="Q465" s="191"/>
      <c r="R465" s="191"/>
      <c r="S465" s="191"/>
      <c r="T465" s="191"/>
      <c r="U465" s="191"/>
      <c r="V465" s="191"/>
      <c r="W465" s="191"/>
      <c r="X465" s="191"/>
      <c r="Y465" s="191"/>
      <c r="Z465" s="191"/>
      <c r="AA465" s="191"/>
      <c r="AB465" s="191"/>
      <c r="AC465" s="191"/>
      <c r="AD465" s="191"/>
      <c r="AE465" s="191"/>
      <c r="AF465" s="191"/>
      <c r="AG465" s="191"/>
      <c r="AH465" s="191"/>
      <c r="AI465" s="191"/>
      <c r="AJ465" s="191"/>
      <c r="AK465" s="191"/>
      <c r="AL465" s="191"/>
      <c r="AM465" s="191"/>
      <c r="AN465" s="191"/>
      <c r="AO465" s="191"/>
      <c r="AP465" s="191"/>
      <c r="AQ465" s="191"/>
      <c r="AR465" s="191"/>
      <c r="AS465" s="191"/>
      <c r="AT465" s="191"/>
      <c r="AU465" s="191"/>
      <c r="AV465" s="191"/>
      <c r="AW465" s="191"/>
      <c r="AX465" s="191"/>
      <c r="AY465" s="191"/>
      <c r="AZ465" s="191"/>
      <c r="BA465" s="191"/>
      <c r="BB465" s="191"/>
      <c r="BC465" s="191"/>
      <c r="BD465" s="191"/>
      <c r="BE465" s="191"/>
      <c r="BF465" s="191"/>
      <c r="BG465" s="191"/>
      <c r="BH465" s="191"/>
      <c r="BI465" s="191"/>
      <c r="BJ465" s="191"/>
      <c r="BK465" s="191"/>
      <c r="BL465" s="191"/>
      <c r="BM465" s="191"/>
      <c r="BN465" s="191"/>
      <c r="BO465" s="191"/>
      <c r="BP465" s="191"/>
    </row>
    <row r="466" spans="11:68">
      <c r="K466" s="191"/>
      <c r="L466" s="191"/>
      <c r="M466" s="191"/>
      <c r="N466" s="191"/>
      <c r="O466" s="191"/>
      <c r="P466" s="191"/>
      <c r="Q466" s="191"/>
      <c r="R466" s="191"/>
      <c r="S466" s="191"/>
      <c r="T466" s="191"/>
      <c r="U466" s="191"/>
      <c r="V466" s="191"/>
      <c r="W466" s="191"/>
      <c r="X466" s="191"/>
      <c r="Y466" s="191"/>
      <c r="Z466" s="191"/>
      <c r="AA466" s="191"/>
      <c r="AB466" s="191"/>
      <c r="AC466" s="191"/>
      <c r="AD466" s="191"/>
      <c r="AE466" s="191"/>
      <c r="AF466" s="191"/>
      <c r="AG466" s="191"/>
      <c r="AH466" s="191"/>
      <c r="AI466" s="191"/>
      <c r="AJ466" s="191"/>
      <c r="AK466" s="191"/>
      <c r="AL466" s="191"/>
      <c r="AM466" s="191"/>
      <c r="AN466" s="191"/>
      <c r="AO466" s="191"/>
      <c r="AP466" s="191"/>
      <c r="AQ466" s="191"/>
      <c r="AR466" s="191"/>
      <c r="AS466" s="191"/>
      <c r="AT466" s="191"/>
      <c r="AU466" s="191"/>
      <c r="AV466" s="191"/>
      <c r="AW466" s="191"/>
      <c r="AX466" s="191"/>
      <c r="AY466" s="191"/>
      <c r="AZ466" s="191"/>
      <c r="BA466" s="191"/>
      <c r="BB466" s="191"/>
      <c r="BC466" s="191"/>
      <c r="BD466" s="191"/>
      <c r="BE466" s="191"/>
      <c r="BF466" s="191"/>
      <c r="BG466" s="191"/>
      <c r="BH466" s="191"/>
      <c r="BI466" s="191"/>
      <c r="BJ466" s="191"/>
      <c r="BK466" s="191"/>
      <c r="BL466" s="191"/>
      <c r="BM466" s="191"/>
      <c r="BN466" s="191"/>
      <c r="BO466" s="191"/>
      <c r="BP466" s="191"/>
    </row>
    <row r="467" spans="11:68">
      <c r="K467" s="191"/>
      <c r="L467" s="191"/>
      <c r="M467" s="191"/>
      <c r="N467" s="191"/>
      <c r="O467" s="191"/>
      <c r="P467" s="191"/>
      <c r="Q467" s="191"/>
      <c r="R467" s="191"/>
      <c r="S467" s="191"/>
      <c r="T467" s="191"/>
      <c r="U467" s="191"/>
      <c r="V467" s="191"/>
      <c r="W467" s="191"/>
      <c r="X467" s="191"/>
      <c r="Y467" s="191"/>
      <c r="Z467" s="191"/>
      <c r="AA467" s="191"/>
      <c r="AB467" s="191"/>
      <c r="AC467" s="191"/>
      <c r="AD467" s="191"/>
      <c r="AE467" s="191"/>
      <c r="AF467" s="191"/>
      <c r="AG467" s="191"/>
      <c r="AH467" s="191"/>
      <c r="AI467" s="191"/>
      <c r="AJ467" s="191"/>
      <c r="AK467" s="191"/>
      <c r="AL467" s="191"/>
      <c r="AM467" s="191"/>
      <c r="AN467" s="191"/>
      <c r="AO467" s="191"/>
      <c r="AP467" s="191"/>
      <c r="AQ467" s="191"/>
      <c r="AR467" s="191"/>
      <c r="AS467" s="191"/>
      <c r="AT467" s="191"/>
      <c r="AU467" s="191"/>
      <c r="AV467" s="191"/>
      <c r="AW467" s="191"/>
      <c r="AX467" s="191"/>
      <c r="AY467" s="191"/>
      <c r="AZ467" s="191"/>
      <c r="BA467" s="191"/>
      <c r="BB467" s="191"/>
      <c r="BC467" s="191"/>
      <c r="BD467" s="191"/>
      <c r="BE467" s="191"/>
      <c r="BF467" s="191"/>
      <c r="BG467" s="191"/>
      <c r="BH467" s="191"/>
      <c r="BI467" s="191"/>
      <c r="BJ467" s="191"/>
      <c r="BK467" s="191"/>
      <c r="BL467" s="191"/>
      <c r="BM467" s="191"/>
      <c r="BN467" s="191"/>
      <c r="BO467" s="191"/>
      <c r="BP467" s="191"/>
    </row>
    <row r="468" spans="11:68">
      <c r="K468" s="191"/>
      <c r="L468" s="191"/>
      <c r="M468" s="191"/>
      <c r="N468" s="191"/>
      <c r="O468" s="191"/>
      <c r="P468" s="191"/>
      <c r="Q468" s="191"/>
      <c r="R468" s="191"/>
      <c r="S468" s="191"/>
      <c r="T468" s="191"/>
      <c r="U468" s="191"/>
      <c r="V468" s="191"/>
      <c r="W468" s="191"/>
      <c r="X468" s="191"/>
      <c r="Y468" s="191"/>
      <c r="Z468" s="191"/>
      <c r="AA468" s="191"/>
      <c r="AB468" s="191"/>
      <c r="AC468" s="191"/>
      <c r="AD468" s="191"/>
      <c r="AE468" s="191"/>
      <c r="AF468" s="191"/>
      <c r="AG468" s="191"/>
      <c r="AH468" s="191"/>
      <c r="AI468" s="191"/>
      <c r="AJ468" s="191"/>
      <c r="AK468" s="191"/>
      <c r="AL468" s="191"/>
      <c r="AM468" s="191"/>
      <c r="AN468" s="191"/>
      <c r="AO468" s="191"/>
      <c r="AP468" s="191"/>
      <c r="AQ468" s="191"/>
      <c r="AR468" s="191"/>
      <c r="AS468" s="191"/>
      <c r="AT468" s="191"/>
      <c r="AU468" s="191"/>
      <c r="AV468" s="191"/>
      <c r="AW468" s="191"/>
      <c r="AX468" s="191"/>
      <c r="AY468" s="191"/>
      <c r="AZ468" s="191"/>
      <c r="BA468" s="191"/>
      <c r="BB468" s="191"/>
      <c r="BC468" s="191"/>
      <c r="BD468" s="191"/>
      <c r="BE468" s="191"/>
      <c r="BF468" s="191"/>
      <c r="BG468" s="191"/>
      <c r="BH468" s="191"/>
      <c r="BI468" s="191"/>
      <c r="BJ468" s="191"/>
      <c r="BK468" s="191"/>
      <c r="BL468" s="191"/>
      <c r="BM468" s="191"/>
      <c r="BN468" s="191"/>
      <c r="BO468" s="191"/>
      <c r="BP468" s="191"/>
    </row>
    <row r="469" spans="11:68">
      <c r="K469" s="191"/>
      <c r="L469" s="191"/>
      <c r="M469" s="191"/>
      <c r="N469" s="191"/>
      <c r="O469" s="191"/>
      <c r="P469" s="191"/>
      <c r="Q469" s="191"/>
      <c r="R469" s="191"/>
      <c r="S469" s="191"/>
      <c r="T469" s="191"/>
      <c r="U469" s="191"/>
      <c r="V469" s="191"/>
      <c r="W469" s="191"/>
      <c r="X469" s="191"/>
      <c r="Y469" s="191"/>
      <c r="Z469" s="191"/>
      <c r="AA469" s="191"/>
      <c r="AB469" s="191"/>
      <c r="AC469" s="191"/>
      <c r="AD469" s="191"/>
      <c r="AE469" s="191"/>
      <c r="AF469" s="191"/>
      <c r="AG469" s="191"/>
      <c r="AH469" s="191"/>
      <c r="AI469" s="191"/>
      <c r="AJ469" s="191"/>
      <c r="AK469" s="191"/>
      <c r="AL469" s="191"/>
      <c r="AM469" s="191"/>
      <c r="AN469" s="191"/>
      <c r="AO469" s="191"/>
      <c r="AP469" s="191"/>
      <c r="AQ469" s="191"/>
      <c r="AR469" s="191"/>
      <c r="AS469" s="191"/>
      <c r="AT469" s="191"/>
      <c r="AU469" s="191"/>
      <c r="AV469" s="191"/>
      <c r="AW469" s="191"/>
      <c r="AX469" s="191"/>
      <c r="AY469" s="191"/>
      <c r="AZ469" s="191"/>
      <c r="BA469" s="191"/>
      <c r="BB469" s="191"/>
      <c r="BC469" s="191"/>
      <c r="BD469" s="191"/>
      <c r="BE469" s="191"/>
      <c r="BF469" s="191"/>
      <c r="BG469" s="191"/>
      <c r="BH469" s="191"/>
      <c r="BI469" s="191"/>
      <c r="BJ469" s="191"/>
      <c r="BK469" s="191"/>
      <c r="BL469" s="191"/>
      <c r="BM469" s="191"/>
      <c r="BN469" s="191"/>
      <c r="BO469" s="191"/>
      <c r="BP469" s="191"/>
    </row>
    <row r="470" spans="11:68">
      <c r="K470" s="191"/>
      <c r="L470" s="191"/>
      <c r="M470" s="191"/>
      <c r="N470" s="191"/>
      <c r="O470" s="191"/>
      <c r="P470" s="191"/>
      <c r="Q470" s="191"/>
      <c r="R470" s="191"/>
      <c r="S470" s="191"/>
      <c r="T470" s="191"/>
      <c r="U470" s="191"/>
      <c r="V470" s="191"/>
      <c r="W470" s="191"/>
      <c r="X470" s="191"/>
      <c r="Y470" s="191"/>
      <c r="Z470" s="191"/>
      <c r="AA470" s="191"/>
      <c r="AB470" s="191"/>
      <c r="AC470" s="191"/>
      <c r="AD470" s="191"/>
      <c r="AE470" s="191"/>
      <c r="AF470" s="191"/>
      <c r="AG470" s="191"/>
      <c r="AH470" s="191"/>
      <c r="AI470" s="191"/>
      <c r="AJ470" s="191"/>
      <c r="AK470" s="191"/>
      <c r="AL470" s="191"/>
      <c r="AM470" s="191"/>
      <c r="AN470" s="191"/>
      <c r="AO470" s="191"/>
      <c r="AP470" s="191"/>
      <c r="AQ470" s="191"/>
      <c r="AR470" s="191"/>
      <c r="AS470" s="191"/>
      <c r="AT470" s="191"/>
      <c r="AU470" s="191"/>
      <c r="AV470" s="191"/>
      <c r="AW470" s="191"/>
      <c r="AX470" s="191"/>
      <c r="AY470" s="191"/>
      <c r="AZ470" s="191"/>
      <c r="BA470" s="191"/>
      <c r="BB470" s="191"/>
      <c r="BC470" s="191"/>
      <c r="BD470" s="191"/>
      <c r="BE470" s="191"/>
      <c r="BF470" s="191"/>
      <c r="BG470" s="191"/>
      <c r="BH470" s="191"/>
      <c r="BI470" s="191"/>
      <c r="BJ470" s="191"/>
      <c r="BK470" s="191"/>
      <c r="BL470" s="191"/>
      <c r="BM470" s="191"/>
      <c r="BN470" s="191"/>
      <c r="BO470" s="191"/>
      <c r="BP470" s="191"/>
    </row>
    <row r="471" spans="11:68">
      <c r="K471" s="191"/>
      <c r="L471" s="191"/>
      <c r="M471" s="191"/>
      <c r="N471" s="191"/>
      <c r="O471" s="191"/>
      <c r="P471" s="191"/>
      <c r="Q471" s="191"/>
      <c r="R471" s="191"/>
      <c r="S471" s="191"/>
      <c r="T471" s="191"/>
      <c r="U471" s="191"/>
      <c r="V471" s="191"/>
      <c r="W471" s="191"/>
      <c r="X471" s="191"/>
      <c r="Y471" s="191"/>
      <c r="Z471" s="191"/>
      <c r="AA471" s="191"/>
      <c r="AB471" s="191"/>
      <c r="AC471" s="191"/>
      <c r="AD471" s="191"/>
      <c r="AE471" s="191"/>
      <c r="AF471" s="191"/>
      <c r="AG471" s="191"/>
      <c r="AH471" s="191"/>
      <c r="AI471" s="191"/>
      <c r="AJ471" s="191"/>
      <c r="AK471" s="191"/>
      <c r="AL471" s="191"/>
      <c r="AM471" s="191"/>
      <c r="AN471" s="191"/>
      <c r="AO471" s="191"/>
      <c r="AP471" s="191"/>
      <c r="AQ471" s="191"/>
      <c r="AR471" s="191"/>
      <c r="AS471" s="191"/>
      <c r="AT471" s="191"/>
      <c r="AU471" s="191"/>
      <c r="AV471" s="191"/>
      <c r="AW471" s="191"/>
      <c r="AX471" s="191"/>
      <c r="AY471" s="191"/>
      <c r="AZ471" s="191"/>
      <c r="BA471" s="191"/>
      <c r="BB471" s="191"/>
      <c r="BC471" s="191"/>
      <c r="BD471" s="191"/>
      <c r="BE471" s="191"/>
      <c r="BF471" s="191"/>
      <c r="BG471" s="191"/>
      <c r="BH471" s="191"/>
      <c r="BI471" s="191"/>
      <c r="BJ471" s="191"/>
      <c r="BK471" s="191"/>
      <c r="BL471" s="191"/>
      <c r="BM471" s="191"/>
      <c r="BN471" s="191"/>
      <c r="BO471" s="191"/>
      <c r="BP471" s="191"/>
    </row>
    <row r="472" spans="11:68">
      <c r="K472" s="191"/>
      <c r="L472" s="191"/>
      <c r="M472" s="191"/>
      <c r="N472" s="191"/>
      <c r="O472" s="191"/>
      <c r="P472" s="191"/>
      <c r="Q472" s="191"/>
      <c r="R472" s="191"/>
      <c r="S472" s="191"/>
      <c r="T472" s="191"/>
      <c r="U472" s="191"/>
      <c r="V472" s="191"/>
      <c r="W472" s="191"/>
      <c r="X472" s="191"/>
      <c r="Y472" s="191"/>
      <c r="Z472" s="191"/>
      <c r="AA472" s="191"/>
      <c r="AB472" s="191"/>
      <c r="AC472" s="191"/>
      <c r="AD472" s="191"/>
      <c r="AE472" s="191"/>
      <c r="AF472" s="191"/>
      <c r="AG472" s="191"/>
      <c r="AH472" s="191"/>
      <c r="AI472" s="191"/>
      <c r="AJ472" s="191"/>
      <c r="AK472" s="191"/>
      <c r="AL472" s="191"/>
      <c r="AM472" s="191"/>
      <c r="AN472" s="191"/>
      <c r="AO472" s="191"/>
      <c r="AP472" s="191"/>
      <c r="AQ472" s="191"/>
      <c r="AR472" s="191"/>
      <c r="AS472" s="191"/>
      <c r="AT472" s="191"/>
      <c r="AU472" s="191"/>
      <c r="AV472" s="191"/>
      <c r="AW472" s="191"/>
      <c r="AX472" s="191"/>
      <c r="AY472" s="191"/>
      <c r="AZ472" s="191"/>
      <c r="BA472" s="191"/>
      <c r="BB472" s="191"/>
      <c r="BC472" s="191"/>
      <c r="BD472" s="191"/>
      <c r="BE472" s="191"/>
      <c r="BF472" s="191"/>
      <c r="BG472" s="191"/>
      <c r="BH472" s="191"/>
      <c r="BI472" s="191"/>
      <c r="BJ472" s="191"/>
      <c r="BK472" s="191"/>
      <c r="BL472" s="191"/>
      <c r="BM472" s="191"/>
      <c r="BN472" s="191"/>
      <c r="BO472" s="191"/>
      <c r="BP472" s="191"/>
    </row>
    <row r="473" spans="11:68">
      <c r="K473" s="191"/>
      <c r="L473" s="191"/>
      <c r="M473" s="191"/>
      <c r="N473" s="191"/>
      <c r="O473" s="191"/>
      <c r="P473" s="191"/>
      <c r="Q473" s="191"/>
      <c r="R473" s="191"/>
      <c r="S473" s="191"/>
      <c r="T473" s="191"/>
      <c r="U473" s="191"/>
      <c r="V473" s="191"/>
      <c r="W473" s="191"/>
      <c r="X473" s="191"/>
      <c r="Y473" s="191"/>
      <c r="Z473" s="191"/>
      <c r="AA473" s="191"/>
      <c r="AB473" s="191"/>
      <c r="AC473" s="191"/>
      <c r="AD473" s="191"/>
      <c r="AE473" s="191"/>
      <c r="AF473" s="191"/>
      <c r="AG473" s="191"/>
      <c r="AH473" s="191"/>
      <c r="AI473" s="191"/>
      <c r="AJ473" s="191"/>
      <c r="AK473" s="191"/>
      <c r="AL473" s="191"/>
      <c r="AM473" s="191"/>
      <c r="AN473" s="191"/>
      <c r="AO473" s="191"/>
      <c r="AP473" s="191"/>
      <c r="AQ473" s="191"/>
      <c r="AR473" s="191"/>
      <c r="AS473" s="191"/>
      <c r="AT473" s="191"/>
      <c r="AU473" s="191"/>
      <c r="AV473" s="191"/>
      <c r="AW473" s="191"/>
      <c r="AX473" s="191"/>
      <c r="AY473" s="191"/>
      <c r="AZ473" s="191"/>
      <c r="BA473" s="191"/>
      <c r="BB473" s="191"/>
      <c r="BC473" s="191"/>
      <c r="BD473" s="191"/>
      <c r="BE473" s="191"/>
      <c r="BF473" s="191"/>
      <c r="BG473" s="191"/>
      <c r="BH473" s="191"/>
      <c r="BI473" s="191"/>
      <c r="BJ473" s="191"/>
      <c r="BK473" s="191"/>
      <c r="BL473" s="191"/>
      <c r="BM473" s="191"/>
      <c r="BN473" s="191"/>
      <c r="BO473" s="191"/>
      <c r="BP473" s="191"/>
    </row>
    <row r="474" spans="11:68">
      <c r="K474" s="191"/>
      <c r="L474" s="191"/>
      <c r="M474" s="191"/>
      <c r="N474" s="191"/>
      <c r="O474" s="191"/>
      <c r="P474" s="191"/>
      <c r="Q474" s="191"/>
      <c r="R474" s="191"/>
      <c r="S474" s="191"/>
      <c r="T474" s="191"/>
      <c r="U474" s="191"/>
      <c r="V474" s="191"/>
      <c r="W474" s="191"/>
      <c r="X474" s="191"/>
      <c r="Y474" s="191"/>
      <c r="Z474" s="191"/>
      <c r="AA474" s="191"/>
      <c r="AB474" s="191"/>
      <c r="AC474" s="191"/>
      <c r="AD474" s="191"/>
      <c r="AE474" s="191"/>
      <c r="AF474" s="191"/>
      <c r="AG474" s="191"/>
      <c r="AH474" s="191"/>
      <c r="AI474" s="191"/>
      <c r="AJ474" s="191"/>
      <c r="AK474" s="191"/>
      <c r="AL474" s="191"/>
      <c r="AM474" s="191"/>
      <c r="AN474" s="191"/>
      <c r="AO474" s="191"/>
      <c r="AP474" s="191"/>
      <c r="AQ474" s="191"/>
      <c r="AR474" s="191"/>
      <c r="AS474" s="191"/>
      <c r="AT474" s="191"/>
      <c r="AU474" s="191"/>
      <c r="AV474" s="191"/>
      <c r="AW474" s="191"/>
      <c r="AX474" s="191"/>
      <c r="AY474" s="191"/>
      <c r="AZ474" s="191"/>
      <c r="BA474" s="191"/>
      <c r="BB474" s="191"/>
      <c r="BC474" s="191"/>
      <c r="BD474" s="191"/>
      <c r="BE474" s="191"/>
      <c r="BF474" s="191"/>
      <c r="BG474" s="191"/>
      <c r="BH474" s="191"/>
      <c r="BI474" s="191"/>
      <c r="BJ474" s="191"/>
      <c r="BK474" s="191"/>
      <c r="BL474" s="191"/>
      <c r="BM474" s="191"/>
      <c r="BN474" s="191"/>
      <c r="BO474" s="191"/>
      <c r="BP474" s="191"/>
    </row>
    <row r="475" spans="11:68">
      <c r="K475" s="191"/>
      <c r="L475" s="191"/>
      <c r="M475" s="191"/>
      <c r="N475" s="191"/>
      <c r="O475" s="191"/>
      <c r="P475" s="191"/>
      <c r="Q475" s="191"/>
      <c r="R475" s="191"/>
      <c r="S475" s="191"/>
      <c r="T475" s="191"/>
      <c r="U475" s="191"/>
      <c r="V475" s="191"/>
      <c r="W475" s="191"/>
      <c r="X475" s="191"/>
      <c r="Y475" s="191"/>
      <c r="Z475" s="191"/>
      <c r="AA475" s="191"/>
      <c r="AB475" s="191"/>
      <c r="AC475" s="191"/>
      <c r="AD475" s="191"/>
      <c r="AE475" s="191"/>
      <c r="AF475" s="191"/>
      <c r="AG475" s="191"/>
      <c r="AH475" s="191"/>
      <c r="AI475" s="191"/>
      <c r="AJ475" s="191"/>
      <c r="AK475" s="191"/>
      <c r="AL475" s="191"/>
      <c r="AM475" s="191"/>
      <c r="AN475" s="191"/>
      <c r="AO475" s="191"/>
      <c r="AP475" s="191"/>
      <c r="AQ475" s="191"/>
      <c r="AR475" s="191"/>
      <c r="AS475" s="191"/>
      <c r="AT475" s="191"/>
      <c r="AU475" s="191"/>
      <c r="AV475" s="191"/>
      <c r="AW475" s="191"/>
      <c r="AX475" s="191"/>
      <c r="AY475" s="191"/>
      <c r="AZ475" s="191"/>
      <c r="BA475" s="191"/>
      <c r="BB475" s="191"/>
      <c r="BC475" s="191"/>
      <c r="BD475" s="191"/>
      <c r="BE475" s="191"/>
      <c r="BF475" s="191"/>
      <c r="BG475" s="191"/>
      <c r="BH475" s="191"/>
      <c r="BI475" s="191"/>
      <c r="BJ475" s="191"/>
      <c r="BK475" s="191"/>
      <c r="BL475" s="191"/>
      <c r="BM475" s="191"/>
      <c r="BN475" s="191"/>
      <c r="BO475" s="191"/>
      <c r="BP475" s="191"/>
    </row>
    <row r="476" spans="11:68">
      <c r="K476" s="191"/>
      <c r="L476" s="191"/>
      <c r="M476" s="191"/>
      <c r="N476" s="191"/>
      <c r="O476" s="191"/>
      <c r="P476" s="191"/>
      <c r="Q476" s="191"/>
      <c r="R476" s="191"/>
      <c r="S476" s="191"/>
      <c r="T476" s="191"/>
      <c r="U476" s="191"/>
      <c r="V476" s="191"/>
      <c r="W476" s="191"/>
      <c r="X476" s="191"/>
      <c r="Y476" s="191"/>
      <c r="Z476" s="191"/>
      <c r="AA476" s="191"/>
      <c r="AB476" s="191"/>
      <c r="AC476" s="191"/>
      <c r="AD476" s="191"/>
      <c r="AE476" s="191"/>
      <c r="AF476" s="191"/>
      <c r="AG476" s="191"/>
      <c r="AH476" s="191"/>
      <c r="AI476" s="191"/>
      <c r="AJ476" s="191"/>
      <c r="AK476" s="191"/>
      <c r="AL476" s="191"/>
      <c r="AM476" s="191"/>
      <c r="AN476" s="191"/>
      <c r="AO476" s="191"/>
      <c r="AP476" s="191"/>
      <c r="AQ476" s="191"/>
      <c r="AR476" s="191"/>
      <c r="AS476" s="191"/>
      <c r="AT476" s="191"/>
      <c r="AU476" s="191"/>
      <c r="AV476" s="191"/>
      <c r="AW476" s="191"/>
      <c r="AX476" s="191"/>
      <c r="AY476" s="191"/>
      <c r="AZ476" s="191"/>
      <c r="BA476" s="191"/>
      <c r="BB476" s="191"/>
      <c r="BC476" s="191"/>
      <c r="BD476" s="191"/>
      <c r="BE476" s="191"/>
      <c r="BF476" s="191"/>
      <c r="BG476" s="191"/>
      <c r="BH476" s="191"/>
      <c r="BI476" s="191"/>
      <c r="BJ476" s="191"/>
      <c r="BK476" s="191"/>
      <c r="BL476" s="191"/>
      <c r="BM476" s="191"/>
      <c r="BN476" s="191"/>
      <c r="BO476" s="191"/>
      <c r="BP476" s="191"/>
    </row>
    <row r="477" spans="11:68">
      <c r="K477" s="191"/>
      <c r="L477" s="191"/>
      <c r="M477" s="191"/>
      <c r="N477" s="191"/>
      <c r="O477" s="191"/>
      <c r="P477" s="191"/>
      <c r="Q477" s="191"/>
      <c r="R477" s="191"/>
      <c r="S477" s="191"/>
      <c r="T477" s="191"/>
      <c r="U477" s="191"/>
      <c r="V477" s="191"/>
      <c r="W477" s="191"/>
      <c r="X477" s="191"/>
      <c r="Y477" s="191"/>
      <c r="Z477" s="191"/>
      <c r="AA477" s="191"/>
      <c r="AB477" s="191"/>
      <c r="AC477" s="191"/>
      <c r="AD477" s="191"/>
      <c r="AE477" s="191"/>
      <c r="AF477" s="191"/>
      <c r="AG477" s="191"/>
      <c r="AH477" s="191"/>
      <c r="AI477" s="191"/>
      <c r="AJ477" s="191"/>
      <c r="AK477" s="191"/>
      <c r="AL477" s="191"/>
      <c r="AM477" s="191"/>
      <c r="AN477" s="191"/>
      <c r="AO477" s="191"/>
      <c r="AP477" s="191"/>
      <c r="AQ477" s="191"/>
      <c r="AR477" s="191"/>
      <c r="AS477" s="191"/>
      <c r="AT477" s="191"/>
      <c r="AU477" s="191"/>
      <c r="AV477" s="191"/>
      <c r="AW477" s="191"/>
      <c r="AX477" s="191"/>
      <c r="AY477" s="191"/>
      <c r="AZ477" s="191"/>
      <c r="BA477" s="191"/>
      <c r="BB477" s="191"/>
      <c r="BC477" s="191"/>
      <c r="BD477" s="191"/>
      <c r="BE477" s="191"/>
      <c r="BF477" s="191"/>
      <c r="BG477" s="191"/>
      <c r="BH477" s="191"/>
      <c r="BI477" s="191"/>
      <c r="BJ477" s="191"/>
      <c r="BK477" s="191"/>
      <c r="BL477" s="191"/>
      <c r="BM477" s="191"/>
      <c r="BN477" s="191"/>
      <c r="BO477" s="191"/>
      <c r="BP477" s="191"/>
    </row>
    <row r="478" spans="11:68">
      <c r="K478" s="191"/>
      <c r="L478" s="191"/>
      <c r="M478" s="191"/>
      <c r="N478" s="191"/>
      <c r="O478" s="191"/>
      <c r="P478" s="191"/>
      <c r="Q478" s="191"/>
      <c r="R478" s="191"/>
      <c r="S478" s="191"/>
      <c r="T478" s="191"/>
      <c r="U478" s="191"/>
      <c r="V478" s="191"/>
      <c r="W478" s="191"/>
      <c r="X478" s="191"/>
      <c r="Y478" s="191"/>
      <c r="Z478" s="191"/>
      <c r="AA478" s="191"/>
      <c r="AB478" s="191"/>
      <c r="AC478" s="191"/>
      <c r="AD478" s="191"/>
      <c r="AE478" s="191"/>
      <c r="AF478" s="191"/>
      <c r="AG478" s="191"/>
      <c r="AH478" s="191"/>
      <c r="AI478" s="191"/>
      <c r="AJ478" s="191"/>
      <c r="AK478" s="191"/>
      <c r="AL478" s="191"/>
      <c r="AM478" s="191"/>
      <c r="AN478" s="191"/>
      <c r="AO478" s="191"/>
      <c r="AP478" s="191"/>
      <c r="AQ478" s="191"/>
      <c r="AR478" s="191"/>
      <c r="AS478" s="191"/>
      <c r="AT478" s="191"/>
      <c r="AU478" s="191"/>
      <c r="AV478" s="191"/>
      <c r="AW478" s="191"/>
      <c r="AX478" s="191"/>
      <c r="AY478" s="191"/>
      <c r="AZ478" s="191"/>
      <c r="BA478" s="191"/>
      <c r="BB478" s="191"/>
      <c r="BC478" s="191"/>
      <c r="BD478" s="191"/>
      <c r="BE478" s="191"/>
      <c r="BF478" s="191"/>
      <c r="BG478" s="191"/>
      <c r="BH478" s="191"/>
      <c r="BI478" s="191"/>
      <c r="BJ478" s="191"/>
      <c r="BK478" s="191"/>
      <c r="BL478" s="191"/>
      <c r="BM478" s="191"/>
      <c r="BN478" s="191"/>
      <c r="BO478" s="191"/>
      <c r="BP478" s="191"/>
    </row>
    <row r="479" spans="11:68">
      <c r="K479" s="191"/>
      <c r="L479" s="191"/>
      <c r="M479" s="191"/>
      <c r="N479" s="191"/>
      <c r="O479" s="191"/>
      <c r="P479" s="191"/>
      <c r="Q479" s="191"/>
      <c r="R479" s="191"/>
      <c r="S479" s="191"/>
      <c r="T479" s="191"/>
      <c r="U479" s="191"/>
      <c r="V479" s="191"/>
      <c r="W479" s="191"/>
      <c r="X479" s="191"/>
      <c r="Y479" s="191"/>
      <c r="Z479" s="191"/>
      <c r="AA479" s="191"/>
      <c r="AB479" s="191"/>
      <c r="AC479" s="191"/>
      <c r="AD479" s="191"/>
      <c r="AE479" s="191"/>
      <c r="AF479" s="191"/>
      <c r="AG479" s="191"/>
      <c r="AH479" s="191"/>
      <c r="AI479" s="191"/>
      <c r="AJ479" s="191"/>
      <c r="AK479" s="191"/>
      <c r="AL479" s="191"/>
      <c r="AM479" s="191"/>
      <c r="AN479" s="191"/>
      <c r="AO479" s="191"/>
      <c r="AP479" s="191"/>
      <c r="AQ479" s="191"/>
      <c r="AR479" s="191"/>
      <c r="AS479" s="191"/>
      <c r="AT479" s="191"/>
      <c r="AU479" s="191"/>
      <c r="AV479" s="191"/>
      <c r="AW479" s="191"/>
      <c r="AX479" s="191"/>
      <c r="AY479" s="191"/>
      <c r="AZ479" s="191"/>
      <c r="BA479" s="191"/>
      <c r="BB479" s="191"/>
      <c r="BC479" s="191"/>
      <c r="BD479" s="191"/>
      <c r="BE479" s="191"/>
      <c r="BF479" s="191"/>
      <c r="BG479" s="191"/>
      <c r="BH479" s="191"/>
      <c r="BI479" s="191"/>
      <c r="BJ479" s="191"/>
      <c r="BK479" s="191"/>
      <c r="BL479" s="191"/>
      <c r="BM479" s="191"/>
      <c r="BN479" s="191"/>
      <c r="BO479" s="191"/>
      <c r="BP479" s="191"/>
    </row>
    <row r="480" spans="11:68">
      <c r="K480" s="191"/>
      <c r="L480" s="191"/>
      <c r="M480" s="191"/>
      <c r="N480" s="191"/>
      <c r="O480" s="191"/>
      <c r="P480" s="191"/>
      <c r="Q480" s="191"/>
      <c r="R480" s="191"/>
      <c r="S480" s="191"/>
      <c r="T480" s="191"/>
      <c r="U480" s="191"/>
      <c r="V480" s="191"/>
      <c r="W480" s="191"/>
      <c r="X480" s="191"/>
      <c r="Y480" s="191"/>
      <c r="Z480" s="191"/>
      <c r="AA480" s="191"/>
      <c r="AB480" s="191"/>
      <c r="AC480" s="191"/>
      <c r="AD480" s="191"/>
      <c r="AE480" s="191"/>
      <c r="AF480" s="191"/>
      <c r="AG480" s="191"/>
      <c r="AH480" s="191"/>
      <c r="AI480" s="191"/>
      <c r="AJ480" s="191"/>
      <c r="AK480" s="191"/>
      <c r="AL480" s="191"/>
      <c r="AM480" s="191"/>
      <c r="AN480" s="191"/>
      <c r="AO480" s="191"/>
      <c r="AP480" s="191"/>
      <c r="AQ480" s="191"/>
      <c r="AR480" s="191"/>
      <c r="AS480" s="191"/>
      <c r="AT480" s="191"/>
      <c r="AU480" s="191"/>
      <c r="AV480" s="191"/>
      <c r="AW480" s="191"/>
      <c r="AX480" s="191"/>
      <c r="AY480" s="191"/>
      <c r="AZ480" s="191"/>
      <c r="BA480" s="191"/>
      <c r="BB480" s="191"/>
      <c r="BC480" s="191"/>
      <c r="BD480" s="191"/>
      <c r="BE480" s="191"/>
      <c r="BF480" s="191"/>
      <c r="BG480" s="191"/>
      <c r="BH480" s="191"/>
      <c r="BI480" s="191"/>
      <c r="BJ480" s="191"/>
      <c r="BK480" s="191"/>
      <c r="BL480" s="191"/>
      <c r="BM480" s="191"/>
      <c r="BN480" s="191"/>
      <c r="BO480" s="191"/>
      <c r="BP480" s="191"/>
    </row>
    <row r="481" spans="11:68">
      <c r="K481" s="191"/>
      <c r="L481" s="191"/>
      <c r="M481" s="191"/>
      <c r="N481" s="191"/>
      <c r="O481" s="191"/>
      <c r="P481" s="191"/>
      <c r="Q481" s="191"/>
      <c r="R481" s="191"/>
      <c r="S481" s="191"/>
      <c r="T481" s="191"/>
      <c r="U481" s="191"/>
      <c r="V481" s="191"/>
      <c r="W481" s="191"/>
      <c r="X481" s="191"/>
      <c r="Y481" s="191"/>
      <c r="Z481" s="191"/>
      <c r="AA481" s="191"/>
      <c r="AB481" s="191"/>
      <c r="AC481" s="191"/>
      <c r="AD481" s="191"/>
      <c r="AE481" s="191"/>
      <c r="AF481" s="191"/>
      <c r="AG481" s="191"/>
      <c r="AH481" s="191"/>
      <c r="AI481" s="191"/>
      <c r="AJ481" s="191"/>
      <c r="AK481" s="191"/>
      <c r="AL481" s="191"/>
      <c r="AM481" s="191"/>
      <c r="AN481" s="191"/>
      <c r="AO481" s="191"/>
      <c r="AP481" s="191"/>
      <c r="AQ481" s="191"/>
      <c r="AR481" s="191"/>
      <c r="AS481" s="191"/>
      <c r="AT481" s="191"/>
      <c r="AU481" s="191"/>
      <c r="AV481" s="191"/>
      <c r="AW481" s="191"/>
      <c r="AX481" s="191"/>
      <c r="AY481" s="191"/>
      <c r="AZ481" s="191"/>
      <c r="BA481" s="191"/>
      <c r="BB481" s="191"/>
      <c r="BC481" s="191"/>
      <c r="BD481" s="191"/>
      <c r="BE481" s="191"/>
      <c r="BF481" s="191"/>
      <c r="BG481" s="191"/>
      <c r="BH481" s="191"/>
      <c r="BI481" s="191"/>
      <c r="BJ481" s="191"/>
      <c r="BK481" s="191"/>
      <c r="BL481" s="191"/>
      <c r="BM481" s="191"/>
      <c r="BN481" s="191"/>
      <c r="BO481" s="191"/>
      <c r="BP481" s="191"/>
    </row>
    <row r="482" spans="11:68">
      <c r="K482" s="191"/>
      <c r="L482" s="191"/>
      <c r="M482" s="191"/>
      <c r="N482" s="191"/>
      <c r="O482" s="191"/>
      <c r="P482" s="191"/>
      <c r="Q482" s="191"/>
      <c r="R482" s="191"/>
      <c r="S482" s="191"/>
      <c r="T482" s="191"/>
      <c r="U482" s="191"/>
      <c r="V482" s="191"/>
      <c r="W482" s="191"/>
      <c r="X482" s="191"/>
      <c r="Y482" s="191"/>
      <c r="Z482" s="191"/>
      <c r="AA482" s="191"/>
      <c r="AB482" s="191"/>
      <c r="AC482" s="191"/>
      <c r="AD482" s="191"/>
      <c r="AE482" s="191"/>
      <c r="AF482" s="191"/>
      <c r="AG482" s="191"/>
      <c r="AH482" s="191"/>
      <c r="AI482" s="191"/>
      <c r="AJ482" s="191"/>
      <c r="AK482" s="191"/>
      <c r="AL482" s="191"/>
      <c r="AM482" s="191"/>
      <c r="AN482" s="191"/>
      <c r="AO482" s="191"/>
      <c r="AP482" s="191"/>
      <c r="AQ482" s="191"/>
      <c r="AR482" s="191"/>
      <c r="AS482" s="191"/>
      <c r="AT482" s="191"/>
      <c r="AU482" s="191"/>
      <c r="AV482" s="191"/>
      <c r="AW482" s="191"/>
      <c r="AX482" s="191"/>
      <c r="AY482" s="191"/>
      <c r="AZ482" s="191"/>
      <c r="BA482" s="191"/>
      <c r="BB482" s="191"/>
      <c r="BC482" s="191"/>
      <c r="BD482" s="191"/>
      <c r="BE482" s="191"/>
      <c r="BF482" s="191"/>
      <c r="BG482" s="191"/>
      <c r="BH482" s="191"/>
      <c r="BI482" s="191"/>
      <c r="BJ482" s="191"/>
      <c r="BK482" s="191"/>
      <c r="BL482" s="191"/>
      <c r="BM482" s="191"/>
      <c r="BN482" s="191"/>
      <c r="BO482" s="191"/>
      <c r="BP482" s="191"/>
    </row>
    <row r="483" spans="11:68">
      <c r="K483" s="191"/>
      <c r="L483" s="191"/>
      <c r="M483" s="191"/>
      <c r="N483" s="191"/>
      <c r="O483" s="191"/>
      <c r="P483" s="191"/>
      <c r="Q483" s="191"/>
      <c r="R483" s="191"/>
      <c r="S483" s="191"/>
      <c r="T483" s="191"/>
      <c r="U483" s="191"/>
      <c r="V483" s="191"/>
      <c r="W483" s="191"/>
      <c r="X483" s="191"/>
      <c r="Y483" s="191"/>
      <c r="Z483" s="191"/>
      <c r="AA483" s="191"/>
      <c r="AB483" s="191"/>
      <c r="AC483" s="191"/>
      <c r="AD483" s="191"/>
      <c r="AE483" s="191"/>
      <c r="AF483" s="191"/>
      <c r="AG483" s="191"/>
      <c r="AH483" s="191"/>
      <c r="AI483" s="191"/>
      <c r="AJ483" s="191"/>
      <c r="AK483" s="191"/>
      <c r="AL483" s="191"/>
      <c r="AM483" s="191"/>
      <c r="AN483" s="191"/>
      <c r="AO483" s="191"/>
      <c r="AP483" s="191"/>
      <c r="AQ483" s="191"/>
      <c r="AR483" s="191"/>
      <c r="AS483" s="191"/>
      <c r="AT483" s="191"/>
      <c r="AU483" s="191"/>
      <c r="AV483" s="191"/>
      <c r="AW483" s="191"/>
      <c r="AX483" s="191"/>
      <c r="AY483" s="191"/>
      <c r="AZ483" s="191"/>
      <c r="BA483" s="191"/>
      <c r="BB483" s="191"/>
      <c r="BC483" s="191"/>
      <c r="BD483" s="191"/>
      <c r="BE483" s="191"/>
      <c r="BF483" s="191"/>
      <c r="BG483" s="191"/>
      <c r="BH483" s="191"/>
      <c r="BI483" s="191"/>
      <c r="BJ483" s="191"/>
      <c r="BK483" s="191"/>
      <c r="BL483" s="191"/>
      <c r="BM483" s="191"/>
      <c r="BN483" s="191"/>
      <c r="BO483" s="191"/>
      <c r="BP483" s="191"/>
    </row>
    <row r="484" spans="11:68">
      <c r="K484" s="191"/>
      <c r="L484" s="191"/>
      <c r="M484" s="191"/>
      <c r="N484" s="191"/>
      <c r="O484" s="191"/>
      <c r="P484" s="191"/>
      <c r="Q484" s="191"/>
      <c r="R484" s="191"/>
      <c r="S484" s="191"/>
      <c r="T484" s="191"/>
      <c r="U484" s="191"/>
      <c r="V484" s="191"/>
      <c r="W484" s="191"/>
      <c r="X484" s="191"/>
      <c r="Y484" s="191"/>
      <c r="Z484" s="191"/>
      <c r="AA484" s="191"/>
      <c r="AB484" s="191"/>
      <c r="AC484" s="191"/>
      <c r="AD484" s="191"/>
      <c r="AE484" s="191"/>
      <c r="AF484" s="191"/>
      <c r="AG484" s="191"/>
      <c r="AH484" s="191"/>
      <c r="AI484" s="191"/>
      <c r="AJ484" s="191"/>
      <c r="AK484" s="191"/>
      <c r="AL484" s="191"/>
      <c r="AM484" s="191"/>
      <c r="AN484" s="191"/>
      <c r="AO484" s="191"/>
      <c r="AP484" s="191"/>
      <c r="AQ484" s="191"/>
      <c r="AR484" s="191"/>
      <c r="AS484" s="191"/>
      <c r="AT484" s="191"/>
      <c r="AU484" s="191"/>
      <c r="AV484" s="191"/>
      <c r="AW484" s="191"/>
      <c r="AX484" s="191"/>
      <c r="AY484" s="191"/>
      <c r="AZ484" s="191"/>
      <c r="BA484" s="191"/>
      <c r="BB484" s="191"/>
      <c r="BC484" s="191"/>
      <c r="BD484" s="191"/>
      <c r="BE484" s="191"/>
      <c r="BF484" s="191"/>
      <c r="BG484" s="191"/>
      <c r="BH484" s="191"/>
      <c r="BI484" s="191"/>
      <c r="BJ484" s="191"/>
      <c r="BK484" s="191"/>
      <c r="BL484" s="191"/>
      <c r="BM484" s="191"/>
      <c r="BN484" s="191"/>
      <c r="BO484" s="191"/>
      <c r="BP484" s="191"/>
    </row>
    <row r="485" spans="11:68">
      <c r="K485" s="191"/>
      <c r="L485" s="191"/>
      <c r="M485" s="191"/>
      <c r="N485" s="191"/>
      <c r="O485" s="191"/>
      <c r="P485" s="191"/>
      <c r="Q485" s="191"/>
      <c r="R485" s="191"/>
      <c r="S485" s="191"/>
      <c r="T485" s="191"/>
      <c r="U485" s="191"/>
      <c r="V485" s="191"/>
      <c r="W485" s="191"/>
      <c r="X485" s="191"/>
      <c r="Y485" s="191"/>
      <c r="Z485" s="191"/>
      <c r="AA485" s="191"/>
      <c r="AB485" s="191"/>
      <c r="AC485" s="191"/>
      <c r="AD485" s="191"/>
      <c r="AE485" s="191"/>
      <c r="AF485" s="191"/>
      <c r="AG485" s="191"/>
      <c r="AH485" s="191"/>
      <c r="AI485" s="191"/>
      <c r="AJ485" s="191"/>
      <c r="AK485" s="191"/>
      <c r="AL485" s="191"/>
      <c r="AM485" s="191"/>
      <c r="AN485" s="191"/>
      <c r="AO485" s="191"/>
      <c r="AP485" s="191"/>
      <c r="AQ485" s="191"/>
      <c r="AR485" s="191"/>
      <c r="AS485" s="191"/>
      <c r="AT485" s="191"/>
      <c r="AU485" s="191"/>
      <c r="AV485" s="191"/>
      <c r="AW485" s="191"/>
      <c r="AX485" s="191"/>
      <c r="AY485" s="191"/>
      <c r="AZ485" s="191"/>
      <c r="BA485" s="191"/>
      <c r="BB485" s="191"/>
      <c r="BC485" s="191"/>
      <c r="BD485" s="191"/>
      <c r="BE485" s="191"/>
      <c r="BF485" s="191"/>
      <c r="BG485" s="191"/>
      <c r="BH485" s="191"/>
      <c r="BI485" s="191"/>
      <c r="BJ485" s="191"/>
      <c r="BK485" s="191"/>
      <c r="BL485" s="191"/>
      <c r="BM485" s="191"/>
      <c r="BN485" s="191"/>
      <c r="BO485" s="191"/>
      <c r="BP485" s="191"/>
    </row>
    <row r="486" spans="11:68">
      <c r="K486" s="191"/>
      <c r="L486" s="191"/>
      <c r="M486" s="191"/>
      <c r="N486" s="191"/>
      <c r="O486" s="191"/>
      <c r="P486" s="191"/>
      <c r="Q486" s="191"/>
      <c r="R486" s="191"/>
      <c r="S486" s="191"/>
      <c r="T486" s="191"/>
      <c r="U486" s="191"/>
      <c r="V486" s="191"/>
      <c r="W486" s="191"/>
      <c r="X486" s="191"/>
      <c r="Y486" s="191"/>
      <c r="Z486" s="191"/>
      <c r="AA486" s="191"/>
      <c r="AB486" s="191"/>
      <c r="AC486" s="191"/>
      <c r="AD486" s="191"/>
      <c r="AE486" s="191"/>
      <c r="AF486" s="191"/>
      <c r="AG486" s="191"/>
      <c r="AH486" s="191"/>
      <c r="AI486" s="191"/>
      <c r="AJ486" s="191"/>
      <c r="AK486" s="191"/>
      <c r="AL486" s="191"/>
      <c r="AM486" s="191"/>
      <c r="AN486" s="191"/>
      <c r="AO486" s="191"/>
      <c r="AP486" s="191"/>
      <c r="AQ486" s="191"/>
      <c r="AR486" s="191"/>
      <c r="AS486" s="191"/>
      <c r="AT486" s="191"/>
      <c r="AU486" s="191"/>
      <c r="AV486" s="191"/>
      <c r="AW486" s="191"/>
      <c r="AX486" s="191"/>
      <c r="AY486" s="191"/>
      <c r="AZ486" s="191"/>
      <c r="BA486" s="191"/>
      <c r="BB486" s="191"/>
      <c r="BC486" s="191"/>
      <c r="BD486" s="191"/>
      <c r="BE486" s="191"/>
      <c r="BF486" s="191"/>
      <c r="BG486" s="191"/>
      <c r="BH486" s="191"/>
      <c r="BI486" s="191"/>
      <c r="BJ486" s="191"/>
      <c r="BK486" s="191"/>
      <c r="BL486" s="191"/>
      <c r="BM486" s="191"/>
      <c r="BN486" s="191"/>
      <c r="BO486" s="191"/>
      <c r="BP486" s="191"/>
    </row>
    <row r="487" spans="11:68">
      <c r="K487" s="191"/>
      <c r="L487" s="191"/>
      <c r="M487" s="191"/>
      <c r="N487" s="191"/>
      <c r="O487" s="191"/>
      <c r="P487" s="191"/>
      <c r="Q487" s="191"/>
      <c r="R487" s="191"/>
      <c r="S487" s="191"/>
      <c r="T487" s="191"/>
      <c r="U487" s="191"/>
      <c r="V487" s="191"/>
      <c r="W487" s="191"/>
      <c r="X487" s="191"/>
      <c r="Y487" s="191"/>
      <c r="Z487" s="191"/>
      <c r="AA487" s="191"/>
      <c r="AB487" s="191"/>
      <c r="AC487" s="191"/>
      <c r="AD487" s="191"/>
      <c r="AE487" s="191"/>
      <c r="AF487" s="191"/>
      <c r="AG487" s="191"/>
      <c r="AH487" s="191"/>
      <c r="AI487" s="191"/>
      <c r="AJ487" s="191"/>
      <c r="AK487" s="191"/>
      <c r="AL487" s="191"/>
      <c r="AM487" s="191"/>
      <c r="AN487" s="191"/>
      <c r="AO487" s="191"/>
      <c r="AP487" s="191"/>
      <c r="AQ487" s="191"/>
      <c r="AR487" s="191"/>
      <c r="AS487" s="191"/>
      <c r="AT487" s="191"/>
      <c r="AU487" s="191"/>
      <c r="AV487" s="191"/>
      <c r="AW487" s="191"/>
      <c r="AX487" s="191"/>
      <c r="AY487" s="191"/>
      <c r="AZ487" s="191"/>
      <c r="BA487" s="191"/>
      <c r="BB487" s="191"/>
      <c r="BC487" s="191"/>
      <c r="BD487" s="191"/>
      <c r="BE487" s="191"/>
      <c r="BF487" s="191"/>
      <c r="BG487" s="191"/>
      <c r="BH487" s="191"/>
      <c r="BI487" s="191"/>
      <c r="BJ487" s="191"/>
      <c r="BK487" s="191"/>
      <c r="BL487" s="191"/>
      <c r="BM487" s="191"/>
      <c r="BN487" s="191"/>
      <c r="BO487" s="191"/>
      <c r="BP487" s="191"/>
    </row>
    <row r="488" spans="11:68">
      <c r="K488" s="191"/>
      <c r="L488" s="191"/>
      <c r="M488" s="191"/>
      <c r="N488" s="191"/>
      <c r="O488" s="191"/>
      <c r="P488" s="191"/>
      <c r="Q488" s="191"/>
      <c r="R488" s="191"/>
      <c r="S488" s="191"/>
      <c r="T488" s="191"/>
      <c r="U488" s="191"/>
      <c r="V488" s="191"/>
      <c r="W488" s="191"/>
      <c r="X488" s="191"/>
      <c r="Y488" s="191"/>
      <c r="Z488" s="191"/>
      <c r="AA488" s="191"/>
      <c r="AB488" s="191"/>
      <c r="AC488" s="191"/>
      <c r="AD488" s="191"/>
      <c r="AE488" s="191"/>
      <c r="AF488" s="191"/>
      <c r="AG488" s="191"/>
      <c r="AH488" s="191"/>
      <c r="AI488" s="191"/>
      <c r="AJ488" s="191"/>
      <c r="AK488" s="191"/>
      <c r="AL488" s="191"/>
      <c r="AM488" s="191"/>
      <c r="AN488" s="191"/>
      <c r="AO488" s="191"/>
      <c r="AP488" s="191"/>
      <c r="AQ488" s="191"/>
      <c r="AR488" s="191"/>
      <c r="AS488" s="191"/>
      <c r="AT488" s="191"/>
      <c r="AU488" s="191"/>
      <c r="AV488" s="191"/>
      <c r="AW488" s="191"/>
      <c r="AX488" s="191"/>
      <c r="AY488" s="191"/>
      <c r="AZ488" s="191"/>
      <c r="BA488" s="191"/>
      <c r="BB488" s="191"/>
      <c r="BC488" s="191"/>
      <c r="BD488" s="191"/>
      <c r="BE488" s="191"/>
      <c r="BF488" s="191"/>
      <c r="BG488" s="191"/>
      <c r="BH488" s="191"/>
      <c r="BI488" s="191"/>
      <c r="BJ488" s="191"/>
      <c r="BK488" s="191"/>
      <c r="BL488" s="191"/>
      <c r="BM488" s="191"/>
      <c r="BN488" s="191"/>
      <c r="BO488" s="191"/>
      <c r="BP488" s="191"/>
    </row>
    <row r="489" spans="11:68">
      <c r="K489" s="191"/>
      <c r="L489" s="191"/>
      <c r="M489" s="191"/>
      <c r="N489" s="191"/>
      <c r="O489" s="191"/>
      <c r="P489" s="191"/>
      <c r="Q489" s="191"/>
      <c r="R489" s="191"/>
      <c r="S489" s="191"/>
      <c r="T489" s="191"/>
      <c r="U489" s="191"/>
      <c r="V489" s="191"/>
      <c r="W489" s="191"/>
      <c r="X489" s="191"/>
      <c r="Y489" s="191"/>
      <c r="Z489" s="191"/>
      <c r="AA489" s="191"/>
      <c r="AB489" s="191"/>
      <c r="AC489" s="191"/>
      <c r="AD489" s="191"/>
      <c r="AE489" s="191"/>
      <c r="AF489" s="191"/>
      <c r="AG489" s="191"/>
      <c r="AH489" s="191"/>
      <c r="AI489" s="191"/>
      <c r="AJ489" s="191"/>
      <c r="AK489" s="191"/>
      <c r="AL489" s="191"/>
      <c r="AM489" s="191"/>
      <c r="AN489" s="191"/>
      <c r="AO489" s="191"/>
      <c r="AP489" s="191"/>
      <c r="AQ489" s="191"/>
      <c r="AR489" s="191"/>
      <c r="AS489" s="191"/>
      <c r="AT489" s="191"/>
      <c r="AU489" s="191"/>
      <c r="AV489" s="191"/>
      <c r="AW489" s="191"/>
      <c r="AX489" s="191"/>
      <c r="AY489" s="191"/>
      <c r="AZ489" s="191"/>
      <c r="BA489" s="191"/>
      <c r="BB489" s="191"/>
      <c r="BC489" s="191"/>
      <c r="BD489" s="191"/>
      <c r="BE489" s="191"/>
      <c r="BF489" s="191"/>
      <c r="BG489" s="191"/>
      <c r="BH489" s="191"/>
      <c r="BI489" s="191"/>
      <c r="BJ489" s="191"/>
      <c r="BK489" s="191"/>
      <c r="BL489" s="191"/>
      <c r="BM489" s="191"/>
      <c r="BN489" s="191"/>
      <c r="BO489" s="191"/>
      <c r="BP489" s="191"/>
    </row>
    <row r="490" spans="11:68">
      <c r="K490" s="191"/>
      <c r="L490" s="191"/>
      <c r="M490" s="191"/>
      <c r="N490" s="191"/>
      <c r="O490" s="191"/>
      <c r="P490" s="191"/>
      <c r="Q490" s="191"/>
      <c r="R490" s="191"/>
      <c r="S490" s="191"/>
      <c r="T490" s="191"/>
      <c r="U490" s="191"/>
      <c r="V490" s="191"/>
      <c r="W490" s="191"/>
      <c r="X490" s="191"/>
      <c r="Y490" s="191"/>
      <c r="Z490" s="191"/>
      <c r="AA490" s="191"/>
      <c r="AB490" s="191"/>
      <c r="AC490" s="191"/>
      <c r="AD490" s="191"/>
      <c r="AE490" s="191"/>
      <c r="AF490" s="191"/>
      <c r="AG490" s="191"/>
      <c r="AH490" s="191"/>
      <c r="AI490" s="191"/>
      <c r="AJ490" s="191"/>
      <c r="AK490" s="191"/>
      <c r="AL490" s="191"/>
      <c r="AM490" s="191"/>
      <c r="AN490" s="191"/>
      <c r="AO490" s="191"/>
      <c r="AP490" s="191"/>
      <c r="AQ490" s="191"/>
      <c r="AR490" s="191"/>
      <c r="AS490" s="191"/>
      <c r="AT490" s="191"/>
      <c r="AU490" s="191"/>
      <c r="AV490" s="191"/>
      <c r="AW490" s="191"/>
      <c r="AX490" s="191"/>
      <c r="AY490" s="191"/>
      <c r="AZ490" s="191"/>
      <c r="BA490" s="191"/>
      <c r="BB490" s="191"/>
      <c r="BC490" s="191"/>
      <c r="BD490" s="191"/>
      <c r="BE490" s="191"/>
      <c r="BF490" s="191"/>
      <c r="BG490" s="191"/>
      <c r="BH490" s="191"/>
      <c r="BI490" s="191"/>
      <c r="BJ490" s="191"/>
      <c r="BK490" s="191"/>
      <c r="BL490" s="191"/>
      <c r="BM490" s="191"/>
      <c r="BN490" s="191"/>
      <c r="BO490" s="191"/>
      <c r="BP490" s="191"/>
    </row>
    <row r="491" spans="11:68">
      <c r="K491" s="191"/>
      <c r="L491" s="191"/>
      <c r="M491" s="191"/>
      <c r="N491" s="191"/>
      <c r="O491" s="191"/>
      <c r="P491" s="191"/>
      <c r="Q491" s="191"/>
      <c r="R491" s="191"/>
      <c r="S491" s="191"/>
      <c r="T491" s="191"/>
      <c r="U491" s="191"/>
      <c r="V491" s="191"/>
      <c r="W491" s="191"/>
      <c r="X491" s="191"/>
      <c r="Y491" s="191"/>
      <c r="Z491" s="191"/>
      <c r="AA491" s="191"/>
      <c r="AB491" s="191"/>
      <c r="AC491" s="191"/>
      <c r="AD491" s="191"/>
      <c r="AE491" s="191"/>
      <c r="AF491" s="191"/>
      <c r="AG491" s="191"/>
      <c r="AH491" s="191"/>
      <c r="AI491" s="191"/>
      <c r="AJ491" s="191"/>
      <c r="AK491" s="191"/>
      <c r="AL491" s="191"/>
      <c r="AM491" s="191"/>
      <c r="AN491" s="191"/>
      <c r="AO491" s="191"/>
      <c r="AP491" s="191"/>
      <c r="AQ491" s="191"/>
      <c r="AR491" s="191"/>
      <c r="AS491" s="191"/>
      <c r="AT491" s="191"/>
      <c r="AU491" s="191"/>
      <c r="AV491" s="191"/>
      <c r="AW491" s="191"/>
      <c r="AX491" s="191"/>
      <c r="AY491" s="191"/>
      <c r="AZ491" s="191"/>
      <c r="BA491" s="191"/>
      <c r="BB491" s="191"/>
      <c r="BC491" s="191"/>
      <c r="BD491" s="191"/>
      <c r="BE491" s="191"/>
      <c r="BF491" s="191"/>
      <c r="BG491" s="191"/>
      <c r="BH491" s="191"/>
      <c r="BI491" s="191"/>
      <c r="BJ491" s="191"/>
      <c r="BK491" s="191"/>
      <c r="BL491" s="191"/>
      <c r="BM491" s="191"/>
      <c r="BN491" s="191"/>
      <c r="BO491" s="191"/>
      <c r="BP491" s="191"/>
    </row>
    <row r="492" spans="11:68">
      <c r="K492" s="191"/>
      <c r="L492" s="191"/>
      <c r="M492" s="191"/>
      <c r="N492" s="191"/>
      <c r="O492" s="191"/>
      <c r="P492" s="191"/>
      <c r="Q492" s="191"/>
      <c r="R492" s="191"/>
      <c r="S492" s="191"/>
      <c r="T492" s="191"/>
      <c r="U492" s="191"/>
      <c r="V492" s="191"/>
      <c r="W492" s="191"/>
      <c r="X492" s="191"/>
      <c r="Y492" s="191"/>
      <c r="Z492" s="191"/>
      <c r="AA492" s="191"/>
      <c r="AB492" s="191"/>
      <c r="AC492" s="191"/>
      <c r="AD492" s="191"/>
      <c r="AE492" s="191"/>
      <c r="AF492" s="191"/>
      <c r="AG492" s="191"/>
      <c r="AH492" s="191"/>
      <c r="AI492" s="191"/>
      <c r="AJ492" s="191"/>
      <c r="AK492" s="191"/>
      <c r="AL492" s="191"/>
      <c r="AM492" s="191"/>
      <c r="AN492" s="191"/>
      <c r="AO492" s="191"/>
      <c r="AP492" s="191"/>
      <c r="AQ492" s="191"/>
      <c r="AR492" s="191"/>
      <c r="AS492" s="191"/>
      <c r="AT492" s="191"/>
      <c r="AU492" s="191"/>
      <c r="AV492" s="191"/>
      <c r="AW492" s="191"/>
      <c r="AX492" s="191"/>
      <c r="AY492" s="191"/>
      <c r="AZ492" s="191"/>
      <c r="BA492" s="191"/>
      <c r="BB492" s="191"/>
      <c r="BC492" s="191"/>
      <c r="BD492" s="191"/>
      <c r="BE492" s="191"/>
      <c r="BF492" s="191"/>
      <c r="BG492" s="191"/>
      <c r="BH492" s="191"/>
      <c r="BI492" s="191"/>
      <c r="BJ492" s="191"/>
      <c r="BK492" s="191"/>
      <c r="BL492" s="191"/>
      <c r="BM492" s="191"/>
      <c r="BN492" s="191"/>
      <c r="BO492" s="191"/>
      <c r="BP492" s="191"/>
    </row>
    <row r="493" spans="11:68">
      <c r="K493" s="191"/>
      <c r="L493" s="191"/>
      <c r="M493" s="191"/>
      <c r="N493" s="191"/>
      <c r="O493" s="191"/>
      <c r="P493" s="191"/>
      <c r="Q493" s="191"/>
      <c r="R493" s="191"/>
      <c r="S493" s="191"/>
      <c r="T493" s="191"/>
      <c r="U493" s="191"/>
      <c r="V493" s="191"/>
      <c r="W493" s="191"/>
      <c r="X493" s="191"/>
      <c r="Y493" s="191"/>
      <c r="Z493" s="191"/>
      <c r="AA493" s="191"/>
      <c r="AB493" s="191"/>
      <c r="AC493" s="191"/>
      <c r="AD493" s="191"/>
      <c r="AE493" s="191"/>
      <c r="AF493" s="191"/>
      <c r="AG493" s="191"/>
      <c r="AH493" s="191"/>
      <c r="AI493" s="191"/>
      <c r="AJ493" s="191"/>
      <c r="AK493" s="191"/>
      <c r="AL493" s="191"/>
      <c r="AM493" s="191"/>
      <c r="AN493" s="191"/>
      <c r="AO493" s="191"/>
      <c r="AP493" s="191"/>
      <c r="AQ493" s="191"/>
      <c r="AR493" s="191"/>
      <c r="AS493" s="191"/>
      <c r="AT493" s="191"/>
      <c r="AU493" s="191"/>
      <c r="AV493" s="191"/>
      <c r="AW493" s="191"/>
      <c r="AX493" s="191"/>
      <c r="AY493" s="191"/>
      <c r="AZ493" s="191"/>
      <c r="BA493" s="191"/>
      <c r="BB493" s="191"/>
      <c r="BC493" s="191"/>
      <c r="BD493" s="191"/>
      <c r="BE493" s="191"/>
      <c r="BF493" s="191"/>
      <c r="BG493" s="191"/>
      <c r="BH493" s="191"/>
      <c r="BI493" s="191"/>
      <c r="BJ493" s="191"/>
      <c r="BK493" s="191"/>
      <c r="BL493" s="191"/>
      <c r="BM493" s="191"/>
      <c r="BN493" s="191"/>
      <c r="BO493" s="191"/>
      <c r="BP493" s="191"/>
    </row>
    <row r="494" spans="11:68">
      <c r="K494" s="191"/>
      <c r="L494" s="191"/>
      <c r="M494" s="191"/>
      <c r="N494" s="191"/>
      <c r="O494" s="191"/>
      <c r="P494" s="191"/>
      <c r="Q494" s="191"/>
      <c r="R494" s="191"/>
      <c r="S494" s="191"/>
      <c r="T494" s="191"/>
      <c r="U494" s="191"/>
      <c r="V494" s="191"/>
      <c r="W494" s="191"/>
      <c r="X494" s="191"/>
      <c r="Y494" s="191"/>
      <c r="Z494" s="191"/>
      <c r="AA494" s="191"/>
      <c r="AB494" s="191"/>
      <c r="AC494" s="191"/>
      <c r="AD494" s="191"/>
      <c r="AE494" s="191"/>
      <c r="AF494" s="191"/>
      <c r="AG494" s="191"/>
      <c r="AH494" s="191"/>
      <c r="AI494" s="191"/>
      <c r="AJ494" s="191"/>
      <c r="AK494" s="191"/>
      <c r="AL494" s="191"/>
      <c r="AM494" s="191"/>
      <c r="AN494" s="191"/>
      <c r="AO494" s="191"/>
      <c r="AP494" s="191"/>
      <c r="AQ494" s="191"/>
      <c r="AR494" s="191"/>
      <c r="AS494" s="191"/>
      <c r="AT494" s="191"/>
      <c r="AU494" s="191"/>
      <c r="AV494" s="191"/>
      <c r="AW494" s="191"/>
      <c r="AX494" s="191"/>
      <c r="AY494" s="191"/>
      <c r="AZ494" s="191"/>
      <c r="BA494" s="191"/>
      <c r="BB494" s="191"/>
      <c r="BC494" s="191"/>
      <c r="BD494" s="191"/>
      <c r="BE494" s="191"/>
      <c r="BF494" s="191"/>
      <c r="BG494" s="191"/>
      <c r="BH494" s="191"/>
      <c r="BI494" s="191"/>
      <c r="BJ494" s="191"/>
      <c r="BK494" s="191"/>
      <c r="BL494" s="191"/>
      <c r="BM494" s="191"/>
      <c r="BN494" s="191"/>
      <c r="BO494" s="191"/>
      <c r="BP494" s="191"/>
    </row>
    <row r="495" spans="11:68">
      <c r="K495" s="191"/>
      <c r="L495" s="191"/>
      <c r="M495" s="191"/>
      <c r="N495" s="191"/>
      <c r="O495" s="191"/>
      <c r="P495" s="191"/>
      <c r="Q495" s="191"/>
      <c r="R495" s="191"/>
      <c r="S495" s="191"/>
      <c r="T495" s="191"/>
      <c r="U495" s="191"/>
      <c r="V495" s="191"/>
      <c r="W495" s="191"/>
      <c r="X495" s="191"/>
      <c r="Y495" s="191"/>
      <c r="Z495" s="191"/>
      <c r="AA495" s="191"/>
      <c r="AB495" s="191"/>
      <c r="AC495" s="191"/>
      <c r="AD495" s="191"/>
      <c r="AE495" s="191"/>
      <c r="AF495" s="191"/>
      <c r="AG495" s="191"/>
      <c r="AH495" s="191"/>
      <c r="AI495" s="191"/>
      <c r="AJ495" s="191"/>
      <c r="AK495" s="191"/>
      <c r="AL495" s="191"/>
      <c r="AM495" s="191"/>
      <c r="AN495" s="191"/>
      <c r="AO495" s="191"/>
      <c r="AP495" s="191"/>
      <c r="AQ495" s="191"/>
      <c r="AR495" s="191"/>
      <c r="AS495" s="191"/>
      <c r="AT495" s="191"/>
      <c r="AU495" s="191"/>
      <c r="AV495" s="191"/>
      <c r="AW495" s="191"/>
      <c r="AX495" s="191"/>
      <c r="AY495" s="191"/>
      <c r="AZ495" s="191"/>
      <c r="BA495" s="191"/>
      <c r="BB495" s="191"/>
      <c r="BC495" s="191"/>
      <c r="BD495" s="191"/>
      <c r="BE495" s="191"/>
      <c r="BF495" s="191"/>
      <c r="BG495" s="191"/>
      <c r="BH495" s="191"/>
      <c r="BI495" s="191"/>
      <c r="BJ495" s="191"/>
      <c r="BK495" s="191"/>
      <c r="BL495" s="191"/>
      <c r="BM495" s="191"/>
      <c r="BN495" s="191"/>
      <c r="BO495" s="191"/>
      <c r="BP495" s="191"/>
    </row>
    <row r="496" spans="11:68">
      <c r="K496" s="191"/>
      <c r="L496" s="191"/>
      <c r="M496" s="191"/>
      <c r="N496" s="191"/>
      <c r="O496" s="191"/>
      <c r="P496" s="191"/>
      <c r="Q496" s="191"/>
      <c r="R496" s="191"/>
      <c r="S496" s="191"/>
      <c r="T496" s="191"/>
      <c r="U496" s="191"/>
      <c r="V496" s="191"/>
      <c r="W496" s="191"/>
      <c r="X496" s="191"/>
      <c r="Y496" s="191"/>
      <c r="Z496" s="191"/>
      <c r="AA496" s="191"/>
      <c r="AB496" s="191"/>
      <c r="AC496" s="191"/>
      <c r="AD496" s="191"/>
      <c r="AE496" s="191"/>
      <c r="AF496" s="191"/>
      <c r="AG496" s="191"/>
      <c r="AH496" s="191"/>
      <c r="AI496" s="191"/>
      <c r="AJ496" s="191"/>
      <c r="AK496" s="191"/>
      <c r="AL496" s="191"/>
      <c r="AM496" s="191"/>
      <c r="AN496" s="191"/>
      <c r="AO496" s="191"/>
      <c r="AP496" s="191"/>
      <c r="AQ496" s="191"/>
      <c r="AR496" s="191"/>
      <c r="AS496" s="191"/>
      <c r="AT496" s="191"/>
      <c r="AU496" s="191"/>
      <c r="AV496" s="191"/>
      <c r="AW496" s="191"/>
      <c r="AX496" s="191"/>
      <c r="AY496" s="191"/>
      <c r="AZ496" s="191"/>
      <c r="BA496" s="191"/>
      <c r="BB496" s="191"/>
      <c r="BC496" s="191"/>
      <c r="BD496" s="191"/>
      <c r="BE496" s="191"/>
      <c r="BF496" s="191"/>
      <c r="BG496" s="191"/>
      <c r="BH496" s="191"/>
      <c r="BI496" s="191"/>
      <c r="BJ496" s="191"/>
      <c r="BK496" s="191"/>
      <c r="BL496" s="191"/>
      <c r="BM496" s="191"/>
      <c r="BN496" s="191"/>
      <c r="BO496" s="191"/>
      <c r="BP496" s="191"/>
    </row>
    <row r="497" spans="11:68">
      <c r="K497" s="191"/>
      <c r="L497" s="191"/>
      <c r="M497" s="191"/>
      <c r="N497" s="191"/>
      <c r="O497" s="191"/>
      <c r="P497" s="191"/>
      <c r="Q497" s="191"/>
      <c r="R497" s="191"/>
      <c r="S497" s="191"/>
      <c r="T497" s="191"/>
      <c r="U497" s="191"/>
      <c r="V497" s="191"/>
      <c r="W497" s="191"/>
      <c r="X497" s="191"/>
      <c r="Y497" s="191"/>
      <c r="Z497" s="191"/>
      <c r="AA497" s="191"/>
      <c r="AB497" s="191"/>
      <c r="AC497" s="191"/>
      <c r="AD497" s="191"/>
      <c r="AE497" s="191"/>
      <c r="AF497" s="191"/>
      <c r="AG497" s="191"/>
      <c r="AH497" s="191"/>
      <c r="AI497" s="191"/>
      <c r="AJ497" s="191"/>
      <c r="AK497" s="191"/>
      <c r="AL497" s="191"/>
      <c r="AM497" s="191"/>
      <c r="AN497" s="191"/>
      <c r="AO497" s="191"/>
      <c r="AP497" s="191"/>
      <c r="AQ497" s="191"/>
      <c r="AR497" s="191"/>
      <c r="AS497" s="191"/>
      <c r="AT497" s="191"/>
      <c r="AU497" s="191"/>
      <c r="AV497" s="191"/>
      <c r="AW497" s="191"/>
      <c r="AX497" s="191"/>
      <c r="AY497" s="191"/>
      <c r="AZ497" s="191"/>
      <c r="BA497" s="191"/>
      <c r="BB497" s="191"/>
      <c r="BC497" s="191"/>
      <c r="BD497" s="191"/>
      <c r="BE497" s="191"/>
      <c r="BF497" s="191"/>
      <c r="BG497" s="191"/>
      <c r="BH497" s="191"/>
      <c r="BI497" s="191"/>
      <c r="BJ497" s="191"/>
      <c r="BK497" s="191"/>
      <c r="BL497" s="191"/>
      <c r="BM497" s="191"/>
      <c r="BN497" s="191"/>
      <c r="BO497" s="191"/>
      <c r="BP497" s="191"/>
    </row>
    <row r="498" spans="11:68">
      <c r="K498" s="191"/>
      <c r="L498" s="191"/>
      <c r="M498" s="191"/>
      <c r="N498" s="191"/>
      <c r="O498" s="191"/>
      <c r="P498" s="191"/>
      <c r="Q498" s="191"/>
      <c r="R498" s="191"/>
      <c r="S498" s="191"/>
      <c r="T498" s="191"/>
      <c r="U498" s="191"/>
      <c r="V498" s="191"/>
      <c r="W498" s="191"/>
      <c r="X498" s="191"/>
      <c r="Y498" s="191"/>
      <c r="Z498" s="191"/>
      <c r="AA498" s="191"/>
      <c r="AB498" s="191"/>
      <c r="AC498" s="191"/>
      <c r="AD498" s="191"/>
      <c r="AE498" s="191"/>
      <c r="AF498" s="191"/>
      <c r="AG498" s="191"/>
      <c r="AH498" s="191"/>
      <c r="AI498" s="191"/>
      <c r="AJ498" s="191"/>
      <c r="AK498" s="191"/>
      <c r="AL498" s="191"/>
      <c r="AM498" s="191"/>
      <c r="AN498" s="191"/>
      <c r="AO498" s="191"/>
      <c r="AP498" s="191"/>
      <c r="AQ498" s="191"/>
      <c r="AR498" s="191"/>
      <c r="AS498" s="191"/>
      <c r="AT498" s="191"/>
      <c r="AU498" s="191"/>
      <c r="AV498" s="191"/>
      <c r="AW498" s="191"/>
      <c r="AX498" s="191"/>
      <c r="AY498" s="191"/>
      <c r="AZ498" s="191"/>
      <c r="BA498" s="191"/>
      <c r="BB498" s="191"/>
      <c r="BC498" s="191"/>
      <c r="BD498" s="191"/>
      <c r="BE498" s="191"/>
      <c r="BF498" s="191"/>
      <c r="BG498" s="191"/>
      <c r="BH498" s="191"/>
      <c r="BI498" s="191"/>
      <c r="BJ498" s="191"/>
      <c r="BK498" s="191"/>
      <c r="BL498" s="191"/>
      <c r="BM498" s="191"/>
      <c r="BN498" s="191"/>
      <c r="BO498" s="191"/>
      <c r="BP498" s="191"/>
    </row>
    <row r="499" spans="11:68">
      <c r="K499" s="191"/>
      <c r="L499" s="191"/>
      <c r="M499" s="191"/>
      <c r="N499" s="191"/>
      <c r="O499" s="191"/>
      <c r="P499" s="191"/>
      <c r="Q499" s="191"/>
      <c r="R499" s="191"/>
      <c r="S499" s="191"/>
      <c r="T499" s="191"/>
      <c r="U499" s="191"/>
      <c r="V499" s="191"/>
      <c r="W499" s="191"/>
      <c r="X499" s="191"/>
      <c r="Y499" s="191"/>
      <c r="Z499" s="191"/>
      <c r="AA499" s="191"/>
      <c r="AB499" s="191"/>
      <c r="AC499" s="191"/>
      <c r="AD499" s="191"/>
      <c r="AE499" s="191"/>
      <c r="AF499" s="191"/>
      <c r="AG499" s="191"/>
      <c r="AH499" s="191"/>
      <c r="AI499" s="191"/>
      <c r="AJ499" s="191"/>
      <c r="AK499" s="191"/>
      <c r="AL499" s="191"/>
      <c r="AM499" s="191"/>
      <c r="AN499" s="191"/>
      <c r="AO499" s="191"/>
      <c r="AP499" s="191"/>
      <c r="AQ499" s="191"/>
      <c r="AR499" s="191"/>
      <c r="AS499" s="191"/>
      <c r="AT499" s="191"/>
      <c r="AU499" s="191"/>
      <c r="AV499" s="191"/>
      <c r="AW499" s="191"/>
      <c r="AX499" s="191"/>
      <c r="AY499" s="191"/>
      <c r="AZ499" s="191"/>
      <c r="BA499" s="191"/>
      <c r="BB499" s="191"/>
      <c r="BC499" s="191"/>
      <c r="BD499" s="191"/>
      <c r="BE499" s="191"/>
      <c r="BF499" s="191"/>
      <c r="BG499" s="191"/>
      <c r="BH499" s="191"/>
      <c r="BI499" s="191"/>
      <c r="BJ499" s="191"/>
      <c r="BK499" s="191"/>
      <c r="BL499" s="191"/>
      <c r="BM499" s="191"/>
      <c r="BN499" s="191"/>
      <c r="BO499" s="191"/>
      <c r="BP499" s="191"/>
    </row>
    <row r="500" spans="11:68">
      <c r="K500" s="191"/>
      <c r="L500" s="191"/>
      <c r="M500" s="191"/>
      <c r="N500" s="191"/>
      <c r="O500" s="191"/>
      <c r="P500" s="191"/>
      <c r="Q500" s="191"/>
      <c r="R500" s="191"/>
      <c r="S500" s="191"/>
      <c r="T500" s="191"/>
      <c r="U500" s="191"/>
      <c r="V500" s="191"/>
      <c r="W500" s="191"/>
      <c r="X500" s="191"/>
      <c r="Y500" s="191"/>
      <c r="Z500" s="191"/>
      <c r="AA500" s="191"/>
      <c r="AB500" s="191"/>
      <c r="AC500" s="191"/>
      <c r="AD500" s="191"/>
      <c r="AE500" s="191"/>
      <c r="AF500" s="191"/>
      <c r="AG500" s="191"/>
      <c r="AH500" s="191"/>
      <c r="AI500" s="191"/>
      <c r="AJ500" s="191"/>
      <c r="AK500" s="191"/>
      <c r="AL500" s="191"/>
      <c r="AM500" s="191"/>
      <c r="AN500" s="191"/>
      <c r="AO500" s="191"/>
      <c r="AP500" s="191"/>
      <c r="AQ500" s="191"/>
      <c r="AR500" s="191"/>
      <c r="AS500" s="191"/>
      <c r="AT500" s="191"/>
      <c r="AU500" s="191"/>
      <c r="AV500" s="191"/>
      <c r="AW500" s="191"/>
      <c r="AX500" s="191"/>
      <c r="AY500" s="191"/>
      <c r="AZ500" s="191"/>
      <c r="BA500" s="191"/>
      <c r="BB500" s="191"/>
      <c r="BC500" s="191"/>
      <c r="BD500" s="191"/>
      <c r="BE500" s="191"/>
      <c r="BF500" s="191"/>
      <c r="BG500" s="191"/>
      <c r="BH500" s="191"/>
      <c r="BI500" s="191"/>
      <c r="BJ500" s="191"/>
      <c r="BK500" s="191"/>
      <c r="BL500" s="191"/>
      <c r="BM500" s="191"/>
      <c r="BN500" s="191"/>
      <c r="BO500" s="191"/>
      <c r="BP500" s="191"/>
    </row>
    <row r="501" spans="11:68">
      <c r="K501" s="191"/>
      <c r="L501" s="191"/>
      <c r="M501" s="191"/>
      <c r="N501" s="191"/>
      <c r="O501" s="191"/>
      <c r="P501" s="191"/>
      <c r="Q501" s="191"/>
      <c r="R501" s="191"/>
      <c r="S501" s="191"/>
      <c r="T501" s="191"/>
      <c r="U501" s="191"/>
      <c r="V501" s="191"/>
      <c r="W501" s="191"/>
      <c r="X501" s="191"/>
      <c r="Y501" s="191"/>
      <c r="Z501" s="191"/>
      <c r="AA501" s="191"/>
      <c r="AB501" s="191"/>
      <c r="AC501" s="191"/>
      <c r="AD501" s="191"/>
      <c r="AE501" s="191"/>
      <c r="AF501" s="191"/>
      <c r="AG501" s="191"/>
      <c r="AH501" s="191"/>
      <c r="AI501" s="191"/>
      <c r="AJ501" s="191"/>
      <c r="AK501" s="191"/>
      <c r="AL501" s="191"/>
      <c r="AM501" s="191"/>
      <c r="AN501" s="191"/>
      <c r="AO501" s="191"/>
      <c r="AP501" s="191"/>
      <c r="AQ501" s="191"/>
      <c r="AR501" s="191"/>
      <c r="AS501" s="191"/>
      <c r="AT501" s="191"/>
      <c r="AU501" s="191"/>
      <c r="AV501" s="191"/>
      <c r="AW501" s="191"/>
      <c r="AX501" s="191"/>
      <c r="AY501" s="191"/>
      <c r="AZ501" s="191"/>
      <c r="BA501" s="191"/>
      <c r="BB501" s="191"/>
      <c r="BC501" s="191"/>
      <c r="BD501" s="191"/>
      <c r="BE501" s="191"/>
      <c r="BF501" s="191"/>
      <c r="BG501" s="191"/>
      <c r="BH501" s="191"/>
      <c r="BI501" s="191"/>
      <c r="BJ501" s="191"/>
      <c r="BK501" s="191"/>
      <c r="BL501" s="191"/>
      <c r="BM501" s="191"/>
      <c r="BN501" s="191"/>
      <c r="BO501" s="191"/>
      <c r="BP501" s="191"/>
    </row>
    <row r="502" spans="11:68">
      <c r="K502" s="191"/>
      <c r="L502" s="191"/>
      <c r="M502" s="191"/>
      <c r="N502" s="191"/>
      <c r="O502" s="191"/>
      <c r="P502" s="191"/>
      <c r="Q502" s="191"/>
      <c r="R502" s="191"/>
      <c r="S502" s="191"/>
      <c r="T502" s="191"/>
      <c r="U502" s="191"/>
      <c r="V502" s="191"/>
      <c r="W502" s="191"/>
      <c r="X502" s="191"/>
      <c r="Y502" s="191"/>
      <c r="Z502" s="191"/>
      <c r="AA502" s="191"/>
      <c r="AB502" s="191"/>
      <c r="AC502" s="191"/>
      <c r="AD502" s="191"/>
      <c r="AE502" s="191"/>
      <c r="AF502" s="191"/>
      <c r="AG502" s="191"/>
      <c r="AH502" s="191"/>
      <c r="AI502" s="191"/>
      <c r="AJ502" s="191"/>
      <c r="AK502" s="191"/>
      <c r="AL502" s="191"/>
      <c r="AM502" s="191"/>
      <c r="AN502" s="191"/>
      <c r="AO502" s="191"/>
      <c r="AP502" s="191"/>
      <c r="AQ502" s="191"/>
      <c r="AR502" s="191"/>
      <c r="AS502" s="191"/>
      <c r="AT502" s="191"/>
      <c r="AU502" s="191"/>
      <c r="AV502" s="191"/>
      <c r="AW502" s="191"/>
      <c r="AX502" s="191"/>
      <c r="AY502" s="191"/>
      <c r="AZ502" s="191"/>
      <c r="BA502" s="191"/>
      <c r="BB502" s="191"/>
      <c r="BC502" s="191"/>
      <c r="BD502" s="191"/>
      <c r="BE502" s="191"/>
      <c r="BF502" s="191"/>
      <c r="BG502" s="191"/>
      <c r="BH502" s="191"/>
      <c r="BI502" s="191"/>
      <c r="BJ502" s="191"/>
      <c r="BK502" s="191"/>
      <c r="BL502" s="191"/>
      <c r="BM502" s="191"/>
      <c r="BN502" s="191"/>
      <c r="BO502" s="191"/>
      <c r="BP502" s="191"/>
    </row>
    <row r="503" spans="11:68">
      <c r="K503" s="191"/>
      <c r="L503" s="191"/>
      <c r="M503" s="191"/>
      <c r="N503" s="191"/>
      <c r="O503" s="191"/>
      <c r="P503" s="191"/>
      <c r="Q503" s="191"/>
      <c r="R503" s="191"/>
      <c r="S503" s="191"/>
      <c r="T503" s="191"/>
      <c r="U503" s="191"/>
      <c r="V503" s="191"/>
      <c r="W503" s="191"/>
      <c r="X503" s="191"/>
      <c r="Y503" s="191"/>
      <c r="Z503" s="191"/>
      <c r="AA503" s="191"/>
      <c r="AB503" s="191"/>
      <c r="AC503" s="191"/>
      <c r="AD503" s="191"/>
      <c r="AE503" s="191"/>
      <c r="AF503" s="191"/>
      <c r="AG503" s="191"/>
      <c r="AH503" s="191"/>
      <c r="AI503" s="191"/>
      <c r="AJ503" s="191"/>
      <c r="AK503" s="191"/>
      <c r="AL503" s="191"/>
      <c r="AM503" s="191"/>
      <c r="AN503" s="191"/>
      <c r="AO503" s="191"/>
      <c r="AP503" s="191"/>
      <c r="AQ503" s="191"/>
      <c r="AR503" s="191"/>
      <c r="AS503" s="191"/>
      <c r="AT503" s="191"/>
      <c r="AU503" s="191"/>
      <c r="AV503" s="191"/>
      <c r="AW503" s="191"/>
      <c r="AX503" s="191"/>
      <c r="AY503" s="191"/>
      <c r="AZ503" s="191"/>
      <c r="BA503" s="191"/>
      <c r="BB503" s="191"/>
      <c r="BC503" s="191"/>
      <c r="BD503" s="191"/>
      <c r="BE503" s="191"/>
      <c r="BF503" s="191"/>
      <c r="BG503" s="191"/>
      <c r="BH503" s="191"/>
      <c r="BI503" s="191"/>
      <c r="BJ503" s="191"/>
      <c r="BK503" s="191"/>
      <c r="BL503" s="191"/>
      <c r="BM503" s="191"/>
      <c r="BN503" s="191"/>
      <c r="BO503" s="191"/>
      <c r="BP503" s="191"/>
    </row>
    <row r="504" spans="11:68">
      <c r="K504" s="191"/>
      <c r="L504" s="191"/>
      <c r="M504" s="191"/>
      <c r="N504" s="191"/>
      <c r="O504" s="191"/>
      <c r="P504" s="191"/>
      <c r="Q504" s="191"/>
      <c r="R504" s="191"/>
      <c r="S504" s="191"/>
      <c r="T504" s="191"/>
      <c r="U504" s="191"/>
      <c r="V504" s="191"/>
      <c r="W504" s="191"/>
      <c r="X504" s="191"/>
      <c r="Y504" s="191"/>
      <c r="Z504" s="191"/>
      <c r="AA504" s="191"/>
      <c r="AB504" s="191"/>
      <c r="AC504" s="191"/>
      <c r="AD504" s="191"/>
      <c r="AE504" s="191"/>
      <c r="AF504" s="191"/>
      <c r="AG504" s="191"/>
      <c r="AH504" s="191"/>
      <c r="AI504" s="191"/>
      <c r="AJ504" s="191"/>
      <c r="AK504" s="191"/>
      <c r="AL504" s="191"/>
      <c r="AM504" s="191"/>
      <c r="AN504" s="191"/>
      <c r="AO504" s="191"/>
      <c r="AP504" s="191"/>
      <c r="AQ504" s="191"/>
      <c r="AR504" s="191"/>
      <c r="AS504" s="191"/>
      <c r="AT504" s="191"/>
      <c r="AU504" s="191"/>
      <c r="AV504" s="191"/>
      <c r="AW504" s="191"/>
      <c r="AX504" s="191"/>
      <c r="AY504" s="191"/>
      <c r="AZ504" s="191"/>
      <c r="BA504" s="191"/>
      <c r="BB504" s="191"/>
      <c r="BC504" s="191"/>
      <c r="BD504" s="191"/>
      <c r="BE504" s="191"/>
      <c r="BF504" s="191"/>
      <c r="BG504" s="191"/>
      <c r="BH504" s="191"/>
      <c r="BI504" s="191"/>
      <c r="BJ504" s="191"/>
      <c r="BK504" s="191"/>
      <c r="BL504" s="191"/>
      <c r="BM504" s="191"/>
      <c r="BN504" s="191"/>
      <c r="BO504" s="191"/>
      <c r="BP504" s="191"/>
    </row>
    <row r="505" spans="11:68">
      <c r="K505" s="191"/>
      <c r="L505" s="191"/>
      <c r="M505" s="191"/>
      <c r="N505" s="191"/>
      <c r="O505" s="191"/>
      <c r="P505" s="191"/>
      <c r="Q505" s="191"/>
      <c r="R505" s="191"/>
      <c r="S505" s="191"/>
      <c r="T505" s="191"/>
      <c r="U505" s="191"/>
      <c r="V505" s="191"/>
      <c r="W505" s="191"/>
      <c r="X505" s="191"/>
      <c r="Y505" s="191"/>
      <c r="Z505" s="191"/>
      <c r="AA505" s="191"/>
      <c r="AB505" s="191"/>
      <c r="AC505" s="191"/>
      <c r="AD505" s="191"/>
      <c r="AE505" s="191"/>
      <c r="AF505" s="191"/>
      <c r="AG505" s="191"/>
      <c r="AH505" s="191"/>
      <c r="AI505" s="191"/>
      <c r="AJ505" s="191"/>
      <c r="AK505" s="191"/>
      <c r="AL505" s="191"/>
      <c r="AM505" s="191"/>
      <c r="AN505" s="191"/>
      <c r="AO505" s="191"/>
      <c r="AP505" s="191"/>
      <c r="AQ505" s="191"/>
      <c r="AR505" s="191"/>
      <c r="AS505" s="191"/>
      <c r="AT505" s="191"/>
      <c r="AU505" s="191"/>
      <c r="AV505" s="191"/>
      <c r="AW505" s="191"/>
      <c r="AX505" s="191"/>
      <c r="AY505" s="191"/>
      <c r="AZ505" s="191"/>
      <c r="BA505" s="191"/>
      <c r="BB505" s="191"/>
      <c r="BC505" s="191"/>
      <c r="BD505" s="191"/>
      <c r="BE505" s="191"/>
      <c r="BF505" s="191"/>
      <c r="BG505" s="191"/>
      <c r="BH505" s="191"/>
      <c r="BI505" s="191"/>
      <c r="BJ505" s="191"/>
      <c r="BK505" s="191"/>
      <c r="BL505" s="191"/>
      <c r="BM505" s="191"/>
      <c r="BN505" s="191"/>
      <c r="BO505" s="191"/>
      <c r="BP505" s="191"/>
    </row>
    <row r="506" spans="11:68">
      <c r="K506" s="191"/>
      <c r="L506" s="191"/>
      <c r="M506" s="191"/>
      <c r="N506" s="191"/>
      <c r="O506" s="191"/>
      <c r="P506" s="191"/>
      <c r="Q506" s="191"/>
      <c r="R506" s="191"/>
      <c r="S506" s="191"/>
      <c r="T506" s="191"/>
      <c r="U506" s="191"/>
      <c r="V506" s="191"/>
      <c r="W506" s="191"/>
      <c r="X506" s="191"/>
      <c r="Y506" s="191"/>
      <c r="Z506" s="191"/>
      <c r="AA506" s="191"/>
      <c r="AB506" s="191"/>
      <c r="AC506" s="191"/>
      <c r="AD506" s="191"/>
      <c r="AE506" s="191"/>
      <c r="AF506" s="191"/>
      <c r="AG506" s="191"/>
      <c r="AH506" s="191"/>
      <c r="AI506" s="191"/>
      <c r="AJ506" s="191"/>
      <c r="AK506" s="191"/>
      <c r="AL506" s="191"/>
      <c r="AM506" s="191"/>
      <c r="AN506" s="191"/>
      <c r="AO506" s="191"/>
      <c r="AP506" s="191"/>
      <c r="AQ506" s="191"/>
      <c r="AR506" s="191"/>
      <c r="AS506" s="191"/>
      <c r="AT506" s="191"/>
      <c r="AU506" s="191"/>
      <c r="AV506" s="191"/>
      <c r="AW506" s="191"/>
      <c r="AX506" s="191"/>
      <c r="AY506" s="191"/>
      <c r="AZ506" s="191"/>
      <c r="BA506" s="191"/>
      <c r="BB506" s="191"/>
      <c r="BC506" s="191"/>
      <c r="BD506" s="191"/>
      <c r="BE506" s="191"/>
      <c r="BF506" s="191"/>
      <c r="BG506" s="191"/>
      <c r="BH506" s="191"/>
      <c r="BI506" s="191"/>
      <c r="BJ506" s="191"/>
      <c r="BK506" s="191"/>
      <c r="BL506" s="191"/>
      <c r="BM506" s="191"/>
      <c r="BN506" s="191"/>
      <c r="BO506" s="191"/>
      <c r="BP506" s="191"/>
    </row>
    <row r="507" spans="11:68">
      <c r="K507" s="191"/>
      <c r="L507" s="191"/>
      <c r="M507" s="191"/>
      <c r="N507" s="191"/>
      <c r="O507" s="191"/>
      <c r="P507" s="191"/>
      <c r="Q507" s="191"/>
      <c r="R507" s="191"/>
      <c r="S507" s="191"/>
      <c r="T507" s="191"/>
      <c r="U507" s="191"/>
      <c r="V507" s="191"/>
      <c r="W507" s="191"/>
      <c r="X507" s="191"/>
      <c r="Y507" s="191"/>
      <c r="Z507" s="191"/>
      <c r="AA507" s="191"/>
      <c r="AB507" s="191"/>
      <c r="AC507" s="191"/>
      <c r="AD507" s="191"/>
      <c r="AE507" s="191"/>
      <c r="AF507" s="191"/>
      <c r="AG507" s="191"/>
      <c r="AH507" s="191"/>
      <c r="AI507" s="191"/>
      <c r="AJ507" s="191"/>
      <c r="AK507" s="191"/>
      <c r="AL507" s="191"/>
      <c r="AM507" s="191"/>
      <c r="AN507" s="191"/>
      <c r="AO507" s="191"/>
      <c r="AP507" s="191"/>
      <c r="AQ507" s="191"/>
      <c r="AR507" s="191"/>
      <c r="AS507" s="191"/>
      <c r="AT507" s="191"/>
      <c r="AU507" s="191"/>
      <c r="AV507" s="191"/>
      <c r="AW507" s="191"/>
      <c r="AX507" s="191"/>
      <c r="AY507" s="191"/>
      <c r="AZ507" s="191"/>
      <c r="BA507" s="191"/>
      <c r="BB507" s="191"/>
      <c r="BC507" s="191"/>
      <c r="BD507" s="191"/>
      <c r="BE507" s="191"/>
      <c r="BF507" s="191"/>
      <c r="BG507" s="191"/>
      <c r="BH507" s="191"/>
      <c r="BI507" s="191"/>
      <c r="BJ507" s="191"/>
      <c r="BK507" s="191"/>
      <c r="BL507" s="191"/>
      <c r="BM507" s="191"/>
      <c r="BN507" s="191"/>
      <c r="BO507" s="191"/>
      <c r="BP507" s="191"/>
    </row>
    <row r="508" spans="11:68">
      <c r="K508" s="191"/>
      <c r="L508" s="191"/>
      <c r="M508" s="191"/>
      <c r="N508" s="191"/>
      <c r="O508" s="191"/>
      <c r="P508" s="191"/>
      <c r="Q508" s="191"/>
      <c r="R508" s="191"/>
      <c r="S508" s="191"/>
      <c r="T508" s="191"/>
      <c r="U508" s="191"/>
      <c r="V508" s="191"/>
      <c r="W508" s="191"/>
      <c r="X508" s="191"/>
      <c r="Y508" s="191"/>
      <c r="Z508" s="191"/>
      <c r="AA508" s="191"/>
      <c r="AB508" s="191"/>
      <c r="AC508" s="191"/>
      <c r="AD508" s="191"/>
      <c r="AE508" s="191"/>
      <c r="AF508" s="191"/>
      <c r="AG508" s="191"/>
      <c r="AH508" s="191"/>
      <c r="AI508" s="191"/>
      <c r="AJ508" s="191"/>
      <c r="AK508" s="191"/>
      <c r="AL508" s="191"/>
      <c r="AM508" s="191"/>
      <c r="AN508" s="191"/>
      <c r="AO508" s="191"/>
      <c r="AP508" s="191"/>
      <c r="AQ508" s="191"/>
      <c r="AR508" s="191"/>
      <c r="AS508" s="191"/>
      <c r="AT508" s="191"/>
      <c r="AU508" s="191"/>
      <c r="AV508" s="191"/>
      <c r="AW508" s="191"/>
      <c r="AX508" s="191"/>
      <c r="AY508" s="191"/>
      <c r="AZ508" s="191"/>
      <c r="BA508" s="191"/>
      <c r="BB508" s="191"/>
      <c r="BC508" s="191"/>
      <c r="BD508" s="191"/>
      <c r="BE508" s="191"/>
      <c r="BF508" s="191"/>
      <c r="BG508" s="191"/>
      <c r="BH508" s="191"/>
      <c r="BI508" s="191"/>
      <c r="BJ508" s="191"/>
      <c r="BK508" s="191"/>
      <c r="BL508" s="191"/>
      <c r="BM508" s="191"/>
      <c r="BN508" s="191"/>
      <c r="BO508" s="191"/>
      <c r="BP508" s="191"/>
    </row>
    <row r="509" spans="11:68">
      <c r="K509" s="191"/>
      <c r="L509" s="191"/>
      <c r="M509" s="191"/>
      <c r="N509" s="191"/>
      <c r="O509" s="191"/>
      <c r="P509" s="191"/>
      <c r="Q509" s="191"/>
      <c r="R509" s="191"/>
      <c r="S509" s="191"/>
      <c r="T509" s="191"/>
      <c r="U509" s="191"/>
      <c r="V509" s="191"/>
      <c r="W509" s="191"/>
      <c r="X509" s="191"/>
      <c r="Y509" s="191"/>
      <c r="Z509" s="191"/>
      <c r="AA509" s="191"/>
      <c r="AB509" s="191"/>
      <c r="AC509" s="191"/>
      <c r="AD509" s="191"/>
      <c r="AE509" s="191"/>
      <c r="AF509" s="191"/>
      <c r="AG509" s="191"/>
      <c r="AH509" s="191"/>
      <c r="AI509" s="191"/>
      <c r="AJ509" s="191"/>
      <c r="AK509" s="191"/>
      <c r="AL509" s="191"/>
      <c r="AM509" s="191"/>
      <c r="AN509" s="191"/>
      <c r="AO509" s="191"/>
      <c r="AP509" s="191"/>
      <c r="AQ509" s="191"/>
      <c r="AR509" s="191"/>
      <c r="AS509" s="191"/>
      <c r="AT509" s="191"/>
      <c r="AU509" s="191"/>
      <c r="AV509" s="191"/>
      <c r="AW509" s="191"/>
      <c r="AX509" s="191"/>
      <c r="AY509" s="191"/>
      <c r="AZ509" s="191"/>
      <c r="BA509" s="191"/>
      <c r="BB509" s="191"/>
      <c r="BC509" s="191"/>
      <c r="BD509" s="191"/>
      <c r="BE509" s="191"/>
      <c r="BF509" s="191"/>
      <c r="BG509" s="191"/>
      <c r="BH509" s="191"/>
      <c r="BI509" s="191"/>
      <c r="BJ509" s="191"/>
      <c r="BK509" s="191"/>
      <c r="BL509" s="191"/>
      <c r="BM509" s="191"/>
      <c r="BN509" s="191"/>
      <c r="BO509" s="191"/>
      <c r="BP509" s="191"/>
    </row>
    <row r="510" spans="11:68">
      <c r="K510" s="191"/>
      <c r="L510" s="191"/>
      <c r="M510" s="191"/>
      <c r="N510" s="191"/>
      <c r="O510" s="191"/>
      <c r="P510" s="191"/>
      <c r="Q510" s="191"/>
      <c r="R510" s="191"/>
      <c r="S510" s="191"/>
      <c r="T510" s="191"/>
      <c r="U510" s="191"/>
      <c r="V510" s="191"/>
      <c r="W510" s="191"/>
      <c r="X510" s="191"/>
      <c r="Y510" s="191"/>
      <c r="Z510" s="191"/>
      <c r="AA510" s="191"/>
      <c r="AB510" s="191"/>
      <c r="AC510" s="191"/>
      <c r="AD510" s="191"/>
      <c r="AE510" s="191"/>
      <c r="AF510" s="191"/>
      <c r="AG510" s="191"/>
      <c r="AH510" s="191"/>
      <c r="AI510" s="191"/>
      <c r="AJ510" s="191"/>
      <c r="AK510" s="191"/>
      <c r="AL510" s="191"/>
      <c r="AM510" s="191"/>
      <c r="AN510" s="191"/>
      <c r="AO510" s="191"/>
      <c r="AP510" s="191"/>
      <c r="AQ510" s="191"/>
      <c r="AR510" s="191"/>
      <c r="AS510" s="191"/>
      <c r="AT510" s="191"/>
      <c r="AU510" s="191"/>
      <c r="AV510" s="191"/>
      <c r="AW510" s="191"/>
      <c r="AX510" s="191"/>
      <c r="AY510" s="191"/>
      <c r="AZ510" s="191"/>
      <c r="BA510" s="191"/>
      <c r="BB510" s="191"/>
      <c r="BC510" s="191"/>
      <c r="BD510" s="191"/>
      <c r="BE510" s="191"/>
      <c r="BF510" s="191"/>
      <c r="BG510" s="191"/>
      <c r="BH510" s="191"/>
      <c r="BI510" s="191"/>
      <c r="BJ510" s="191"/>
      <c r="BK510" s="191"/>
      <c r="BL510" s="191"/>
      <c r="BM510" s="191"/>
      <c r="BN510" s="191"/>
      <c r="BO510" s="191"/>
      <c r="BP510" s="191"/>
    </row>
    <row r="511" spans="11:68">
      <c r="K511" s="191"/>
      <c r="L511" s="191"/>
      <c r="M511" s="191"/>
      <c r="N511" s="191"/>
      <c r="O511" s="191"/>
      <c r="P511" s="191"/>
      <c r="Q511" s="191"/>
      <c r="R511" s="191"/>
      <c r="S511" s="191"/>
      <c r="T511" s="191"/>
      <c r="U511" s="191"/>
      <c r="V511" s="191"/>
      <c r="W511" s="191"/>
      <c r="X511" s="191"/>
      <c r="Y511" s="191"/>
      <c r="Z511" s="191"/>
      <c r="AA511" s="191"/>
      <c r="AB511" s="191"/>
      <c r="AC511" s="191"/>
      <c r="AD511" s="191"/>
      <c r="AE511" s="191"/>
      <c r="AF511" s="191"/>
      <c r="AG511" s="191"/>
      <c r="AH511" s="191"/>
      <c r="AI511" s="191"/>
      <c r="AJ511" s="191"/>
      <c r="AK511" s="191"/>
      <c r="AL511" s="191"/>
      <c r="AM511" s="191"/>
      <c r="AN511" s="191"/>
      <c r="AO511" s="191"/>
      <c r="AP511" s="191"/>
      <c r="AQ511" s="191"/>
      <c r="AR511" s="191"/>
      <c r="AS511" s="191"/>
      <c r="AT511" s="191"/>
      <c r="AU511" s="191"/>
      <c r="AV511" s="191"/>
      <c r="AW511" s="191"/>
      <c r="AX511" s="191"/>
      <c r="AY511" s="191"/>
      <c r="AZ511" s="191"/>
      <c r="BA511" s="191"/>
      <c r="BB511" s="191"/>
      <c r="BC511" s="191"/>
      <c r="BD511" s="191"/>
      <c r="BE511" s="191"/>
      <c r="BF511" s="191"/>
      <c r="BG511" s="191"/>
      <c r="BH511" s="191"/>
      <c r="BI511" s="191"/>
      <c r="BJ511" s="191"/>
      <c r="BK511" s="191"/>
      <c r="BL511" s="191"/>
      <c r="BM511" s="191"/>
      <c r="BN511" s="191"/>
      <c r="BO511" s="191"/>
      <c r="BP511" s="191"/>
    </row>
    <row r="512" spans="11:68">
      <c r="K512" s="191"/>
      <c r="L512" s="191"/>
      <c r="M512" s="191"/>
      <c r="N512" s="191"/>
      <c r="O512" s="191"/>
      <c r="P512" s="191"/>
      <c r="Q512" s="191"/>
      <c r="R512" s="191"/>
      <c r="S512" s="191"/>
      <c r="T512" s="191"/>
      <c r="U512" s="191"/>
      <c r="V512" s="191"/>
      <c r="W512" s="191"/>
      <c r="X512" s="191"/>
      <c r="Y512" s="191"/>
      <c r="Z512" s="191"/>
      <c r="AA512" s="191"/>
      <c r="AB512" s="191"/>
      <c r="AC512" s="191"/>
      <c r="AD512" s="191"/>
      <c r="AE512" s="191"/>
      <c r="AF512" s="191"/>
      <c r="AG512" s="191"/>
      <c r="AH512" s="191"/>
      <c r="AI512" s="191"/>
      <c r="AJ512" s="191"/>
      <c r="AK512" s="191"/>
      <c r="AL512" s="191"/>
      <c r="AM512" s="191"/>
      <c r="AN512" s="191"/>
      <c r="AO512" s="191"/>
      <c r="AP512" s="191"/>
      <c r="AQ512" s="191"/>
      <c r="AR512" s="191"/>
      <c r="AS512" s="191"/>
      <c r="AT512" s="191"/>
      <c r="AU512" s="191"/>
      <c r="AV512" s="191"/>
      <c r="AW512" s="191"/>
      <c r="AX512" s="191"/>
      <c r="AY512" s="191"/>
      <c r="AZ512" s="191"/>
      <c r="BA512" s="191"/>
      <c r="BB512" s="191"/>
      <c r="BC512" s="191"/>
      <c r="BD512" s="191"/>
      <c r="BE512" s="191"/>
      <c r="BF512" s="191"/>
      <c r="BG512" s="191"/>
      <c r="BH512" s="191"/>
      <c r="BI512" s="191"/>
      <c r="BJ512" s="191"/>
      <c r="BK512" s="191"/>
      <c r="BL512" s="191"/>
      <c r="BM512" s="191"/>
      <c r="BN512" s="191"/>
      <c r="BO512" s="191"/>
      <c r="BP512" s="191"/>
    </row>
    <row r="513" spans="11:68">
      <c r="K513" s="191"/>
      <c r="L513" s="191"/>
      <c r="M513" s="191"/>
      <c r="N513" s="191"/>
      <c r="O513" s="191"/>
      <c r="P513" s="191"/>
      <c r="Q513" s="191"/>
      <c r="R513" s="191"/>
      <c r="S513" s="191"/>
      <c r="T513" s="191"/>
      <c r="U513" s="191"/>
      <c r="V513" s="191"/>
      <c r="W513" s="191"/>
      <c r="X513" s="191"/>
      <c r="Y513" s="191"/>
      <c r="Z513" s="191"/>
      <c r="AA513" s="191"/>
      <c r="AB513" s="191"/>
      <c r="AC513" s="191"/>
      <c r="AD513" s="191"/>
      <c r="AE513" s="191"/>
      <c r="AF513" s="191"/>
      <c r="AG513" s="191"/>
      <c r="AH513" s="191"/>
      <c r="AI513" s="191"/>
      <c r="AJ513" s="191"/>
      <c r="AK513" s="191"/>
      <c r="AL513" s="191"/>
      <c r="AM513" s="191"/>
      <c r="AN513" s="191"/>
      <c r="AO513" s="191"/>
      <c r="AP513" s="191"/>
      <c r="AQ513" s="191"/>
      <c r="AR513" s="191"/>
      <c r="AS513" s="191"/>
      <c r="AT513" s="191"/>
      <c r="AU513" s="191"/>
      <c r="AV513" s="191"/>
      <c r="AW513" s="191"/>
      <c r="AX513" s="191"/>
      <c r="AY513" s="191"/>
      <c r="AZ513" s="191"/>
      <c r="BA513" s="191"/>
      <c r="BB513" s="191"/>
      <c r="BC513" s="191"/>
      <c r="BD513" s="191"/>
      <c r="BE513" s="191"/>
      <c r="BF513" s="191"/>
      <c r="BG513" s="191"/>
      <c r="BH513" s="191"/>
      <c r="BI513" s="191"/>
      <c r="BJ513" s="191"/>
      <c r="BK513" s="191"/>
      <c r="BL513" s="191"/>
      <c r="BM513" s="191"/>
      <c r="BN513" s="191"/>
      <c r="BO513" s="191"/>
      <c r="BP513" s="191"/>
    </row>
    <row r="514" spans="11:68">
      <c r="K514" s="191"/>
      <c r="L514" s="191"/>
      <c r="M514" s="191"/>
      <c r="N514" s="191"/>
      <c r="O514" s="191"/>
      <c r="P514" s="191"/>
      <c r="Q514" s="191"/>
      <c r="R514" s="191"/>
      <c r="S514" s="191"/>
      <c r="T514" s="191"/>
      <c r="U514" s="191"/>
      <c r="V514" s="191"/>
      <c r="W514" s="191"/>
      <c r="X514" s="191"/>
      <c r="Y514" s="191"/>
      <c r="Z514" s="191"/>
      <c r="AA514" s="191"/>
      <c r="AB514" s="191"/>
      <c r="AC514" s="191"/>
      <c r="AD514" s="191"/>
      <c r="AE514" s="191"/>
      <c r="AF514" s="191"/>
      <c r="AG514" s="191"/>
      <c r="AH514" s="191"/>
      <c r="AI514" s="191"/>
      <c r="AJ514" s="191"/>
      <c r="AK514" s="191"/>
      <c r="AL514" s="191"/>
      <c r="AM514" s="191"/>
      <c r="AN514" s="191"/>
      <c r="AO514" s="191"/>
      <c r="AP514" s="191"/>
      <c r="AQ514" s="191"/>
      <c r="AR514" s="191"/>
      <c r="AS514" s="191"/>
      <c r="AT514" s="191"/>
      <c r="AU514" s="191"/>
      <c r="AV514" s="191"/>
      <c r="AW514" s="191"/>
      <c r="AX514" s="191"/>
      <c r="AY514" s="191"/>
      <c r="AZ514" s="191"/>
      <c r="BA514" s="191"/>
      <c r="BB514" s="191"/>
      <c r="BC514" s="191"/>
      <c r="BD514" s="191"/>
      <c r="BE514" s="191"/>
      <c r="BF514" s="191"/>
      <c r="BG514" s="191"/>
      <c r="BH514" s="191"/>
      <c r="BI514" s="191"/>
      <c r="BJ514" s="191"/>
      <c r="BK514" s="191"/>
      <c r="BL514" s="191"/>
      <c r="BM514" s="191"/>
      <c r="BN514" s="191"/>
      <c r="BO514" s="191"/>
      <c r="BP514" s="191"/>
    </row>
    <row r="515" spans="11:68"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191"/>
      <c r="V515" s="191"/>
      <c r="W515" s="191"/>
      <c r="X515" s="191"/>
      <c r="Y515" s="191"/>
      <c r="Z515" s="191"/>
      <c r="AA515" s="191"/>
      <c r="AB515" s="191"/>
      <c r="AC515" s="191"/>
      <c r="AD515" s="191"/>
      <c r="AE515" s="191"/>
      <c r="AF515" s="191"/>
      <c r="AG515" s="191"/>
      <c r="AH515" s="191"/>
      <c r="AI515" s="191"/>
      <c r="AJ515" s="191"/>
      <c r="AK515" s="191"/>
      <c r="AL515" s="191"/>
      <c r="AM515" s="191"/>
      <c r="AN515" s="191"/>
      <c r="AO515" s="191"/>
      <c r="AP515" s="191"/>
      <c r="AQ515" s="191"/>
      <c r="AR515" s="191"/>
      <c r="AS515" s="191"/>
      <c r="AT515" s="191"/>
      <c r="AU515" s="191"/>
      <c r="AV515" s="191"/>
      <c r="AW515" s="191"/>
      <c r="AX515" s="191"/>
      <c r="AY515" s="191"/>
      <c r="AZ515" s="191"/>
      <c r="BA515" s="191"/>
      <c r="BB515" s="191"/>
      <c r="BC515" s="191"/>
      <c r="BD515" s="191"/>
      <c r="BE515" s="191"/>
      <c r="BF515" s="191"/>
      <c r="BG515" s="191"/>
      <c r="BH515" s="191"/>
      <c r="BI515" s="191"/>
      <c r="BJ515" s="191"/>
      <c r="BK515" s="191"/>
      <c r="BL515" s="191"/>
      <c r="BM515" s="191"/>
      <c r="BN515" s="191"/>
      <c r="BO515" s="191"/>
      <c r="BP515" s="191"/>
    </row>
    <row r="516" spans="11:68">
      <c r="K516" s="191"/>
      <c r="L516" s="191"/>
      <c r="M516" s="191"/>
      <c r="N516" s="191"/>
      <c r="O516" s="191"/>
      <c r="P516" s="191"/>
      <c r="Q516" s="191"/>
      <c r="R516" s="191"/>
      <c r="S516" s="191"/>
      <c r="T516" s="191"/>
      <c r="U516" s="191"/>
      <c r="V516" s="191"/>
      <c r="W516" s="191"/>
      <c r="X516" s="191"/>
      <c r="Y516" s="191"/>
      <c r="Z516" s="191"/>
      <c r="AA516" s="191"/>
      <c r="AB516" s="191"/>
      <c r="AC516" s="191"/>
      <c r="AD516" s="191"/>
      <c r="AE516" s="191"/>
      <c r="AF516" s="191"/>
      <c r="AG516" s="191"/>
      <c r="AH516" s="191"/>
      <c r="AI516" s="191"/>
      <c r="AJ516" s="191"/>
      <c r="AK516" s="191"/>
      <c r="AL516" s="191"/>
      <c r="AM516" s="191"/>
      <c r="AN516" s="191"/>
      <c r="AO516" s="191"/>
      <c r="AP516" s="191"/>
      <c r="AQ516" s="191"/>
      <c r="AR516" s="191"/>
      <c r="AS516" s="191"/>
      <c r="AT516" s="191"/>
      <c r="AU516" s="191"/>
      <c r="AV516" s="191"/>
      <c r="AW516" s="191"/>
      <c r="AX516" s="191"/>
      <c r="AY516" s="191"/>
      <c r="AZ516" s="191"/>
      <c r="BA516" s="191"/>
      <c r="BB516" s="191"/>
      <c r="BC516" s="191"/>
      <c r="BD516" s="191"/>
      <c r="BE516" s="191"/>
      <c r="BF516" s="191"/>
      <c r="BG516" s="191"/>
      <c r="BH516" s="191"/>
      <c r="BI516" s="191"/>
      <c r="BJ516" s="191"/>
      <c r="BK516" s="191"/>
      <c r="BL516" s="191"/>
      <c r="BM516" s="191"/>
      <c r="BN516" s="191"/>
      <c r="BO516" s="191"/>
      <c r="BP516" s="191"/>
    </row>
    <row r="517" spans="11:68">
      <c r="K517" s="191"/>
      <c r="L517" s="191"/>
      <c r="M517" s="191"/>
      <c r="N517" s="191"/>
      <c r="O517" s="191"/>
      <c r="P517" s="191"/>
      <c r="Q517" s="191"/>
      <c r="R517" s="191"/>
      <c r="S517" s="191"/>
      <c r="T517" s="191"/>
      <c r="U517" s="191"/>
      <c r="V517" s="191"/>
      <c r="W517" s="191"/>
      <c r="X517" s="191"/>
      <c r="Y517" s="191"/>
      <c r="Z517" s="191"/>
      <c r="AA517" s="191"/>
      <c r="AB517" s="191"/>
      <c r="AC517" s="191"/>
      <c r="AD517" s="191"/>
      <c r="AE517" s="191"/>
      <c r="AF517" s="191"/>
      <c r="AG517" s="191"/>
      <c r="AH517" s="191"/>
      <c r="AI517" s="191"/>
      <c r="AJ517" s="191"/>
      <c r="AK517" s="191"/>
      <c r="AL517" s="191"/>
      <c r="AM517" s="191"/>
      <c r="AN517" s="191"/>
      <c r="AO517" s="191"/>
      <c r="AP517" s="191"/>
      <c r="AQ517" s="191"/>
      <c r="AR517" s="191"/>
      <c r="AS517" s="191"/>
      <c r="AT517" s="191"/>
      <c r="AU517" s="191"/>
      <c r="AV517" s="191"/>
      <c r="AW517" s="191"/>
      <c r="AX517" s="191"/>
      <c r="AY517" s="191"/>
      <c r="AZ517" s="191"/>
      <c r="BA517" s="191"/>
      <c r="BB517" s="191"/>
      <c r="BC517" s="191"/>
      <c r="BD517" s="191"/>
      <c r="BE517" s="191"/>
      <c r="BF517" s="191"/>
      <c r="BG517" s="191"/>
      <c r="BH517" s="191"/>
      <c r="BI517" s="191"/>
      <c r="BJ517" s="191"/>
      <c r="BK517" s="191"/>
      <c r="BL517" s="191"/>
      <c r="BM517" s="191"/>
      <c r="BN517" s="191"/>
      <c r="BO517" s="191"/>
      <c r="BP517" s="191"/>
    </row>
    <row r="518" spans="11:68">
      <c r="K518" s="191"/>
      <c r="L518" s="191"/>
      <c r="M518" s="191"/>
      <c r="N518" s="191"/>
      <c r="O518" s="191"/>
      <c r="P518" s="191"/>
      <c r="Q518" s="191"/>
      <c r="R518" s="191"/>
      <c r="S518" s="191"/>
      <c r="T518" s="191"/>
      <c r="U518" s="191"/>
      <c r="V518" s="191"/>
      <c r="W518" s="191"/>
      <c r="X518" s="191"/>
      <c r="Y518" s="191"/>
      <c r="Z518" s="191"/>
      <c r="AA518" s="191"/>
      <c r="AB518" s="191"/>
      <c r="AC518" s="191"/>
      <c r="AD518" s="191"/>
      <c r="AE518" s="191"/>
      <c r="AF518" s="191"/>
      <c r="AG518" s="191"/>
      <c r="AH518" s="191"/>
      <c r="AI518" s="191"/>
      <c r="AJ518" s="191"/>
      <c r="AK518" s="191"/>
      <c r="AL518" s="191"/>
      <c r="AM518" s="191"/>
      <c r="AN518" s="191"/>
      <c r="AO518" s="191"/>
      <c r="AP518" s="191"/>
      <c r="AQ518" s="191"/>
      <c r="AR518" s="191"/>
      <c r="AS518" s="191"/>
      <c r="AT518" s="191"/>
      <c r="AU518" s="191"/>
      <c r="AV518" s="191"/>
      <c r="AW518" s="191"/>
      <c r="AX518" s="191"/>
      <c r="AY518" s="191"/>
      <c r="AZ518" s="191"/>
      <c r="BA518" s="191"/>
      <c r="BB518" s="191"/>
      <c r="BC518" s="191"/>
      <c r="BD518" s="191"/>
      <c r="BE518" s="191"/>
      <c r="BF518" s="191"/>
      <c r="BG518" s="191"/>
      <c r="BH518" s="191"/>
      <c r="BI518" s="191"/>
      <c r="BJ518" s="191"/>
      <c r="BK518" s="191"/>
      <c r="BL518" s="191"/>
      <c r="BM518" s="191"/>
      <c r="BN518" s="191"/>
      <c r="BO518" s="191"/>
      <c r="BP518" s="191"/>
    </row>
    <row r="519" spans="11:68">
      <c r="K519" s="191"/>
      <c r="L519" s="191"/>
      <c r="M519" s="191"/>
      <c r="N519" s="191"/>
      <c r="O519" s="191"/>
      <c r="P519" s="191"/>
      <c r="Q519" s="191"/>
      <c r="R519" s="191"/>
      <c r="S519" s="191"/>
      <c r="T519" s="191"/>
      <c r="U519" s="191"/>
      <c r="V519" s="191"/>
      <c r="W519" s="191"/>
      <c r="X519" s="191"/>
      <c r="Y519" s="191"/>
      <c r="Z519" s="191"/>
      <c r="AA519" s="191"/>
      <c r="AB519" s="191"/>
      <c r="AC519" s="191"/>
      <c r="AD519" s="191"/>
      <c r="AE519" s="191"/>
      <c r="AF519" s="191"/>
      <c r="AG519" s="191"/>
      <c r="AH519" s="191"/>
      <c r="AI519" s="191"/>
      <c r="AJ519" s="191"/>
      <c r="AK519" s="191"/>
      <c r="AL519" s="191"/>
      <c r="AM519" s="191"/>
      <c r="AN519" s="191"/>
      <c r="AO519" s="191"/>
      <c r="AP519" s="191"/>
      <c r="AQ519" s="191"/>
      <c r="AR519" s="191"/>
      <c r="AS519" s="191"/>
      <c r="AT519" s="191"/>
      <c r="AU519" s="191"/>
      <c r="AV519" s="191"/>
      <c r="AW519" s="191"/>
      <c r="AX519" s="191"/>
      <c r="AY519" s="191"/>
      <c r="AZ519" s="191"/>
      <c r="BA519" s="191"/>
      <c r="BB519" s="191"/>
      <c r="BC519" s="191"/>
      <c r="BD519" s="191"/>
      <c r="BE519" s="191"/>
      <c r="BF519" s="191"/>
      <c r="BG519" s="191"/>
      <c r="BH519" s="191"/>
      <c r="BI519" s="191"/>
      <c r="BJ519" s="191"/>
      <c r="BK519" s="191"/>
      <c r="BL519" s="191"/>
      <c r="BM519" s="191"/>
      <c r="BN519" s="191"/>
      <c r="BO519" s="191"/>
      <c r="BP519" s="191"/>
    </row>
    <row r="520" spans="11:68">
      <c r="K520" s="191"/>
      <c r="L520" s="191"/>
      <c r="M520" s="191"/>
      <c r="N520" s="191"/>
      <c r="O520" s="191"/>
      <c r="P520" s="191"/>
      <c r="Q520" s="191"/>
      <c r="R520" s="191"/>
      <c r="S520" s="191"/>
      <c r="T520" s="191"/>
      <c r="U520" s="191"/>
      <c r="V520" s="191"/>
      <c r="W520" s="191"/>
      <c r="X520" s="191"/>
      <c r="Y520" s="191"/>
      <c r="Z520" s="191"/>
      <c r="AA520" s="191"/>
      <c r="AB520" s="191"/>
      <c r="AC520" s="191"/>
      <c r="AD520" s="191"/>
      <c r="AE520" s="191"/>
      <c r="AF520" s="191"/>
      <c r="AG520" s="191"/>
      <c r="AH520" s="191"/>
      <c r="AI520" s="191"/>
      <c r="AJ520" s="191"/>
      <c r="AK520" s="191"/>
      <c r="AL520" s="191"/>
      <c r="AM520" s="191"/>
      <c r="AN520" s="191"/>
      <c r="AO520" s="191"/>
      <c r="AP520" s="191"/>
      <c r="AQ520" s="191"/>
      <c r="AR520" s="191"/>
      <c r="AS520" s="191"/>
      <c r="AT520" s="191"/>
      <c r="AU520" s="191"/>
      <c r="AV520" s="191"/>
      <c r="AW520" s="191"/>
      <c r="AX520" s="191"/>
      <c r="AY520" s="191"/>
      <c r="AZ520" s="191"/>
      <c r="BA520" s="191"/>
      <c r="BB520" s="191"/>
      <c r="BC520" s="191"/>
      <c r="BD520" s="191"/>
      <c r="BE520" s="191"/>
      <c r="BF520" s="191"/>
      <c r="BG520" s="191"/>
      <c r="BH520" s="191"/>
      <c r="BI520" s="191"/>
      <c r="BJ520" s="191"/>
      <c r="BK520" s="191"/>
      <c r="BL520" s="191"/>
      <c r="BM520" s="191"/>
      <c r="BN520" s="191"/>
      <c r="BO520" s="191"/>
      <c r="BP520" s="191"/>
    </row>
    <row r="521" spans="11:68">
      <c r="K521" s="191"/>
      <c r="L521" s="191"/>
      <c r="M521" s="191"/>
      <c r="N521" s="191"/>
      <c r="O521" s="191"/>
      <c r="P521" s="191"/>
      <c r="Q521" s="191"/>
      <c r="R521" s="191"/>
      <c r="S521" s="191"/>
      <c r="T521" s="191"/>
      <c r="U521" s="191"/>
      <c r="V521" s="191"/>
      <c r="W521" s="191"/>
      <c r="X521" s="191"/>
      <c r="Y521" s="191"/>
      <c r="Z521" s="191"/>
      <c r="AA521" s="191"/>
      <c r="AB521" s="191"/>
      <c r="AC521" s="191"/>
      <c r="AD521" s="191"/>
      <c r="AE521" s="191"/>
      <c r="AF521" s="191"/>
      <c r="AG521" s="191"/>
      <c r="AH521" s="191"/>
      <c r="AI521" s="191"/>
      <c r="AJ521" s="191"/>
      <c r="AK521" s="191"/>
      <c r="AL521" s="191"/>
      <c r="AM521" s="191"/>
      <c r="AN521" s="191"/>
      <c r="AO521" s="191"/>
      <c r="AP521" s="191"/>
      <c r="AQ521" s="191"/>
      <c r="AR521" s="191"/>
      <c r="AS521" s="191"/>
      <c r="AT521" s="191"/>
      <c r="AU521" s="191"/>
      <c r="AV521" s="191"/>
      <c r="AW521" s="191"/>
      <c r="AX521" s="191"/>
      <c r="AY521" s="191"/>
      <c r="AZ521" s="191"/>
      <c r="BA521" s="191"/>
      <c r="BB521" s="191"/>
      <c r="BC521" s="191"/>
      <c r="BD521" s="191"/>
      <c r="BE521" s="191"/>
      <c r="BF521" s="191"/>
      <c r="BG521" s="191"/>
      <c r="BH521" s="191"/>
      <c r="BI521" s="191"/>
      <c r="BJ521" s="191"/>
      <c r="BK521" s="191"/>
      <c r="BL521" s="191"/>
      <c r="BM521" s="191"/>
      <c r="BN521" s="191"/>
      <c r="BO521" s="191"/>
      <c r="BP521" s="191"/>
    </row>
    <row r="522" spans="11:68">
      <c r="K522" s="191"/>
      <c r="L522" s="191"/>
      <c r="M522" s="191"/>
      <c r="N522" s="191"/>
      <c r="O522" s="191"/>
      <c r="P522" s="191"/>
      <c r="Q522" s="191"/>
      <c r="R522" s="191"/>
      <c r="S522" s="191"/>
      <c r="T522" s="191"/>
      <c r="U522" s="191"/>
      <c r="V522" s="191"/>
      <c r="W522" s="191"/>
      <c r="X522" s="191"/>
      <c r="Y522" s="191"/>
      <c r="Z522" s="191"/>
      <c r="AA522" s="191"/>
      <c r="AB522" s="191"/>
      <c r="AC522" s="191"/>
      <c r="AD522" s="191"/>
      <c r="AE522" s="191"/>
      <c r="AF522" s="191"/>
      <c r="AG522" s="191"/>
      <c r="AH522" s="191"/>
      <c r="AI522" s="191"/>
      <c r="AJ522" s="191"/>
      <c r="AK522" s="191"/>
      <c r="AL522" s="191"/>
      <c r="AM522" s="191"/>
      <c r="AN522" s="191"/>
      <c r="AO522" s="191"/>
      <c r="AP522" s="191"/>
      <c r="AQ522" s="191"/>
      <c r="AR522" s="191"/>
      <c r="AS522" s="191"/>
      <c r="AT522" s="191"/>
      <c r="AU522" s="191"/>
      <c r="AV522" s="191"/>
      <c r="AW522" s="191"/>
      <c r="AX522" s="191"/>
      <c r="AY522" s="191"/>
      <c r="AZ522" s="191"/>
      <c r="BA522" s="191"/>
      <c r="BB522" s="191"/>
      <c r="BC522" s="191"/>
      <c r="BD522" s="191"/>
      <c r="BE522" s="191"/>
      <c r="BF522" s="191"/>
      <c r="BG522" s="191"/>
      <c r="BH522" s="191"/>
      <c r="BI522" s="191"/>
      <c r="BJ522" s="191"/>
      <c r="BK522" s="191"/>
      <c r="BL522" s="191"/>
      <c r="BM522" s="191"/>
      <c r="BN522" s="191"/>
      <c r="BO522" s="191"/>
      <c r="BP522" s="191"/>
    </row>
    <row r="523" spans="11:68">
      <c r="K523" s="191"/>
      <c r="L523" s="191"/>
      <c r="M523" s="191"/>
      <c r="N523" s="191"/>
      <c r="O523" s="191"/>
      <c r="P523" s="191"/>
      <c r="Q523" s="191"/>
      <c r="R523" s="191"/>
      <c r="S523" s="191"/>
      <c r="T523" s="191"/>
      <c r="U523" s="191"/>
      <c r="V523" s="191"/>
      <c r="W523" s="191"/>
      <c r="X523" s="191"/>
      <c r="Y523" s="191"/>
      <c r="Z523" s="191"/>
      <c r="AA523" s="191"/>
      <c r="AB523" s="191"/>
      <c r="AC523" s="191"/>
      <c r="AD523" s="191"/>
      <c r="AE523" s="191"/>
      <c r="AF523" s="191"/>
      <c r="AG523" s="191"/>
      <c r="AH523" s="191"/>
      <c r="AI523" s="191"/>
      <c r="AJ523" s="191"/>
      <c r="AK523" s="191"/>
      <c r="AL523" s="191"/>
      <c r="AM523" s="191"/>
      <c r="AN523" s="191"/>
      <c r="AO523" s="191"/>
      <c r="AP523" s="191"/>
      <c r="AQ523" s="191"/>
      <c r="AR523" s="191"/>
      <c r="AS523" s="191"/>
      <c r="AT523" s="191"/>
      <c r="AU523" s="191"/>
      <c r="AV523" s="191"/>
      <c r="AW523" s="191"/>
      <c r="AX523" s="191"/>
      <c r="AY523" s="191"/>
      <c r="AZ523" s="191"/>
      <c r="BA523" s="191"/>
      <c r="BB523" s="191"/>
      <c r="BC523" s="191"/>
      <c r="BD523" s="191"/>
      <c r="BE523" s="191"/>
      <c r="BF523" s="191"/>
      <c r="BG523" s="191"/>
      <c r="BH523" s="191"/>
      <c r="BI523" s="191"/>
      <c r="BJ523" s="191"/>
      <c r="BK523" s="191"/>
      <c r="BL523" s="191"/>
      <c r="BM523" s="191"/>
      <c r="BN523" s="191"/>
      <c r="BO523" s="191"/>
      <c r="BP523" s="191"/>
    </row>
    <row r="524" spans="11:68">
      <c r="K524" s="191"/>
      <c r="L524" s="191"/>
      <c r="M524" s="191"/>
      <c r="N524" s="191"/>
      <c r="O524" s="191"/>
      <c r="P524" s="191"/>
      <c r="Q524" s="191"/>
      <c r="R524" s="191"/>
      <c r="S524" s="191"/>
      <c r="T524" s="191"/>
      <c r="U524" s="191"/>
      <c r="V524" s="191"/>
      <c r="W524" s="191"/>
      <c r="X524" s="191"/>
      <c r="Y524" s="191"/>
      <c r="Z524" s="191"/>
      <c r="AA524" s="191"/>
      <c r="AB524" s="191"/>
      <c r="AC524" s="191"/>
      <c r="AD524" s="191"/>
      <c r="AE524" s="191"/>
      <c r="AF524" s="191"/>
      <c r="AG524" s="191"/>
      <c r="AH524" s="191"/>
      <c r="AI524" s="191"/>
      <c r="AJ524" s="191"/>
      <c r="AK524" s="191"/>
      <c r="AL524" s="191"/>
      <c r="AM524" s="191"/>
      <c r="AN524" s="191"/>
      <c r="AO524" s="191"/>
      <c r="AP524" s="191"/>
      <c r="AQ524" s="191"/>
      <c r="AR524" s="191"/>
      <c r="AS524" s="191"/>
      <c r="AT524" s="191"/>
      <c r="AU524" s="191"/>
      <c r="AV524" s="191"/>
      <c r="AW524" s="191"/>
      <c r="AX524" s="191"/>
      <c r="AY524" s="191"/>
      <c r="AZ524" s="191"/>
      <c r="BA524" s="191"/>
      <c r="BB524" s="191"/>
      <c r="BC524" s="191"/>
      <c r="BD524" s="191"/>
      <c r="BE524" s="191"/>
      <c r="BF524" s="191"/>
      <c r="BG524" s="191"/>
      <c r="BH524" s="191"/>
      <c r="BI524" s="191"/>
      <c r="BJ524" s="191"/>
      <c r="BK524" s="191"/>
      <c r="BL524" s="191"/>
      <c r="BM524" s="191"/>
      <c r="BN524" s="191"/>
      <c r="BO524" s="191"/>
      <c r="BP524" s="191"/>
    </row>
    <row r="525" spans="11:68">
      <c r="K525" s="191"/>
      <c r="L525" s="191"/>
      <c r="M525" s="191"/>
      <c r="N525" s="191"/>
      <c r="O525" s="191"/>
      <c r="P525" s="191"/>
      <c r="Q525" s="191"/>
      <c r="R525" s="191"/>
      <c r="S525" s="191"/>
      <c r="T525" s="191"/>
      <c r="U525" s="191"/>
      <c r="V525" s="191"/>
      <c r="W525" s="191"/>
      <c r="X525" s="191"/>
      <c r="Y525" s="191"/>
      <c r="Z525" s="191"/>
      <c r="AA525" s="191"/>
      <c r="AB525" s="191"/>
      <c r="AC525" s="191"/>
      <c r="AD525" s="191"/>
      <c r="AE525" s="191"/>
      <c r="AF525" s="191"/>
      <c r="AG525" s="191"/>
      <c r="AH525" s="191"/>
      <c r="AI525" s="191"/>
      <c r="AJ525" s="191"/>
      <c r="AK525" s="191"/>
      <c r="AL525" s="191"/>
      <c r="AM525" s="191"/>
      <c r="AN525" s="191"/>
      <c r="AO525" s="191"/>
      <c r="AP525" s="191"/>
      <c r="AQ525" s="191"/>
      <c r="AR525" s="191"/>
      <c r="AS525" s="191"/>
      <c r="AT525" s="191"/>
      <c r="AU525" s="191"/>
      <c r="AV525" s="191"/>
      <c r="AW525" s="191"/>
      <c r="AX525" s="191"/>
      <c r="AY525" s="191"/>
      <c r="AZ525" s="191"/>
      <c r="BA525" s="191"/>
      <c r="BB525" s="191"/>
      <c r="BC525" s="191"/>
      <c r="BD525" s="191"/>
      <c r="BE525" s="191"/>
      <c r="BF525" s="191"/>
      <c r="BG525" s="191"/>
      <c r="BH525" s="191"/>
      <c r="BI525" s="191"/>
      <c r="BJ525" s="191"/>
      <c r="BK525" s="191"/>
      <c r="BL525" s="191"/>
      <c r="BM525" s="191"/>
      <c r="BN525" s="191"/>
      <c r="BO525" s="191"/>
      <c r="BP525" s="191"/>
    </row>
    <row r="526" spans="11:68">
      <c r="K526" s="191"/>
      <c r="L526" s="191"/>
      <c r="M526" s="191"/>
      <c r="N526" s="191"/>
      <c r="O526" s="191"/>
      <c r="P526" s="191"/>
      <c r="Q526" s="191"/>
      <c r="R526" s="191"/>
      <c r="S526" s="191"/>
      <c r="T526" s="191"/>
      <c r="U526" s="191"/>
      <c r="V526" s="191"/>
      <c r="W526" s="191"/>
      <c r="X526" s="191"/>
      <c r="Y526" s="191"/>
      <c r="Z526" s="191"/>
      <c r="AA526" s="191"/>
      <c r="AB526" s="191"/>
      <c r="AC526" s="191"/>
      <c r="AD526" s="191"/>
      <c r="AE526" s="191"/>
      <c r="AF526" s="191"/>
      <c r="AG526" s="191"/>
      <c r="AH526" s="191"/>
      <c r="AI526" s="191"/>
      <c r="AJ526" s="191"/>
      <c r="AK526" s="191"/>
      <c r="AL526" s="191"/>
      <c r="AM526" s="191"/>
      <c r="AN526" s="191"/>
      <c r="AO526" s="191"/>
      <c r="AP526" s="191"/>
      <c r="AQ526" s="191"/>
      <c r="AR526" s="191"/>
      <c r="AS526" s="191"/>
      <c r="AT526" s="191"/>
      <c r="AU526" s="191"/>
      <c r="AV526" s="191"/>
      <c r="AW526" s="191"/>
      <c r="AX526" s="191"/>
      <c r="AY526" s="191"/>
      <c r="AZ526" s="191"/>
      <c r="BA526" s="191"/>
      <c r="BB526" s="191"/>
      <c r="BC526" s="191"/>
      <c r="BD526" s="191"/>
      <c r="BE526" s="191"/>
      <c r="BF526" s="191"/>
      <c r="BG526" s="191"/>
      <c r="BH526" s="191"/>
      <c r="BI526" s="191"/>
      <c r="BJ526" s="191"/>
      <c r="BK526" s="191"/>
      <c r="BL526" s="191"/>
      <c r="BM526" s="191"/>
      <c r="BN526" s="191"/>
      <c r="BO526" s="191"/>
      <c r="BP526" s="191"/>
    </row>
    <row r="527" spans="11:68">
      <c r="K527" s="191"/>
      <c r="L527" s="191"/>
      <c r="M527" s="191"/>
      <c r="N527" s="191"/>
      <c r="O527" s="191"/>
      <c r="P527" s="191"/>
      <c r="Q527" s="191"/>
      <c r="R527" s="191"/>
      <c r="S527" s="191"/>
      <c r="T527" s="191"/>
      <c r="U527" s="191"/>
      <c r="V527" s="191"/>
      <c r="W527" s="191"/>
      <c r="X527" s="191"/>
      <c r="Y527" s="191"/>
      <c r="Z527" s="191"/>
      <c r="AA527" s="191"/>
      <c r="AB527" s="191"/>
      <c r="AC527" s="191"/>
      <c r="AD527" s="191"/>
      <c r="AE527" s="191"/>
      <c r="AF527" s="191"/>
      <c r="AG527" s="191"/>
      <c r="AH527" s="191"/>
      <c r="AI527" s="191"/>
      <c r="AJ527" s="191"/>
      <c r="AK527" s="191"/>
      <c r="AL527" s="191"/>
      <c r="AM527" s="191"/>
      <c r="AN527" s="191"/>
      <c r="AO527" s="191"/>
      <c r="AP527" s="191"/>
      <c r="AQ527" s="191"/>
      <c r="AR527" s="191"/>
      <c r="AS527" s="191"/>
      <c r="AT527" s="191"/>
      <c r="AU527" s="191"/>
      <c r="AV527" s="191"/>
      <c r="AW527" s="191"/>
      <c r="AX527" s="191"/>
      <c r="AY527" s="191"/>
      <c r="AZ527" s="191"/>
      <c r="BA527" s="191"/>
      <c r="BB527" s="191"/>
      <c r="BC527" s="191"/>
      <c r="BD527" s="191"/>
      <c r="BE527" s="191"/>
      <c r="BF527" s="191"/>
      <c r="BG527" s="191"/>
      <c r="BH527" s="191"/>
      <c r="BI527" s="191"/>
      <c r="BJ527" s="191"/>
      <c r="BK527" s="191"/>
      <c r="BL527" s="191"/>
      <c r="BM527" s="191"/>
      <c r="BN527" s="191"/>
      <c r="BO527" s="191"/>
      <c r="BP527" s="191"/>
    </row>
    <row r="528" spans="11:68">
      <c r="K528" s="191"/>
      <c r="L528" s="191"/>
      <c r="M528" s="191"/>
      <c r="N528" s="191"/>
      <c r="O528" s="191"/>
      <c r="P528" s="191"/>
      <c r="Q528" s="191"/>
      <c r="R528" s="191"/>
      <c r="S528" s="191"/>
      <c r="T528" s="191"/>
      <c r="U528" s="191"/>
      <c r="V528" s="191"/>
      <c r="W528" s="191"/>
      <c r="X528" s="191"/>
      <c r="Y528" s="191"/>
      <c r="Z528" s="191"/>
      <c r="AA528" s="191"/>
      <c r="AB528" s="191"/>
      <c r="AC528" s="191"/>
      <c r="AD528" s="191"/>
      <c r="AE528" s="191"/>
      <c r="AF528" s="191"/>
      <c r="AG528" s="191"/>
      <c r="AH528" s="191"/>
      <c r="AI528" s="191"/>
      <c r="AJ528" s="191"/>
      <c r="AK528" s="191"/>
      <c r="AL528" s="191"/>
      <c r="AM528" s="191"/>
      <c r="AN528" s="191"/>
      <c r="AO528" s="191"/>
      <c r="AP528" s="191"/>
      <c r="AQ528" s="191"/>
      <c r="AR528" s="191"/>
      <c r="AS528" s="191"/>
      <c r="AT528" s="191"/>
      <c r="AU528" s="191"/>
      <c r="AV528" s="191"/>
      <c r="AW528" s="191"/>
      <c r="AX528" s="191"/>
      <c r="AY528" s="191"/>
      <c r="AZ528" s="191"/>
      <c r="BA528" s="191"/>
      <c r="BB528" s="191"/>
      <c r="BC528" s="191"/>
      <c r="BD528" s="191"/>
      <c r="BE528" s="191"/>
      <c r="BF528" s="191"/>
      <c r="BG528" s="191"/>
      <c r="BH528" s="191"/>
      <c r="BI528" s="191"/>
      <c r="BJ528" s="191"/>
      <c r="BK528" s="191"/>
      <c r="BL528" s="191"/>
      <c r="BM528" s="191"/>
      <c r="BN528" s="191"/>
      <c r="BO528" s="191"/>
      <c r="BP528" s="191"/>
    </row>
    <row r="529" spans="11:68">
      <c r="K529" s="191"/>
      <c r="L529" s="191"/>
      <c r="M529" s="191"/>
      <c r="N529" s="191"/>
      <c r="O529" s="191"/>
      <c r="P529" s="191"/>
      <c r="Q529" s="191"/>
      <c r="R529" s="191"/>
      <c r="S529" s="191"/>
      <c r="T529" s="191"/>
      <c r="U529" s="191"/>
      <c r="V529" s="191"/>
      <c r="W529" s="191"/>
      <c r="X529" s="191"/>
      <c r="Y529" s="191"/>
      <c r="Z529" s="191"/>
      <c r="AA529" s="191"/>
      <c r="AB529" s="191"/>
      <c r="AC529" s="191"/>
      <c r="AD529" s="191"/>
      <c r="AE529" s="191"/>
      <c r="AF529" s="191"/>
      <c r="AG529" s="191"/>
      <c r="AH529" s="191"/>
      <c r="AI529" s="191"/>
      <c r="AJ529" s="191"/>
      <c r="AK529" s="191"/>
      <c r="AL529" s="191"/>
      <c r="AM529" s="191"/>
      <c r="AN529" s="191"/>
      <c r="AO529" s="191"/>
      <c r="AP529" s="191"/>
      <c r="AQ529" s="191"/>
      <c r="AR529" s="191"/>
      <c r="AS529" s="191"/>
      <c r="AT529" s="191"/>
      <c r="AU529" s="191"/>
      <c r="AV529" s="191"/>
      <c r="AW529" s="191"/>
      <c r="AX529" s="191"/>
      <c r="AY529" s="191"/>
      <c r="AZ529" s="191"/>
      <c r="BA529" s="191"/>
      <c r="BB529" s="191"/>
      <c r="BC529" s="191"/>
      <c r="BD529" s="191"/>
      <c r="BE529" s="191"/>
      <c r="BF529" s="191"/>
      <c r="BG529" s="191"/>
      <c r="BH529" s="191"/>
      <c r="BI529" s="191"/>
      <c r="BJ529" s="191"/>
      <c r="BK529" s="191"/>
      <c r="BL529" s="191"/>
      <c r="BM529" s="191"/>
      <c r="BN529" s="191"/>
      <c r="BO529" s="191"/>
      <c r="BP529" s="191"/>
    </row>
    <row r="530" spans="11:68">
      <c r="K530" s="191"/>
      <c r="L530" s="191"/>
      <c r="M530" s="191"/>
      <c r="N530" s="191"/>
      <c r="O530" s="191"/>
      <c r="P530" s="191"/>
      <c r="Q530" s="191"/>
      <c r="R530" s="191"/>
      <c r="S530" s="191"/>
      <c r="T530" s="191"/>
      <c r="U530" s="191"/>
      <c r="V530" s="191"/>
      <c r="W530" s="191"/>
      <c r="X530" s="191"/>
      <c r="Y530" s="191"/>
      <c r="Z530" s="191"/>
      <c r="AA530" s="191"/>
      <c r="AB530" s="191"/>
      <c r="AC530" s="191"/>
      <c r="AD530" s="191"/>
      <c r="AE530" s="191"/>
      <c r="AF530" s="191"/>
      <c r="AG530" s="191"/>
      <c r="AH530" s="191"/>
      <c r="AI530" s="191"/>
      <c r="AJ530" s="191"/>
      <c r="AK530" s="191"/>
      <c r="AL530" s="191"/>
      <c r="AM530" s="191"/>
      <c r="AN530" s="191"/>
      <c r="AO530" s="191"/>
      <c r="AP530" s="191"/>
      <c r="AQ530" s="191"/>
      <c r="AR530" s="191"/>
      <c r="AS530" s="191"/>
      <c r="AT530" s="191"/>
      <c r="AU530" s="191"/>
      <c r="AV530" s="191"/>
      <c r="AW530" s="191"/>
      <c r="AX530" s="191"/>
      <c r="AY530" s="191"/>
      <c r="AZ530" s="191"/>
      <c r="BA530" s="191"/>
      <c r="BB530" s="191"/>
      <c r="BC530" s="191"/>
      <c r="BD530" s="191"/>
      <c r="BE530" s="191"/>
      <c r="BF530" s="191"/>
      <c r="BG530" s="191"/>
      <c r="BH530" s="191"/>
      <c r="BI530" s="191"/>
      <c r="BJ530" s="191"/>
      <c r="BK530" s="191"/>
      <c r="BL530" s="191"/>
      <c r="BM530" s="191"/>
      <c r="BN530" s="191"/>
      <c r="BO530" s="191"/>
      <c r="BP530" s="191"/>
    </row>
    <row r="531" spans="11:68">
      <c r="K531" s="191"/>
      <c r="L531" s="191"/>
      <c r="M531" s="191"/>
      <c r="N531" s="191"/>
      <c r="O531" s="191"/>
      <c r="P531" s="191"/>
      <c r="Q531" s="191"/>
      <c r="R531" s="191"/>
      <c r="S531" s="191"/>
      <c r="T531" s="191"/>
      <c r="U531" s="191"/>
      <c r="V531" s="191"/>
      <c r="W531" s="191"/>
      <c r="X531" s="191"/>
      <c r="Y531" s="191"/>
      <c r="Z531" s="191"/>
      <c r="AA531" s="191"/>
      <c r="AB531" s="191"/>
      <c r="AC531" s="191"/>
      <c r="AD531" s="191"/>
      <c r="AE531" s="191"/>
      <c r="AF531" s="191"/>
      <c r="AG531" s="191"/>
      <c r="AH531" s="191"/>
      <c r="AI531" s="191"/>
      <c r="AJ531" s="191"/>
      <c r="AK531" s="191"/>
      <c r="AL531" s="191"/>
      <c r="AM531" s="191"/>
      <c r="AN531" s="191"/>
      <c r="AO531" s="191"/>
      <c r="AP531" s="191"/>
      <c r="AQ531" s="191"/>
      <c r="AR531" s="191"/>
      <c r="AS531" s="191"/>
      <c r="AT531" s="191"/>
      <c r="AU531" s="191"/>
      <c r="AV531" s="191"/>
      <c r="AW531" s="191"/>
      <c r="AX531" s="191"/>
      <c r="AY531" s="191"/>
      <c r="AZ531" s="191"/>
      <c r="BA531" s="191"/>
      <c r="BB531" s="191"/>
      <c r="BC531" s="191"/>
      <c r="BD531" s="191"/>
      <c r="BE531" s="191"/>
      <c r="BF531" s="191"/>
      <c r="BG531" s="191"/>
      <c r="BH531" s="191"/>
      <c r="BI531" s="191"/>
      <c r="BJ531" s="191"/>
      <c r="BK531" s="191"/>
      <c r="BL531" s="191"/>
      <c r="BM531" s="191"/>
      <c r="BN531" s="191"/>
      <c r="BO531" s="191"/>
      <c r="BP531" s="191"/>
    </row>
    <row r="532" spans="11:68">
      <c r="K532" s="191"/>
      <c r="L532" s="191"/>
      <c r="M532" s="191"/>
      <c r="N532" s="191"/>
      <c r="O532" s="191"/>
      <c r="P532" s="191"/>
      <c r="Q532" s="191"/>
      <c r="R532" s="191"/>
      <c r="S532" s="191"/>
      <c r="T532" s="191"/>
      <c r="U532" s="191"/>
      <c r="V532" s="191"/>
      <c r="W532" s="191"/>
      <c r="X532" s="191"/>
      <c r="Y532" s="191"/>
      <c r="Z532" s="191"/>
      <c r="AA532" s="191"/>
      <c r="AB532" s="191"/>
      <c r="AC532" s="191"/>
      <c r="AD532" s="191"/>
      <c r="AE532" s="191"/>
      <c r="AF532" s="191"/>
      <c r="AG532" s="191"/>
      <c r="AH532" s="191"/>
      <c r="AI532" s="191"/>
      <c r="AJ532" s="191"/>
      <c r="AK532" s="191"/>
      <c r="AL532" s="191"/>
      <c r="AM532" s="191"/>
      <c r="AN532" s="191"/>
      <c r="AO532" s="191"/>
      <c r="AP532" s="191"/>
      <c r="AQ532" s="191"/>
      <c r="AR532" s="191"/>
      <c r="AS532" s="191"/>
      <c r="AT532" s="191"/>
      <c r="AU532" s="191"/>
      <c r="AV532" s="191"/>
      <c r="AW532" s="191"/>
      <c r="AX532" s="191"/>
      <c r="AY532" s="191"/>
      <c r="AZ532" s="191"/>
      <c r="BA532" s="191"/>
      <c r="BB532" s="191"/>
      <c r="BC532" s="191"/>
      <c r="BD532" s="191"/>
      <c r="BE532" s="191"/>
      <c r="BF532" s="191"/>
      <c r="BG532" s="191"/>
      <c r="BH532" s="191"/>
      <c r="BI532" s="191"/>
      <c r="BJ532" s="191"/>
      <c r="BK532" s="191"/>
      <c r="BL532" s="191"/>
      <c r="BM532" s="191"/>
      <c r="BN532" s="191"/>
      <c r="BO532" s="191"/>
      <c r="BP532" s="191"/>
    </row>
    <row r="533" spans="11:68">
      <c r="K533" s="191"/>
      <c r="L533" s="191"/>
      <c r="M533" s="191"/>
      <c r="N533" s="191"/>
      <c r="O533" s="191"/>
      <c r="P533" s="191"/>
      <c r="Q533" s="191"/>
      <c r="R533" s="191"/>
      <c r="S533" s="191"/>
      <c r="T533" s="191"/>
      <c r="U533" s="191"/>
      <c r="V533" s="191"/>
      <c r="W533" s="191"/>
      <c r="X533" s="191"/>
      <c r="Y533" s="191"/>
      <c r="Z533" s="191"/>
      <c r="AA533" s="191"/>
      <c r="AB533" s="191"/>
      <c r="AC533" s="191"/>
      <c r="AD533" s="191"/>
      <c r="AE533" s="191"/>
      <c r="AF533" s="191"/>
      <c r="AG533" s="191"/>
      <c r="AH533" s="191"/>
      <c r="AI533" s="191"/>
      <c r="AJ533" s="191"/>
      <c r="AK533" s="191"/>
      <c r="AL533" s="191"/>
      <c r="AM533" s="191"/>
      <c r="AN533" s="191"/>
      <c r="AO533" s="191"/>
      <c r="AP533" s="191"/>
      <c r="AQ533" s="191"/>
      <c r="AR533" s="191"/>
      <c r="AS533" s="191"/>
      <c r="AT533" s="191"/>
      <c r="AU533" s="191"/>
      <c r="AV533" s="191"/>
      <c r="AW533" s="191"/>
      <c r="AX533" s="191"/>
      <c r="AY533" s="191"/>
      <c r="AZ533" s="191"/>
      <c r="BA533" s="191"/>
      <c r="BB533" s="191"/>
      <c r="BC533" s="191"/>
      <c r="BD533" s="191"/>
      <c r="BE533" s="191"/>
      <c r="BF533" s="191"/>
      <c r="BG533" s="191"/>
      <c r="BH533" s="191"/>
      <c r="BI533" s="191"/>
      <c r="BJ533" s="191"/>
      <c r="BK533" s="191"/>
      <c r="BL533" s="191"/>
      <c r="BM533" s="191"/>
      <c r="BN533" s="191"/>
      <c r="BO533" s="191"/>
      <c r="BP533" s="191"/>
    </row>
    <row r="534" spans="11:68">
      <c r="K534" s="191"/>
      <c r="L534" s="191"/>
      <c r="M534" s="191"/>
      <c r="N534" s="191"/>
      <c r="O534" s="191"/>
      <c r="P534" s="191"/>
      <c r="Q534" s="191"/>
      <c r="R534" s="191"/>
      <c r="S534" s="191"/>
      <c r="T534" s="191"/>
      <c r="U534" s="191"/>
      <c r="V534" s="191"/>
      <c r="W534" s="191"/>
      <c r="X534" s="191"/>
      <c r="Y534" s="191"/>
      <c r="Z534" s="191"/>
      <c r="AA534" s="191"/>
      <c r="AB534" s="191"/>
      <c r="AC534" s="191"/>
      <c r="AD534" s="191"/>
      <c r="AE534" s="191"/>
      <c r="AF534" s="191"/>
      <c r="AG534" s="191"/>
      <c r="AH534" s="191"/>
      <c r="AI534" s="191"/>
      <c r="AJ534" s="191"/>
      <c r="AK534" s="191"/>
      <c r="AL534" s="191"/>
      <c r="AM534" s="191"/>
      <c r="AN534" s="191"/>
      <c r="AO534" s="191"/>
      <c r="AP534" s="191"/>
      <c r="AQ534" s="191"/>
      <c r="AR534" s="191"/>
      <c r="AS534" s="191"/>
      <c r="AT534" s="191"/>
      <c r="AU534" s="191"/>
      <c r="AV534" s="191"/>
      <c r="AW534" s="191"/>
      <c r="AX534" s="191"/>
      <c r="AY534" s="191"/>
      <c r="AZ534" s="191"/>
      <c r="BA534" s="191"/>
      <c r="BB534" s="191"/>
      <c r="BC534" s="191"/>
      <c r="BD534" s="191"/>
      <c r="BE534" s="191"/>
      <c r="BF534" s="191"/>
      <c r="BG534" s="191"/>
      <c r="BH534" s="191"/>
      <c r="BI534" s="191"/>
      <c r="BJ534" s="191"/>
      <c r="BK534" s="191"/>
      <c r="BL534" s="191"/>
      <c r="BM534" s="191"/>
      <c r="BN534" s="191"/>
      <c r="BO534" s="191"/>
      <c r="BP534" s="191"/>
    </row>
    <row r="535" spans="11:68">
      <c r="K535" s="191"/>
      <c r="L535" s="191"/>
      <c r="M535" s="191"/>
      <c r="N535" s="191"/>
      <c r="O535" s="191"/>
      <c r="P535" s="191"/>
      <c r="Q535" s="191"/>
      <c r="R535" s="191"/>
      <c r="S535" s="191"/>
      <c r="T535" s="191"/>
      <c r="U535" s="191"/>
      <c r="V535" s="191"/>
      <c r="W535" s="191"/>
      <c r="X535" s="191"/>
      <c r="Y535" s="191"/>
      <c r="Z535" s="191"/>
      <c r="AA535" s="191"/>
      <c r="AB535" s="191"/>
      <c r="AC535" s="191"/>
      <c r="AD535" s="191"/>
      <c r="AE535" s="191"/>
      <c r="AF535" s="191"/>
      <c r="AG535" s="191"/>
      <c r="AH535" s="191"/>
      <c r="AI535" s="191"/>
      <c r="AJ535" s="191"/>
      <c r="AK535" s="191"/>
      <c r="AL535" s="191"/>
      <c r="AM535" s="191"/>
      <c r="AN535" s="191"/>
      <c r="AO535" s="191"/>
      <c r="AP535" s="191"/>
      <c r="AQ535" s="191"/>
      <c r="AR535" s="191"/>
      <c r="AS535" s="191"/>
      <c r="AT535" s="191"/>
      <c r="AU535" s="191"/>
      <c r="AV535" s="191"/>
      <c r="AW535" s="191"/>
      <c r="AX535" s="191"/>
      <c r="AY535" s="191"/>
      <c r="AZ535" s="191"/>
      <c r="BA535" s="191"/>
      <c r="BB535" s="191"/>
      <c r="BC535" s="191"/>
      <c r="BD535" s="191"/>
      <c r="BE535" s="191"/>
      <c r="BF535" s="191"/>
      <c r="BG535" s="191"/>
      <c r="BH535" s="191"/>
      <c r="BI535" s="191"/>
      <c r="BJ535" s="191"/>
      <c r="BK535" s="191"/>
      <c r="BL535" s="191"/>
      <c r="BM535" s="191"/>
      <c r="BN535" s="191"/>
      <c r="BO535" s="191"/>
      <c r="BP535" s="191"/>
    </row>
    <row r="536" spans="11:68">
      <c r="K536" s="191"/>
      <c r="L536" s="191"/>
      <c r="M536" s="191"/>
      <c r="N536" s="191"/>
      <c r="O536" s="191"/>
      <c r="P536" s="191"/>
      <c r="Q536" s="191"/>
      <c r="R536" s="191"/>
      <c r="S536" s="191"/>
      <c r="T536" s="191"/>
      <c r="U536" s="191"/>
      <c r="V536" s="191"/>
      <c r="W536" s="191"/>
      <c r="X536" s="191"/>
      <c r="Y536" s="191"/>
      <c r="Z536" s="191"/>
      <c r="AA536" s="191"/>
      <c r="AB536" s="191"/>
      <c r="AC536" s="191"/>
      <c r="AD536" s="191"/>
      <c r="AE536" s="191"/>
      <c r="AF536" s="191"/>
      <c r="AG536" s="191"/>
      <c r="AH536" s="191"/>
      <c r="AI536" s="191"/>
      <c r="AJ536" s="191"/>
      <c r="AK536" s="191"/>
      <c r="AL536" s="191"/>
      <c r="AM536" s="191"/>
      <c r="AN536" s="191"/>
      <c r="AO536" s="191"/>
      <c r="AP536" s="191"/>
      <c r="AQ536" s="191"/>
      <c r="AR536" s="191"/>
      <c r="AS536" s="191"/>
      <c r="AT536" s="191"/>
      <c r="AU536" s="191"/>
      <c r="AV536" s="191"/>
      <c r="AW536" s="191"/>
      <c r="AX536" s="191"/>
      <c r="AY536" s="191"/>
      <c r="AZ536" s="191"/>
      <c r="BA536" s="191"/>
      <c r="BB536" s="191"/>
      <c r="BC536" s="191"/>
      <c r="BD536" s="191"/>
      <c r="BE536" s="191"/>
      <c r="BF536" s="191"/>
      <c r="BG536" s="191"/>
      <c r="BH536" s="191"/>
      <c r="BI536" s="191"/>
      <c r="BJ536" s="191"/>
      <c r="BK536" s="191"/>
      <c r="BL536" s="191"/>
      <c r="BM536" s="191"/>
      <c r="BN536" s="191"/>
      <c r="BO536" s="191"/>
      <c r="BP536" s="191"/>
    </row>
    <row r="537" spans="11:68">
      <c r="K537" s="191"/>
      <c r="L537" s="191"/>
      <c r="M537" s="191"/>
      <c r="N537" s="191"/>
      <c r="O537" s="191"/>
      <c r="P537" s="191"/>
      <c r="Q537" s="191"/>
      <c r="R537" s="191"/>
      <c r="S537" s="191"/>
      <c r="T537" s="191"/>
      <c r="U537" s="191"/>
      <c r="V537" s="191"/>
      <c r="W537" s="191"/>
      <c r="X537" s="191"/>
      <c r="Y537" s="191"/>
      <c r="Z537" s="191"/>
      <c r="AA537" s="191"/>
      <c r="AB537" s="191"/>
      <c r="AC537" s="191"/>
      <c r="AD537" s="191"/>
      <c r="AE537" s="191"/>
      <c r="AF537" s="191"/>
      <c r="AG537" s="191"/>
      <c r="AH537" s="191"/>
      <c r="AI537" s="191"/>
      <c r="AJ537" s="191"/>
      <c r="AK537" s="191"/>
      <c r="AL537" s="191"/>
      <c r="AM537" s="191"/>
      <c r="AN537" s="191"/>
      <c r="AO537" s="191"/>
      <c r="AP537" s="191"/>
      <c r="AQ537" s="191"/>
      <c r="AR537" s="191"/>
      <c r="AS537" s="191"/>
      <c r="AT537" s="191"/>
      <c r="AU537" s="191"/>
      <c r="AV537" s="191"/>
      <c r="AW537" s="191"/>
      <c r="AX537" s="191"/>
      <c r="AY537" s="191"/>
      <c r="AZ537" s="191"/>
      <c r="BA537" s="191"/>
      <c r="BB537" s="191"/>
      <c r="BC537" s="191"/>
      <c r="BD537" s="191"/>
      <c r="BE537" s="191"/>
      <c r="BF537" s="191"/>
      <c r="BG537" s="191"/>
      <c r="BH537" s="191"/>
      <c r="BI537" s="191"/>
      <c r="BJ537" s="191"/>
      <c r="BK537" s="191"/>
      <c r="BL537" s="191"/>
      <c r="BM537" s="191"/>
      <c r="BN537" s="191"/>
      <c r="BO537" s="191"/>
      <c r="BP537" s="191"/>
    </row>
    <row r="538" spans="11:68">
      <c r="K538" s="191"/>
      <c r="L538" s="191"/>
      <c r="M538" s="191"/>
      <c r="N538" s="191"/>
      <c r="O538" s="191"/>
      <c r="P538" s="191"/>
      <c r="Q538" s="191"/>
      <c r="R538" s="191"/>
      <c r="S538" s="191"/>
      <c r="T538" s="191"/>
      <c r="U538" s="191"/>
      <c r="V538" s="191"/>
      <c r="W538" s="191"/>
      <c r="X538" s="191"/>
      <c r="Y538" s="191"/>
      <c r="Z538" s="191"/>
      <c r="AA538" s="191"/>
      <c r="AB538" s="191"/>
      <c r="AC538" s="191"/>
      <c r="AD538" s="191"/>
      <c r="AE538" s="191"/>
      <c r="AF538" s="191"/>
      <c r="AG538" s="191"/>
      <c r="AH538" s="191"/>
      <c r="AI538" s="191"/>
      <c r="AJ538" s="191"/>
      <c r="AK538" s="191"/>
      <c r="AL538" s="191"/>
      <c r="AM538" s="191"/>
      <c r="AN538" s="191"/>
      <c r="AO538" s="191"/>
      <c r="AP538" s="191"/>
      <c r="AQ538" s="191"/>
      <c r="AR538" s="191"/>
      <c r="AS538" s="191"/>
      <c r="AT538" s="191"/>
      <c r="AU538" s="191"/>
      <c r="AV538" s="191"/>
      <c r="AW538" s="191"/>
      <c r="AX538" s="191"/>
      <c r="AY538" s="191"/>
      <c r="AZ538" s="191"/>
      <c r="BA538" s="191"/>
      <c r="BB538" s="191"/>
      <c r="BC538" s="191"/>
      <c r="BD538" s="191"/>
      <c r="BE538" s="191"/>
      <c r="BF538" s="191"/>
      <c r="BG538" s="191"/>
      <c r="BH538" s="191"/>
      <c r="BI538" s="191"/>
      <c r="BJ538" s="191"/>
      <c r="BK538" s="191"/>
      <c r="BL538" s="191"/>
      <c r="BM538" s="191"/>
      <c r="BN538" s="191"/>
      <c r="BO538" s="191"/>
      <c r="BP538" s="191"/>
    </row>
    <row r="539" spans="11:68">
      <c r="K539" s="191"/>
      <c r="L539" s="191"/>
      <c r="M539" s="191"/>
      <c r="N539" s="191"/>
      <c r="O539" s="191"/>
      <c r="P539" s="191"/>
      <c r="Q539" s="191"/>
      <c r="R539" s="191"/>
      <c r="S539" s="191"/>
      <c r="T539" s="191"/>
      <c r="U539" s="191"/>
      <c r="V539" s="191"/>
      <c r="W539" s="191"/>
      <c r="X539" s="191"/>
      <c r="Y539" s="191"/>
      <c r="Z539" s="191"/>
      <c r="AA539" s="191"/>
      <c r="AB539" s="191"/>
      <c r="AC539" s="191"/>
      <c r="AD539" s="191"/>
      <c r="AE539" s="191"/>
      <c r="AF539" s="191"/>
      <c r="AG539" s="191"/>
      <c r="AH539" s="191"/>
      <c r="AI539" s="191"/>
      <c r="AJ539" s="191"/>
      <c r="AK539" s="191"/>
      <c r="AL539" s="191"/>
      <c r="AM539" s="191"/>
      <c r="AN539" s="191"/>
      <c r="AO539" s="191"/>
      <c r="AP539" s="191"/>
      <c r="AQ539" s="191"/>
      <c r="AR539" s="191"/>
      <c r="AS539" s="191"/>
      <c r="AT539" s="191"/>
      <c r="AU539" s="191"/>
      <c r="AV539" s="191"/>
      <c r="AW539" s="191"/>
      <c r="AX539" s="191"/>
      <c r="AY539" s="191"/>
      <c r="AZ539" s="191"/>
      <c r="BA539" s="191"/>
      <c r="BB539" s="191"/>
      <c r="BC539" s="191"/>
      <c r="BD539" s="191"/>
      <c r="BE539" s="191"/>
      <c r="BF539" s="191"/>
      <c r="BG539" s="191"/>
      <c r="BH539" s="191"/>
      <c r="BI539" s="191"/>
      <c r="BJ539" s="191"/>
      <c r="BK539" s="191"/>
      <c r="BL539" s="191"/>
      <c r="BM539" s="191"/>
      <c r="BN539" s="191"/>
      <c r="BO539" s="191"/>
      <c r="BP539" s="191"/>
    </row>
  </sheetData>
  <phoneticPr fontId="4" type="noConversion"/>
  <pageMargins left="1" right="0.75" top="0.98425196850393704" bottom="0" header="0" footer="0"/>
  <pageSetup scale="78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theme="7" tint="0.39997558519241921"/>
    <pageSetUpPr fitToPage="1"/>
  </sheetPr>
  <dimension ref="A1:T67"/>
  <sheetViews>
    <sheetView zoomScale="75" workbookViewId="0"/>
  </sheetViews>
  <sheetFormatPr defaultColWidth="8" defaultRowHeight="15"/>
  <cols>
    <col min="1" max="1" width="8" style="198" customWidth="1"/>
    <col min="2" max="2" width="20.44140625" style="198" customWidth="1"/>
    <col min="3" max="3" width="8" style="198" customWidth="1"/>
    <col min="4" max="4" width="10.44140625" style="198" customWidth="1"/>
    <col min="5" max="7" width="8" style="198" customWidth="1"/>
    <col min="8" max="8" width="12.44140625" style="198" customWidth="1"/>
    <col min="9" max="9" width="10" style="198" customWidth="1"/>
    <col min="10" max="10" width="18.44140625" style="198" customWidth="1"/>
    <col min="11" max="12" width="8" style="198" customWidth="1"/>
    <col min="13" max="13" width="2.44140625" style="198" customWidth="1"/>
    <col min="14" max="14" width="42.109375" style="198" customWidth="1"/>
    <col min="15" max="15" width="3.88671875" style="198" customWidth="1"/>
    <col min="16" max="16" width="16" style="198" customWidth="1"/>
    <col min="17" max="17" width="1.88671875" style="198" customWidth="1"/>
    <col min="18" max="18" width="18.109375" style="198" customWidth="1"/>
    <col min="19" max="19" width="2.33203125" style="198" customWidth="1"/>
    <col min="20" max="20" width="16.44140625" style="198" customWidth="1"/>
    <col min="21" max="16384" width="8" style="198"/>
  </cols>
  <sheetData>
    <row r="1" spans="1:11">
      <c r="A1" s="196" t="str">
        <f>LOGO!B5</f>
        <v>DUKE ENERGY KENTUCKY, INC.</v>
      </c>
      <c r="B1" s="197"/>
      <c r="C1" s="197"/>
      <c r="D1" s="197"/>
      <c r="E1" s="197"/>
      <c r="F1" s="197"/>
      <c r="G1" s="197"/>
      <c r="H1" s="197"/>
      <c r="I1" s="197"/>
      <c r="J1" s="197"/>
    </row>
    <row r="2" spans="1:11">
      <c r="A2" s="196" t="str">
        <f>LOGO!B6</f>
        <v>CASE NO. 2018-00261</v>
      </c>
      <c r="B2" s="197"/>
      <c r="C2" s="197"/>
      <c r="D2" s="197"/>
      <c r="E2" s="197"/>
      <c r="F2" s="197"/>
      <c r="G2" s="197"/>
      <c r="H2" s="197"/>
      <c r="I2" s="197"/>
      <c r="J2" s="197"/>
    </row>
    <row r="3" spans="1:11">
      <c r="A3" s="163" t="s">
        <v>1654</v>
      </c>
      <c r="B3" s="197"/>
      <c r="C3" s="197"/>
      <c r="D3" s="197"/>
      <c r="E3" s="197"/>
      <c r="F3" s="197"/>
      <c r="G3" s="197"/>
      <c r="H3" s="197"/>
      <c r="I3" s="197"/>
      <c r="J3" s="197"/>
    </row>
    <row r="4" spans="1:11">
      <c r="A4" s="163" t="str">
        <f>PeriodF</f>
        <v>FOR THE TWELVE MONTHS ENDED MARCH 31, 2020</v>
      </c>
      <c r="B4" s="197"/>
      <c r="C4" s="197"/>
      <c r="D4" s="197"/>
      <c r="E4" s="197"/>
      <c r="F4" s="197"/>
      <c r="G4" s="197"/>
      <c r="H4" s="197"/>
      <c r="I4" s="197"/>
      <c r="J4" s="197"/>
    </row>
    <row r="6" spans="1:11">
      <c r="A6" s="199" t="str">
        <f>Data</f>
        <v>DATA: "X" BASE PERIOD   FORECASTED PERIOD</v>
      </c>
      <c r="I6" s="200" t="s">
        <v>380</v>
      </c>
    </row>
    <row r="7" spans="1:11">
      <c r="A7" s="199" t="str">
        <f>LOGO!B15</f>
        <v xml:space="preserve">TYPE OF FILING:  "X" ORIGINAL   UPDATED    REVISED  </v>
      </c>
      <c r="I7" s="201" t="s">
        <v>564</v>
      </c>
    </row>
    <row r="8" spans="1:11">
      <c r="A8" s="201" t="s">
        <v>987</v>
      </c>
      <c r="I8" s="201" t="s">
        <v>566</v>
      </c>
    </row>
    <row r="9" spans="1:11">
      <c r="I9" s="201" t="str">
        <f>_WIT9</f>
        <v>R. H. PRATT</v>
      </c>
    </row>
    <row r="10" spans="1:11">
      <c r="A10" s="202"/>
      <c r="B10" s="202"/>
      <c r="C10" s="202"/>
      <c r="D10" s="202"/>
      <c r="E10" s="202"/>
      <c r="F10" s="202"/>
      <c r="G10" s="202"/>
      <c r="H10" s="202"/>
      <c r="I10" s="202"/>
      <c r="J10" s="202"/>
      <c r="K10" s="201"/>
    </row>
    <row r="12" spans="1:11">
      <c r="A12" s="201" t="s">
        <v>1942</v>
      </c>
      <c r="J12" s="203" t="s">
        <v>2098</v>
      </c>
    </row>
    <row r="13" spans="1:11">
      <c r="A13" s="202"/>
      <c r="B13" s="202"/>
      <c r="C13" s="202"/>
      <c r="D13" s="202"/>
      <c r="E13" s="202"/>
      <c r="F13" s="202"/>
      <c r="G13" s="202"/>
      <c r="H13" s="202"/>
      <c r="I13" s="202"/>
      <c r="J13" s="202"/>
      <c r="K13" s="201"/>
    </row>
    <row r="14" spans="1:11">
      <c r="J14" s="204"/>
    </row>
    <row r="15" spans="1:11">
      <c r="A15" s="1206" t="s">
        <v>3036</v>
      </c>
    </row>
    <row r="16" spans="1:11">
      <c r="A16" s="1206" t="s">
        <v>3037</v>
      </c>
    </row>
    <row r="17" spans="1:10">
      <c r="A17" s="201"/>
    </row>
    <row r="18" spans="1:10">
      <c r="A18" s="201"/>
    </row>
    <row r="19" spans="1:10">
      <c r="A19" s="201"/>
    </row>
    <row r="20" spans="1:10">
      <c r="A20" s="201"/>
      <c r="H20" s="204"/>
    </row>
    <row r="21" spans="1:10">
      <c r="A21" s="205"/>
      <c r="H21" s="206"/>
    </row>
    <row r="22" spans="1:10">
      <c r="A22" s="201" t="s">
        <v>534</v>
      </c>
      <c r="H22" s="204"/>
      <c r="J22" s="172">
        <f>T56</f>
        <v>-1531695</v>
      </c>
    </row>
    <row r="23" spans="1:10">
      <c r="A23" s="201"/>
      <c r="H23" s="204"/>
      <c r="J23" s="207"/>
    </row>
    <row r="24" spans="1:10">
      <c r="A24" s="198" t="s">
        <v>381</v>
      </c>
      <c r="H24" s="204"/>
      <c r="J24" s="174">
        <f ca="1">T58</f>
        <v>-7370202</v>
      </c>
    </row>
    <row r="26" spans="1:10">
      <c r="A26" s="201" t="s">
        <v>382</v>
      </c>
      <c r="I26" s="208"/>
      <c r="J26" s="172">
        <f ca="1">SUM(J22:J24)</f>
        <v>-8901897</v>
      </c>
    </row>
    <row r="27" spans="1:10">
      <c r="J27" s="208"/>
    </row>
    <row r="29" spans="1:10">
      <c r="A29" s="201" t="s">
        <v>349</v>
      </c>
      <c r="J29" s="209">
        <f>VLOOKUP(D36,ALLOCTABLE,2)/100</f>
        <v>1</v>
      </c>
    </row>
    <row r="30" spans="1:10">
      <c r="J30" s="208"/>
    </row>
    <row r="32" spans="1:10" ht="16.8">
      <c r="A32" s="201" t="s">
        <v>1934</v>
      </c>
      <c r="F32" s="201" t="s">
        <v>383</v>
      </c>
      <c r="I32" s="208"/>
      <c r="J32" s="210">
        <f ca="1">ROUND(J26*J29,0)</f>
        <v>-8901897</v>
      </c>
    </row>
    <row r="33" spans="1:20">
      <c r="J33" s="208"/>
    </row>
    <row r="36" spans="1:20">
      <c r="A36" s="201" t="s">
        <v>1935</v>
      </c>
      <c r="D36" s="211" t="s">
        <v>591</v>
      </c>
    </row>
    <row r="37" spans="1:20">
      <c r="A37" s="201"/>
    </row>
    <row r="46" spans="1:20">
      <c r="L46" s="181" t="str">
        <f>COMPANY</f>
        <v>DUKE ENERGY KENTUCKY, INC.</v>
      </c>
      <c r="M46" s="182"/>
      <c r="N46" s="182"/>
      <c r="O46" s="182"/>
      <c r="P46" s="182"/>
      <c r="Q46" s="182"/>
      <c r="R46" s="181" t="s">
        <v>1867</v>
      </c>
      <c r="S46" s="182"/>
      <c r="T46" s="165"/>
    </row>
    <row r="47" spans="1:20">
      <c r="L47" s="181" t="str">
        <f>DEPT</f>
        <v>GAS DEPARTMENT</v>
      </c>
      <c r="M47" s="182"/>
      <c r="N47" s="182"/>
      <c r="O47" s="182"/>
      <c r="P47" s="182"/>
      <c r="Q47" s="182"/>
      <c r="R47" s="181" t="s">
        <v>1937</v>
      </c>
      <c r="S47" s="182"/>
      <c r="T47" s="165"/>
    </row>
    <row r="48" spans="1:20">
      <c r="L48" s="181" t="str">
        <f>CASE</f>
        <v>CASE NO. 2018-00261</v>
      </c>
      <c r="M48" s="182"/>
      <c r="N48" s="182"/>
      <c r="O48" s="182"/>
      <c r="P48" s="182"/>
      <c r="Q48" s="182"/>
      <c r="R48" s="182" t="str">
        <f>_WIT9</f>
        <v>R. H. PRATT</v>
      </c>
      <c r="S48" s="182"/>
      <c r="T48" s="165"/>
    </row>
    <row r="49" spans="12:20">
      <c r="L49" s="181" t="s">
        <v>1868</v>
      </c>
      <c r="M49" s="182"/>
      <c r="N49" s="182"/>
      <c r="O49" s="182"/>
      <c r="P49" s="182"/>
      <c r="Q49" s="182"/>
      <c r="R49" s="183"/>
      <c r="S49" s="182"/>
      <c r="T49" s="165"/>
    </row>
    <row r="50" spans="12:20">
      <c r="L50" s="181"/>
      <c r="M50" s="182"/>
      <c r="N50" s="182"/>
      <c r="O50" s="182"/>
      <c r="P50" s="182"/>
      <c r="Q50" s="182"/>
      <c r="R50" s="182"/>
      <c r="S50" s="182"/>
      <c r="T50" s="165"/>
    </row>
    <row r="51" spans="12:20">
      <c r="L51" s="165"/>
      <c r="M51" s="165"/>
      <c r="N51" s="165"/>
      <c r="O51" s="165"/>
      <c r="P51" s="165"/>
      <c r="Q51" s="165"/>
      <c r="R51" s="165"/>
      <c r="S51" s="165"/>
      <c r="T51" s="165"/>
    </row>
    <row r="52" spans="12:20">
      <c r="L52" s="165"/>
      <c r="M52" s="165"/>
      <c r="N52" s="165"/>
      <c r="O52" s="165"/>
      <c r="P52" s="165"/>
      <c r="Q52" s="165"/>
      <c r="R52" s="165"/>
      <c r="S52" s="165"/>
      <c r="T52" s="165"/>
    </row>
    <row r="53" spans="12:20">
      <c r="L53" s="184" t="s">
        <v>1938</v>
      </c>
      <c r="M53" s="184"/>
      <c r="N53" s="184"/>
      <c r="O53" s="184"/>
      <c r="P53" s="184" t="s">
        <v>1986</v>
      </c>
      <c r="Q53" s="184"/>
      <c r="R53" s="1222" t="s">
        <v>1232</v>
      </c>
      <c r="S53" s="184"/>
      <c r="T53" s="184"/>
    </row>
    <row r="54" spans="12:20">
      <c r="L54" s="185" t="s">
        <v>1939</v>
      </c>
      <c r="M54" s="185"/>
      <c r="N54" s="185" t="s">
        <v>1988</v>
      </c>
      <c r="O54" s="185"/>
      <c r="P54" s="185" t="s">
        <v>1989</v>
      </c>
      <c r="Q54" s="185"/>
      <c r="R54" s="185" t="s">
        <v>1989</v>
      </c>
      <c r="S54" s="185"/>
      <c r="T54" s="185" t="s">
        <v>1940</v>
      </c>
    </row>
    <row r="55" spans="12:20">
      <c r="L55" s="165"/>
      <c r="M55" s="165"/>
      <c r="N55" s="165"/>
      <c r="O55" s="165"/>
      <c r="P55" s="165"/>
      <c r="Q55" s="165"/>
      <c r="R55" s="165"/>
      <c r="S55" s="165"/>
      <c r="T55" s="165"/>
    </row>
    <row r="56" spans="12:20">
      <c r="L56" s="184">
        <v>1</v>
      </c>
      <c r="M56" s="165"/>
      <c r="N56" s="201" t="s">
        <v>534</v>
      </c>
      <c r="O56" s="165"/>
      <c r="P56" s="178">
        <f>SCH_C2!E25</f>
        <v>1677312</v>
      </c>
      <c r="Q56" s="165"/>
      <c r="R56" s="178">
        <f>SCH_C2!H25</f>
        <v>145617</v>
      </c>
      <c r="S56" s="165"/>
      <c r="T56" s="178">
        <f>R56-P56</f>
        <v>-1531695</v>
      </c>
    </row>
    <row r="57" spans="12:20">
      <c r="L57" s="184">
        <v>2</v>
      </c>
      <c r="M57" s="165"/>
      <c r="N57" s="201"/>
      <c r="O57" s="165"/>
      <c r="P57" s="165"/>
      <c r="Q57" s="165"/>
      <c r="R57" s="165"/>
      <c r="S57" s="165"/>
      <c r="T57" s="165"/>
    </row>
    <row r="58" spans="12:20">
      <c r="L58" s="184">
        <v>3</v>
      </c>
      <c r="M58" s="165"/>
      <c r="N58" s="198" t="s">
        <v>381</v>
      </c>
      <c r="O58" s="165"/>
      <c r="P58" s="188">
        <f>SCH_C2!E30</f>
        <v>43784843</v>
      </c>
      <c r="Q58" s="165"/>
      <c r="R58" s="188">
        <f ca="1">SCH_C2!H30</f>
        <v>36414641</v>
      </c>
      <c r="S58" s="165"/>
      <c r="T58" s="188">
        <f ca="1">R58-P58</f>
        <v>-7370202</v>
      </c>
    </row>
    <row r="59" spans="12:20">
      <c r="L59" s="184">
        <v>4</v>
      </c>
      <c r="M59" s="165"/>
      <c r="O59" s="165"/>
      <c r="P59" s="165"/>
      <c r="Q59" s="165"/>
      <c r="R59" s="165"/>
      <c r="S59" s="165"/>
      <c r="T59" s="165"/>
    </row>
    <row r="60" spans="12:20" ht="15.6" thickBot="1">
      <c r="L60" s="184">
        <v>5</v>
      </c>
      <c r="M60" s="165"/>
      <c r="N60" s="212" t="s">
        <v>382</v>
      </c>
      <c r="O60" s="165"/>
      <c r="P60" s="190">
        <f>SUM(P56:P58)</f>
        <v>45462155</v>
      </c>
      <c r="Q60" s="165"/>
      <c r="R60" s="190">
        <f ca="1">SUM(R56:R58)</f>
        <v>36560258</v>
      </c>
      <c r="S60" s="165"/>
      <c r="T60" s="190">
        <f ca="1">SUM(T56:T58)</f>
        <v>-8901897</v>
      </c>
    </row>
    <row r="61" spans="12:20" ht="15.6" thickTop="1">
      <c r="L61" s="184"/>
      <c r="M61" s="165"/>
      <c r="N61" s="165"/>
      <c r="O61" s="165"/>
      <c r="P61" s="165"/>
      <c r="Q61" s="165"/>
      <c r="R61" s="165"/>
      <c r="S61" s="165"/>
      <c r="T61" s="165"/>
    </row>
    <row r="62" spans="12:20">
      <c r="L62" s="165"/>
      <c r="M62" s="165"/>
      <c r="N62" s="165"/>
      <c r="O62" s="165"/>
      <c r="P62" s="165"/>
      <c r="Q62" s="165"/>
      <c r="R62" s="165"/>
      <c r="S62" s="165"/>
      <c r="T62" s="165"/>
    </row>
    <row r="63" spans="12:20">
      <c r="L63" s="165"/>
      <c r="M63" s="165"/>
      <c r="N63" s="165"/>
      <c r="O63" s="165"/>
      <c r="P63" s="165"/>
      <c r="Q63" s="165"/>
      <c r="R63" s="165"/>
      <c r="S63" s="165"/>
      <c r="T63" s="165"/>
    </row>
    <row r="64" spans="12:20">
      <c r="L64" s="165"/>
      <c r="M64" s="165"/>
      <c r="N64" s="165"/>
      <c r="O64" s="165"/>
      <c r="P64" s="165"/>
      <c r="Q64" s="165"/>
      <c r="R64" s="165"/>
      <c r="S64" s="165"/>
      <c r="T64" s="184" t="s">
        <v>379</v>
      </c>
    </row>
    <row r="67" spans="18:18">
      <c r="R67" s="213"/>
    </row>
  </sheetData>
  <phoneticPr fontId="4" type="noConversion"/>
  <pageMargins left="1" right="0.75" top="0.78740157480314965" bottom="0" header="0" footer="0"/>
  <pageSetup scale="77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theme="7" tint="0.39997558519241921"/>
    <pageSetUpPr fitToPage="1"/>
  </sheetPr>
  <dimension ref="A1:T60"/>
  <sheetViews>
    <sheetView zoomScale="75" workbookViewId="0"/>
  </sheetViews>
  <sheetFormatPr defaultColWidth="8" defaultRowHeight="15"/>
  <cols>
    <col min="1" max="1" width="8" style="198" customWidth="1"/>
    <col min="2" max="2" width="20.44140625" style="198" customWidth="1"/>
    <col min="3" max="3" width="8" style="198" customWidth="1"/>
    <col min="4" max="4" width="10.44140625" style="198" customWidth="1"/>
    <col min="5" max="7" width="8" style="198" customWidth="1"/>
    <col min="8" max="8" width="12.44140625" style="198" customWidth="1"/>
    <col min="9" max="9" width="10" style="198" customWidth="1"/>
    <col min="10" max="10" width="18.44140625" style="198" customWidth="1"/>
    <col min="11" max="12" width="8" style="198" customWidth="1"/>
    <col min="13" max="13" width="2.44140625" style="198" customWidth="1"/>
    <col min="14" max="14" width="42.109375" style="198" customWidth="1"/>
    <col min="15" max="15" width="3.88671875" style="198" customWidth="1"/>
    <col min="16" max="16" width="16" style="198" customWidth="1"/>
    <col min="17" max="17" width="1.88671875" style="198" customWidth="1"/>
    <col min="18" max="18" width="18.109375" style="198" customWidth="1"/>
    <col min="19" max="19" width="2.33203125" style="198" customWidth="1"/>
    <col min="20" max="20" width="16.44140625" style="198" customWidth="1"/>
    <col min="21" max="16384" width="8" style="198"/>
  </cols>
  <sheetData>
    <row r="1" spans="1:11">
      <c r="A1" s="196" t="str">
        <f>LOGO!B5</f>
        <v>DUKE ENERGY KENTUCKY, INC.</v>
      </c>
      <c r="B1" s="197"/>
      <c r="C1" s="197"/>
      <c r="D1" s="197"/>
      <c r="E1" s="197"/>
      <c r="F1" s="197"/>
      <c r="G1" s="197"/>
      <c r="H1" s="197"/>
      <c r="I1" s="197"/>
      <c r="J1" s="197"/>
    </row>
    <row r="2" spans="1:11">
      <c r="A2" s="196" t="str">
        <f>LOGO!B6</f>
        <v>CASE NO. 2018-00261</v>
      </c>
      <c r="B2" s="197"/>
      <c r="C2" s="197"/>
      <c r="D2" s="197"/>
      <c r="E2" s="197"/>
      <c r="F2" s="197"/>
      <c r="G2" s="197"/>
      <c r="H2" s="197"/>
      <c r="I2" s="197"/>
      <c r="J2" s="197"/>
    </row>
    <row r="3" spans="1:11">
      <c r="A3" s="163" t="s">
        <v>1655</v>
      </c>
      <c r="B3" s="197"/>
      <c r="C3" s="197"/>
      <c r="D3" s="197"/>
      <c r="E3" s="197"/>
      <c r="F3" s="197"/>
      <c r="G3" s="197"/>
      <c r="H3" s="197"/>
      <c r="I3" s="197"/>
      <c r="J3" s="197"/>
    </row>
    <row r="4" spans="1:11">
      <c r="A4" s="163" t="str">
        <f>PeriodF</f>
        <v>FOR THE TWELVE MONTHS ENDED MARCH 31, 2020</v>
      </c>
      <c r="B4" s="197"/>
      <c r="C4" s="197"/>
      <c r="D4" s="197"/>
      <c r="E4" s="197"/>
      <c r="F4" s="197"/>
      <c r="G4" s="197"/>
      <c r="H4" s="197"/>
      <c r="I4" s="197"/>
      <c r="J4" s="197"/>
    </row>
    <row r="6" spans="1:11">
      <c r="A6" s="199" t="str">
        <f>Data</f>
        <v>DATA: "X" BASE PERIOD   FORECASTED PERIOD</v>
      </c>
      <c r="I6" s="200" t="s">
        <v>1869</v>
      </c>
    </row>
    <row r="7" spans="1:11">
      <c r="A7" s="199" t="str">
        <f>LOGO!B15</f>
        <v xml:space="preserve">TYPE OF FILING:  "X" ORIGINAL   UPDATED    REVISED  </v>
      </c>
      <c r="I7" s="201" t="s">
        <v>564</v>
      </c>
    </row>
    <row r="8" spans="1:11">
      <c r="A8" s="201" t="s">
        <v>988</v>
      </c>
      <c r="I8" s="201" t="s">
        <v>566</v>
      </c>
    </row>
    <row r="9" spans="1:11">
      <c r="I9" s="201" t="str">
        <f>_WIT9</f>
        <v>R. H. PRATT</v>
      </c>
    </row>
    <row r="10" spans="1:11">
      <c r="A10" s="202"/>
      <c r="B10" s="202"/>
      <c r="C10" s="202"/>
      <c r="D10" s="202"/>
      <c r="E10" s="202"/>
      <c r="F10" s="202"/>
      <c r="G10" s="202"/>
      <c r="H10" s="202"/>
      <c r="I10" s="202"/>
      <c r="J10" s="202"/>
      <c r="K10" s="201"/>
    </row>
    <row r="12" spans="1:11">
      <c r="A12" s="201" t="s">
        <v>1942</v>
      </c>
      <c r="J12" s="203" t="s">
        <v>2098</v>
      </c>
    </row>
    <row r="13" spans="1:11">
      <c r="A13" s="202"/>
      <c r="B13" s="202"/>
      <c r="C13" s="202"/>
      <c r="D13" s="202"/>
      <c r="E13" s="202"/>
      <c r="F13" s="202"/>
      <c r="G13" s="202"/>
      <c r="H13" s="202"/>
      <c r="I13" s="202"/>
      <c r="J13" s="202"/>
      <c r="K13" s="201"/>
    </row>
    <row r="14" spans="1:11">
      <c r="J14" s="204"/>
    </row>
    <row r="15" spans="1:11">
      <c r="A15" s="66" t="s">
        <v>1870</v>
      </c>
    </row>
    <row r="16" spans="1:11">
      <c r="A16" s="66" t="s">
        <v>1239</v>
      </c>
    </row>
    <row r="17" spans="1:10">
      <c r="A17" s="201"/>
    </row>
    <row r="18" spans="1:10">
      <c r="A18" s="201"/>
    </row>
    <row r="19" spans="1:10">
      <c r="A19" s="201"/>
    </row>
    <row r="20" spans="1:10">
      <c r="A20" s="201"/>
      <c r="H20" s="204"/>
    </row>
    <row r="21" spans="1:10">
      <c r="A21" s="205"/>
      <c r="H21" s="206"/>
    </row>
    <row r="23" spans="1:10">
      <c r="A23" s="201" t="s">
        <v>1871</v>
      </c>
      <c r="I23" s="208"/>
      <c r="J23" s="172">
        <f ca="1">T53</f>
        <v>839469</v>
      </c>
    </row>
    <row r="24" spans="1:10">
      <c r="J24" s="208"/>
    </row>
    <row r="26" spans="1:10">
      <c r="A26" s="201" t="s">
        <v>349</v>
      </c>
      <c r="J26" s="209">
        <f>VLOOKUP(D33,ALLOCTABLE,2)/100</f>
        <v>1</v>
      </c>
    </row>
    <row r="27" spans="1:10">
      <c r="J27" s="208"/>
    </row>
    <row r="29" spans="1:10" ht="16.8">
      <c r="A29" s="201" t="s">
        <v>1934</v>
      </c>
      <c r="F29" s="201" t="s">
        <v>383</v>
      </c>
      <c r="I29" s="208"/>
      <c r="J29" s="210">
        <f ca="1">ROUND(J23*J26,0)</f>
        <v>839469</v>
      </c>
    </row>
    <row r="30" spans="1:10">
      <c r="J30" s="208"/>
    </row>
    <row r="33" spans="1:20">
      <c r="A33" s="201" t="s">
        <v>1935</v>
      </c>
      <c r="D33" s="211" t="s">
        <v>591</v>
      </c>
    </row>
    <row r="34" spans="1:20">
      <c r="A34" s="201"/>
    </row>
    <row r="43" spans="1:20">
      <c r="L43" s="181" t="str">
        <f>COMPANY</f>
        <v>DUKE ENERGY KENTUCKY, INC.</v>
      </c>
      <c r="M43" s="182"/>
      <c r="N43" s="182"/>
      <c r="O43" s="182"/>
      <c r="P43" s="182"/>
      <c r="Q43" s="182"/>
      <c r="R43" s="181" t="s">
        <v>1872</v>
      </c>
      <c r="S43" s="182"/>
      <c r="T43" s="165"/>
    </row>
    <row r="44" spans="1:20">
      <c r="L44" s="181" t="str">
        <f>DEPT</f>
        <v>GAS DEPARTMENT</v>
      </c>
      <c r="M44" s="182"/>
      <c r="N44" s="182"/>
      <c r="O44" s="182"/>
      <c r="P44" s="182"/>
      <c r="Q44" s="182"/>
      <c r="R44" s="181" t="s">
        <v>1937</v>
      </c>
      <c r="S44" s="182"/>
      <c r="T44" s="165"/>
    </row>
    <row r="45" spans="1:20">
      <c r="L45" s="181" t="str">
        <f>CASE</f>
        <v>CASE NO. 2018-00261</v>
      </c>
      <c r="M45" s="182"/>
      <c r="N45" s="182"/>
      <c r="O45" s="182"/>
      <c r="P45" s="182"/>
      <c r="Q45" s="182"/>
      <c r="R45" s="182" t="str">
        <f>_WIT9</f>
        <v>R. H. PRATT</v>
      </c>
      <c r="S45" s="182"/>
      <c r="T45" s="165"/>
    </row>
    <row r="46" spans="1:20">
      <c r="L46" s="181" t="s">
        <v>1873</v>
      </c>
      <c r="M46" s="182"/>
      <c r="N46" s="182"/>
      <c r="O46" s="182"/>
      <c r="P46" s="182"/>
      <c r="Q46" s="182"/>
      <c r="R46" s="183"/>
      <c r="S46" s="182"/>
      <c r="T46" s="165"/>
    </row>
    <row r="47" spans="1:20">
      <c r="L47" s="181"/>
      <c r="M47" s="182"/>
      <c r="N47" s="182"/>
      <c r="O47" s="182"/>
      <c r="P47" s="182"/>
      <c r="Q47" s="182"/>
      <c r="R47" s="182"/>
      <c r="S47" s="182"/>
      <c r="T47" s="165"/>
    </row>
    <row r="48" spans="1:20">
      <c r="L48" s="165"/>
      <c r="M48" s="165"/>
      <c r="N48" s="165"/>
      <c r="O48" s="165"/>
      <c r="P48" s="165"/>
      <c r="Q48" s="165"/>
      <c r="R48" s="165"/>
      <c r="S48" s="165"/>
      <c r="T48" s="165"/>
    </row>
    <row r="49" spans="12:20">
      <c r="L49" s="165"/>
      <c r="M49" s="165"/>
      <c r="N49" s="165"/>
      <c r="O49" s="165"/>
      <c r="P49" s="165"/>
      <c r="Q49" s="165"/>
      <c r="R49" s="165"/>
      <c r="S49" s="165"/>
      <c r="T49" s="165"/>
    </row>
    <row r="50" spans="12:20">
      <c r="L50" s="184" t="s">
        <v>1938</v>
      </c>
      <c r="M50" s="184"/>
      <c r="N50" s="184"/>
      <c r="O50" s="184"/>
      <c r="P50" s="184" t="s">
        <v>1986</v>
      </c>
      <c r="Q50" s="184"/>
      <c r="R50" s="1222" t="s">
        <v>1232</v>
      </c>
      <c r="S50" s="184"/>
      <c r="T50" s="184"/>
    </row>
    <row r="51" spans="12:20">
      <c r="L51" s="185" t="s">
        <v>1939</v>
      </c>
      <c r="M51" s="185"/>
      <c r="N51" s="185" t="s">
        <v>1988</v>
      </c>
      <c r="O51" s="185"/>
      <c r="P51" s="185" t="s">
        <v>1989</v>
      </c>
      <c r="Q51" s="185"/>
      <c r="R51" s="185" t="s">
        <v>1989</v>
      </c>
      <c r="S51" s="185"/>
      <c r="T51" s="185" t="s">
        <v>1940</v>
      </c>
    </row>
    <row r="52" spans="12:20">
      <c r="L52" s="165"/>
      <c r="M52" s="165"/>
      <c r="N52" s="165"/>
      <c r="O52" s="165"/>
      <c r="P52" s="165"/>
      <c r="Q52" s="165"/>
      <c r="R52" s="165"/>
      <c r="S52" s="165"/>
      <c r="T52" s="165"/>
    </row>
    <row r="53" spans="12:20" ht="15.6" thickBot="1">
      <c r="L53" s="184">
        <v>1</v>
      </c>
      <c r="M53" s="165"/>
      <c r="N53" s="201" t="s">
        <v>1871</v>
      </c>
      <c r="O53" s="165"/>
      <c r="P53" s="190">
        <f>SCH_C2!E26</f>
        <v>370537</v>
      </c>
      <c r="Q53" s="165"/>
      <c r="R53" s="190">
        <f ca="1">SCH_C2!H26</f>
        <v>1210006</v>
      </c>
      <c r="S53" s="165"/>
      <c r="T53" s="190">
        <f ca="1">R53-P53</f>
        <v>839469</v>
      </c>
    </row>
    <row r="54" spans="12:20" ht="15.6" thickTop="1">
      <c r="L54" s="184"/>
      <c r="M54" s="165"/>
      <c r="N54" s="165"/>
      <c r="O54" s="165"/>
      <c r="P54" s="165"/>
      <c r="Q54" s="165"/>
      <c r="R54" s="165"/>
      <c r="S54" s="165"/>
      <c r="T54" s="165"/>
    </row>
    <row r="55" spans="12:20">
      <c r="L55" s="165"/>
      <c r="M55" s="165"/>
      <c r="N55" s="165"/>
      <c r="O55" s="165"/>
      <c r="P55" s="165"/>
      <c r="Q55" s="165"/>
      <c r="R55" s="165"/>
      <c r="S55" s="165"/>
      <c r="T55" s="165"/>
    </row>
    <row r="56" spans="12:20">
      <c r="L56" s="165"/>
      <c r="M56" s="165"/>
      <c r="N56" s="165"/>
      <c r="O56" s="165"/>
      <c r="P56" s="165"/>
      <c r="Q56" s="165"/>
      <c r="R56" s="165"/>
      <c r="S56" s="165"/>
      <c r="T56" s="165"/>
    </row>
    <row r="57" spans="12:20">
      <c r="L57" s="165"/>
      <c r="M57" s="165"/>
      <c r="N57" s="165"/>
      <c r="O57" s="165"/>
      <c r="P57" s="165"/>
      <c r="Q57" s="165"/>
      <c r="R57" s="165"/>
      <c r="S57" s="165"/>
      <c r="T57" s="184" t="s">
        <v>379</v>
      </c>
    </row>
    <row r="60" spans="12:20">
      <c r="R60" s="213"/>
    </row>
  </sheetData>
  <phoneticPr fontId="4" type="noConversion"/>
  <pageMargins left="1" right="0.75" top="0.78740157480314965" bottom="0" header="0" footer="0"/>
  <pageSetup scale="77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theme="7" tint="0.39997558519241921"/>
    <pageSetUpPr fitToPage="1"/>
  </sheetPr>
  <dimension ref="A1:T60"/>
  <sheetViews>
    <sheetView zoomScale="75" workbookViewId="0"/>
  </sheetViews>
  <sheetFormatPr defaultColWidth="8" defaultRowHeight="15"/>
  <cols>
    <col min="1" max="1" width="8" style="198" customWidth="1"/>
    <col min="2" max="2" width="20.44140625" style="198" customWidth="1"/>
    <col min="3" max="3" width="8" style="198" customWidth="1"/>
    <col min="4" max="4" width="10.44140625" style="198" customWidth="1"/>
    <col min="5" max="7" width="8" style="198" customWidth="1"/>
    <col min="8" max="8" width="12.44140625" style="198" customWidth="1"/>
    <col min="9" max="9" width="10" style="198" customWidth="1"/>
    <col min="10" max="10" width="18.44140625" style="198" customWidth="1"/>
    <col min="11" max="12" width="8" style="198" customWidth="1"/>
    <col min="13" max="13" width="2.44140625" style="198" customWidth="1"/>
    <col min="14" max="14" width="42.109375" style="198" customWidth="1"/>
    <col min="15" max="15" width="3.88671875" style="198" customWidth="1"/>
    <col min="16" max="16" width="16" style="198" customWidth="1"/>
    <col min="17" max="17" width="1.88671875" style="198" customWidth="1"/>
    <col min="18" max="18" width="18.109375" style="198" customWidth="1"/>
    <col min="19" max="19" width="2.33203125" style="198" customWidth="1"/>
    <col min="20" max="20" width="18.6640625" style="198" customWidth="1"/>
    <col min="21" max="16384" width="8" style="198"/>
  </cols>
  <sheetData>
    <row r="1" spans="1:11">
      <c r="A1" s="196" t="str">
        <f>LOGO!B5</f>
        <v>DUKE ENERGY KENTUCKY, INC.</v>
      </c>
      <c r="B1" s="197"/>
      <c r="C1" s="197"/>
      <c r="D1" s="197"/>
      <c r="E1" s="197"/>
      <c r="F1" s="197"/>
      <c r="G1" s="197"/>
      <c r="H1" s="197"/>
      <c r="I1" s="197"/>
      <c r="J1" s="197"/>
    </row>
    <row r="2" spans="1:11">
      <c r="A2" s="196" t="str">
        <f>LOGO!B6</f>
        <v>CASE NO. 2018-00261</v>
      </c>
      <c r="B2" s="197"/>
      <c r="C2" s="197"/>
      <c r="D2" s="197"/>
      <c r="E2" s="197"/>
      <c r="F2" s="197"/>
      <c r="G2" s="197"/>
      <c r="H2" s="197"/>
      <c r="I2" s="197"/>
      <c r="J2" s="197"/>
    </row>
    <row r="3" spans="1:11">
      <c r="A3" s="163" t="s">
        <v>1656</v>
      </c>
      <c r="B3" s="197"/>
      <c r="C3" s="197"/>
      <c r="D3" s="197"/>
      <c r="E3" s="197"/>
      <c r="F3" s="197"/>
      <c r="G3" s="197"/>
      <c r="H3" s="197"/>
      <c r="I3" s="197"/>
      <c r="J3" s="197"/>
    </row>
    <row r="4" spans="1:11">
      <c r="A4" s="163" t="str">
        <f>PeriodF</f>
        <v>FOR THE TWELVE MONTHS ENDED MARCH 31, 2020</v>
      </c>
      <c r="B4" s="197"/>
      <c r="C4" s="197"/>
      <c r="D4" s="197"/>
      <c r="E4" s="197"/>
      <c r="F4" s="197"/>
      <c r="G4" s="197"/>
      <c r="H4" s="197"/>
      <c r="I4" s="197"/>
      <c r="J4" s="197"/>
    </row>
    <row r="6" spans="1:11">
      <c r="A6" s="199" t="str">
        <f>Data</f>
        <v>DATA: "X" BASE PERIOD   FORECASTED PERIOD</v>
      </c>
      <c r="I6" s="200" t="s">
        <v>1874</v>
      </c>
    </row>
    <row r="7" spans="1:11">
      <c r="A7" s="199" t="str">
        <f>LOGO!B15</f>
        <v xml:space="preserve">TYPE OF FILING:  "X" ORIGINAL   UPDATED    REVISED  </v>
      </c>
      <c r="I7" s="201" t="s">
        <v>564</v>
      </c>
    </row>
    <row r="8" spans="1:11">
      <c r="A8" s="201" t="s">
        <v>989</v>
      </c>
      <c r="I8" s="201" t="s">
        <v>566</v>
      </c>
    </row>
    <row r="9" spans="1:11">
      <c r="I9" s="201" t="str">
        <f>_WIT9</f>
        <v>R. H. PRATT</v>
      </c>
    </row>
    <row r="10" spans="1:11">
      <c r="A10" s="202"/>
      <c r="B10" s="202"/>
      <c r="C10" s="202"/>
      <c r="D10" s="202"/>
      <c r="E10" s="202"/>
      <c r="F10" s="202"/>
      <c r="G10" s="202"/>
      <c r="H10" s="202"/>
      <c r="I10" s="202"/>
      <c r="J10" s="202"/>
      <c r="K10" s="201"/>
    </row>
    <row r="12" spans="1:11">
      <c r="A12" s="201" t="s">
        <v>1942</v>
      </c>
      <c r="J12" s="203" t="s">
        <v>2098</v>
      </c>
    </row>
    <row r="13" spans="1:11">
      <c r="A13" s="202"/>
      <c r="B13" s="202"/>
      <c r="C13" s="202"/>
      <c r="D13" s="202"/>
      <c r="E13" s="202"/>
      <c r="F13" s="202"/>
      <c r="G13" s="202"/>
      <c r="H13" s="202"/>
      <c r="I13" s="202"/>
      <c r="J13" s="202"/>
      <c r="K13" s="201"/>
    </row>
    <row r="14" spans="1:11">
      <c r="J14" s="204"/>
    </row>
    <row r="15" spans="1:11">
      <c r="A15" s="66" t="s">
        <v>1875</v>
      </c>
    </row>
    <row r="16" spans="1:11">
      <c r="A16" s="66" t="s">
        <v>1239</v>
      </c>
    </row>
    <row r="17" spans="1:10">
      <c r="A17" s="201"/>
    </row>
    <row r="18" spans="1:10">
      <c r="A18" s="201"/>
    </row>
    <row r="19" spans="1:10">
      <c r="A19" s="201"/>
    </row>
    <row r="20" spans="1:10">
      <c r="A20" s="201"/>
      <c r="H20" s="204"/>
    </row>
    <row r="21" spans="1:10">
      <c r="A21" s="205"/>
      <c r="H21" s="206"/>
    </row>
    <row r="23" spans="1:10">
      <c r="A23" s="201" t="s">
        <v>1270</v>
      </c>
      <c r="I23" s="208"/>
      <c r="J23" s="172">
        <f>T53</f>
        <v>-671111</v>
      </c>
    </row>
    <row r="24" spans="1:10">
      <c r="J24" s="208"/>
    </row>
    <row r="26" spans="1:10">
      <c r="A26" s="201" t="s">
        <v>349</v>
      </c>
      <c r="J26" s="209">
        <f>VLOOKUP(D33,ALLOCTABLE,2)/100</f>
        <v>1</v>
      </c>
    </row>
    <row r="27" spans="1:10">
      <c r="J27" s="208"/>
    </row>
    <row r="29" spans="1:10" ht="16.8">
      <c r="A29" s="201" t="s">
        <v>1934</v>
      </c>
      <c r="F29" s="201" t="s">
        <v>383</v>
      </c>
      <c r="I29" s="208"/>
      <c r="J29" s="210">
        <f>ROUND(J23*J26,0)</f>
        <v>-671111</v>
      </c>
    </row>
    <row r="30" spans="1:10">
      <c r="J30" s="208"/>
    </row>
    <row r="33" spans="1:20">
      <c r="A33" s="201" t="s">
        <v>1935</v>
      </c>
      <c r="D33" s="211" t="s">
        <v>591</v>
      </c>
    </row>
    <row r="34" spans="1:20">
      <c r="A34" s="201"/>
    </row>
    <row r="43" spans="1:20">
      <c r="L43" s="181" t="str">
        <f>COMPANY</f>
        <v>DUKE ENERGY KENTUCKY, INC.</v>
      </c>
      <c r="M43" s="182"/>
      <c r="N43" s="182"/>
      <c r="O43" s="182"/>
      <c r="P43" s="182"/>
      <c r="Q43" s="182"/>
      <c r="R43" s="181" t="s">
        <v>1876</v>
      </c>
      <c r="S43" s="182"/>
      <c r="T43" s="165"/>
    </row>
    <row r="44" spans="1:20">
      <c r="L44" s="181" t="str">
        <f>DEPT</f>
        <v>GAS DEPARTMENT</v>
      </c>
      <c r="M44" s="182"/>
      <c r="N44" s="182"/>
      <c r="O44" s="182"/>
      <c r="P44" s="182"/>
      <c r="Q44" s="182"/>
      <c r="R44" s="181" t="s">
        <v>1937</v>
      </c>
      <c r="S44" s="182"/>
      <c r="T44" s="165"/>
    </row>
    <row r="45" spans="1:20">
      <c r="L45" s="181" t="str">
        <f>CASE</f>
        <v>CASE NO. 2018-00261</v>
      </c>
      <c r="M45" s="182"/>
      <c r="N45" s="182"/>
      <c r="O45" s="182"/>
      <c r="P45" s="182"/>
      <c r="Q45" s="182"/>
      <c r="R45" s="182" t="str">
        <f>_WIT9</f>
        <v>R. H. PRATT</v>
      </c>
      <c r="S45" s="182"/>
      <c r="T45" s="165"/>
    </row>
    <row r="46" spans="1:20">
      <c r="L46" s="181" t="s">
        <v>1877</v>
      </c>
      <c r="M46" s="182"/>
      <c r="N46" s="182"/>
      <c r="O46" s="182"/>
      <c r="P46" s="182"/>
      <c r="Q46" s="182"/>
      <c r="R46" s="183"/>
      <c r="S46" s="182"/>
      <c r="T46" s="165"/>
    </row>
    <row r="47" spans="1:20">
      <c r="L47" s="181"/>
      <c r="M47" s="182"/>
      <c r="N47" s="182"/>
      <c r="O47" s="182"/>
      <c r="P47" s="182"/>
      <c r="Q47" s="182"/>
      <c r="R47" s="182"/>
      <c r="S47" s="182"/>
      <c r="T47" s="165"/>
    </row>
    <row r="48" spans="1:20">
      <c r="L48" s="165"/>
      <c r="M48" s="165"/>
      <c r="N48" s="165"/>
      <c r="O48" s="165"/>
      <c r="P48" s="165"/>
      <c r="Q48" s="165"/>
      <c r="R48" s="165"/>
      <c r="S48" s="165"/>
      <c r="T48" s="165"/>
    </row>
    <row r="49" spans="12:20">
      <c r="L49" s="165"/>
      <c r="M49" s="165"/>
      <c r="N49" s="165"/>
      <c r="O49" s="165"/>
      <c r="P49" s="165"/>
      <c r="Q49" s="165"/>
      <c r="R49" s="165"/>
      <c r="S49" s="165"/>
      <c r="T49" s="165"/>
    </row>
    <row r="50" spans="12:20">
      <c r="L50" s="184" t="s">
        <v>1938</v>
      </c>
      <c r="M50" s="184"/>
      <c r="N50" s="184"/>
      <c r="O50" s="184"/>
      <c r="P50" s="184" t="s">
        <v>1986</v>
      </c>
      <c r="Q50" s="184"/>
      <c r="R50" s="1222" t="s">
        <v>1232</v>
      </c>
      <c r="S50" s="184"/>
      <c r="T50" s="184"/>
    </row>
    <row r="51" spans="12:20">
      <c r="L51" s="185" t="s">
        <v>1939</v>
      </c>
      <c r="M51" s="185"/>
      <c r="N51" s="185" t="s">
        <v>1988</v>
      </c>
      <c r="O51" s="185"/>
      <c r="P51" s="185" t="s">
        <v>1989</v>
      </c>
      <c r="Q51" s="185"/>
      <c r="R51" s="185" t="s">
        <v>1989</v>
      </c>
      <c r="S51" s="185"/>
      <c r="T51" s="185" t="s">
        <v>1940</v>
      </c>
    </row>
    <row r="52" spans="12:20">
      <c r="L52" s="165"/>
      <c r="M52" s="165"/>
      <c r="N52" s="165"/>
      <c r="O52" s="165"/>
      <c r="P52" s="165"/>
      <c r="Q52" s="165"/>
      <c r="R52" s="165"/>
      <c r="S52" s="165"/>
      <c r="T52" s="165"/>
    </row>
    <row r="53" spans="12:20" ht="15.6" thickBot="1">
      <c r="L53" s="184">
        <v>1</v>
      </c>
      <c r="M53" s="165"/>
      <c r="N53" s="201" t="s">
        <v>1270</v>
      </c>
      <c r="O53" s="165"/>
      <c r="P53" s="190">
        <f>SCH_C2!E31</f>
        <v>671111</v>
      </c>
      <c r="Q53" s="165"/>
      <c r="R53" s="190">
        <f>SCH_C2!H31</f>
        <v>0</v>
      </c>
      <c r="S53" s="165"/>
      <c r="T53" s="190">
        <f>R53-P53</f>
        <v>-671111</v>
      </c>
    </row>
    <row r="54" spans="12:20" ht="15.6" thickTop="1">
      <c r="L54" s="184"/>
      <c r="M54" s="165"/>
      <c r="N54" s="165"/>
      <c r="O54" s="165"/>
      <c r="P54" s="165"/>
      <c r="Q54" s="165"/>
      <c r="R54" s="165"/>
      <c r="S54" s="165"/>
      <c r="T54" s="165"/>
    </row>
    <row r="55" spans="12:20">
      <c r="L55" s="165"/>
      <c r="M55" s="165"/>
      <c r="N55" s="165"/>
      <c r="O55" s="165"/>
      <c r="P55" s="165"/>
      <c r="Q55" s="165"/>
      <c r="R55" s="165"/>
      <c r="S55" s="165"/>
      <c r="T55" s="165"/>
    </row>
    <row r="56" spans="12:20">
      <c r="L56" s="165"/>
      <c r="M56" s="165"/>
      <c r="N56" s="165"/>
      <c r="O56" s="165"/>
      <c r="P56" s="165"/>
      <c r="Q56" s="165"/>
      <c r="R56" s="165"/>
      <c r="S56" s="165"/>
      <c r="T56" s="165"/>
    </row>
    <row r="57" spans="12:20">
      <c r="L57" s="165"/>
      <c r="M57" s="165"/>
      <c r="N57" s="165"/>
      <c r="O57" s="165"/>
      <c r="P57" s="165"/>
      <c r="Q57" s="165"/>
      <c r="R57" s="165"/>
      <c r="S57" s="165"/>
      <c r="T57" s="184" t="s">
        <v>379</v>
      </c>
    </row>
    <row r="60" spans="12:20">
      <c r="R60" s="213"/>
    </row>
  </sheetData>
  <phoneticPr fontId="4" type="noConversion"/>
  <pageMargins left="1" right="0.75" top="0.78740157480314965" bottom="0" header="0" footer="0"/>
  <pageSetup scale="76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>
    <tabColor theme="7" tint="0.39997558519241921"/>
    <pageSetUpPr fitToPage="1"/>
  </sheetPr>
  <dimension ref="A1:T60"/>
  <sheetViews>
    <sheetView zoomScale="75" workbookViewId="0"/>
  </sheetViews>
  <sheetFormatPr defaultColWidth="8" defaultRowHeight="15"/>
  <cols>
    <col min="1" max="1" width="8" style="198" customWidth="1"/>
    <col min="2" max="2" width="20.44140625" style="198" customWidth="1"/>
    <col min="3" max="3" width="8" style="198" customWidth="1"/>
    <col min="4" max="4" width="10.44140625" style="198" customWidth="1"/>
    <col min="5" max="7" width="8" style="198" customWidth="1"/>
    <col min="8" max="8" width="12.44140625" style="198" customWidth="1"/>
    <col min="9" max="9" width="10" style="198" customWidth="1"/>
    <col min="10" max="10" width="18.44140625" style="198" customWidth="1"/>
    <col min="11" max="12" width="8" style="198" customWidth="1"/>
    <col min="13" max="13" width="2.44140625" style="198" customWidth="1"/>
    <col min="14" max="14" width="42.109375" style="198" customWidth="1"/>
    <col min="15" max="15" width="3.88671875" style="198" customWidth="1"/>
    <col min="16" max="16" width="16" style="198" customWidth="1"/>
    <col min="17" max="17" width="1.88671875" style="198" customWidth="1"/>
    <col min="18" max="18" width="18.109375" style="198" customWidth="1"/>
    <col min="19" max="19" width="2.33203125" style="198" customWidth="1"/>
    <col min="20" max="20" width="18.88671875" style="198" customWidth="1"/>
    <col min="21" max="16384" width="8" style="198"/>
  </cols>
  <sheetData>
    <row r="1" spans="1:11">
      <c r="A1" s="196" t="str">
        <f>LOGO!B5</f>
        <v>DUKE ENERGY KENTUCKY, INC.</v>
      </c>
      <c r="B1" s="197"/>
      <c r="C1" s="197"/>
      <c r="D1" s="197"/>
      <c r="E1" s="197"/>
      <c r="F1" s="197"/>
      <c r="G1" s="197"/>
      <c r="H1" s="197"/>
      <c r="I1" s="197"/>
      <c r="J1" s="197"/>
    </row>
    <row r="2" spans="1:11">
      <c r="A2" s="196" t="str">
        <f>LOGO!B6</f>
        <v>CASE NO. 2018-00261</v>
      </c>
      <c r="B2" s="197"/>
      <c r="C2" s="197"/>
      <c r="D2" s="197"/>
      <c r="E2" s="197"/>
      <c r="F2" s="197"/>
      <c r="G2" s="197"/>
      <c r="H2" s="197"/>
      <c r="I2" s="197"/>
      <c r="J2" s="197"/>
    </row>
    <row r="3" spans="1:11">
      <c r="A3" s="163" t="s">
        <v>1657</v>
      </c>
      <c r="B3" s="197"/>
      <c r="C3" s="197"/>
      <c r="D3" s="197"/>
      <c r="E3" s="197"/>
      <c r="F3" s="197"/>
      <c r="G3" s="197"/>
      <c r="H3" s="197"/>
      <c r="I3" s="197"/>
      <c r="J3" s="197"/>
    </row>
    <row r="4" spans="1:11">
      <c r="A4" s="163" t="str">
        <f>PeriodF</f>
        <v>FOR THE TWELVE MONTHS ENDED MARCH 31, 2020</v>
      </c>
      <c r="B4" s="197"/>
      <c r="C4" s="197"/>
      <c r="D4" s="197"/>
      <c r="E4" s="197"/>
      <c r="F4" s="197"/>
      <c r="G4" s="197"/>
      <c r="H4" s="197"/>
      <c r="I4" s="197"/>
      <c r="J4" s="197"/>
    </row>
    <row r="6" spans="1:11">
      <c r="A6" s="199" t="str">
        <f>Data</f>
        <v>DATA: "X" BASE PERIOD   FORECASTED PERIOD</v>
      </c>
      <c r="I6" s="200" t="s">
        <v>1878</v>
      </c>
    </row>
    <row r="7" spans="1:11">
      <c r="A7" s="199" t="str">
        <f>LOGO!B15</f>
        <v xml:space="preserve">TYPE OF FILING:  "X" ORIGINAL   UPDATED    REVISED  </v>
      </c>
      <c r="I7" s="201" t="s">
        <v>564</v>
      </c>
    </row>
    <row r="8" spans="1:11">
      <c r="A8" s="201" t="s">
        <v>1454</v>
      </c>
      <c r="I8" s="201" t="s">
        <v>566</v>
      </c>
    </row>
    <row r="9" spans="1:11">
      <c r="I9" s="201" t="str">
        <f>_WIT9</f>
        <v>R. H. PRATT</v>
      </c>
    </row>
    <row r="10" spans="1:11">
      <c r="A10" s="202"/>
      <c r="B10" s="202"/>
      <c r="C10" s="202"/>
      <c r="D10" s="202"/>
      <c r="E10" s="202"/>
      <c r="F10" s="202"/>
      <c r="G10" s="202"/>
      <c r="H10" s="202"/>
      <c r="I10" s="202"/>
      <c r="J10" s="202"/>
      <c r="K10" s="201"/>
    </row>
    <row r="12" spans="1:11">
      <c r="A12" s="201" t="s">
        <v>1942</v>
      </c>
      <c r="J12" s="203" t="s">
        <v>2098</v>
      </c>
    </row>
    <row r="13" spans="1:11">
      <c r="A13" s="202"/>
      <c r="B13" s="202"/>
      <c r="C13" s="202"/>
      <c r="D13" s="202"/>
      <c r="E13" s="202"/>
      <c r="F13" s="202"/>
      <c r="G13" s="202"/>
      <c r="H13" s="202"/>
      <c r="I13" s="202"/>
      <c r="J13" s="202"/>
      <c r="K13" s="201"/>
    </row>
    <row r="14" spans="1:11">
      <c r="J14" s="204"/>
    </row>
    <row r="15" spans="1:11">
      <c r="A15" s="66" t="s">
        <v>1455</v>
      </c>
    </row>
    <row r="16" spans="1:11">
      <c r="A16" s="66" t="s">
        <v>1239</v>
      </c>
    </row>
    <row r="17" spans="1:10">
      <c r="A17" s="201"/>
    </row>
    <row r="18" spans="1:10">
      <c r="A18" s="201"/>
    </row>
    <row r="19" spans="1:10">
      <c r="A19" s="201"/>
    </row>
    <row r="20" spans="1:10">
      <c r="A20" s="201"/>
      <c r="H20" s="204"/>
    </row>
    <row r="21" spans="1:10">
      <c r="A21" s="205"/>
      <c r="H21" s="206"/>
    </row>
    <row r="23" spans="1:10">
      <c r="A23" s="1228" t="s">
        <v>2350</v>
      </c>
      <c r="I23" s="208"/>
      <c r="J23" s="172">
        <f>T53</f>
        <v>0</v>
      </c>
    </row>
    <row r="24" spans="1:10">
      <c r="J24" s="208"/>
    </row>
    <row r="26" spans="1:10">
      <c r="A26" s="201" t="s">
        <v>349</v>
      </c>
      <c r="J26" s="209">
        <f>VLOOKUP(D33,ALLOCTABLE,2)/100</f>
        <v>1</v>
      </c>
    </row>
    <row r="27" spans="1:10">
      <c r="J27" s="208"/>
    </row>
    <row r="29" spans="1:10" ht="16.8">
      <c r="A29" s="201" t="s">
        <v>1934</v>
      </c>
      <c r="F29" s="201" t="s">
        <v>383</v>
      </c>
      <c r="I29" s="208"/>
      <c r="J29" s="210">
        <f>ROUND(J23*J26,0)</f>
        <v>0</v>
      </c>
    </row>
    <row r="30" spans="1:10">
      <c r="J30" s="208"/>
    </row>
    <row r="33" spans="1:20">
      <c r="A33" s="201" t="s">
        <v>1935</v>
      </c>
      <c r="D33" s="211" t="s">
        <v>591</v>
      </c>
    </row>
    <row r="34" spans="1:20">
      <c r="A34" s="201"/>
    </row>
    <row r="43" spans="1:20">
      <c r="L43" s="181" t="str">
        <f>COMPANY</f>
        <v>DUKE ENERGY KENTUCKY, INC.</v>
      </c>
      <c r="M43" s="182"/>
      <c r="N43" s="182"/>
      <c r="O43" s="182"/>
      <c r="P43" s="182"/>
      <c r="Q43" s="182"/>
      <c r="R43" s="181" t="s">
        <v>1880</v>
      </c>
      <c r="S43" s="182"/>
      <c r="T43" s="165"/>
    </row>
    <row r="44" spans="1:20">
      <c r="L44" s="181" t="str">
        <f>DEPT</f>
        <v>GAS DEPARTMENT</v>
      </c>
      <c r="M44" s="182"/>
      <c r="N44" s="182"/>
      <c r="O44" s="182"/>
      <c r="P44" s="182"/>
      <c r="Q44" s="182"/>
      <c r="R44" s="181" t="s">
        <v>1937</v>
      </c>
      <c r="S44" s="182"/>
      <c r="T44" s="165"/>
    </row>
    <row r="45" spans="1:20">
      <c r="L45" s="181" t="str">
        <f>CASE</f>
        <v>CASE NO. 2018-00261</v>
      </c>
      <c r="M45" s="182"/>
      <c r="N45" s="182"/>
      <c r="O45" s="182"/>
      <c r="P45" s="182"/>
      <c r="Q45" s="182"/>
      <c r="R45" s="182" t="str">
        <f>_WIT9</f>
        <v>R. H. PRATT</v>
      </c>
      <c r="S45" s="182"/>
      <c r="T45" s="165"/>
    </row>
    <row r="46" spans="1:20">
      <c r="L46" s="181" t="s">
        <v>1456</v>
      </c>
      <c r="M46" s="182"/>
      <c r="N46" s="182"/>
      <c r="O46" s="182"/>
      <c r="P46" s="182"/>
      <c r="Q46" s="182"/>
      <c r="R46" s="183"/>
      <c r="S46" s="182"/>
      <c r="T46" s="165"/>
    </row>
    <row r="47" spans="1:20">
      <c r="L47" s="181"/>
      <c r="M47" s="182"/>
      <c r="N47" s="182"/>
      <c r="O47" s="182"/>
      <c r="P47" s="182"/>
      <c r="Q47" s="182"/>
      <c r="R47" s="182"/>
      <c r="S47" s="182"/>
      <c r="T47" s="165"/>
    </row>
    <row r="48" spans="1:20">
      <c r="L48" s="165"/>
      <c r="M48" s="165"/>
      <c r="N48" s="165"/>
      <c r="O48" s="165"/>
      <c r="P48" s="165"/>
      <c r="Q48" s="165"/>
      <c r="R48" s="165"/>
      <c r="S48" s="165"/>
      <c r="T48" s="165"/>
    </row>
    <row r="49" spans="12:20">
      <c r="L49" s="165"/>
      <c r="M49" s="165"/>
      <c r="N49" s="165"/>
      <c r="O49" s="165"/>
      <c r="P49" s="165"/>
      <c r="Q49" s="165"/>
      <c r="R49" s="165"/>
      <c r="S49" s="165"/>
      <c r="T49" s="165"/>
    </row>
    <row r="50" spans="12:20">
      <c r="L50" s="184" t="s">
        <v>1938</v>
      </c>
      <c r="M50" s="184"/>
      <c r="N50" s="184"/>
      <c r="O50" s="184"/>
      <c r="P50" s="184" t="s">
        <v>1986</v>
      </c>
      <c r="Q50" s="184"/>
      <c r="R50" s="1222" t="s">
        <v>1232</v>
      </c>
      <c r="S50" s="184"/>
      <c r="T50" s="184"/>
    </row>
    <row r="51" spans="12:20">
      <c r="L51" s="185" t="s">
        <v>1939</v>
      </c>
      <c r="M51" s="185"/>
      <c r="N51" s="185" t="s">
        <v>1988</v>
      </c>
      <c r="O51" s="185"/>
      <c r="P51" s="185" t="s">
        <v>1989</v>
      </c>
      <c r="Q51" s="185"/>
      <c r="R51" s="185" t="s">
        <v>1989</v>
      </c>
      <c r="S51" s="185"/>
      <c r="T51" s="185" t="s">
        <v>1940</v>
      </c>
    </row>
    <row r="52" spans="12:20">
      <c r="L52" s="165"/>
      <c r="M52" s="165"/>
      <c r="N52" s="165"/>
      <c r="O52" s="165"/>
      <c r="P52" s="165"/>
      <c r="Q52" s="165"/>
      <c r="R52" s="165"/>
      <c r="S52" s="165"/>
      <c r="T52" s="165"/>
    </row>
    <row r="53" spans="12:20" ht="15.6" thickBot="1">
      <c r="L53" s="184">
        <v>1</v>
      </c>
      <c r="M53" s="165"/>
      <c r="N53" s="201" t="s">
        <v>999</v>
      </c>
      <c r="O53" s="165"/>
      <c r="P53" s="190">
        <f>SCH_C2!E33</f>
        <v>0</v>
      </c>
      <c r="Q53" s="165"/>
      <c r="R53" s="190">
        <f>SCH_C2!H33</f>
        <v>0</v>
      </c>
      <c r="S53" s="165"/>
      <c r="T53" s="190">
        <f>R53-P53</f>
        <v>0</v>
      </c>
    </row>
    <row r="54" spans="12:20" ht="15.6" thickTop="1">
      <c r="L54" s="184"/>
      <c r="M54" s="165"/>
      <c r="N54" s="165"/>
      <c r="O54" s="165"/>
      <c r="P54" s="165"/>
      <c r="Q54" s="165"/>
      <c r="R54" s="165"/>
      <c r="S54" s="165"/>
      <c r="T54" s="165"/>
    </row>
    <row r="55" spans="12:20">
      <c r="L55" s="165"/>
      <c r="M55" s="165"/>
      <c r="N55" s="165"/>
      <c r="O55" s="165"/>
      <c r="P55" s="165"/>
      <c r="Q55" s="165"/>
      <c r="R55" s="165"/>
      <c r="S55" s="165"/>
      <c r="T55" s="165"/>
    </row>
    <row r="56" spans="12:20">
      <c r="L56" s="165"/>
      <c r="M56" s="165"/>
      <c r="N56" s="165"/>
      <c r="O56" s="165"/>
      <c r="P56" s="165"/>
      <c r="Q56" s="165"/>
      <c r="R56" s="165"/>
      <c r="S56" s="165"/>
      <c r="T56" s="165"/>
    </row>
    <row r="57" spans="12:20">
      <c r="L57" s="165"/>
      <c r="M57" s="165"/>
      <c r="N57" s="165"/>
      <c r="O57" s="165"/>
      <c r="P57" s="165"/>
      <c r="Q57" s="165"/>
      <c r="R57" s="165"/>
      <c r="S57" s="165"/>
      <c r="T57" s="184" t="s">
        <v>379</v>
      </c>
    </row>
    <row r="60" spans="12:20">
      <c r="R60" s="213"/>
    </row>
  </sheetData>
  <phoneticPr fontId="4" type="noConversion"/>
  <pageMargins left="1" right="0.75" top="0.78740157480314965" bottom="0" header="0" footer="0"/>
  <pageSetup scale="76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theme="7" tint="0.39997558519241921"/>
    <pageSetUpPr fitToPage="1"/>
  </sheetPr>
  <dimension ref="A1:T60"/>
  <sheetViews>
    <sheetView zoomScale="75" workbookViewId="0"/>
  </sheetViews>
  <sheetFormatPr defaultColWidth="8" defaultRowHeight="15"/>
  <cols>
    <col min="1" max="1" width="8" style="198" customWidth="1"/>
    <col min="2" max="2" width="20.44140625" style="198" customWidth="1"/>
    <col min="3" max="3" width="8" style="198" customWidth="1"/>
    <col min="4" max="4" width="10.44140625" style="198" customWidth="1"/>
    <col min="5" max="7" width="8" style="198" customWidth="1"/>
    <col min="8" max="8" width="12.44140625" style="198" customWidth="1"/>
    <col min="9" max="9" width="10" style="198" customWidth="1"/>
    <col min="10" max="10" width="18.44140625" style="198" customWidth="1"/>
    <col min="11" max="12" width="8" style="198" customWidth="1"/>
    <col min="13" max="13" width="2.44140625" style="198" customWidth="1"/>
    <col min="14" max="14" width="42.109375" style="198" customWidth="1"/>
    <col min="15" max="15" width="3.88671875" style="198" customWidth="1"/>
    <col min="16" max="16" width="16" style="198" customWidth="1"/>
    <col min="17" max="17" width="1.88671875" style="198" customWidth="1"/>
    <col min="18" max="18" width="18.109375" style="198" customWidth="1"/>
    <col min="19" max="19" width="2.33203125" style="198" customWidth="1"/>
    <col min="20" max="20" width="16.44140625" style="198" customWidth="1"/>
    <col min="21" max="16384" width="8" style="198"/>
  </cols>
  <sheetData>
    <row r="1" spans="1:11">
      <c r="A1" s="196" t="str">
        <f>LOGO!B5</f>
        <v>DUKE ENERGY KENTUCKY, INC.</v>
      </c>
      <c r="B1" s="197"/>
      <c r="C1" s="197"/>
      <c r="D1" s="197"/>
      <c r="E1" s="197"/>
      <c r="F1" s="197"/>
      <c r="G1" s="197"/>
      <c r="H1" s="197"/>
      <c r="I1" s="197"/>
      <c r="J1" s="197"/>
    </row>
    <row r="2" spans="1:11">
      <c r="A2" s="196" t="str">
        <f>LOGO!B6</f>
        <v>CASE NO. 2018-00261</v>
      </c>
      <c r="B2" s="197"/>
      <c r="C2" s="197"/>
      <c r="D2" s="197"/>
      <c r="E2" s="197"/>
      <c r="F2" s="197"/>
      <c r="G2" s="197"/>
      <c r="H2" s="197"/>
      <c r="I2" s="197"/>
      <c r="J2" s="197"/>
    </row>
    <row r="3" spans="1:11">
      <c r="A3" s="163" t="s">
        <v>1658</v>
      </c>
      <c r="B3" s="197"/>
      <c r="C3" s="197"/>
      <c r="D3" s="197"/>
      <c r="E3" s="197"/>
      <c r="F3" s="197"/>
      <c r="G3" s="197"/>
      <c r="H3" s="197"/>
      <c r="I3" s="197"/>
      <c r="J3" s="197"/>
    </row>
    <row r="4" spans="1:11">
      <c r="A4" s="163" t="str">
        <f>PeriodF</f>
        <v>FOR THE TWELVE MONTHS ENDED MARCH 31, 2020</v>
      </c>
      <c r="B4" s="197"/>
      <c r="C4" s="197"/>
      <c r="D4" s="197"/>
      <c r="E4" s="197"/>
      <c r="F4" s="197"/>
      <c r="G4" s="197"/>
      <c r="H4" s="197"/>
      <c r="I4" s="197"/>
      <c r="J4" s="197"/>
    </row>
    <row r="6" spans="1:11">
      <c r="A6" s="199" t="str">
        <f>Data</f>
        <v>DATA: "X" BASE PERIOD   FORECASTED PERIOD</v>
      </c>
      <c r="I6" s="200" t="s">
        <v>1063</v>
      </c>
    </row>
    <row r="7" spans="1:11">
      <c r="A7" s="199" t="str">
        <f>LOGO!B15</f>
        <v xml:space="preserve">TYPE OF FILING:  "X" ORIGINAL   UPDATED    REVISED  </v>
      </c>
      <c r="I7" s="201" t="s">
        <v>564</v>
      </c>
    </row>
    <row r="8" spans="1:11">
      <c r="A8" s="201" t="s">
        <v>1453</v>
      </c>
      <c r="I8" s="201" t="s">
        <v>566</v>
      </c>
    </row>
    <row r="9" spans="1:11">
      <c r="I9" s="201" t="str">
        <f>_WIT9</f>
        <v>R. H. PRATT</v>
      </c>
    </row>
    <row r="10" spans="1:11">
      <c r="A10" s="202"/>
      <c r="B10" s="202"/>
      <c r="C10" s="202"/>
      <c r="D10" s="202"/>
      <c r="E10" s="202"/>
      <c r="F10" s="202"/>
      <c r="G10" s="202"/>
      <c r="H10" s="202"/>
      <c r="I10" s="202"/>
      <c r="J10" s="202"/>
      <c r="K10" s="201"/>
    </row>
    <row r="12" spans="1:11">
      <c r="A12" s="201" t="s">
        <v>1942</v>
      </c>
      <c r="J12" s="203" t="s">
        <v>2098</v>
      </c>
    </row>
    <row r="13" spans="1:11">
      <c r="A13" s="202"/>
      <c r="B13" s="202"/>
      <c r="C13" s="202"/>
      <c r="D13" s="202"/>
      <c r="E13" s="202"/>
      <c r="F13" s="202"/>
      <c r="G13" s="202"/>
      <c r="H13" s="202"/>
      <c r="I13" s="202"/>
      <c r="J13" s="202"/>
      <c r="K13" s="201"/>
    </row>
    <row r="14" spans="1:11">
      <c r="J14" s="204"/>
    </row>
    <row r="15" spans="1:11">
      <c r="A15" s="66" t="s">
        <v>1879</v>
      </c>
    </row>
    <row r="16" spans="1:11">
      <c r="A16" s="66" t="s">
        <v>1239</v>
      </c>
    </row>
    <row r="17" spans="1:10">
      <c r="A17" s="201"/>
    </row>
    <row r="18" spans="1:10">
      <c r="A18" s="201"/>
    </row>
    <row r="19" spans="1:10">
      <c r="A19" s="201"/>
    </row>
    <row r="20" spans="1:10">
      <c r="A20" s="201"/>
      <c r="H20" s="204"/>
    </row>
    <row r="21" spans="1:10">
      <c r="A21" s="205"/>
      <c r="H21" s="206"/>
    </row>
    <row r="23" spans="1:10">
      <c r="A23" s="201" t="s">
        <v>445</v>
      </c>
      <c r="I23" s="208"/>
      <c r="J23" s="172">
        <f>T53</f>
        <v>1970875</v>
      </c>
    </row>
    <row r="24" spans="1:10">
      <c r="J24" s="208"/>
    </row>
    <row r="26" spans="1:10">
      <c r="A26" s="201" t="s">
        <v>349</v>
      </c>
      <c r="J26" s="209">
        <f>VLOOKUP(D33,ALLOCTABLE,2)/100</f>
        <v>1</v>
      </c>
    </row>
    <row r="27" spans="1:10">
      <c r="J27" s="208"/>
    </row>
    <row r="29" spans="1:10" ht="16.8">
      <c r="A29" s="201" t="s">
        <v>1934</v>
      </c>
      <c r="F29" s="201" t="s">
        <v>383</v>
      </c>
      <c r="I29" s="208"/>
      <c r="J29" s="210">
        <f>ROUND(J23*J26,0)</f>
        <v>1970875</v>
      </c>
    </row>
    <row r="30" spans="1:10">
      <c r="J30" s="208"/>
    </row>
    <row r="33" spans="1:20">
      <c r="A33" s="201" t="s">
        <v>1935</v>
      </c>
      <c r="D33" s="211" t="s">
        <v>591</v>
      </c>
    </row>
    <row r="34" spans="1:20">
      <c r="A34" s="201"/>
    </row>
    <row r="43" spans="1:20">
      <c r="L43" s="181" t="str">
        <f>COMPANY</f>
        <v>DUKE ENERGY KENTUCKY, INC.</v>
      </c>
      <c r="M43" s="182"/>
      <c r="N43" s="182"/>
      <c r="O43" s="182"/>
      <c r="P43" s="182"/>
      <c r="Q43" s="182"/>
      <c r="R43" s="181" t="s">
        <v>1065</v>
      </c>
      <c r="S43" s="182"/>
      <c r="T43" s="165"/>
    </row>
    <row r="44" spans="1:20">
      <c r="L44" s="181" t="str">
        <f>DEPT</f>
        <v>GAS DEPARTMENT</v>
      </c>
      <c r="M44" s="182"/>
      <c r="N44" s="182"/>
      <c r="O44" s="182"/>
      <c r="P44" s="182"/>
      <c r="Q44" s="182"/>
      <c r="R44" s="181" t="s">
        <v>1937</v>
      </c>
      <c r="S44" s="182"/>
      <c r="T44" s="165"/>
    </row>
    <row r="45" spans="1:20">
      <c r="L45" s="181" t="str">
        <f>CASE</f>
        <v>CASE NO. 2018-00261</v>
      </c>
      <c r="M45" s="182"/>
      <c r="N45" s="182"/>
      <c r="O45" s="182"/>
      <c r="P45" s="182"/>
      <c r="Q45" s="182"/>
      <c r="R45" s="182" t="str">
        <f>_WIT9</f>
        <v>R. H. PRATT</v>
      </c>
      <c r="S45" s="182"/>
      <c r="T45" s="165"/>
    </row>
    <row r="46" spans="1:20">
      <c r="L46" s="181" t="s">
        <v>1881</v>
      </c>
      <c r="M46" s="182"/>
      <c r="N46" s="182"/>
      <c r="O46" s="182"/>
      <c r="P46" s="182"/>
      <c r="Q46" s="182"/>
      <c r="R46" s="183"/>
      <c r="S46" s="182"/>
      <c r="T46" s="165"/>
    </row>
    <row r="47" spans="1:20">
      <c r="L47" s="181"/>
      <c r="M47" s="182"/>
      <c r="N47" s="182"/>
      <c r="O47" s="182"/>
      <c r="P47" s="182"/>
      <c r="Q47" s="182"/>
      <c r="R47" s="182"/>
      <c r="S47" s="182"/>
      <c r="T47" s="165"/>
    </row>
    <row r="48" spans="1:20">
      <c r="L48" s="165"/>
      <c r="M48" s="165"/>
      <c r="N48" s="165"/>
      <c r="O48" s="165"/>
      <c r="P48" s="165"/>
      <c r="Q48" s="165"/>
      <c r="R48" s="165"/>
      <c r="S48" s="165"/>
      <c r="T48" s="165"/>
    </row>
    <row r="49" spans="12:20">
      <c r="L49" s="165"/>
      <c r="M49" s="165"/>
      <c r="N49" s="165"/>
      <c r="O49" s="165"/>
      <c r="P49" s="165"/>
      <c r="Q49" s="165"/>
      <c r="R49" s="165"/>
      <c r="S49" s="165"/>
      <c r="T49" s="165"/>
    </row>
    <row r="50" spans="12:20">
      <c r="L50" s="184" t="s">
        <v>1938</v>
      </c>
      <c r="M50" s="184"/>
      <c r="N50" s="184"/>
      <c r="O50" s="184"/>
      <c r="P50" s="184" t="s">
        <v>1986</v>
      </c>
      <c r="Q50" s="184"/>
      <c r="R50" s="1222" t="s">
        <v>1232</v>
      </c>
      <c r="S50" s="184"/>
      <c r="T50" s="184"/>
    </row>
    <row r="51" spans="12:20">
      <c r="L51" s="185" t="s">
        <v>1939</v>
      </c>
      <c r="M51" s="185"/>
      <c r="N51" s="185" t="s">
        <v>1988</v>
      </c>
      <c r="O51" s="185"/>
      <c r="P51" s="185" t="s">
        <v>1989</v>
      </c>
      <c r="Q51" s="185"/>
      <c r="R51" s="185" t="s">
        <v>1989</v>
      </c>
      <c r="S51" s="185"/>
      <c r="T51" s="185" t="s">
        <v>1940</v>
      </c>
    </row>
    <row r="52" spans="12:20">
      <c r="L52" s="165"/>
      <c r="M52" s="165"/>
      <c r="N52" s="165"/>
      <c r="O52" s="165"/>
      <c r="P52" s="165"/>
      <c r="Q52" s="165"/>
      <c r="R52" s="165"/>
      <c r="S52" s="165"/>
      <c r="T52" s="165"/>
    </row>
    <row r="53" spans="12:20" ht="15.6" thickBot="1">
      <c r="L53" s="184">
        <v>1</v>
      </c>
      <c r="M53" s="165"/>
      <c r="N53" s="201" t="s">
        <v>1274</v>
      </c>
      <c r="O53" s="165"/>
      <c r="P53" s="190">
        <f>SCH_C2!E34</f>
        <v>9971602</v>
      </c>
      <c r="Q53" s="165"/>
      <c r="R53" s="190">
        <f>SCH_C2!H34</f>
        <v>11942477</v>
      </c>
      <c r="S53" s="165"/>
      <c r="T53" s="190">
        <f>R53-P53</f>
        <v>1970875</v>
      </c>
    </row>
    <row r="54" spans="12:20" ht="15.6" thickTop="1">
      <c r="L54" s="184"/>
      <c r="M54" s="165"/>
      <c r="N54" s="165"/>
      <c r="O54" s="165"/>
      <c r="P54" s="165"/>
      <c r="Q54" s="165"/>
      <c r="R54" s="165"/>
      <c r="S54" s="165"/>
      <c r="T54" s="165"/>
    </row>
    <row r="55" spans="12:20">
      <c r="L55" s="165"/>
      <c r="M55" s="165"/>
      <c r="N55" s="165"/>
      <c r="O55" s="165"/>
      <c r="P55" s="165"/>
      <c r="Q55" s="165"/>
      <c r="R55" s="165"/>
      <c r="S55" s="165"/>
      <c r="T55" s="165"/>
    </row>
    <row r="56" spans="12:20">
      <c r="L56" s="165"/>
      <c r="M56" s="165"/>
      <c r="N56" s="165"/>
      <c r="O56" s="165"/>
      <c r="P56" s="165"/>
      <c r="Q56" s="165"/>
      <c r="R56" s="165"/>
      <c r="S56" s="165"/>
      <c r="T56" s="165"/>
    </row>
    <row r="57" spans="12:20">
      <c r="L57" s="165"/>
      <c r="M57" s="165"/>
      <c r="N57" s="165"/>
      <c r="O57" s="165"/>
      <c r="P57" s="165"/>
      <c r="Q57" s="165"/>
      <c r="R57" s="165"/>
      <c r="S57" s="165"/>
      <c r="T57" s="184" t="s">
        <v>379</v>
      </c>
    </row>
    <row r="60" spans="12:20">
      <c r="R60" s="213"/>
    </row>
  </sheetData>
  <phoneticPr fontId="4" type="noConversion"/>
  <pageMargins left="1" right="0.75" top="0.78740157480314965" bottom="0" header="0" footer="0"/>
  <pageSetup scale="77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theme="7" tint="0.39997558519241921"/>
    <pageSetUpPr fitToPage="1"/>
  </sheetPr>
  <dimension ref="A1:T60"/>
  <sheetViews>
    <sheetView zoomScale="75" workbookViewId="0"/>
  </sheetViews>
  <sheetFormatPr defaultColWidth="8" defaultRowHeight="15"/>
  <cols>
    <col min="1" max="1" width="8" style="198" customWidth="1"/>
    <col min="2" max="2" width="20.44140625" style="198" customWidth="1"/>
    <col min="3" max="3" width="8" style="198" customWidth="1"/>
    <col min="4" max="4" width="10.44140625" style="198" customWidth="1"/>
    <col min="5" max="7" width="8" style="198" customWidth="1"/>
    <col min="8" max="8" width="12.44140625" style="198" customWidth="1"/>
    <col min="9" max="9" width="10" style="198" customWidth="1"/>
    <col min="10" max="10" width="18.44140625" style="198" customWidth="1"/>
    <col min="11" max="12" width="8" style="198" customWidth="1"/>
    <col min="13" max="13" width="2.44140625" style="198" customWidth="1"/>
    <col min="14" max="14" width="42.109375" style="198" customWidth="1"/>
    <col min="15" max="15" width="3.88671875" style="198" customWidth="1"/>
    <col min="16" max="16" width="16" style="198" customWidth="1"/>
    <col min="17" max="17" width="1.88671875" style="198" customWidth="1"/>
    <col min="18" max="18" width="18.109375" style="198" customWidth="1"/>
    <col min="19" max="19" width="2.33203125" style="198" customWidth="1"/>
    <col min="20" max="20" width="16.44140625" style="198" customWidth="1"/>
    <col min="21" max="16384" width="8" style="198"/>
  </cols>
  <sheetData>
    <row r="1" spans="1:11">
      <c r="A1" s="196" t="str">
        <f>LOGO!B5</f>
        <v>DUKE ENERGY KENTUCKY, INC.</v>
      </c>
      <c r="B1" s="197"/>
      <c r="C1" s="197"/>
      <c r="D1" s="197"/>
      <c r="E1" s="197"/>
      <c r="F1" s="197"/>
      <c r="G1" s="197"/>
      <c r="H1" s="197"/>
      <c r="I1" s="197"/>
      <c r="J1" s="197"/>
    </row>
    <row r="2" spans="1:11">
      <c r="A2" s="196" t="str">
        <f>LOGO!B6</f>
        <v>CASE NO. 2018-00261</v>
      </c>
      <c r="B2" s="197"/>
      <c r="C2" s="197"/>
      <c r="D2" s="197"/>
      <c r="E2" s="197"/>
      <c r="F2" s="197"/>
      <c r="G2" s="197"/>
      <c r="H2" s="197"/>
      <c r="I2" s="197"/>
      <c r="J2" s="197"/>
    </row>
    <row r="3" spans="1:11">
      <c r="A3" s="163" t="s">
        <v>1659</v>
      </c>
      <c r="B3" s="197"/>
      <c r="C3" s="197"/>
      <c r="D3" s="197"/>
      <c r="E3" s="197"/>
      <c r="F3" s="197"/>
      <c r="G3" s="197"/>
      <c r="H3" s="197"/>
      <c r="I3" s="197"/>
      <c r="J3" s="197"/>
    </row>
    <row r="4" spans="1:11">
      <c r="A4" s="163" t="str">
        <f>PeriodF</f>
        <v>FOR THE TWELVE MONTHS ENDED MARCH 31, 2020</v>
      </c>
      <c r="B4" s="197"/>
      <c r="C4" s="197"/>
      <c r="D4" s="197"/>
      <c r="E4" s="197"/>
      <c r="F4" s="197"/>
      <c r="G4" s="197"/>
      <c r="H4" s="197"/>
      <c r="I4" s="197"/>
      <c r="J4" s="197"/>
    </row>
    <row r="6" spans="1:11">
      <c r="A6" s="199" t="str">
        <f>Data</f>
        <v>DATA: "X" BASE PERIOD   FORECASTED PERIOD</v>
      </c>
      <c r="I6" s="200" t="s">
        <v>1067</v>
      </c>
    </row>
    <row r="7" spans="1:11">
      <c r="A7" s="199" t="str">
        <f>LOGO!B15</f>
        <v xml:space="preserve">TYPE OF FILING:  "X" ORIGINAL   UPDATED    REVISED  </v>
      </c>
      <c r="I7" s="201" t="s">
        <v>564</v>
      </c>
    </row>
    <row r="8" spans="1:11">
      <c r="A8" s="201" t="s">
        <v>990</v>
      </c>
      <c r="I8" s="201" t="s">
        <v>566</v>
      </c>
    </row>
    <row r="9" spans="1:11">
      <c r="I9" s="201" t="str">
        <f>_WIT9</f>
        <v>R. H. PRATT</v>
      </c>
    </row>
    <row r="10" spans="1:11">
      <c r="A10" s="202"/>
      <c r="B10" s="202"/>
      <c r="C10" s="202"/>
      <c r="D10" s="202"/>
      <c r="E10" s="202"/>
      <c r="F10" s="202"/>
      <c r="G10" s="202"/>
      <c r="H10" s="202"/>
      <c r="I10" s="202"/>
      <c r="J10" s="202"/>
      <c r="K10" s="201"/>
    </row>
    <row r="12" spans="1:11">
      <c r="A12" s="201" t="s">
        <v>1942</v>
      </c>
      <c r="J12" s="203" t="s">
        <v>2098</v>
      </c>
    </row>
    <row r="13" spans="1:11">
      <c r="A13" s="202"/>
      <c r="B13" s="202"/>
      <c r="C13" s="202"/>
      <c r="D13" s="202"/>
      <c r="E13" s="202"/>
      <c r="F13" s="202"/>
      <c r="G13" s="202"/>
      <c r="H13" s="202"/>
      <c r="I13" s="202"/>
      <c r="J13" s="202"/>
      <c r="K13" s="201"/>
    </row>
    <row r="14" spans="1:11">
      <c r="J14" s="204"/>
    </row>
    <row r="15" spans="1:11">
      <c r="A15" s="66" t="s">
        <v>1064</v>
      </c>
    </row>
    <row r="16" spans="1:11">
      <c r="A16" s="66" t="s">
        <v>1239</v>
      </c>
    </row>
    <row r="17" spans="1:10">
      <c r="A17" s="201"/>
    </row>
    <row r="18" spans="1:10">
      <c r="A18" s="201"/>
    </row>
    <row r="19" spans="1:10">
      <c r="A19" s="201"/>
    </row>
    <row r="20" spans="1:10">
      <c r="A20" s="201"/>
      <c r="H20" s="204"/>
    </row>
    <row r="21" spans="1:10">
      <c r="A21" s="205"/>
      <c r="H21" s="206"/>
    </row>
    <row r="23" spans="1:10">
      <c r="A23" s="201" t="s">
        <v>586</v>
      </c>
      <c r="I23" s="208"/>
      <c r="J23" s="172">
        <f ca="1">T53</f>
        <v>-497608</v>
      </c>
    </row>
    <row r="24" spans="1:10">
      <c r="J24" s="208"/>
    </row>
    <row r="26" spans="1:10">
      <c r="A26" s="201" t="s">
        <v>349</v>
      </c>
      <c r="J26" s="209">
        <f>VLOOKUP(D33,ALLOCTABLE,2)/100</f>
        <v>1</v>
      </c>
    </row>
    <row r="27" spans="1:10">
      <c r="J27" s="208"/>
    </row>
    <row r="29" spans="1:10" ht="16.8">
      <c r="A29" s="201" t="s">
        <v>1934</v>
      </c>
      <c r="F29" s="201" t="s">
        <v>383</v>
      </c>
      <c r="I29" s="208"/>
      <c r="J29" s="210">
        <f ca="1">ROUND(J23*J26,0)</f>
        <v>-497608</v>
      </c>
    </row>
    <row r="30" spans="1:10">
      <c r="J30" s="208"/>
    </row>
    <row r="33" spans="1:20">
      <c r="A33" s="201" t="s">
        <v>1935</v>
      </c>
      <c r="D33" s="211" t="s">
        <v>591</v>
      </c>
    </row>
    <row r="34" spans="1:20">
      <c r="A34" s="201"/>
    </row>
    <row r="43" spans="1:20">
      <c r="L43" s="181" t="str">
        <f>COMPANY</f>
        <v>DUKE ENERGY KENTUCKY, INC.</v>
      </c>
      <c r="M43" s="182"/>
      <c r="N43" s="182"/>
      <c r="O43" s="182"/>
      <c r="P43" s="182"/>
      <c r="Q43" s="182"/>
      <c r="R43" s="181" t="s">
        <v>1070</v>
      </c>
      <c r="S43" s="182"/>
      <c r="T43" s="165"/>
    </row>
    <row r="44" spans="1:20">
      <c r="L44" s="181" t="str">
        <f>DEPT</f>
        <v>GAS DEPARTMENT</v>
      </c>
      <c r="M44" s="182"/>
      <c r="N44" s="182"/>
      <c r="O44" s="182"/>
      <c r="P44" s="182"/>
      <c r="Q44" s="182"/>
      <c r="R44" s="181" t="s">
        <v>1937</v>
      </c>
      <c r="S44" s="182"/>
      <c r="T44" s="165"/>
    </row>
    <row r="45" spans="1:20">
      <c r="L45" s="181" t="str">
        <f>CASE</f>
        <v>CASE NO. 2018-00261</v>
      </c>
      <c r="M45" s="182"/>
      <c r="N45" s="182"/>
      <c r="O45" s="182"/>
      <c r="P45" s="182"/>
      <c r="Q45" s="182"/>
      <c r="R45" s="182" t="str">
        <f>_WIT9</f>
        <v>R. H. PRATT</v>
      </c>
      <c r="S45" s="182"/>
      <c r="T45" s="165"/>
    </row>
    <row r="46" spans="1:20">
      <c r="L46" s="181" t="s">
        <v>1066</v>
      </c>
      <c r="M46" s="182"/>
      <c r="N46" s="182"/>
      <c r="O46" s="182"/>
      <c r="P46" s="182"/>
      <c r="Q46" s="182"/>
      <c r="R46" s="183"/>
      <c r="S46" s="182"/>
      <c r="T46" s="165"/>
    </row>
    <row r="47" spans="1:20">
      <c r="L47" s="181"/>
      <c r="M47" s="182"/>
      <c r="N47" s="182"/>
      <c r="O47" s="182"/>
      <c r="P47" s="182"/>
      <c r="Q47" s="182"/>
      <c r="R47" s="182"/>
      <c r="S47" s="182"/>
      <c r="T47" s="165"/>
    </row>
    <row r="48" spans="1:20">
      <c r="L48" s="165"/>
      <c r="M48" s="165"/>
      <c r="N48" s="165"/>
      <c r="O48" s="165"/>
      <c r="P48" s="165"/>
      <c r="Q48" s="165"/>
      <c r="R48" s="165"/>
      <c r="S48" s="165"/>
      <c r="T48" s="165"/>
    </row>
    <row r="49" spans="12:20">
      <c r="L49" s="165"/>
      <c r="M49" s="165"/>
      <c r="N49" s="165"/>
      <c r="O49" s="165"/>
      <c r="P49" s="165"/>
      <c r="Q49" s="165"/>
      <c r="R49" s="165"/>
      <c r="S49" s="165"/>
      <c r="T49" s="165"/>
    </row>
    <row r="50" spans="12:20">
      <c r="L50" s="184" t="s">
        <v>1938</v>
      </c>
      <c r="M50" s="184"/>
      <c r="N50" s="184"/>
      <c r="O50" s="184"/>
      <c r="P50" s="184" t="s">
        <v>1986</v>
      </c>
      <c r="Q50" s="184"/>
      <c r="R50" s="1222" t="s">
        <v>1232</v>
      </c>
      <c r="S50" s="184"/>
      <c r="T50" s="184"/>
    </row>
    <row r="51" spans="12:20">
      <c r="L51" s="185" t="s">
        <v>1939</v>
      </c>
      <c r="M51" s="185"/>
      <c r="N51" s="185" t="s">
        <v>1988</v>
      </c>
      <c r="O51" s="185"/>
      <c r="P51" s="185" t="s">
        <v>1989</v>
      </c>
      <c r="Q51" s="185"/>
      <c r="R51" s="185" t="s">
        <v>1989</v>
      </c>
      <c r="S51" s="185"/>
      <c r="T51" s="185" t="s">
        <v>1940</v>
      </c>
    </row>
    <row r="52" spans="12:20">
      <c r="L52" s="165"/>
      <c r="M52" s="165"/>
      <c r="N52" s="165"/>
      <c r="O52" s="165"/>
      <c r="P52" s="165"/>
      <c r="Q52" s="165"/>
      <c r="R52" s="165"/>
      <c r="S52" s="165"/>
      <c r="T52" s="165"/>
    </row>
    <row r="53" spans="12:20" ht="15.6" thickBot="1">
      <c r="L53" s="184">
        <v>1</v>
      </c>
      <c r="M53" s="165"/>
      <c r="N53" s="201" t="s">
        <v>1275</v>
      </c>
      <c r="O53" s="165"/>
      <c r="P53" s="190">
        <f>SCH_C2!E35</f>
        <v>3779036</v>
      </c>
      <c r="Q53" s="165"/>
      <c r="R53" s="190">
        <f ca="1">SCH_C2!H35</f>
        <v>3281428</v>
      </c>
      <c r="S53" s="165"/>
      <c r="T53" s="190">
        <f ca="1">R53-P53</f>
        <v>-497608</v>
      </c>
    </row>
    <row r="54" spans="12:20" ht="15.6" thickTop="1">
      <c r="L54" s="184"/>
      <c r="M54" s="165"/>
      <c r="N54" s="165"/>
      <c r="O54" s="165"/>
      <c r="P54" s="165"/>
      <c r="Q54" s="165"/>
      <c r="R54" s="165"/>
      <c r="S54" s="165"/>
      <c r="T54" s="165"/>
    </row>
    <row r="55" spans="12:20">
      <c r="L55" s="165"/>
      <c r="M55" s="165"/>
      <c r="N55" s="165"/>
      <c r="O55" s="165"/>
      <c r="P55" s="165"/>
      <c r="Q55" s="165"/>
      <c r="R55" s="165"/>
      <c r="S55" s="165"/>
      <c r="T55" s="165"/>
    </row>
    <row r="56" spans="12:20">
      <c r="L56" s="165"/>
      <c r="M56" s="165"/>
      <c r="N56" s="165"/>
      <c r="O56" s="165"/>
      <c r="P56" s="165"/>
      <c r="Q56" s="165"/>
      <c r="R56" s="165"/>
      <c r="S56" s="165"/>
      <c r="T56" s="165"/>
    </row>
    <row r="57" spans="12:20">
      <c r="L57" s="165"/>
      <c r="M57" s="165"/>
      <c r="N57" s="165"/>
      <c r="O57" s="165"/>
      <c r="P57" s="165"/>
      <c r="Q57" s="165"/>
      <c r="R57" s="165"/>
      <c r="S57" s="165"/>
      <c r="T57" s="184" t="s">
        <v>379</v>
      </c>
    </row>
    <row r="60" spans="12:20">
      <c r="R60" s="213"/>
    </row>
  </sheetData>
  <phoneticPr fontId="4" type="noConversion"/>
  <pageMargins left="1" right="0.75" top="0.78740157480314998" bottom="0" header="0" footer="0"/>
  <pageSetup scale="77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theme="7" tint="0.39997558519241921"/>
    <pageSetUpPr fitToPage="1"/>
  </sheetPr>
  <dimension ref="A1:T60"/>
  <sheetViews>
    <sheetView zoomScale="75" workbookViewId="0"/>
  </sheetViews>
  <sheetFormatPr defaultColWidth="8" defaultRowHeight="15"/>
  <cols>
    <col min="1" max="1" width="8" style="198" customWidth="1"/>
    <col min="2" max="2" width="25.109375" style="198" customWidth="1"/>
    <col min="3" max="3" width="8" style="198" customWidth="1"/>
    <col min="4" max="4" width="10.44140625" style="198" customWidth="1"/>
    <col min="5" max="7" width="8" style="198" customWidth="1"/>
    <col min="8" max="8" width="12.44140625" style="198" customWidth="1"/>
    <col min="9" max="9" width="10" style="198" customWidth="1"/>
    <col min="10" max="10" width="18.44140625" style="198" customWidth="1"/>
    <col min="11" max="12" width="8" style="198" customWidth="1"/>
    <col min="13" max="13" width="1.88671875" style="198" customWidth="1"/>
    <col min="14" max="14" width="44.88671875" style="198" customWidth="1"/>
    <col min="15" max="15" width="3.88671875" style="198" customWidth="1"/>
    <col min="16" max="16" width="16" style="198" customWidth="1"/>
    <col min="17" max="17" width="1.88671875" style="198" customWidth="1"/>
    <col min="18" max="18" width="18.109375" style="198" customWidth="1"/>
    <col min="19" max="19" width="2.33203125" style="198" customWidth="1"/>
    <col min="20" max="20" width="16.44140625" style="198" customWidth="1"/>
    <col min="21" max="16384" width="8" style="198"/>
  </cols>
  <sheetData>
    <row r="1" spans="1:11">
      <c r="A1" s="196" t="str">
        <f>LOGO!B5</f>
        <v>DUKE ENERGY KENTUCKY, INC.</v>
      </c>
      <c r="B1" s="197"/>
      <c r="C1" s="197"/>
      <c r="D1" s="197"/>
      <c r="E1" s="197"/>
      <c r="F1" s="197"/>
      <c r="G1" s="197"/>
      <c r="H1" s="197"/>
      <c r="I1" s="197"/>
      <c r="J1" s="197"/>
    </row>
    <row r="2" spans="1:11">
      <c r="A2" s="196" t="str">
        <f>LOGO!B6</f>
        <v>CASE NO. 2018-00261</v>
      </c>
      <c r="B2" s="197"/>
      <c r="C2" s="197"/>
      <c r="D2" s="197"/>
      <c r="E2" s="197"/>
      <c r="F2" s="197"/>
      <c r="G2" s="197"/>
      <c r="H2" s="197"/>
      <c r="I2" s="197"/>
      <c r="J2" s="197"/>
    </row>
    <row r="3" spans="1:11">
      <c r="A3" s="163" t="s">
        <v>1660</v>
      </c>
      <c r="B3" s="197"/>
      <c r="C3" s="197"/>
      <c r="D3" s="197"/>
      <c r="E3" s="197"/>
      <c r="F3" s="197"/>
      <c r="G3" s="197"/>
      <c r="H3" s="197"/>
      <c r="I3" s="197"/>
      <c r="J3" s="197"/>
    </row>
    <row r="4" spans="1:11">
      <c r="A4" s="163" t="str">
        <f>PeriodF</f>
        <v>FOR THE TWELVE MONTHS ENDED MARCH 31, 2020</v>
      </c>
      <c r="B4" s="197"/>
      <c r="C4" s="197"/>
      <c r="D4" s="197"/>
      <c r="E4" s="197"/>
      <c r="F4" s="197"/>
      <c r="G4" s="197"/>
      <c r="H4" s="197"/>
      <c r="I4" s="197"/>
      <c r="J4" s="197"/>
    </row>
    <row r="6" spans="1:11">
      <c r="A6" s="199" t="str">
        <f>Data</f>
        <v>DATA: "X" BASE PERIOD   FORECASTED PERIOD</v>
      </c>
      <c r="I6" s="200" t="s">
        <v>494</v>
      </c>
    </row>
    <row r="7" spans="1:11">
      <c r="A7" s="199" t="str">
        <f>LOGO!B15</f>
        <v xml:space="preserve">TYPE OF FILING:  "X" ORIGINAL   UPDATED    REVISED  </v>
      </c>
      <c r="I7" s="201" t="s">
        <v>564</v>
      </c>
    </row>
    <row r="8" spans="1:11">
      <c r="A8" s="201" t="s">
        <v>1452</v>
      </c>
      <c r="I8" s="201" t="s">
        <v>566</v>
      </c>
    </row>
    <row r="9" spans="1:11">
      <c r="I9" s="201" t="str">
        <f>_WIT9</f>
        <v>R. H. PRATT</v>
      </c>
    </row>
    <row r="10" spans="1:11">
      <c r="A10" s="202"/>
      <c r="B10" s="202"/>
      <c r="C10" s="202"/>
      <c r="D10" s="202"/>
      <c r="E10" s="202"/>
      <c r="F10" s="202"/>
      <c r="G10" s="202"/>
      <c r="H10" s="202"/>
      <c r="I10" s="202"/>
      <c r="J10" s="202"/>
      <c r="K10" s="201"/>
    </row>
    <row r="12" spans="1:11">
      <c r="A12" s="201" t="s">
        <v>1942</v>
      </c>
      <c r="J12" s="203" t="s">
        <v>2098</v>
      </c>
    </row>
    <row r="13" spans="1:11">
      <c r="A13" s="202"/>
      <c r="B13" s="202"/>
      <c r="C13" s="202"/>
      <c r="D13" s="202"/>
      <c r="E13" s="202"/>
      <c r="F13" s="202"/>
      <c r="G13" s="202"/>
      <c r="H13" s="202"/>
      <c r="I13" s="202"/>
      <c r="J13" s="202"/>
      <c r="K13" s="201"/>
    </row>
    <row r="14" spans="1:11">
      <c r="J14" s="204"/>
    </row>
    <row r="15" spans="1:11">
      <c r="A15" s="66" t="s">
        <v>1068</v>
      </c>
    </row>
    <row r="16" spans="1:11">
      <c r="A16" s="66" t="s">
        <v>1240</v>
      </c>
    </row>
    <row r="17" spans="1:10">
      <c r="A17" s="201"/>
    </row>
    <row r="18" spans="1:10">
      <c r="A18" s="201"/>
    </row>
    <row r="19" spans="1:10">
      <c r="A19" s="201"/>
    </row>
    <row r="20" spans="1:10">
      <c r="A20" s="201"/>
      <c r="H20" s="204"/>
    </row>
    <row r="21" spans="1:10">
      <c r="A21" s="205"/>
      <c r="H21" s="206"/>
    </row>
    <row r="23" spans="1:10">
      <c r="A23" s="201" t="s">
        <v>1069</v>
      </c>
      <c r="I23" s="208"/>
      <c r="J23" s="172">
        <f ca="1">T53</f>
        <v>-7963</v>
      </c>
    </row>
    <row r="24" spans="1:10">
      <c r="J24" s="208"/>
    </row>
    <row r="26" spans="1:10">
      <c r="A26" s="201" t="s">
        <v>349</v>
      </c>
      <c r="J26" s="209">
        <f>VLOOKUP(D33,ALLOCTABLE,2)/100</f>
        <v>1</v>
      </c>
    </row>
    <row r="27" spans="1:10">
      <c r="J27" s="208"/>
    </row>
    <row r="29" spans="1:10" ht="16.8">
      <c r="A29" s="201" t="s">
        <v>1934</v>
      </c>
      <c r="F29" s="201" t="s">
        <v>383</v>
      </c>
      <c r="I29" s="208"/>
      <c r="J29" s="210">
        <f ca="1">ROUND(J23*J26,0)</f>
        <v>-7963</v>
      </c>
    </row>
    <row r="30" spans="1:10">
      <c r="J30" s="208"/>
    </row>
    <row r="33" spans="1:20">
      <c r="A33" s="201" t="s">
        <v>1935</v>
      </c>
      <c r="D33" s="211" t="s">
        <v>591</v>
      </c>
    </row>
    <row r="34" spans="1:20">
      <c r="A34" s="201"/>
    </row>
    <row r="43" spans="1:20">
      <c r="L43" s="181" t="str">
        <f>COMPANY</f>
        <v>DUKE ENERGY KENTUCKY, INC.</v>
      </c>
      <c r="M43" s="182"/>
      <c r="N43" s="182"/>
      <c r="O43" s="182"/>
      <c r="P43" s="182"/>
      <c r="Q43" s="182"/>
      <c r="R43" s="181" t="s">
        <v>900</v>
      </c>
      <c r="S43" s="182"/>
      <c r="T43" s="165"/>
    </row>
    <row r="44" spans="1:20">
      <c r="L44" s="181" t="str">
        <f>DEPT</f>
        <v>GAS DEPARTMENT</v>
      </c>
      <c r="M44" s="182"/>
      <c r="N44" s="182"/>
      <c r="O44" s="182"/>
      <c r="P44" s="182"/>
      <c r="Q44" s="182"/>
      <c r="R44" s="181" t="s">
        <v>1937</v>
      </c>
      <c r="S44" s="182"/>
      <c r="T44" s="165"/>
    </row>
    <row r="45" spans="1:20">
      <c r="L45" s="181" t="str">
        <f>CASE</f>
        <v>CASE NO. 2018-00261</v>
      </c>
      <c r="M45" s="182"/>
      <c r="N45" s="182"/>
      <c r="O45" s="182"/>
      <c r="P45" s="182"/>
      <c r="Q45" s="182"/>
      <c r="R45" s="182" t="str">
        <f>_WIT9</f>
        <v>R. H. PRATT</v>
      </c>
      <c r="S45" s="182"/>
      <c r="T45" s="165"/>
    </row>
    <row r="46" spans="1:20">
      <c r="L46" s="181" t="s">
        <v>436</v>
      </c>
      <c r="M46" s="182"/>
      <c r="N46" s="182"/>
      <c r="O46" s="182"/>
      <c r="P46" s="182"/>
      <c r="Q46" s="182"/>
      <c r="R46" s="183"/>
      <c r="S46" s="182"/>
      <c r="T46" s="165"/>
    </row>
    <row r="47" spans="1:20">
      <c r="L47" s="181" t="s">
        <v>435</v>
      </c>
      <c r="M47" s="182"/>
      <c r="N47" s="182"/>
      <c r="O47" s="182"/>
      <c r="P47" s="182"/>
      <c r="Q47" s="182"/>
      <c r="R47" s="182"/>
      <c r="S47" s="182"/>
      <c r="T47" s="165"/>
    </row>
    <row r="48" spans="1:20">
      <c r="L48" s="165"/>
      <c r="M48" s="165"/>
      <c r="N48" s="165"/>
      <c r="O48" s="165"/>
      <c r="P48" s="165"/>
      <c r="Q48" s="165"/>
      <c r="R48" s="165"/>
      <c r="S48" s="165"/>
      <c r="T48" s="165"/>
    </row>
    <row r="49" spans="12:20">
      <c r="L49" s="165"/>
      <c r="M49" s="165"/>
      <c r="N49" s="165"/>
      <c r="O49" s="165"/>
      <c r="P49" s="165"/>
      <c r="Q49" s="165"/>
      <c r="R49" s="165"/>
      <c r="S49" s="165"/>
      <c r="T49" s="165"/>
    </row>
    <row r="50" spans="12:20">
      <c r="L50" s="184" t="s">
        <v>1938</v>
      </c>
      <c r="M50" s="184"/>
      <c r="N50" s="184"/>
      <c r="O50" s="184"/>
      <c r="P50" s="184" t="s">
        <v>1986</v>
      </c>
      <c r="Q50" s="184"/>
      <c r="R50" s="1222" t="s">
        <v>1232</v>
      </c>
      <c r="S50" s="184"/>
      <c r="T50" s="184"/>
    </row>
    <row r="51" spans="12:20">
      <c r="L51" s="185" t="s">
        <v>1939</v>
      </c>
      <c r="M51" s="185"/>
      <c r="N51" s="185" t="s">
        <v>1988</v>
      </c>
      <c r="O51" s="185"/>
      <c r="P51" s="185" t="s">
        <v>1989</v>
      </c>
      <c r="Q51" s="185"/>
      <c r="R51" s="185" t="s">
        <v>1989</v>
      </c>
      <c r="S51" s="185"/>
      <c r="T51" s="185" t="s">
        <v>1940</v>
      </c>
    </row>
    <row r="52" spans="12:20">
      <c r="L52" s="165"/>
      <c r="M52" s="165"/>
      <c r="N52" s="165"/>
      <c r="O52" s="165"/>
      <c r="P52" s="165"/>
      <c r="Q52" s="165"/>
      <c r="R52" s="165"/>
      <c r="S52" s="165"/>
      <c r="T52" s="165"/>
    </row>
    <row r="53" spans="12:20" ht="15.6" thickBot="1">
      <c r="L53" s="184">
        <v>1</v>
      </c>
      <c r="M53" s="165"/>
      <c r="N53" s="201" t="s">
        <v>1276</v>
      </c>
      <c r="O53" s="165"/>
      <c r="P53" s="190">
        <f>SCH_C2!E36</f>
        <v>434799</v>
      </c>
      <c r="Q53" s="165"/>
      <c r="R53" s="190">
        <f ca="1">SCH_C2!H36</f>
        <v>426836</v>
      </c>
      <c r="S53" s="165"/>
      <c r="T53" s="190">
        <f ca="1">R53-P53</f>
        <v>-7963</v>
      </c>
    </row>
    <row r="54" spans="12:20" ht="15.6" thickTop="1">
      <c r="L54" s="184"/>
      <c r="M54" s="165"/>
      <c r="N54" s="165"/>
      <c r="O54" s="165"/>
      <c r="P54" s="165"/>
      <c r="Q54" s="165"/>
      <c r="R54" s="165"/>
      <c r="S54" s="165"/>
      <c r="T54" s="165"/>
    </row>
    <row r="55" spans="12:20">
      <c r="L55" s="165"/>
      <c r="M55" s="165"/>
      <c r="N55" s="165"/>
      <c r="O55" s="165"/>
      <c r="P55" s="165"/>
      <c r="Q55" s="165"/>
      <c r="R55" s="165"/>
      <c r="S55" s="165"/>
      <c r="T55" s="165"/>
    </row>
    <row r="56" spans="12:20">
      <c r="L56" s="165"/>
      <c r="M56" s="165"/>
      <c r="N56" s="165"/>
      <c r="O56" s="165"/>
      <c r="P56" s="165"/>
      <c r="Q56" s="165"/>
      <c r="R56" s="165"/>
      <c r="S56" s="165"/>
      <c r="T56" s="165"/>
    </row>
    <row r="57" spans="12:20">
      <c r="L57" s="165"/>
      <c r="M57" s="165"/>
      <c r="N57" s="165"/>
      <c r="O57" s="165"/>
      <c r="P57" s="165"/>
      <c r="Q57" s="165"/>
      <c r="R57" s="165"/>
      <c r="S57" s="165"/>
      <c r="T57" s="184" t="s">
        <v>379</v>
      </c>
    </row>
    <row r="60" spans="12:20">
      <c r="R60" s="213"/>
    </row>
  </sheetData>
  <phoneticPr fontId="4" type="noConversion"/>
  <pageMargins left="1" right="0.75" top="0.78740157480314998" bottom="0" header="0" footer="0"/>
  <pageSetup scale="76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theme="7" tint="0.39997558519241921"/>
    <pageSetUpPr fitToPage="1"/>
  </sheetPr>
  <dimension ref="A1:T60"/>
  <sheetViews>
    <sheetView zoomScale="75" workbookViewId="0"/>
  </sheetViews>
  <sheetFormatPr defaultColWidth="8" defaultRowHeight="15"/>
  <cols>
    <col min="1" max="1" width="8" style="198" customWidth="1"/>
    <col min="2" max="2" width="25.109375" style="198" customWidth="1"/>
    <col min="3" max="3" width="8" style="198" customWidth="1"/>
    <col min="4" max="4" width="10.44140625" style="198" customWidth="1"/>
    <col min="5" max="7" width="8" style="198" customWidth="1"/>
    <col min="8" max="8" width="12.44140625" style="198" customWidth="1"/>
    <col min="9" max="9" width="10" style="198" customWidth="1"/>
    <col min="10" max="10" width="18.44140625" style="198" customWidth="1"/>
    <col min="11" max="12" width="8" style="198" customWidth="1"/>
    <col min="13" max="13" width="2.44140625" style="198" customWidth="1"/>
    <col min="14" max="14" width="42.109375" style="198" customWidth="1"/>
    <col min="15" max="15" width="3.88671875" style="198" customWidth="1"/>
    <col min="16" max="16" width="16" style="198" customWidth="1"/>
    <col min="17" max="17" width="1.88671875" style="198" customWidth="1"/>
    <col min="18" max="18" width="18.109375" style="198" customWidth="1"/>
    <col min="19" max="19" width="2.33203125" style="198" customWidth="1"/>
    <col min="20" max="20" width="16.44140625" style="198" customWidth="1"/>
    <col min="21" max="16384" width="8" style="198"/>
  </cols>
  <sheetData>
    <row r="1" spans="1:11">
      <c r="A1" s="196" t="str">
        <f>LOGO!B5</f>
        <v>DUKE ENERGY KENTUCKY, INC.</v>
      </c>
      <c r="B1" s="197"/>
      <c r="C1" s="197"/>
      <c r="D1" s="197"/>
      <c r="E1" s="197"/>
      <c r="F1" s="197"/>
      <c r="G1" s="197"/>
      <c r="H1" s="197"/>
      <c r="I1" s="197"/>
      <c r="J1" s="197"/>
    </row>
    <row r="2" spans="1:11">
      <c r="A2" s="196" t="str">
        <f>LOGO!B6</f>
        <v>CASE NO. 2018-00261</v>
      </c>
      <c r="B2" s="197"/>
      <c r="C2" s="197"/>
      <c r="D2" s="197"/>
      <c r="E2" s="197"/>
      <c r="F2" s="197"/>
      <c r="G2" s="197"/>
      <c r="H2" s="197"/>
      <c r="I2" s="197"/>
      <c r="J2" s="197"/>
    </row>
    <row r="3" spans="1:11">
      <c r="A3" s="163" t="s">
        <v>1661</v>
      </c>
      <c r="B3" s="197"/>
      <c r="C3" s="197"/>
      <c r="D3" s="197"/>
      <c r="E3" s="197"/>
      <c r="F3" s="197"/>
      <c r="G3" s="197"/>
      <c r="H3" s="197"/>
      <c r="I3" s="197"/>
      <c r="J3" s="197"/>
    </row>
    <row r="4" spans="1:11">
      <c r="A4" s="163" t="str">
        <f>PeriodF</f>
        <v>FOR THE TWELVE MONTHS ENDED MARCH 31, 2020</v>
      </c>
      <c r="B4" s="197"/>
      <c r="C4" s="197"/>
      <c r="D4" s="197"/>
      <c r="E4" s="197"/>
      <c r="F4" s="197"/>
      <c r="G4" s="197"/>
      <c r="H4" s="197"/>
      <c r="I4" s="197"/>
      <c r="J4" s="197"/>
    </row>
    <row r="6" spans="1:11">
      <c r="A6" s="199" t="str">
        <f>Data</f>
        <v>DATA: "X" BASE PERIOD   FORECASTED PERIOD</v>
      </c>
      <c r="I6" s="200" t="s">
        <v>210</v>
      </c>
    </row>
    <row r="7" spans="1:11">
      <c r="A7" s="199" t="str">
        <f>LOGO!B15</f>
        <v xml:space="preserve">TYPE OF FILING:  "X" ORIGINAL   UPDATED    REVISED  </v>
      </c>
      <c r="I7" s="201" t="s">
        <v>564</v>
      </c>
    </row>
    <row r="8" spans="1:11">
      <c r="A8" s="201" t="s">
        <v>1451</v>
      </c>
      <c r="I8" s="201" t="s">
        <v>566</v>
      </c>
    </row>
    <row r="9" spans="1:11">
      <c r="I9" s="201" t="str">
        <f>_WIT9</f>
        <v>R. H. PRATT</v>
      </c>
    </row>
    <row r="10" spans="1:11">
      <c r="A10" s="202"/>
      <c r="B10" s="202"/>
      <c r="C10" s="202"/>
      <c r="D10" s="202"/>
      <c r="E10" s="202"/>
      <c r="F10" s="202"/>
      <c r="G10" s="202"/>
      <c r="H10" s="202"/>
      <c r="I10" s="202"/>
      <c r="J10" s="202"/>
      <c r="K10" s="201"/>
    </row>
    <row r="12" spans="1:11">
      <c r="A12" s="201" t="s">
        <v>1942</v>
      </c>
      <c r="J12" s="203" t="s">
        <v>2098</v>
      </c>
    </row>
    <row r="13" spans="1:11">
      <c r="A13" s="202"/>
      <c r="B13" s="202"/>
      <c r="C13" s="202"/>
      <c r="D13" s="202"/>
      <c r="E13" s="202"/>
      <c r="F13" s="202"/>
      <c r="G13" s="202"/>
      <c r="H13" s="202"/>
      <c r="I13" s="202"/>
      <c r="J13" s="202"/>
      <c r="K13" s="201"/>
    </row>
    <row r="14" spans="1:11">
      <c r="J14" s="204"/>
    </row>
    <row r="15" spans="1:11">
      <c r="A15" s="66" t="s">
        <v>495</v>
      </c>
    </row>
    <row r="16" spans="1:11">
      <c r="A16" s="66" t="s">
        <v>1241</v>
      </c>
    </row>
    <row r="17" spans="1:10">
      <c r="A17" s="201"/>
    </row>
    <row r="18" spans="1:10">
      <c r="A18" s="201"/>
    </row>
    <row r="19" spans="1:10">
      <c r="A19" s="201"/>
    </row>
    <row r="20" spans="1:10">
      <c r="A20" s="201"/>
      <c r="H20" s="204"/>
    </row>
    <row r="21" spans="1:10">
      <c r="A21" s="205"/>
      <c r="H21" s="206"/>
    </row>
    <row r="23" spans="1:10">
      <c r="A23" s="201" t="s">
        <v>496</v>
      </c>
      <c r="I23" s="208"/>
      <c r="J23" s="172">
        <f ca="1">T53</f>
        <v>32237</v>
      </c>
    </row>
    <row r="24" spans="1:10">
      <c r="J24" s="208"/>
    </row>
    <row r="26" spans="1:10">
      <c r="A26" s="201" t="s">
        <v>349</v>
      </c>
      <c r="J26" s="209">
        <f>VLOOKUP(D33,ALLOCTABLE,2)/100</f>
        <v>1</v>
      </c>
    </row>
    <row r="27" spans="1:10">
      <c r="J27" s="208"/>
    </row>
    <row r="29" spans="1:10" ht="16.8">
      <c r="A29" s="201" t="s">
        <v>1934</v>
      </c>
      <c r="F29" s="201" t="s">
        <v>383</v>
      </c>
      <c r="I29" s="208"/>
      <c r="J29" s="210">
        <f ca="1">ROUND(J23*J26,0)</f>
        <v>32237</v>
      </c>
    </row>
    <row r="30" spans="1:10">
      <c r="J30" s="208"/>
    </row>
    <row r="33" spans="1:20">
      <c r="A33" s="201" t="s">
        <v>1935</v>
      </c>
      <c r="D33" s="211" t="s">
        <v>591</v>
      </c>
    </row>
    <row r="34" spans="1:20">
      <c r="A34" s="201"/>
    </row>
    <row r="43" spans="1:20">
      <c r="L43" s="181" t="str">
        <f>COMPANY</f>
        <v>DUKE ENERGY KENTUCKY, INC.</v>
      </c>
      <c r="M43" s="182"/>
      <c r="N43" s="182"/>
      <c r="O43" s="182"/>
      <c r="P43" s="182"/>
      <c r="Q43" s="182"/>
      <c r="R43" s="181" t="s">
        <v>213</v>
      </c>
      <c r="S43" s="182"/>
      <c r="T43" s="165"/>
    </row>
    <row r="44" spans="1:20">
      <c r="L44" s="181" t="str">
        <f>DEPT</f>
        <v>GAS DEPARTMENT</v>
      </c>
      <c r="M44" s="182"/>
      <c r="N44" s="182"/>
      <c r="O44" s="182"/>
      <c r="P44" s="182"/>
      <c r="Q44" s="182"/>
      <c r="R44" s="181" t="s">
        <v>1937</v>
      </c>
      <c r="S44" s="182"/>
      <c r="T44" s="165"/>
    </row>
    <row r="45" spans="1:20">
      <c r="L45" s="181" t="str">
        <f>CASE</f>
        <v>CASE NO. 2018-00261</v>
      </c>
      <c r="M45" s="182"/>
      <c r="N45" s="182"/>
      <c r="O45" s="182"/>
      <c r="P45" s="182"/>
      <c r="Q45" s="182"/>
      <c r="R45" s="182" t="str">
        <f>_WIT9</f>
        <v>R. H. PRATT</v>
      </c>
      <c r="S45" s="182"/>
      <c r="T45" s="165"/>
    </row>
    <row r="46" spans="1:20">
      <c r="L46" s="181" t="s">
        <v>2042</v>
      </c>
      <c r="M46" s="182"/>
      <c r="N46" s="182"/>
      <c r="O46" s="182"/>
      <c r="P46" s="182"/>
      <c r="Q46" s="182"/>
      <c r="R46" s="183"/>
      <c r="S46" s="182"/>
      <c r="T46" s="165"/>
    </row>
    <row r="47" spans="1:20">
      <c r="L47" s="181"/>
      <c r="M47" s="182"/>
      <c r="N47" s="182"/>
      <c r="O47" s="182"/>
      <c r="P47" s="182"/>
      <c r="Q47" s="182"/>
      <c r="R47" s="182"/>
      <c r="S47" s="182"/>
      <c r="T47" s="165"/>
    </row>
    <row r="48" spans="1:20">
      <c r="L48" s="165"/>
      <c r="M48" s="165"/>
      <c r="N48" s="165"/>
      <c r="O48" s="165"/>
      <c r="P48" s="165"/>
      <c r="Q48" s="165"/>
      <c r="R48" s="165"/>
      <c r="S48" s="165"/>
      <c r="T48" s="165"/>
    </row>
    <row r="49" spans="12:20">
      <c r="L49" s="165"/>
      <c r="M49" s="165"/>
      <c r="N49" s="165"/>
      <c r="O49" s="165"/>
      <c r="P49" s="165"/>
      <c r="Q49" s="165"/>
      <c r="R49" s="165"/>
      <c r="S49" s="165"/>
      <c r="T49" s="165"/>
    </row>
    <row r="50" spans="12:20">
      <c r="L50" s="184" t="s">
        <v>1938</v>
      </c>
      <c r="M50" s="184"/>
      <c r="N50" s="184"/>
      <c r="O50" s="184"/>
      <c r="P50" s="184" t="s">
        <v>1986</v>
      </c>
      <c r="Q50" s="184"/>
      <c r="R50" s="1222" t="s">
        <v>1232</v>
      </c>
      <c r="S50" s="184"/>
      <c r="T50" s="184"/>
    </row>
    <row r="51" spans="12:20">
      <c r="L51" s="185" t="s">
        <v>1939</v>
      </c>
      <c r="M51" s="185"/>
      <c r="N51" s="185" t="s">
        <v>1988</v>
      </c>
      <c r="O51" s="185"/>
      <c r="P51" s="185" t="s">
        <v>1989</v>
      </c>
      <c r="Q51" s="185"/>
      <c r="R51" s="185" t="s">
        <v>1989</v>
      </c>
      <c r="S51" s="185"/>
      <c r="T51" s="185" t="s">
        <v>1940</v>
      </c>
    </row>
    <row r="52" spans="12:20">
      <c r="L52" s="165"/>
      <c r="M52" s="165"/>
      <c r="N52" s="165"/>
      <c r="O52" s="165"/>
      <c r="P52" s="165"/>
      <c r="Q52" s="165"/>
      <c r="R52" s="165"/>
      <c r="S52" s="165"/>
      <c r="T52" s="165"/>
    </row>
    <row r="53" spans="12:20" ht="15.6" thickBot="1">
      <c r="L53" s="184">
        <v>1</v>
      </c>
      <c r="M53" s="165"/>
      <c r="N53" s="201" t="s">
        <v>1278</v>
      </c>
      <c r="O53" s="165"/>
      <c r="P53" s="190">
        <f>SCH_C2!E37</f>
        <v>168230</v>
      </c>
      <c r="Q53" s="165"/>
      <c r="R53" s="190">
        <f ca="1">SCH_C2!H37</f>
        <v>200467</v>
      </c>
      <c r="S53" s="165"/>
      <c r="T53" s="190">
        <f ca="1">R53-P53</f>
        <v>32237</v>
      </c>
    </row>
    <row r="54" spans="12:20" ht="15.6" thickTop="1">
      <c r="L54" s="184"/>
      <c r="M54" s="165"/>
      <c r="N54" s="165"/>
      <c r="O54" s="165"/>
      <c r="P54" s="165"/>
      <c r="Q54" s="165"/>
      <c r="R54" s="165"/>
      <c r="S54" s="165"/>
      <c r="T54" s="165"/>
    </row>
    <row r="55" spans="12:20">
      <c r="L55" s="165"/>
      <c r="M55" s="165"/>
      <c r="N55" s="165"/>
      <c r="O55" s="165"/>
      <c r="P55" s="165"/>
      <c r="Q55" s="165"/>
      <c r="R55" s="165"/>
      <c r="S55" s="165"/>
      <c r="T55" s="165"/>
    </row>
    <row r="56" spans="12:20">
      <c r="L56" s="165"/>
      <c r="M56" s="165"/>
      <c r="N56" s="165"/>
      <c r="O56" s="165"/>
      <c r="P56" s="165"/>
      <c r="Q56" s="165"/>
      <c r="R56" s="165"/>
      <c r="S56" s="165"/>
      <c r="T56" s="165"/>
    </row>
    <row r="57" spans="12:20">
      <c r="L57" s="165"/>
      <c r="M57" s="165"/>
      <c r="N57" s="165"/>
      <c r="O57" s="165"/>
      <c r="P57" s="165"/>
      <c r="Q57" s="165"/>
      <c r="R57" s="165"/>
      <c r="S57" s="165"/>
      <c r="T57" s="184" t="s">
        <v>379</v>
      </c>
    </row>
    <row r="60" spans="12:20">
      <c r="R60" s="213"/>
    </row>
  </sheetData>
  <phoneticPr fontId="4" type="noConversion"/>
  <pageMargins left="1" right="0.75" top="0.78740157480314998" bottom="0" header="0" footer="0"/>
  <pageSetup scale="77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theme="7" tint="0.39997558519241921"/>
    <pageSetUpPr fitToPage="1"/>
  </sheetPr>
  <dimension ref="A1:T60"/>
  <sheetViews>
    <sheetView zoomScale="75" workbookViewId="0"/>
  </sheetViews>
  <sheetFormatPr defaultColWidth="8" defaultRowHeight="15"/>
  <cols>
    <col min="1" max="1" width="8" style="198" customWidth="1"/>
    <col min="2" max="2" width="25.109375" style="198" customWidth="1"/>
    <col min="3" max="3" width="8" style="198" customWidth="1"/>
    <col min="4" max="4" width="10.44140625" style="198" customWidth="1"/>
    <col min="5" max="7" width="8" style="198" customWidth="1"/>
    <col min="8" max="8" width="12.44140625" style="198" customWidth="1"/>
    <col min="9" max="9" width="10" style="198" customWidth="1"/>
    <col min="10" max="10" width="18.44140625" style="198" customWidth="1"/>
    <col min="11" max="12" width="8" style="198" customWidth="1"/>
    <col min="13" max="13" width="2.44140625" style="198" customWidth="1"/>
    <col min="14" max="14" width="42.109375" style="198" customWidth="1"/>
    <col min="15" max="15" width="3.88671875" style="198" customWidth="1"/>
    <col min="16" max="16" width="16" style="198" customWidth="1"/>
    <col min="17" max="17" width="1.88671875" style="198" customWidth="1"/>
    <col min="18" max="18" width="18.109375" style="198" customWidth="1"/>
    <col min="19" max="19" width="2.33203125" style="198" customWidth="1"/>
    <col min="20" max="20" width="16.44140625" style="198" customWidth="1"/>
    <col min="21" max="16384" width="8" style="198"/>
  </cols>
  <sheetData>
    <row r="1" spans="1:11">
      <c r="A1" s="196" t="str">
        <f>LOGO!B5</f>
        <v>DUKE ENERGY KENTUCKY, INC.</v>
      </c>
      <c r="B1" s="197"/>
      <c r="C1" s="197"/>
      <c r="D1" s="197"/>
      <c r="E1" s="197"/>
      <c r="F1" s="197"/>
      <c r="G1" s="197"/>
      <c r="H1" s="197"/>
      <c r="I1" s="197"/>
      <c r="J1" s="197"/>
    </row>
    <row r="2" spans="1:11">
      <c r="A2" s="196" t="str">
        <f>LOGO!B6</f>
        <v>CASE NO. 2018-00261</v>
      </c>
      <c r="B2" s="197"/>
      <c r="C2" s="197"/>
      <c r="D2" s="197"/>
      <c r="E2" s="197"/>
      <c r="F2" s="197"/>
      <c r="G2" s="197"/>
      <c r="H2" s="197"/>
      <c r="I2" s="197"/>
      <c r="J2" s="197"/>
    </row>
    <row r="3" spans="1:11">
      <c r="A3" s="163" t="s">
        <v>1662</v>
      </c>
      <c r="B3" s="197"/>
      <c r="C3" s="197"/>
      <c r="D3" s="197"/>
      <c r="E3" s="197"/>
      <c r="F3" s="197"/>
      <c r="G3" s="197"/>
      <c r="H3" s="197"/>
      <c r="I3" s="197"/>
      <c r="J3" s="197"/>
    </row>
    <row r="4" spans="1:11">
      <c r="A4" s="163" t="str">
        <f>PeriodF</f>
        <v>FOR THE TWELVE MONTHS ENDED MARCH 31, 2020</v>
      </c>
      <c r="B4" s="197"/>
      <c r="C4" s="197"/>
      <c r="D4" s="197"/>
      <c r="E4" s="197"/>
      <c r="F4" s="197"/>
      <c r="G4" s="197"/>
      <c r="H4" s="197"/>
      <c r="I4" s="197"/>
      <c r="J4" s="197"/>
    </row>
    <row r="6" spans="1:11">
      <c r="A6" s="199" t="str">
        <f>Data</f>
        <v>DATA: "X" BASE PERIOD   FORECASTED PERIOD</v>
      </c>
      <c r="I6" s="200" t="s">
        <v>126</v>
      </c>
    </row>
    <row r="7" spans="1:11">
      <c r="A7" s="199" t="str">
        <f>LOGO!B15</f>
        <v xml:space="preserve">TYPE OF FILING:  "X" ORIGINAL   UPDATED    REVISED  </v>
      </c>
      <c r="I7" s="201" t="s">
        <v>564</v>
      </c>
    </row>
    <row r="8" spans="1:11">
      <c r="A8" s="201" t="s">
        <v>1450</v>
      </c>
      <c r="I8" s="201" t="s">
        <v>566</v>
      </c>
    </row>
    <row r="9" spans="1:11">
      <c r="I9" s="201" t="str">
        <f>_WIT9</f>
        <v>R. H. PRATT</v>
      </c>
    </row>
    <row r="10" spans="1:11">
      <c r="A10" s="202"/>
      <c r="B10" s="202"/>
      <c r="C10" s="202"/>
      <c r="D10" s="202"/>
      <c r="E10" s="202"/>
      <c r="F10" s="202"/>
      <c r="G10" s="202"/>
      <c r="H10" s="202"/>
      <c r="I10" s="202"/>
      <c r="J10" s="202"/>
      <c r="K10" s="201"/>
    </row>
    <row r="12" spans="1:11">
      <c r="A12" s="201" t="s">
        <v>1942</v>
      </c>
      <c r="J12" s="203" t="s">
        <v>2098</v>
      </c>
    </row>
    <row r="13" spans="1:11">
      <c r="A13" s="202"/>
      <c r="B13" s="202"/>
      <c r="C13" s="202"/>
      <c r="D13" s="202"/>
      <c r="E13" s="202"/>
      <c r="F13" s="202"/>
      <c r="G13" s="202"/>
      <c r="H13" s="202"/>
      <c r="I13" s="202"/>
      <c r="J13" s="202"/>
      <c r="K13" s="201"/>
    </row>
    <row r="14" spans="1:11">
      <c r="J14" s="204"/>
    </row>
    <row r="15" spans="1:11">
      <c r="A15" s="66" t="s">
        <v>211</v>
      </c>
    </row>
    <row r="16" spans="1:11">
      <c r="A16" s="66" t="s">
        <v>1241</v>
      </c>
    </row>
    <row r="17" spans="1:10">
      <c r="A17" s="201"/>
    </row>
    <row r="18" spans="1:10">
      <c r="A18" s="201"/>
    </row>
    <row r="19" spans="1:10">
      <c r="A19" s="201"/>
    </row>
    <row r="20" spans="1:10">
      <c r="A20" s="201"/>
      <c r="H20" s="204"/>
    </row>
    <row r="21" spans="1:10">
      <c r="A21" s="205"/>
      <c r="H21" s="206"/>
    </row>
    <row r="23" spans="1:10">
      <c r="A23" s="201" t="s">
        <v>212</v>
      </c>
      <c r="I23" s="208"/>
      <c r="J23" s="172">
        <f ca="1">T53</f>
        <v>-593730</v>
      </c>
    </row>
    <row r="24" spans="1:10">
      <c r="J24" s="208"/>
    </row>
    <row r="26" spans="1:10">
      <c r="A26" s="201" t="s">
        <v>349</v>
      </c>
      <c r="J26" s="209">
        <f>VLOOKUP(D33,ALLOCTABLE,2)/100</f>
        <v>1</v>
      </c>
    </row>
    <row r="27" spans="1:10">
      <c r="J27" s="208"/>
    </row>
    <row r="29" spans="1:10" ht="16.8">
      <c r="A29" s="201" t="s">
        <v>1934</v>
      </c>
      <c r="F29" s="201" t="s">
        <v>383</v>
      </c>
      <c r="I29" s="208"/>
      <c r="J29" s="210">
        <f ca="1">ROUND(J23*J26,0)</f>
        <v>-593730</v>
      </c>
    </row>
    <row r="30" spans="1:10">
      <c r="J30" s="208"/>
    </row>
    <row r="33" spans="1:20">
      <c r="A33" s="201" t="s">
        <v>1935</v>
      </c>
      <c r="D33" s="211" t="s">
        <v>591</v>
      </c>
    </row>
    <row r="34" spans="1:20">
      <c r="A34" s="201"/>
    </row>
    <row r="43" spans="1:20">
      <c r="L43" s="181" t="str">
        <f>COMPANY</f>
        <v>DUKE ENERGY KENTUCKY, INC.</v>
      </c>
      <c r="M43" s="182"/>
      <c r="N43" s="182"/>
      <c r="O43" s="182"/>
      <c r="P43" s="182"/>
      <c r="Q43" s="182"/>
      <c r="R43" s="181" t="s">
        <v>1596</v>
      </c>
      <c r="S43" s="182"/>
      <c r="T43" s="165"/>
    </row>
    <row r="44" spans="1:20">
      <c r="L44" s="181" t="str">
        <f>DEPT</f>
        <v>GAS DEPARTMENT</v>
      </c>
      <c r="M44" s="182"/>
      <c r="N44" s="182"/>
      <c r="O44" s="182"/>
      <c r="P44" s="182"/>
      <c r="Q44" s="182"/>
      <c r="R44" s="181" t="s">
        <v>1937</v>
      </c>
      <c r="S44" s="182"/>
      <c r="T44" s="165"/>
    </row>
    <row r="45" spans="1:20">
      <c r="L45" s="181" t="str">
        <f>CASE</f>
        <v>CASE NO. 2018-00261</v>
      </c>
      <c r="M45" s="182"/>
      <c r="N45" s="182"/>
      <c r="O45" s="182"/>
      <c r="P45" s="182"/>
      <c r="Q45" s="182"/>
      <c r="R45" s="182" t="str">
        <f>_WIT9</f>
        <v>R. H. PRATT</v>
      </c>
      <c r="S45" s="182"/>
      <c r="T45" s="165"/>
    </row>
    <row r="46" spans="1:20">
      <c r="L46" s="181" t="s">
        <v>214</v>
      </c>
      <c r="M46" s="182"/>
      <c r="N46" s="182"/>
      <c r="O46" s="182"/>
      <c r="P46" s="182"/>
      <c r="Q46" s="182"/>
      <c r="R46" s="183"/>
      <c r="S46" s="182"/>
      <c r="T46" s="165"/>
    </row>
    <row r="47" spans="1:20">
      <c r="L47" s="181"/>
      <c r="M47" s="182"/>
      <c r="N47" s="182"/>
      <c r="O47" s="182"/>
      <c r="P47" s="182"/>
      <c r="Q47" s="182"/>
      <c r="R47" s="182"/>
      <c r="S47" s="182"/>
      <c r="T47" s="165"/>
    </row>
    <row r="48" spans="1:20">
      <c r="L48" s="165"/>
      <c r="M48" s="165"/>
      <c r="N48" s="165"/>
      <c r="O48" s="165"/>
      <c r="P48" s="165"/>
      <c r="Q48" s="165"/>
      <c r="R48" s="165"/>
      <c r="S48" s="165"/>
      <c r="T48" s="165"/>
    </row>
    <row r="49" spans="12:20">
      <c r="L49" s="165"/>
      <c r="M49" s="165"/>
      <c r="N49" s="165"/>
      <c r="O49" s="165"/>
      <c r="P49" s="165"/>
      <c r="Q49" s="165"/>
      <c r="R49" s="165"/>
      <c r="S49" s="165"/>
      <c r="T49" s="165"/>
    </row>
    <row r="50" spans="12:20">
      <c r="L50" s="184" t="s">
        <v>1938</v>
      </c>
      <c r="M50" s="184"/>
      <c r="N50" s="184"/>
      <c r="O50" s="184"/>
      <c r="P50" s="184" t="s">
        <v>1986</v>
      </c>
      <c r="Q50" s="184"/>
      <c r="R50" s="1222" t="s">
        <v>1232</v>
      </c>
      <c r="S50" s="184"/>
      <c r="T50" s="184"/>
    </row>
    <row r="51" spans="12:20">
      <c r="L51" s="185" t="s">
        <v>1939</v>
      </c>
      <c r="M51" s="185"/>
      <c r="N51" s="185" t="s">
        <v>1988</v>
      </c>
      <c r="O51" s="185"/>
      <c r="P51" s="185" t="s">
        <v>1989</v>
      </c>
      <c r="Q51" s="185"/>
      <c r="R51" s="185" t="s">
        <v>1989</v>
      </c>
      <c r="S51" s="185"/>
      <c r="T51" s="185" t="s">
        <v>1940</v>
      </c>
    </row>
    <row r="52" spans="12:20">
      <c r="L52" s="165"/>
      <c r="M52" s="165"/>
      <c r="N52" s="165"/>
      <c r="O52" s="165"/>
      <c r="P52" s="165"/>
      <c r="Q52" s="165"/>
      <c r="R52" s="165"/>
      <c r="S52" s="165"/>
      <c r="T52" s="165"/>
    </row>
    <row r="53" spans="12:20" ht="15.6" thickBot="1">
      <c r="L53" s="184">
        <v>1</v>
      </c>
      <c r="M53" s="165"/>
      <c r="N53" s="201" t="s">
        <v>215</v>
      </c>
      <c r="O53" s="165"/>
      <c r="P53" s="190">
        <f>SCH_C2!E38</f>
        <v>7557603</v>
      </c>
      <c r="Q53" s="165"/>
      <c r="R53" s="190">
        <f ca="1">SCH_C2!H38</f>
        <v>6963873</v>
      </c>
      <c r="S53" s="165"/>
      <c r="T53" s="190">
        <f ca="1">R53-P53</f>
        <v>-593730</v>
      </c>
    </row>
    <row r="54" spans="12:20" ht="15.6" thickTop="1">
      <c r="L54" s="184"/>
      <c r="M54" s="165"/>
      <c r="N54" s="165"/>
      <c r="O54" s="165"/>
      <c r="P54" s="165"/>
      <c r="Q54" s="165"/>
      <c r="R54" s="165"/>
      <c r="S54" s="165"/>
      <c r="T54" s="165"/>
    </row>
    <row r="55" spans="12:20">
      <c r="L55" s="165"/>
      <c r="M55" s="165"/>
      <c r="N55" s="165"/>
      <c r="O55" s="165"/>
      <c r="P55" s="165"/>
      <c r="Q55" s="165"/>
      <c r="R55" s="165"/>
      <c r="S55" s="165"/>
      <c r="T55" s="165"/>
    </row>
    <row r="56" spans="12:20">
      <c r="L56" s="165"/>
      <c r="M56" s="165"/>
      <c r="N56" s="165"/>
      <c r="O56" s="165"/>
      <c r="P56" s="165"/>
      <c r="Q56" s="165"/>
      <c r="R56" s="165"/>
      <c r="S56" s="165"/>
      <c r="T56" s="165"/>
    </row>
    <row r="57" spans="12:20">
      <c r="L57" s="165"/>
      <c r="M57" s="165"/>
      <c r="N57" s="165"/>
      <c r="O57" s="165"/>
      <c r="P57" s="165"/>
      <c r="Q57" s="165"/>
      <c r="R57" s="165"/>
      <c r="S57" s="165"/>
      <c r="T57" s="184" t="s">
        <v>379</v>
      </c>
    </row>
    <row r="60" spans="12:20">
      <c r="R60" s="213"/>
    </row>
  </sheetData>
  <phoneticPr fontId="4" type="noConversion"/>
  <pageMargins left="1" right="0.75" top="0.78740157480314998" bottom="0" header="0" footer="0"/>
  <pageSetup scale="77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tabColor theme="2" tint="-0.499984740745262"/>
  </sheetPr>
  <dimension ref="A1:Q182"/>
  <sheetViews>
    <sheetView zoomScale="80" zoomScaleNormal="80" workbookViewId="0">
      <pane xSplit="5" ySplit="12" topLeftCell="F39" activePane="bottomRight" state="frozen"/>
      <selection pane="topRight"/>
      <selection pane="bottomLeft"/>
      <selection pane="bottomRight"/>
    </sheetView>
  </sheetViews>
  <sheetFormatPr defaultColWidth="15.5546875" defaultRowHeight="13.2"/>
  <cols>
    <col min="1" max="1" width="9.88671875" style="577" customWidth="1"/>
    <col min="2" max="2" width="36" style="539" customWidth="1"/>
    <col min="3" max="3" width="8.44140625" style="577" customWidth="1"/>
    <col min="4" max="4" width="7.88671875" style="577" customWidth="1"/>
    <col min="5" max="5" width="13.5546875" style="539" customWidth="1"/>
    <col min="6" max="17" width="11.88671875" style="539" customWidth="1"/>
    <col min="18" max="16384" width="15.5546875" style="539"/>
  </cols>
  <sheetData>
    <row r="1" spans="1:17">
      <c r="F1" s="1148">
        <v>15</v>
      </c>
      <c r="G1" s="1148">
        <v>16</v>
      </c>
      <c r="H1" s="1148">
        <v>17</v>
      </c>
      <c r="I1" s="1148">
        <v>18</v>
      </c>
      <c r="J1" s="1148">
        <v>19</v>
      </c>
      <c r="K1" s="1148">
        <v>20</v>
      </c>
      <c r="L1" s="1148">
        <v>21</v>
      </c>
      <c r="M1" s="1148">
        <v>22</v>
      </c>
      <c r="N1" s="1148">
        <v>23</v>
      </c>
      <c r="O1" s="1148">
        <v>24</v>
      </c>
      <c r="P1" s="1148">
        <v>25</v>
      </c>
      <c r="Q1" s="1148">
        <v>26</v>
      </c>
    </row>
    <row r="2" spans="1:17">
      <c r="A2" s="576" t="str">
        <f>COMPANY</f>
        <v>DUKE ENERGY KENTUCKY, INC.</v>
      </c>
    </row>
    <row r="3" spans="1:17">
      <c r="A3" s="576" t="str">
        <f>CASE</f>
        <v>CASE NO. 2018-00261</v>
      </c>
    </row>
    <row r="4" spans="1:17">
      <c r="A4" s="578" t="s">
        <v>929</v>
      </c>
    </row>
    <row r="5" spans="1:17">
      <c r="A5" s="578" t="s">
        <v>1231</v>
      </c>
    </row>
    <row r="6" spans="1:17">
      <c r="A6" s="576"/>
    </row>
    <row r="7" spans="1:17">
      <c r="A7" s="576" t="str">
        <f>DataF</f>
        <v>DATA:  BASE PERIOD  "X" FORECASTED PERIOD</v>
      </c>
    </row>
    <row r="8" spans="1:17">
      <c r="A8" s="576" t="str">
        <f>Type</f>
        <v xml:space="preserve">TYPE OF FILING:  "X" ORIGINAL   UPDATED    REVISED  </v>
      </c>
      <c r="F8" s="538"/>
      <c r="G8" s="538"/>
      <c r="H8" s="538"/>
      <c r="I8" s="538"/>
      <c r="J8" s="538"/>
      <c r="K8" s="538"/>
      <c r="L8" s="538"/>
      <c r="M8" s="538"/>
      <c r="N8" s="538"/>
      <c r="O8" s="538"/>
      <c r="P8" s="538"/>
      <c r="Q8" s="538"/>
    </row>
    <row r="11" spans="1:17" ht="13.8" thickBot="1">
      <c r="B11" s="538"/>
      <c r="E11" s="579"/>
      <c r="F11" s="1592" t="s">
        <v>2358</v>
      </c>
      <c r="G11" s="1592" t="s">
        <v>2358</v>
      </c>
      <c r="H11" s="1592" t="s">
        <v>2358</v>
      </c>
      <c r="I11" s="1592" t="s">
        <v>2358</v>
      </c>
      <c r="J11" s="1592" t="s">
        <v>2358</v>
      </c>
      <c r="K11" s="1592" t="s">
        <v>2358</v>
      </c>
      <c r="L11" s="1592" t="s">
        <v>2358</v>
      </c>
      <c r="M11" s="1592" t="s">
        <v>2358</v>
      </c>
      <c r="N11" s="1592" t="s">
        <v>2358</v>
      </c>
      <c r="O11" s="1592" t="s">
        <v>2358</v>
      </c>
      <c r="P11" s="1592" t="s">
        <v>2358</v>
      </c>
      <c r="Q11" s="1592" t="s">
        <v>2358</v>
      </c>
    </row>
    <row r="12" spans="1:17" ht="13.8" thickBot="1">
      <c r="A12" s="3557" t="s">
        <v>1987</v>
      </c>
      <c r="B12" s="3558" t="s">
        <v>1988</v>
      </c>
      <c r="C12" s="3557" t="s">
        <v>573</v>
      </c>
      <c r="D12" s="3557" t="s">
        <v>1041</v>
      </c>
      <c r="E12" s="3558" t="s">
        <v>2153</v>
      </c>
      <c r="F12" s="575">
        <f>LOGO!J7</f>
        <v>43585</v>
      </c>
      <c r="G12" s="575">
        <f>LOGO!J8</f>
        <v>43616</v>
      </c>
      <c r="H12" s="575">
        <f>LOGO!J9</f>
        <v>43646</v>
      </c>
      <c r="I12" s="575">
        <f>LOGO!J10</f>
        <v>43677</v>
      </c>
      <c r="J12" s="575">
        <f>LOGO!J11</f>
        <v>43708</v>
      </c>
      <c r="K12" s="575">
        <f>LOGO!J12</f>
        <v>43738</v>
      </c>
      <c r="L12" s="575">
        <f>LOGO!J13</f>
        <v>43769</v>
      </c>
      <c r="M12" s="575">
        <f>LOGO!J14</f>
        <v>43799</v>
      </c>
      <c r="N12" s="575">
        <f>LOGO!J15</f>
        <v>43830</v>
      </c>
      <c r="O12" s="575">
        <f>LOGO!J16</f>
        <v>43861</v>
      </c>
      <c r="P12" s="575">
        <f>LOGO!J17</f>
        <v>43890</v>
      </c>
      <c r="Q12" s="575">
        <f>LOGO!J18</f>
        <v>43921</v>
      </c>
    </row>
    <row r="13" spans="1:17">
      <c r="A13" s="580">
        <f>'BASE PERIOD'!A12</f>
        <v>403002</v>
      </c>
      <c r="B13" s="1597" t="str">
        <f>'BASE PERIOD'!B12</f>
        <v>Depreciation Expense</v>
      </c>
      <c r="C13" s="580" t="str">
        <f>'BASE PERIOD'!C12</f>
        <v>DEPR</v>
      </c>
      <c r="D13" s="580">
        <f>VALUE(LEFT(A13,3))</f>
        <v>403</v>
      </c>
      <c r="E13" s="564">
        <f>SUM(F13:Q13)</f>
        <v>14349517</v>
      </c>
      <c r="F13" s="3600">
        <v>1179128</v>
      </c>
      <c r="G13" s="3600">
        <v>1178494</v>
      </c>
      <c r="H13" s="3600">
        <v>1177859</v>
      </c>
      <c r="I13" s="3600">
        <v>1187321</v>
      </c>
      <c r="J13" s="3600">
        <v>1186684</v>
      </c>
      <c r="K13" s="3600">
        <v>1186046</v>
      </c>
      <c r="L13" s="3600">
        <v>1200399</v>
      </c>
      <c r="M13" s="3600">
        <v>1199758</v>
      </c>
      <c r="N13" s="3600">
        <v>1199117</v>
      </c>
      <c r="O13" s="3600">
        <v>1218882</v>
      </c>
      <c r="P13" s="3600">
        <v>1218237</v>
      </c>
      <c r="Q13" s="3600">
        <v>1217592</v>
      </c>
    </row>
    <row r="14" spans="1:17">
      <c r="A14" s="580">
        <f>'BASE PERIOD'!A13</f>
        <v>403150</v>
      </c>
      <c r="B14" s="1597" t="str">
        <f>'BASE PERIOD'!B13</f>
        <v>Depreciation Expense - ARO</v>
      </c>
      <c r="C14" s="580" t="str">
        <f>'BASE PERIOD'!C13</f>
        <v>DEPR</v>
      </c>
      <c r="D14" s="580">
        <f t="shared" ref="D14:D78" si="0">VALUE(LEFT(A14,3))</f>
        <v>403</v>
      </c>
      <c r="E14" s="564">
        <f t="shared" ref="E14:E78" si="1">SUM(F14:Q14)</f>
        <v>0</v>
      </c>
      <c r="F14" s="3600">
        <v>0</v>
      </c>
      <c r="G14" s="3600">
        <v>0</v>
      </c>
      <c r="H14" s="3600">
        <v>0</v>
      </c>
      <c r="I14" s="3600">
        <v>0</v>
      </c>
      <c r="J14" s="3600">
        <v>0</v>
      </c>
      <c r="K14" s="3600">
        <v>0</v>
      </c>
      <c r="L14" s="3600">
        <v>0</v>
      </c>
      <c r="M14" s="3600">
        <v>0</v>
      </c>
      <c r="N14" s="3600">
        <v>0</v>
      </c>
      <c r="O14" s="3600">
        <v>0</v>
      </c>
      <c r="P14" s="3600">
        <v>0</v>
      </c>
      <c r="Q14" s="3600">
        <v>0</v>
      </c>
    </row>
    <row r="15" spans="1:17">
      <c r="A15" s="580">
        <f>'BASE PERIOD'!A14</f>
        <v>404200</v>
      </c>
      <c r="B15" s="1597" t="str">
        <f>'BASE PERIOD'!B14</f>
        <v>Amort Exp - Limited Term</v>
      </c>
      <c r="C15" s="580" t="str">
        <f>'BASE PERIOD'!C14</f>
        <v>DEPR</v>
      </c>
      <c r="D15" s="580">
        <f t="shared" si="0"/>
        <v>404</v>
      </c>
      <c r="E15" s="564">
        <f t="shared" si="1"/>
        <v>1350115</v>
      </c>
      <c r="F15" s="3600">
        <v>114471</v>
      </c>
      <c r="G15" s="3600">
        <v>115046</v>
      </c>
      <c r="H15" s="3600">
        <v>111618</v>
      </c>
      <c r="I15" s="3600">
        <v>110956</v>
      </c>
      <c r="J15" s="3600">
        <v>111014</v>
      </c>
      <c r="K15" s="3600">
        <v>111369</v>
      </c>
      <c r="L15" s="3600">
        <v>111935</v>
      </c>
      <c r="M15" s="3600">
        <v>112602</v>
      </c>
      <c r="N15" s="3600">
        <v>112533</v>
      </c>
      <c r="O15" s="3600">
        <v>112963</v>
      </c>
      <c r="P15" s="3600">
        <v>112965</v>
      </c>
      <c r="Q15" s="3600">
        <v>112643</v>
      </c>
    </row>
    <row r="16" spans="1:17">
      <c r="A16" s="580">
        <f>'BASE PERIOD'!A15</f>
        <v>407355</v>
      </c>
      <c r="B16" s="1597" t="str">
        <f>'BASE PERIOD'!B15</f>
        <v>DSM Amortization</v>
      </c>
      <c r="C16" s="580" t="str">
        <f>'BASE PERIOD'!C15</f>
        <v>OTH</v>
      </c>
      <c r="D16" s="580">
        <f t="shared" si="0"/>
        <v>407</v>
      </c>
      <c r="E16" s="564">
        <f t="shared" si="1"/>
        <v>0</v>
      </c>
      <c r="F16" s="3600">
        <v>0</v>
      </c>
      <c r="G16" s="3600">
        <v>0</v>
      </c>
      <c r="H16" s="3600">
        <v>0</v>
      </c>
      <c r="I16" s="3600">
        <v>0</v>
      </c>
      <c r="J16" s="3600">
        <v>0</v>
      </c>
      <c r="K16" s="3600">
        <v>0</v>
      </c>
      <c r="L16" s="3600">
        <v>0</v>
      </c>
      <c r="M16" s="3600">
        <v>0</v>
      </c>
      <c r="N16" s="3600">
        <v>0</v>
      </c>
      <c r="O16" s="3600">
        <v>0</v>
      </c>
      <c r="P16" s="3600">
        <v>0</v>
      </c>
      <c r="Q16" s="3600">
        <v>0</v>
      </c>
    </row>
    <row r="17" spans="1:17">
      <c r="A17" s="580">
        <f>'BASE PERIOD'!A16</f>
        <v>408000</v>
      </c>
      <c r="B17" s="1597" t="str">
        <f>'BASE PERIOD'!B16</f>
        <v>General Taxes</v>
      </c>
      <c r="C17" s="580" t="str">
        <f>'BASE PERIOD'!C16</f>
        <v>OTHTX</v>
      </c>
      <c r="D17" s="580">
        <f t="shared" si="0"/>
        <v>408</v>
      </c>
      <c r="E17" s="564">
        <f t="shared" si="1"/>
        <v>0</v>
      </c>
      <c r="F17" s="3600">
        <v>0</v>
      </c>
      <c r="G17" s="3600">
        <v>0</v>
      </c>
      <c r="H17" s="3600">
        <v>0</v>
      </c>
      <c r="I17" s="3600">
        <v>0</v>
      </c>
      <c r="J17" s="3600">
        <v>0</v>
      </c>
      <c r="K17" s="3600">
        <v>0</v>
      </c>
      <c r="L17" s="3600">
        <v>0</v>
      </c>
      <c r="M17" s="3600">
        <v>0</v>
      </c>
      <c r="N17" s="3600">
        <v>0</v>
      </c>
      <c r="O17" s="3600">
        <v>0</v>
      </c>
      <c r="P17" s="3600">
        <v>0</v>
      </c>
      <c r="Q17" s="3600">
        <v>0</v>
      </c>
    </row>
    <row r="18" spans="1:17">
      <c r="A18" s="580">
        <f>'BASE PERIOD'!A17</f>
        <v>408015</v>
      </c>
      <c r="B18" s="1597" t="str">
        <f>'BASE PERIOD'!B17</f>
        <v>Ohio Property Taxes - General</v>
      </c>
      <c r="C18" s="580" t="str">
        <f>'BASE PERIOD'!C17</f>
        <v>OTHTX</v>
      </c>
      <c r="D18" s="580">
        <f t="shared" si="0"/>
        <v>408</v>
      </c>
      <c r="E18" s="564">
        <f t="shared" si="1"/>
        <v>0</v>
      </c>
      <c r="F18" s="3600">
        <v>0</v>
      </c>
      <c r="G18" s="3600">
        <v>0</v>
      </c>
      <c r="H18" s="3600">
        <v>0</v>
      </c>
      <c r="I18" s="3600">
        <v>0</v>
      </c>
      <c r="J18" s="3600">
        <v>0</v>
      </c>
      <c r="K18" s="3600">
        <v>0</v>
      </c>
      <c r="L18" s="3600">
        <v>0</v>
      </c>
      <c r="M18" s="3600">
        <v>0</v>
      </c>
      <c r="N18" s="3600">
        <v>0</v>
      </c>
      <c r="O18" s="3600">
        <v>0</v>
      </c>
      <c r="P18" s="3600">
        <v>0</v>
      </c>
      <c r="Q18" s="3600">
        <v>0</v>
      </c>
    </row>
    <row r="19" spans="1:17">
      <c r="A19" s="580">
        <f>'BASE PERIOD'!A18</f>
        <v>408040</v>
      </c>
      <c r="B19" s="1597" t="str">
        <f>'BASE PERIOD'!B18</f>
        <v>Taxes Property - Allocated</v>
      </c>
      <c r="C19" s="580" t="str">
        <f>'BASE PERIOD'!C18</f>
        <v>OTHTX</v>
      </c>
      <c r="D19" s="580">
        <f t="shared" ref="D19" si="2">VALUE(LEFT(A19,3))</f>
        <v>408</v>
      </c>
      <c r="E19" s="564">
        <f t="shared" ref="E19" si="3">SUM(F19:Q19)</f>
        <v>33045</v>
      </c>
      <c r="F19" s="3600">
        <v>2747</v>
      </c>
      <c r="G19" s="3600">
        <v>2747</v>
      </c>
      <c r="H19" s="3600">
        <v>2747</v>
      </c>
      <c r="I19" s="3600">
        <v>2747</v>
      </c>
      <c r="J19" s="3600">
        <v>2747</v>
      </c>
      <c r="K19" s="3600">
        <v>2747</v>
      </c>
      <c r="L19" s="3600">
        <v>2747</v>
      </c>
      <c r="M19" s="3600">
        <v>2747</v>
      </c>
      <c r="N19" s="3600">
        <v>2747</v>
      </c>
      <c r="O19" s="3600">
        <v>2774</v>
      </c>
      <c r="P19" s="3600">
        <v>2774</v>
      </c>
      <c r="Q19" s="3600">
        <v>2774</v>
      </c>
    </row>
    <row r="20" spans="1:17">
      <c r="A20" s="580">
        <f>'BASE PERIOD'!A19</f>
        <v>408050</v>
      </c>
      <c r="B20" s="1597" t="str">
        <f>'BASE PERIOD'!B19</f>
        <v>Kentucky Property Tax - Gas</v>
      </c>
      <c r="C20" s="580" t="str">
        <f>'BASE PERIOD'!C19</f>
        <v>OTHTX</v>
      </c>
      <c r="D20" s="580">
        <f t="shared" si="0"/>
        <v>408</v>
      </c>
      <c r="E20" s="564">
        <f t="shared" si="1"/>
        <v>0</v>
      </c>
      <c r="F20" s="3600">
        <v>0</v>
      </c>
      <c r="G20" s="3600">
        <v>0</v>
      </c>
      <c r="H20" s="3600">
        <v>0</v>
      </c>
      <c r="I20" s="3600">
        <v>0</v>
      </c>
      <c r="J20" s="3600">
        <v>0</v>
      </c>
      <c r="K20" s="3600">
        <v>0</v>
      </c>
      <c r="L20" s="3600">
        <v>0</v>
      </c>
      <c r="M20" s="3600">
        <v>0</v>
      </c>
      <c r="N20" s="3600">
        <v>0</v>
      </c>
      <c r="O20" s="3600">
        <v>0</v>
      </c>
      <c r="P20" s="3600">
        <v>0</v>
      </c>
      <c r="Q20" s="3600">
        <v>0</v>
      </c>
    </row>
    <row r="21" spans="1:17">
      <c r="A21" s="580">
        <f>'BASE PERIOD'!A20</f>
        <v>408090</v>
      </c>
      <c r="B21" s="1597" t="str">
        <f>'BASE PERIOD'!B20</f>
        <v>West Virgina Property Tax-Gas</v>
      </c>
      <c r="C21" s="580" t="str">
        <f>'BASE PERIOD'!C20</f>
        <v>OTHTX</v>
      </c>
      <c r="D21" s="580">
        <f t="shared" si="0"/>
        <v>408</v>
      </c>
      <c r="E21" s="564">
        <f t="shared" si="1"/>
        <v>0</v>
      </c>
      <c r="F21" s="3600">
        <v>0</v>
      </c>
      <c r="G21" s="3600">
        <v>0</v>
      </c>
      <c r="H21" s="3600">
        <v>0</v>
      </c>
      <c r="I21" s="3600">
        <v>0</v>
      </c>
      <c r="J21" s="3600">
        <v>0</v>
      </c>
      <c r="K21" s="3600">
        <v>0</v>
      </c>
      <c r="L21" s="3600">
        <v>0</v>
      </c>
      <c r="M21" s="3600">
        <v>0</v>
      </c>
      <c r="N21" s="3600">
        <v>0</v>
      </c>
      <c r="O21" s="3600">
        <v>0</v>
      </c>
      <c r="P21" s="3600">
        <v>0</v>
      </c>
      <c r="Q21" s="3600">
        <v>0</v>
      </c>
    </row>
    <row r="22" spans="1:17">
      <c r="A22" s="580">
        <f>'BASE PERIOD'!A21</f>
        <v>408095</v>
      </c>
      <c r="B22" s="1597" t="str">
        <f>'BASE PERIOD'!B21</f>
        <v>Misc States Property Tax</v>
      </c>
      <c r="C22" s="580" t="str">
        <f>'BASE PERIOD'!C21</f>
        <v>OTHTX</v>
      </c>
      <c r="D22" s="580">
        <f t="shared" si="0"/>
        <v>408</v>
      </c>
      <c r="E22" s="564">
        <f t="shared" si="1"/>
        <v>0</v>
      </c>
      <c r="F22" s="3600">
        <v>0</v>
      </c>
      <c r="G22" s="3600">
        <v>0</v>
      </c>
      <c r="H22" s="3600">
        <v>0</v>
      </c>
      <c r="I22" s="3600">
        <v>0</v>
      </c>
      <c r="J22" s="3600">
        <v>0</v>
      </c>
      <c r="K22" s="3600">
        <v>0</v>
      </c>
      <c r="L22" s="3600">
        <v>0</v>
      </c>
      <c r="M22" s="3600">
        <v>0</v>
      </c>
      <c r="N22" s="3600">
        <v>0</v>
      </c>
      <c r="O22" s="3600">
        <v>0</v>
      </c>
      <c r="P22" s="3600">
        <v>0</v>
      </c>
      <c r="Q22" s="3600">
        <v>0</v>
      </c>
    </row>
    <row r="23" spans="1:17">
      <c r="A23" s="580">
        <f>'BASE PERIOD'!A22</f>
        <v>408121</v>
      </c>
      <c r="B23" s="1597" t="str">
        <f>'BASE PERIOD'!B22</f>
        <v>Taxes Property-Operating</v>
      </c>
      <c r="C23" s="580" t="str">
        <f>'BASE PERIOD'!C22</f>
        <v>OTHTX</v>
      </c>
      <c r="D23" s="580">
        <f t="shared" si="0"/>
        <v>408</v>
      </c>
      <c r="E23" s="564">
        <f t="shared" si="1"/>
        <v>3400416</v>
      </c>
      <c r="F23" s="3600">
        <v>280919</v>
      </c>
      <c r="G23" s="3600">
        <v>280919</v>
      </c>
      <c r="H23" s="3600">
        <v>280919</v>
      </c>
      <c r="I23" s="3600">
        <v>280919</v>
      </c>
      <c r="J23" s="3600">
        <v>280919</v>
      </c>
      <c r="K23" s="3600">
        <v>280919</v>
      </c>
      <c r="L23" s="3600">
        <v>280919</v>
      </c>
      <c r="M23" s="3600">
        <v>280919</v>
      </c>
      <c r="N23" s="3600">
        <v>280919</v>
      </c>
      <c r="O23" s="3600">
        <v>290715</v>
      </c>
      <c r="P23" s="3600">
        <v>290715</v>
      </c>
      <c r="Q23" s="3600">
        <v>290715</v>
      </c>
    </row>
    <row r="24" spans="1:17">
      <c r="A24" s="580">
        <f>'BASE PERIOD'!A23</f>
        <v>408150</v>
      </c>
      <c r="B24" s="1597" t="str">
        <f>'BASE PERIOD'!B23</f>
        <v>State Unemployment Tax</v>
      </c>
      <c r="C24" s="580" t="str">
        <f>'BASE PERIOD'!C23</f>
        <v>OTHTX</v>
      </c>
      <c r="D24" s="580">
        <f t="shared" si="0"/>
        <v>408</v>
      </c>
      <c r="E24" s="564">
        <f t="shared" si="1"/>
        <v>0</v>
      </c>
      <c r="F24" s="3600">
        <v>0</v>
      </c>
      <c r="G24" s="3600">
        <v>0</v>
      </c>
      <c r="H24" s="3600">
        <v>0</v>
      </c>
      <c r="I24" s="3600">
        <v>0</v>
      </c>
      <c r="J24" s="3600">
        <v>0</v>
      </c>
      <c r="K24" s="3600">
        <v>0</v>
      </c>
      <c r="L24" s="3600">
        <v>0</v>
      </c>
      <c r="M24" s="3600">
        <v>0</v>
      </c>
      <c r="N24" s="3600">
        <v>0</v>
      </c>
      <c r="O24" s="3600">
        <v>0</v>
      </c>
      <c r="P24" s="3600">
        <v>0</v>
      </c>
      <c r="Q24" s="3600">
        <v>0</v>
      </c>
    </row>
    <row r="25" spans="1:17">
      <c r="A25" s="580">
        <f>'BASE PERIOD'!A24</f>
        <v>408151</v>
      </c>
      <c r="B25" s="1597" t="str">
        <f>'BASE PERIOD'!B24</f>
        <v>Federal Unemployment Tax</v>
      </c>
      <c r="C25" s="580" t="str">
        <f>'BASE PERIOD'!C24</f>
        <v>OTHTX</v>
      </c>
      <c r="D25" s="580">
        <f t="shared" si="0"/>
        <v>408</v>
      </c>
      <c r="E25" s="564">
        <f t="shared" si="1"/>
        <v>0</v>
      </c>
      <c r="F25" s="3600">
        <v>0</v>
      </c>
      <c r="G25" s="3600">
        <v>0</v>
      </c>
      <c r="H25" s="3600">
        <v>0</v>
      </c>
      <c r="I25" s="3600">
        <v>0</v>
      </c>
      <c r="J25" s="3600">
        <v>0</v>
      </c>
      <c r="K25" s="3600">
        <v>0</v>
      </c>
      <c r="L25" s="3600">
        <v>0</v>
      </c>
      <c r="M25" s="3600">
        <v>0</v>
      </c>
      <c r="N25" s="3600">
        <v>0</v>
      </c>
      <c r="O25" s="3600">
        <v>0</v>
      </c>
      <c r="P25" s="3600">
        <v>0</v>
      </c>
      <c r="Q25" s="3600">
        <v>0</v>
      </c>
    </row>
    <row r="26" spans="1:17">
      <c r="A26" s="580">
        <f>'BASE PERIOD'!A25</f>
        <v>408152</v>
      </c>
      <c r="B26" s="1597" t="str">
        <f>'BASE PERIOD'!B25</f>
        <v>Employer FICA Tax</v>
      </c>
      <c r="C26" s="580" t="str">
        <f>'BASE PERIOD'!C25</f>
        <v>OTHTX</v>
      </c>
      <c r="D26" s="580">
        <f t="shared" si="0"/>
        <v>408</v>
      </c>
      <c r="E26" s="564">
        <f t="shared" si="1"/>
        <v>0</v>
      </c>
      <c r="F26" s="3600">
        <v>0</v>
      </c>
      <c r="G26" s="3600">
        <v>0</v>
      </c>
      <c r="H26" s="3600">
        <v>0</v>
      </c>
      <c r="I26" s="3600">
        <v>0</v>
      </c>
      <c r="J26" s="3600">
        <v>0</v>
      </c>
      <c r="K26" s="3600">
        <v>0</v>
      </c>
      <c r="L26" s="3600">
        <v>0</v>
      </c>
      <c r="M26" s="3600">
        <v>0</v>
      </c>
      <c r="N26" s="3600">
        <v>0</v>
      </c>
      <c r="O26" s="3600">
        <v>0</v>
      </c>
      <c r="P26" s="3600">
        <v>0</v>
      </c>
      <c r="Q26" s="3600">
        <v>0</v>
      </c>
    </row>
    <row r="27" spans="1:17">
      <c r="A27" s="580">
        <f>'BASE PERIOD'!A26</f>
        <v>408205</v>
      </c>
      <c r="B27" s="1597" t="str">
        <f>'BASE PERIOD'!B26</f>
        <v>Highway Use Tax</v>
      </c>
      <c r="C27" s="580" t="str">
        <f>'BASE PERIOD'!C26</f>
        <v>OTHTX</v>
      </c>
      <c r="D27" s="580">
        <f t="shared" si="0"/>
        <v>408</v>
      </c>
      <c r="E27" s="564">
        <f t="shared" si="1"/>
        <v>0</v>
      </c>
      <c r="F27" s="3600">
        <v>0</v>
      </c>
      <c r="G27" s="3600">
        <v>0</v>
      </c>
      <c r="H27" s="3600">
        <v>0</v>
      </c>
      <c r="I27" s="3600">
        <v>0</v>
      </c>
      <c r="J27" s="3600">
        <v>0</v>
      </c>
      <c r="K27" s="3600">
        <v>0</v>
      </c>
      <c r="L27" s="3600">
        <v>0</v>
      </c>
      <c r="M27" s="3600">
        <v>0</v>
      </c>
      <c r="N27" s="3600">
        <v>0</v>
      </c>
      <c r="O27" s="3600">
        <v>0</v>
      </c>
      <c r="P27" s="3600">
        <v>0</v>
      </c>
      <c r="Q27" s="3600">
        <v>0</v>
      </c>
    </row>
    <row r="28" spans="1:17">
      <c r="A28" s="580">
        <f>'BASE PERIOD'!A27</f>
        <v>408410</v>
      </c>
      <c r="B28" s="1597" t="str">
        <f>'BASE PERIOD'!B27</f>
        <v>Social Security Taxes</v>
      </c>
      <c r="C28" s="580" t="str">
        <f>'BASE PERIOD'!C27</f>
        <v>OTHTX</v>
      </c>
      <c r="D28" s="580">
        <f t="shared" si="0"/>
        <v>408</v>
      </c>
      <c r="E28" s="564">
        <f t="shared" si="1"/>
        <v>0</v>
      </c>
      <c r="F28" s="3600">
        <v>0</v>
      </c>
      <c r="G28" s="3600">
        <v>0</v>
      </c>
      <c r="H28" s="3600">
        <v>0</v>
      </c>
      <c r="I28" s="3600">
        <v>0</v>
      </c>
      <c r="J28" s="3600">
        <v>0</v>
      </c>
      <c r="K28" s="3600">
        <v>0</v>
      </c>
      <c r="L28" s="3600">
        <v>0</v>
      </c>
      <c r="M28" s="3600">
        <v>0</v>
      </c>
      <c r="N28" s="3600">
        <v>0</v>
      </c>
      <c r="O28" s="3600">
        <v>0</v>
      </c>
      <c r="P28" s="3600">
        <v>0</v>
      </c>
      <c r="Q28" s="3600">
        <v>0</v>
      </c>
    </row>
    <row r="29" spans="1:17">
      <c r="A29" s="580">
        <f>'BASE PERIOD'!A28</f>
        <v>408490</v>
      </c>
      <c r="B29" s="1597" t="str">
        <f>'BASE PERIOD'!B28</f>
        <v>Indiana Highway Use Tax</v>
      </c>
      <c r="C29" s="580" t="str">
        <f>'BASE PERIOD'!C28</f>
        <v>OTHTX</v>
      </c>
      <c r="D29" s="580">
        <f t="shared" si="0"/>
        <v>408</v>
      </c>
      <c r="E29" s="564">
        <f t="shared" si="1"/>
        <v>0</v>
      </c>
      <c r="F29" s="3600">
        <v>0</v>
      </c>
      <c r="G29" s="3600">
        <v>0</v>
      </c>
      <c r="H29" s="3600">
        <v>0</v>
      </c>
      <c r="I29" s="3600">
        <v>0</v>
      </c>
      <c r="J29" s="3600">
        <v>0</v>
      </c>
      <c r="K29" s="3600">
        <v>0</v>
      </c>
      <c r="L29" s="3600">
        <v>0</v>
      </c>
      <c r="M29" s="3600">
        <v>0</v>
      </c>
      <c r="N29" s="3600">
        <v>0</v>
      </c>
      <c r="O29" s="3600">
        <v>0</v>
      </c>
      <c r="P29" s="3600">
        <v>0</v>
      </c>
      <c r="Q29" s="3600">
        <v>0</v>
      </c>
    </row>
    <row r="30" spans="1:17">
      <c r="A30" s="580">
        <f>'BASE PERIOD'!A29</f>
        <v>408470</v>
      </c>
      <c r="B30" s="1597" t="str">
        <f>'BASE PERIOD'!B29</f>
        <v>Franchise Tax</v>
      </c>
      <c r="C30" s="580" t="str">
        <f>'BASE PERIOD'!C29</f>
        <v>OTHTX</v>
      </c>
      <c r="D30" s="580">
        <f t="shared" si="0"/>
        <v>408</v>
      </c>
      <c r="E30" s="564">
        <f t="shared" si="1"/>
        <v>0</v>
      </c>
      <c r="F30" s="3600">
        <v>0</v>
      </c>
      <c r="G30" s="3600">
        <v>0</v>
      </c>
      <c r="H30" s="3600">
        <v>0</v>
      </c>
      <c r="I30" s="3600">
        <v>0</v>
      </c>
      <c r="J30" s="3600">
        <v>0</v>
      </c>
      <c r="K30" s="3600">
        <v>0</v>
      </c>
      <c r="L30" s="3600">
        <v>0</v>
      </c>
      <c r="M30" s="3600">
        <v>0</v>
      </c>
      <c r="N30" s="3600">
        <v>0</v>
      </c>
      <c r="O30" s="3600">
        <v>0</v>
      </c>
      <c r="P30" s="3600">
        <v>0</v>
      </c>
      <c r="Q30" s="3600">
        <v>0</v>
      </c>
    </row>
    <row r="31" spans="1:17">
      <c r="A31" s="580">
        <f>'BASE PERIOD'!A30</f>
        <v>408530</v>
      </c>
      <c r="B31" s="1597" t="str">
        <f>'BASE PERIOD'!B30</f>
        <v>Ohio Highway Use</v>
      </c>
      <c r="C31" s="580" t="str">
        <f>'BASE PERIOD'!C30</f>
        <v>OTHTX</v>
      </c>
      <c r="D31" s="580">
        <f t="shared" si="0"/>
        <v>408</v>
      </c>
      <c r="E31" s="564">
        <f t="shared" si="1"/>
        <v>0</v>
      </c>
      <c r="F31" s="3600">
        <v>0</v>
      </c>
      <c r="G31" s="3600">
        <v>0</v>
      </c>
      <c r="H31" s="3600">
        <v>0</v>
      </c>
      <c r="I31" s="3600">
        <v>0</v>
      </c>
      <c r="J31" s="3600">
        <v>0</v>
      </c>
      <c r="K31" s="3600">
        <v>0</v>
      </c>
      <c r="L31" s="3600">
        <v>0</v>
      </c>
      <c r="M31" s="3600">
        <v>0</v>
      </c>
      <c r="N31" s="3600">
        <v>0</v>
      </c>
      <c r="O31" s="3600">
        <v>0</v>
      </c>
      <c r="P31" s="3600">
        <v>0</v>
      </c>
      <c r="Q31" s="3600">
        <v>0</v>
      </c>
    </row>
    <row r="32" spans="1:17">
      <c r="A32" s="580">
        <f>'BASE PERIOD'!A31</f>
        <v>408550</v>
      </c>
      <c r="B32" s="1597" t="str">
        <f>'BASE PERIOD'!B31</f>
        <v>Kentucky Highway Use</v>
      </c>
      <c r="C32" s="580" t="str">
        <f>'BASE PERIOD'!C31</f>
        <v>OTHTX</v>
      </c>
      <c r="D32" s="580">
        <f t="shared" si="0"/>
        <v>408</v>
      </c>
      <c r="E32" s="564">
        <f t="shared" si="1"/>
        <v>0</v>
      </c>
      <c r="F32" s="3600">
        <v>0</v>
      </c>
      <c r="G32" s="3600">
        <v>0</v>
      </c>
      <c r="H32" s="3600">
        <v>0</v>
      </c>
      <c r="I32" s="3600">
        <v>0</v>
      </c>
      <c r="J32" s="3600">
        <v>0</v>
      </c>
      <c r="K32" s="3600">
        <v>0</v>
      </c>
      <c r="L32" s="3600">
        <v>0</v>
      </c>
      <c r="M32" s="3600">
        <v>0</v>
      </c>
      <c r="N32" s="3600">
        <v>0</v>
      </c>
      <c r="O32" s="3600">
        <v>0</v>
      </c>
      <c r="P32" s="3600">
        <v>0</v>
      </c>
      <c r="Q32" s="3600">
        <v>0</v>
      </c>
    </row>
    <row r="33" spans="1:17">
      <c r="A33" s="580">
        <f>'BASE PERIOD'!A32</f>
        <v>408700</v>
      </c>
      <c r="B33" s="1597" t="str">
        <f>'BASE PERIOD'!B32</f>
        <v>Fed Social Security Tax-Elec</v>
      </c>
      <c r="C33" s="580" t="str">
        <f>'BASE PERIOD'!C32</f>
        <v>OTHTX</v>
      </c>
      <c r="D33" s="580">
        <f t="shared" si="0"/>
        <v>408</v>
      </c>
      <c r="E33" s="564">
        <f t="shared" si="1"/>
        <v>0</v>
      </c>
      <c r="F33" s="3600">
        <v>0</v>
      </c>
      <c r="G33" s="3600">
        <v>0</v>
      </c>
      <c r="H33" s="3600">
        <v>0</v>
      </c>
      <c r="I33" s="3600">
        <v>0</v>
      </c>
      <c r="J33" s="3600">
        <v>0</v>
      </c>
      <c r="K33" s="3600">
        <v>0</v>
      </c>
      <c r="L33" s="3600">
        <v>0</v>
      </c>
      <c r="M33" s="3600">
        <v>0</v>
      </c>
      <c r="N33" s="3600">
        <v>0</v>
      </c>
      <c r="O33" s="3600">
        <v>0</v>
      </c>
      <c r="P33" s="3600">
        <v>0</v>
      </c>
      <c r="Q33" s="3600">
        <v>0</v>
      </c>
    </row>
    <row r="34" spans="1:17">
      <c r="A34" s="580">
        <f>'BASE PERIOD'!A33</f>
        <v>408800</v>
      </c>
      <c r="B34" s="1597" t="str">
        <f>'BASE PERIOD'!B33</f>
        <v>Federal Highway Use Tax - Gas</v>
      </c>
      <c r="C34" s="580" t="str">
        <f>'BASE PERIOD'!C33</f>
        <v>OTHTX</v>
      </c>
      <c r="D34" s="580">
        <f t="shared" si="0"/>
        <v>408</v>
      </c>
      <c r="E34" s="564">
        <f t="shared" si="1"/>
        <v>0</v>
      </c>
      <c r="F34" s="3600">
        <v>0</v>
      </c>
      <c r="G34" s="3600">
        <v>0</v>
      </c>
      <c r="H34" s="3600">
        <v>0</v>
      </c>
      <c r="I34" s="3600">
        <v>0</v>
      </c>
      <c r="J34" s="3600">
        <v>0</v>
      </c>
      <c r="K34" s="3600">
        <v>0</v>
      </c>
      <c r="L34" s="3600">
        <v>0</v>
      </c>
      <c r="M34" s="3600">
        <v>0</v>
      </c>
      <c r="N34" s="3600">
        <v>0</v>
      </c>
      <c r="O34" s="3600">
        <v>0</v>
      </c>
      <c r="P34" s="3600">
        <v>0</v>
      </c>
      <c r="Q34" s="3600">
        <v>0</v>
      </c>
    </row>
    <row r="35" spans="1:17">
      <c r="A35" s="580">
        <f>'BASE PERIOD'!A34</f>
        <v>408851</v>
      </c>
      <c r="B35" s="1597" t="str">
        <f>'BASE PERIOD'!B34</f>
        <v>Sales and Use Expense</v>
      </c>
      <c r="C35" s="580" t="str">
        <f>'BASE PERIOD'!C34</f>
        <v>OTHTX</v>
      </c>
      <c r="D35" s="580">
        <f t="shared" si="0"/>
        <v>408</v>
      </c>
      <c r="E35" s="564">
        <f t="shared" si="1"/>
        <v>0</v>
      </c>
      <c r="F35" s="3600">
        <v>0</v>
      </c>
      <c r="G35" s="3600">
        <v>0</v>
      </c>
      <c r="H35" s="3600">
        <v>0</v>
      </c>
      <c r="I35" s="3600">
        <v>0</v>
      </c>
      <c r="J35" s="3600">
        <v>0</v>
      </c>
      <c r="K35" s="3600">
        <v>0</v>
      </c>
      <c r="L35" s="3600">
        <v>0</v>
      </c>
      <c r="M35" s="3600">
        <v>0</v>
      </c>
      <c r="N35" s="3600">
        <v>0</v>
      </c>
      <c r="O35" s="3600">
        <v>0</v>
      </c>
      <c r="P35" s="3600">
        <v>0</v>
      </c>
      <c r="Q35" s="3600">
        <v>0</v>
      </c>
    </row>
    <row r="36" spans="1:17">
      <c r="A36" s="580">
        <f>'BASE PERIOD'!A35</f>
        <v>408960</v>
      </c>
      <c r="B36" s="1597" t="str">
        <f>'BASE PERIOD'!B35</f>
        <v>Allocated Payroll Taxes</v>
      </c>
      <c r="C36" s="580" t="str">
        <f>'BASE PERIOD'!C35</f>
        <v>OTHTX</v>
      </c>
      <c r="D36" s="580">
        <f t="shared" si="0"/>
        <v>408</v>
      </c>
      <c r="E36" s="564">
        <f t="shared" si="1"/>
        <v>708964</v>
      </c>
      <c r="F36" s="3600">
        <v>63325</v>
      </c>
      <c r="G36" s="3600">
        <v>58161</v>
      </c>
      <c r="H36" s="3600">
        <v>57272</v>
      </c>
      <c r="I36" s="3600">
        <v>53522</v>
      </c>
      <c r="J36" s="3600">
        <v>58727</v>
      </c>
      <c r="K36" s="3600">
        <v>62432</v>
      </c>
      <c r="L36" s="3600">
        <v>55055</v>
      </c>
      <c r="M36" s="3600">
        <v>54658</v>
      </c>
      <c r="N36" s="3600">
        <v>61158</v>
      </c>
      <c r="O36" s="3600">
        <v>62674</v>
      </c>
      <c r="P36" s="3600">
        <v>57432</v>
      </c>
      <c r="Q36" s="3600">
        <v>64548</v>
      </c>
    </row>
    <row r="37" spans="1:17">
      <c r="A37" s="580">
        <f>'BASE PERIOD'!A36</f>
        <v>409060</v>
      </c>
      <c r="B37" s="1597" t="str">
        <f>'BASE PERIOD'!B36</f>
        <v>Federal Income Taxes Utility Op Income</v>
      </c>
      <c r="C37" s="580" t="str">
        <f>'BASE PERIOD'!C36</f>
        <v>FIT</v>
      </c>
      <c r="D37" s="580">
        <f t="shared" si="0"/>
        <v>409</v>
      </c>
      <c r="E37" s="564">
        <f t="shared" ca="1" si="1"/>
        <v>327143</v>
      </c>
      <c r="F37" s="538">
        <f ca="1">ROUND(SCH_E1!$K$115/12,0)</f>
        <v>27262</v>
      </c>
      <c r="G37" s="538">
        <f ca="1">ROUND(SCH_E1!$K$115/12,0)</f>
        <v>27262</v>
      </c>
      <c r="H37" s="538">
        <f ca="1">ROUND(SCH_E1!$K$115/12,0)</f>
        <v>27262</v>
      </c>
      <c r="I37" s="538">
        <f ca="1">ROUND(SCH_E1!$K$115/12,0)</f>
        <v>27262</v>
      </c>
      <c r="J37" s="538">
        <f ca="1">ROUND(SCH_E1!$K$115/12,0)</f>
        <v>27262</v>
      </c>
      <c r="K37" s="538">
        <f ca="1">ROUND(SCH_E1!$K$115/12,0)</f>
        <v>27262</v>
      </c>
      <c r="L37" s="538">
        <f ca="1">ROUND(SCH_E1!$K$115/12,0)</f>
        <v>27262</v>
      </c>
      <c r="M37" s="538">
        <f ca="1">ROUND(SCH_E1!$K$115/12,0)</f>
        <v>27262</v>
      </c>
      <c r="N37" s="538">
        <f ca="1">ROUND(SCH_E1!$K$115/12,0)</f>
        <v>27262</v>
      </c>
      <c r="O37" s="538">
        <f ca="1">ROUND(SCH_E1!$K$115/12,0)</f>
        <v>27262</v>
      </c>
      <c r="P37" s="538">
        <f ca="1">ROUND(SCH_E1!$K$115/12,0)</f>
        <v>27262</v>
      </c>
      <c r="Q37" s="538">
        <f ca="1">SCH_E1!$K$115-SUM(F37:P37)</f>
        <v>27261</v>
      </c>
    </row>
    <row r="38" spans="1:17">
      <c r="A38" s="580">
        <f>'BASE PERIOD'!A37</f>
        <v>409104</v>
      </c>
      <c r="B38" s="1597" t="str">
        <f>'BASE PERIOD'!B37</f>
        <v>State/Local Inc Tx Exp Utility Op Inc PY</v>
      </c>
      <c r="C38" s="580" t="str">
        <f>'BASE PERIOD'!C37</f>
        <v>FIT</v>
      </c>
      <c r="D38" s="580">
        <f t="shared" si="0"/>
        <v>409</v>
      </c>
      <c r="E38" s="564">
        <f t="shared" si="1"/>
        <v>0</v>
      </c>
      <c r="F38" s="3600">
        <v>0</v>
      </c>
      <c r="G38" s="3600">
        <v>0</v>
      </c>
      <c r="H38" s="3600">
        <v>0</v>
      </c>
      <c r="I38" s="3600">
        <v>0</v>
      </c>
      <c r="J38" s="3600">
        <v>0</v>
      </c>
      <c r="K38" s="3600">
        <v>0</v>
      </c>
      <c r="L38" s="3600">
        <v>0</v>
      </c>
      <c r="M38" s="3600">
        <v>0</v>
      </c>
      <c r="N38" s="3600">
        <v>0</v>
      </c>
      <c r="O38" s="3600">
        <v>0</v>
      </c>
      <c r="P38" s="3600">
        <v>0</v>
      </c>
      <c r="Q38" s="3600">
        <v>0</v>
      </c>
    </row>
    <row r="39" spans="1:17">
      <c r="A39" s="580">
        <f>'BASE PERIOD'!A38</f>
        <v>409160</v>
      </c>
      <c r="B39" s="1597" t="str">
        <f>'BASE PERIOD'!B38</f>
        <v>State/Local Inc Tax Exp Utility Op Inc</v>
      </c>
      <c r="C39" s="580" t="str">
        <f>'BASE PERIOD'!C38</f>
        <v>FIT</v>
      </c>
      <c r="D39" s="580">
        <f t="shared" si="0"/>
        <v>409</v>
      </c>
      <c r="E39" s="564">
        <f t="shared" ca="1" si="1"/>
        <v>-215575</v>
      </c>
      <c r="F39" s="538">
        <f ca="1">ROUND(SCH_E1!$K$75/12,0)</f>
        <v>-17965</v>
      </c>
      <c r="G39" s="538">
        <f ca="1">ROUND(SCH_E1!$K$75/12,0)</f>
        <v>-17965</v>
      </c>
      <c r="H39" s="538">
        <f ca="1">ROUND(SCH_E1!$K$75/12,0)</f>
        <v>-17965</v>
      </c>
      <c r="I39" s="538">
        <f ca="1">ROUND(SCH_E1!$K$75/12,0)</f>
        <v>-17965</v>
      </c>
      <c r="J39" s="538">
        <f ca="1">ROUND(SCH_E1!$K$75/12,0)</f>
        <v>-17965</v>
      </c>
      <c r="K39" s="538">
        <f ca="1">ROUND(SCH_E1!$K$75/12,0)</f>
        <v>-17965</v>
      </c>
      <c r="L39" s="538">
        <f ca="1">ROUND(SCH_E1!$K$75/12,0)</f>
        <v>-17965</v>
      </c>
      <c r="M39" s="538">
        <f ca="1">ROUND(SCH_E1!$K$75/12,0)</f>
        <v>-17965</v>
      </c>
      <c r="N39" s="538">
        <f ca="1">ROUND(SCH_E1!$K$75/12,0)</f>
        <v>-17965</v>
      </c>
      <c r="O39" s="538">
        <f ca="1">ROUND(SCH_E1!$K$75/12,0)</f>
        <v>-17965</v>
      </c>
      <c r="P39" s="538">
        <f ca="1">ROUND(SCH_E1!$K$75/12,0)</f>
        <v>-17965</v>
      </c>
      <c r="Q39" s="538">
        <f ca="1">SCH_E1!$K$75-SUM(F39:P39)</f>
        <v>-17960</v>
      </c>
    </row>
    <row r="40" spans="1:17">
      <c r="A40" s="580">
        <f>'BASE PERIOD'!A39</f>
        <v>409193</v>
      </c>
      <c r="B40" s="1597" t="str">
        <f>'BASE PERIOD'!B39</f>
        <v>Fed Inc Tax - Utility Operating Inc - PY</v>
      </c>
      <c r="C40" s="580" t="str">
        <f>'BASE PERIOD'!C39</f>
        <v>FIT</v>
      </c>
      <c r="D40" s="580">
        <f t="shared" si="0"/>
        <v>409</v>
      </c>
      <c r="E40" s="564">
        <f t="shared" si="1"/>
        <v>0</v>
      </c>
      <c r="F40" s="3600">
        <v>0</v>
      </c>
      <c r="G40" s="3600">
        <v>0</v>
      </c>
      <c r="H40" s="3600">
        <v>0</v>
      </c>
      <c r="I40" s="3600">
        <v>0</v>
      </c>
      <c r="J40" s="3600">
        <v>0</v>
      </c>
      <c r="K40" s="3600">
        <v>0</v>
      </c>
      <c r="L40" s="3600">
        <v>0</v>
      </c>
      <c r="M40" s="3600">
        <v>0</v>
      </c>
      <c r="N40" s="3600">
        <v>0</v>
      </c>
      <c r="O40" s="3600">
        <v>0</v>
      </c>
      <c r="P40" s="3600">
        <v>0</v>
      </c>
      <c r="Q40" s="3600">
        <v>0</v>
      </c>
    </row>
    <row r="41" spans="1:17">
      <c r="A41" s="580">
        <f>'BASE PERIOD'!A40</f>
        <v>409233</v>
      </c>
      <c r="B41" s="1597" t="str">
        <f>'BASE PERIOD'!B40</f>
        <v>State/Local Inc Tax - Oth Inc &amp; Ded - PY</v>
      </c>
      <c r="C41" s="580" t="str">
        <f>'BASE PERIOD'!C40</f>
        <v>FIT</v>
      </c>
      <c r="D41" s="580">
        <f t="shared" si="0"/>
        <v>409</v>
      </c>
      <c r="E41" s="564">
        <f t="shared" si="1"/>
        <v>0</v>
      </c>
      <c r="F41" s="3600">
        <v>0</v>
      </c>
      <c r="G41" s="3600">
        <v>0</v>
      </c>
      <c r="H41" s="3600">
        <v>0</v>
      </c>
      <c r="I41" s="3600">
        <v>0</v>
      </c>
      <c r="J41" s="3600">
        <v>0</v>
      </c>
      <c r="K41" s="3600">
        <v>0</v>
      </c>
      <c r="L41" s="3600">
        <v>0</v>
      </c>
      <c r="M41" s="3600">
        <v>0</v>
      </c>
      <c r="N41" s="3600">
        <v>0</v>
      </c>
      <c r="O41" s="3600">
        <v>0</v>
      </c>
      <c r="P41" s="3600">
        <v>0</v>
      </c>
      <c r="Q41" s="3600">
        <v>0</v>
      </c>
    </row>
    <row r="42" spans="1:17">
      <c r="A42" s="580">
        <f>'BASE PERIOD'!A41</f>
        <v>409980</v>
      </c>
      <c r="B42" s="1597" t="str">
        <f>'BASE PERIOD'!B41</f>
        <v>Taxes Alloc From Serv Co - Gas Federal</v>
      </c>
      <c r="C42" s="580" t="str">
        <f>'BASE PERIOD'!C41</f>
        <v>FIT</v>
      </c>
      <c r="D42" s="580">
        <f t="shared" si="0"/>
        <v>409</v>
      </c>
      <c r="E42" s="564">
        <f t="shared" si="1"/>
        <v>0</v>
      </c>
      <c r="F42" s="3600">
        <v>0</v>
      </c>
      <c r="G42" s="3600">
        <v>0</v>
      </c>
      <c r="H42" s="3600">
        <v>0</v>
      </c>
      <c r="I42" s="3600">
        <v>0</v>
      </c>
      <c r="J42" s="3600">
        <v>0</v>
      </c>
      <c r="K42" s="3600">
        <v>0</v>
      </c>
      <c r="L42" s="3600">
        <v>0</v>
      </c>
      <c r="M42" s="3600">
        <v>0</v>
      </c>
      <c r="N42" s="3600">
        <v>0</v>
      </c>
      <c r="O42" s="3600">
        <v>0</v>
      </c>
      <c r="P42" s="3600">
        <v>0</v>
      </c>
      <c r="Q42" s="3600">
        <v>0</v>
      </c>
    </row>
    <row r="43" spans="1:17">
      <c r="A43" s="580">
        <f>'BASE PERIOD'!A42</f>
        <v>409985</v>
      </c>
      <c r="B43" s="1597" t="str">
        <f>'BASE PERIOD'!B42</f>
        <v>Taxes Alloc From Serv Co - Gas State</v>
      </c>
      <c r="C43" s="580" t="str">
        <f>'BASE PERIOD'!C42</f>
        <v>FIT</v>
      </c>
      <c r="D43" s="580">
        <f t="shared" si="0"/>
        <v>409</v>
      </c>
      <c r="E43" s="564">
        <f t="shared" si="1"/>
        <v>0</v>
      </c>
      <c r="F43" s="3600">
        <v>0</v>
      </c>
      <c r="G43" s="3600">
        <v>0</v>
      </c>
      <c r="H43" s="3600">
        <v>0</v>
      </c>
      <c r="I43" s="3600">
        <v>0</v>
      </c>
      <c r="J43" s="3600">
        <v>0</v>
      </c>
      <c r="K43" s="3600">
        <v>0</v>
      </c>
      <c r="L43" s="3600">
        <v>0</v>
      </c>
      <c r="M43" s="3600">
        <v>0</v>
      </c>
      <c r="N43" s="3600">
        <v>0</v>
      </c>
      <c r="O43" s="3600">
        <v>0</v>
      </c>
      <c r="P43" s="3600">
        <v>0</v>
      </c>
      <c r="Q43" s="3600">
        <v>0</v>
      </c>
    </row>
    <row r="44" spans="1:17">
      <c r="A44" s="580">
        <f>'BASE PERIOD'!A43</f>
        <v>410060</v>
      </c>
      <c r="B44" s="1597" t="str">
        <f>'BASE PERIOD'!B43</f>
        <v>Deferred FIT Utility Operating Inc</v>
      </c>
      <c r="C44" s="580" t="str">
        <f>'BASE PERIOD'!C43</f>
        <v>FIT</v>
      </c>
      <c r="D44" s="580">
        <f t="shared" si="0"/>
        <v>410</v>
      </c>
      <c r="E44" s="564">
        <f t="shared" ca="1" si="1"/>
        <v>488412</v>
      </c>
      <c r="F44" s="538">
        <f ca="1">ROUND(SCH_E1!$K$121/12,0)</f>
        <v>40701</v>
      </c>
      <c r="G44" s="538">
        <f ca="1">ROUND(SCH_E1!$K$121/12,0)</f>
        <v>40701</v>
      </c>
      <c r="H44" s="538">
        <f ca="1">ROUND(SCH_E1!$K$121/12,0)</f>
        <v>40701</v>
      </c>
      <c r="I44" s="538">
        <f ca="1">ROUND(SCH_E1!$K$121/12,0)</f>
        <v>40701</v>
      </c>
      <c r="J44" s="538">
        <f ca="1">ROUND(SCH_E1!$K$121/12,0)</f>
        <v>40701</v>
      </c>
      <c r="K44" s="538">
        <f ca="1">ROUND(SCH_E1!$K$121/12,0)</f>
        <v>40701</v>
      </c>
      <c r="L44" s="538">
        <f ca="1">ROUND(SCH_E1!$K$121/12,0)</f>
        <v>40701</v>
      </c>
      <c r="M44" s="538">
        <f ca="1">ROUND(SCH_E1!$K$121/12,0)</f>
        <v>40701</v>
      </c>
      <c r="N44" s="538">
        <f ca="1">ROUND(SCH_E1!$K$121/12,0)</f>
        <v>40701</v>
      </c>
      <c r="O44" s="538">
        <f ca="1">ROUND(SCH_E1!$K$121/12,0)</f>
        <v>40701</v>
      </c>
      <c r="P44" s="538">
        <f ca="1">ROUND(SCH_E1!$K$121/12,0)</f>
        <v>40701</v>
      </c>
      <c r="Q44" s="538">
        <f ca="1">SCH_E1!$K$121-SUM(F44:P44)</f>
        <v>40701</v>
      </c>
    </row>
    <row r="45" spans="1:17">
      <c r="A45" s="580">
        <f>'BASE PERIOD'!A44</f>
        <v>410109</v>
      </c>
      <c r="B45" s="1597" t="str">
        <f>'BASE PERIOD'!B44</f>
        <v>Def FIT- Utility Operating Inc - PY</v>
      </c>
      <c r="C45" s="580" t="str">
        <f>'BASE PERIOD'!C44</f>
        <v>FIT</v>
      </c>
      <c r="D45" s="580">
        <f t="shared" si="0"/>
        <v>410</v>
      </c>
      <c r="E45" s="564">
        <f t="shared" si="1"/>
        <v>0</v>
      </c>
      <c r="F45" s="3600">
        <v>0</v>
      </c>
      <c r="G45" s="3600">
        <v>0</v>
      </c>
      <c r="H45" s="3600">
        <v>0</v>
      </c>
      <c r="I45" s="3600">
        <v>0</v>
      </c>
      <c r="J45" s="3600">
        <v>0</v>
      </c>
      <c r="K45" s="3600">
        <v>0</v>
      </c>
      <c r="L45" s="3600">
        <v>0</v>
      </c>
      <c r="M45" s="3600">
        <v>0</v>
      </c>
      <c r="N45" s="3600">
        <v>0</v>
      </c>
      <c r="O45" s="3600">
        <v>0</v>
      </c>
      <c r="P45" s="3600">
        <v>0</v>
      </c>
      <c r="Q45" s="3600">
        <v>0</v>
      </c>
    </row>
    <row r="46" spans="1:17">
      <c r="A46" s="580">
        <f>'BASE PERIOD'!A45</f>
        <v>410112</v>
      </c>
      <c r="B46" s="1597" t="str">
        <f>'BASE PERIOD'!B45</f>
        <v>Defer SIT Utility Operating Inc - PY</v>
      </c>
      <c r="C46" s="580" t="str">
        <f>'BASE PERIOD'!C45</f>
        <v>FIT</v>
      </c>
      <c r="D46" s="580">
        <f t="shared" si="0"/>
        <v>410</v>
      </c>
      <c r="E46" s="564">
        <f t="shared" si="1"/>
        <v>0</v>
      </c>
      <c r="F46" s="3600">
        <v>0</v>
      </c>
      <c r="G46" s="3600">
        <v>0</v>
      </c>
      <c r="H46" s="3600">
        <v>0</v>
      </c>
      <c r="I46" s="3600">
        <v>0</v>
      </c>
      <c r="J46" s="3600">
        <v>0</v>
      </c>
      <c r="K46" s="3600">
        <v>0</v>
      </c>
      <c r="L46" s="3600">
        <v>0</v>
      </c>
      <c r="M46" s="3600">
        <v>0</v>
      </c>
      <c r="N46" s="3600">
        <v>0</v>
      </c>
      <c r="O46" s="3600">
        <v>0</v>
      </c>
      <c r="P46" s="3600">
        <v>0</v>
      </c>
      <c r="Q46" s="3600">
        <v>0</v>
      </c>
    </row>
    <row r="47" spans="1:17">
      <c r="A47" s="580">
        <f>'BASE PERIOD'!A46</f>
        <v>410113</v>
      </c>
      <c r="B47" s="1597" t="str">
        <f>'BASE PERIOD'!B46</f>
        <v>UTP Tax Expense State Utility Prior Year</v>
      </c>
      <c r="C47" s="580" t="str">
        <f>'BASE PERIOD'!C46</f>
        <v>FIT</v>
      </c>
      <c r="D47" s="580">
        <f t="shared" si="0"/>
        <v>410</v>
      </c>
      <c r="E47" s="564">
        <f t="shared" si="1"/>
        <v>0</v>
      </c>
      <c r="F47" s="3600">
        <v>0</v>
      </c>
      <c r="G47" s="3600">
        <v>0</v>
      </c>
      <c r="H47" s="3600">
        <v>0</v>
      </c>
      <c r="I47" s="3600">
        <v>0</v>
      </c>
      <c r="J47" s="3600">
        <v>0</v>
      </c>
      <c r="K47" s="3600">
        <v>0</v>
      </c>
      <c r="L47" s="3600">
        <v>0</v>
      </c>
      <c r="M47" s="3600">
        <v>0</v>
      </c>
      <c r="N47" s="3600">
        <v>0</v>
      </c>
      <c r="O47" s="3600">
        <v>0</v>
      </c>
      <c r="P47" s="3600">
        <v>0</v>
      </c>
      <c r="Q47" s="3600">
        <v>0</v>
      </c>
    </row>
    <row r="48" spans="1:17">
      <c r="A48" s="580">
        <f>'BASE PERIOD'!A47</f>
        <v>410130</v>
      </c>
      <c r="B48" s="1597" t="str">
        <f>'BASE PERIOD'!B47</f>
        <v>UTP DFIT Utility Prior Year</v>
      </c>
      <c r="C48" s="580" t="str">
        <f>'BASE PERIOD'!C47</f>
        <v>FIT</v>
      </c>
      <c r="D48" s="580">
        <f t="shared" si="0"/>
        <v>410</v>
      </c>
      <c r="E48" s="564">
        <f t="shared" si="1"/>
        <v>0</v>
      </c>
      <c r="F48" s="3600">
        <v>0</v>
      </c>
      <c r="G48" s="3600">
        <v>0</v>
      </c>
      <c r="H48" s="3600">
        <v>0</v>
      </c>
      <c r="I48" s="3600">
        <v>0</v>
      </c>
      <c r="J48" s="3600">
        <v>0</v>
      </c>
      <c r="K48" s="3600">
        <v>0</v>
      </c>
      <c r="L48" s="3600">
        <v>0</v>
      </c>
      <c r="M48" s="3600">
        <v>0</v>
      </c>
      <c r="N48" s="3600">
        <v>0</v>
      </c>
      <c r="O48" s="3600">
        <v>0</v>
      </c>
      <c r="P48" s="3600">
        <v>0</v>
      </c>
      <c r="Q48" s="3600">
        <v>0</v>
      </c>
    </row>
    <row r="49" spans="1:17">
      <c r="A49" s="580">
        <f>'BASE PERIOD'!A48</f>
        <v>410131</v>
      </c>
      <c r="B49" s="1597" t="str">
        <f>'BASE PERIOD'!B48</f>
        <v>UTP DSIT Utility Prior Year</v>
      </c>
      <c r="C49" s="580" t="str">
        <f>'BASE PERIOD'!C48</f>
        <v>FIT</v>
      </c>
      <c r="D49" s="580">
        <f t="shared" si="0"/>
        <v>410</v>
      </c>
      <c r="E49" s="564">
        <f t="shared" si="1"/>
        <v>0</v>
      </c>
      <c r="F49" s="3600">
        <v>0</v>
      </c>
      <c r="G49" s="3600">
        <v>0</v>
      </c>
      <c r="H49" s="3600">
        <v>0</v>
      </c>
      <c r="I49" s="3600">
        <v>0</v>
      </c>
      <c r="J49" s="3600">
        <v>0</v>
      </c>
      <c r="K49" s="3600">
        <v>0</v>
      </c>
      <c r="L49" s="3600">
        <v>0</v>
      </c>
      <c r="M49" s="3600">
        <v>0</v>
      </c>
      <c r="N49" s="3600">
        <v>0</v>
      </c>
      <c r="O49" s="3600">
        <v>0</v>
      </c>
      <c r="P49" s="3600">
        <v>0</v>
      </c>
      <c r="Q49" s="3600">
        <v>0</v>
      </c>
    </row>
    <row r="50" spans="1:17">
      <c r="A50" s="580">
        <f>'BASE PERIOD'!A49</f>
        <v>410160</v>
      </c>
      <c r="B50" s="1597" t="str">
        <f>'BASE PERIOD'!B49</f>
        <v>Deferred SIT Utility Operating Inc</v>
      </c>
      <c r="C50" s="580" t="str">
        <f>'BASE PERIOD'!C49</f>
        <v>FIT</v>
      </c>
      <c r="D50" s="580">
        <f t="shared" si="0"/>
        <v>410</v>
      </c>
      <c r="E50" s="564">
        <f t="shared" ca="1" si="1"/>
        <v>404390</v>
      </c>
      <c r="F50" s="538">
        <f ca="1">ROUND(SCH_E1!$K$102/12,0)</f>
        <v>33699</v>
      </c>
      <c r="G50" s="538">
        <f ca="1">ROUND(SCH_E1!$K$102/12,0)</f>
        <v>33699</v>
      </c>
      <c r="H50" s="538">
        <f ca="1">ROUND(SCH_E1!$K$102/12,0)</f>
        <v>33699</v>
      </c>
      <c r="I50" s="538">
        <f ca="1">ROUND(SCH_E1!$K$102/12,0)</f>
        <v>33699</v>
      </c>
      <c r="J50" s="538">
        <f ca="1">ROUND(SCH_E1!$K$102/12,0)</f>
        <v>33699</v>
      </c>
      <c r="K50" s="538">
        <f ca="1">ROUND(SCH_E1!$K$102/12,0)</f>
        <v>33699</v>
      </c>
      <c r="L50" s="538">
        <f ca="1">ROUND(SCH_E1!$K$102/12,0)</f>
        <v>33699</v>
      </c>
      <c r="M50" s="538">
        <f ca="1">ROUND(SCH_E1!$K$102/12,0)</f>
        <v>33699</v>
      </c>
      <c r="N50" s="538">
        <f ca="1">ROUND(SCH_E1!$K$102/12,0)</f>
        <v>33699</v>
      </c>
      <c r="O50" s="538">
        <f ca="1">ROUND(SCH_E1!$K$102/12,0)</f>
        <v>33699</v>
      </c>
      <c r="P50" s="538">
        <f ca="1">ROUND(SCH_E1!$K$102/12,0)</f>
        <v>33699</v>
      </c>
      <c r="Q50" s="538">
        <f ca="1">SCH_E1!$K$102-SUM(F50:P50)</f>
        <v>33701</v>
      </c>
    </row>
    <row r="51" spans="1:17">
      <c r="A51" s="580">
        <f>'BASE PERIOD'!A50</f>
        <v>410195</v>
      </c>
      <c r="B51" s="1597" t="str">
        <f>'BASE PERIOD'!B50</f>
        <v>UTP Tax Expense Fed Utility Prior Year</v>
      </c>
      <c r="C51" s="580" t="str">
        <f>'BASE PERIOD'!C50</f>
        <v>FIT</v>
      </c>
      <c r="D51" s="580">
        <f t="shared" si="0"/>
        <v>410</v>
      </c>
      <c r="E51" s="564">
        <f t="shared" si="1"/>
        <v>0</v>
      </c>
      <c r="F51" s="3600">
        <v>0</v>
      </c>
      <c r="G51" s="3600">
        <v>0</v>
      </c>
      <c r="H51" s="3600">
        <v>0</v>
      </c>
      <c r="I51" s="3600">
        <v>0</v>
      </c>
      <c r="J51" s="3600">
        <v>0</v>
      </c>
      <c r="K51" s="3600">
        <v>0</v>
      </c>
      <c r="L51" s="3600">
        <v>0</v>
      </c>
      <c r="M51" s="3600">
        <v>0</v>
      </c>
      <c r="N51" s="3600">
        <v>0</v>
      </c>
      <c r="O51" s="3600">
        <v>0</v>
      </c>
      <c r="P51" s="3600">
        <v>0</v>
      </c>
      <c r="Q51" s="3600">
        <v>0</v>
      </c>
    </row>
    <row r="52" spans="1:17">
      <c r="A52" s="580">
        <f>'BASE PERIOD'!A51</f>
        <v>411060</v>
      </c>
      <c r="B52" s="1597" t="str">
        <f>'BASE PERIOD'!B51</f>
        <v>Deferred FIT Credit - Utility Op Inc</v>
      </c>
      <c r="C52" s="580" t="str">
        <f>'BASE PERIOD'!C51</f>
        <v>FIT</v>
      </c>
      <c r="D52" s="580">
        <f t="shared" si="0"/>
        <v>411</v>
      </c>
      <c r="E52" s="564">
        <f t="shared" si="1"/>
        <v>0</v>
      </c>
      <c r="F52" s="3600">
        <v>0</v>
      </c>
      <c r="G52" s="3600">
        <v>0</v>
      </c>
      <c r="H52" s="3600">
        <v>0</v>
      </c>
      <c r="I52" s="3600">
        <v>0</v>
      </c>
      <c r="J52" s="3600">
        <v>0</v>
      </c>
      <c r="K52" s="3600">
        <v>0</v>
      </c>
      <c r="L52" s="3600">
        <v>0</v>
      </c>
      <c r="M52" s="3600">
        <v>0</v>
      </c>
      <c r="N52" s="3600">
        <v>0</v>
      </c>
      <c r="O52" s="3600">
        <v>0</v>
      </c>
      <c r="P52" s="3600">
        <v>0</v>
      </c>
      <c r="Q52" s="3600">
        <v>0</v>
      </c>
    </row>
    <row r="53" spans="1:17">
      <c r="A53" s="580">
        <f>'BASE PERIOD'!A52</f>
        <v>411065</v>
      </c>
      <c r="B53" s="1597" t="str">
        <f>'BASE PERIOD'!B52</f>
        <v>Amortization of Investment Tax Credit</v>
      </c>
      <c r="C53" s="580" t="str">
        <f>'BASE PERIOD'!C52</f>
        <v>FIT</v>
      </c>
      <c r="D53" s="580">
        <f t="shared" si="0"/>
        <v>411</v>
      </c>
      <c r="E53" s="564">
        <f t="shared" si="1"/>
        <v>-66055</v>
      </c>
      <c r="F53" s="538">
        <f>ROUND(SCH_E1!$K$123/12,0)</f>
        <v>-5505</v>
      </c>
      <c r="G53" s="538">
        <f>ROUND(SCH_E1!$K$123/12,0)</f>
        <v>-5505</v>
      </c>
      <c r="H53" s="538">
        <f>ROUND(SCH_E1!$K$123/12,0)</f>
        <v>-5505</v>
      </c>
      <c r="I53" s="538">
        <f>ROUND(SCH_E1!$K$123/12,0)</f>
        <v>-5505</v>
      </c>
      <c r="J53" s="538">
        <f>ROUND(SCH_E1!$K$123/12,0)</f>
        <v>-5505</v>
      </c>
      <c r="K53" s="538">
        <f>ROUND(SCH_E1!$K$123/12,0)</f>
        <v>-5505</v>
      </c>
      <c r="L53" s="538">
        <f>ROUND(SCH_E1!$K$123/12,0)</f>
        <v>-5505</v>
      </c>
      <c r="M53" s="538">
        <f>ROUND(SCH_E1!$K$123/12,0)</f>
        <v>-5505</v>
      </c>
      <c r="N53" s="538">
        <f>ROUND(SCH_E1!$K$123/12,0)</f>
        <v>-5505</v>
      </c>
      <c r="O53" s="538">
        <f>ROUND(SCH_E1!$K$123/12,0)</f>
        <v>-5505</v>
      </c>
      <c r="P53" s="538">
        <f>ROUND(SCH_E1!$K$123/12,0)</f>
        <v>-5505</v>
      </c>
      <c r="Q53" s="538">
        <f>SCH_E1!$K$123-SUM(F53:P53)</f>
        <v>-5500</v>
      </c>
    </row>
    <row r="54" spans="1:17">
      <c r="A54" s="580">
        <f>'BASE PERIOD'!A53</f>
        <v>411106</v>
      </c>
      <c r="B54" s="1597" t="str">
        <f>'BASE PERIOD'!B53</f>
        <v>Def FIT Credit - Utility Oper Inc - PY</v>
      </c>
      <c r="C54" s="580" t="str">
        <f>'BASE PERIOD'!C53</f>
        <v>FIT</v>
      </c>
      <c r="D54" s="580">
        <f t="shared" si="0"/>
        <v>411</v>
      </c>
      <c r="E54" s="564">
        <f t="shared" si="1"/>
        <v>0</v>
      </c>
      <c r="F54" s="3600">
        <v>0</v>
      </c>
      <c r="G54" s="3600">
        <v>0</v>
      </c>
      <c r="H54" s="3600">
        <v>0</v>
      </c>
      <c r="I54" s="3600">
        <v>0</v>
      </c>
      <c r="J54" s="3600">
        <v>0</v>
      </c>
      <c r="K54" s="3600">
        <v>0</v>
      </c>
      <c r="L54" s="3600">
        <v>0</v>
      </c>
      <c r="M54" s="3600">
        <v>0</v>
      </c>
      <c r="N54" s="3600">
        <v>0</v>
      </c>
      <c r="O54" s="3600">
        <v>0</v>
      </c>
      <c r="P54" s="3600">
        <v>0</v>
      </c>
      <c r="Q54" s="3600">
        <v>0</v>
      </c>
    </row>
    <row r="55" spans="1:17">
      <c r="A55" s="580">
        <f>'BASE PERIOD'!A54</f>
        <v>411107</v>
      </c>
      <c r="B55" s="1597" t="str">
        <f>'BASE PERIOD'!B54</f>
        <v>Def SIT Credit - Utility Oper Inc -  PY</v>
      </c>
      <c r="C55" s="580" t="str">
        <f>'BASE PERIOD'!C54</f>
        <v>FIT</v>
      </c>
      <c r="D55" s="580">
        <f t="shared" si="0"/>
        <v>411</v>
      </c>
      <c r="E55" s="564">
        <f t="shared" si="1"/>
        <v>0</v>
      </c>
      <c r="F55" s="3600">
        <v>0</v>
      </c>
      <c r="G55" s="3600">
        <v>0</v>
      </c>
      <c r="H55" s="3600">
        <v>0</v>
      </c>
      <c r="I55" s="3600">
        <v>0</v>
      </c>
      <c r="J55" s="3600">
        <v>0</v>
      </c>
      <c r="K55" s="3600">
        <v>0</v>
      </c>
      <c r="L55" s="3600">
        <v>0</v>
      </c>
      <c r="M55" s="3600">
        <v>0</v>
      </c>
      <c r="N55" s="3600">
        <v>0</v>
      </c>
      <c r="O55" s="3600">
        <v>0</v>
      </c>
      <c r="P55" s="3600">
        <v>0</v>
      </c>
      <c r="Q55" s="3600">
        <v>0</v>
      </c>
    </row>
    <row r="56" spans="1:17">
      <c r="A56" s="580">
        <f>'BASE PERIOD'!A55</f>
        <v>411113</v>
      </c>
      <c r="B56" s="1597" t="str">
        <f>'BASE PERIOD'!B55</f>
        <v>UTP Tax Expense State Utility Prior Year</v>
      </c>
      <c r="C56" s="580" t="str">
        <f>'BASE PERIOD'!C55</f>
        <v>FIT</v>
      </c>
      <c r="D56" s="580">
        <f t="shared" si="0"/>
        <v>411</v>
      </c>
      <c r="E56" s="564">
        <f t="shared" si="1"/>
        <v>0</v>
      </c>
      <c r="F56" s="3600">
        <v>0</v>
      </c>
      <c r="G56" s="3600">
        <v>0</v>
      </c>
      <c r="H56" s="3600">
        <v>0</v>
      </c>
      <c r="I56" s="3600">
        <v>0</v>
      </c>
      <c r="J56" s="3600">
        <v>0</v>
      </c>
      <c r="K56" s="3600">
        <v>0</v>
      </c>
      <c r="L56" s="3600">
        <v>0</v>
      </c>
      <c r="M56" s="3600">
        <v>0</v>
      </c>
      <c r="N56" s="3600">
        <v>0</v>
      </c>
      <c r="O56" s="3600">
        <v>0</v>
      </c>
      <c r="P56" s="3600">
        <v>0</v>
      </c>
      <c r="Q56" s="3600">
        <v>0</v>
      </c>
    </row>
    <row r="57" spans="1:17">
      <c r="A57" s="580">
        <f>'BASE PERIOD'!A56</f>
        <v>411130</v>
      </c>
      <c r="B57" s="1597" t="str">
        <f>'BASE PERIOD'!B56</f>
        <v>UTP DFIT Utility Prior Year</v>
      </c>
      <c r="C57" s="580" t="str">
        <f>'BASE PERIOD'!C56</f>
        <v>FIT</v>
      </c>
      <c r="D57" s="580">
        <f t="shared" si="0"/>
        <v>411</v>
      </c>
      <c r="E57" s="564">
        <f t="shared" si="1"/>
        <v>0</v>
      </c>
      <c r="F57" s="3600">
        <v>0</v>
      </c>
      <c r="G57" s="3600">
        <v>0</v>
      </c>
      <c r="H57" s="3600">
        <v>0</v>
      </c>
      <c r="I57" s="3600">
        <v>0</v>
      </c>
      <c r="J57" s="3600">
        <v>0</v>
      </c>
      <c r="K57" s="3600">
        <v>0</v>
      </c>
      <c r="L57" s="3600">
        <v>0</v>
      </c>
      <c r="M57" s="3600">
        <v>0</v>
      </c>
      <c r="N57" s="3600">
        <v>0</v>
      </c>
      <c r="O57" s="3600">
        <v>0</v>
      </c>
      <c r="P57" s="3600">
        <v>0</v>
      </c>
      <c r="Q57" s="3600">
        <v>0</v>
      </c>
    </row>
    <row r="58" spans="1:17">
      <c r="A58" s="580">
        <f>'BASE PERIOD'!A57</f>
        <v>411131</v>
      </c>
      <c r="B58" s="1597" t="str">
        <f>'BASE PERIOD'!B57</f>
        <v>UTP DSIT Utility Prior Year</v>
      </c>
      <c r="C58" s="580" t="str">
        <f>'BASE PERIOD'!C57</f>
        <v>FIT</v>
      </c>
      <c r="D58" s="580">
        <f t="shared" si="0"/>
        <v>411</v>
      </c>
      <c r="E58" s="564">
        <f t="shared" si="1"/>
        <v>0</v>
      </c>
      <c r="F58" s="3600">
        <v>0</v>
      </c>
      <c r="G58" s="3600">
        <v>0</v>
      </c>
      <c r="H58" s="3600">
        <v>0</v>
      </c>
      <c r="I58" s="3600">
        <v>0</v>
      </c>
      <c r="J58" s="3600">
        <v>0</v>
      </c>
      <c r="K58" s="3600">
        <v>0</v>
      </c>
      <c r="L58" s="3600">
        <v>0</v>
      </c>
      <c r="M58" s="3600">
        <v>0</v>
      </c>
      <c r="N58" s="3600">
        <v>0</v>
      </c>
      <c r="O58" s="3600">
        <v>0</v>
      </c>
      <c r="P58" s="3600">
        <v>0</v>
      </c>
      <c r="Q58" s="3600">
        <v>0</v>
      </c>
    </row>
    <row r="59" spans="1:17">
      <c r="A59" s="580">
        <f>'BASE PERIOD'!A58</f>
        <v>411160</v>
      </c>
      <c r="B59" s="1597" t="str">
        <f>'BASE PERIOD'!B58</f>
        <v>Deferred SIT Credit - Utility Op Inc</v>
      </c>
      <c r="C59" s="580" t="str">
        <f>'BASE PERIOD'!C58</f>
        <v>FIT</v>
      </c>
      <c r="D59" s="580">
        <f t="shared" si="0"/>
        <v>411</v>
      </c>
      <c r="E59" s="564">
        <f t="shared" si="1"/>
        <v>0</v>
      </c>
      <c r="F59" s="3600">
        <v>0</v>
      </c>
      <c r="G59" s="3600">
        <v>0</v>
      </c>
      <c r="H59" s="3600">
        <v>0</v>
      </c>
      <c r="I59" s="3600">
        <v>0</v>
      </c>
      <c r="J59" s="3600">
        <v>0</v>
      </c>
      <c r="K59" s="3600">
        <v>0</v>
      </c>
      <c r="L59" s="3600">
        <v>0</v>
      </c>
      <c r="M59" s="3600">
        <v>0</v>
      </c>
      <c r="N59" s="3600">
        <v>0</v>
      </c>
      <c r="O59" s="3600">
        <v>0</v>
      </c>
      <c r="P59" s="3600">
        <v>0</v>
      </c>
      <c r="Q59" s="3600">
        <v>0</v>
      </c>
    </row>
    <row r="60" spans="1:17">
      <c r="A60" s="580">
        <f>'BASE PERIOD'!A59</f>
        <v>411195</v>
      </c>
      <c r="B60" s="1597" t="str">
        <f>'BASE PERIOD'!B59</f>
        <v>UTP Tax Expense Fed Utility Prior Year</v>
      </c>
      <c r="C60" s="580" t="str">
        <f>'BASE PERIOD'!C59</f>
        <v>FIT</v>
      </c>
      <c r="D60" s="580">
        <f t="shared" si="0"/>
        <v>411</v>
      </c>
      <c r="E60" s="564">
        <f t="shared" si="1"/>
        <v>0</v>
      </c>
      <c r="F60" s="3600">
        <v>0</v>
      </c>
      <c r="G60" s="3600">
        <v>0</v>
      </c>
      <c r="H60" s="3600">
        <v>0</v>
      </c>
      <c r="I60" s="3600">
        <v>0</v>
      </c>
      <c r="J60" s="3600">
        <v>0</v>
      </c>
      <c r="K60" s="3600">
        <v>0</v>
      </c>
      <c r="L60" s="3600">
        <v>0</v>
      </c>
      <c r="M60" s="3600">
        <v>0</v>
      </c>
      <c r="N60" s="3600">
        <v>0</v>
      </c>
      <c r="O60" s="3600">
        <v>0</v>
      </c>
      <c r="P60" s="3600">
        <v>0</v>
      </c>
      <c r="Q60" s="3600">
        <v>0</v>
      </c>
    </row>
    <row r="61" spans="1:17">
      <c r="A61" s="580">
        <f>'BASE PERIOD'!A60</f>
        <v>426510</v>
      </c>
      <c r="B61" s="1597" t="str">
        <f>'BASE PERIOD'!B60</f>
        <v>Other</v>
      </c>
      <c r="C61" s="580" t="str">
        <f>'BASE PERIOD'!C60</f>
        <v>CO</v>
      </c>
      <c r="D61" s="580">
        <f t="shared" si="0"/>
        <v>426</v>
      </c>
      <c r="E61" s="564">
        <f t="shared" si="1"/>
        <v>0</v>
      </c>
      <c r="F61" s="3600">
        <v>0</v>
      </c>
      <c r="G61" s="3600">
        <v>0</v>
      </c>
      <c r="H61" s="3600">
        <v>0</v>
      </c>
      <c r="I61" s="3600">
        <v>0</v>
      </c>
      <c r="J61" s="3600">
        <v>0</v>
      </c>
      <c r="K61" s="3600">
        <v>0</v>
      </c>
      <c r="L61" s="3600">
        <v>0</v>
      </c>
      <c r="M61" s="3600">
        <v>0</v>
      </c>
      <c r="N61" s="3600">
        <v>0</v>
      </c>
      <c r="O61" s="3600">
        <v>0</v>
      </c>
      <c r="P61" s="3600">
        <v>0</v>
      </c>
      <c r="Q61" s="3600">
        <v>0</v>
      </c>
    </row>
    <row r="62" spans="1:17">
      <c r="A62" s="580">
        <f>'BASE PERIOD'!A61</f>
        <v>426891</v>
      </c>
      <c r="B62" s="1597" t="str">
        <f>'BASE PERIOD'!B61</f>
        <v>IC Sale of AR Fees VIE</v>
      </c>
      <c r="C62" s="580" t="str">
        <f>'BASE PERIOD'!C61</f>
        <v>CO</v>
      </c>
      <c r="D62" s="580">
        <f t="shared" si="0"/>
        <v>426</v>
      </c>
      <c r="E62" s="564">
        <f t="shared" si="1"/>
        <v>105421</v>
      </c>
      <c r="F62" s="3600">
        <v>6434</v>
      </c>
      <c r="G62" s="3600">
        <v>4839</v>
      </c>
      <c r="H62" s="3600">
        <v>4119</v>
      </c>
      <c r="I62" s="3600">
        <v>4907</v>
      </c>
      <c r="J62" s="3600">
        <v>5543</v>
      </c>
      <c r="K62" s="3600">
        <v>5880</v>
      </c>
      <c r="L62" s="3600">
        <v>8828</v>
      </c>
      <c r="M62" s="3600">
        <v>13170</v>
      </c>
      <c r="N62" s="3600">
        <v>17984</v>
      </c>
      <c r="O62" s="3600">
        <v>11223</v>
      </c>
      <c r="P62" s="3600">
        <v>11234</v>
      </c>
      <c r="Q62" s="3600">
        <v>11260</v>
      </c>
    </row>
    <row r="63" spans="1:17">
      <c r="A63" s="580">
        <f>'BASE PERIOD'!A62</f>
        <v>480000</v>
      </c>
      <c r="B63" s="1597" t="str">
        <f>'BASE PERIOD'!B62</f>
        <v>Residential Sales-Gas</v>
      </c>
      <c r="C63" s="580" t="str">
        <f>'BASE PERIOD'!C62</f>
        <v>REV</v>
      </c>
      <c r="D63" s="580">
        <f t="shared" si="0"/>
        <v>480</v>
      </c>
      <c r="E63" s="564">
        <f t="shared" si="1"/>
        <v>62113657</v>
      </c>
      <c r="F63" s="3600">
        <v>4296225</v>
      </c>
      <c r="G63" s="3600">
        <v>3089082</v>
      </c>
      <c r="H63" s="3600">
        <v>2555773</v>
      </c>
      <c r="I63" s="3600">
        <v>2222807</v>
      </c>
      <c r="J63" s="3600">
        <v>1979914</v>
      </c>
      <c r="K63" s="3600">
        <v>2060489</v>
      </c>
      <c r="L63" s="3600">
        <v>2622250</v>
      </c>
      <c r="M63" s="3600">
        <v>4761296</v>
      </c>
      <c r="N63" s="3600">
        <v>8615901</v>
      </c>
      <c r="O63" s="3600">
        <v>11249959</v>
      </c>
      <c r="P63" s="3600">
        <v>10590220</v>
      </c>
      <c r="Q63" s="3600">
        <v>8069741</v>
      </c>
    </row>
    <row r="64" spans="1:17">
      <c r="A64" s="580">
        <f>'BASE PERIOD'!A63</f>
        <v>480990</v>
      </c>
      <c r="B64" s="1597" t="str">
        <f>'BASE PERIOD'!B63</f>
        <v>Gas Residential Sales-Unbilled</v>
      </c>
      <c r="C64" s="580" t="str">
        <f>'BASE PERIOD'!C63</f>
        <v>REV</v>
      </c>
      <c r="D64" s="580">
        <f t="shared" si="0"/>
        <v>480</v>
      </c>
      <c r="E64" s="564">
        <f t="shared" si="1"/>
        <v>290323</v>
      </c>
      <c r="F64" s="3600">
        <v>-1510009</v>
      </c>
      <c r="G64" s="3600">
        <v>-226167</v>
      </c>
      <c r="H64" s="3600">
        <v>131201</v>
      </c>
      <c r="I64" s="3600">
        <v>615799</v>
      </c>
      <c r="J64" s="3600">
        <v>159399</v>
      </c>
      <c r="K64" s="3600">
        <v>495758</v>
      </c>
      <c r="L64" s="3600">
        <v>774603</v>
      </c>
      <c r="M64" s="3600">
        <v>1445742</v>
      </c>
      <c r="N64" s="3600">
        <v>32238</v>
      </c>
      <c r="O64" s="3600">
        <v>-118934</v>
      </c>
      <c r="P64" s="3600">
        <v>-415334</v>
      </c>
      <c r="Q64" s="3600">
        <v>-1093973</v>
      </c>
    </row>
    <row r="65" spans="1:17">
      <c r="A65" s="580">
        <f>'BASE PERIOD'!A64</f>
        <v>481000</v>
      </c>
      <c r="B65" s="1597" t="str">
        <f>'BASE PERIOD'!B64</f>
        <v>Industrial Sales-Gas</v>
      </c>
      <c r="C65" s="580" t="str">
        <f>'BASE PERIOD'!C64</f>
        <v>REV</v>
      </c>
      <c r="D65" s="580">
        <f t="shared" si="0"/>
        <v>481</v>
      </c>
      <c r="E65" s="564">
        <f t="shared" si="1"/>
        <v>1155283</v>
      </c>
      <c r="F65" s="3600">
        <v>87314</v>
      </c>
      <c r="G65" s="3600">
        <v>44488</v>
      </c>
      <c r="H65" s="3600">
        <v>46827</v>
      </c>
      <c r="I65" s="3600">
        <v>28249</v>
      </c>
      <c r="J65" s="3600">
        <v>36509</v>
      </c>
      <c r="K65" s="3600">
        <v>41142</v>
      </c>
      <c r="L65" s="3600">
        <v>43016</v>
      </c>
      <c r="M65" s="3600">
        <v>64147</v>
      </c>
      <c r="N65" s="3600">
        <v>186864</v>
      </c>
      <c r="O65" s="3600">
        <v>253614</v>
      </c>
      <c r="P65" s="3600">
        <v>192410</v>
      </c>
      <c r="Q65" s="3600">
        <v>130703</v>
      </c>
    </row>
    <row r="66" spans="1:17">
      <c r="A66" s="580">
        <f>'BASE PERIOD'!A65</f>
        <v>481090</v>
      </c>
      <c r="B66" s="1597" t="str">
        <f>'BASE PERIOD'!B65</f>
        <v>Gas Industrial Sales Unbilled</v>
      </c>
      <c r="C66" s="580" t="str">
        <f>'BASE PERIOD'!C65</f>
        <v>REV</v>
      </c>
      <c r="D66" s="580">
        <f t="shared" si="0"/>
        <v>481</v>
      </c>
      <c r="E66" s="564">
        <f t="shared" si="1"/>
        <v>-27452</v>
      </c>
      <c r="F66" s="3600">
        <v>-23297</v>
      </c>
      <c r="G66" s="3600">
        <v>2470</v>
      </c>
      <c r="H66" s="3600">
        <v>3172</v>
      </c>
      <c r="I66" s="3600">
        <v>8250</v>
      </c>
      <c r="J66" s="3600">
        <v>3022</v>
      </c>
      <c r="K66" s="3600">
        <v>6060</v>
      </c>
      <c r="L66" s="3600">
        <v>5311</v>
      </c>
      <c r="M66" s="3600">
        <v>12667</v>
      </c>
      <c r="N66" s="3600">
        <v>-22670</v>
      </c>
      <c r="O66" s="3600">
        <v>-3804</v>
      </c>
      <c r="P66" s="3600">
        <v>-17465</v>
      </c>
      <c r="Q66" s="3600">
        <v>-1168</v>
      </c>
    </row>
    <row r="67" spans="1:17">
      <c r="A67" s="580">
        <f>'BASE PERIOD'!A66</f>
        <v>481200</v>
      </c>
      <c r="B67" s="1597" t="str">
        <f>'BASE PERIOD'!B66</f>
        <v>Gas Commercial Sales</v>
      </c>
      <c r="C67" s="580" t="str">
        <f>'BASE PERIOD'!C66</f>
        <v>REV</v>
      </c>
      <c r="D67" s="580">
        <f t="shared" si="0"/>
        <v>481</v>
      </c>
      <c r="E67" s="564">
        <f t="shared" si="1"/>
        <v>21456292</v>
      </c>
      <c r="F67" s="3600">
        <v>1429594</v>
      </c>
      <c r="G67" s="3600">
        <v>861286</v>
      </c>
      <c r="H67" s="3600">
        <v>915037</v>
      </c>
      <c r="I67" s="3600">
        <v>859789</v>
      </c>
      <c r="J67" s="3600">
        <v>970431</v>
      </c>
      <c r="K67" s="3600">
        <v>821069</v>
      </c>
      <c r="L67" s="3600">
        <v>1235582</v>
      </c>
      <c r="M67" s="3600">
        <v>1839280</v>
      </c>
      <c r="N67" s="3600">
        <v>2949913</v>
      </c>
      <c r="O67" s="3600">
        <v>3828240</v>
      </c>
      <c r="P67" s="3600">
        <v>3309186</v>
      </c>
      <c r="Q67" s="3600">
        <v>2436885</v>
      </c>
    </row>
    <row r="68" spans="1:17">
      <c r="A68" s="580">
        <f>'BASE PERIOD'!A67</f>
        <v>481290</v>
      </c>
      <c r="B68" s="1597" t="str">
        <f>'BASE PERIOD'!B67</f>
        <v>Gas Commercial Sales Unbilled</v>
      </c>
      <c r="C68" s="580" t="str">
        <f>'BASE PERIOD'!C67</f>
        <v>REV</v>
      </c>
      <c r="D68" s="580">
        <f t="shared" si="0"/>
        <v>481</v>
      </c>
      <c r="E68" s="564">
        <f t="shared" si="1"/>
        <v>75382</v>
      </c>
      <c r="F68" s="3600">
        <v>-553941</v>
      </c>
      <c r="G68" s="3600">
        <v>54499</v>
      </c>
      <c r="H68" s="3600">
        <v>42951</v>
      </c>
      <c r="I68" s="3600">
        <v>318887</v>
      </c>
      <c r="J68" s="3600">
        <v>-26764</v>
      </c>
      <c r="K68" s="3600">
        <v>270992</v>
      </c>
      <c r="L68" s="3600">
        <v>144687</v>
      </c>
      <c r="M68" s="3600">
        <v>550510</v>
      </c>
      <c r="N68" s="3600">
        <v>-28900</v>
      </c>
      <c r="O68" s="3600">
        <v>-301228</v>
      </c>
      <c r="P68" s="3600">
        <v>-129947</v>
      </c>
      <c r="Q68" s="3600">
        <v>-266364</v>
      </c>
    </row>
    <row r="69" spans="1:17">
      <c r="A69" s="580">
        <f>'BASE PERIOD'!A68</f>
        <v>482000</v>
      </c>
      <c r="B69" s="1597" t="str">
        <f>'BASE PERIOD'!B68</f>
        <v>Other Sales to Public Auth-Gas</v>
      </c>
      <c r="C69" s="580" t="str">
        <f>'BASE PERIOD'!C68</f>
        <v>REV</v>
      </c>
      <c r="D69" s="580">
        <f t="shared" si="0"/>
        <v>482</v>
      </c>
      <c r="E69" s="564">
        <f t="shared" si="1"/>
        <v>2202694</v>
      </c>
      <c r="F69" s="3600">
        <v>154103</v>
      </c>
      <c r="G69" s="3600">
        <v>38117</v>
      </c>
      <c r="H69" s="3600">
        <v>77611</v>
      </c>
      <c r="I69" s="3600">
        <v>49657</v>
      </c>
      <c r="J69" s="3600">
        <v>39562</v>
      </c>
      <c r="K69" s="3600">
        <v>54271</v>
      </c>
      <c r="L69" s="3600">
        <v>105867</v>
      </c>
      <c r="M69" s="3600">
        <v>163630</v>
      </c>
      <c r="N69" s="3600">
        <v>352249</v>
      </c>
      <c r="O69" s="3600">
        <v>463988</v>
      </c>
      <c r="P69" s="3600">
        <v>429472</v>
      </c>
      <c r="Q69" s="3600">
        <v>274167</v>
      </c>
    </row>
    <row r="70" spans="1:17">
      <c r="A70" s="580">
        <f>'BASE PERIOD'!A69</f>
        <v>482090</v>
      </c>
      <c r="B70" s="1597" t="str">
        <f>'BASE PERIOD'!B69</f>
        <v>Gas OPA Unbilled</v>
      </c>
      <c r="C70" s="580" t="str">
        <f>'BASE PERIOD'!C69</f>
        <v>REV</v>
      </c>
      <c r="D70" s="580">
        <f t="shared" si="0"/>
        <v>482</v>
      </c>
      <c r="E70" s="564">
        <f t="shared" si="1"/>
        <v>-9243</v>
      </c>
      <c r="F70" s="3600">
        <v>-131282</v>
      </c>
      <c r="G70" s="3600">
        <v>11575</v>
      </c>
      <c r="H70" s="3600">
        <v>-4043</v>
      </c>
      <c r="I70" s="3600">
        <v>41481</v>
      </c>
      <c r="J70" s="3600">
        <v>16771</v>
      </c>
      <c r="K70" s="3600">
        <v>38456</v>
      </c>
      <c r="L70" s="3600">
        <v>35800</v>
      </c>
      <c r="M70" s="3600">
        <v>89372</v>
      </c>
      <c r="N70" s="3600">
        <v>-67269</v>
      </c>
      <c r="O70" s="3600">
        <v>-2015</v>
      </c>
      <c r="P70" s="3600">
        <v>-21783</v>
      </c>
      <c r="Q70" s="3600">
        <v>-16306</v>
      </c>
    </row>
    <row r="71" spans="1:17">
      <c r="A71" s="580">
        <f>'BASE PERIOD'!A70</f>
        <v>482200</v>
      </c>
      <c r="B71" s="1597" t="str">
        <f>'BASE PERIOD'!B70</f>
        <v>Gas Public St Hwy Ltng</v>
      </c>
      <c r="C71" s="580" t="str">
        <f>'BASE PERIOD'!C70</f>
        <v>REV</v>
      </c>
      <c r="D71" s="580">
        <f t="shared" si="0"/>
        <v>482</v>
      </c>
      <c r="E71" s="564">
        <f t="shared" si="1"/>
        <v>5789</v>
      </c>
      <c r="F71" s="3600">
        <v>472</v>
      </c>
      <c r="G71" s="3600">
        <v>471</v>
      </c>
      <c r="H71" s="3600">
        <v>476</v>
      </c>
      <c r="I71" s="3600">
        <v>481</v>
      </c>
      <c r="J71" s="3600">
        <v>480</v>
      </c>
      <c r="K71" s="3600">
        <v>488</v>
      </c>
      <c r="L71" s="3600">
        <v>488</v>
      </c>
      <c r="M71" s="3600">
        <v>489</v>
      </c>
      <c r="N71" s="3600">
        <v>485</v>
      </c>
      <c r="O71" s="3600">
        <v>488</v>
      </c>
      <c r="P71" s="3600">
        <v>486</v>
      </c>
      <c r="Q71" s="3600">
        <v>485</v>
      </c>
    </row>
    <row r="72" spans="1:17">
      <c r="A72" s="580">
        <f>'BASE PERIOD'!A71</f>
        <v>484000</v>
      </c>
      <c r="B72" s="1597" t="str">
        <f>'BASE PERIOD'!B71</f>
        <v>Interdepartmental Sales</v>
      </c>
      <c r="C72" s="580" t="str">
        <f>'BASE PERIOD'!C71</f>
        <v>REV</v>
      </c>
      <c r="D72" s="580">
        <f t="shared" si="0"/>
        <v>484</v>
      </c>
      <c r="E72" s="564">
        <f t="shared" si="1"/>
        <v>27765</v>
      </c>
      <c r="F72" s="3600">
        <v>1551</v>
      </c>
      <c r="G72" s="3600">
        <v>910</v>
      </c>
      <c r="H72" s="3600">
        <v>542</v>
      </c>
      <c r="I72" s="3600">
        <v>577</v>
      </c>
      <c r="J72" s="3600">
        <v>597</v>
      </c>
      <c r="K72" s="3600">
        <v>704</v>
      </c>
      <c r="L72" s="3600">
        <v>1274</v>
      </c>
      <c r="M72" s="3600">
        <v>2632</v>
      </c>
      <c r="N72" s="3600">
        <v>4073</v>
      </c>
      <c r="O72" s="3600">
        <v>5127</v>
      </c>
      <c r="P72" s="3600">
        <v>5634</v>
      </c>
      <c r="Q72" s="3600">
        <v>4144</v>
      </c>
    </row>
    <row r="73" spans="1:17">
      <c r="A73" s="580">
        <f>'BASE PERIOD'!A72</f>
        <v>487001</v>
      </c>
      <c r="B73" s="1597" t="str">
        <f>'BASE PERIOD'!B72</f>
        <v>Discounts Earn/Lost-Gas</v>
      </c>
      <c r="C73" s="580" t="str">
        <f>'BASE PERIOD'!C72</f>
        <v>REV</v>
      </c>
      <c r="D73" s="580">
        <f t="shared" si="0"/>
        <v>487</v>
      </c>
      <c r="E73" s="564">
        <f t="shared" si="1"/>
        <v>0</v>
      </c>
      <c r="F73" s="3600">
        <v>0</v>
      </c>
      <c r="G73" s="3600">
        <v>0</v>
      </c>
      <c r="H73" s="3600">
        <v>0</v>
      </c>
      <c r="I73" s="3600">
        <v>0</v>
      </c>
      <c r="J73" s="3600">
        <v>0</v>
      </c>
      <c r="K73" s="3600">
        <v>0</v>
      </c>
      <c r="L73" s="3600">
        <v>0</v>
      </c>
      <c r="M73" s="3600">
        <v>0</v>
      </c>
      <c r="N73" s="3600">
        <v>0</v>
      </c>
      <c r="O73" s="3600">
        <v>0</v>
      </c>
      <c r="P73" s="3600">
        <v>0</v>
      </c>
      <c r="Q73" s="3600">
        <v>0</v>
      </c>
    </row>
    <row r="74" spans="1:17">
      <c r="A74" s="580">
        <f>'BASE PERIOD'!A73</f>
        <v>488000</v>
      </c>
      <c r="B74" s="1597" t="str">
        <f>'BASE PERIOD'!B73</f>
        <v>Misc Service Revenue-Gas</v>
      </c>
      <c r="C74" s="580" t="str">
        <f>'BASE PERIOD'!C73</f>
        <v>REV</v>
      </c>
      <c r="D74" s="580">
        <f t="shared" si="0"/>
        <v>488</v>
      </c>
      <c r="E74" s="564">
        <f t="shared" si="1"/>
        <v>51996</v>
      </c>
      <c r="F74" s="3600">
        <v>4333</v>
      </c>
      <c r="G74" s="3600">
        <v>4333</v>
      </c>
      <c r="H74" s="3600">
        <v>4333</v>
      </c>
      <c r="I74" s="3600">
        <v>4333</v>
      </c>
      <c r="J74" s="3600">
        <v>4333</v>
      </c>
      <c r="K74" s="3600">
        <v>4333</v>
      </c>
      <c r="L74" s="3600">
        <v>4333</v>
      </c>
      <c r="M74" s="3600">
        <v>4333</v>
      </c>
      <c r="N74" s="3600">
        <v>4333</v>
      </c>
      <c r="O74" s="3600">
        <v>4333</v>
      </c>
      <c r="P74" s="3600">
        <v>4333</v>
      </c>
      <c r="Q74" s="3600">
        <v>4333</v>
      </c>
    </row>
    <row r="75" spans="1:17">
      <c r="A75" s="580">
        <f>'BASE PERIOD'!A74</f>
        <v>488100</v>
      </c>
      <c r="B75" s="1597" t="str">
        <f>'BASE PERIOD'!B74</f>
        <v>IC Misc Svc Reg Gas Reg</v>
      </c>
      <c r="C75" s="580" t="str">
        <f>'BASE PERIOD'!C74</f>
        <v>REV</v>
      </c>
      <c r="D75" s="580">
        <f t="shared" si="0"/>
        <v>488</v>
      </c>
      <c r="E75" s="564">
        <f t="shared" si="1"/>
        <v>514092</v>
      </c>
      <c r="F75" s="3600">
        <v>42841</v>
      </c>
      <c r="G75" s="3600">
        <v>42841</v>
      </c>
      <c r="H75" s="3600">
        <v>42841</v>
      </c>
      <c r="I75" s="3600">
        <v>42841</v>
      </c>
      <c r="J75" s="3600">
        <v>42841</v>
      </c>
      <c r="K75" s="3600">
        <v>42841</v>
      </c>
      <c r="L75" s="3600">
        <v>42841</v>
      </c>
      <c r="M75" s="3600">
        <v>42841</v>
      </c>
      <c r="N75" s="3600">
        <v>42841</v>
      </c>
      <c r="O75" s="3600">
        <v>42841</v>
      </c>
      <c r="P75" s="3600">
        <v>42841</v>
      </c>
      <c r="Q75" s="3600">
        <v>42841</v>
      </c>
    </row>
    <row r="76" spans="1:17">
      <c r="A76" s="580">
        <f>'BASE PERIOD'!A75</f>
        <v>489000</v>
      </c>
      <c r="B76" s="1597" t="str">
        <f>'BASE PERIOD'!B75</f>
        <v>Transp Gas of Others</v>
      </c>
      <c r="C76" s="580" t="str">
        <f>'BASE PERIOD'!C75</f>
        <v>REV</v>
      </c>
      <c r="D76" s="580">
        <f t="shared" si="0"/>
        <v>489</v>
      </c>
      <c r="E76" s="564">
        <f t="shared" si="1"/>
        <v>1404958</v>
      </c>
      <c r="F76" s="3600">
        <v>108193</v>
      </c>
      <c r="G76" s="3600">
        <v>112973</v>
      </c>
      <c r="H76" s="3600">
        <v>109117</v>
      </c>
      <c r="I76" s="3600">
        <v>108417</v>
      </c>
      <c r="J76" s="3600">
        <v>115593</v>
      </c>
      <c r="K76" s="3600">
        <v>110457</v>
      </c>
      <c r="L76" s="3600">
        <v>127247</v>
      </c>
      <c r="M76" s="3600">
        <v>129403</v>
      </c>
      <c r="N76" s="3600">
        <v>115324</v>
      </c>
      <c r="O76" s="3600">
        <v>131227</v>
      </c>
      <c r="P76" s="3600">
        <v>115964</v>
      </c>
      <c r="Q76" s="3600">
        <v>121043</v>
      </c>
    </row>
    <row r="77" spans="1:17">
      <c r="A77" s="580">
        <f>'BASE PERIOD'!A76</f>
        <v>489010</v>
      </c>
      <c r="B77" s="1597" t="str">
        <f>'BASE PERIOD'!B76</f>
        <v>IC Gas Transp Rev Reg</v>
      </c>
      <c r="C77" s="580" t="str">
        <f>'BASE PERIOD'!C76</f>
        <v>REV</v>
      </c>
      <c r="D77" s="580">
        <f t="shared" si="0"/>
        <v>489</v>
      </c>
      <c r="E77" s="564">
        <f t="shared" si="1"/>
        <v>0</v>
      </c>
      <c r="F77" s="3600">
        <v>0</v>
      </c>
      <c r="G77" s="3600">
        <v>0</v>
      </c>
      <c r="H77" s="3600">
        <v>0</v>
      </c>
      <c r="I77" s="3600">
        <v>0</v>
      </c>
      <c r="J77" s="3600">
        <v>0</v>
      </c>
      <c r="K77" s="3600">
        <v>0</v>
      </c>
      <c r="L77" s="3600">
        <v>0</v>
      </c>
      <c r="M77" s="3600">
        <v>0</v>
      </c>
      <c r="N77" s="3600">
        <v>0</v>
      </c>
      <c r="O77" s="3600">
        <v>0</v>
      </c>
      <c r="P77" s="3600">
        <v>0</v>
      </c>
      <c r="Q77" s="3600">
        <v>0</v>
      </c>
    </row>
    <row r="78" spans="1:17">
      <c r="A78" s="580">
        <f>'BASE PERIOD'!A77</f>
        <v>489020</v>
      </c>
      <c r="B78" s="1597" t="str">
        <f>'BASE PERIOD'!B77</f>
        <v>Comm Gas Transp Only</v>
      </c>
      <c r="C78" s="580" t="str">
        <f>'BASE PERIOD'!C77</f>
        <v>REV</v>
      </c>
      <c r="D78" s="580">
        <f t="shared" si="0"/>
        <v>489</v>
      </c>
      <c r="E78" s="564">
        <f t="shared" si="1"/>
        <v>1558548</v>
      </c>
      <c r="F78" s="3600">
        <v>116681</v>
      </c>
      <c r="G78" s="3600">
        <v>82073</v>
      </c>
      <c r="H78" s="3600">
        <v>83580</v>
      </c>
      <c r="I78" s="3600">
        <v>71925</v>
      </c>
      <c r="J78" s="3600">
        <v>88883</v>
      </c>
      <c r="K78" s="3600">
        <v>69629</v>
      </c>
      <c r="L78" s="3600">
        <v>111063</v>
      </c>
      <c r="M78" s="3600">
        <v>143028</v>
      </c>
      <c r="N78" s="3600">
        <v>191690</v>
      </c>
      <c r="O78" s="3600">
        <v>220453</v>
      </c>
      <c r="P78" s="3600">
        <v>197129</v>
      </c>
      <c r="Q78" s="3600">
        <v>182414</v>
      </c>
    </row>
    <row r="79" spans="1:17">
      <c r="A79" s="580">
        <f>'BASE PERIOD'!A78</f>
        <v>489025</v>
      </c>
      <c r="B79" s="1597" t="str">
        <f>'BASE PERIOD'!B78</f>
        <v>Comm Gas Transp Unbilled</v>
      </c>
      <c r="C79" s="580" t="str">
        <f>'BASE PERIOD'!C78</f>
        <v>REV</v>
      </c>
      <c r="D79" s="580">
        <f t="shared" ref="D79:D150" si="4">VALUE(LEFT(A79,3))</f>
        <v>489</v>
      </c>
      <c r="E79" s="564">
        <f t="shared" ref="E79:E162" si="5">SUM(F79:Q79)</f>
        <v>37583</v>
      </c>
      <c r="F79" s="3600">
        <v>-25936</v>
      </c>
      <c r="G79" s="3600">
        <v>-7343</v>
      </c>
      <c r="H79" s="3600">
        <v>-8105</v>
      </c>
      <c r="I79" s="3600">
        <v>4909</v>
      </c>
      <c r="J79" s="3600">
        <v>-5872</v>
      </c>
      <c r="K79" s="3600">
        <v>8391</v>
      </c>
      <c r="L79" s="3600">
        <v>15108</v>
      </c>
      <c r="M79" s="3600">
        <v>54259</v>
      </c>
      <c r="N79" s="3600">
        <v>28525</v>
      </c>
      <c r="O79" s="3600">
        <v>-8305</v>
      </c>
      <c r="P79" s="3600">
        <v>-4471</v>
      </c>
      <c r="Q79" s="3600">
        <v>-13577</v>
      </c>
    </row>
    <row r="80" spans="1:17">
      <c r="A80" s="580">
        <f>'BASE PERIOD'!A79</f>
        <v>489030</v>
      </c>
      <c r="B80" s="1597" t="str">
        <f>'BASE PERIOD'!B79</f>
        <v>Indust Gas Transp Only</v>
      </c>
      <c r="C80" s="580" t="str">
        <f>'BASE PERIOD'!C79</f>
        <v>REV</v>
      </c>
      <c r="D80" s="580">
        <f t="shared" si="4"/>
        <v>489</v>
      </c>
      <c r="E80" s="564">
        <f t="shared" si="5"/>
        <v>3238910</v>
      </c>
      <c r="F80" s="3600">
        <v>274349</v>
      </c>
      <c r="G80" s="3600">
        <v>228020</v>
      </c>
      <c r="H80" s="3600">
        <v>213939</v>
      </c>
      <c r="I80" s="3600">
        <v>217690</v>
      </c>
      <c r="J80" s="3600">
        <v>203201</v>
      </c>
      <c r="K80" s="3600">
        <v>211083</v>
      </c>
      <c r="L80" s="3600">
        <v>226278</v>
      </c>
      <c r="M80" s="3600">
        <v>239888</v>
      </c>
      <c r="N80" s="3600">
        <v>373213</v>
      </c>
      <c r="O80" s="3600">
        <v>394629</v>
      </c>
      <c r="P80" s="3600">
        <v>357276</v>
      </c>
      <c r="Q80" s="3600">
        <v>299344</v>
      </c>
    </row>
    <row r="81" spans="1:17">
      <c r="A81" s="580">
        <f>'BASE PERIOD'!A80</f>
        <v>489035</v>
      </c>
      <c r="B81" s="1597" t="str">
        <f>'BASE PERIOD'!B80</f>
        <v>Indust Gas Transp Unbilled</v>
      </c>
      <c r="C81" s="580" t="str">
        <f>'BASE PERIOD'!C80</f>
        <v>REV</v>
      </c>
      <c r="D81" s="580">
        <f t="shared" si="4"/>
        <v>489</v>
      </c>
      <c r="E81" s="564">
        <f t="shared" si="5"/>
        <v>11691</v>
      </c>
      <c r="F81" s="3600">
        <v>-49886</v>
      </c>
      <c r="G81" s="3600">
        <v>-9886</v>
      </c>
      <c r="H81" s="3600">
        <v>-6056</v>
      </c>
      <c r="I81" s="3600">
        <v>-3449</v>
      </c>
      <c r="J81" s="3600">
        <v>12211</v>
      </c>
      <c r="K81" s="3600">
        <v>3203</v>
      </c>
      <c r="L81" s="3600">
        <v>39223</v>
      </c>
      <c r="M81" s="3600">
        <v>74285</v>
      </c>
      <c r="N81" s="3600">
        <v>-16561</v>
      </c>
      <c r="O81" s="3600">
        <v>-974</v>
      </c>
      <c r="P81" s="3600">
        <v>-30405</v>
      </c>
      <c r="Q81" s="3600">
        <v>-14</v>
      </c>
    </row>
    <row r="82" spans="1:17">
      <c r="A82" s="580">
        <f>'BASE PERIOD'!A81</f>
        <v>489040</v>
      </c>
      <c r="B82" s="1597" t="str">
        <f>'BASE PERIOD'!B81</f>
        <v>OPA Gas Transp Only</v>
      </c>
      <c r="C82" s="580" t="str">
        <f>'BASE PERIOD'!C81</f>
        <v>REV</v>
      </c>
      <c r="D82" s="580">
        <f t="shared" si="4"/>
        <v>489</v>
      </c>
      <c r="E82" s="564">
        <f t="shared" si="5"/>
        <v>385736</v>
      </c>
      <c r="F82" s="3600">
        <v>38560</v>
      </c>
      <c r="G82" s="3600">
        <v>6302</v>
      </c>
      <c r="H82" s="3600">
        <v>9680</v>
      </c>
      <c r="I82" s="3600">
        <v>7294</v>
      </c>
      <c r="J82" s="3600">
        <v>7140</v>
      </c>
      <c r="K82" s="3600">
        <v>7783</v>
      </c>
      <c r="L82" s="3600">
        <v>19027</v>
      </c>
      <c r="M82" s="3600">
        <v>36526</v>
      </c>
      <c r="N82" s="3600">
        <v>71464</v>
      </c>
      <c r="O82" s="3600">
        <v>69850</v>
      </c>
      <c r="P82" s="3600">
        <v>61139</v>
      </c>
      <c r="Q82" s="3600">
        <v>50971</v>
      </c>
    </row>
    <row r="83" spans="1:17">
      <c r="A83" s="580">
        <f>'BASE PERIOD'!A82</f>
        <v>489045</v>
      </c>
      <c r="B83" s="1597" t="str">
        <f>'BASE PERIOD'!B82</f>
        <v>OPA Gas Transp Unbilled</v>
      </c>
      <c r="C83" s="580" t="str">
        <f>'BASE PERIOD'!C82</f>
        <v>REV</v>
      </c>
      <c r="D83" s="580">
        <f t="shared" si="4"/>
        <v>489</v>
      </c>
      <c r="E83" s="564">
        <f t="shared" si="5"/>
        <v>11790</v>
      </c>
      <c r="F83" s="3600">
        <v>-21756</v>
      </c>
      <c r="G83" s="3600">
        <v>-527</v>
      </c>
      <c r="H83" s="3600">
        <v>-1949</v>
      </c>
      <c r="I83" s="3600">
        <v>411</v>
      </c>
      <c r="J83" s="3600">
        <v>1140</v>
      </c>
      <c r="K83" s="3600">
        <v>1083</v>
      </c>
      <c r="L83" s="3600">
        <v>6392</v>
      </c>
      <c r="M83" s="3600">
        <v>25030</v>
      </c>
      <c r="N83" s="3600">
        <v>1778</v>
      </c>
      <c r="O83" s="3600">
        <v>2673</v>
      </c>
      <c r="P83" s="3600">
        <v>-1872</v>
      </c>
      <c r="Q83" s="3600">
        <v>-613</v>
      </c>
    </row>
    <row r="84" spans="1:17">
      <c r="A84" s="580">
        <f>'BASE PERIOD'!A83</f>
        <v>489200</v>
      </c>
      <c r="B84" s="1597" t="str">
        <f>'BASE PERIOD'!B83</f>
        <v>Transportation Fees</v>
      </c>
      <c r="C84" s="580" t="str">
        <f>'BASE PERIOD'!C83</f>
        <v>REV</v>
      </c>
      <c r="D84" s="580">
        <f t="shared" si="4"/>
        <v>489</v>
      </c>
      <c r="E84" s="564">
        <f t="shared" si="5"/>
        <v>0</v>
      </c>
      <c r="F84" s="3600">
        <v>0</v>
      </c>
      <c r="G84" s="3600">
        <v>0</v>
      </c>
      <c r="H84" s="3600">
        <v>0</v>
      </c>
      <c r="I84" s="3600">
        <v>0</v>
      </c>
      <c r="J84" s="3600">
        <v>0</v>
      </c>
      <c r="K84" s="3600">
        <v>0</v>
      </c>
      <c r="L84" s="3600">
        <v>0</v>
      </c>
      <c r="M84" s="3600">
        <v>0</v>
      </c>
      <c r="N84" s="3600">
        <v>0</v>
      </c>
      <c r="O84" s="3600">
        <v>0</v>
      </c>
      <c r="P84" s="3600">
        <v>0</v>
      </c>
      <c r="Q84" s="3600">
        <v>0</v>
      </c>
    </row>
    <row r="85" spans="1:17">
      <c r="A85" s="580">
        <v>493010</v>
      </c>
      <c r="B85" s="1615" t="s">
        <v>2671</v>
      </c>
      <c r="C85" s="580" t="str">
        <f>'BASE PERIOD'!C84</f>
        <v>REV</v>
      </c>
      <c r="D85" s="580">
        <f t="shared" ref="D85" si="6">VALUE(LEFT(A85,3))</f>
        <v>493</v>
      </c>
      <c r="E85" s="564">
        <f t="shared" ref="E85" si="7">SUM(F85:Q85)</f>
        <v>14496</v>
      </c>
      <c r="F85" s="3600">
        <v>1208</v>
      </c>
      <c r="G85" s="3600">
        <v>1208</v>
      </c>
      <c r="H85" s="3600">
        <v>1208</v>
      </c>
      <c r="I85" s="3600">
        <v>1208</v>
      </c>
      <c r="J85" s="3600">
        <v>1208</v>
      </c>
      <c r="K85" s="3600">
        <v>1208</v>
      </c>
      <c r="L85" s="3600">
        <v>1208</v>
      </c>
      <c r="M85" s="3600">
        <v>1208</v>
      </c>
      <c r="N85" s="3600">
        <v>1208</v>
      </c>
      <c r="O85" s="3600">
        <v>1208</v>
      </c>
      <c r="P85" s="3600">
        <v>1208</v>
      </c>
      <c r="Q85" s="3600">
        <v>1208</v>
      </c>
    </row>
    <row r="86" spans="1:17">
      <c r="A86" s="580">
        <f>'BASE PERIOD'!A85</f>
        <v>495031</v>
      </c>
      <c r="B86" s="1597" t="str">
        <f>'BASE PERIOD'!B85</f>
        <v>Gas Losses Damaged Lines</v>
      </c>
      <c r="C86" s="580" t="str">
        <f>'BASE PERIOD'!C85</f>
        <v>REV</v>
      </c>
      <c r="D86" s="580">
        <f t="shared" si="4"/>
        <v>495</v>
      </c>
      <c r="E86" s="564">
        <f t="shared" si="5"/>
        <v>0</v>
      </c>
      <c r="F86" s="3600">
        <v>0</v>
      </c>
      <c r="G86" s="3600">
        <v>0</v>
      </c>
      <c r="H86" s="3600">
        <v>0</v>
      </c>
      <c r="I86" s="3600">
        <v>0</v>
      </c>
      <c r="J86" s="3600">
        <v>0</v>
      </c>
      <c r="K86" s="3600">
        <v>0</v>
      </c>
      <c r="L86" s="3600">
        <v>0</v>
      </c>
      <c r="M86" s="3600">
        <v>0</v>
      </c>
      <c r="N86" s="3600">
        <v>0</v>
      </c>
      <c r="O86" s="3600">
        <v>0</v>
      </c>
      <c r="P86" s="3600">
        <v>0</v>
      </c>
      <c r="Q86" s="3600">
        <v>0</v>
      </c>
    </row>
    <row r="87" spans="1:17">
      <c r="A87" s="580">
        <f>'BASE PERIOD'!A86</f>
        <v>496020</v>
      </c>
      <c r="B87" s="1597" t="str">
        <f>'BASE PERIOD'!B86</f>
        <v>Provision for Rate Refund</v>
      </c>
      <c r="C87" s="580" t="str">
        <f>'BASE PERIOD'!C86</f>
        <v>REV</v>
      </c>
      <c r="D87" s="580">
        <f t="shared" si="4"/>
        <v>496</v>
      </c>
      <c r="E87" s="564">
        <f t="shared" si="5"/>
        <v>0</v>
      </c>
      <c r="F87" s="3600">
        <v>0</v>
      </c>
      <c r="G87" s="3600">
        <v>0</v>
      </c>
      <c r="H87" s="3600">
        <v>0</v>
      </c>
      <c r="I87" s="3600">
        <v>0</v>
      </c>
      <c r="J87" s="3600">
        <v>0</v>
      </c>
      <c r="K87" s="3600">
        <v>0</v>
      </c>
      <c r="L87" s="3600">
        <v>0</v>
      </c>
      <c r="M87" s="3600">
        <v>0</v>
      </c>
      <c r="N87" s="3600">
        <v>0</v>
      </c>
      <c r="O87" s="3600">
        <v>0</v>
      </c>
      <c r="P87" s="3600">
        <v>0</v>
      </c>
      <c r="Q87" s="3600">
        <v>0</v>
      </c>
    </row>
    <row r="88" spans="1:17">
      <c r="A88" s="580">
        <f>'BASE PERIOD'!A87</f>
        <v>711000</v>
      </c>
      <c r="B88" s="1597" t="str">
        <f>'BASE PERIOD'!B87</f>
        <v>Gas Boiler Labor</v>
      </c>
      <c r="C88" s="580" t="str">
        <f>'BASE PERIOD'!C87</f>
        <v>PO</v>
      </c>
      <c r="D88" s="580">
        <f t="shared" si="4"/>
        <v>711</v>
      </c>
      <c r="E88" s="564">
        <f t="shared" si="5"/>
        <v>0</v>
      </c>
      <c r="F88" s="3600">
        <v>0</v>
      </c>
      <c r="G88" s="3600">
        <v>0</v>
      </c>
      <c r="H88" s="3600">
        <v>0</v>
      </c>
      <c r="I88" s="3600">
        <v>0</v>
      </c>
      <c r="J88" s="3600">
        <v>0</v>
      </c>
      <c r="K88" s="3600">
        <v>0</v>
      </c>
      <c r="L88" s="3600">
        <v>0</v>
      </c>
      <c r="M88" s="3600">
        <v>0</v>
      </c>
      <c r="N88" s="3600">
        <v>0</v>
      </c>
      <c r="O88" s="3600">
        <v>0</v>
      </c>
      <c r="P88" s="3600">
        <v>0</v>
      </c>
      <c r="Q88" s="3600">
        <v>0</v>
      </c>
    </row>
    <row r="89" spans="1:17">
      <c r="A89" s="580">
        <f>'BASE PERIOD'!A88</f>
        <v>712000</v>
      </c>
      <c r="B89" s="1597" t="str">
        <f>'BASE PERIOD'!B88</f>
        <v>Gas Production-Other Power Ex</v>
      </c>
      <c r="C89" s="580" t="str">
        <f>'BASE PERIOD'!C88</f>
        <v>PO</v>
      </c>
      <c r="D89" s="580">
        <f t="shared" si="4"/>
        <v>712</v>
      </c>
      <c r="E89" s="564">
        <f t="shared" si="5"/>
        <v>0</v>
      </c>
      <c r="F89" s="3600">
        <v>0</v>
      </c>
      <c r="G89" s="3600">
        <v>0</v>
      </c>
      <c r="H89" s="3600">
        <v>0</v>
      </c>
      <c r="I89" s="3600">
        <v>0</v>
      </c>
      <c r="J89" s="3600">
        <v>0</v>
      </c>
      <c r="K89" s="3600">
        <v>0</v>
      </c>
      <c r="L89" s="3600">
        <v>0</v>
      </c>
      <c r="M89" s="3600">
        <v>0</v>
      </c>
      <c r="N89" s="3600">
        <v>0</v>
      </c>
      <c r="O89" s="3600">
        <v>0</v>
      </c>
      <c r="P89" s="3600">
        <v>0</v>
      </c>
      <c r="Q89" s="3600">
        <v>0</v>
      </c>
    </row>
    <row r="90" spans="1:17">
      <c r="A90" s="580">
        <f>'BASE PERIOD'!A89</f>
        <v>717000</v>
      </c>
      <c r="B90" s="1597" t="str">
        <f>'BASE PERIOD'!B89</f>
        <v>Liq Petro Gas Exp-Vapor Proc</v>
      </c>
      <c r="C90" s="580" t="str">
        <f>'BASE PERIOD'!C89</f>
        <v>PO</v>
      </c>
      <c r="D90" s="580">
        <f t="shared" si="4"/>
        <v>717</v>
      </c>
      <c r="E90" s="564">
        <f t="shared" si="5"/>
        <v>145617</v>
      </c>
      <c r="F90" s="3600">
        <v>11866</v>
      </c>
      <c r="G90" s="3600">
        <v>9771</v>
      </c>
      <c r="H90" s="3600">
        <v>8119</v>
      </c>
      <c r="I90" s="3600">
        <v>12502</v>
      </c>
      <c r="J90" s="3600">
        <v>13749</v>
      </c>
      <c r="K90" s="3600">
        <v>14919</v>
      </c>
      <c r="L90" s="3600">
        <v>17201</v>
      </c>
      <c r="M90" s="3600">
        <v>9932</v>
      </c>
      <c r="N90" s="3600">
        <v>15571</v>
      </c>
      <c r="O90" s="3600">
        <v>12091</v>
      </c>
      <c r="P90" s="3600">
        <v>9494</v>
      </c>
      <c r="Q90" s="3600">
        <v>10402</v>
      </c>
    </row>
    <row r="91" spans="1:17">
      <c r="A91" s="580">
        <f>'BASE PERIOD'!A90</f>
        <v>728000</v>
      </c>
      <c r="B91" s="1597" t="str">
        <f>'BASE PERIOD'!B90</f>
        <v>Liquid Petroleum Gas</v>
      </c>
      <c r="C91" s="580" t="str">
        <f>'BASE PERIOD'!C90</f>
        <v>PO</v>
      </c>
      <c r="D91" s="580">
        <f t="shared" si="4"/>
        <v>728</v>
      </c>
      <c r="E91" s="564">
        <f t="shared" si="5"/>
        <v>541028</v>
      </c>
      <c r="F91" s="3600">
        <v>0</v>
      </c>
      <c r="G91" s="3600">
        <v>0</v>
      </c>
      <c r="H91" s="3600">
        <v>0</v>
      </c>
      <c r="I91" s="3600">
        <v>0</v>
      </c>
      <c r="J91" s="3600">
        <v>0</v>
      </c>
      <c r="K91" s="3600">
        <v>0</v>
      </c>
      <c r="L91" s="3600">
        <v>0</v>
      </c>
      <c r="M91" s="3600">
        <v>12575</v>
      </c>
      <c r="N91" s="3600">
        <v>37725</v>
      </c>
      <c r="O91" s="3600">
        <v>492363</v>
      </c>
      <c r="P91" s="3600">
        <v>-1509</v>
      </c>
      <c r="Q91" s="3600">
        <v>-126</v>
      </c>
    </row>
    <row r="92" spans="1:17">
      <c r="A92" s="580">
        <f>'BASE PERIOD'!A91</f>
        <v>735000</v>
      </c>
      <c r="B92" s="1597" t="str">
        <f>'BASE PERIOD'!B91</f>
        <v>Gas Misc Production Exp</v>
      </c>
      <c r="C92" s="580" t="str">
        <f>'BASE PERIOD'!C91</f>
        <v>PO</v>
      </c>
      <c r="D92" s="580">
        <f t="shared" si="4"/>
        <v>735</v>
      </c>
      <c r="E92" s="564">
        <f t="shared" si="5"/>
        <v>132380</v>
      </c>
      <c r="F92" s="3600">
        <v>10788</v>
      </c>
      <c r="G92" s="3600">
        <v>8883</v>
      </c>
      <c r="H92" s="3600">
        <v>7381</v>
      </c>
      <c r="I92" s="3600">
        <v>11366</v>
      </c>
      <c r="J92" s="3600">
        <v>12499</v>
      </c>
      <c r="K92" s="3600">
        <v>13563</v>
      </c>
      <c r="L92" s="3600">
        <v>15637</v>
      </c>
      <c r="M92" s="3600">
        <v>9029</v>
      </c>
      <c r="N92" s="3600">
        <v>14155</v>
      </c>
      <c r="O92" s="3600">
        <v>10992</v>
      </c>
      <c r="P92" s="3600">
        <v>8631</v>
      </c>
      <c r="Q92" s="3600">
        <v>9456</v>
      </c>
    </row>
    <row r="93" spans="1:17">
      <c r="A93" s="580">
        <f>'BASE PERIOD'!A92</f>
        <v>742000</v>
      </c>
      <c r="B93" s="1597" t="str">
        <f>'BASE PERIOD'!B92</f>
        <v>Maint Gas Production Equipmen</v>
      </c>
      <c r="C93" s="580" t="str">
        <f>'BASE PERIOD'!C92</f>
        <v>PM</v>
      </c>
      <c r="D93" s="580">
        <f t="shared" si="4"/>
        <v>742</v>
      </c>
      <c r="E93" s="564">
        <f t="shared" si="5"/>
        <v>92578</v>
      </c>
      <c r="F93" s="3600">
        <v>6076</v>
      </c>
      <c r="G93" s="3600">
        <v>5399</v>
      </c>
      <c r="H93" s="3600">
        <v>5851</v>
      </c>
      <c r="I93" s="3600">
        <v>5826</v>
      </c>
      <c r="J93" s="3600">
        <v>8272</v>
      </c>
      <c r="K93" s="3600">
        <v>5909</v>
      </c>
      <c r="L93" s="3600">
        <v>6382</v>
      </c>
      <c r="M93" s="3600">
        <v>8855</v>
      </c>
      <c r="N93" s="3600">
        <v>11114</v>
      </c>
      <c r="O93" s="3600">
        <v>9277</v>
      </c>
      <c r="P93" s="3600">
        <v>10102</v>
      </c>
      <c r="Q93" s="3600">
        <v>9515</v>
      </c>
    </row>
    <row r="94" spans="1:17">
      <c r="A94" s="580">
        <f>'BASE PERIOD'!A93</f>
        <v>801000</v>
      </c>
      <c r="B94" s="1597" t="str">
        <f>'BASE PERIOD'!B93</f>
        <v>Purchases Gas &amp; NGL</v>
      </c>
      <c r="C94" s="580" t="str">
        <f>'BASE PERIOD'!C93</f>
        <v>Fuel</v>
      </c>
      <c r="D94" s="580">
        <f t="shared" si="4"/>
        <v>801</v>
      </c>
      <c r="E94" s="564">
        <f t="shared" si="5"/>
        <v>36334092</v>
      </c>
      <c r="F94" s="3600">
        <v>1887029</v>
      </c>
      <c r="G94" s="3600">
        <v>1133857</v>
      </c>
      <c r="H94" s="3600">
        <v>1040551</v>
      </c>
      <c r="I94" s="3600">
        <v>914900</v>
      </c>
      <c r="J94" s="3600">
        <v>856434</v>
      </c>
      <c r="K94" s="3600">
        <v>855583</v>
      </c>
      <c r="L94" s="3600">
        <v>1553029</v>
      </c>
      <c r="M94" s="3600">
        <v>3275251</v>
      </c>
      <c r="N94" s="3600">
        <v>5844659</v>
      </c>
      <c r="O94" s="3600">
        <v>7596364</v>
      </c>
      <c r="P94" s="3600">
        <v>6741482</v>
      </c>
      <c r="Q94" s="3600">
        <v>4634953</v>
      </c>
    </row>
    <row r="95" spans="1:17">
      <c r="A95" s="580">
        <f>'BASE PERIOD'!A94</f>
        <v>801001</v>
      </c>
      <c r="B95" s="1597" t="str">
        <f>'BASE PERIOD'!B94</f>
        <v>Purchases Gas &amp; NGL-Aff</v>
      </c>
      <c r="C95" s="580" t="str">
        <f>'BASE PERIOD'!C94</f>
        <v>Fuel</v>
      </c>
      <c r="D95" s="580">
        <f t="shared" si="4"/>
        <v>801</v>
      </c>
      <c r="E95" s="564">
        <f t="shared" si="5"/>
        <v>0</v>
      </c>
      <c r="F95" s="3600">
        <v>0</v>
      </c>
      <c r="G95" s="3600">
        <v>0</v>
      </c>
      <c r="H95" s="3600">
        <v>0</v>
      </c>
      <c r="I95" s="3600">
        <v>0</v>
      </c>
      <c r="J95" s="3600">
        <v>0</v>
      </c>
      <c r="K95" s="3600">
        <v>0</v>
      </c>
      <c r="L95" s="3600">
        <v>0</v>
      </c>
      <c r="M95" s="3600">
        <v>0</v>
      </c>
      <c r="N95" s="3600">
        <v>0</v>
      </c>
      <c r="O95" s="3600">
        <v>0</v>
      </c>
      <c r="P95" s="3600">
        <v>0</v>
      </c>
      <c r="Q95" s="3600">
        <v>0</v>
      </c>
    </row>
    <row r="96" spans="1:17">
      <c r="A96" s="580">
        <f>'BASE PERIOD'!A95</f>
        <v>805002</v>
      </c>
      <c r="B96" s="1597" t="str">
        <f>'BASE PERIOD'!B95</f>
        <v>Unrecovered Purchase Gas Adj</v>
      </c>
      <c r="C96" s="580" t="str">
        <f>'BASE PERIOD'!C95</f>
        <v>Fuel</v>
      </c>
      <c r="D96" s="580">
        <f t="shared" si="4"/>
        <v>805</v>
      </c>
      <c r="E96" s="564">
        <f t="shared" si="5"/>
        <v>0</v>
      </c>
      <c r="F96" s="3600">
        <v>0</v>
      </c>
      <c r="G96" s="3600">
        <v>0</v>
      </c>
      <c r="H96" s="3600">
        <v>0</v>
      </c>
      <c r="I96" s="3600">
        <v>0</v>
      </c>
      <c r="J96" s="3600">
        <v>0</v>
      </c>
      <c r="K96" s="3600">
        <v>0</v>
      </c>
      <c r="L96" s="3600">
        <v>0</v>
      </c>
      <c r="M96" s="3600">
        <v>0</v>
      </c>
      <c r="N96" s="3600">
        <v>0</v>
      </c>
      <c r="O96" s="3600">
        <v>0</v>
      </c>
      <c r="P96" s="3600">
        <v>0</v>
      </c>
      <c r="Q96" s="3600">
        <v>0</v>
      </c>
    </row>
    <row r="97" spans="1:17">
      <c r="A97" s="580">
        <f>'BASE PERIOD'!A96</f>
        <v>805003</v>
      </c>
      <c r="B97" s="1597" t="str">
        <f>'BASE PERIOD'!B96</f>
        <v>Purchase Gas Cost Unbilled Rev</v>
      </c>
      <c r="C97" s="580" t="str">
        <f>'BASE PERIOD'!C96</f>
        <v>Fuel</v>
      </c>
      <c r="D97" s="580">
        <f t="shared" si="4"/>
        <v>805</v>
      </c>
      <c r="E97" s="564">
        <f t="shared" si="5"/>
        <v>80549</v>
      </c>
      <c r="F97" s="3600">
        <v>-1513465</v>
      </c>
      <c r="G97" s="3600">
        <v>191299</v>
      </c>
      <c r="H97" s="3600">
        <v>315720</v>
      </c>
      <c r="I97" s="3600">
        <v>988831</v>
      </c>
      <c r="J97" s="3600">
        <v>143158</v>
      </c>
      <c r="K97" s="3600">
        <v>757112</v>
      </c>
      <c r="L97" s="3600">
        <v>612765</v>
      </c>
      <c r="M97" s="3600">
        <v>1158932</v>
      </c>
      <c r="N97" s="3600">
        <v>-798845</v>
      </c>
      <c r="O97" s="3600">
        <v>-507323</v>
      </c>
      <c r="P97" s="3600">
        <v>-409656</v>
      </c>
      <c r="Q97" s="3600">
        <v>-857979</v>
      </c>
    </row>
    <row r="98" spans="1:17">
      <c r="A98" s="580">
        <f>'BASE PERIOD'!A97</f>
        <v>807000</v>
      </c>
      <c r="B98" s="1597" t="str">
        <f>'BASE PERIOD'!B97</f>
        <v>Gas Purchased Expenses</v>
      </c>
      <c r="C98" s="580" t="str">
        <f>'BASE PERIOD'!C97</f>
        <v>PO</v>
      </c>
      <c r="D98" s="580">
        <f t="shared" si="4"/>
        <v>807</v>
      </c>
      <c r="E98" s="564">
        <f t="shared" si="5"/>
        <v>444020</v>
      </c>
      <c r="F98" s="3600">
        <v>57308</v>
      </c>
      <c r="G98" s="3600">
        <v>64227</v>
      </c>
      <c r="H98" s="3600">
        <v>57261</v>
      </c>
      <c r="I98" s="3600">
        <v>22234</v>
      </c>
      <c r="J98" s="3600">
        <v>22334</v>
      </c>
      <c r="K98" s="3600">
        <v>22223</v>
      </c>
      <c r="L98" s="3600">
        <v>22321</v>
      </c>
      <c r="M98" s="3600">
        <v>22410</v>
      </c>
      <c r="N98" s="3600">
        <v>22183</v>
      </c>
      <c r="O98" s="3600">
        <v>43527</v>
      </c>
      <c r="P98" s="3600">
        <v>43947</v>
      </c>
      <c r="Q98" s="3600">
        <v>44045</v>
      </c>
    </row>
    <row r="99" spans="1:17">
      <c r="A99" s="580">
        <f>'BASE PERIOD'!A98</f>
        <v>807100</v>
      </c>
      <c r="B99" s="1597" t="str">
        <f>'BASE PERIOD'!B98</f>
        <v>I/C Gas Purchased Expenses</v>
      </c>
      <c r="C99" s="580" t="str">
        <f>'BASE PERIOD'!C98</f>
        <v>PO</v>
      </c>
      <c r="D99" s="580">
        <f t="shared" si="4"/>
        <v>807</v>
      </c>
      <c r="E99" s="564">
        <f t="shared" si="5"/>
        <v>0</v>
      </c>
      <c r="F99" s="3600">
        <v>0</v>
      </c>
      <c r="G99" s="3600">
        <v>0</v>
      </c>
      <c r="H99" s="3600">
        <v>0</v>
      </c>
      <c r="I99" s="3600">
        <v>0</v>
      </c>
      <c r="J99" s="3600">
        <v>0</v>
      </c>
      <c r="K99" s="3600">
        <v>0</v>
      </c>
      <c r="L99" s="3600">
        <v>0</v>
      </c>
      <c r="M99" s="3600">
        <v>0</v>
      </c>
      <c r="N99" s="3600">
        <v>0</v>
      </c>
      <c r="O99" s="3600">
        <v>0</v>
      </c>
      <c r="P99" s="3600">
        <v>0</v>
      </c>
      <c r="Q99" s="3600">
        <v>0</v>
      </c>
    </row>
    <row r="100" spans="1:17">
      <c r="A100" s="580">
        <f>'BASE PERIOD'!A99</f>
        <v>813001</v>
      </c>
      <c r="B100" s="1597" t="str">
        <f>'BASE PERIOD'!B99</f>
        <v>Other Gas Supply Expenses</v>
      </c>
      <c r="C100" s="580" t="str">
        <f>'BASE PERIOD'!C99</f>
        <v>PO</v>
      </c>
      <c r="D100" s="580">
        <f t="shared" si="4"/>
        <v>813</v>
      </c>
      <c r="E100" s="564">
        <f t="shared" si="5"/>
        <v>0</v>
      </c>
      <c r="F100" s="3600">
        <v>0</v>
      </c>
      <c r="G100" s="3600">
        <v>0</v>
      </c>
      <c r="H100" s="3600">
        <v>0</v>
      </c>
      <c r="I100" s="3600">
        <v>0</v>
      </c>
      <c r="J100" s="3600">
        <v>0</v>
      </c>
      <c r="K100" s="3600">
        <v>0</v>
      </c>
      <c r="L100" s="3600">
        <v>0</v>
      </c>
      <c r="M100" s="3600">
        <v>0</v>
      </c>
      <c r="N100" s="3600">
        <v>0</v>
      </c>
      <c r="O100" s="3600">
        <v>0</v>
      </c>
      <c r="P100" s="3600">
        <v>0</v>
      </c>
      <c r="Q100" s="3600">
        <v>0</v>
      </c>
    </row>
    <row r="101" spans="1:17">
      <c r="A101" s="580">
        <f>'BASE PERIOD'!A100</f>
        <v>850001</v>
      </c>
      <c r="B101" s="1597" t="str">
        <f>'BASE PERIOD'!B100</f>
        <v>Operation Supv &amp; Eng-Tran</v>
      </c>
      <c r="C101" s="580" t="str">
        <f>'BASE PERIOD'!C100</f>
        <v>TO</v>
      </c>
      <c r="D101" s="580">
        <f t="shared" si="4"/>
        <v>850</v>
      </c>
      <c r="E101" s="564">
        <f t="shared" si="5"/>
        <v>0</v>
      </c>
      <c r="F101" s="3600">
        <v>0</v>
      </c>
      <c r="G101" s="3600">
        <v>0</v>
      </c>
      <c r="H101" s="3600">
        <v>0</v>
      </c>
      <c r="I101" s="3600">
        <v>0</v>
      </c>
      <c r="J101" s="3600">
        <v>0</v>
      </c>
      <c r="K101" s="3600">
        <v>0</v>
      </c>
      <c r="L101" s="3600">
        <v>0</v>
      </c>
      <c r="M101" s="3600">
        <v>0</v>
      </c>
      <c r="N101" s="3600">
        <v>0</v>
      </c>
      <c r="O101" s="3600">
        <v>0</v>
      </c>
      <c r="P101" s="3600">
        <v>0</v>
      </c>
      <c r="Q101" s="3600">
        <v>0</v>
      </c>
    </row>
    <row r="102" spans="1:17">
      <c r="A102" s="580">
        <f>'BASE PERIOD'!A101</f>
        <v>863000</v>
      </c>
      <c r="B102" s="1597" t="str">
        <f>'BASE PERIOD'!B101</f>
        <v>Transm-Maint of Mains</v>
      </c>
      <c r="C102" s="580" t="str">
        <f>'BASE PERIOD'!C101</f>
        <v>TM</v>
      </c>
      <c r="D102" s="580">
        <f t="shared" ref="D102" si="8">VALUE(LEFT(A102,3))</f>
        <v>863</v>
      </c>
      <c r="E102" s="564">
        <f t="shared" ref="E102" si="9">SUM(F102:Q102)</f>
        <v>0</v>
      </c>
      <c r="F102" s="3600">
        <v>0</v>
      </c>
      <c r="G102" s="3600">
        <v>0</v>
      </c>
      <c r="H102" s="3600">
        <v>0</v>
      </c>
      <c r="I102" s="3600">
        <v>0</v>
      </c>
      <c r="J102" s="3600">
        <v>0</v>
      </c>
      <c r="K102" s="3600">
        <v>0</v>
      </c>
      <c r="L102" s="3600">
        <v>0</v>
      </c>
      <c r="M102" s="3600">
        <v>0</v>
      </c>
      <c r="N102" s="3600">
        <v>0</v>
      </c>
      <c r="O102" s="3600">
        <v>0</v>
      </c>
      <c r="P102" s="3600">
        <v>0</v>
      </c>
      <c r="Q102" s="3600">
        <v>0</v>
      </c>
    </row>
    <row r="103" spans="1:17">
      <c r="A103" s="580">
        <f>'BASE PERIOD'!A102</f>
        <v>871000</v>
      </c>
      <c r="B103" s="1597" t="str">
        <f>'BASE PERIOD'!B102</f>
        <v>Distribution Load Dispatching</v>
      </c>
      <c r="C103" s="580" t="str">
        <f>'BASE PERIOD'!C102</f>
        <v>DO</v>
      </c>
      <c r="D103" s="580">
        <f t="shared" si="4"/>
        <v>871</v>
      </c>
      <c r="E103" s="564">
        <f t="shared" si="5"/>
        <v>185332</v>
      </c>
      <c r="F103" s="3600">
        <v>15103</v>
      </c>
      <c r="G103" s="3600">
        <v>12436</v>
      </c>
      <c r="H103" s="3600">
        <v>10333</v>
      </c>
      <c r="I103" s="3600">
        <v>15912</v>
      </c>
      <c r="J103" s="3600">
        <v>17499</v>
      </c>
      <c r="K103" s="3600">
        <v>18988</v>
      </c>
      <c r="L103" s="3600">
        <v>21892</v>
      </c>
      <c r="M103" s="3600">
        <v>12641</v>
      </c>
      <c r="N103" s="3600">
        <v>19818</v>
      </c>
      <c r="O103" s="3600">
        <v>15388</v>
      </c>
      <c r="P103" s="3600">
        <v>12083</v>
      </c>
      <c r="Q103" s="3600">
        <v>13239</v>
      </c>
    </row>
    <row r="104" spans="1:17">
      <c r="A104" s="580">
        <f>'BASE PERIOD'!A103</f>
        <v>874000</v>
      </c>
      <c r="B104" s="1597" t="str">
        <f>'BASE PERIOD'!B103</f>
        <v>Mains And Services</v>
      </c>
      <c r="C104" s="580" t="str">
        <f>'BASE PERIOD'!C103</f>
        <v>DO</v>
      </c>
      <c r="D104" s="580">
        <f t="shared" si="4"/>
        <v>874</v>
      </c>
      <c r="E104" s="564">
        <f t="shared" si="5"/>
        <v>2548186</v>
      </c>
      <c r="F104" s="3600">
        <v>214958</v>
      </c>
      <c r="G104" s="3600">
        <v>218585</v>
      </c>
      <c r="H104" s="3600">
        <v>198205</v>
      </c>
      <c r="I104" s="3600">
        <v>205247</v>
      </c>
      <c r="J104" s="3600">
        <v>172723</v>
      </c>
      <c r="K104" s="3600">
        <v>238276</v>
      </c>
      <c r="L104" s="3600">
        <v>207552</v>
      </c>
      <c r="M104" s="3600">
        <v>201416</v>
      </c>
      <c r="N104" s="3600">
        <v>250520</v>
      </c>
      <c r="O104" s="3600">
        <v>228966</v>
      </c>
      <c r="P104" s="3600">
        <v>194087</v>
      </c>
      <c r="Q104" s="3600">
        <v>217651</v>
      </c>
    </row>
    <row r="105" spans="1:17">
      <c r="A105" s="580">
        <f>'BASE PERIOD'!A104</f>
        <v>875000</v>
      </c>
      <c r="B105" s="1597" t="str">
        <f>'BASE PERIOD'!B104</f>
        <v>Measuring And Reg Stations-Ge</v>
      </c>
      <c r="C105" s="580" t="str">
        <f>'BASE PERIOD'!C104</f>
        <v>DO</v>
      </c>
      <c r="D105" s="580">
        <f t="shared" si="4"/>
        <v>875</v>
      </c>
      <c r="E105" s="564">
        <f t="shared" si="5"/>
        <v>0</v>
      </c>
      <c r="F105" s="3600">
        <v>0</v>
      </c>
      <c r="G105" s="3600">
        <v>0</v>
      </c>
      <c r="H105" s="3600">
        <v>0</v>
      </c>
      <c r="I105" s="3600">
        <v>0</v>
      </c>
      <c r="J105" s="3600">
        <v>0</v>
      </c>
      <c r="K105" s="3600">
        <v>0</v>
      </c>
      <c r="L105" s="3600">
        <v>0</v>
      </c>
      <c r="M105" s="3600">
        <v>0</v>
      </c>
      <c r="N105" s="3600">
        <v>0</v>
      </c>
      <c r="O105" s="3600">
        <v>0</v>
      </c>
      <c r="P105" s="3600">
        <v>0</v>
      </c>
      <c r="Q105" s="3600">
        <v>0</v>
      </c>
    </row>
    <row r="106" spans="1:17">
      <c r="A106" s="580">
        <f>'BASE PERIOD'!A105</f>
        <v>876000</v>
      </c>
      <c r="B106" s="1597" t="str">
        <f>'BASE PERIOD'!B105</f>
        <v>Measuring &amp; Reg Station-Indus</v>
      </c>
      <c r="C106" s="580" t="str">
        <f>'BASE PERIOD'!C105</f>
        <v>DO</v>
      </c>
      <c r="D106" s="580">
        <f t="shared" si="4"/>
        <v>876</v>
      </c>
      <c r="E106" s="564">
        <f t="shared" si="5"/>
        <v>0</v>
      </c>
      <c r="F106" s="3600">
        <v>0</v>
      </c>
      <c r="G106" s="3600">
        <v>0</v>
      </c>
      <c r="H106" s="3600">
        <v>0</v>
      </c>
      <c r="I106" s="3600">
        <v>0</v>
      </c>
      <c r="J106" s="3600">
        <v>0</v>
      </c>
      <c r="K106" s="3600">
        <v>0</v>
      </c>
      <c r="L106" s="3600">
        <v>0</v>
      </c>
      <c r="M106" s="3600">
        <v>0</v>
      </c>
      <c r="N106" s="3600">
        <v>0</v>
      </c>
      <c r="O106" s="3600">
        <v>0</v>
      </c>
      <c r="P106" s="3600">
        <v>0</v>
      </c>
      <c r="Q106" s="3600">
        <v>0</v>
      </c>
    </row>
    <row r="107" spans="1:17">
      <c r="A107" s="580">
        <f>'BASE PERIOD'!A106</f>
        <v>878000</v>
      </c>
      <c r="B107" s="1597" t="str">
        <f>'BASE PERIOD'!B106</f>
        <v>Meter And House Regulator Exp</v>
      </c>
      <c r="C107" s="580" t="str">
        <f>'BASE PERIOD'!C106</f>
        <v>DO</v>
      </c>
      <c r="D107" s="580">
        <f t="shared" si="4"/>
        <v>878</v>
      </c>
      <c r="E107" s="564">
        <f t="shared" si="5"/>
        <v>2305785</v>
      </c>
      <c r="F107" s="3600">
        <v>127357</v>
      </c>
      <c r="G107" s="3600">
        <v>203323</v>
      </c>
      <c r="H107" s="3600">
        <v>178963</v>
      </c>
      <c r="I107" s="3600">
        <v>208507</v>
      </c>
      <c r="J107" s="3600">
        <v>209460</v>
      </c>
      <c r="K107" s="3600">
        <v>191849</v>
      </c>
      <c r="L107" s="3600">
        <v>188988</v>
      </c>
      <c r="M107" s="3600">
        <v>152552</v>
      </c>
      <c r="N107" s="3600">
        <v>313331</v>
      </c>
      <c r="O107" s="3600">
        <v>206230</v>
      </c>
      <c r="P107" s="3600">
        <v>129552</v>
      </c>
      <c r="Q107" s="3600">
        <v>195673</v>
      </c>
    </row>
    <row r="108" spans="1:17">
      <c r="A108" s="580">
        <f>'BASE PERIOD'!A107</f>
        <v>879000</v>
      </c>
      <c r="B108" s="1597" t="str">
        <f>'BASE PERIOD'!B107</f>
        <v>Customer Installation Expense</v>
      </c>
      <c r="C108" s="580" t="str">
        <f>'BASE PERIOD'!C107</f>
        <v>DO</v>
      </c>
      <c r="D108" s="580">
        <f t="shared" si="4"/>
        <v>879</v>
      </c>
      <c r="E108" s="564">
        <f t="shared" si="5"/>
        <v>1353005</v>
      </c>
      <c r="F108" s="3600">
        <v>117807</v>
      </c>
      <c r="G108" s="3600">
        <v>97978</v>
      </c>
      <c r="H108" s="3600">
        <v>166677</v>
      </c>
      <c r="I108" s="3600">
        <v>112277</v>
      </c>
      <c r="J108" s="3600">
        <v>100085</v>
      </c>
      <c r="K108" s="3600">
        <v>112449</v>
      </c>
      <c r="L108" s="3600">
        <v>90437</v>
      </c>
      <c r="M108" s="3600">
        <v>92522</v>
      </c>
      <c r="N108" s="3600">
        <v>103259</v>
      </c>
      <c r="O108" s="3600">
        <v>153971</v>
      </c>
      <c r="P108" s="3600">
        <v>108041</v>
      </c>
      <c r="Q108" s="3600">
        <v>97502</v>
      </c>
    </row>
    <row r="109" spans="1:17">
      <c r="A109" s="580">
        <f>'BASE PERIOD'!A108</f>
        <v>880000</v>
      </c>
      <c r="B109" s="1597" t="str">
        <f>'BASE PERIOD'!B108</f>
        <v>Gas Distribution-Other Expense</v>
      </c>
      <c r="C109" s="580" t="str">
        <f>'BASE PERIOD'!C108</f>
        <v>DO</v>
      </c>
      <c r="D109" s="580">
        <f t="shared" si="4"/>
        <v>880</v>
      </c>
      <c r="E109" s="564">
        <f t="shared" si="5"/>
        <v>2398505</v>
      </c>
      <c r="F109" s="3600">
        <v>168230</v>
      </c>
      <c r="G109" s="3600">
        <v>163596</v>
      </c>
      <c r="H109" s="3600">
        <v>373768</v>
      </c>
      <c r="I109" s="3600">
        <v>217011</v>
      </c>
      <c r="J109" s="3600">
        <v>167813</v>
      </c>
      <c r="K109" s="3600">
        <v>165472</v>
      </c>
      <c r="L109" s="3600">
        <v>163965</v>
      </c>
      <c r="M109" s="3600">
        <v>167471</v>
      </c>
      <c r="N109" s="3600">
        <v>161278</v>
      </c>
      <c r="O109" s="3600">
        <v>293333</v>
      </c>
      <c r="P109" s="3600">
        <v>162459</v>
      </c>
      <c r="Q109" s="3600">
        <v>194109</v>
      </c>
    </row>
    <row r="110" spans="1:17">
      <c r="A110" s="580">
        <f>'BASE PERIOD'!A109</f>
        <v>887000</v>
      </c>
      <c r="B110" s="1597" t="str">
        <f>'BASE PERIOD'!B109</f>
        <v>Maintenance of Mains</v>
      </c>
      <c r="C110" s="580" t="str">
        <f>'BASE PERIOD'!C109</f>
        <v>DM</v>
      </c>
      <c r="D110" s="580">
        <f t="shared" si="4"/>
        <v>887</v>
      </c>
      <c r="E110" s="564">
        <f t="shared" si="5"/>
        <v>2158350</v>
      </c>
      <c r="F110" s="3600">
        <v>177794</v>
      </c>
      <c r="G110" s="3600">
        <v>159933</v>
      </c>
      <c r="H110" s="3600">
        <v>140620</v>
      </c>
      <c r="I110" s="3600">
        <v>173766</v>
      </c>
      <c r="J110" s="3600">
        <v>178310</v>
      </c>
      <c r="K110" s="3600">
        <v>214000</v>
      </c>
      <c r="L110" s="3600">
        <v>217572</v>
      </c>
      <c r="M110" s="3600">
        <v>155902</v>
      </c>
      <c r="N110" s="3600">
        <v>211273</v>
      </c>
      <c r="O110" s="3600">
        <v>184471</v>
      </c>
      <c r="P110" s="3600">
        <v>170276</v>
      </c>
      <c r="Q110" s="3600">
        <v>174433</v>
      </c>
    </row>
    <row r="111" spans="1:17">
      <c r="A111" s="580">
        <f>'BASE PERIOD'!A110</f>
        <v>889000</v>
      </c>
      <c r="B111" s="1597" t="str">
        <f>'BASE PERIOD'!B110</f>
        <v>Maint-Meas/Reg Stn Equip-Gas</v>
      </c>
      <c r="C111" s="580" t="str">
        <f>'BASE PERIOD'!C110</f>
        <v>DM</v>
      </c>
      <c r="D111" s="580">
        <f t="shared" si="4"/>
        <v>889</v>
      </c>
      <c r="E111" s="564">
        <f t="shared" si="5"/>
        <v>66190</v>
      </c>
      <c r="F111" s="3600">
        <v>5394</v>
      </c>
      <c r="G111" s="3600">
        <v>4441</v>
      </c>
      <c r="H111" s="3600">
        <v>3690</v>
      </c>
      <c r="I111" s="3600">
        <v>5683</v>
      </c>
      <c r="J111" s="3600">
        <v>6250</v>
      </c>
      <c r="K111" s="3600">
        <v>6781</v>
      </c>
      <c r="L111" s="3600">
        <v>7819</v>
      </c>
      <c r="M111" s="3600">
        <v>4515</v>
      </c>
      <c r="N111" s="3600">
        <v>7078</v>
      </c>
      <c r="O111" s="3600">
        <v>5496</v>
      </c>
      <c r="P111" s="3600">
        <v>4315</v>
      </c>
      <c r="Q111" s="3600">
        <v>4728</v>
      </c>
    </row>
    <row r="112" spans="1:17">
      <c r="A112" s="580">
        <f>'BASE PERIOD'!A111</f>
        <v>892000</v>
      </c>
      <c r="B112" s="1597" t="str">
        <f>'BASE PERIOD'!B111</f>
        <v>Maintenance of Services</v>
      </c>
      <c r="C112" s="580" t="str">
        <f>'BASE PERIOD'!C111</f>
        <v>DM</v>
      </c>
      <c r="D112" s="580">
        <f t="shared" si="4"/>
        <v>892</v>
      </c>
      <c r="E112" s="564">
        <f t="shared" si="5"/>
        <v>596174</v>
      </c>
      <c r="F112" s="3600">
        <v>46658</v>
      </c>
      <c r="G112" s="3600">
        <v>46161</v>
      </c>
      <c r="H112" s="3600">
        <v>42384</v>
      </c>
      <c r="I112" s="3600">
        <v>47327</v>
      </c>
      <c r="J112" s="3600">
        <v>47869</v>
      </c>
      <c r="K112" s="3600">
        <v>49172</v>
      </c>
      <c r="L112" s="3600">
        <v>57140</v>
      </c>
      <c r="M112" s="3600">
        <v>50751</v>
      </c>
      <c r="N112" s="3600">
        <v>65009</v>
      </c>
      <c r="O112" s="3600">
        <v>50464</v>
      </c>
      <c r="P112" s="3600">
        <v>47431</v>
      </c>
      <c r="Q112" s="3600">
        <v>45808</v>
      </c>
    </row>
    <row r="113" spans="1:17">
      <c r="A113" s="580">
        <f>'BASE PERIOD'!A112</f>
        <v>893000</v>
      </c>
      <c r="B113" s="1597" t="str">
        <f>'BASE PERIOD'!B112</f>
        <v>Maint - Meters And House Reg</v>
      </c>
      <c r="C113" s="580" t="str">
        <f>'BASE PERIOD'!C112</f>
        <v>DM</v>
      </c>
      <c r="D113" s="580">
        <f t="shared" si="4"/>
        <v>893</v>
      </c>
      <c r="E113" s="564">
        <f t="shared" si="5"/>
        <v>277999</v>
      </c>
      <c r="F113" s="3600">
        <v>22655</v>
      </c>
      <c r="G113" s="3600">
        <v>18654</v>
      </c>
      <c r="H113" s="3600">
        <v>15500</v>
      </c>
      <c r="I113" s="3600">
        <v>23869</v>
      </c>
      <c r="J113" s="3600">
        <v>26248</v>
      </c>
      <c r="K113" s="3600">
        <v>28482</v>
      </c>
      <c r="L113" s="3600">
        <v>32838</v>
      </c>
      <c r="M113" s="3600">
        <v>18961</v>
      </c>
      <c r="N113" s="3600">
        <v>29726</v>
      </c>
      <c r="O113" s="3600">
        <v>23083</v>
      </c>
      <c r="P113" s="3600">
        <v>18125</v>
      </c>
      <c r="Q113" s="3600">
        <v>19858</v>
      </c>
    </row>
    <row r="114" spans="1:17">
      <c r="A114" s="580">
        <f>'BASE PERIOD'!A113</f>
        <v>894000</v>
      </c>
      <c r="B114" s="1597" t="str">
        <f>'BASE PERIOD'!B113</f>
        <v>Maint-Other Distribution Equip</v>
      </c>
      <c r="C114" s="580" t="str">
        <f>'BASE PERIOD'!C113</f>
        <v>DM</v>
      </c>
      <c r="D114" s="580">
        <f t="shared" si="4"/>
        <v>894</v>
      </c>
      <c r="E114" s="564">
        <f t="shared" si="5"/>
        <v>52951</v>
      </c>
      <c r="F114" s="3600">
        <v>4315</v>
      </c>
      <c r="G114" s="3600">
        <v>3553</v>
      </c>
      <c r="H114" s="3600">
        <v>2952</v>
      </c>
      <c r="I114" s="3600">
        <v>4546</v>
      </c>
      <c r="J114" s="3600">
        <v>5000</v>
      </c>
      <c r="K114" s="3600">
        <v>5425</v>
      </c>
      <c r="L114" s="3600">
        <v>6255</v>
      </c>
      <c r="M114" s="3600">
        <v>3612</v>
      </c>
      <c r="N114" s="3600">
        <v>5662</v>
      </c>
      <c r="O114" s="3600">
        <v>4397</v>
      </c>
      <c r="P114" s="3600">
        <v>3452</v>
      </c>
      <c r="Q114" s="3600">
        <v>3782</v>
      </c>
    </row>
    <row r="115" spans="1:17">
      <c r="A115" s="580">
        <f>'BASE PERIOD'!A114</f>
        <v>901000</v>
      </c>
      <c r="B115" s="1597" t="str">
        <f>'BASE PERIOD'!B114</f>
        <v>Supervision-Cust Accts</v>
      </c>
      <c r="C115" s="580" t="str">
        <f>'BASE PERIOD'!C114</f>
        <v>CO</v>
      </c>
      <c r="D115" s="580">
        <f t="shared" si="4"/>
        <v>901</v>
      </c>
      <c r="E115" s="564">
        <f t="shared" si="5"/>
        <v>185894</v>
      </c>
      <c r="F115" s="3600">
        <v>14561</v>
      </c>
      <c r="G115" s="3600">
        <v>14561</v>
      </c>
      <c r="H115" s="3600">
        <v>14561</v>
      </c>
      <c r="I115" s="3600">
        <v>14561</v>
      </c>
      <c r="J115" s="3600">
        <v>19376</v>
      </c>
      <c r="K115" s="3600">
        <v>14561</v>
      </c>
      <c r="L115" s="3600">
        <v>14561</v>
      </c>
      <c r="M115" s="3600">
        <v>14561</v>
      </c>
      <c r="N115" s="3600">
        <v>14561</v>
      </c>
      <c r="O115" s="3600">
        <v>16378</v>
      </c>
      <c r="P115" s="3600">
        <v>14328</v>
      </c>
      <c r="Q115" s="3600">
        <v>19324</v>
      </c>
    </row>
    <row r="116" spans="1:17">
      <c r="A116" s="580">
        <f>'BASE PERIOD'!A115</f>
        <v>902000</v>
      </c>
      <c r="B116" s="1597" t="str">
        <f>'BASE PERIOD'!B115</f>
        <v>Meter Reading Expense</v>
      </c>
      <c r="C116" s="580" t="str">
        <f>'BASE PERIOD'!C115</f>
        <v>CO</v>
      </c>
      <c r="D116" s="580">
        <f t="shared" si="4"/>
        <v>902</v>
      </c>
      <c r="E116" s="564">
        <f t="shared" si="5"/>
        <v>15923</v>
      </c>
      <c r="F116" s="3600">
        <v>1205</v>
      </c>
      <c r="G116" s="3600">
        <v>1205</v>
      </c>
      <c r="H116" s="3600">
        <v>1205</v>
      </c>
      <c r="I116" s="3600">
        <v>1205</v>
      </c>
      <c r="J116" s="3600">
        <v>1808</v>
      </c>
      <c r="K116" s="3600">
        <v>1205</v>
      </c>
      <c r="L116" s="3600">
        <v>1205</v>
      </c>
      <c r="M116" s="3600">
        <v>1205</v>
      </c>
      <c r="N116" s="3600">
        <v>1205</v>
      </c>
      <c r="O116" s="3600">
        <v>1492</v>
      </c>
      <c r="P116" s="3600">
        <v>1193</v>
      </c>
      <c r="Q116" s="3600">
        <v>1790</v>
      </c>
    </row>
    <row r="117" spans="1:17">
      <c r="A117" s="580">
        <f>'BASE PERIOD'!A116</f>
        <v>903000</v>
      </c>
      <c r="B117" s="1597" t="str">
        <f>'BASE PERIOD'!B116</f>
        <v>Cust Records &amp; Collection Exp</v>
      </c>
      <c r="C117" s="580" t="str">
        <f>'BASE PERIOD'!C116</f>
        <v>CO</v>
      </c>
      <c r="D117" s="580">
        <f t="shared" si="4"/>
        <v>903</v>
      </c>
      <c r="E117" s="564">
        <f>SUM(F117:Q117)</f>
        <v>1188082</v>
      </c>
      <c r="F117" s="3600">
        <v>96978</v>
      </c>
      <c r="G117" s="3600">
        <v>85516</v>
      </c>
      <c r="H117" s="3600">
        <v>88185</v>
      </c>
      <c r="I117" s="3600">
        <v>95064</v>
      </c>
      <c r="J117" s="3600">
        <v>89837</v>
      </c>
      <c r="K117" s="3600">
        <v>90184</v>
      </c>
      <c r="L117" s="3600">
        <v>97903</v>
      </c>
      <c r="M117" s="3600">
        <v>86286</v>
      </c>
      <c r="N117" s="3600">
        <v>92566</v>
      </c>
      <c r="O117" s="3600">
        <v>182188</v>
      </c>
      <c r="P117" s="3600">
        <v>94945</v>
      </c>
      <c r="Q117" s="3600">
        <v>88430</v>
      </c>
    </row>
    <row r="118" spans="1:17">
      <c r="A118" s="580">
        <f>'BASE PERIOD'!A117</f>
        <v>903100</v>
      </c>
      <c r="B118" s="1597" t="str">
        <f>'BASE PERIOD'!B117</f>
        <v>Cust Contracts &amp; Orders-Local</v>
      </c>
      <c r="C118" s="580" t="str">
        <f>'BASE PERIOD'!C117</f>
        <v>CO</v>
      </c>
      <c r="D118" s="580">
        <f t="shared" si="4"/>
        <v>903</v>
      </c>
      <c r="E118" s="564">
        <f t="shared" si="5"/>
        <v>376278</v>
      </c>
      <c r="F118" s="3600">
        <v>29862</v>
      </c>
      <c r="G118" s="3600">
        <v>30146</v>
      </c>
      <c r="H118" s="3600">
        <v>30927</v>
      </c>
      <c r="I118" s="3600">
        <v>30680</v>
      </c>
      <c r="J118" s="3600">
        <v>37734</v>
      </c>
      <c r="K118" s="3600">
        <v>31104</v>
      </c>
      <c r="L118" s="3600">
        <v>30224</v>
      </c>
      <c r="M118" s="3600">
        <v>28931</v>
      </c>
      <c r="N118" s="3600">
        <v>29064</v>
      </c>
      <c r="O118" s="3600">
        <v>29126</v>
      </c>
      <c r="P118" s="3600">
        <v>30644</v>
      </c>
      <c r="Q118" s="3600">
        <v>37836</v>
      </c>
    </row>
    <row r="119" spans="1:17">
      <c r="A119" s="580">
        <f>'BASE PERIOD'!A118</f>
        <v>903200</v>
      </c>
      <c r="B119" s="1597" t="str">
        <f>'BASE PERIOD'!B118</f>
        <v>Cust Billing &amp; Acct</v>
      </c>
      <c r="C119" s="580" t="str">
        <f>'BASE PERIOD'!C118</f>
        <v>CO</v>
      </c>
      <c r="D119" s="580">
        <f t="shared" si="4"/>
        <v>903</v>
      </c>
      <c r="E119" s="564">
        <f t="shared" si="5"/>
        <v>655821</v>
      </c>
      <c r="F119" s="3600">
        <v>51847</v>
      </c>
      <c r="G119" s="3600">
        <v>52294</v>
      </c>
      <c r="H119" s="3600">
        <v>52943</v>
      </c>
      <c r="I119" s="3600">
        <v>52796</v>
      </c>
      <c r="J119" s="3600">
        <v>67535</v>
      </c>
      <c r="K119" s="3600">
        <v>52973</v>
      </c>
      <c r="L119" s="3600">
        <v>52250</v>
      </c>
      <c r="M119" s="3600">
        <v>50806</v>
      </c>
      <c r="N119" s="3600">
        <v>50826</v>
      </c>
      <c r="O119" s="3600">
        <v>51542</v>
      </c>
      <c r="P119" s="3600">
        <v>52229</v>
      </c>
      <c r="Q119" s="3600">
        <v>67780</v>
      </c>
    </row>
    <row r="120" spans="1:17">
      <c r="A120" s="580">
        <f>'BASE PERIOD'!A119</f>
        <v>903250</v>
      </c>
      <c r="B120" s="1597" t="str">
        <f>'BASE PERIOD'!B119</f>
        <v>Cust Billing - Common</v>
      </c>
      <c r="C120" s="580" t="str">
        <f>'BASE PERIOD'!C119</f>
        <v>CO</v>
      </c>
      <c r="D120" s="580">
        <f t="shared" ref="D120" si="10">VALUE(LEFT(A120,3))</f>
        <v>903</v>
      </c>
      <c r="E120" s="564">
        <f t="shared" ref="E120" si="11">SUM(F120:Q120)</f>
        <v>0</v>
      </c>
      <c r="F120" s="3600">
        <v>0</v>
      </c>
      <c r="G120" s="3600">
        <v>0</v>
      </c>
      <c r="H120" s="3600">
        <v>0</v>
      </c>
      <c r="I120" s="3600">
        <v>0</v>
      </c>
      <c r="J120" s="3600">
        <v>0</v>
      </c>
      <c r="K120" s="3600">
        <v>0</v>
      </c>
      <c r="L120" s="3600">
        <v>0</v>
      </c>
      <c r="M120" s="3600">
        <v>0</v>
      </c>
      <c r="N120" s="3600">
        <v>0</v>
      </c>
      <c r="O120" s="3600">
        <v>0</v>
      </c>
      <c r="P120" s="3600">
        <v>0</v>
      </c>
      <c r="Q120" s="3600">
        <v>0</v>
      </c>
    </row>
    <row r="121" spans="1:17">
      <c r="A121" s="580">
        <f>'BASE PERIOD'!A120</f>
        <v>903300</v>
      </c>
      <c r="B121" s="1597" t="str">
        <f>'BASE PERIOD'!B120</f>
        <v>Cust Collecting-Local</v>
      </c>
      <c r="C121" s="580" t="str">
        <f>'BASE PERIOD'!C120</f>
        <v>CO</v>
      </c>
      <c r="D121" s="580">
        <f t="shared" si="4"/>
        <v>903</v>
      </c>
      <c r="E121" s="564">
        <f t="shared" si="5"/>
        <v>320819</v>
      </c>
      <c r="F121" s="3600">
        <v>25466</v>
      </c>
      <c r="G121" s="3600">
        <v>25664</v>
      </c>
      <c r="H121" s="3600">
        <v>26255</v>
      </c>
      <c r="I121" s="3600">
        <v>26086</v>
      </c>
      <c r="J121" s="3600">
        <v>32123</v>
      </c>
      <c r="K121" s="3600">
        <v>26388</v>
      </c>
      <c r="L121" s="3600">
        <v>25741</v>
      </c>
      <c r="M121" s="3600">
        <v>24744</v>
      </c>
      <c r="N121" s="3600">
        <v>24848</v>
      </c>
      <c r="O121" s="3600">
        <v>25307</v>
      </c>
      <c r="P121" s="3600">
        <v>26003</v>
      </c>
      <c r="Q121" s="3600">
        <v>32194</v>
      </c>
    </row>
    <row r="122" spans="1:17">
      <c r="A122" s="580">
        <f>'BASE PERIOD'!A121</f>
        <v>903400</v>
      </c>
      <c r="B122" s="1597" t="str">
        <f>'BASE PERIOD'!B121</f>
        <v>Cust Receiv &amp; Collect Exp-Edp</v>
      </c>
      <c r="C122" s="580" t="str">
        <f>'BASE PERIOD'!C121</f>
        <v>CO</v>
      </c>
      <c r="D122" s="580">
        <f t="shared" si="4"/>
        <v>903</v>
      </c>
      <c r="E122" s="564">
        <f t="shared" si="5"/>
        <v>54599</v>
      </c>
      <c r="F122" s="3600">
        <v>4307</v>
      </c>
      <c r="G122" s="3600">
        <v>4324</v>
      </c>
      <c r="H122" s="3600">
        <v>4908</v>
      </c>
      <c r="I122" s="3600">
        <v>4359</v>
      </c>
      <c r="J122" s="3600">
        <v>4413</v>
      </c>
      <c r="K122" s="3600">
        <v>4960</v>
      </c>
      <c r="L122" s="3600">
        <v>4410</v>
      </c>
      <c r="M122" s="3600">
        <v>4428</v>
      </c>
      <c r="N122" s="3600">
        <v>5012</v>
      </c>
      <c r="O122" s="3600">
        <v>4259</v>
      </c>
      <c r="P122" s="3600">
        <v>4276</v>
      </c>
      <c r="Q122" s="3600">
        <v>4943</v>
      </c>
    </row>
    <row r="123" spans="1:17">
      <c r="A123" s="580">
        <f>'BASE PERIOD'!A122</f>
        <v>903891</v>
      </c>
      <c r="B123" s="1597" t="str">
        <f>'BASE PERIOD'!B122</f>
        <v>IC Collection Agent Revenue</v>
      </c>
      <c r="C123" s="580" t="str">
        <f>'BASE PERIOD'!C122</f>
        <v>CO</v>
      </c>
      <c r="D123" s="580">
        <f t="shared" si="4"/>
        <v>903</v>
      </c>
      <c r="E123" s="564">
        <f t="shared" si="5"/>
        <v>0</v>
      </c>
      <c r="F123" s="3600">
        <v>0</v>
      </c>
      <c r="G123" s="3600">
        <v>0</v>
      </c>
      <c r="H123" s="3600">
        <v>0</v>
      </c>
      <c r="I123" s="3600">
        <v>0</v>
      </c>
      <c r="J123" s="3600">
        <v>0</v>
      </c>
      <c r="K123" s="3600">
        <v>0</v>
      </c>
      <c r="L123" s="3600">
        <v>0</v>
      </c>
      <c r="M123" s="3600">
        <v>0</v>
      </c>
      <c r="N123" s="3600">
        <v>0</v>
      </c>
      <c r="O123" s="3600">
        <v>0</v>
      </c>
      <c r="P123" s="3600">
        <v>0</v>
      </c>
      <c r="Q123" s="3600">
        <v>0</v>
      </c>
    </row>
    <row r="124" spans="1:17">
      <c r="A124" s="580">
        <f>'BASE PERIOD'!A123</f>
        <v>904001</v>
      </c>
      <c r="B124" s="1597" t="str">
        <f>'BASE PERIOD'!B123</f>
        <v>BAD DEBT EXPENSE</v>
      </c>
      <c r="C124" s="580" t="str">
        <f>'BASE PERIOD'!C123</f>
        <v>CO</v>
      </c>
      <c r="D124" s="580">
        <f t="shared" si="4"/>
        <v>904</v>
      </c>
      <c r="E124" s="564">
        <f t="shared" si="5"/>
        <v>0</v>
      </c>
      <c r="F124" s="3600">
        <v>0</v>
      </c>
      <c r="G124" s="3600">
        <v>0</v>
      </c>
      <c r="H124" s="3600">
        <v>0</v>
      </c>
      <c r="I124" s="3600">
        <v>0</v>
      </c>
      <c r="J124" s="3600">
        <v>0</v>
      </c>
      <c r="K124" s="3600">
        <v>0</v>
      </c>
      <c r="L124" s="3600">
        <v>0</v>
      </c>
      <c r="M124" s="3600">
        <v>0</v>
      </c>
      <c r="N124" s="3600">
        <v>0</v>
      </c>
      <c r="O124" s="3600">
        <v>0</v>
      </c>
      <c r="P124" s="3600">
        <v>0</v>
      </c>
      <c r="Q124" s="3600">
        <v>0</v>
      </c>
    </row>
    <row r="125" spans="1:17">
      <c r="A125" s="580">
        <f>'BASE PERIOD'!A124</f>
        <v>904003</v>
      </c>
      <c r="B125" s="1597" t="str">
        <f>'BASE PERIOD'!B124</f>
        <v>Cust Acctg-Loss On Sale-A/R</v>
      </c>
      <c r="C125" s="580" t="str">
        <f>'BASE PERIOD'!C124</f>
        <v>CO</v>
      </c>
      <c r="D125" s="580">
        <f t="shared" ref="D125" si="12">VALUE(LEFT(A125,3))</f>
        <v>904</v>
      </c>
      <c r="E125" s="564">
        <f t="shared" ref="E125" si="13">SUM(F125:Q125)</f>
        <v>378591</v>
      </c>
      <c r="F125" s="3600">
        <v>28894</v>
      </c>
      <c r="G125" s="3600">
        <v>32716</v>
      </c>
      <c r="H125" s="3600">
        <v>46770</v>
      </c>
      <c r="I125" s="3600">
        <v>55142</v>
      </c>
      <c r="J125" s="3600">
        <v>58533</v>
      </c>
      <c r="K125" s="3600">
        <v>44252</v>
      </c>
      <c r="L125" s="3600">
        <v>53609</v>
      </c>
      <c r="M125" s="3600">
        <v>53123</v>
      </c>
      <c r="N125" s="3600">
        <v>48154</v>
      </c>
      <c r="O125" s="3600">
        <v>-32160</v>
      </c>
      <c r="P125" s="3600">
        <v>-31763</v>
      </c>
      <c r="Q125" s="3600">
        <v>21321</v>
      </c>
    </row>
    <row r="126" spans="1:17">
      <c r="A126" s="580">
        <f>'BASE PERIOD'!A125</f>
        <v>905000</v>
      </c>
      <c r="B126" s="1597" t="str">
        <f>'BASE PERIOD'!B125</f>
        <v>Misc Customer Accts Expenses</v>
      </c>
      <c r="C126" s="580" t="str">
        <f>'BASE PERIOD'!C125</f>
        <v>CO</v>
      </c>
      <c r="D126" s="580">
        <f t="shared" si="4"/>
        <v>905</v>
      </c>
      <c r="E126" s="564">
        <f t="shared" si="5"/>
        <v>0</v>
      </c>
      <c r="F126" s="3600">
        <v>0</v>
      </c>
      <c r="G126" s="3600">
        <v>0</v>
      </c>
      <c r="H126" s="3600">
        <v>0</v>
      </c>
      <c r="I126" s="3600">
        <v>0</v>
      </c>
      <c r="J126" s="3600">
        <v>0</v>
      </c>
      <c r="K126" s="3600">
        <v>0</v>
      </c>
      <c r="L126" s="3600">
        <v>0</v>
      </c>
      <c r="M126" s="3600">
        <v>0</v>
      </c>
      <c r="N126" s="3600">
        <v>0</v>
      </c>
      <c r="O126" s="3600">
        <v>0</v>
      </c>
      <c r="P126" s="3600">
        <v>0</v>
      </c>
      <c r="Q126" s="3600">
        <v>0</v>
      </c>
    </row>
    <row r="127" spans="1:17">
      <c r="A127" s="580">
        <f>'BASE PERIOD'!A126</f>
        <v>908000</v>
      </c>
      <c r="B127" s="1597" t="str">
        <f>'BASE PERIOD'!B126</f>
        <v>Cust Asst Exp-Conservation Pro</v>
      </c>
      <c r="C127" s="580" t="str">
        <f>'BASE PERIOD'!C126</f>
        <v>CSI</v>
      </c>
      <c r="D127" s="580">
        <f t="shared" si="4"/>
        <v>908</v>
      </c>
      <c r="E127" s="564">
        <f t="shared" si="5"/>
        <v>0</v>
      </c>
      <c r="F127" s="3600">
        <v>0</v>
      </c>
      <c r="G127" s="3600">
        <v>0</v>
      </c>
      <c r="H127" s="3600">
        <v>0</v>
      </c>
      <c r="I127" s="3600">
        <v>0</v>
      </c>
      <c r="J127" s="3600">
        <v>0</v>
      </c>
      <c r="K127" s="3600">
        <v>0</v>
      </c>
      <c r="L127" s="3600">
        <v>0</v>
      </c>
      <c r="M127" s="3600">
        <v>0</v>
      </c>
      <c r="N127" s="3600">
        <v>0</v>
      </c>
      <c r="O127" s="3600">
        <v>0</v>
      </c>
      <c r="P127" s="3600">
        <v>0</v>
      </c>
      <c r="Q127" s="3600">
        <v>0</v>
      </c>
    </row>
    <row r="128" spans="1:17">
      <c r="A128" s="580">
        <f>'BASE PERIOD'!A127</f>
        <v>908150</v>
      </c>
      <c r="B128" s="1597" t="str">
        <f>'BASE PERIOD'!B127</f>
        <v>Commer/Indust Assistance Exp</v>
      </c>
      <c r="C128" s="580" t="str">
        <f>'BASE PERIOD'!C127</f>
        <v>CSI</v>
      </c>
      <c r="D128" s="580">
        <f t="shared" si="4"/>
        <v>908</v>
      </c>
      <c r="E128" s="564">
        <f t="shared" si="5"/>
        <v>0</v>
      </c>
      <c r="F128" s="3600">
        <v>0</v>
      </c>
      <c r="G128" s="3600">
        <v>0</v>
      </c>
      <c r="H128" s="3600">
        <v>0</v>
      </c>
      <c r="I128" s="3600">
        <v>0</v>
      </c>
      <c r="J128" s="3600">
        <v>0</v>
      </c>
      <c r="K128" s="3600">
        <v>0</v>
      </c>
      <c r="L128" s="3600">
        <v>0</v>
      </c>
      <c r="M128" s="3600">
        <v>0</v>
      </c>
      <c r="N128" s="3600">
        <v>0</v>
      </c>
      <c r="O128" s="3600">
        <v>0</v>
      </c>
      <c r="P128" s="3600">
        <v>0</v>
      </c>
      <c r="Q128" s="3600">
        <v>0</v>
      </c>
    </row>
    <row r="129" spans="1:17">
      <c r="A129" s="580">
        <f>'BASE PERIOD'!A128</f>
        <v>908160</v>
      </c>
      <c r="B129" s="1597" t="str">
        <f>'BASE PERIOD'!B128</f>
        <v>Cust Assist Exp-General</v>
      </c>
      <c r="C129" s="580" t="str">
        <f>'BASE PERIOD'!C128</f>
        <v>CSI</v>
      </c>
      <c r="D129" s="580">
        <f t="shared" si="4"/>
        <v>908</v>
      </c>
      <c r="E129" s="564">
        <f t="shared" si="5"/>
        <v>105903</v>
      </c>
      <c r="F129" s="3600">
        <v>8630</v>
      </c>
      <c r="G129" s="3600">
        <v>7106</v>
      </c>
      <c r="H129" s="3600">
        <v>5905</v>
      </c>
      <c r="I129" s="3600">
        <v>9093</v>
      </c>
      <c r="J129" s="3600">
        <v>9999</v>
      </c>
      <c r="K129" s="3600">
        <v>10850</v>
      </c>
      <c r="L129" s="3600">
        <v>12510</v>
      </c>
      <c r="M129" s="3600">
        <v>7223</v>
      </c>
      <c r="N129" s="3600">
        <v>11324</v>
      </c>
      <c r="O129" s="3600">
        <v>8793</v>
      </c>
      <c r="P129" s="3600">
        <v>6905</v>
      </c>
      <c r="Q129" s="3600">
        <v>7565</v>
      </c>
    </row>
    <row r="130" spans="1:17">
      <c r="A130" s="580">
        <f>'BASE PERIOD'!A129</f>
        <v>909650</v>
      </c>
      <c r="B130" s="1597" t="str">
        <f>'BASE PERIOD'!B129</f>
        <v>Misc Advertising Expenses</v>
      </c>
      <c r="C130" s="580" t="str">
        <f>'BASE PERIOD'!C129</f>
        <v>CSI</v>
      </c>
      <c r="D130" s="580">
        <f t="shared" si="4"/>
        <v>909</v>
      </c>
      <c r="E130" s="564">
        <f t="shared" si="5"/>
        <v>0</v>
      </c>
      <c r="F130" s="3600">
        <v>0</v>
      </c>
      <c r="G130" s="3600">
        <v>0</v>
      </c>
      <c r="H130" s="3600">
        <v>0</v>
      </c>
      <c r="I130" s="3600">
        <v>0</v>
      </c>
      <c r="J130" s="3600">
        <v>0</v>
      </c>
      <c r="K130" s="3600">
        <v>0</v>
      </c>
      <c r="L130" s="3600">
        <v>0</v>
      </c>
      <c r="M130" s="3600">
        <v>0</v>
      </c>
      <c r="N130" s="3600">
        <v>0</v>
      </c>
      <c r="O130" s="3600">
        <v>0</v>
      </c>
      <c r="P130" s="3600">
        <v>0</v>
      </c>
      <c r="Q130" s="3600">
        <v>0</v>
      </c>
    </row>
    <row r="131" spans="1:17">
      <c r="A131" s="580">
        <f>'BASE PERIOD'!A130</f>
        <v>910000</v>
      </c>
      <c r="B131" s="1597" t="str">
        <f>'BASE PERIOD'!B130</f>
        <v>Misc Cust Serv/Inform Exp</v>
      </c>
      <c r="C131" s="580" t="str">
        <f>'BASE PERIOD'!C130</f>
        <v>CSI</v>
      </c>
      <c r="D131" s="580">
        <f t="shared" si="4"/>
        <v>910</v>
      </c>
      <c r="E131" s="564">
        <f t="shared" si="5"/>
        <v>178458</v>
      </c>
      <c r="F131" s="3600">
        <v>13749</v>
      </c>
      <c r="G131" s="3600">
        <v>16052</v>
      </c>
      <c r="H131" s="3600">
        <v>14403</v>
      </c>
      <c r="I131" s="3600">
        <v>14023</v>
      </c>
      <c r="J131" s="3600">
        <v>13814</v>
      </c>
      <c r="K131" s="3600">
        <v>16234</v>
      </c>
      <c r="L131" s="3600">
        <v>14962</v>
      </c>
      <c r="M131" s="3600">
        <v>13859</v>
      </c>
      <c r="N131" s="3600">
        <v>16298</v>
      </c>
      <c r="O131" s="3600">
        <v>15782</v>
      </c>
      <c r="P131" s="3600">
        <v>14782</v>
      </c>
      <c r="Q131" s="3600">
        <v>14500</v>
      </c>
    </row>
    <row r="132" spans="1:17">
      <c r="A132" s="580">
        <f>'BASE PERIOD'!A131</f>
        <v>910100</v>
      </c>
      <c r="B132" s="1597" t="str">
        <f>'BASE PERIOD'!B131</f>
        <v>Exp-Rs Reg Prod/Svces-CstAccts</v>
      </c>
      <c r="C132" s="580" t="str">
        <f>'BASE PERIOD'!C131</f>
        <v>CSI</v>
      </c>
      <c r="D132" s="580">
        <f t="shared" si="4"/>
        <v>910</v>
      </c>
      <c r="E132" s="564">
        <f t="shared" si="5"/>
        <v>142475</v>
      </c>
      <c r="F132" s="3600">
        <v>11836</v>
      </c>
      <c r="G132" s="3600">
        <v>11836</v>
      </c>
      <c r="H132" s="3600">
        <v>11836</v>
      </c>
      <c r="I132" s="3600">
        <v>11836</v>
      </c>
      <c r="J132" s="3600">
        <v>11947</v>
      </c>
      <c r="K132" s="3600">
        <v>11836</v>
      </c>
      <c r="L132" s="3600">
        <v>11836</v>
      </c>
      <c r="M132" s="3600">
        <v>11836</v>
      </c>
      <c r="N132" s="3600">
        <v>11836</v>
      </c>
      <c r="O132" s="3600">
        <v>11887</v>
      </c>
      <c r="P132" s="3600">
        <v>11887</v>
      </c>
      <c r="Q132" s="3600">
        <v>12066</v>
      </c>
    </row>
    <row r="133" spans="1:17">
      <c r="A133" s="580">
        <f>'BASE PERIOD'!A132</f>
        <v>911000</v>
      </c>
      <c r="B133" s="1597" t="str">
        <f>'BASE PERIOD'!B132</f>
        <v>Supervision</v>
      </c>
      <c r="C133" s="580" t="str">
        <f>'BASE PERIOD'!C132</f>
        <v>CSI</v>
      </c>
      <c r="D133" s="580">
        <f t="shared" si="4"/>
        <v>911</v>
      </c>
      <c r="E133" s="564">
        <f t="shared" si="5"/>
        <v>20643</v>
      </c>
      <c r="F133" s="3600">
        <v>1716</v>
      </c>
      <c r="G133" s="3600">
        <v>1716</v>
      </c>
      <c r="H133" s="3600">
        <v>1716</v>
      </c>
      <c r="I133" s="3600">
        <v>1716</v>
      </c>
      <c r="J133" s="3600">
        <v>1716</v>
      </c>
      <c r="K133" s="3600">
        <v>1716</v>
      </c>
      <c r="L133" s="3600">
        <v>1716</v>
      </c>
      <c r="M133" s="3600">
        <v>1716</v>
      </c>
      <c r="N133" s="3600">
        <v>1716</v>
      </c>
      <c r="O133" s="3600">
        <v>1733</v>
      </c>
      <c r="P133" s="3600">
        <v>1733</v>
      </c>
      <c r="Q133" s="3600">
        <v>1733</v>
      </c>
    </row>
    <row r="134" spans="1:17">
      <c r="A134" s="580">
        <f>'BASE PERIOD'!A133</f>
        <v>912000</v>
      </c>
      <c r="B134" s="1597" t="str">
        <f>'BASE PERIOD'!B133</f>
        <v>Demonstrating &amp; Selling Exp</v>
      </c>
      <c r="C134" s="580" t="str">
        <f>'BASE PERIOD'!C133</f>
        <v>SE</v>
      </c>
      <c r="D134" s="580">
        <f t="shared" si="4"/>
        <v>912</v>
      </c>
      <c r="E134" s="564">
        <f t="shared" si="5"/>
        <v>173485</v>
      </c>
      <c r="F134" s="3600">
        <v>14750</v>
      </c>
      <c r="G134" s="3600">
        <v>14715</v>
      </c>
      <c r="H134" s="3600">
        <v>14707</v>
      </c>
      <c r="I134" s="3600">
        <v>14711</v>
      </c>
      <c r="J134" s="3600">
        <v>14711</v>
      </c>
      <c r="K134" s="3600">
        <v>14708</v>
      </c>
      <c r="L134" s="3600">
        <v>14712</v>
      </c>
      <c r="M134" s="3600">
        <v>14760</v>
      </c>
      <c r="N134" s="3600">
        <v>14764</v>
      </c>
      <c r="O134" s="3600">
        <v>13647</v>
      </c>
      <c r="P134" s="3600">
        <v>13520</v>
      </c>
      <c r="Q134" s="3600">
        <v>13780</v>
      </c>
    </row>
    <row r="135" spans="1:17">
      <c r="A135" s="580">
        <f>'BASE PERIOD'!A134</f>
        <v>913001</v>
      </c>
      <c r="B135" s="1597" t="str">
        <f>'BASE PERIOD'!B134</f>
        <v>Advertising Expense</v>
      </c>
      <c r="C135" s="580" t="str">
        <f>'BASE PERIOD'!C134</f>
        <v>SE</v>
      </c>
      <c r="D135" s="580">
        <f t="shared" si="4"/>
        <v>913</v>
      </c>
      <c r="E135" s="564">
        <f t="shared" si="5"/>
        <v>6339</v>
      </c>
      <c r="F135" s="3600">
        <v>530</v>
      </c>
      <c r="G135" s="3600">
        <v>530</v>
      </c>
      <c r="H135" s="3600">
        <v>530</v>
      </c>
      <c r="I135" s="3600">
        <v>530</v>
      </c>
      <c r="J135" s="3600">
        <v>530</v>
      </c>
      <c r="K135" s="3600">
        <v>530</v>
      </c>
      <c r="L135" s="3600">
        <v>530</v>
      </c>
      <c r="M135" s="3600">
        <v>530</v>
      </c>
      <c r="N135" s="3600">
        <v>530</v>
      </c>
      <c r="O135" s="3600">
        <v>517</v>
      </c>
      <c r="P135" s="3600">
        <v>517</v>
      </c>
      <c r="Q135" s="3600">
        <v>535</v>
      </c>
    </row>
    <row r="136" spans="1:17">
      <c r="A136" s="580">
        <f>'BASE PERIOD'!A135</f>
        <v>920000</v>
      </c>
      <c r="B136" s="1597" t="str">
        <f>'BASE PERIOD'!B135</f>
        <v>A &amp; G Salaries</v>
      </c>
      <c r="C136" s="580" t="str">
        <f>'BASE PERIOD'!C135</f>
        <v>AGO</v>
      </c>
      <c r="D136" s="580">
        <f t="shared" si="4"/>
        <v>920</v>
      </c>
      <c r="E136" s="564">
        <f t="shared" si="5"/>
        <v>2190228</v>
      </c>
      <c r="F136" s="3600">
        <v>184900</v>
      </c>
      <c r="G136" s="3600">
        <v>185697</v>
      </c>
      <c r="H136" s="3600">
        <v>237059</v>
      </c>
      <c r="I136" s="3600">
        <v>185891</v>
      </c>
      <c r="J136" s="3600">
        <v>187675</v>
      </c>
      <c r="K136" s="3600">
        <v>147126</v>
      </c>
      <c r="L136" s="3600">
        <v>186011</v>
      </c>
      <c r="M136" s="3600">
        <v>176269</v>
      </c>
      <c r="N136" s="3600">
        <v>237313</v>
      </c>
      <c r="O136" s="3600">
        <v>160062</v>
      </c>
      <c r="P136" s="3600">
        <v>162391</v>
      </c>
      <c r="Q136" s="3600">
        <v>139834</v>
      </c>
    </row>
    <row r="137" spans="1:17">
      <c r="A137" s="580">
        <f>'BASE PERIOD'!A136</f>
        <v>921100</v>
      </c>
      <c r="B137" s="1597" t="str">
        <f>'BASE PERIOD'!B136</f>
        <v>Employee Expenses</v>
      </c>
      <c r="C137" s="580" t="str">
        <f>'BASE PERIOD'!C136</f>
        <v>AGO</v>
      </c>
      <c r="D137" s="580">
        <f t="shared" si="4"/>
        <v>921</v>
      </c>
      <c r="E137" s="564">
        <f t="shared" si="5"/>
        <v>80402</v>
      </c>
      <c r="F137" s="3600">
        <v>5687</v>
      </c>
      <c r="G137" s="3600">
        <v>5652</v>
      </c>
      <c r="H137" s="3600">
        <v>6452</v>
      </c>
      <c r="I137" s="3600">
        <v>5617</v>
      </c>
      <c r="J137" s="3600">
        <v>5750</v>
      </c>
      <c r="K137" s="3600">
        <v>6409</v>
      </c>
      <c r="L137" s="3600">
        <v>6517</v>
      </c>
      <c r="M137" s="3600">
        <v>13137</v>
      </c>
      <c r="N137" s="3600">
        <v>7275</v>
      </c>
      <c r="O137" s="3600">
        <v>5752</v>
      </c>
      <c r="P137" s="3600">
        <v>5695</v>
      </c>
      <c r="Q137" s="3600">
        <v>6459</v>
      </c>
    </row>
    <row r="138" spans="1:17">
      <c r="A138" s="580">
        <f>'BASE PERIOD'!A137</f>
        <v>921101</v>
      </c>
      <c r="B138" s="1597" t="str">
        <f>'BASE PERIOD'!B137</f>
        <v>Employee Exp - NC</v>
      </c>
      <c r="C138" s="580" t="str">
        <f>'BASE PERIOD'!C137</f>
        <v>AGO</v>
      </c>
      <c r="D138" s="580">
        <f t="shared" si="4"/>
        <v>921</v>
      </c>
      <c r="E138" s="564">
        <f t="shared" si="5"/>
        <v>0</v>
      </c>
      <c r="F138" s="3600">
        <v>0</v>
      </c>
      <c r="G138" s="3600">
        <v>0</v>
      </c>
      <c r="H138" s="3600">
        <v>0</v>
      </c>
      <c r="I138" s="3600">
        <v>0</v>
      </c>
      <c r="J138" s="3600">
        <v>0</v>
      </c>
      <c r="K138" s="3600">
        <v>0</v>
      </c>
      <c r="L138" s="3600">
        <v>0</v>
      </c>
      <c r="M138" s="3600">
        <v>0</v>
      </c>
      <c r="N138" s="3600">
        <v>0</v>
      </c>
      <c r="O138" s="3600">
        <v>0</v>
      </c>
      <c r="P138" s="3600">
        <v>0</v>
      </c>
      <c r="Q138" s="3600">
        <v>0</v>
      </c>
    </row>
    <row r="139" spans="1:17">
      <c r="A139" s="580">
        <f>'BASE PERIOD'!A138</f>
        <v>921110</v>
      </c>
      <c r="B139" s="1597" t="str">
        <f>'BASE PERIOD'!B138</f>
        <v>Relocation Expenses</v>
      </c>
      <c r="C139" s="580" t="str">
        <f>'BASE PERIOD'!C138</f>
        <v>AGO</v>
      </c>
      <c r="D139" s="580">
        <f t="shared" si="4"/>
        <v>921</v>
      </c>
      <c r="E139" s="564">
        <f t="shared" si="5"/>
        <v>0</v>
      </c>
      <c r="F139" s="3600">
        <v>0</v>
      </c>
      <c r="G139" s="3600">
        <v>0</v>
      </c>
      <c r="H139" s="3600">
        <v>0</v>
      </c>
      <c r="I139" s="3600">
        <v>0</v>
      </c>
      <c r="J139" s="3600">
        <v>0</v>
      </c>
      <c r="K139" s="3600">
        <v>0</v>
      </c>
      <c r="L139" s="3600">
        <v>0</v>
      </c>
      <c r="M139" s="3600">
        <v>0</v>
      </c>
      <c r="N139" s="3600">
        <v>0</v>
      </c>
      <c r="O139" s="3600">
        <v>0</v>
      </c>
      <c r="P139" s="3600">
        <v>0</v>
      </c>
      <c r="Q139" s="3600">
        <v>0</v>
      </c>
    </row>
    <row r="140" spans="1:17">
      <c r="A140" s="580">
        <f>'BASE PERIOD'!A139</f>
        <v>921200</v>
      </c>
      <c r="B140" s="1597" t="str">
        <f>'BASE PERIOD'!B139</f>
        <v>Office Expenses</v>
      </c>
      <c r="C140" s="580" t="str">
        <f>'BASE PERIOD'!C139</f>
        <v>AGO</v>
      </c>
      <c r="D140" s="580">
        <f t="shared" si="4"/>
        <v>921</v>
      </c>
      <c r="E140" s="564">
        <f t="shared" si="5"/>
        <v>240037</v>
      </c>
      <c r="F140" s="3600">
        <v>19411</v>
      </c>
      <c r="G140" s="3600">
        <v>19682</v>
      </c>
      <c r="H140" s="3600">
        <v>19881</v>
      </c>
      <c r="I140" s="3600">
        <v>18826</v>
      </c>
      <c r="J140" s="3600">
        <v>18853</v>
      </c>
      <c r="K140" s="3600">
        <v>19762</v>
      </c>
      <c r="L140" s="3600">
        <v>20868</v>
      </c>
      <c r="M140" s="3600">
        <v>20217</v>
      </c>
      <c r="N140" s="3600">
        <v>20684</v>
      </c>
      <c r="O140" s="3600">
        <v>20644</v>
      </c>
      <c r="P140" s="3600">
        <v>18489</v>
      </c>
      <c r="Q140" s="3600">
        <v>22720</v>
      </c>
    </row>
    <row r="141" spans="1:17">
      <c r="A141" s="580">
        <f>'BASE PERIOD'!A140</f>
        <v>921300</v>
      </c>
      <c r="B141" s="1597" t="str">
        <f>'BASE PERIOD'!B140</f>
        <v>Telephone And Telegraph Exp</v>
      </c>
      <c r="C141" s="580" t="str">
        <f>'BASE PERIOD'!C140</f>
        <v>AGO</v>
      </c>
      <c r="D141" s="580">
        <f t="shared" si="4"/>
        <v>921</v>
      </c>
      <c r="E141" s="564">
        <f t="shared" si="5"/>
        <v>0</v>
      </c>
      <c r="F141" s="3600">
        <v>0</v>
      </c>
      <c r="G141" s="3600">
        <v>0</v>
      </c>
      <c r="H141" s="3600">
        <v>0</v>
      </c>
      <c r="I141" s="3600">
        <v>0</v>
      </c>
      <c r="J141" s="3600">
        <v>0</v>
      </c>
      <c r="K141" s="3600">
        <v>0</v>
      </c>
      <c r="L141" s="3600">
        <v>0</v>
      </c>
      <c r="M141" s="3600">
        <v>0</v>
      </c>
      <c r="N141" s="3600">
        <v>0</v>
      </c>
      <c r="O141" s="3600">
        <v>0</v>
      </c>
      <c r="P141" s="3600">
        <v>0</v>
      </c>
      <c r="Q141" s="3600">
        <v>0</v>
      </c>
    </row>
    <row r="142" spans="1:17">
      <c r="A142" s="580">
        <f>'BASE PERIOD'!A141</f>
        <v>921400</v>
      </c>
      <c r="B142" s="1597" t="str">
        <f>'BASE PERIOD'!B141</f>
        <v>Computer Services Expenses</v>
      </c>
      <c r="C142" s="580" t="str">
        <f>'BASE PERIOD'!C141</f>
        <v>AGO</v>
      </c>
      <c r="D142" s="580">
        <f t="shared" si="4"/>
        <v>921</v>
      </c>
      <c r="E142" s="564">
        <f t="shared" si="5"/>
        <v>268922</v>
      </c>
      <c r="F142" s="3600">
        <v>15066</v>
      </c>
      <c r="G142" s="3600">
        <v>19927</v>
      </c>
      <c r="H142" s="3600">
        <v>19238</v>
      </c>
      <c r="I142" s="3600">
        <v>21808</v>
      </c>
      <c r="J142" s="3600">
        <v>18477</v>
      </c>
      <c r="K142" s="3600">
        <v>16924</v>
      </c>
      <c r="L142" s="3600">
        <v>16572</v>
      </c>
      <c r="M142" s="3600">
        <v>17101</v>
      </c>
      <c r="N142" s="3600">
        <v>22836</v>
      </c>
      <c r="O142" s="3600">
        <v>61766</v>
      </c>
      <c r="P142" s="3600">
        <v>19610</v>
      </c>
      <c r="Q142" s="3600">
        <v>19597</v>
      </c>
    </row>
    <row r="143" spans="1:17">
      <c r="A143" s="580">
        <f>'BASE PERIOD'!A142</f>
        <v>921540</v>
      </c>
      <c r="B143" s="1597" t="str">
        <f>'BASE PERIOD'!B142</f>
        <v>Computer Rent (Go Only)</v>
      </c>
      <c r="C143" s="580" t="str">
        <f>'BASE PERIOD'!C142</f>
        <v>AGO</v>
      </c>
      <c r="D143" s="580">
        <f t="shared" si="4"/>
        <v>921</v>
      </c>
      <c r="E143" s="564">
        <f t="shared" si="5"/>
        <v>1727</v>
      </c>
      <c r="F143" s="3600">
        <v>27</v>
      </c>
      <c r="G143" s="3600">
        <v>27</v>
      </c>
      <c r="H143" s="3600">
        <v>1263</v>
      </c>
      <c r="I143" s="3600">
        <v>27</v>
      </c>
      <c r="J143" s="3600">
        <v>27</v>
      </c>
      <c r="K143" s="3600">
        <v>27</v>
      </c>
      <c r="L143" s="3600">
        <v>27</v>
      </c>
      <c r="M143" s="3600">
        <v>27</v>
      </c>
      <c r="N143" s="3600">
        <v>27</v>
      </c>
      <c r="O143" s="3600">
        <v>27</v>
      </c>
      <c r="P143" s="3600">
        <v>46</v>
      </c>
      <c r="Q143" s="3600">
        <v>175</v>
      </c>
    </row>
    <row r="144" spans="1:17">
      <c r="A144" s="580">
        <f>'BASE PERIOD'!A143</f>
        <v>921600</v>
      </c>
      <c r="B144" s="1597" t="str">
        <f>'BASE PERIOD'!B143</f>
        <v>Other</v>
      </c>
      <c r="C144" s="580" t="str">
        <f>'BASE PERIOD'!C143</f>
        <v>AGO</v>
      </c>
      <c r="D144" s="580">
        <f t="shared" si="4"/>
        <v>921</v>
      </c>
      <c r="E144" s="564">
        <f t="shared" si="5"/>
        <v>243</v>
      </c>
      <c r="F144" s="3600">
        <v>20</v>
      </c>
      <c r="G144" s="3600">
        <v>20</v>
      </c>
      <c r="H144" s="3600">
        <v>20</v>
      </c>
      <c r="I144" s="3600">
        <v>20</v>
      </c>
      <c r="J144" s="3600">
        <v>20</v>
      </c>
      <c r="K144" s="3600">
        <v>20</v>
      </c>
      <c r="L144" s="3600">
        <v>20</v>
      </c>
      <c r="M144" s="3600">
        <v>20</v>
      </c>
      <c r="N144" s="3600">
        <v>20</v>
      </c>
      <c r="O144" s="3600">
        <v>21</v>
      </c>
      <c r="P144" s="3600">
        <v>21</v>
      </c>
      <c r="Q144" s="3600">
        <v>21</v>
      </c>
    </row>
    <row r="145" spans="1:17">
      <c r="A145" s="580">
        <f>'BASE PERIOD'!A144</f>
        <v>921980</v>
      </c>
      <c r="B145" s="1597" t="str">
        <f>'BASE PERIOD'!B144</f>
        <v>Office Supplies &amp; Expenses</v>
      </c>
      <c r="C145" s="580" t="str">
        <f>'BASE PERIOD'!C144</f>
        <v>AGO</v>
      </c>
      <c r="D145" s="580">
        <f t="shared" si="4"/>
        <v>921</v>
      </c>
      <c r="E145" s="564">
        <f t="shared" si="5"/>
        <v>407873</v>
      </c>
      <c r="F145" s="3600">
        <v>32047</v>
      </c>
      <c r="G145" s="3600">
        <v>32032</v>
      </c>
      <c r="H145" s="3600">
        <v>32030</v>
      </c>
      <c r="I145" s="3600">
        <v>35510</v>
      </c>
      <c r="J145" s="3600">
        <v>35423</v>
      </c>
      <c r="K145" s="3600">
        <v>35526</v>
      </c>
      <c r="L145" s="3600">
        <v>35571</v>
      </c>
      <c r="M145" s="3600">
        <v>35584</v>
      </c>
      <c r="N145" s="3600">
        <v>35583</v>
      </c>
      <c r="O145" s="3600">
        <v>32869</v>
      </c>
      <c r="P145" s="3600">
        <v>32944</v>
      </c>
      <c r="Q145" s="3600">
        <v>32754</v>
      </c>
    </row>
    <row r="146" spans="1:17">
      <c r="A146" s="580">
        <f>'BASE PERIOD'!A145</f>
        <v>922000</v>
      </c>
      <c r="B146" s="1597" t="str">
        <f>'BASE PERIOD'!B145</f>
        <v>Admin  Exp Transfer</v>
      </c>
      <c r="C146" s="580" t="str">
        <f>'BASE PERIOD'!C145</f>
        <v>AGO</v>
      </c>
      <c r="D146" s="580">
        <f t="shared" si="4"/>
        <v>922</v>
      </c>
      <c r="E146" s="564">
        <f t="shared" si="5"/>
        <v>0</v>
      </c>
      <c r="F146" s="3600">
        <v>0</v>
      </c>
      <c r="G146" s="3600">
        <v>0</v>
      </c>
      <c r="H146" s="3600">
        <v>0</v>
      </c>
      <c r="I146" s="3600">
        <v>0</v>
      </c>
      <c r="J146" s="3600">
        <v>0</v>
      </c>
      <c r="K146" s="3600">
        <v>0</v>
      </c>
      <c r="L146" s="3600">
        <v>0</v>
      </c>
      <c r="M146" s="3600">
        <v>0</v>
      </c>
      <c r="N146" s="3600">
        <v>0</v>
      </c>
      <c r="O146" s="3600">
        <v>0</v>
      </c>
      <c r="P146" s="3600">
        <v>0</v>
      </c>
      <c r="Q146" s="3600">
        <v>0</v>
      </c>
    </row>
    <row r="147" spans="1:17">
      <c r="A147" s="580">
        <f>'BASE PERIOD'!A146</f>
        <v>923000</v>
      </c>
      <c r="B147" s="1597" t="str">
        <f>'BASE PERIOD'!B146</f>
        <v>Outside Services Employed</v>
      </c>
      <c r="C147" s="580" t="str">
        <f>'BASE PERIOD'!C146</f>
        <v>AGO</v>
      </c>
      <c r="D147" s="580">
        <f t="shared" si="4"/>
        <v>923</v>
      </c>
      <c r="E147" s="564">
        <f t="shared" si="5"/>
        <v>460263</v>
      </c>
      <c r="F147" s="3600">
        <v>30443</v>
      </c>
      <c r="G147" s="3600">
        <v>45093</v>
      </c>
      <c r="H147" s="3600">
        <v>39312</v>
      </c>
      <c r="I147" s="3600">
        <v>32671</v>
      </c>
      <c r="J147" s="3600">
        <v>39838</v>
      </c>
      <c r="K147" s="3600">
        <v>37399</v>
      </c>
      <c r="L147" s="3600">
        <v>32279</v>
      </c>
      <c r="M147" s="3600">
        <v>42834</v>
      </c>
      <c r="N147" s="3600">
        <v>41410</v>
      </c>
      <c r="O147" s="3600">
        <v>36091</v>
      </c>
      <c r="P147" s="3600">
        <v>44717</v>
      </c>
      <c r="Q147" s="3600">
        <v>38176</v>
      </c>
    </row>
    <row r="148" spans="1:17">
      <c r="A148" s="580">
        <f>'BASE PERIOD'!A147</f>
        <v>923980</v>
      </c>
      <c r="B148" s="1597" t="str">
        <f>'BASE PERIOD'!B147</f>
        <v>Outside Services Employee &amp;</v>
      </c>
      <c r="C148" s="580" t="str">
        <f>'BASE PERIOD'!C147</f>
        <v>AGO</v>
      </c>
      <c r="D148" s="580">
        <f t="shared" si="4"/>
        <v>923</v>
      </c>
      <c r="E148" s="564">
        <f t="shared" si="5"/>
        <v>1017</v>
      </c>
      <c r="F148" s="3600">
        <v>78</v>
      </c>
      <c r="G148" s="3600">
        <v>78</v>
      </c>
      <c r="H148" s="3600">
        <v>78</v>
      </c>
      <c r="I148" s="3600">
        <v>115</v>
      </c>
      <c r="J148" s="3600">
        <v>79</v>
      </c>
      <c r="K148" s="3600">
        <v>79</v>
      </c>
      <c r="L148" s="3600">
        <v>79</v>
      </c>
      <c r="M148" s="3600">
        <v>79</v>
      </c>
      <c r="N148" s="3600">
        <v>115</v>
      </c>
      <c r="O148" s="3600">
        <v>79</v>
      </c>
      <c r="P148" s="3600">
        <v>79</v>
      </c>
      <c r="Q148" s="3600">
        <v>79</v>
      </c>
    </row>
    <row r="149" spans="1:17">
      <c r="A149" s="580">
        <f>'BASE PERIOD'!A148</f>
        <v>924000</v>
      </c>
      <c r="B149" s="1597" t="str">
        <f>'BASE PERIOD'!B148</f>
        <v>Property Insurance</v>
      </c>
      <c r="C149" s="580" t="str">
        <f>'BASE PERIOD'!C148</f>
        <v>AGO</v>
      </c>
      <c r="D149" s="580">
        <f t="shared" si="4"/>
        <v>924</v>
      </c>
      <c r="E149" s="564">
        <f t="shared" si="5"/>
        <v>783</v>
      </c>
      <c r="F149" s="3600">
        <v>0</v>
      </c>
      <c r="G149" s="3600">
        <v>0</v>
      </c>
      <c r="H149" s="3600">
        <v>0</v>
      </c>
      <c r="I149" s="3600">
        <v>783</v>
      </c>
      <c r="J149" s="3600">
        <v>0</v>
      </c>
      <c r="K149" s="3600">
        <v>0</v>
      </c>
      <c r="L149" s="3600">
        <v>0</v>
      </c>
      <c r="M149" s="3600">
        <v>0</v>
      </c>
      <c r="N149" s="3600">
        <v>0</v>
      </c>
      <c r="O149" s="3600">
        <v>0</v>
      </c>
      <c r="P149" s="3600">
        <v>0</v>
      </c>
      <c r="Q149" s="3600">
        <v>0</v>
      </c>
    </row>
    <row r="150" spans="1:17">
      <c r="A150" s="580">
        <f>'BASE PERIOD'!A149</f>
        <v>924050</v>
      </c>
      <c r="B150" s="1597" t="str">
        <f>'BASE PERIOD'!B149</f>
        <v>Inter-Co Prop Ins Exp</v>
      </c>
      <c r="C150" s="580" t="str">
        <f>'BASE PERIOD'!C149</f>
        <v>AGO</v>
      </c>
      <c r="D150" s="580">
        <f t="shared" si="4"/>
        <v>924</v>
      </c>
      <c r="E150" s="564">
        <f t="shared" si="5"/>
        <v>3009</v>
      </c>
      <c r="F150" s="3600">
        <v>250</v>
      </c>
      <c r="G150" s="3600">
        <v>250</v>
      </c>
      <c r="H150" s="3600">
        <v>250</v>
      </c>
      <c r="I150" s="3600">
        <v>250</v>
      </c>
      <c r="J150" s="3600">
        <v>250</v>
      </c>
      <c r="K150" s="3600">
        <v>250</v>
      </c>
      <c r="L150" s="3600">
        <v>250</v>
      </c>
      <c r="M150" s="3600">
        <v>250</v>
      </c>
      <c r="N150" s="3600">
        <v>250</v>
      </c>
      <c r="O150" s="3600">
        <v>253</v>
      </c>
      <c r="P150" s="3600">
        <v>253</v>
      </c>
      <c r="Q150" s="3600">
        <v>253</v>
      </c>
    </row>
    <row r="151" spans="1:17">
      <c r="A151" s="580">
        <f>'BASE PERIOD'!A150</f>
        <v>924980</v>
      </c>
      <c r="B151" s="1597" t="str">
        <f>'BASE PERIOD'!B150</f>
        <v>Property Insurance For Corp.</v>
      </c>
      <c r="C151" s="580" t="str">
        <f>'BASE PERIOD'!C150</f>
        <v>AGO</v>
      </c>
      <c r="D151" s="580">
        <f t="shared" ref="D151:D162" si="14">VALUE(LEFT(A151,3))</f>
        <v>924</v>
      </c>
      <c r="E151" s="564">
        <f t="shared" si="5"/>
        <v>57744</v>
      </c>
      <c r="F151" s="3600">
        <v>4800</v>
      </c>
      <c r="G151" s="3600">
        <v>4800</v>
      </c>
      <c r="H151" s="3600">
        <v>4800</v>
      </c>
      <c r="I151" s="3600">
        <v>4800</v>
      </c>
      <c r="J151" s="3600">
        <v>4800</v>
      </c>
      <c r="K151" s="3600">
        <v>4800</v>
      </c>
      <c r="L151" s="3600">
        <v>4800</v>
      </c>
      <c r="M151" s="3600">
        <v>4800</v>
      </c>
      <c r="N151" s="3600">
        <v>4800</v>
      </c>
      <c r="O151" s="3600">
        <v>4848</v>
      </c>
      <c r="P151" s="3600">
        <v>4848</v>
      </c>
      <c r="Q151" s="3600">
        <v>4848</v>
      </c>
    </row>
    <row r="152" spans="1:17">
      <c r="A152" s="580">
        <f>'BASE PERIOD'!A151</f>
        <v>925000</v>
      </c>
      <c r="B152" s="1597" t="str">
        <f>'BASE PERIOD'!B151</f>
        <v>Injuries &amp; Damages</v>
      </c>
      <c r="C152" s="580" t="str">
        <f>'BASE PERIOD'!C151</f>
        <v>AGO</v>
      </c>
      <c r="D152" s="580">
        <f t="shared" si="14"/>
        <v>925</v>
      </c>
      <c r="E152" s="564">
        <f t="shared" si="5"/>
        <v>13920</v>
      </c>
      <c r="F152" s="3600">
        <v>1157</v>
      </c>
      <c r="G152" s="3600">
        <v>1157</v>
      </c>
      <c r="H152" s="3600">
        <v>1157</v>
      </c>
      <c r="I152" s="3600">
        <v>1157</v>
      </c>
      <c r="J152" s="3600">
        <v>1157</v>
      </c>
      <c r="K152" s="3600">
        <v>1157</v>
      </c>
      <c r="L152" s="3600">
        <v>1157</v>
      </c>
      <c r="M152" s="3600">
        <v>1157</v>
      </c>
      <c r="N152" s="3600">
        <v>1157</v>
      </c>
      <c r="O152" s="3600">
        <v>1169</v>
      </c>
      <c r="P152" s="3600">
        <v>1169</v>
      </c>
      <c r="Q152" s="3600">
        <v>1169</v>
      </c>
    </row>
    <row r="153" spans="1:17">
      <c r="A153" s="580">
        <f>'BASE PERIOD'!A152</f>
        <v>925050</v>
      </c>
      <c r="B153" s="1597" t="str">
        <f>'BASE PERIOD'!B152</f>
        <v>INTER-CO NON-PROP EXP</v>
      </c>
      <c r="C153" s="580" t="str">
        <f>'BASE PERIOD'!C152</f>
        <v>AGO</v>
      </c>
      <c r="D153" s="580">
        <f t="shared" ref="D153" si="15">VALUE(LEFT(A153,3))</f>
        <v>925</v>
      </c>
      <c r="E153" s="564">
        <f t="shared" ref="E153" si="16">SUM(F153:Q153)</f>
        <v>0</v>
      </c>
      <c r="F153" s="3600">
        <v>0</v>
      </c>
      <c r="G153" s="3600">
        <v>0</v>
      </c>
      <c r="H153" s="3600">
        <v>0</v>
      </c>
      <c r="I153" s="3600">
        <v>0</v>
      </c>
      <c r="J153" s="3600">
        <v>0</v>
      </c>
      <c r="K153" s="3600">
        <v>0</v>
      </c>
      <c r="L153" s="3600">
        <v>0</v>
      </c>
      <c r="M153" s="3600">
        <v>0</v>
      </c>
      <c r="N153" s="3600">
        <v>0</v>
      </c>
      <c r="O153" s="3600">
        <v>0</v>
      </c>
      <c r="P153" s="3600">
        <v>0</v>
      </c>
      <c r="Q153" s="3600">
        <v>0</v>
      </c>
    </row>
    <row r="154" spans="1:17">
      <c r="A154" s="580">
        <f>'BASE PERIOD'!A153</f>
        <v>925051</v>
      </c>
      <c r="B154" s="1597" t="str">
        <f>'BASE PERIOD'!B153</f>
        <v>INTER-CO GEN LIAB EXP</v>
      </c>
      <c r="C154" s="580" t="str">
        <f>'BASE PERIOD'!C153</f>
        <v>AGO</v>
      </c>
      <c r="D154" s="580">
        <f t="shared" si="14"/>
        <v>925</v>
      </c>
      <c r="E154" s="564">
        <f t="shared" si="5"/>
        <v>71580</v>
      </c>
      <c r="F154" s="3600">
        <v>5950</v>
      </c>
      <c r="G154" s="3600">
        <v>5950</v>
      </c>
      <c r="H154" s="3600">
        <v>5950</v>
      </c>
      <c r="I154" s="3600">
        <v>5950</v>
      </c>
      <c r="J154" s="3600">
        <v>5950</v>
      </c>
      <c r="K154" s="3600">
        <v>5950</v>
      </c>
      <c r="L154" s="3600">
        <v>5950</v>
      </c>
      <c r="M154" s="3600">
        <v>5950</v>
      </c>
      <c r="N154" s="3600">
        <v>5950</v>
      </c>
      <c r="O154" s="3600">
        <v>6010</v>
      </c>
      <c r="P154" s="3600">
        <v>6010</v>
      </c>
      <c r="Q154" s="3600">
        <v>6010</v>
      </c>
    </row>
    <row r="155" spans="1:17">
      <c r="A155" s="580">
        <f>'BASE PERIOD'!A154</f>
        <v>925200</v>
      </c>
      <c r="B155" s="1597" t="str">
        <f>'BASE PERIOD'!B154</f>
        <v>Injuries And Damages-Other</v>
      </c>
      <c r="C155" s="580" t="str">
        <f>'BASE PERIOD'!C154</f>
        <v>AGO</v>
      </c>
      <c r="D155" s="580">
        <f t="shared" si="14"/>
        <v>925</v>
      </c>
      <c r="E155" s="564">
        <f t="shared" si="5"/>
        <v>0</v>
      </c>
      <c r="F155" s="3600">
        <v>0</v>
      </c>
      <c r="G155" s="3600">
        <v>0</v>
      </c>
      <c r="H155" s="3600">
        <v>0</v>
      </c>
      <c r="I155" s="3600">
        <v>0</v>
      </c>
      <c r="J155" s="3600">
        <v>0</v>
      </c>
      <c r="K155" s="3600">
        <v>0</v>
      </c>
      <c r="L155" s="3600">
        <v>0</v>
      </c>
      <c r="M155" s="3600">
        <v>0</v>
      </c>
      <c r="N155" s="3600">
        <v>0</v>
      </c>
      <c r="O155" s="3600">
        <v>0</v>
      </c>
      <c r="P155" s="3600">
        <v>0</v>
      </c>
      <c r="Q155" s="3600">
        <v>0</v>
      </c>
    </row>
    <row r="156" spans="1:17">
      <c r="A156" s="580">
        <f>'BASE PERIOD'!A155</f>
        <v>925300</v>
      </c>
      <c r="B156" s="1597" t="str">
        <f>'BASE PERIOD'!B155</f>
        <v>Environmental Inj &amp; Damages</v>
      </c>
      <c r="C156" s="580" t="str">
        <f>'BASE PERIOD'!C155</f>
        <v>AGO</v>
      </c>
      <c r="D156" s="580">
        <f t="shared" si="14"/>
        <v>925</v>
      </c>
      <c r="E156" s="564">
        <f t="shared" si="5"/>
        <v>0</v>
      </c>
      <c r="F156" s="3600">
        <v>0</v>
      </c>
      <c r="G156" s="3600">
        <v>0</v>
      </c>
      <c r="H156" s="3600">
        <v>0</v>
      </c>
      <c r="I156" s="3600">
        <v>0</v>
      </c>
      <c r="J156" s="3600">
        <v>0</v>
      </c>
      <c r="K156" s="3600">
        <v>0</v>
      </c>
      <c r="L156" s="3600">
        <v>0</v>
      </c>
      <c r="M156" s="3600">
        <v>0</v>
      </c>
      <c r="N156" s="3600">
        <v>0</v>
      </c>
      <c r="O156" s="3600">
        <v>0</v>
      </c>
      <c r="P156" s="3600">
        <v>0</v>
      </c>
      <c r="Q156" s="3600">
        <v>0</v>
      </c>
    </row>
    <row r="157" spans="1:17">
      <c r="A157" s="580">
        <f>'BASE PERIOD'!A156</f>
        <v>925980</v>
      </c>
      <c r="B157" s="1597" t="str">
        <f>'BASE PERIOD'!B156</f>
        <v>Injuries And Damages For Corp.</v>
      </c>
      <c r="C157" s="580" t="str">
        <f>'BASE PERIOD'!C156</f>
        <v>AGO</v>
      </c>
      <c r="D157" s="580">
        <f t="shared" si="14"/>
        <v>925</v>
      </c>
      <c r="E157" s="564">
        <f t="shared" si="5"/>
        <v>4896</v>
      </c>
      <c r="F157" s="3600">
        <v>407</v>
      </c>
      <c r="G157" s="3600">
        <v>407</v>
      </c>
      <c r="H157" s="3600">
        <v>407</v>
      </c>
      <c r="I157" s="3600">
        <v>407</v>
      </c>
      <c r="J157" s="3600">
        <v>407</v>
      </c>
      <c r="K157" s="3600">
        <v>407</v>
      </c>
      <c r="L157" s="3600">
        <v>407</v>
      </c>
      <c r="M157" s="3600">
        <v>407</v>
      </c>
      <c r="N157" s="3600">
        <v>407</v>
      </c>
      <c r="O157" s="3600">
        <v>411</v>
      </c>
      <c r="P157" s="3600">
        <v>411</v>
      </c>
      <c r="Q157" s="3600">
        <v>411</v>
      </c>
    </row>
    <row r="158" spans="1:17">
      <c r="A158" s="580">
        <f>'BASE PERIOD'!A157</f>
        <v>926000</v>
      </c>
      <c r="B158" s="1597" t="str">
        <f>'BASE PERIOD'!B157</f>
        <v>EMPL PENSIONS AND BENEFITS</v>
      </c>
      <c r="C158" s="580" t="str">
        <f>'BASE PERIOD'!C157</f>
        <v>AGO</v>
      </c>
      <c r="D158" s="580">
        <f t="shared" si="14"/>
        <v>926</v>
      </c>
      <c r="E158" s="564">
        <f t="shared" si="5"/>
        <v>1604029</v>
      </c>
      <c r="F158" s="3600">
        <v>125532</v>
      </c>
      <c r="G158" s="3600">
        <v>123989</v>
      </c>
      <c r="H158" s="3600">
        <v>144312</v>
      </c>
      <c r="I158" s="3600">
        <v>123152</v>
      </c>
      <c r="J158" s="3600">
        <v>122944</v>
      </c>
      <c r="K158" s="3600">
        <v>106490</v>
      </c>
      <c r="L158" s="3600">
        <v>122698</v>
      </c>
      <c r="M158" s="3600">
        <v>122743</v>
      </c>
      <c r="N158" s="3600">
        <v>174995</v>
      </c>
      <c r="O158" s="3600">
        <v>154002</v>
      </c>
      <c r="P158" s="3600">
        <v>151495</v>
      </c>
      <c r="Q158" s="3600">
        <v>131677</v>
      </c>
    </row>
    <row r="159" spans="1:17">
      <c r="A159" s="580">
        <f>'BASE PERIOD'!A158</f>
        <v>926430</v>
      </c>
      <c r="B159" s="1597" t="str">
        <f>'BASE PERIOD'!B158</f>
        <v>Employees'Recreation Expense</v>
      </c>
      <c r="C159" s="580" t="str">
        <f>'BASE PERIOD'!C158</f>
        <v>AGO</v>
      </c>
      <c r="D159" s="580">
        <f t="shared" si="14"/>
        <v>926</v>
      </c>
      <c r="E159" s="564">
        <f t="shared" si="5"/>
        <v>1179</v>
      </c>
      <c r="F159" s="3600">
        <v>98</v>
      </c>
      <c r="G159" s="3600">
        <v>98</v>
      </c>
      <c r="H159" s="3600">
        <v>98</v>
      </c>
      <c r="I159" s="3600">
        <v>98</v>
      </c>
      <c r="J159" s="3600">
        <v>98</v>
      </c>
      <c r="K159" s="3600">
        <v>98</v>
      </c>
      <c r="L159" s="3600">
        <v>98</v>
      </c>
      <c r="M159" s="3600">
        <v>98</v>
      </c>
      <c r="N159" s="3600">
        <v>98</v>
      </c>
      <c r="O159" s="3600">
        <v>99</v>
      </c>
      <c r="P159" s="3600">
        <v>99</v>
      </c>
      <c r="Q159" s="3600">
        <v>99</v>
      </c>
    </row>
    <row r="160" spans="1:17">
      <c r="A160" s="580">
        <f>'BASE PERIOD'!A159</f>
        <v>926600</v>
      </c>
      <c r="B160" s="1597" t="str">
        <f>'BASE PERIOD'!B159</f>
        <v>Employee Benefits-Transferred</v>
      </c>
      <c r="C160" s="580" t="str">
        <f>'BASE PERIOD'!C159</f>
        <v>AGO</v>
      </c>
      <c r="D160" s="580">
        <f t="shared" si="14"/>
        <v>926</v>
      </c>
      <c r="E160" s="564">
        <f t="shared" si="5"/>
        <v>776239</v>
      </c>
      <c r="F160" s="3600">
        <v>83228</v>
      </c>
      <c r="G160" s="3600">
        <v>70180</v>
      </c>
      <c r="H160" s="3600">
        <v>63234</v>
      </c>
      <c r="I160" s="3600">
        <v>46075</v>
      </c>
      <c r="J160" s="3600">
        <v>33544</v>
      </c>
      <c r="K160" s="3600">
        <v>58264</v>
      </c>
      <c r="L160" s="3600">
        <v>48568</v>
      </c>
      <c r="M160" s="3600">
        <v>58175</v>
      </c>
      <c r="N160" s="3600">
        <v>69585</v>
      </c>
      <c r="O160" s="3600">
        <v>94350</v>
      </c>
      <c r="P160" s="3600">
        <v>77635</v>
      </c>
      <c r="Q160" s="3600">
        <v>73401</v>
      </c>
    </row>
    <row r="161" spans="1:17">
      <c r="A161" s="580">
        <f>'BASE PERIOD'!A160</f>
        <v>926999</v>
      </c>
      <c r="B161" s="1597" t="str">
        <f>'BASE PERIOD'!B160</f>
        <v>Non Serv Pension (ASU 2017-07)</v>
      </c>
      <c r="C161" s="580" t="str">
        <f>'BASE PERIOD'!C160</f>
        <v>AGO</v>
      </c>
      <c r="D161" s="580">
        <f t="shared" si="14"/>
        <v>926</v>
      </c>
      <c r="E161" s="564">
        <f t="shared" si="5"/>
        <v>0</v>
      </c>
      <c r="F161" s="3600">
        <v>0</v>
      </c>
      <c r="G161" s="3600">
        <v>0</v>
      </c>
      <c r="H161" s="3600">
        <v>0</v>
      </c>
      <c r="I161" s="3600">
        <v>0</v>
      </c>
      <c r="J161" s="3600">
        <v>0</v>
      </c>
      <c r="K161" s="3600">
        <v>0</v>
      </c>
      <c r="L161" s="3600">
        <v>0</v>
      </c>
      <c r="M161" s="3600">
        <v>0</v>
      </c>
      <c r="N161" s="3600">
        <v>0</v>
      </c>
      <c r="O161" s="3600">
        <v>0</v>
      </c>
      <c r="P161" s="3600">
        <v>0</v>
      </c>
      <c r="Q161" s="3600">
        <v>0</v>
      </c>
    </row>
    <row r="162" spans="1:17">
      <c r="A162" s="580">
        <f>'BASE PERIOD'!A161</f>
        <v>928006</v>
      </c>
      <c r="B162" s="1597" t="str">
        <f>'BASE PERIOD'!B161</f>
        <v>State Reg Comm Proceeding</v>
      </c>
      <c r="C162" s="580" t="str">
        <f>'BASE PERIOD'!C161</f>
        <v>AGO</v>
      </c>
      <c r="D162" s="580">
        <f t="shared" si="14"/>
        <v>928</v>
      </c>
      <c r="E162" s="564">
        <f t="shared" si="5"/>
        <v>203247</v>
      </c>
      <c r="F162" s="3600">
        <v>16895</v>
      </c>
      <c r="G162" s="3600">
        <v>16895</v>
      </c>
      <c r="H162" s="3600">
        <v>16895</v>
      </c>
      <c r="I162" s="3600">
        <v>16895</v>
      </c>
      <c r="J162" s="3600">
        <v>16895</v>
      </c>
      <c r="K162" s="3600">
        <v>16895</v>
      </c>
      <c r="L162" s="3600">
        <v>16895</v>
      </c>
      <c r="M162" s="3600">
        <v>16895</v>
      </c>
      <c r="N162" s="3600">
        <v>16895</v>
      </c>
      <c r="O162" s="3600">
        <v>17064</v>
      </c>
      <c r="P162" s="3600">
        <v>17064</v>
      </c>
      <c r="Q162" s="3600">
        <v>17064</v>
      </c>
    </row>
    <row r="163" spans="1:17">
      <c r="A163" s="580">
        <f>'BASE PERIOD'!A162</f>
        <v>928053</v>
      </c>
      <c r="B163" s="1597" t="str">
        <f>'BASE PERIOD'!B162</f>
        <v>Travel Expense</v>
      </c>
      <c r="C163" s="580" t="str">
        <f>'BASE PERIOD'!C162</f>
        <v>AGO</v>
      </c>
      <c r="D163" s="580">
        <f t="shared" ref="D163:D180" si="17">VALUE(LEFT(A163,3))</f>
        <v>928</v>
      </c>
      <c r="E163" s="564">
        <f t="shared" ref="E163:E180" si="18">SUM(F163:Q163)</f>
        <v>0</v>
      </c>
      <c r="F163" s="3600">
        <v>0</v>
      </c>
      <c r="G163" s="3600">
        <v>0</v>
      </c>
      <c r="H163" s="3600">
        <v>0</v>
      </c>
      <c r="I163" s="3600">
        <v>0</v>
      </c>
      <c r="J163" s="3600">
        <v>0</v>
      </c>
      <c r="K163" s="3600">
        <v>0</v>
      </c>
      <c r="L163" s="3600">
        <v>0</v>
      </c>
      <c r="M163" s="3600">
        <v>0</v>
      </c>
      <c r="N163" s="3600">
        <v>0</v>
      </c>
      <c r="O163" s="3600">
        <v>0</v>
      </c>
      <c r="P163" s="3600">
        <v>0</v>
      </c>
      <c r="Q163" s="3600">
        <v>0</v>
      </c>
    </row>
    <row r="164" spans="1:17">
      <c r="A164" s="580">
        <f>'BASE PERIOD'!A163</f>
        <v>929000</v>
      </c>
      <c r="B164" s="1597" t="str">
        <f>'BASE PERIOD'!B163</f>
        <v>Duplicate Chrgs-Enrgy To Exp</v>
      </c>
      <c r="C164" s="580" t="str">
        <f>'BASE PERIOD'!C163</f>
        <v>AGO</v>
      </c>
      <c r="D164" s="580">
        <f t="shared" si="17"/>
        <v>929</v>
      </c>
      <c r="E164" s="564">
        <f t="shared" si="18"/>
        <v>0</v>
      </c>
      <c r="F164" s="3600">
        <v>0</v>
      </c>
      <c r="G164" s="3600">
        <v>0</v>
      </c>
      <c r="H164" s="3600">
        <v>0</v>
      </c>
      <c r="I164" s="3600">
        <v>0</v>
      </c>
      <c r="J164" s="3600">
        <v>0</v>
      </c>
      <c r="K164" s="3600">
        <v>0</v>
      </c>
      <c r="L164" s="3600">
        <v>0</v>
      </c>
      <c r="M164" s="3600">
        <v>0</v>
      </c>
      <c r="N164" s="3600">
        <v>0</v>
      </c>
      <c r="O164" s="3600">
        <v>0</v>
      </c>
      <c r="P164" s="3600">
        <v>0</v>
      </c>
      <c r="Q164" s="3600">
        <v>0</v>
      </c>
    </row>
    <row r="165" spans="1:17">
      <c r="A165" s="580">
        <f>'BASE PERIOD'!A164</f>
        <v>929500</v>
      </c>
      <c r="B165" s="1597" t="str">
        <f>'BASE PERIOD'!B164</f>
        <v>Admin Exp Transf</v>
      </c>
      <c r="C165" s="580" t="str">
        <f>'BASE PERIOD'!C164</f>
        <v>AGO</v>
      </c>
      <c r="D165" s="580">
        <f t="shared" si="17"/>
        <v>929</v>
      </c>
      <c r="E165" s="564">
        <f t="shared" si="18"/>
        <v>-11725</v>
      </c>
      <c r="F165" s="3600">
        <v>-502</v>
      </c>
      <c r="G165" s="3600">
        <v>-502</v>
      </c>
      <c r="H165" s="3600">
        <v>-502</v>
      </c>
      <c r="I165" s="3600">
        <v>-502</v>
      </c>
      <c r="J165" s="3600">
        <v>-502</v>
      </c>
      <c r="K165" s="3600">
        <v>-3348</v>
      </c>
      <c r="L165" s="3600">
        <v>-502</v>
      </c>
      <c r="M165" s="3600">
        <v>-502</v>
      </c>
      <c r="N165" s="3600">
        <v>-502</v>
      </c>
      <c r="O165" s="3600">
        <v>-490</v>
      </c>
      <c r="P165" s="3600">
        <v>-490</v>
      </c>
      <c r="Q165" s="3600">
        <v>-3381</v>
      </c>
    </row>
    <row r="166" spans="1:17">
      <c r="A166" s="580">
        <f>'BASE PERIOD'!A165</f>
        <v>930150</v>
      </c>
      <c r="B166" s="1597" t="str">
        <f>'BASE PERIOD'!B165</f>
        <v>Miscellaneous Advertising Exp</v>
      </c>
      <c r="C166" s="580" t="str">
        <f>'BASE PERIOD'!C165</f>
        <v>AGO</v>
      </c>
      <c r="D166" s="580">
        <f t="shared" si="17"/>
        <v>930</v>
      </c>
      <c r="E166" s="564">
        <f t="shared" si="18"/>
        <v>38844</v>
      </c>
      <c r="F166" s="3600">
        <v>3190</v>
      </c>
      <c r="G166" s="3600">
        <v>3190</v>
      </c>
      <c r="H166" s="3600">
        <v>3267</v>
      </c>
      <c r="I166" s="3600">
        <v>3190</v>
      </c>
      <c r="J166" s="3600">
        <v>3190</v>
      </c>
      <c r="K166" s="3600">
        <v>3267</v>
      </c>
      <c r="L166" s="3600">
        <v>3190</v>
      </c>
      <c r="M166" s="3600">
        <v>3190</v>
      </c>
      <c r="N166" s="3600">
        <v>3267</v>
      </c>
      <c r="O166" s="3600">
        <v>3390</v>
      </c>
      <c r="P166" s="3600">
        <v>3213</v>
      </c>
      <c r="Q166" s="3600">
        <v>3300</v>
      </c>
    </row>
    <row r="167" spans="1:17">
      <c r="A167" s="580">
        <f>'BASE PERIOD'!A166</f>
        <v>930200</v>
      </c>
      <c r="B167" s="1597" t="str">
        <f>'BASE PERIOD'!B166</f>
        <v>Misc General Expenses</v>
      </c>
      <c r="C167" s="580" t="str">
        <f>'BASE PERIOD'!C166</f>
        <v>AGO</v>
      </c>
      <c r="D167" s="580">
        <f t="shared" si="17"/>
        <v>930</v>
      </c>
      <c r="E167" s="564">
        <f t="shared" si="18"/>
        <v>489723</v>
      </c>
      <c r="F167" s="3600">
        <v>41361</v>
      </c>
      <c r="G167" s="3600">
        <v>31294</v>
      </c>
      <c r="H167" s="3600">
        <v>29674</v>
      </c>
      <c r="I167" s="3600">
        <v>24826</v>
      </c>
      <c r="J167" s="3600">
        <v>35103</v>
      </c>
      <c r="K167" s="3600">
        <v>40150</v>
      </c>
      <c r="L167" s="3600">
        <v>51649</v>
      </c>
      <c r="M167" s="3600">
        <v>69414</v>
      </c>
      <c r="N167" s="3600">
        <v>65542</v>
      </c>
      <c r="O167" s="3600">
        <v>34356</v>
      </c>
      <c r="P167" s="3600">
        <v>40764</v>
      </c>
      <c r="Q167" s="3600">
        <v>25590</v>
      </c>
    </row>
    <row r="168" spans="1:17">
      <c r="A168" s="580">
        <f>'BASE PERIOD'!A167</f>
        <v>930210</v>
      </c>
      <c r="B168" s="1597" t="str">
        <f>'BASE PERIOD'!B167</f>
        <v>Industry Association Dues</v>
      </c>
      <c r="C168" s="580" t="str">
        <f>'BASE PERIOD'!C167</f>
        <v>AGO</v>
      </c>
      <c r="D168" s="580">
        <f t="shared" si="17"/>
        <v>930</v>
      </c>
      <c r="E168" s="564">
        <f t="shared" si="18"/>
        <v>0</v>
      </c>
      <c r="F168" s="3600">
        <v>0</v>
      </c>
      <c r="G168" s="3600">
        <v>0</v>
      </c>
      <c r="H168" s="3600">
        <v>0</v>
      </c>
      <c r="I168" s="3600">
        <v>0</v>
      </c>
      <c r="J168" s="3600">
        <v>0</v>
      </c>
      <c r="K168" s="3600">
        <v>0</v>
      </c>
      <c r="L168" s="3600">
        <v>0</v>
      </c>
      <c r="M168" s="3600">
        <v>0</v>
      </c>
      <c r="N168" s="3600">
        <v>0</v>
      </c>
      <c r="O168" s="3600">
        <v>0</v>
      </c>
      <c r="P168" s="3600">
        <v>0</v>
      </c>
      <c r="Q168" s="3600">
        <v>0</v>
      </c>
    </row>
    <row r="169" spans="1:17">
      <c r="A169" s="580">
        <f>'BASE PERIOD'!A168</f>
        <v>930220</v>
      </c>
      <c r="B169" s="1597" t="str">
        <f>'BASE PERIOD'!B168</f>
        <v>Exp Of Servicing Securities</v>
      </c>
      <c r="C169" s="580" t="str">
        <f>'BASE PERIOD'!C168</f>
        <v>AGO</v>
      </c>
      <c r="D169" s="580">
        <f t="shared" si="17"/>
        <v>930</v>
      </c>
      <c r="E169" s="564">
        <f t="shared" si="18"/>
        <v>0</v>
      </c>
      <c r="F169" s="3600">
        <v>0</v>
      </c>
      <c r="G169" s="3600">
        <v>0</v>
      </c>
      <c r="H169" s="3600">
        <v>0</v>
      </c>
      <c r="I169" s="3600">
        <v>0</v>
      </c>
      <c r="J169" s="3600">
        <v>0</v>
      </c>
      <c r="K169" s="3600">
        <v>0</v>
      </c>
      <c r="L169" s="3600">
        <v>0</v>
      </c>
      <c r="M169" s="3600">
        <v>0</v>
      </c>
      <c r="N169" s="3600">
        <v>0</v>
      </c>
      <c r="O169" s="3600">
        <v>0</v>
      </c>
      <c r="P169" s="3600">
        <v>0</v>
      </c>
      <c r="Q169" s="3600">
        <v>0</v>
      </c>
    </row>
    <row r="170" spans="1:17">
      <c r="A170" s="580">
        <f>'BASE PERIOD'!A169</f>
        <v>930230</v>
      </c>
      <c r="B170" s="1597" t="str">
        <f>'BASE PERIOD'!B169</f>
        <v>Dues To Various Organizations</v>
      </c>
      <c r="C170" s="580" t="str">
        <f>'BASE PERIOD'!C169</f>
        <v>AGO</v>
      </c>
      <c r="D170" s="580">
        <f t="shared" si="17"/>
        <v>930</v>
      </c>
      <c r="E170" s="564">
        <f t="shared" si="18"/>
        <v>13419</v>
      </c>
      <c r="F170" s="3600">
        <v>606</v>
      </c>
      <c r="G170" s="3600">
        <v>2475</v>
      </c>
      <c r="H170" s="3600">
        <v>454</v>
      </c>
      <c r="I170" s="3600">
        <v>574</v>
      </c>
      <c r="J170" s="3600">
        <v>2366</v>
      </c>
      <c r="K170" s="3600">
        <v>2658</v>
      </c>
      <c r="L170" s="3600">
        <v>1327</v>
      </c>
      <c r="M170" s="3600">
        <v>1353</v>
      </c>
      <c r="N170" s="3600">
        <v>343</v>
      </c>
      <c r="O170" s="3600">
        <v>435</v>
      </c>
      <c r="P170" s="3600">
        <v>481</v>
      </c>
      <c r="Q170" s="3600">
        <v>347</v>
      </c>
    </row>
    <row r="171" spans="1:17">
      <c r="A171" s="580">
        <f>'BASE PERIOD'!A170</f>
        <v>930240</v>
      </c>
      <c r="B171" s="1597" t="str">
        <f>'BASE PERIOD'!B170</f>
        <v>Director'S Expenses</v>
      </c>
      <c r="C171" s="580" t="str">
        <f>'BASE PERIOD'!C170</f>
        <v>AGO</v>
      </c>
      <c r="D171" s="580">
        <f t="shared" si="17"/>
        <v>930</v>
      </c>
      <c r="E171" s="564">
        <f t="shared" si="18"/>
        <v>8400</v>
      </c>
      <c r="F171" s="3600">
        <v>0</v>
      </c>
      <c r="G171" s="3600">
        <v>8400</v>
      </c>
      <c r="H171" s="3600">
        <v>0</v>
      </c>
      <c r="I171" s="3600">
        <v>0</v>
      </c>
      <c r="J171" s="3600">
        <v>0</v>
      </c>
      <c r="K171" s="3600">
        <v>0</v>
      </c>
      <c r="L171" s="3600">
        <v>0</v>
      </c>
      <c r="M171" s="3600">
        <v>0</v>
      </c>
      <c r="N171" s="3600">
        <v>0</v>
      </c>
      <c r="O171" s="3600">
        <v>0</v>
      </c>
      <c r="P171" s="3600">
        <v>0</v>
      </c>
      <c r="Q171" s="3600">
        <v>0</v>
      </c>
    </row>
    <row r="172" spans="1:17">
      <c r="A172" s="580">
        <f>'BASE PERIOD'!A171</f>
        <v>930250</v>
      </c>
      <c r="B172" s="1597" t="str">
        <f>'BASE PERIOD'!B171</f>
        <v>Buy\Sell Transf Employee Homes</v>
      </c>
      <c r="C172" s="580" t="str">
        <f>'BASE PERIOD'!C171</f>
        <v>AGO</v>
      </c>
      <c r="D172" s="580">
        <f t="shared" si="17"/>
        <v>930</v>
      </c>
      <c r="E172" s="564">
        <f t="shared" si="18"/>
        <v>555</v>
      </c>
      <c r="F172" s="3600">
        <v>46</v>
      </c>
      <c r="G172" s="3600">
        <v>46</v>
      </c>
      <c r="H172" s="3600">
        <v>46</v>
      </c>
      <c r="I172" s="3600">
        <v>46</v>
      </c>
      <c r="J172" s="3600">
        <v>46</v>
      </c>
      <c r="K172" s="3600">
        <v>46</v>
      </c>
      <c r="L172" s="3600">
        <v>46</v>
      </c>
      <c r="M172" s="3600">
        <v>46</v>
      </c>
      <c r="N172" s="3600">
        <v>46</v>
      </c>
      <c r="O172" s="3600">
        <v>47</v>
      </c>
      <c r="P172" s="3600">
        <v>47</v>
      </c>
      <c r="Q172" s="3600">
        <v>47</v>
      </c>
    </row>
    <row r="173" spans="1:17">
      <c r="A173" s="580">
        <f>'BASE PERIOD'!A172</f>
        <v>930700</v>
      </c>
      <c r="B173" s="1597" t="str">
        <f>'BASE PERIOD'!B172</f>
        <v>Research &amp; Development</v>
      </c>
      <c r="C173" s="580" t="str">
        <f>'BASE PERIOD'!C172</f>
        <v>AGO</v>
      </c>
      <c r="D173" s="580">
        <f t="shared" si="17"/>
        <v>930</v>
      </c>
      <c r="E173" s="564">
        <f t="shared" si="18"/>
        <v>0</v>
      </c>
      <c r="F173" s="3600">
        <v>0</v>
      </c>
      <c r="G173" s="3600">
        <v>0</v>
      </c>
      <c r="H173" s="3600">
        <v>0</v>
      </c>
      <c r="I173" s="3600">
        <v>0</v>
      </c>
      <c r="J173" s="3600">
        <v>0</v>
      </c>
      <c r="K173" s="3600">
        <v>0</v>
      </c>
      <c r="L173" s="3600">
        <v>0</v>
      </c>
      <c r="M173" s="3600">
        <v>0</v>
      </c>
      <c r="N173" s="3600">
        <v>0</v>
      </c>
      <c r="O173" s="3600">
        <v>0</v>
      </c>
      <c r="P173" s="3600">
        <v>0</v>
      </c>
      <c r="Q173" s="3600">
        <v>0</v>
      </c>
    </row>
    <row r="174" spans="1:17">
      <c r="A174" s="580">
        <f>'BASE PERIOD'!A173</f>
        <v>930940</v>
      </c>
      <c r="B174" s="1597" t="str">
        <f>'BASE PERIOD'!B173</f>
        <v>General Expenses</v>
      </c>
      <c r="C174" s="580" t="str">
        <f>'BASE PERIOD'!C173</f>
        <v>AGO</v>
      </c>
      <c r="D174" s="580">
        <f t="shared" si="17"/>
        <v>930</v>
      </c>
      <c r="E174" s="564">
        <f t="shared" si="18"/>
        <v>0</v>
      </c>
      <c r="F174" s="3600">
        <v>0</v>
      </c>
      <c r="G174" s="3600">
        <v>0</v>
      </c>
      <c r="H174" s="3600">
        <v>0</v>
      </c>
      <c r="I174" s="3600">
        <v>0</v>
      </c>
      <c r="J174" s="3600">
        <v>0</v>
      </c>
      <c r="K174" s="3600">
        <v>0</v>
      </c>
      <c r="L174" s="3600">
        <v>0</v>
      </c>
      <c r="M174" s="3600">
        <v>0</v>
      </c>
      <c r="N174" s="3600">
        <v>0</v>
      </c>
      <c r="O174" s="3600">
        <v>0</v>
      </c>
      <c r="P174" s="3600">
        <v>0</v>
      </c>
      <c r="Q174" s="3600">
        <v>0</v>
      </c>
    </row>
    <row r="175" spans="1:17">
      <c r="A175" s="580">
        <f>'BASE PERIOD'!A174</f>
        <v>931001</v>
      </c>
      <c r="B175" s="1597" t="str">
        <f>'BASE PERIOD'!B174</f>
        <v>Rents-A&amp;G</v>
      </c>
      <c r="C175" s="580" t="str">
        <f>'BASE PERIOD'!C174</f>
        <v>AGO</v>
      </c>
      <c r="D175" s="580">
        <f t="shared" si="17"/>
        <v>931</v>
      </c>
      <c r="E175" s="564">
        <f t="shared" si="18"/>
        <v>37222</v>
      </c>
      <c r="F175" s="3600">
        <v>3580</v>
      </c>
      <c r="G175" s="3600">
        <v>2784</v>
      </c>
      <c r="H175" s="3600">
        <v>2764</v>
      </c>
      <c r="I175" s="3600">
        <v>3526</v>
      </c>
      <c r="J175" s="3600">
        <v>2754</v>
      </c>
      <c r="K175" s="3600">
        <v>2767</v>
      </c>
      <c r="L175" s="3600">
        <v>3549</v>
      </c>
      <c r="M175" s="3600">
        <v>2767</v>
      </c>
      <c r="N175" s="3600">
        <v>3523</v>
      </c>
      <c r="O175" s="3600">
        <v>3596</v>
      </c>
      <c r="P175" s="3600">
        <v>2805</v>
      </c>
      <c r="Q175" s="3600">
        <v>2807</v>
      </c>
    </row>
    <row r="176" spans="1:17">
      <c r="A176" s="580">
        <f>'BASE PERIOD'!A175</f>
        <v>931008</v>
      </c>
      <c r="B176" s="1597" t="str">
        <f>'BASE PERIOD'!B175</f>
        <v>A&amp;G Rents-IC</v>
      </c>
      <c r="C176" s="580" t="str">
        <f>'BASE PERIOD'!C175</f>
        <v>AGO</v>
      </c>
      <c r="D176" s="580">
        <f t="shared" si="17"/>
        <v>931</v>
      </c>
      <c r="E176" s="564">
        <f t="shared" si="18"/>
        <v>0</v>
      </c>
      <c r="F176" s="3600">
        <v>0</v>
      </c>
      <c r="G176" s="3600">
        <v>0</v>
      </c>
      <c r="H176" s="3600">
        <v>0</v>
      </c>
      <c r="I176" s="3600">
        <v>0</v>
      </c>
      <c r="J176" s="3600">
        <v>0</v>
      </c>
      <c r="K176" s="3600">
        <v>0</v>
      </c>
      <c r="L176" s="3600">
        <v>0</v>
      </c>
      <c r="M176" s="3600">
        <v>0</v>
      </c>
      <c r="N176" s="3600">
        <v>0</v>
      </c>
      <c r="O176" s="3600">
        <v>0</v>
      </c>
      <c r="P176" s="3600">
        <v>0</v>
      </c>
      <c r="Q176" s="3600">
        <v>0</v>
      </c>
    </row>
    <row r="177" spans="1:17">
      <c r="A177" s="580">
        <f>'BASE PERIOD'!A176</f>
        <v>932000</v>
      </c>
      <c r="B177" s="1597" t="str">
        <f>'BASE PERIOD'!B176</f>
        <v>Maintenance Of Gen Plant-Gas</v>
      </c>
      <c r="C177" s="580" t="str">
        <f>'BASE PERIOD'!C176</f>
        <v>AGO</v>
      </c>
      <c r="D177" s="580">
        <f t="shared" si="17"/>
        <v>932</v>
      </c>
      <c r="E177" s="564">
        <f t="shared" si="18"/>
        <v>0</v>
      </c>
      <c r="F177" s="3600">
        <v>0</v>
      </c>
      <c r="G177" s="3600">
        <v>0</v>
      </c>
      <c r="H177" s="3600">
        <v>0</v>
      </c>
      <c r="I177" s="3600">
        <v>0</v>
      </c>
      <c r="J177" s="3600">
        <v>0</v>
      </c>
      <c r="K177" s="3600">
        <v>0</v>
      </c>
      <c r="L177" s="3600">
        <v>0</v>
      </c>
      <c r="M177" s="3600">
        <v>0</v>
      </c>
      <c r="N177" s="3600">
        <v>0</v>
      </c>
      <c r="O177" s="3600">
        <v>0</v>
      </c>
      <c r="P177" s="3600">
        <v>0</v>
      </c>
      <c r="Q177" s="3600">
        <v>0</v>
      </c>
    </row>
    <row r="178" spans="1:17">
      <c r="A178" s="580">
        <f>'BASE PERIOD'!A177</f>
        <v>935001</v>
      </c>
      <c r="B178" s="1597" t="str">
        <f>'BASE PERIOD'!B177</f>
        <v>Inactive O&amp;M and A&amp;G</v>
      </c>
      <c r="C178" s="580" t="str">
        <f>'BASE PERIOD'!C177</f>
        <v>AGO</v>
      </c>
      <c r="D178" s="580">
        <f t="shared" ref="D178" si="19">VALUE(LEFT(A178,3))</f>
        <v>935</v>
      </c>
      <c r="E178" s="564">
        <f t="shared" ref="E178" si="20">SUM(F178:Q178)</f>
        <v>0</v>
      </c>
      <c r="F178" s="3600">
        <v>0</v>
      </c>
      <c r="G178" s="3600">
        <v>0</v>
      </c>
      <c r="H178" s="3600">
        <v>0</v>
      </c>
      <c r="I178" s="3600">
        <v>0</v>
      </c>
      <c r="J178" s="3600">
        <v>0</v>
      </c>
      <c r="K178" s="3600">
        <v>0</v>
      </c>
      <c r="L178" s="3600">
        <v>0</v>
      </c>
      <c r="M178" s="3600">
        <v>0</v>
      </c>
      <c r="N178" s="3600">
        <v>0</v>
      </c>
      <c r="O178" s="3600">
        <v>0</v>
      </c>
      <c r="P178" s="3600">
        <v>0</v>
      </c>
      <c r="Q178" s="3600">
        <v>0</v>
      </c>
    </row>
    <row r="179" spans="1:17">
      <c r="A179" s="580">
        <f>'BASE PERIOD'!A178</f>
        <v>935100</v>
      </c>
      <c r="B179" s="1597" t="str">
        <f>'BASE PERIOD'!B178</f>
        <v>Maint General Plant-Elec</v>
      </c>
      <c r="C179" s="580" t="str">
        <f>'BASE PERIOD'!C178</f>
        <v>AGM</v>
      </c>
      <c r="D179" s="580">
        <f t="shared" si="17"/>
        <v>935</v>
      </c>
      <c r="E179" s="564">
        <f t="shared" si="18"/>
        <v>97</v>
      </c>
      <c r="F179" s="3600">
        <v>8</v>
      </c>
      <c r="G179" s="3600">
        <v>8</v>
      </c>
      <c r="H179" s="3600">
        <v>8</v>
      </c>
      <c r="I179" s="3600">
        <v>8</v>
      </c>
      <c r="J179" s="3600">
        <v>8</v>
      </c>
      <c r="K179" s="3600">
        <v>8</v>
      </c>
      <c r="L179" s="3600">
        <v>8</v>
      </c>
      <c r="M179" s="3600">
        <v>8</v>
      </c>
      <c r="N179" s="3600">
        <v>8</v>
      </c>
      <c r="O179" s="3600">
        <v>8</v>
      </c>
      <c r="P179" s="3600">
        <v>8</v>
      </c>
      <c r="Q179" s="3600">
        <v>9</v>
      </c>
    </row>
    <row r="180" spans="1:17">
      <c r="A180" s="580">
        <f>'BASE PERIOD'!A179</f>
        <v>935200</v>
      </c>
      <c r="B180" s="1597" t="str">
        <f>'BASE PERIOD'!B179</f>
        <v>Cust Infor &amp; Computer Control</v>
      </c>
      <c r="C180" s="580" t="str">
        <f>'BASE PERIOD'!C179</f>
        <v>AGM</v>
      </c>
      <c r="D180" s="580">
        <f t="shared" si="17"/>
        <v>935</v>
      </c>
      <c r="E180" s="564">
        <f t="shared" si="18"/>
        <v>0</v>
      </c>
      <c r="F180" s="3600">
        <v>0</v>
      </c>
      <c r="G180" s="3600">
        <v>0</v>
      </c>
      <c r="H180" s="3600">
        <v>0</v>
      </c>
      <c r="I180" s="3600">
        <v>0</v>
      </c>
      <c r="J180" s="3600">
        <v>0</v>
      </c>
      <c r="K180" s="3600">
        <v>0</v>
      </c>
      <c r="L180" s="3600">
        <v>0</v>
      </c>
      <c r="M180" s="3600">
        <v>0</v>
      </c>
      <c r="N180" s="3600">
        <v>0</v>
      </c>
      <c r="O180" s="3600">
        <v>0</v>
      </c>
      <c r="P180" s="3600">
        <v>0</v>
      </c>
      <c r="Q180" s="3600">
        <v>0</v>
      </c>
    </row>
    <row r="181" spans="1:17">
      <c r="A181" s="583"/>
      <c r="B181" s="584"/>
      <c r="C181" s="583"/>
      <c r="D181" s="583"/>
      <c r="E181" s="538">
        <f t="shared" ref="E181:Q181" ca="1" si="21">SUM(E13:E180)</f>
        <v>175886007</v>
      </c>
      <c r="F181" s="538">
        <f t="shared" ca="1" si="21"/>
        <v>8203022</v>
      </c>
      <c r="G181" s="538">
        <f t="shared" ca="1" si="21"/>
        <v>9275229</v>
      </c>
      <c r="H181" s="538">
        <f t="shared" ca="1" si="21"/>
        <v>9441834</v>
      </c>
      <c r="I181" s="538">
        <f t="shared" ca="1" si="21"/>
        <v>10153446</v>
      </c>
      <c r="J181" s="538">
        <f t="shared" ca="1" si="21"/>
        <v>8261356</v>
      </c>
      <c r="K181" s="538">
        <f t="shared" ca="1" si="21"/>
        <v>9501860</v>
      </c>
      <c r="L181" s="538">
        <f t="shared" ca="1" si="21"/>
        <v>11415669</v>
      </c>
      <c r="M181" s="538">
        <f t="shared" ca="1" si="21"/>
        <v>17685966</v>
      </c>
      <c r="N181" s="538">
        <f t="shared" ca="1" si="21"/>
        <v>21937196</v>
      </c>
      <c r="O181" s="538">
        <f t="shared" ca="1" si="21"/>
        <v>27801233</v>
      </c>
      <c r="P181" s="538">
        <f t="shared" ca="1" si="21"/>
        <v>24540885</v>
      </c>
      <c r="Q181" s="538">
        <f t="shared" ca="1" si="21"/>
        <v>17668311</v>
      </c>
    </row>
    <row r="182" spans="1:17">
      <c r="A182" s="583"/>
      <c r="B182" s="585"/>
      <c r="C182" s="583"/>
      <c r="D182" s="583"/>
      <c r="E182" s="544"/>
    </row>
  </sheetData>
  <phoneticPr fontId="4" type="noConversion"/>
  <pageMargins left="0.25" right="0.24" top="0.46" bottom="0.4" header="1" footer="0.2"/>
  <pageSetup scale="60" orientation="landscape" blackAndWhite="1" r:id="rId1"/>
  <headerFooter alignWithMargins="0">
    <oddHeader>&amp;RWPC-2.1a
WITNESS RESPONSIBLE:
S. E. LAWLER
Page &amp;P of &amp;N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tabColor theme="7" tint="0.39997558519241921"/>
    <pageSetUpPr fitToPage="1"/>
  </sheetPr>
  <dimension ref="A1:T60"/>
  <sheetViews>
    <sheetView zoomScale="75" workbookViewId="0"/>
  </sheetViews>
  <sheetFormatPr defaultColWidth="8" defaultRowHeight="15"/>
  <cols>
    <col min="1" max="1" width="8" style="198" customWidth="1"/>
    <col min="2" max="2" width="25.109375" style="198" customWidth="1"/>
    <col min="3" max="3" width="8" style="198" customWidth="1"/>
    <col min="4" max="4" width="10.44140625" style="198" customWidth="1"/>
    <col min="5" max="7" width="8" style="198" customWidth="1"/>
    <col min="8" max="8" width="12.44140625" style="198" customWidth="1"/>
    <col min="9" max="9" width="10" style="198" customWidth="1"/>
    <col min="10" max="10" width="18.44140625" style="198" customWidth="1"/>
    <col min="11" max="12" width="8" style="198" customWidth="1"/>
    <col min="13" max="13" width="2.44140625" style="198" customWidth="1"/>
    <col min="14" max="14" width="42.109375" style="198" customWidth="1"/>
    <col min="15" max="15" width="3.88671875" style="198" customWidth="1"/>
    <col min="16" max="16" width="16" style="198" customWidth="1"/>
    <col min="17" max="17" width="1.88671875" style="198" customWidth="1"/>
    <col min="18" max="18" width="18.109375" style="198" customWidth="1"/>
    <col min="19" max="19" width="2.33203125" style="198" customWidth="1"/>
    <col min="20" max="20" width="16.44140625" style="198" customWidth="1"/>
    <col min="21" max="16384" width="8" style="198"/>
  </cols>
  <sheetData>
    <row r="1" spans="1:11">
      <c r="A1" s="196" t="str">
        <f>LOGO!B5</f>
        <v>DUKE ENERGY KENTUCKY, INC.</v>
      </c>
      <c r="B1" s="197"/>
      <c r="C1" s="197"/>
      <c r="D1" s="197"/>
      <c r="E1" s="197"/>
      <c r="F1" s="197"/>
      <c r="G1" s="197"/>
      <c r="H1" s="197"/>
      <c r="I1" s="197"/>
      <c r="J1" s="197"/>
    </row>
    <row r="2" spans="1:11">
      <c r="A2" s="196" t="str">
        <f>LOGO!B6</f>
        <v>CASE NO. 2018-00261</v>
      </c>
      <c r="B2" s="197"/>
      <c r="C2" s="197"/>
      <c r="D2" s="197"/>
      <c r="E2" s="197"/>
      <c r="F2" s="197"/>
      <c r="G2" s="197"/>
      <c r="H2" s="197"/>
      <c r="I2" s="197"/>
      <c r="J2" s="197"/>
    </row>
    <row r="3" spans="1:11">
      <c r="A3" s="163" t="s">
        <v>1663</v>
      </c>
      <c r="B3" s="197"/>
      <c r="C3" s="197"/>
      <c r="D3" s="197"/>
      <c r="E3" s="197"/>
      <c r="F3" s="197"/>
      <c r="G3" s="197"/>
      <c r="H3" s="197"/>
      <c r="I3" s="197"/>
      <c r="J3" s="197"/>
    </row>
    <row r="4" spans="1:11">
      <c r="A4" s="163" t="str">
        <f>PeriodF</f>
        <v>FOR THE TWELVE MONTHS ENDED MARCH 31, 2020</v>
      </c>
      <c r="B4" s="197"/>
      <c r="C4" s="197"/>
      <c r="D4" s="197"/>
      <c r="E4" s="197"/>
      <c r="F4" s="197"/>
      <c r="G4" s="197"/>
      <c r="H4" s="197"/>
      <c r="I4" s="197"/>
      <c r="J4" s="197"/>
    </row>
    <row r="6" spans="1:11">
      <c r="A6" s="199" t="str">
        <f>Data</f>
        <v>DATA: "X" BASE PERIOD   FORECASTED PERIOD</v>
      </c>
      <c r="I6" s="200" t="s">
        <v>1598</v>
      </c>
    </row>
    <row r="7" spans="1:11">
      <c r="A7" s="199" t="str">
        <f>LOGO!B15</f>
        <v xml:space="preserve">TYPE OF FILING:  "X" ORIGINAL   UPDATED    REVISED  </v>
      </c>
      <c r="I7" s="201" t="s">
        <v>564</v>
      </c>
    </row>
    <row r="8" spans="1:11">
      <c r="A8" s="201" t="s">
        <v>1449</v>
      </c>
      <c r="I8" s="201" t="s">
        <v>566</v>
      </c>
    </row>
    <row r="9" spans="1:11">
      <c r="I9" s="201" t="str">
        <f>_WIT9</f>
        <v>R. H. PRATT</v>
      </c>
    </row>
    <row r="10" spans="1:11">
      <c r="A10" s="202"/>
      <c r="B10" s="202"/>
      <c r="C10" s="202"/>
      <c r="D10" s="202"/>
      <c r="E10" s="202"/>
      <c r="F10" s="202"/>
      <c r="G10" s="202"/>
      <c r="H10" s="202"/>
      <c r="I10" s="202"/>
      <c r="J10" s="202"/>
      <c r="K10" s="201"/>
    </row>
    <row r="12" spans="1:11">
      <c r="A12" s="201" t="s">
        <v>1942</v>
      </c>
      <c r="J12" s="203" t="s">
        <v>2098</v>
      </c>
    </row>
    <row r="13" spans="1:11">
      <c r="A13" s="202"/>
      <c r="B13" s="202"/>
      <c r="C13" s="202"/>
      <c r="D13" s="202"/>
      <c r="E13" s="202"/>
      <c r="F13" s="202"/>
      <c r="G13" s="202"/>
      <c r="H13" s="202"/>
      <c r="I13" s="202"/>
      <c r="J13" s="202"/>
      <c r="K13" s="201"/>
    </row>
    <row r="14" spans="1:11">
      <c r="J14" s="204"/>
    </row>
    <row r="15" spans="1:11">
      <c r="A15" s="66" t="s">
        <v>158</v>
      </c>
    </row>
    <row r="16" spans="1:11">
      <c r="A16" s="66" t="s">
        <v>1242</v>
      </c>
    </row>
    <row r="17" spans="1:10">
      <c r="A17" s="201"/>
    </row>
    <row r="18" spans="1:10">
      <c r="A18" s="201"/>
    </row>
    <row r="19" spans="1:10">
      <c r="A19" s="201"/>
    </row>
    <row r="20" spans="1:10">
      <c r="A20" s="201"/>
      <c r="H20" s="204"/>
    </row>
    <row r="21" spans="1:10">
      <c r="A21" s="205"/>
      <c r="H21" s="206"/>
    </row>
    <row r="23" spans="1:10">
      <c r="A23" s="1228" t="s">
        <v>2992</v>
      </c>
      <c r="I23" s="208"/>
      <c r="J23" s="172">
        <f>T53</f>
        <v>801635</v>
      </c>
    </row>
    <row r="24" spans="1:10">
      <c r="J24" s="208"/>
    </row>
    <row r="26" spans="1:10">
      <c r="A26" s="201" t="s">
        <v>349</v>
      </c>
      <c r="J26" s="209">
        <f>VLOOKUP(D33,ALLOCTABLE,2)/100</f>
        <v>1</v>
      </c>
    </row>
    <row r="27" spans="1:10">
      <c r="J27" s="208"/>
    </row>
    <row r="29" spans="1:10" ht="16.8">
      <c r="A29" s="201" t="s">
        <v>1934</v>
      </c>
      <c r="F29" s="201" t="s">
        <v>383</v>
      </c>
      <c r="I29" s="208"/>
      <c r="J29" s="210">
        <f>ROUND(J23*J26,0)</f>
        <v>801635</v>
      </c>
    </row>
    <row r="30" spans="1:10">
      <c r="J30" s="208"/>
    </row>
    <row r="33" spans="1:20">
      <c r="A33" s="201" t="s">
        <v>1935</v>
      </c>
      <c r="D33" s="211" t="s">
        <v>591</v>
      </c>
    </row>
    <row r="34" spans="1:20">
      <c r="A34" s="201"/>
    </row>
    <row r="43" spans="1:20">
      <c r="L43" s="181" t="str">
        <f>COMPANY</f>
        <v>DUKE ENERGY KENTUCKY, INC.</v>
      </c>
      <c r="M43" s="182"/>
      <c r="N43" s="182"/>
      <c r="O43" s="182"/>
      <c r="P43" s="182"/>
      <c r="Q43" s="182"/>
      <c r="R43" s="181" t="s">
        <v>1775</v>
      </c>
      <c r="S43" s="182"/>
      <c r="T43" s="165"/>
    </row>
    <row r="44" spans="1:20">
      <c r="L44" s="181" t="str">
        <f>DEPT</f>
        <v>GAS DEPARTMENT</v>
      </c>
      <c r="M44" s="182"/>
      <c r="N44" s="182"/>
      <c r="O44" s="182"/>
      <c r="P44" s="182"/>
      <c r="Q44" s="182"/>
      <c r="R44" s="181" t="s">
        <v>1937</v>
      </c>
      <c r="S44" s="182"/>
      <c r="T44" s="165"/>
    </row>
    <row r="45" spans="1:20">
      <c r="L45" s="181" t="str">
        <f>CASE</f>
        <v>CASE NO. 2018-00261</v>
      </c>
      <c r="M45" s="182"/>
      <c r="N45" s="182"/>
      <c r="O45" s="182"/>
      <c r="P45" s="182"/>
      <c r="Q45" s="182"/>
      <c r="R45" s="182" t="str">
        <f>_WIT9</f>
        <v>R. H. PRATT</v>
      </c>
      <c r="S45" s="182"/>
      <c r="T45" s="165"/>
    </row>
    <row r="46" spans="1:20">
      <c r="L46" s="181" t="str">
        <f>A3</f>
        <v>ADJUST OTHER OPERATING EXPENSE TO FORECASTED PERIOD</v>
      </c>
      <c r="M46" s="182"/>
      <c r="N46" s="182"/>
      <c r="O46" s="182"/>
      <c r="P46" s="182"/>
      <c r="Q46" s="182"/>
      <c r="R46" s="183"/>
      <c r="S46" s="182"/>
      <c r="T46" s="165"/>
    </row>
    <row r="47" spans="1:20">
      <c r="L47" s="181"/>
      <c r="M47" s="182"/>
      <c r="N47" s="182"/>
      <c r="O47" s="182"/>
      <c r="P47" s="182"/>
      <c r="Q47" s="182"/>
      <c r="R47" s="182"/>
      <c r="S47" s="182"/>
      <c r="T47" s="165"/>
    </row>
    <row r="48" spans="1:20">
      <c r="L48" s="165"/>
      <c r="M48" s="165"/>
      <c r="N48" s="165"/>
      <c r="O48" s="165"/>
      <c r="P48" s="165"/>
      <c r="Q48" s="165"/>
      <c r="R48" s="165"/>
      <c r="S48" s="165"/>
      <c r="T48" s="165"/>
    </row>
    <row r="49" spans="12:20">
      <c r="L49" s="165"/>
      <c r="M49" s="165"/>
      <c r="N49" s="165"/>
      <c r="O49" s="165"/>
      <c r="P49" s="165"/>
      <c r="Q49" s="165"/>
      <c r="R49" s="165"/>
      <c r="S49" s="165"/>
      <c r="T49" s="165"/>
    </row>
    <row r="50" spans="12:20">
      <c r="L50" s="184" t="s">
        <v>1938</v>
      </c>
      <c r="M50" s="184"/>
      <c r="N50" s="184"/>
      <c r="O50" s="184"/>
      <c r="P50" s="184" t="s">
        <v>1986</v>
      </c>
      <c r="Q50" s="184"/>
      <c r="R50" s="1222" t="s">
        <v>1232</v>
      </c>
      <c r="S50" s="184"/>
      <c r="T50" s="184"/>
    </row>
    <row r="51" spans="12:20">
      <c r="L51" s="185" t="s">
        <v>1939</v>
      </c>
      <c r="M51" s="185"/>
      <c r="N51" s="185" t="s">
        <v>1988</v>
      </c>
      <c r="O51" s="185"/>
      <c r="P51" s="185" t="s">
        <v>1989</v>
      </c>
      <c r="Q51" s="185"/>
      <c r="R51" s="185" t="s">
        <v>1989</v>
      </c>
      <c r="S51" s="185"/>
      <c r="T51" s="185" t="s">
        <v>1940</v>
      </c>
    </row>
    <row r="52" spans="12:20">
      <c r="L52" s="165"/>
      <c r="M52" s="165"/>
      <c r="N52" s="165"/>
      <c r="O52" s="165"/>
      <c r="P52" s="165"/>
      <c r="Q52" s="165"/>
      <c r="R52" s="165"/>
      <c r="S52" s="165"/>
      <c r="T52" s="165"/>
    </row>
    <row r="53" spans="12:20" ht="15.6" thickBot="1">
      <c r="L53" s="184">
        <v>1</v>
      </c>
      <c r="M53" s="165"/>
      <c r="N53" s="1228" t="s">
        <v>2283</v>
      </c>
      <c r="O53" s="165"/>
      <c r="P53" s="190">
        <f>SCH_C2!E39</f>
        <v>-801635</v>
      </c>
      <c r="Q53" s="165"/>
      <c r="R53" s="190">
        <f>SCH_C2!H39</f>
        <v>0</v>
      </c>
      <c r="S53" s="165"/>
      <c r="T53" s="190">
        <f>R53-P53</f>
        <v>801635</v>
      </c>
    </row>
    <row r="54" spans="12:20" ht="15.6" thickTop="1">
      <c r="L54" s="184"/>
      <c r="M54" s="165"/>
      <c r="N54" s="165"/>
      <c r="O54" s="165"/>
      <c r="P54" s="165"/>
      <c r="Q54" s="165"/>
      <c r="R54" s="165"/>
      <c r="S54" s="165"/>
      <c r="T54" s="165"/>
    </row>
    <row r="55" spans="12:20">
      <c r="L55" s="165"/>
      <c r="M55" s="165"/>
      <c r="N55" s="165"/>
      <c r="O55" s="165"/>
      <c r="P55" s="165"/>
      <c r="Q55" s="165"/>
      <c r="R55" s="165"/>
      <c r="S55" s="165"/>
      <c r="T55" s="165"/>
    </row>
    <row r="56" spans="12:20">
      <c r="L56" s="165"/>
      <c r="M56" s="165"/>
      <c r="N56" s="165"/>
      <c r="O56" s="165"/>
      <c r="P56" s="165"/>
      <c r="Q56" s="165"/>
      <c r="R56" s="165"/>
      <c r="S56" s="165"/>
      <c r="T56" s="165"/>
    </row>
    <row r="57" spans="12:20">
      <c r="L57" s="165"/>
      <c r="M57" s="165"/>
      <c r="N57" s="165"/>
      <c r="O57" s="165"/>
      <c r="P57" s="165"/>
      <c r="Q57" s="165"/>
      <c r="R57" s="165"/>
      <c r="S57" s="165"/>
      <c r="T57" s="184" t="s">
        <v>379</v>
      </c>
    </row>
    <row r="60" spans="12:20">
      <c r="R60" s="213"/>
    </row>
  </sheetData>
  <phoneticPr fontId="4" type="noConversion"/>
  <pageMargins left="1" right="0.75" top="0.78740157480314998" bottom="0" header="0" footer="0"/>
  <pageSetup scale="77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theme="7" tint="0.39997558519241921"/>
    <pageSetUpPr fitToPage="1"/>
  </sheetPr>
  <dimension ref="A1:T60"/>
  <sheetViews>
    <sheetView zoomScale="75" workbookViewId="0"/>
  </sheetViews>
  <sheetFormatPr defaultColWidth="8" defaultRowHeight="15"/>
  <cols>
    <col min="1" max="1" width="8" style="198" customWidth="1"/>
    <col min="2" max="2" width="25.109375" style="198" customWidth="1"/>
    <col min="3" max="3" width="8" style="198" customWidth="1"/>
    <col min="4" max="4" width="10.44140625" style="198" customWidth="1"/>
    <col min="5" max="7" width="8" style="198" customWidth="1"/>
    <col min="8" max="8" width="12.44140625" style="198" customWidth="1"/>
    <col min="9" max="9" width="10" style="198" customWidth="1"/>
    <col min="10" max="10" width="18.44140625" style="198" customWidth="1"/>
    <col min="11" max="12" width="8" style="198" customWidth="1"/>
    <col min="13" max="13" width="2.44140625" style="198" customWidth="1"/>
    <col min="14" max="14" width="42" style="198" customWidth="1"/>
    <col min="15" max="15" width="3.88671875" style="198" customWidth="1"/>
    <col min="16" max="16" width="16" style="198" customWidth="1"/>
    <col min="17" max="17" width="1.88671875" style="198" customWidth="1"/>
    <col min="18" max="18" width="18.109375" style="198" customWidth="1"/>
    <col min="19" max="19" width="2.33203125" style="198" customWidth="1"/>
    <col min="20" max="20" width="16.44140625" style="198" customWidth="1"/>
    <col min="21" max="16384" width="8" style="198"/>
  </cols>
  <sheetData>
    <row r="1" spans="1:11">
      <c r="A1" s="196" t="str">
        <f>LOGO!B5</f>
        <v>DUKE ENERGY KENTUCKY, INC.</v>
      </c>
      <c r="B1" s="197"/>
      <c r="C1" s="197"/>
      <c r="D1" s="197"/>
      <c r="E1" s="197"/>
      <c r="F1" s="197"/>
      <c r="G1" s="197"/>
      <c r="H1" s="197"/>
      <c r="I1" s="197"/>
      <c r="J1" s="197"/>
    </row>
    <row r="2" spans="1:11">
      <c r="A2" s="196" t="str">
        <f>LOGO!B6</f>
        <v>CASE NO. 2018-00261</v>
      </c>
      <c r="B2" s="197"/>
      <c r="C2" s="197"/>
      <c r="D2" s="197"/>
      <c r="E2" s="197"/>
      <c r="F2" s="197"/>
      <c r="G2" s="197"/>
      <c r="H2" s="197"/>
      <c r="I2" s="197"/>
      <c r="J2" s="197"/>
    </row>
    <row r="3" spans="1:11">
      <c r="A3" s="163" t="s">
        <v>1664</v>
      </c>
      <c r="B3" s="197"/>
      <c r="C3" s="197"/>
      <c r="D3" s="197"/>
      <c r="E3" s="197"/>
      <c r="F3" s="197"/>
      <c r="G3" s="197"/>
      <c r="H3" s="197"/>
      <c r="I3" s="197"/>
      <c r="J3" s="197"/>
    </row>
    <row r="4" spans="1:11">
      <c r="A4" s="163" t="str">
        <f>PeriodF</f>
        <v>FOR THE TWELVE MONTHS ENDED MARCH 31, 2020</v>
      </c>
      <c r="B4" s="197"/>
      <c r="C4" s="197"/>
      <c r="D4" s="197"/>
      <c r="E4" s="197"/>
      <c r="F4" s="197"/>
      <c r="G4" s="197"/>
      <c r="H4" s="197"/>
      <c r="I4" s="197"/>
      <c r="J4" s="197"/>
    </row>
    <row r="6" spans="1:11">
      <c r="A6" s="199" t="str">
        <f>Data</f>
        <v>DATA: "X" BASE PERIOD   FORECASTED PERIOD</v>
      </c>
      <c r="I6" s="200" t="s">
        <v>1448</v>
      </c>
    </row>
    <row r="7" spans="1:11">
      <c r="A7" s="199" t="str">
        <f>LOGO!B15</f>
        <v xml:space="preserve">TYPE OF FILING:  "X" ORIGINAL   UPDATED    REVISED  </v>
      </c>
      <c r="I7" s="201" t="s">
        <v>564</v>
      </c>
    </row>
    <row r="8" spans="1:11">
      <c r="A8" s="201" t="s">
        <v>1447</v>
      </c>
      <c r="I8" s="201" t="s">
        <v>566</v>
      </c>
    </row>
    <row r="9" spans="1:11">
      <c r="I9" s="201" t="str">
        <f>_WIT9</f>
        <v>R. H. PRATT</v>
      </c>
    </row>
    <row r="10" spans="1:11">
      <c r="A10" s="202"/>
      <c r="B10" s="202"/>
      <c r="C10" s="202"/>
      <c r="D10" s="202"/>
      <c r="E10" s="202"/>
      <c r="F10" s="202"/>
      <c r="G10" s="202"/>
      <c r="H10" s="202"/>
      <c r="I10" s="202"/>
      <c r="J10" s="202"/>
      <c r="K10" s="201"/>
    </row>
    <row r="12" spans="1:11">
      <c r="A12" s="201" t="s">
        <v>1942</v>
      </c>
      <c r="J12" s="203" t="s">
        <v>2098</v>
      </c>
    </row>
    <row r="13" spans="1:11">
      <c r="A13" s="202"/>
      <c r="B13" s="202"/>
      <c r="C13" s="202"/>
      <c r="D13" s="202"/>
      <c r="E13" s="202"/>
      <c r="F13" s="202"/>
      <c r="G13" s="202"/>
      <c r="H13" s="202"/>
      <c r="I13" s="202"/>
      <c r="J13" s="202"/>
      <c r="K13" s="201"/>
    </row>
    <row r="14" spans="1:11">
      <c r="J14" s="204"/>
    </row>
    <row r="15" spans="1:11">
      <c r="A15" s="66" t="s">
        <v>1595</v>
      </c>
    </row>
    <row r="16" spans="1:11">
      <c r="A16" s="66" t="s">
        <v>1241</v>
      </c>
    </row>
    <row r="17" spans="1:10">
      <c r="A17" s="201"/>
    </row>
    <row r="18" spans="1:10">
      <c r="A18" s="201"/>
    </row>
    <row r="19" spans="1:10">
      <c r="A19" s="201"/>
    </row>
    <row r="20" spans="1:10">
      <c r="A20" s="201"/>
      <c r="H20" s="204"/>
    </row>
    <row r="21" spans="1:10">
      <c r="A21" s="205"/>
      <c r="H21" s="206"/>
    </row>
    <row r="23" spans="1:10">
      <c r="A23" s="201" t="s">
        <v>1283</v>
      </c>
      <c r="I23" s="208"/>
      <c r="J23" s="172">
        <f ca="1">T53</f>
        <v>1303985</v>
      </c>
    </row>
    <row r="24" spans="1:10">
      <c r="J24" s="208"/>
    </row>
    <row r="26" spans="1:10">
      <c r="A26" s="201" t="s">
        <v>349</v>
      </c>
      <c r="J26" s="209">
        <f>VLOOKUP(D33,ALLOCTABLE,2)/100</f>
        <v>1</v>
      </c>
    </row>
    <row r="27" spans="1:10">
      <c r="J27" s="208"/>
    </row>
    <row r="29" spans="1:10" ht="16.8">
      <c r="A29" s="201" t="s">
        <v>1934</v>
      </c>
      <c r="F29" s="201" t="s">
        <v>383</v>
      </c>
      <c r="I29" s="208"/>
      <c r="J29" s="210">
        <f ca="1">ROUND(J23*J26,0)</f>
        <v>1303985</v>
      </c>
    </row>
    <row r="30" spans="1:10">
      <c r="J30" s="208"/>
    </row>
    <row r="33" spans="1:20">
      <c r="A33" s="201" t="s">
        <v>1935</v>
      </c>
      <c r="D33" s="211" t="s">
        <v>591</v>
      </c>
    </row>
    <row r="34" spans="1:20">
      <c r="A34" s="201"/>
    </row>
    <row r="43" spans="1:20">
      <c r="L43" s="181" t="str">
        <f>COMPANY</f>
        <v>DUKE ENERGY KENTUCKY, INC.</v>
      </c>
      <c r="M43" s="182"/>
      <c r="N43" s="182"/>
      <c r="O43" s="182"/>
      <c r="P43" s="182"/>
      <c r="Q43" s="182"/>
      <c r="R43" s="181" t="s">
        <v>452</v>
      </c>
      <c r="S43" s="182"/>
      <c r="T43" s="165"/>
    </row>
    <row r="44" spans="1:20">
      <c r="L44" s="181" t="str">
        <f>DEPT</f>
        <v>GAS DEPARTMENT</v>
      </c>
      <c r="M44" s="182"/>
      <c r="N44" s="182"/>
      <c r="O44" s="182"/>
      <c r="P44" s="182"/>
      <c r="Q44" s="182"/>
      <c r="R44" s="181" t="s">
        <v>1937</v>
      </c>
      <c r="S44" s="182"/>
      <c r="T44" s="165"/>
    </row>
    <row r="45" spans="1:20">
      <c r="L45" s="181" t="str">
        <f>CASE</f>
        <v>CASE NO. 2018-00261</v>
      </c>
      <c r="M45" s="182"/>
      <c r="N45" s="182"/>
      <c r="O45" s="182"/>
      <c r="P45" s="182"/>
      <c r="Q45" s="182"/>
      <c r="R45" s="182" t="str">
        <f>_WIT9</f>
        <v>R. H. PRATT</v>
      </c>
      <c r="S45" s="182"/>
      <c r="T45" s="165"/>
    </row>
    <row r="46" spans="1:20">
      <c r="L46" s="181" t="s">
        <v>1597</v>
      </c>
      <c r="M46" s="182"/>
      <c r="N46" s="182"/>
      <c r="O46" s="182"/>
      <c r="P46" s="182"/>
      <c r="Q46" s="182"/>
      <c r="R46" s="183"/>
      <c r="S46" s="182"/>
      <c r="T46" s="165"/>
    </row>
    <row r="47" spans="1:20">
      <c r="L47" s="181"/>
      <c r="M47" s="182"/>
      <c r="N47" s="182"/>
      <c r="O47" s="182"/>
      <c r="P47" s="182"/>
      <c r="Q47" s="182"/>
      <c r="R47" s="182"/>
      <c r="S47" s="182"/>
      <c r="T47" s="165"/>
    </row>
    <row r="48" spans="1:20">
      <c r="L48" s="165"/>
      <c r="M48" s="165"/>
      <c r="N48" s="165"/>
      <c r="O48" s="165"/>
      <c r="P48" s="165"/>
      <c r="Q48" s="165"/>
      <c r="R48" s="165"/>
      <c r="S48" s="165"/>
      <c r="T48" s="165"/>
    </row>
    <row r="49" spans="12:20">
      <c r="L49" s="165"/>
      <c r="M49" s="165"/>
      <c r="N49" s="165"/>
      <c r="O49" s="165"/>
      <c r="P49" s="165"/>
      <c r="Q49" s="165"/>
      <c r="R49" s="165"/>
      <c r="S49" s="165"/>
      <c r="T49" s="165"/>
    </row>
    <row r="50" spans="12:20">
      <c r="L50" s="184" t="s">
        <v>1938</v>
      </c>
      <c r="M50" s="184"/>
      <c r="N50" s="184"/>
      <c r="O50" s="184"/>
      <c r="P50" s="184" t="s">
        <v>1986</v>
      </c>
      <c r="Q50" s="184"/>
      <c r="R50" s="1222" t="s">
        <v>1232</v>
      </c>
      <c r="S50" s="184"/>
      <c r="T50" s="184"/>
    </row>
    <row r="51" spans="12:20">
      <c r="L51" s="185" t="s">
        <v>1939</v>
      </c>
      <c r="M51" s="185"/>
      <c r="N51" s="185" t="s">
        <v>1988</v>
      </c>
      <c r="O51" s="185"/>
      <c r="P51" s="185" t="s">
        <v>1989</v>
      </c>
      <c r="Q51" s="185"/>
      <c r="R51" s="185" t="s">
        <v>1989</v>
      </c>
      <c r="S51" s="185"/>
      <c r="T51" s="185" t="s">
        <v>1940</v>
      </c>
    </row>
    <row r="52" spans="12:20">
      <c r="L52" s="165"/>
      <c r="M52" s="165"/>
      <c r="N52" s="165"/>
      <c r="O52" s="165"/>
      <c r="P52" s="165"/>
      <c r="Q52" s="165"/>
      <c r="R52" s="165"/>
      <c r="S52" s="165"/>
      <c r="T52" s="165"/>
    </row>
    <row r="53" spans="12:20" ht="15.6" thickBot="1">
      <c r="L53" s="184">
        <v>1</v>
      </c>
      <c r="M53" s="165"/>
      <c r="N53" s="201" t="s">
        <v>1283</v>
      </c>
      <c r="O53" s="165"/>
      <c r="P53" s="190">
        <f>SCH_C2!E42</f>
        <v>14395647</v>
      </c>
      <c r="Q53" s="165"/>
      <c r="R53" s="190">
        <f ca="1">SCH_C2!H42</f>
        <v>15699632</v>
      </c>
      <c r="S53" s="165"/>
      <c r="T53" s="190">
        <f ca="1">R53-P53</f>
        <v>1303985</v>
      </c>
    </row>
    <row r="54" spans="12:20" ht="15.6" thickTop="1">
      <c r="L54" s="184"/>
      <c r="M54" s="165"/>
      <c r="N54" s="165"/>
      <c r="O54" s="165"/>
      <c r="P54" s="165"/>
      <c r="Q54" s="165"/>
      <c r="R54" s="165"/>
      <c r="S54" s="165"/>
      <c r="T54" s="165"/>
    </row>
    <row r="55" spans="12:20">
      <c r="L55" s="165"/>
      <c r="M55" s="165"/>
      <c r="N55" s="165"/>
      <c r="O55" s="165"/>
      <c r="P55" s="165"/>
      <c r="Q55" s="165"/>
      <c r="R55" s="165"/>
      <c r="S55" s="165"/>
      <c r="T55" s="165"/>
    </row>
    <row r="56" spans="12:20">
      <c r="L56" s="165"/>
      <c r="M56" s="165"/>
      <c r="N56" s="165"/>
      <c r="O56" s="165"/>
      <c r="P56" s="165"/>
      <c r="Q56" s="165"/>
      <c r="R56" s="165"/>
      <c r="S56" s="165"/>
      <c r="T56" s="165"/>
    </row>
    <row r="57" spans="12:20">
      <c r="L57" s="165"/>
      <c r="M57" s="165"/>
      <c r="N57" s="165"/>
      <c r="O57" s="165"/>
      <c r="P57" s="165"/>
      <c r="Q57" s="165"/>
      <c r="R57" s="165"/>
      <c r="S57" s="165"/>
      <c r="T57" s="184" t="s">
        <v>379</v>
      </c>
    </row>
    <row r="60" spans="12:20">
      <c r="R60" s="213"/>
    </row>
  </sheetData>
  <phoneticPr fontId="4" type="noConversion"/>
  <pageMargins left="1" right="0.75" top="0.78740157480314998" bottom="0" header="0" footer="0"/>
  <pageSetup scale="77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theme="7" tint="0.39997558519241921"/>
    <pageSetUpPr fitToPage="1"/>
  </sheetPr>
  <dimension ref="A1:T67"/>
  <sheetViews>
    <sheetView zoomScale="75" workbookViewId="0"/>
  </sheetViews>
  <sheetFormatPr defaultColWidth="8" defaultRowHeight="15"/>
  <cols>
    <col min="1" max="1" width="8" style="198" customWidth="1"/>
    <col min="2" max="2" width="20.44140625" style="198" customWidth="1"/>
    <col min="3" max="3" width="8" style="198" customWidth="1"/>
    <col min="4" max="4" width="10.44140625" style="198" customWidth="1"/>
    <col min="5" max="7" width="8" style="198" customWidth="1"/>
    <col min="8" max="8" width="12.44140625" style="198" customWidth="1"/>
    <col min="9" max="9" width="10" style="198" customWidth="1"/>
    <col min="10" max="10" width="18.44140625" style="198" customWidth="1"/>
    <col min="11" max="12" width="8" style="198" customWidth="1"/>
    <col min="13" max="13" width="2.44140625" style="198" customWidth="1"/>
    <col min="14" max="14" width="42.109375" style="198" customWidth="1"/>
    <col min="15" max="15" width="3.88671875" style="198" customWidth="1"/>
    <col min="16" max="16" width="16" style="198" customWidth="1"/>
    <col min="17" max="17" width="1.88671875" style="198" customWidth="1"/>
    <col min="18" max="18" width="18.109375" style="198" customWidth="1"/>
    <col min="19" max="19" width="2.33203125" style="198" customWidth="1"/>
    <col min="20" max="20" width="16.44140625" style="198" customWidth="1"/>
    <col min="21" max="16384" width="8" style="198"/>
  </cols>
  <sheetData>
    <row r="1" spans="1:11">
      <c r="A1" s="196" t="str">
        <f>LOGO!B5</f>
        <v>DUKE ENERGY KENTUCKY, INC.</v>
      </c>
      <c r="B1" s="197"/>
      <c r="C1" s="197"/>
      <c r="D1" s="197"/>
      <c r="E1" s="197"/>
      <c r="F1" s="197"/>
      <c r="G1" s="197"/>
      <c r="H1" s="197"/>
      <c r="I1" s="197"/>
      <c r="J1" s="197"/>
    </row>
    <row r="2" spans="1:11">
      <c r="A2" s="196" t="str">
        <f>LOGO!B6</f>
        <v>CASE NO. 2018-00261</v>
      </c>
      <c r="B2" s="197"/>
      <c r="C2" s="197"/>
      <c r="D2" s="197"/>
      <c r="E2" s="197"/>
      <c r="F2" s="197"/>
      <c r="G2" s="197"/>
      <c r="H2" s="197"/>
      <c r="I2" s="197"/>
      <c r="J2" s="197"/>
    </row>
    <row r="3" spans="1:11">
      <c r="A3" s="163" t="s">
        <v>1665</v>
      </c>
      <c r="B3" s="197"/>
      <c r="C3" s="197"/>
      <c r="D3" s="197"/>
      <c r="E3" s="197"/>
      <c r="F3" s="197"/>
      <c r="G3" s="197"/>
      <c r="H3" s="197"/>
      <c r="I3" s="197"/>
      <c r="J3" s="197"/>
    </row>
    <row r="4" spans="1:11">
      <c r="A4" s="163" t="str">
        <f>PeriodF</f>
        <v>FOR THE TWELVE MONTHS ENDED MARCH 31, 2020</v>
      </c>
      <c r="B4" s="197"/>
      <c r="C4" s="197"/>
      <c r="D4" s="197"/>
      <c r="E4" s="197"/>
      <c r="F4" s="197"/>
      <c r="G4" s="197"/>
      <c r="H4" s="197"/>
      <c r="I4" s="197"/>
      <c r="J4" s="197"/>
    </row>
    <row r="6" spans="1:11">
      <c r="A6" s="199" t="str">
        <f>Data</f>
        <v>DATA: "X" BASE PERIOD   FORECASTED PERIOD</v>
      </c>
      <c r="I6" s="200" t="s">
        <v>2163</v>
      </c>
    </row>
    <row r="7" spans="1:11">
      <c r="A7" s="199" t="str">
        <f>LOGO!B15</f>
        <v xml:space="preserve">TYPE OF FILING:  "X" ORIGINAL   UPDATED    REVISED  </v>
      </c>
      <c r="I7" s="201" t="s">
        <v>564</v>
      </c>
    </row>
    <row r="8" spans="1:11">
      <c r="A8" s="201" t="s">
        <v>2164</v>
      </c>
      <c r="I8" s="201" t="s">
        <v>566</v>
      </c>
    </row>
    <row r="9" spans="1:11">
      <c r="I9" s="201" t="str">
        <f>_WIT9</f>
        <v>R. H. PRATT</v>
      </c>
    </row>
    <row r="10" spans="1:11">
      <c r="A10" s="202"/>
      <c r="B10" s="202"/>
      <c r="C10" s="202"/>
      <c r="D10" s="202"/>
      <c r="E10" s="202"/>
      <c r="F10" s="202"/>
      <c r="G10" s="202"/>
      <c r="H10" s="202"/>
      <c r="I10" s="202"/>
      <c r="J10" s="202"/>
      <c r="K10" s="201"/>
    </row>
    <row r="12" spans="1:11">
      <c r="A12" s="201" t="s">
        <v>1942</v>
      </c>
      <c r="J12" s="203" t="s">
        <v>2098</v>
      </c>
    </row>
    <row r="13" spans="1:11">
      <c r="A13" s="202"/>
      <c r="B13" s="202"/>
      <c r="C13" s="202"/>
      <c r="D13" s="202"/>
      <c r="E13" s="202"/>
      <c r="F13" s="202"/>
      <c r="G13" s="202"/>
      <c r="H13" s="202"/>
      <c r="I13" s="202"/>
      <c r="J13" s="202"/>
      <c r="K13" s="201"/>
    </row>
    <row r="14" spans="1:11">
      <c r="J14" s="204"/>
    </row>
    <row r="15" spans="1:11">
      <c r="A15" s="66" t="s">
        <v>1773</v>
      </c>
    </row>
    <row r="16" spans="1:11">
      <c r="A16" s="66" t="s">
        <v>1243</v>
      </c>
    </row>
    <row r="17" spans="1:10">
      <c r="A17" s="201"/>
    </row>
    <row r="18" spans="1:10">
      <c r="A18" s="201"/>
    </row>
    <row r="19" spans="1:10">
      <c r="A19" s="201"/>
    </row>
    <row r="20" spans="1:10">
      <c r="A20" s="201"/>
      <c r="H20" s="204"/>
    </row>
    <row r="21" spans="1:10">
      <c r="A21" s="205"/>
      <c r="H21" s="206"/>
    </row>
    <row r="22" spans="1:10">
      <c r="A22" s="201" t="s">
        <v>1635</v>
      </c>
      <c r="H22" s="204"/>
      <c r="J22" s="172">
        <f>T56</f>
        <v>-206000</v>
      </c>
    </row>
    <row r="23" spans="1:10">
      <c r="A23" s="201"/>
      <c r="H23" s="204"/>
      <c r="J23" s="207"/>
    </row>
    <row r="24" spans="1:10">
      <c r="A24" s="198" t="s">
        <v>1639</v>
      </c>
      <c r="H24" s="204"/>
      <c r="J24" s="174">
        <f>T58</f>
        <v>742096</v>
      </c>
    </row>
    <row r="26" spans="1:10">
      <c r="A26" s="201" t="s">
        <v>1774</v>
      </c>
      <c r="I26" s="208"/>
      <c r="J26" s="172">
        <f>SUM(J22:J24)</f>
        <v>536096</v>
      </c>
    </row>
    <row r="27" spans="1:10">
      <c r="J27" s="208"/>
    </row>
    <row r="29" spans="1:10">
      <c r="A29" s="201" t="s">
        <v>349</v>
      </c>
      <c r="J29" s="209">
        <f>VLOOKUP(D36,ALLOCTABLE,2)/100</f>
        <v>1</v>
      </c>
    </row>
    <row r="30" spans="1:10">
      <c r="J30" s="208"/>
    </row>
    <row r="32" spans="1:10" ht="16.8">
      <c r="A32" s="201" t="s">
        <v>1934</v>
      </c>
      <c r="F32" s="201" t="s">
        <v>383</v>
      </c>
      <c r="I32" s="208"/>
      <c r="J32" s="210">
        <f>ROUND(J26*J29,0)</f>
        <v>536096</v>
      </c>
    </row>
    <row r="33" spans="1:20">
      <c r="J33" s="208"/>
    </row>
    <row r="36" spans="1:20">
      <c r="A36" s="201" t="s">
        <v>1935</v>
      </c>
      <c r="D36" s="211" t="s">
        <v>591</v>
      </c>
    </row>
    <row r="37" spans="1:20">
      <c r="A37" s="201"/>
    </row>
    <row r="46" spans="1:20">
      <c r="L46" s="181" t="str">
        <f>COMPANY</f>
        <v>DUKE ENERGY KENTUCKY, INC.</v>
      </c>
      <c r="M46" s="182"/>
      <c r="N46" s="182"/>
      <c r="O46" s="182"/>
      <c r="P46" s="182"/>
      <c r="Q46" s="182"/>
      <c r="R46" s="181" t="s">
        <v>2162</v>
      </c>
      <c r="S46" s="182"/>
      <c r="T46" s="165"/>
    </row>
    <row r="47" spans="1:20">
      <c r="L47" s="181" t="str">
        <f>DEPT</f>
        <v>GAS DEPARTMENT</v>
      </c>
      <c r="M47" s="182"/>
      <c r="N47" s="182"/>
      <c r="O47" s="182"/>
      <c r="P47" s="182"/>
      <c r="Q47" s="182"/>
      <c r="R47" s="181" t="s">
        <v>1937</v>
      </c>
      <c r="S47" s="182"/>
      <c r="T47" s="165"/>
    </row>
    <row r="48" spans="1:20">
      <c r="L48" s="181" t="str">
        <f>CASE</f>
        <v>CASE NO. 2018-00261</v>
      </c>
      <c r="M48" s="182"/>
      <c r="N48" s="182"/>
      <c r="O48" s="182"/>
      <c r="P48" s="182"/>
      <c r="Q48" s="182"/>
      <c r="R48" s="182" t="str">
        <f>_WIT9</f>
        <v>R. H. PRATT</v>
      </c>
      <c r="S48" s="182"/>
      <c r="T48" s="165"/>
    </row>
    <row r="49" spans="12:20">
      <c r="L49" s="181" t="s">
        <v>1776</v>
      </c>
      <c r="M49" s="182"/>
      <c r="N49" s="182"/>
      <c r="O49" s="182"/>
      <c r="P49" s="182"/>
      <c r="Q49" s="182"/>
      <c r="R49" s="183"/>
      <c r="S49" s="182"/>
      <c r="T49" s="165"/>
    </row>
    <row r="50" spans="12:20">
      <c r="L50" s="181"/>
      <c r="M50" s="182"/>
      <c r="N50" s="182"/>
      <c r="O50" s="182"/>
      <c r="P50" s="182"/>
      <c r="Q50" s="182"/>
      <c r="R50" s="182"/>
      <c r="S50" s="182"/>
      <c r="T50" s="165"/>
    </row>
    <row r="51" spans="12:20">
      <c r="L51" s="165"/>
      <c r="M51" s="165"/>
      <c r="N51" s="165"/>
      <c r="O51" s="165"/>
      <c r="P51" s="165"/>
      <c r="Q51" s="165"/>
      <c r="R51" s="165"/>
      <c r="S51" s="165"/>
      <c r="T51" s="165"/>
    </row>
    <row r="52" spans="12:20">
      <c r="L52" s="165"/>
      <c r="M52" s="165"/>
      <c r="N52" s="165"/>
      <c r="O52" s="165"/>
      <c r="P52" s="165"/>
      <c r="Q52" s="165"/>
      <c r="R52" s="165"/>
      <c r="S52" s="165"/>
      <c r="T52" s="165"/>
    </row>
    <row r="53" spans="12:20">
      <c r="L53" s="184" t="s">
        <v>1938</v>
      </c>
      <c r="M53" s="184"/>
      <c r="N53" s="184"/>
      <c r="O53" s="184"/>
      <c r="P53" s="184" t="s">
        <v>1986</v>
      </c>
      <c r="Q53" s="184"/>
      <c r="R53" s="1222" t="s">
        <v>1232</v>
      </c>
      <c r="S53" s="184"/>
      <c r="T53" s="184"/>
    </row>
    <row r="54" spans="12:20">
      <c r="L54" s="185" t="s">
        <v>1939</v>
      </c>
      <c r="M54" s="185"/>
      <c r="N54" s="185" t="s">
        <v>1988</v>
      </c>
      <c r="O54" s="185"/>
      <c r="P54" s="185" t="s">
        <v>1989</v>
      </c>
      <c r="Q54" s="185"/>
      <c r="R54" s="185" t="s">
        <v>1989</v>
      </c>
      <c r="S54" s="185"/>
      <c r="T54" s="185" t="s">
        <v>1940</v>
      </c>
    </row>
    <row r="55" spans="12:20">
      <c r="L55" s="165"/>
      <c r="M55" s="165"/>
      <c r="N55" s="165"/>
      <c r="O55" s="165"/>
      <c r="P55" s="165"/>
      <c r="Q55" s="165"/>
      <c r="R55" s="165"/>
      <c r="S55" s="165"/>
      <c r="T55" s="165"/>
    </row>
    <row r="56" spans="12:20">
      <c r="L56" s="184">
        <v>1</v>
      </c>
      <c r="M56" s="165"/>
      <c r="N56" s="201" t="s">
        <v>1635</v>
      </c>
      <c r="O56" s="165"/>
      <c r="P56" s="178">
        <f>SCH_C2!E45</f>
        <v>206000</v>
      </c>
      <c r="Q56" s="165"/>
      <c r="R56" s="178">
        <f>SCH_C2!H45</f>
        <v>0</v>
      </c>
      <c r="S56" s="165"/>
      <c r="T56" s="178">
        <f>R56-P56</f>
        <v>-206000</v>
      </c>
    </row>
    <row r="57" spans="12:20">
      <c r="L57" s="184">
        <v>2</v>
      </c>
      <c r="M57" s="165"/>
      <c r="N57" s="201"/>
      <c r="O57" s="165"/>
      <c r="P57" s="165"/>
      <c r="Q57" s="165"/>
      <c r="R57" s="165"/>
      <c r="S57" s="165"/>
      <c r="T57" s="165"/>
    </row>
    <row r="58" spans="12:20">
      <c r="L58" s="184">
        <v>3</v>
      </c>
      <c r="M58" s="165"/>
      <c r="N58" s="198" t="s">
        <v>1639</v>
      </c>
      <c r="O58" s="165"/>
      <c r="P58" s="188">
        <f>SCH_C2!E46</f>
        <v>3400329</v>
      </c>
      <c r="Q58" s="165"/>
      <c r="R58" s="188">
        <f>SCH_C2!H46</f>
        <v>4142425</v>
      </c>
      <c r="S58" s="165"/>
      <c r="T58" s="188">
        <f>R58-P58</f>
        <v>742096</v>
      </c>
    </row>
    <row r="59" spans="12:20">
      <c r="L59" s="184">
        <v>4</v>
      </c>
      <c r="M59" s="165"/>
      <c r="O59" s="165"/>
      <c r="P59" s="165"/>
      <c r="Q59" s="165"/>
      <c r="R59" s="165"/>
      <c r="S59" s="165"/>
      <c r="T59" s="165"/>
    </row>
    <row r="60" spans="12:20" ht="15.6" thickBot="1">
      <c r="L60" s="184">
        <v>5</v>
      </c>
      <c r="M60" s="165"/>
      <c r="N60" s="212" t="s">
        <v>1774</v>
      </c>
      <c r="O60" s="165"/>
      <c r="P60" s="190">
        <f>SUM(P56:P58)</f>
        <v>3606329</v>
      </c>
      <c r="Q60" s="165"/>
      <c r="R60" s="190">
        <f>SUM(R56:R58)</f>
        <v>4142425</v>
      </c>
      <c r="S60" s="165"/>
      <c r="T60" s="190">
        <f>SUM(T56:T58)</f>
        <v>536096</v>
      </c>
    </row>
    <row r="61" spans="12:20" ht="15.6" thickTop="1">
      <c r="L61" s="184"/>
      <c r="M61" s="165"/>
      <c r="N61" s="165"/>
      <c r="O61" s="165"/>
      <c r="P61" s="165"/>
      <c r="Q61" s="165"/>
      <c r="R61" s="165"/>
      <c r="S61" s="165"/>
      <c r="T61" s="165"/>
    </row>
    <row r="62" spans="12:20">
      <c r="L62" s="165"/>
      <c r="M62" s="165"/>
      <c r="N62" s="165"/>
      <c r="O62" s="165"/>
      <c r="P62" s="165"/>
      <c r="Q62" s="165"/>
      <c r="R62" s="165"/>
      <c r="S62" s="165"/>
      <c r="T62" s="165"/>
    </row>
    <row r="63" spans="12:20">
      <c r="L63" s="165"/>
      <c r="M63" s="165"/>
      <c r="N63" s="165"/>
      <c r="O63" s="165"/>
      <c r="P63" s="165"/>
      <c r="Q63" s="165"/>
      <c r="R63" s="165"/>
      <c r="S63" s="165"/>
      <c r="T63" s="165"/>
    </row>
    <row r="64" spans="12:20">
      <c r="L64" s="165"/>
      <c r="M64" s="165"/>
      <c r="N64" s="165"/>
      <c r="O64" s="165"/>
      <c r="P64" s="165"/>
      <c r="Q64" s="165"/>
      <c r="R64" s="165"/>
      <c r="S64" s="165"/>
      <c r="T64" s="184" t="s">
        <v>379</v>
      </c>
    </row>
    <row r="67" spans="18:18">
      <c r="R67" s="213"/>
    </row>
  </sheetData>
  <phoneticPr fontId="4" type="noConversion"/>
  <pageMargins left="1" right="0.75" top="0.78740157480314998" bottom="0" header="0" footer="0"/>
  <pageSetup scale="77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>
    <tabColor theme="7" tint="0.39997558519241921"/>
    <pageSetUpPr fitToPage="1"/>
  </sheetPr>
  <dimension ref="A1:T80"/>
  <sheetViews>
    <sheetView zoomScale="90" zoomScaleNormal="90" workbookViewId="0"/>
  </sheetViews>
  <sheetFormatPr defaultColWidth="8" defaultRowHeight="13.2"/>
  <cols>
    <col min="1" max="1" width="8" style="1945" customWidth="1"/>
    <col min="2" max="2" width="20.44140625" style="1945" customWidth="1"/>
    <col min="3" max="3" width="8" style="1945" customWidth="1"/>
    <col min="4" max="4" width="10.44140625" style="1945" customWidth="1"/>
    <col min="5" max="7" width="8" style="1945" customWidth="1"/>
    <col min="8" max="8" width="12.44140625" style="1945" customWidth="1"/>
    <col min="9" max="9" width="10" style="1945" customWidth="1"/>
    <col min="10" max="10" width="18.44140625" style="1945" customWidth="1"/>
    <col min="11" max="12" width="8" style="1945" customWidth="1"/>
    <col min="13" max="13" width="2.44140625" style="1945" customWidth="1"/>
    <col min="14" max="14" width="26.6640625" style="1945" customWidth="1"/>
    <col min="15" max="15" width="1.33203125" style="1945" customWidth="1"/>
    <col min="16" max="16" width="16" style="1945" customWidth="1"/>
    <col min="17" max="17" width="1.88671875" style="1945" customWidth="1"/>
    <col min="18" max="18" width="15.5546875" style="1945" customWidth="1"/>
    <col min="19" max="19" width="2.6640625" style="1945" customWidth="1"/>
    <col min="20" max="20" width="20.44140625" style="1945" customWidth="1"/>
    <col min="21" max="21" width="2.109375" style="1945" customWidth="1"/>
    <col min="22" max="22" width="14.6640625" style="1945" customWidth="1"/>
    <col min="23" max="23" width="1.6640625" style="1945" customWidth="1"/>
    <col min="24" max="24" width="15.109375" style="1945" customWidth="1"/>
    <col min="25" max="16384" width="8" style="1945"/>
  </cols>
  <sheetData>
    <row r="1" spans="1:11">
      <c r="A1" s="1943" t="str">
        <f>LOGO!B5</f>
        <v>DUKE ENERGY KENTUCKY, INC.</v>
      </c>
      <c r="B1" s="1944"/>
      <c r="C1" s="1944"/>
      <c r="D1" s="1944"/>
      <c r="E1" s="1944"/>
      <c r="F1" s="1944"/>
      <c r="G1" s="1944"/>
      <c r="H1" s="1944"/>
      <c r="I1" s="1944"/>
      <c r="J1" s="1944"/>
    </row>
    <row r="2" spans="1:11">
      <c r="A2" s="1943" t="str">
        <f>LOGO!B6</f>
        <v>CASE NO. 2018-00261</v>
      </c>
      <c r="B2" s="1944"/>
      <c r="C2" s="1944"/>
      <c r="D2" s="1944"/>
      <c r="E2" s="1944"/>
      <c r="F2" s="1944"/>
      <c r="G2" s="1944"/>
      <c r="H2" s="1944"/>
      <c r="I2" s="1944"/>
      <c r="J2" s="1944"/>
    </row>
    <row r="3" spans="1:11">
      <c r="A3" s="1946" t="s">
        <v>1666</v>
      </c>
      <c r="B3" s="1944"/>
      <c r="C3" s="1944"/>
      <c r="D3" s="1944"/>
      <c r="E3" s="1944"/>
      <c r="F3" s="1944"/>
      <c r="G3" s="1944"/>
      <c r="H3" s="1944"/>
      <c r="I3" s="1944"/>
      <c r="J3" s="1944"/>
    </row>
    <row r="4" spans="1:11">
      <c r="A4" s="1946" t="str">
        <f>PeriodF</f>
        <v>FOR THE TWELVE MONTHS ENDED MARCH 31, 2020</v>
      </c>
      <c r="B4" s="1944"/>
      <c r="C4" s="1944"/>
      <c r="D4" s="1944"/>
      <c r="E4" s="1944"/>
      <c r="F4" s="1944"/>
      <c r="G4" s="1944"/>
      <c r="H4" s="1944"/>
      <c r="I4" s="1944"/>
      <c r="J4" s="1944"/>
    </row>
    <row r="6" spans="1:11">
      <c r="A6" s="1947" t="str">
        <f>Data</f>
        <v>DATA: "X" BASE PERIOD   FORECASTED PERIOD</v>
      </c>
      <c r="I6" s="1948" t="s">
        <v>156</v>
      </c>
    </row>
    <row r="7" spans="1:11">
      <c r="A7" s="1947" t="str">
        <f>LOGO!B15</f>
        <v xml:space="preserve">TYPE OF FILING:  "X" ORIGINAL   UPDATED    REVISED  </v>
      </c>
      <c r="I7" s="1949" t="s">
        <v>564</v>
      </c>
    </row>
    <row r="8" spans="1:11">
      <c r="A8" s="1949" t="s">
        <v>157</v>
      </c>
      <c r="I8" s="1949" t="s">
        <v>566</v>
      </c>
    </row>
    <row r="9" spans="1:11">
      <c r="I9" s="1949" t="str">
        <f>_WIT9</f>
        <v>R. H. PRATT</v>
      </c>
    </row>
    <row r="10" spans="1:11">
      <c r="A10" s="1950"/>
      <c r="B10" s="1950"/>
      <c r="C10" s="1950"/>
      <c r="D10" s="1950"/>
      <c r="E10" s="1950"/>
      <c r="F10" s="1950"/>
      <c r="G10" s="1950"/>
      <c r="H10" s="1950"/>
      <c r="I10" s="1950"/>
      <c r="J10" s="1950"/>
      <c r="K10" s="1949"/>
    </row>
    <row r="12" spans="1:11">
      <c r="A12" s="1949" t="s">
        <v>1942</v>
      </c>
      <c r="J12" s="1951" t="s">
        <v>2098</v>
      </c>
    </row>
    <row r="13" spans="1:11">
      <c r="A13" s="1950"/>
      <c r="B13" s="1950"/>
      <c r="C13" s="1950"/>
      <c r="D13" s="1950"/>
      <c r="E13" s="1950"/>
      <c r="F13" s="1950"/>
      <c r="G13" s="1950"/>
      <c r="H13" s="1950"/>
      <c r="I13" s="1950"/>
      <c r="J13" s="1950"/>
      <c r="K13" s="1949"/>
    </row>
    <row r="14" spans="1:11">
      <c r="J14" s="1952"/>
    </row>
    <row r="15" spans="1:11">
      <c r="A15" s="1628" t="s">
        <v>709</v>
      </c>
    </row>
    <row r="16" spans="1:11">
      <c r="A16" s="1628" t="s">
        <v>1243</v>
      </c>
    </row>
    <row r="17" spans="1:10">
      <c r="A17" s="1949"/>
    </row>
    <row r="18" spans="1:10">
      <c r="A18" s="1949"/>
    </row>
    <row r="19" spans="1:10">
      <c r="A19" s="1949"/>
    </row>
    <row r="20" spans="1:10">
      <c r="A20" s="1949"/>
      <c r="H20" s="1952"/>
    </row>
    <row r="21" spans="1:10">
      <c r="A21" s="1949" t="s">
        <v>1289</v>
      </c>
      <c r="H21" s="1953"/>
    </row>
    <row r="22" spans="1:10">
      <c r="A22" s="1954" t="s">
        <v>1469</v>
      </c>
      <c r="H22" s="1952"/>
      <c r="J22" s="1955">
        <f ca="1">T70</f>
        <v>-427428</v>
      </c>
    </row>
    <row r="23" spans="1:10">
      <c r="A23" s="1954" t="s">
        <v>2284</v>
      </c>
      <c r="H23" s="1952"/>
      <c r="J23" s="1956">
        <f ca="1">SCH_E1!I102</f>
        <v>496892</v>
      </c>
    </row>
    <row r="24" spans="1:10">
      <c r="A24" s="1949"/>
      <c r="H24" s="1952"/>
      <c r="J24" s="1956"/>
    </row>
    <row r="25" spans="1:10">
      <c r="A25" s="1949" t="s">
        <v>1528</v>
      </c>
      <c r="H25" s="1952"/>
    </row>
    <row r="26" spans="1:10">
      <c r="A26" s="1954" t="s">
        <v>1469</v>
      </c>
      <c r="H26" s="1952"/>
      <c r="J26" s="1955">
        <f ca="1">T71</f>
        <v>-2820563</v>
      </c>
    </row>
    <row r="27" spans="1:10">
      <c r="A27" s="1954" t="s">
        <v>2284</v>
      </c>
      <c r="H27" s="1952"/>
      <c r="J27" s="1957">
        <f ca="1">SCH_E1!I121</f>
        <v>505474</v>
      </c>
    </row>
    <row r="28" spans="1:10">
      <c r="A28" s="1954" t="s">
        <v>2285</v>
      </c>
      <c r="H28" s="1952"/>
      <c r="J28" s="1958">
        <f>SCH_E1!I123</f>
        <v>1186</v>
      </c>
    </row>
    <row r="30" spans="1:10">
      <c r="A30" s="1949" t="s">
        <v>196</v>
      </c>
      <c r="I30" s="1959"/>
      <c r="J30" s="1955">
        <f ca="1">SUM(J22:J28)</f>
        <v>-2244439</v>
      </c>
    </row>
    <row r="31" spans="1:10">
      <c r="J31" s="1959"/>
    </row>
    <row r="33" spans="1:10">
      <c r="A33" s="1949" t="s">
        <v>349</v>
      </c>
      <c r="J33" s="1960">
        <f>VLOOKUP(D40,ALLOCTABLE,2)/100</f>
        <v>1</v>
      </c>
    </row>
    <row r="34" spans="1:10">
      <c r="J34" s="1959"/>
    </row>
    <row r="36" spans="1:10" ht="13.8" thickBot="1">
      <c r="A36" s="1949" t="s">
        <v>1934</v>
      </c>
      <c r="F36" s="1949" t="s">
        <v>383</v>
      </c>
      <c r="I36" s="1959"/>
      <c r="J36" s="1961">
        <f ca="1">ROUND(J30*J33,0)</f>
        <v>-2244439</v>
      </c>
    </row>
    <row r="37" spans="1:10" ht="13.8" thickTop="1">
      <c r="J37" s="1959"/>
    </row>
    <row r="40" spans="1:10">
      <c r="A40" s="1949" t="s">
        <v>1935</v>
      </c>
      <c r="D40" s="1962" t="s">
        <v>591</v>
      </c>
    </row>
    <row r="41" spans="1:10">
      <c r="A41" s="1949"/>
    </row>
    <row r="50" spans="12:20">
      <c r="L50" s="1963" t="str">
        <f>COMPANY</f>
        <v>DUKE ENERGY KENTUCKY, INC.</v>
      </c>
      <c r="M50" s="1964"/>
      <c r="N50" s="1964"/>
      <c r="O50" s="1964"/>
      <c r="P50" s="1964"/>
      <c r="Q50" s="1964"/>
      <c r="S50" s="1963" t="s">
        <v>1687</v>
      </c>
      <c r="T50" s="1965"/>
    </row>
    <row r="51" spans="12:20">
      <c r="L51" s="1963" t="str">
        <f>DEPT</f>
        <v>GAS DEPARTMENT</v>
      </c>
      <c r="M51" s="1964"/>
      <c r="N51" s="1964"/>
      <c r="O51" s="1964"/>
      <c r="P51" s="1964"/>
      <c r="Q51" s="1964"/>
      <c r="S51" s="1963" t="s">
        <v>1937</v>
      </c>
      <c r="T51" s="1965"/>
    </row>
    <row r="52" spans="12:20">
      <c r="L52" s="1963" t="str">
        <f>CASE</f>
        <v>CASE NO. 2018-00261</v>
      </c>
      <c r="M52" s="1964"/>
      <c r="N52" s="1964"/>
      <c r="O52" s="1964"/>
      <c r="P52" s="1964"/>
      <c r="Q52" s="1964"/>
      <c r="S52" s="1964" t="str">
        <f>_WIT9</f>
        <v>R. H. PRATT</v>
      </c>
      <c r="T52" s="1965"/>
    </row>
    <row r="53" spans="12:20">
      <c r="L53" s="1963" t="s">
        <v>197</v>
      </c>
      <c r="M53" s="1964"/>
      <c r="N53" s="1964"/>
      <c r="O53" s="1964"/>
      <c r="P53" s="1964"/>
      <c r="Q53" s="1964"/>
      <c r="R53" s="1966"/>
      <c r="S53" s="1964"/>
      <c r="T53" s="1965"/>
    </row>
    <row r="54" spans="12:20">
      <c r="L54" s="1963"/>
      <c r="M54" s="1964"/>
      <c r="N54" s="1964"/>
      <c r="O54" s="1964"/>
      <c r="P54" s="1964"/>
      <c r="Q54" s="1964"/>
      <c r="R54" s="1964"/>
      <c r="S54" s="1964"/>
      <c r="T54" s="1965"/>
    </row>
    <row r="55" spans="12:20">
      <c r="L55" s="1965"/>
      <c r="M55" s="1965"/>
      <c r="N55" s="1965"/>
      <c r="O55" s="1965"/>
      <c r="P55" s="1965"/>
      <c r="Q55" s="1965"/>
      <c r="R55" s="1965"/>
      <c r="S55" s="1965"/>
      <c r="T55" s="1965"/>
    </row>
    <row r="56" spans="12:20">
      <c r="L56" s="1965"/>
      <c r="M56" s="1965"/>
      <c r="N56" s="1965"/>
      <c r="O56" s="1965"/>
      <c r="P56" s="1965"/>
      <c r="Q56" s="1965"/>
      <c r="R56" s="1965"/>
      <c r="S56" s="1965"/>
      <c r="T56" s="1965"/>
    </row>
    <row r="57" spans="12:20">
      <c r="L57" s="1929"/>
      <c r="M57" s="1929"/>
      <c r="N57" s="1929"/>
      <c r="O57" s="1929"/>
      <c r="P57" s="1930" t="s">
        <v>2494</v>
      </c>
      <c r="Q57" s="1930"/>
      <c r="R57" s="1930"/>
      <c r="S57" s="1929"/>
      <c r="T57" s="1929"/>
    </row>
    <row r="58" spans="12:20">
      <c r="L58" s="1931" t="s">
        <v>1938</v>
      </c>
      <c r="M58" s="1931"/>
      <c r="N58" s="1931"/>
      <c r="O58" s="1931"/>
      <c r="P58" s="1931" t="s">
        <v>1986</v>
      </c>
      <c r="Q58" s="1931"/>
      <c r="R58" s="1931" t="s">
        <v>1232</v>
      </c>
      <c r="S58" s="1931"/>
      <c r="T58" s="1931"/>
    </row>
    <row r="59" spans="12:20">
      <c r="L59" s="1932" t="s">
        <v>1939</v>
      </c>
      <c r="M59" s="1932"/>
      <c r="N59" s="1933" t="s">
        <v>1988</v>
      </c>
      <c r="O59" s="1932"/>
      <c r="P59" s="1932" t="s">
        <v>1989</v>
      </c>
      <c r="Q59" s="1932"/>
      <c r="R59" s="1932" t="s">
        <v>1989</v>
      </c>
      <c r="S59" s="1932"/>
      <c r="T59" s="1932" t="s">
        <v>2125</v>
      </c>
    </row>
    <row r="60" spans="12:20">
      <c r="L60" s="1931"/>
      <c r="M60" s="1929"/>
      <c r="N60" s="1934"/>
      <c r="O60" s="1929"/>
      <c r="P60" s="1935"/>
      <c r="Q60" s="1935"/>
      <c r="R60" s="1935"/>
      <c r="S60" s="1935"/>
      <c r="T60" s="1935"/>
    </row>
    <row r="61" spans="12:20">
      <c r="L61" s="1931">
        <v>1</v>
      </c>
      <c r="M61" s="1929"/>
      <c r="N61" s="1934" t="s">
        <v>2495</v>
      </c>
      <c r="O61" s="1929"/>
      <c r="P61" s="1935"/>
      <c r="Q61" s="1935"/>
      <c r="R61" s="1935"/>
      <c r="S61" s="1935"/>
      <c r="T61" s="1935"/>
    </row>
    <row r="62" spans="12:20">
      <c r="L62" s="1931">
        <v>2</v>
      </c>
      <c r="M62" s="1929"/>
      <c r="N62" s="1936" t="s">
        <v>2176</v>
      </c>
      <c r="O62" s="1929"/>
      <c r="P62" s="1937">
        <f ca="1">SUM(SCH_D1!G51:O51)+SUM(SCH_D1!E116:O116)+SUM(SCH_D1!E181:G181)</f>
        <v>-135566</v>
      </c>
      <c r="Q62" s="1938"/>
      <c r="R62" s="1937">
        <f ca="1">SCH_D1!U246</f>
        <v>72366</v>
      </c>
      <c r="S62" s="1929"/>
      <c r="T62" s="1939">
        <f ca="1">R62+P62</f>
        <v>-63200</v>
      </c>
    </row>
    <row r="63" spans="12:20">
      <c r="L63" s="1931">
        <v>3</v>
      </c>
      <c r="M63" s="1929"/>
      <c r="N63" s="1936" t="s">
        <v>2178</v>
      </c>
      <c r="O63" s="1929"/>
      <c r="P63" s="1940">
        <f ca="1">SUM(SCH_D1!G56:O56)+SUM(SCH_D1!E121:O121)+SUM(SCH_D1!E186:G186)</f>
        <v>-544519</v>
      </c>
      <c r="Q63" s="1938"/>
      <c r="R63" s="1940">
        <f ca="1">SCH_D1!U251</f>
        <v>290671</v>
      </c>
      <c r="S63" s="1929"/>
      <c r="T63" s="1940">
        <f ca="1">R63+P63</f>
        <v>-253848</v>
      </c>
    </row>
    <row r="64" spans="12:20">
      <c r="L64" s="1931">
        <v>4</v>
      </c>
      <c r="M64" s="1929"/>
      <c r="N64" s="1941"/>
      <c r="O64" s="1929"/>
      <c r="P64" s="1937"/>
      <c r="Q64" s="1938"/>
      <c r="R64" s="1937"/>
      <c r="S64" s="1929"/>
      <c r="T64" s="1939"/>
    </row>
    <row r="65" spans="12:20">
      <c r="L65" s="1931">
        <v>5</v>
      </c>
      <c r="M65" s="1929"/>
      <c r="N65" s="1934" t="s">
        <v>2496</v>
      </c>
      <c r="O65" s="1929"/>
      <c r="P65" s="1942"/>
      <c r="Q65" s="1942"/>
      <c r="R65" s="1942"/>
      <c r="S65" s="1935"/>
      <c r="T65" s="1935"/>
    </row>
    <row r="66" spans="12:20">
      <c r="L66" s="1931">
        <v>6</v>
      </c>
      <c r="M66" s="1929"/>
      <c r="N66" s="1936" t="s">
        <v>2176</v>
      </c>
      <c r="O66" s="1929"/>
      <c r="P66" s="1940">
        <f ca="1">SCH_E1!I75</f>
        <v>-562994</v>
      </c>
      <c r="Q66" s="1940"/>
      <c r="R66" s="1940">
        <f ca="1">SCH_E1!L75</f>
        <v>72366</v>
      </c>
      <c r="S66" s="1938"/>
      <c r="T66" s="1940">
        <f ca="1">R66+P66</f>
        <v>-490628</v>
      </c>
    </row>
    <row r="67" spans="12:20">
      <c r="L67" s="1931">
        <v>7</v>
      </c>
      <c r="M67" s="1929"/>
      <c r="N67" s="1936" t="s">
        <v>2178</v>
      </c>
      <c r="O67" s="1929"/>
      <c r="P67" s="1940">
        <f ca="1">SCH_E1!I115</f>
        <v>-3365082</v>
      </c>
      <c r="Q67" s="1940"/>
      <c r="R67" s="1940">
        <f ca="1">SCH_E1!L115</f>
        <v>290671</v>
      </c>
      <c r="S67" s="1929"/>
      <c r="T67" s="1940">
        <f ca="1">R67+P67</f>
        <v>-3074411</v>
      </c>
    </row>
    <row r="68" spans="12:20">
      <c r="L68" s="1931">
        <v>8</v>
      </c>
      <c r="M68" s="1929"/>
      <c r="N68" s="1936"/>
      <c r="O68" s="1929"/>
      <c r="P68" s="1937"/>
      <c r="Q68" s="1938"/>
      <c r="R68" s="1937"/>
      <c r="S68" s="1929"/>
      <c r="T68" s="1937"/>
    </row>
    <row r="69" spans="12:20">
      <c r="L69" s="1931">
        <v>9</v>
      </c>
      <c r="M69" s="1929"/>
      <c r="N69" s="1934" t="s">
        <v>322</v>
      </c>
      <c r="O69" s="1929"/>
      <c r="P69" s="1938"/>
      <c r="Q69" s="1938"/>
      <c r="R69" s="1938"/>
      <c r="S69" s="1929"/>
      <c r="T69" s="1929"/>
    </row>
    <row r="70" spans="12:20">
      <c r="L70" s="1931">
        <v>10</v>
      </c>
      <c r="M70" s="1594"/>
      <c r="N70" s="1936" t="s">
        <v>2176</v>
      </c>
      <c r="O70" s="1594"/>
      <c r="P70" s="1940">
        <f ca="1">P66-P62</f>
        <v>-427428</v>
      </c>
      <c r="Q70" s="1594"/>
      <c r="R70" s="1940">
        <f ca="1">R66-R62</f>
        <v>0</v>
      </c>
      <c r="S70" s="1594"/>
      <c r="T70" s="1940">
        <f ca="1">R70+P70</f>
        <v>-427428</v>
      </c>
    </row>
    <row r="71" spans="12:20">
      <c r="L71" s="1931">
        <v>11</v>
      </c>
      <c r="M71" s="1594"/>
      <c r="N71" s="1936" t="s">
        <v>2178</v>
      </c>
      <c r="O71" s="1594"/>
      <c r="P71" s="1940">
        <f ca="1">P67-P63</f>
        <v>-2820563</v>
      </c>
      <c r="Q71" s="1594"/>
      <c r="R71" s="1940">
        <f ca="1">R67-R63</f>
        <v>0</v>
      </c>
      <c r="S71" s="1594"/>
      <c r="T71" s="1940">
        <f ca="1">R71+P71</f>
        <v>-2820563</v>
      </c>
    </row>
    <row r="72" spans="12:20">
      <c r="L72" s="1594"/>
      <c r="M72" s="1594"/>
      <c r="N72" s="1594"/>
      <c r="O72" s="1594"/>
      <c r="P72" s="1594"/>
      <c r="Q72" s="1594"/>
      <c r="R72" s="1594"/>
      <c r="S72" s="1594"/>
      <c r="T72" s="1594"/>
    </row>
    <row r="73" spans="12:20">
      <c r="L73" s="1594"/>
      <c r="M73" s="1594"/>
      <c r="N73" s="1594"/>
      <c r="O73" s="1594"/>
      <c r="P73" s="1594"/>
      <c r="Q73" s="1594"/>
      <c r="R73" s="1594"/>
      <c r="S73" s="1594"/>
      <c r="T73" s="1594"/>
    </row>
    <row r="74" spans="12:20">
      <c r="L74" s="1594"/>
      <c r="M74" s="1594"/>
      <c r="N74" s="1594"/>
      <c r="O74" s="1594"/>
      <c r="P74" s="1594"/>
      <c r="Q74" s="1594"/>
      <c r="R74" s="1594"/>
      <c r="S74" s="1594"/>
      <c r="T74" s="1594"/>
    </row>
    <row r="75" spans="12:20">
      <c r="L75" s="1594"/>
      <c r="M75" s="1594"/>
      <c r="N75" s="1594"/>
      <c r="O75" s="1594"/>
      <c r="P75" s="1594"/>
      <c r="Q75" s="1594"/>
      <c r="R75" s="1594"/>
      <c r="S75" s="1594"/>
      <c r="T75" s="1594"/>
    </row>
    <row r="76" spans="12:20">
      <c r="L76" s="1594"/>
      <c r="M76" s="1594"/>
      <c r="N76" s="1594"/>
      <c r="O76" s="1594"/>
      <c r="P76" s="1594"/>
      <c r="Q76" s="1594"/>
      <c r="R76" s="1594"/>
      <c r="S76" s="1594"/>
      <c r="T76" s="1601" t="s">
        <v>379</v>
      </c>
    </row>
    <row r="77" spans="12:20">
      <c r="L77" s="1965"/>
      <c r="M77" s="1965"/>
      <c r="N77" s="1965"/>
      <c r="O77" s="1965"/>
      <c r="P77" s="1965"/>
      <c r="Q77" s="1965"/>
      <c r="R77" s="1965"/>
      <c r="S77" s="1965"/>
      <c r="T77" s="1967"/>
    </row>
    <row r="80" spans="12:20">
      <c r="R80" s="1968"/>
    </row>
  </sheetData>
  <phoneticPr fontId="4" type="noConversion"/>
  <pageMargins left="1" right="0.75" top="0.78740157480314998" bottom="0" header="0" footer="0"/>
  <pageSetup orientation="landscape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theme="7" tint="0.39997558519241921"/>
    <pageSetUpPr fitToPage="1"/>
  </sheetPr>
  <dimension ref="A1:AS104"/>
  <sheetViews>
    <sheetView zoomScale="80" zoomScaleNormal="80" workbookViewId="0"/>
  </sheetViews>
  <sheetFormatPr defaultColWidth="8" defaultRowHeight="15"/>
  <cols>
    <col min="1" max="8" width="10.5546875" style="182" customWidth="1"/>
    <col min="9" max="9" width="14.109375" style="182" customWidth="1"/>
    <col min="10" max="10" width="22" style="182" customWidth="1"/>
    <col min="11" max="11" width="10.44140625" style="182" customWidth="1"/>
    <col min="12" max="12" width="10.33203125" style="182" customWidth="1"/>
    <col min="13" max="13" width="6.5546875" style="182" customWidth="1"/>
    <col min="14" max="14" width="1" style="182" customWidth="1"/>
    <col min="15" max="15" width="52.44140625" style="182" customWidth="1"/>
    <col min="16" max="16" width="1.6640625" style="182" customWidth="1"/>
    <col min="17" max="17" width="14.5546875" style="182" customWidth="1"/>
    <col min="18" max="18" width="2.109375" style="182" customWidth="1"/>
    <col min="19" max="19" width="16.5546875" style="182" customWidth="1"/>
    <col min="20" max="20" width="1.109375" style="182" customWidth="1"/>
    <col min="21" max="21" width="13" style="182" customWidth="1"/>
    <col min="22" max="22" width="1.6640625" style="182" customWidth="1"/>
    <col min="23" max="23" width="15.109375" style="182" customWidth="1"/>
    <col min="24" max="24" width="12.6640625" style="182" customWidth="1"/>
    <col min="25" max="25" width="15.33203125" style="182" customWidth="1"/>
    <col min="26" max="26" width="15.6640625" style="182" customWidth="1"/>
    <col min="27" max="28" width="8" style="182"/>
    <col min="29" max="29" width="21.6640625" style="182" customWidth="1"/>
    <col min="30" max="42" width="12.44140625" style="182" customWidth="1"/>
    <col min="43" max="16384" width="8" style="182"/>
  </cols>
  <sheetData>
    <row r="1" spans="1:11">
      <c r="A1" s="214" t="str">
        <f>LOGO!B5</f>
        <v>DUKE ENERGY KENTUCKY, INC.</v>
      </c>
      <c r="B1" s="215"/>
      <c r="C1" s="215"/>
      <c r="D1" s="215"/>
      <c r="E1" s="215"/>
      <c r="F1" s="215"/>
      <c r="G1" s="215"/>
      <c r="H1" s="215"/>
      <c r="I1" s="215"/>
      <c r="J1" s="215"/>
    </row>
    <row r="2" spans="1:11">
      <c r="A2" s="214" t="str">
        <f>LOGO!B6</f>
        <v>CASE NO. 2018-00261</v>
      </c>
      <c r="B2" s="215"/>
      <c r="C2" s="215"/>
      <c r="D2" s="215"/>
      <c r="E2" s="215"/>
      <c r="F2" s="215"/>
      <c r="G2" s="215"/>
      <c r="H2" s="215"/>
      <c r="I2" s="215"/>
      <c r="J2" s="215"/>
    </row>
    <row r="3" spans="1:11">
      <c r="A3" s="1086" t="s">
        <v>1779</v>
      </c>
      <c r="B3" s="215"/>
      <c r="C3" s="215"/>
      <c r="D3" s="215"/>
      <c r="E3" s="215"/>
      <c r="F3" s="215"/>
      <c r="G3" s="215"/>
      <c r="H3" s="215"/>
      <c r="I3" s="215"/>
      <c r="J3" s="215"/>
    </row>
    <row r="4" spans="1:11">
      <c r="A4" s="163" t="str">
        <f>PeriodF</f>
        <v>FOR THE TWELVE MONTHS ENDED MARCH 31, 2020</v>
      </c>
      <c r="B4" s="215"/>
      <c r="C4" s="215"/>
      <c r="D4" s="215"/>
      <c r="E4" s="215"/>
      <c r="F4" s="215"/>
      <c r="G4" s="215"/>
      <c r="H4" s="215"/>
      <c r="I4" s="215"/>
      <c r="J4" s="215"/>
    </row>
    <row r="6" spans="1:11">
      <c r="A6" s="216" t="str">
        <f>DataF</f>
        <v>DATA:  BASE PERIOD  "X" FORECASTED PERIOD</v>
      </c>
      <c r="I6" s="217" t="s">
        <v>155</v>
      </c>
    </row>
    <row r="7" spans="1:11">
      <c r="A7" s="216" t="str">
        <f>LOGO!B15</f>
        <v xml:space="preserve">TYPE OF FILING:  "X" ORIGINAL   UPDATED    REVISED  </v>
      </c>
      <c r="I7" s="217" t="s">
        <v>1777</v>
      </c>
    </row>
    <row r="8" spans="1:11">
      <c r="A8" s="1190" t="s">
        <v>2338</v>
      </c>
      <c r="I8" s="217" t="s">
        <v>1778</v>
      </c>
    </row>
    <row r="9" spans="1:11">
      <c r="I9" s="217" t="str">
        <f>"        "&amp;_WIT1</f>
        <v xml:space="preserve">        S. E. LAWLER</v>
      </c>
    </row>
    <row r="10" spans="1:11">
      <c r="A10" s="218"/>
      <c r="B10" s="218"/>
      <c r="C10" s="218"/>
      <c r="D10" s="218"/>
      <c r="E10" s="218"/>
      <c r="F10" s="218"/>
      <c r="G10" s="218"/>
      <c r="H10" s="218"/>
      <c r="I10" s="218"/>
      <c r="J10" s="218"/>
      <c r="K10" s="181"/>
    </row>
    <row r="12" spans="1:11">
      <c r="A12" s="181" t="s">
        <v>1942</v>
      </c>
      <c r="J12" s="219" t="s">
        <v>2098</v>
      </c>
    </row>
    <row r="13" spans="1:11">
      <c r="A13" s="218"/>
      <c r="B13" s="218"/>
      <c r="C13" s="218"/>
      <c r="D13" s="218"/>
      <c r="E13" s="218"/>
      <c r="F13" s="218"/>
      <c r="G13" s="218"/>
      <c r="H13" s="218"/>
      <c r="I13" s="218"/>
      <c r="J13" s="218"/>
      <c r="K13" s="181"/>
    </row>
    <row r="14" spans="1:11">
      <c r="J14" s="220"/>
    </row>
    <row r="15" spans="1:11">
      <c r="A15" s="1087" t="s">
        <v>1780</v>
      </c>
    </row>
    <row r="16" spans="1:11">
      <c r="A16" s="1207" t="s">
        <v>2985</v>
      </c>
    </row>
    <row r="17" spans="1:10">
      <c r="A17" s="221"/>
    </row>
    <row r="20" spans="1:10">
      <c r="A20" s="182" t="s">
        <v>288</v>
      </c>
      <c r="J20" s="223">
        <f ca="1">Z68</f>
        <v>-619051</v>
      </c>
    </row>
    <row r="21" spans="1:10">
      <c r="A21" s="182" t="s">
        <v>289</v>
      </c>
      <c r="J21" s="1140">
        <f ca="1">SUM(W68:Y68)</f>
        <v>30270</v>
      </c>
    </row>
    <row r="22" spans="1:10">
      <c r="A22" s="181" t="s">
        <v>290</v>
      </c>
      <c r="I22" s="222"/>
      <c r="J22" s="223">
        <f ca="1">J20+J21</f>
        <v>-588781</v>
      </c>
    </row>
    <row r="23" spans="1:10">
      <c r="J23" s="224"/>
    </row>
    <row r="24" spans="1:10">
      <c r="J24" s="225"/>
    </row>
    <row r="25" spans="1:10">
      <c r="A25" s="181" t="s">
        <v>349</v>
      </c>
      <c r="J25" s="226">
        <f>VLOOKUP(D32,ALLOCTABLE,2)/100</f>
        <v>1</v>
      </c>
    </row>
    <row r="26" spans="1:10">
      <c r="J26" s="224"/>
    </row>
    <row r="27" spans="1:10">
      <c r="J27" s="227"/>
    </row>
    <row r="28" spans="1:10" ht="16.8">
      <c r="A28" s="181" t="s">
        <v>1934</v>
      </c>
      <c r="G28" s="181" t="s">
        <v>352</v>
      </c>
      <c r="I28" s="222"/>
      <c r="J28" s="210">
        <f ca="1">ROUND(+J22*J25,0)</f>
        <v>-588781</v>
      </c>
    </row>
    <row r="29" spans="1:10">
      <c r="J29" s="228"/>
    </row>
    <row r="32" spans="1:10">
      <c r="A32" s="182" t="s">
        <v>1935</v>
      </c>
      <c r="D32" s="229" t="s">
        <v>591</v>
      </c>
    </row>
    <row r="33" spans="1:25">
      <c r="A33" s="181"/>
    </row>
    <row r="41" spans="1:25">
      <c r="M41" s="1088" t="str">
        <f>COMPANY</f>
        <v>DUKE ENERGY KENTUCKY, INC.</v>
      </c>
      <c r="N41" s="1089"/>
      <c r="O41" s="1089"/>
      <c r="P41" s="1089"/>
      <c r="Q41" s="1089"/>
      <c r="R41" s="1089"/>
      <c r="T41" s="1087"/>
      <c r="U41" s="1087"/>
      <c r="Y41" s="1207" t="s">
        <v>1520</v>
      </c>
    </row>
    <row r="42" spans="1:25">
      <c r="M42" s="1088" t="str">
        <f>DEPT</f>
        <v>GAS DEPARTMENT</v>
      </c>
      <c r="N42" s="1089"/>
      <c r="O42" s="1089"/>
      <c r="P42" s="1089"/>
      <c r="Q42" s="1089"/>
      <c r="R42" s="1089"/>
      <c r="T42" s="1090"/>
      <c r="U42" s="1090"/>
      <c r="Y42" s="1090" t="s">
        <v>566</v>
      </c>
    </row>
    <row r="43" spans="1:25">
      <c r="M43" s="1088" t="str">
        <f>CASE</f>
        <v>CASE NO. 2018-00261</v>
      </c>
      <c r="N43" s="1089"/>
      <c r="O43" s="1089"/>
      <c r="P43" s="1089"/>
      <c r="Q43" s="1089"/>
      <c r="R43" s="1089"/>
      <c r="T43" s="1090"/>
      <c r="U43" s="1090"/>
      <c r="Y43" s="1090" t="str">
        <f>_WIT1</f>
        <v>S. E. LAWLER</v>
      </c>
    </row>
    <row r="44" spans="1:25">
      <c r="M44" s="1141" t="s">
        <v>292</v>
      </c>
      <c r="N44" s="1089"/>
      <c r="O44" s="1089"/>
      <c r="P44" s="1089"/>
      <c r="Q44" s="1089"/>
      <c r="R44" s="1089"/>
      <c r="S44" s="1090"/>
      <c r="T44" s="1090"/>
      <c r="U44" s="1090"/>
    </row>
    <row r="45" spans="1:25">
      <c r="M45" s="1088" t="str">
        <f>A4</f>
        <v>FOR THE TWELVE MONTHS ENDED MARCH 31, 2020</v>
      </c>
      <c r="N45" s="1089"/>
      <c r="O45" s="1089"/>
      <c r="P45" s="1089"/>
      <c r="Q45" s="1089"/>
      <c r="R45" s="1089"/>
      <c r="S45" s="1089"/>
      <c r="T45" s="1089"/>
      <c r="U45" s="1089"/>
    </row>
    <row r="46" spans="1:25">
      <c r="M46" s="1089"/>
      <c r="N46" s="1089"/>
      <c r="O46" s="1089"/>
      <c r="P46" s="1089"/>
      <c r="Q46" s="1089"/>
      <c r="R46" s="1089"/>
      <c r="S46" s="1089"/>
      <c r="T46" s="1089"/>
      <c r="U46" s="1089"/>
    </row>
    <row r="47" spans="1:25">
      <c r="M47" s="1089"/>
      <c r="N47" s="1089"/>
      <c r="O47" s="1089"/>
      <c r="P47" s="1089"/>
      <c r="Q47" s="1091"/>
      <c r="R47" s="1091"/>
      <c r="S47" s="1089"/>
      <c r="T47" s="1089"/>
      <c r="U47" s="1089"/>
    </row>
    <row r="48" spans="1:25">
      <c r="M48" s="1092"/>
      <c r="N48" s="1092"/>
      <c r="O48" s="1092"/>
      <c r="P48" s="1092"/>
      <c r="Q48" s="1093"/>
      <c r="R48" s="1093"/>
      <c r="S48" s="1092"/>
      <c r="T48" s="1092"/>
      <c r="U48" s="1092"/>
    </row>
    <row r="49" spans="12:27">
      <c r="M49" s="1094" t="s">
        <v>1938</v>
      </c>
      <c r="N49" s="1094"/>
      <c r="O49" s="1094"/>
      <c r="P49" s="1094"/>
      <c r="Q49" s="1094"/>
      <c r="R49" s="1094"/>
      <c r="S49" s="1498" t="s">
        <v>2153</v>
      </c>
      <c r="T49" s="1498"/>
      <c r="U49" s="1498" t="s">
        <v>2331</v>
      </c>
      <c r="W49" s="1497"/>
      <c r="X49" s="1496" t="s">
        <v>2327</v>
      </c>
      <c r="Y49" s="1496" t="s">
        <v>2329</v>
      </c>
      <c r="Z49" s="1496" t="s">
        <v>1785</v>
      </c>
    </row>
    <row r="50" spans="12:27">
      <c r="M50" s="1095" t="s">
        <v>1939</v>
      </c>
      <c r="N50" s="1094"/>
      <c r="O50" s="1095" t="s">
        <v>1988</v>
      </c>
      <c r="P50" s="1095"/>
      <c r="Q50" s="1095" t="s">
        <v>1721</v>
      </c>
      <c r="R50" s="1095"/>
      <c r="S50" s="1095" t="s">
        <v>2125</v>
      </c>
      <c r="T50" s="1095"/>
      <c r="U50" s="1095" t="s">
        <v>2332</v>
      </c>
      <c r="W50" s="1497" t="s">
        <v>2326</v>
      </c>
      <c r="X50" s="1497" t="s">
        <v>2328</v>
      </c>
      <c r="Y50" s="1497" t="s">
        <v>2330</v>
      </c>
      <c r="Z50" s="1497" t="s">
        <v>2489</v>
      </c>
    </row>
    <row r="52" spans="12:27">
      <c r="L52" s="1138"/>
      <c r="M52" s="1096">
        <v>1</v>
      </c>
      <c r="N52" s="1097"/>
      <c r="O52" s="1089" t="s">
        <v>986</v>
      </c>
      <c r="P52" s="1089"/>
      <c r="Q52" s="1096" t="s">
        <v>1781</v>
      </c>
      <c r="S52" s="1098">
        <f ca="1">SCH_C2!N17</f>
        <v>58981546</v>
      </c>
      <c r="T52" s="1098"/>
      <c r="U52" s="1499">
        <f ca="1">ROUND(S52/(S52+S54),4)</f>
        <v>0.61880000000000002</v>
      </c>
    </row>
    <row r="53" spans="12:27">
      <c r="L53" s="1138"/>
      <c r="M53" s="1096"/>
      <c r="N53" s="1097"/>
      <c r="O53" s="1089"/>
      <c r="P53" s="1089"/>
      <c r="Q53" s="1096"/>
      <c r="S53" s="1098"/>
      <c r="T53" s="1098"/>
      <c r="U53" s="1499"/>
    </row>
    <row r="54" spans="12:27">
      <c r="L54" s="1138"/>
      <c r="M54" s="1096">
        <v>2</v>
      </c>
      <c r="N54" s="1097"/>
      <c r="O54" s="1089" t="s">
        <v>1782</v>
      </c>
      <c r="P54" s="1089"/>
      <c r="Q54" s="1096" t="s">
        <v>1781</v>
      </c>
      <c r="S54" s="1098">
        <f>SCH_C2!N18</f>
        <v>36334092</v>
      </c>
      <c r="T54" s="1098"/>
      <c r="U54" s="1499">
        <f ca="1">ROUND(S54/(S52+S54),4)</f>
        <v>0.38119999999999998</v>
      </c>
    </row>
    <row r="55" spans="12:27">
      <c r="L55" s="1138"/>
      <c r="M55" s="1096"/>
      <c r="N55" s="1097"/>
      <c r="O55" s="1089"/>
      <c r="P55" s="1089"/>
      <c r="Q55" s="1096"/>
      <c r="V55" s="181"/>
    </row>
    <row r="56" spans="12:27">
      <c r="L56" s="1138">
        <v>484000</v>
      </c>
      <c r="M56" s="1096">
        <v>3</v>
      </c>
      <c r="N56" s="1097"/>
      <c r="O56" s="1089" t="s">
        <v>291</v>
      </c>
      <c r="P56" s="1089"/>
      <c r="Q56" s="1096" t="s">
        <v>1734</v>
      </c>
      <c r="S56" s="1099">
        <f>VLOOKUP(L56,FPERIOD,5,FALSE)</f>
        <v>27765</v>
      </c>
      <c r="T56" s="1099"/>
      <c r="U56" s="1099"/>
      <c r="V56" s="181"/>
    </row>
    <row r="57" spans="12:27">
      <c r="L57" s="1138"/>
      <c r="M57" s="1096"/>
      <c r="N57" s="1097"/>
      <c r="O57" s="1089"/>
      <c r="P57" s="1089"/>
      <c r="Q57" s="1096"/>
      <c r="V57" s="181"/>
    </row>
    <row r="58" spans="12:27">
      <c r="L58" s="1138"/>
      <c r="M58" s="1096">
        <v>4</v>
      </c>
      <c r="N58" s="1097"/>
      <c r="O58" s="1089" t="s">
        <v>1735</v>
      </c>
      <c r="P58" s="1089"/>
      <c r="Q58" s="1096"/>
      <c r="S58" s="1098">
        <f ca="1">S52+S54-S56</f>
        <v>95287873</v>
      </c>
      <c r="T58" s="1098"/>
      <c r="U58" s="1098"/>
      <c r="V58" s="181"/>
    </row>
    <row r="59" spans="12:27">
      <c r="L59" s="1138"/>
      <c r="M59" s="1096"/>
      <c r="N59" s="1097"/>
      <c r="O59" s="1097"/>
      <c r="P59" s="1097"/>
      <c r="Q59" s="1100"/>
      <c r="V59" s="181"/>
    </row>
    <row r="60" spans="12:27">
      <c r="L60" s="1138"/>
      <c r="M60" s="1096">
        <v>5</v>
      </c>
      <c r="N60" s="1097"/>
      <c r="O60" s="1101" t="s">
        <v>1736</v>
      </c>
      <c r="P60" s="1101"/>
      <c r="Q60" s="3026" t="s">
        <v>2786</v>
      </c>
      <c r="S60" s="1105">
        <f>AP103</f>
        <v>-1.0995004975515828E-3</v>
      </c>
      <c r="T60" s="1105"/>
      <c r="U60" s="1105"/>
      <c r="V60" s="181"/>
      <c r="W60" s="1105">
        <f>SCH_D2.15!AP94</f>
        <v>3.5724507498713968E-3</v>
      </c>
      <c r="X60" s="1105">
        <f>SCH_D2.15!AP95</f>
        <v>5.0000000000000012E-4</v>
      </c>
      <c r="Y60" s="1105">
        <f>SCH_D2.15!AP96</f>
        <v>-5.171951247422979E-3</v>
      </c>
      <c r="Z60" s="1105"/>
    </row>
    <row r="61" spans="12:27">
      <c r="L61" s="1138"/>
      <c r="M61" s="1096"/>
      <c r="N61" s="1097"/>
      <c r="O61" s="1101"/>
      <c r="P61" s="1101"/>
      <c r="Q61" s="1104"/>
      <c r="V61" s="181"/>
    </row>
    <row r="62" spans="12:27">
      <c r="L62" s="1138"/>
      <c r="M62" s="1096">
        <v>6</v>
      </c>
      <c r="N62" s="1097"/>
      <c r="O62" s="1101" t="s">
        <v>293</v>
      </c>
      <c r="P62" s="1101"/>
      <c r="Q62" s="1104"/>
      <c r="S62" s="1098">
        <f ca="1">ROUND($S$58*S60,0)</f>
        <v>-104769</v>
      </c>
      <c r="T62" s="1098"/>
      <c r="U62" s="1098"/>
      <c r="V62" s="181"/>
      <c r="W62" s="1098">
        <f ca="1">ROUND($S$58*W60,0)</f>
        <v>340411</v>
      </c>
      <c r="X62" s="1098">
        <f ca="1">ROUND($S$58*X60,0)</f>
        <v>47644</v>
      </c>
      <c r="Y62" s="1098">
        <f ca="1">ROUND($S$58*Y60,0)</f>
        <v>-492824</v>
      </c>
      <c r="Z62" s="1098"/>
    </row>
    <row r="63" spans="12:27">
      <c r="L63" s="1138"/>
      <c r="M63" s="1096"/>
      <c r="N63" s="1097"/>
      <c r="O63" s="1101"/>
      <c r="P63" s="1101"/>
      <c r="Q63" s="1104"/>
      <c r="V63" s="181"/>
    </row>
    <row r="64" spans="12:27">
      <c r="L64" s="1138">
        <v>904</v>
      </c>
      <c r="M64" s="1096">
        <v>7</v>
      </c>
      <c r="N64" s="1097"/>
      <c r="O64" s="1208" t="s">
        <v>2490</v>
      </c>
      <c r="P64" s="1208"/>
      <c r="Q64" s="1096" t="s">
        <v>1734</v>
      </c>
      <c r="S64" s="1098">
        <f t="array" aca="1" ref="S64" ca="1">SUM(IF(FERCFP=L64,AmountFP))</f>
        <v>378591</v>
      </c>
      <c r="T64" s="1098"/>
      <c r="U64" s="1098"/>
      <c r="V64" s="1172"/>
      <c r="W64" s="1098">
        <f ca="1">ROUND(S64*SCH_D2.15!$AR$94,0)</f>
        <v>343231</v>
      </c>
      <c r="X64" s="1098">
        <f ca="1">ROUND(S64*SCH_D2.15!$AR$95,0)</f>
        <v>48043</v>
      </c>
      <c r="Y64" s="1098">
        <f ca="1">ROUND(S64*SCH_D2.15!$AR$96,0)</f>
        <v>-496901</v>
      </c>
      <c r="Z64" s="1098">
        <f ca="1">S64-SUM(W64:Y64)</f>
        <v>484218</v>
      </c>
      <c r="AA64" s="1496"/>
    </row>
    <row r="65" spans="11:27">
      <c r="L65" s="1138">
        <v>903250</v>
      </c>
      <c r="M65" s="1096">
        <v>8</v>
      </c>
      <c r="N65" s="1097"/>
      <c r="O65" s="1208" t="s">
        <v>2491</v>
      </c>
      <c r="P65" s="1208"/>
      <c r="Q65" s="1096" t="s">
        <v>1734</v>
      </c>
      <c r="S65" s="1098">
        <f>VLOOKUP($L$65,FPERIOD,5,FALSE)</f>
        <v>0</v>
      </c>
      <c r="T65" s="1098"/>
      <c r="U65" s="1098"/>
      <c r="V65" s="1172"/>
      <c r="W65" s="1098">
        <f>ROUND(S65*SCH_D2.15!$AR$94,0)</f>
        <v>0</v>
      </c>
      <c r="X65" s="1098">
        <f>ROUND(S65*SCH_D2.15!$AR$95,0)</f>
        <v>0</v>
      </c>
      <c r="Y65" s="1098">
        <f>ROUND(S65*SCH_D2.15!$AR$96,0)</f>
        <v>0</v>
      </c>
      <c r="Z65" s="1098">
        <f>S65-SUM(W65:Y65)</f>
        <v>0</v>
      </c>
      <c r="AA65" s="1496"/>
    </row>
    <row r="66" spans="11:27">
      <c r="L66" s="1138">
        <v>426</v>
      </c>
      <c r="M66" s="1096">
        <v>9</v>
      </c>
      <c r="N66" s="1097"/>
      <c r="O66" s="1208" t="s">
        <v>2492</v>
      </c>
      <c r="P66" s="1208"/>
      <c r="Q66" s="1096" t="s">
        <v>1734</v>
      </c>
      <c r="S66" s="1098">
        <f t="array" aca="1" ref="S66" ca="1">SUM(IF(FERCFP=L66,AmountFP))</f>
        <v>105421</v>
      </c>
      <c r="T66" s="1098"/>
      <c r="U66" s="1098"/>
      <c r="V66" s="1172"/>
      <c r="W66" s="1098">
        <f ca="1">ROUND(S66*SCH_D2.15!$AR$94,0)</f>
        <v>95575</v>
      </c>
      <c r="X66" s="1098">
        <f ca="1">ROUND(S66*SCH_D2.15!$AR$95,0)</f>
        <v>13378</v>
      </c>
      <c r="Y66" s="1098">
        <f ca="1">ROUND(S66*SCH_D2.15!$AR$96,0)</f>
        <v>-138365</v>
      </c>
      <c r="Z66" s="1098">
        <f ca="1">S66-SUM(W66:Y66)</f>
        <v>134833</v>
      </c>
      <c r="AA66" s="1496"/>
    </row>
    <row r="67" spans="11:27">
      <c r="L67" s="1138"/>
      <c r="M67" s="1096"/>
      <c r="N67" s="1097"/>
      <c r="O67" s="1101"/>
      <c r="P67" s="1101"/>
      <c r="Q67" s="1096"/>
      <c r="S67" s="1098"/>
      <c r="T67" s="1098"/>
      <c r="U67" s="1098"/>
      <c r="V67" s="181"/>
      <c r="W67" s="1098"/>
      <c r="X67" s="1098"/>
      <c r="Y67" s="1098"/>
      <c r="Z67" s="1098"/>
    </row>
    <row r="68" spans="11:27">
      <c r="L68" s="1138"/>
      <c r="M68" s="1096">
        <v>10</v>
      </c>
      <c r="N68" s="1097"/>
      <c r="O68" s="1208" t="s">
        <v>2488</v>
      </c>
      <c r="P68" s="1208"/>
      <c r="Q68" s="1104"/>
      <c r="S68" s="1506">
        <f ca="1">S62-S64-S65-S66</f>
        <v>-588781</v>
      </c>
      <c r="T68" s="1507"/>
      <c r="U68" s="1507"/>
      <c r="V68" s="1508"/>
      <c r="W68" s="1507">
        <f ca="1">W62-W64-W65-W66</f>
        <v>-98395</v>
      </c>
      <c r="X68" s="1507">
        <f t="shared" ref="X68:Y68" ca="1" si="0">X62-X64-X65-X66</f>
        <v>-13777</v>
      </c>
      <c r="Y68" s="1507">
        <f t="shared" ca="1" si="0"/>
        <v>142442</v>
      </c>
      <c r="Z68" s="1509">
        <f ca="1">Z62-Z64-Z65-Z66</f>
        <v>-619051</v>
      </c>
      <c r="AA68" s="1510"/>
    </row>
    <row r="69" spans="11:27">
      <c r="L69" s="1138"/>
      <c r="M69" s="1106"/>
      <c r="N69" s="1097"/>
      <c r="O69" s="1101"/>
      <c r="P69" s="1101"/>
      <c r="Q69" s="1104"/>
    </row>
    <row r="70" spans="11:27">
      <c r="K70" s="1138"/>
    </row>
    <row r="71" spans="11:27">
      <c r="K71" s="1138"/>
      <c r="O71" s="1495" t="s">
        <v>2785</v>
      </c>
      <c r="P71" s="1495"/>
    </row>
    <row r="72" spans="11:27">
      <c r="K72" s="1138"/>
      <c r="O72" s="1495"/>
      <c r="P72" s="1495"/>
    </row>
    <row r="73" spans="11:27">
      <c r="K73" s="1138"/>
      <c r="O73" s="1495"/>
      <c r="Q73" s="1497" t="s">
        <v>2786</v>
      </c>
      <c r="S73" s="1497" t="s">
        <v>2332</v>
      </c>
    </row>
    <row r="74" spans="11:27">
      <c r="N74" s="181"/>
      <c r="O74" s="1500" t="s">
        <v>2236</v>
      </c>
      <c r="Q74" s="1503">
        <f>SCH_D2.15!AP94</f>
        <v>3.5724507498713968E-3</v>
      </c>
      <c r="S74" s="1501">
        <f>ROUND(Q74/$Q$78,4)</f>
        <v>0.90659999999999996</v>
      </c>
    </row>
    <row r="75" spans="11:27">
      <c r="O75" s="1500" t="s">
        <v>1783</v>
      </c>
      <c r="Q75" s="1503">
        <f>SCH_D2.15!AP95</f>
        <v>5.0000000000000012E-4</v>
      </c>
      <c r="S75" s="1501">
        <f>ROUND(Q75/$Q$78,4)</f>
        <v>0.12690000000000001</v>
      </c>
    </row>
    <row r="76" spans="11:27">
      <c r="O76" s="1500" t="s">
        <v>1784</v>
      </c>
      <c r="Q76" s="1503">
        <f>SCH_D2.15!AP96</f>
        <v>-5.171951247422979E-3</v>
      </c>
      <c r="S76" s="1501">
        <f>ROUND(Q76/$Q$78,4)</f>
        <v>-1.3125</v>
      </c>
    </row>
    <row r="77" spans="11:27">
      <c r="O77" s="1500" t="s">
        <v>1785</v>
      </c>
      <c r="Q77" s="1504">
        <f>SCH_D2.15!AP97</f>
        <v>5.0399273771295269E-3</v>
      </c>
      <c r="S77" s="1502">
        <f>ROUND(Q77/$Q$78,4)</f>
        <v>1.2789999999999999</v>
      </c>
    </row>
    <row r="78" spans="11:27">
      <c r="Q78" s="1505">
        <f>SUM(Q74:Q77)</f>
        <v>3.9404268795779447E-3</v>
      </c>
      <c r="S78" s="1499">
        <f>SUM(S74:S77)</f>
        <v>1</v>
      </c>
    </row>
    <row r="80" spans="11:27">
      <c r="O80" s="1495" t="s">
        <v>2333</v>
      </c>
    </row>
    <row r="81" spans="15:45">
      <c r="O81" s="1495"/>
    </row>
    <row r="82" spans="15:45">
      <c r="O82" s="1495"/>
    </row>
    <row r="83" spans="15:45">
      <c r="AB83" s="1186" t="str">
        <f>COMPANY</f>
        <v>DUKE ENERGY KENTUCKY, INC.</v>
      </c>
      <c r="AC83" s="1186"/>
      <c r="AD83" s="3027"/>
      <c r="AE83" s="3028"/>
      <c r="AF83" s="3027"/>
      <c r="AG83" s="3028"/>
      <c r="AH83" s="3028"/>
      <c r="AI83" s="3029"/>
      <c r="AJ83" s="3029"/>
      <c r="AK83" s="3029"/>
      <c r="AL83" s="3029"/>
      <c r="AM83" s="1495"/>
      <c r="AN83" s="1186" t="s">
        <v>2786</v>
      </c>
      <c r="AO83" s="3029"/>
      <c r="AP83" s="3029"/>
      <c r="AQ83" s="3030"/>
      <c r="AR83" s="3030"/>
      <c r="AS83" s="3030"/>
    </row>
    <row r="84" spans="15:45">
      <c r="O84" s="1201"/>
      <c r="AB84" s="1186" t="str">
        <f>DEPT</f>
        <v>GAS DEPARTMENT</v>
      </c>
      <c r="AC84" s="1186"/>
      <c r="AD84" s="3027"/>
      <c r="AE84" s="3028"/>
      <c r="AF84" s="3027"/>
      <c r="AG84" s="3028"/>
      <c r="AH84" s="3028"/>
      <c r="AI84" s="3029"/>
      <c r="AJ84" s="3029"/>
      <c r="AK84" s="3029"/>
      <c r="AL84" s="3029"/>
      <c r="AM84" s="1495"/>
      <c r="AN84" s="3031" t="s">
        <v>566</v>
      </c>
      <c r="AO84" s="3029"/>
      <c r="AP84" s="3029"/>
      <c r="AQ84" s="3030"/>
      <c r="AR84" s="3030"/>
      <c r="AS84" s="3030"/>
    </row>
    <row r="85" spans="15:45">
      <c r="O85" s="1240"/>
      <c r="AB85" s="1186" t="str">
        <f>CASE</f>
        <v>CASE NO. 2018-00261</v>
      </c>
      <c r="AC85" s="1186"/>
      <c r="AD85" s="3027"/>
      <c r="AE85" s="3028"/>
      <c r="AF85" s="3027"/>
      <c r="AG85" s="3028"/>
      <c r="AH85" s="3028"/>
      <c r="AI85" s="3029"/>
      <c r="AJ85" s="3029"/>
      <c r="AK85" s="3029"/>
      <c r="AL85" s="3029"/>
      <c r="AM85" s="1495"/>
      <c r="AN85" s="1186" t="str">
        <f>_WIT1</f>
        <v>S. E. LAWLER</v>
      </c>
      <c r="AO85" s="3029"/>
      <c r="AP85" s="3029"/>
      <c r="AQ85" s="3030"/>
      <c r="AR85" s="3030"/>
      <c r="AS85" s="3030"/>
    </row>
    <row r="86" spans="15:45">
      <c r="AB86" s="1475" t="s">
        <v>405</v>
      </c>
      <c r="AC86" s="1186"/>
      <c r="AD86" s="3027"/>
      <c r="AE86" s="3027"/>
      <c r="AF86" s="3027"/>
      <c r="AG86" s="1186"/>
      <c r="AH86" s="3028"/>
      <c r="AI86" s="3029"/>
      <c r="AJ86" s="3029"/>
      <c r="AK86" s="3029"/>
      <c r="AL86" s="3029"/>
      <c r="AM86" s="3029"/>
      <c r="AN86" s="3029"/>
      <c r="AO86" s="3029"/>
      <c r="AP86" s="3029"/>
      <c r="AQ86" s="3030"/>
      <c r="AR86" s="3030"/>
      <c r="AS86" s="3030"/>
    </row>
    <row r="87" spans="15:45">
      <c r="AB87" s="3032" t="s">
        <v>406</v>
      </c>
      <c r="AC87" s="1186"/>
      <c r="AD87" s="3027"/>
      <c r="AE87" s="3027"/>
      <c r="AF87" s="3027"/>
      <c r="AG87" s="1186"/>
      <c r="AH87" s="1186"/>
      <c r="AI87" s="3033"/>
      <c r="AJ87" s="3033"/>
      <c r="AK87" s="3033"/>
      <c r="AL87" s="3033"/>
      <c r="AM87" s="3033"/>
      <c r="AN87" s="3033"/>
      <c r="AO87" s="3029"/>
      <c r="AP87" s="3029"/>
      <c r="AQ87" s="3033"/>
      <c r="AR87" s="3033"/>
      <c r="AS87" s="3033"/>
    </row>
    <row r="88" spans="15:45">
      <c r="AB88" s="1186"/>
      <c r="AC88" s="1186"/>
      <c r="AD88" s="3027"/>
      <c r="AE88" s="3027"/>
      <c r="AF88" s="3027"/>
      <c r="AG88" s="1186"/>
      <c r="AH88" s="1186"/>
      <c r="AI88" s="3029"/>
      <c r="AJ88" s="3029"/>
      <c r="AK88" s="3029"/>
      <c r="AL88" s="3029"/>
      <c r="AM88" s="3029"/>
      <c r="AN88" s="3029"/>
      <c r="AO88" s="3029"/>
      <c r="AP88" s="3029"/>
      <c r="AQ88" s="3030"/>
      <c r="AR88" s="3030"/>
      <c r="AS88" s="3030"/>
    </row>
    <row r="89" spans="15:45">
      <c r="AB89" s="1186"/>
      <c r="AC89" s="1186"/>
      <c r="AD89" s="3027"/>
      <c r="AE89" s="3027"/>
      <c r="AF89" s="3027"/>
      <c r="AG89" s="1186"/>
      <c r="AH89" s="1186"/>
      <c r="AI89" s="3029"/>
      <c r="AJ89" s="3029"/>
      <c r="AK89" s="3029"/>
      <c r="AL89" s="3029"/>
      <c r="AM89" s="3029"/>
      <c r="AN89" s="3029"/>
      <c r="AO89" s="3029"/>
      <c r="AP89" s="3029"/>
      <c r="AQ89" s="3030"/>
      <c r="AR89" s="3030"/>
      <c r="AS89" s="3030"/>
    </row>
    <row r="90" spans="15:45">
      <c r="AB90" s="1186"/>
      <c r="AC90" s="1186"/>
      <c r="AD90" s="3027"/>
      <c r="AE90" s="3027"/>
      <c r="AF90" s="3027"/>
      <c r="AG90" s="3034"/>
      <c r="AH90" s="1186"/>
      <c r="AI90" s="3029"/>
      <c r="AJ90" s="3029"/>
      <c r="AK90" s="3029"/>
      <c r="AL90" s="3029"/>
      <c r="AM90" s="3029"/>
      <c r="AN90" s="3029"/>
      <c r="AO90" s="3029"/>
      <c r="AP90" s="3029"/>
      <c r="AQ90" s="3030"/>
      <c r="AR90" s="3030"/>
      <c r="AS90" s="3030"/>
    </row>
    <row r="91" spans="15:45">
      <c r="AB91" s="3035" t="s">
        <v>1938</v>
      </c>
      <c r="AC91" s="3032"/>
      <c r="AD91" s="3027"/>
      <c r="AE91" s="3027"/>
      <c r="AF91" s="3027"/>
      <c r="AG91" s="3036"/>
      <c r="AH91" s="1186"/>
      <c r="AI91" s="3037"/>
      <c r="AJ91" s="3037"/>
      <c r="AK91" s="3037"/>
      <c r="AL91" s="3037"/>
      <c r="AM91" s="3037"/>
      <c r="AN91" s="3037"/>
      <c r="AO91" s="3029"/>
      <c r="AP91" s="3029"/>
      <c r="AQ91" s="3038"/>
      <c r="AR91" s="3038"/>
      <c r="AS91" s="3038"/>
    </row>
    <row r="92" spans="15:45">
      <c r="AB92" s="3039" t="s">
        <v>1939</v>
      </c>
      <c r="AC92" s="3039" t="s">
        <v>1988</v>
      </c>
      <c r="AD92" s="3040">
        <f>LOGO!$J$7</f>
        <v>43585</v>
      </c>
      <c r="AE92" s="3040">
        <f>LOGO!$J$8</f>
        <v>43616</v>
      </c>
      <c r="AF92" s="3040">
        <f>LOGO!$J$9</f>
        <v>43646</v>
      </c>
      <c r="AG92" s="3040">
        <f>LOGO!$J$10</f>
        <v>43677</v>
      </c>
      <c r="AH92" s="3040">
        <f>LOGO!$J$11</f>
        <v>43708</v>
      </c>
      <c r="AI92" s="3040">
        <f>LOGO!$J$12</f>
        <v>43738</v>
      </c>
      <c r="AJ92" s="3040">
        <f>LOGO!$J$13</f>
        <v>43769</v>
      </c>
      <c r="AK92" s="3040">
        <f>LOGO!$J$14</f>
        <v>43799</v>
      </c>
      <c r="AL92" s="3040">
        <f>LOGO!$J$15</f>
        <v>43830</v>
      </c>
      <c r="AM92" s="3040">
        <f>LOGO!$J$16</f>
        <v>43861</v>
      </c>
      <c r="AN92" s="3040">
        <f>LOGO!$J$17</f>
        <v>43890</v>
      </c>
      <c r="AO92" s="3040">
        <f>LOGO!$J$18</f>
        <v>43921</v>
      </c>
      <c r="AP92" s="3041" t="s">
        <v>799</v>
      </c>
      <c r="AQ92" s="3042"/>
      <c r="AR92" s="3042"/>
      <c r="AS92" s="3042"/>
    </row>
    <row r="93" spans="15:45">
      <c r="AB93" s="1475"/>
      <c r="AC93" s="3043"/>
      <c r="AD93" s="1475"/>
      <c r="AE93" s="3044"/>
      <c r="AF93" s="3045"/>
      <c r="AG93" s="3046"/>
      <c r="AH93" s="1186"/>
      <c r="AI93" s="3047"/>
      <c r="AJ93" s="3047"/>
      <c r="AK93" s="3047"/>
      <c r="AL93" s="3047"/>
      <c r="AM93" s="3047"/>
      <c r="AN93" s="3047"/>
      <c r="AO93" s="3029"/>
      <c r="AP93" s="3029"/>
      <c r="AQ93" s="3048"/>
      <c r="AR93" s="3048"/>
      <c r="AS93" s="3048"/>
    </row>
    <row r="94" spans="15:45">
      <c r="AB94" s="3035">
        <v>1</v>
      </c>
      <c r="AC94" s="3032" t="s">
        <v>2236</v>
      </c>
      <c r="AD94" s="3049">
        <v>3.5608090642759885E-3</v>
      </c>
      <c r="AE94" s="3049">
        <v>3.5084704904123588E-3</v>
      </c>
      <c r="AF94" s="3049">
        <v>3.4369648419799491E-3</v>
      </c>
      <c r="AG94" s="3049">
        <v>3.466521672923988E-3</v>
      </c>
      <c r="AH94" s="3049">
        <v>3.4805883026113585E-3</v>
      </c>
      <c r="AI94" s="3049">
        <v>3.4912825064084712E-3</v>
      </c>
      <c r="AJ94" s="3049">
        <v>3.5317120990522553E-3</v>
      </c>
      <c r="AK94" s="3049">
        <v>3.6018162396868722E-3</v>
      </c>
      <c r="AL94" s="3049">
        <v>3.6267577931248947E-3</v>
      </c>
      <c r="AM94" s="3049">
        <v>3.6399849496974203E-3</v>
      </c>
      <c r="AN94" s="3049">
        <v>3.6163237994411815E-3</v>
      </c>
      <c r="AO94" s="3049">
        <v>3.9081772388420153E-3</v>
      </c>
      <c r="AP94" s="3050">
        <f>AVERAGE(AD94:AO94)</f>
        <v>3.5724507498713968E-3</v>
      </c>
      <c r="AQ94" s="3030"/>
      <c r="AR94" s="3030">
        <f>ROUND(AP94/$AP$99,4)</f>
        <v>0.90659999999999996</v>
      </c>
      <c r="AS94" s="3030"/>
    </row>
    <row r="95" spans="15:45">
      <c r="AB95" s="3035">
        <v>2</v>
      </c>
      <c r="AC95" s="3032" t="s">
        <v>1783</v>
      </c>
      <c r="AD95" s="3049">
        <v>5.0000000000000001E-4</v>
      </c>
      <c r="AE95" s="3049">
        <v>5.0000000000000001E-4</v>
      </c>
      <c r="AF95" s="3049">
        <v>5.0000000000000001E-4</v>
      </c>
      <c r="AG95" s="3049">
        <v>5.0000000000000001E-4</v>
      </c>
      <c r="AH95" s="3049">
        <v>5.0000000000000001E-4</v>
      </c>
      <c r="AI95" s="3049">
        <v>5.0000000000000001E-4</v>
      </c>
      <c r="AJ95" s="3049">
        <v>5.0000000000000001E-4</v>
      </c>
      <c r="AK95" s="3049">
        <v>5.0000000000000001E-4</v>
      </c>
      <c r="AL95" s="3049">
        <v>5.0000000000000001E-4</v>
      </c>
      <c r="AM95" s="3049">
        <v>5.0000000000000001E-4</v>
      </c>
      <c r="AN95" s="3049">
        <v>5.0000000000000001E-4</v>
      </c>
      <c r="AO95" s="3049">
        <v>5.0000000000000001E-4</v>
      </c>
      <c r="AP95" s="3050">
        <f>AVERAGE(AD95:AO95)</f>
        <v>5.0000000000000012E-4</v>
      </c>
      <c r="AQ95" s="3030"/>
      <c r="AR95" s="3030">
        <f>ROUND(AP95/$AP$99,4)</f>
        <v>0.12690000000000001</v>
      </c>
      <c r="AS95" s="3030"/>
    </row>
    <row r="96" spans="15:45">
      <c r="AB96" s="3035">
        <v>3</v>
      </c>
      <c r="AC96" s="3032" t="s">
        <v>1784</v>
      </c>
      <c r="AD96" s="3049">
        <v>-5.1839373022648559E-3</v>
      </c>
      <c r="AE96" s="3049">
        <v>-5.1701946199356526E-3</v>
      </c>
      <c r="AF96" s="3049">
        <v>-5.1691202195891014E-3</v>
      </c>
      <c r="AG96" s="3049">
        <v>-5.1683976489070114E-3</v>
      </c>
      <c r="AH96" s="3049">
        <v>-5.1714971256293964E-3</v>
      </c>
      <c r="AI96" s="3049">
        <v>-5.1660246608067851E-3</v>
      </c>
      <c r="AJ96" s="3049">
        <v>-5.1660052749834358E-3</v>
      </c>
      <c r="AK96" s="3049">
        <v>-5.1631856111659128E-3</v>
      </c>
      <c r="AL96" s="3049">
        <v>-5.1717613216139711E-3</v>
      </c>
      <c r="AM96" s="3049">
        <v>-5.1701872793089897E-3</v>
      </c>
      <c r="AN96" s="3049">
        <v>-5.1756888606609118E-3</v>
      </c>
      <c r="AO96" s="3049">
        <v>-5.1874150442097217E-3</v>
      </c>
      <c r="AP96" s="3050">
        <f>AVERAGE(AD96:AO96)</f>
        <v>-5.171951247422979E-3</v>
      </c>
      <c r="AQ96" s="3030"/>
      <c r="AR96" s="3030">
        <f>ROUND(AP96/$AP$99,4)</f>
        <v>-1.3125</v>
      </c>
      <c r="AS96" s="3030"/>
    </row>
    <row r="97" spans="28:45">
      <c r="AB97" s="3035">
        <v>4</v>
      </c>
      <c r="AC97" s="3032" t="s">
        <v>1785</v>
      </c>
      <c r="AD97" s="3051">
        <v>5.0270369892552059E-3</v>
      </c>
      <c r="AE97" s="3051">
        <v>5.0179750036637265E-3</v>
      </c>
      <c r="AF97" s="3051">
        <v>5.0124844900752159E-3</v>
      </c>
      <c r="AG97" s="3051">
        <v>5.0064574652369121E-3</v>
      </c>
      <c r="AH97" s="3051">
        <v>4.9981227845198924E-3</v>
      </c>
      <c r="AI97" s="3051">
        <v>4.9910449625157139E-3</v>
      </c>
      <c r="AJ97" s="3051">
        <v>4.9763362094460547E-3</v>
      </c>
      <c r="AK97" s="3051">
        <v>4.9555295689553891E-3</v>
      </c>
      <c r="AL97" s="3051">
        <v>4.9392360083611603E-3</v>
      </c>
      <c r="AM97" s="3051">
        <v>5.1985797012320265E-3</v>
      </c>
      <c r="AN97" s="3051">
        <v>5.1849795721293779E-3</v>
      </c>
      <c r="AO97" s="3051">
        <v>5.1713457701636507E-3</v>
      </c>
      <c r="AP97" s="3052">
        <f>AVERAGE(AD97:AO97)</f>
        <v>5.0399273771295269E-3</v>
      </c>
      <c r="AQ97" s="3030"/>
      <c r="AR97" s="3030">
        <f>ROUND(AP97/$AP$99,4)</f>
        <v>1.2789999999999999</v>
      </c>
      <c r="AS97" s="3030"/>
    </row>
    <row r="98" spans="28:45">
      <c r="AB98" s="3035">
        <v>5</v>
      </c>
      <c r="AC98" s="2960"/>
      <c r="AD98" s="3053"/>
      <c r="AE98" s="3054"/>
      <c r="AF98" s="3055"/>
      <c r="AG98" s="3055"/>
      <c r="AH98" s="3056"/>
      <c r="AI98" s="3057"/>
      <c r="AJ98" s="3057"/>
      <c r="AK98" s="3057"/>
      <c r="AL98" s="3057"/>
      <c r="AM98" s="3057"/>
      <c r="AN98" s="3057"/>
      <c r="AO98" s="3057"/>
      <c r="AP98" s="3057"/>
      <c r="AQ98" s="3058"/>
      <c r="AR98" s="3058"/>
      <c r="AS98" s="3058"/>
    </row>
    <row r="99" spans="28:45">
      <c r="AB99" s="3035">
        <v>6</v>
      </c>
      <c r="AC99" s="2960" t="s">
        <v>1786</v>
      </c>
      <c r="AD99" s="3053">
        <f t="shared" ref="AD99:AO99" si="1">SUM(AD94:AD97)</f>
        <v>3.9039087512663384E-3</v>
      </c>
      <c r="AE99" s="3053">
        <f t="shared" si="1"/>
        <v>3.8562508741404322E-3</v>
      </c>
      <c r="AF99" s="3053">
        <f t="shared" si="1"/>
        <v>3.7803291124660632E-3</v>
      </c>
      <c r="AG99" s="3053">
        <f t="shared" si="1"/>
        <v>3.8045814892538887E-3</v>
      </c>
      <c r="AH99" s="3053">
        <f t="shared" si="1"/>
        <v>3.8072139615018541E-3</v>
      </c>
      <c r="AI99" s="3053">
        <f t="shared" si="1"/>
        <v>3.8163028081174E-3</v>
      </c>
      <c r="AJ99" s="3053">
        <f t="shared" si="1"/>
        <v>3.8420430335148748E-3</v>
      </c>
      <c r="AK99" s="3053">
        <f t="shared" si="1"/>
        <v>3.8941601974763485E-3</v>
      </c>
      <c r="AL99" s="3053">
        <f t="shared" si="1"/>
        <v>3.894232479872084E-3</v>
      </c>
      <c r="AM99" s="3053">
        <f t="shared" si="1"/>
        <v>4.1683773716204575E-3</v>
      </c>
      <c r="AN99" s="3053">
        <f t="shared" si="1"/>
        <v>4.1256145109096476E-3</v>
      </c>
      <c r="AO99" s="3053">
        <f t="shared" si="1"/>
        <v>4.3921079647959438E-3</v>
      </c>
      <c r="AP99" s="3059">
        <f>AVERAGE(AD99:AO99)</f>
        <v>3.9404268795779447E-3</v>
      </c>
      <c r="AQ99" s="3058"/>
      <c r="AR99" s="3058">
        <f>SUM(AR94:AR97)</f>
        <v>1</v>
      </c>
      <c r="AS99" s="3058"/>
    </row>
    <row r="100" spans="28:45">
      <c r="AB100" s="3035">
        <v>7</v>
      </c>
      <c r="AC100" s="2960"/>
      <c r="AD100" s="3060"/>
      <c r="AE100" s="3061"/>
      <c r="AF100" s="3062"/>
      <c r="AG100" s="3062"/>
      <c r="AH100" s="1186"/>
      <c r="AI100" s="3063"/>
      <c r="AJ100" s="3063"/>
      <c r="AK100" s="3063"/>
      <c r="AL100" s="3063"/>
      <c r="AM100" s="3063"/>
      <c r="AN100" s="3063"/>
      <c r="AO100" s="3029"/>
      <c r="AP100" s="3029"/>
      <c r="AQ100" s="3058"/>
      <c r="AR100" s="3058"/>
      <c r="AS100" s="3058"/>
    </row>
    <row r="101" spans="28:45">
      <c r="AB101" s="3035">
        <v>8</v>
      </c>
      <c r="AC101" s="2960" t="s">
        <v>1787</v>
      </c>
      <c r="AD101" s="3064">
        <f t="shared" ref="AD101:AO101" si="2">AD97</f>
        <v>5.0270369892552059E-3</v>
      </c>
      <c r="AE101" s="3064">
        <f t="shared" si="2"/>
        <v>5.0179750036637265E-3</v>
      </c>
      <c r="AF101" s="3064">
        <f t="shared" si="2"/>
        <v>5.0124844900752159E-3</v>
      </c>
      <c r="AG101" s="3064">
        <f t="shared" si="2"/>
        <v>5.0064574652369121E-3</v>
      </c>
      <c r="AH101" s="3064">
        <f t="shared" si="2"/>
        <v>4.9981227845198924E-3</v>
      </c>
      <c r="AI101" s="3064">
        <f t="shared" si="2"/>
        <v>4.9910449625157139E-3</v>
      </c>
      <c r="AJ101" s="3064">
        <f t="shared" si="2"/>
        <v>4.9763362094460547E-3</v>
      </c>
      <c r="AK101" s="3064">
        <f t="shared" si="2"/>
        <v>4.9555295689553891E-3</v>
      </c>
      <c r="AL101" s="3064">
        <f t="shared" si="2"/>
        <v>4.9392360083611603E-3</v>
      </c>
      <c r="AM101" s="3064">
        <f t="shared" si="2"/>
        <v>5.1985797012320265E-3</v>
      </c>
      <c r="AN101" s="3064">
        <f t="shared" si="2"/>
        <v>5.1849795721293779E-3</v>
      </c>
      <c r="AO101" s="3064">
        <f t="shared" si="2"/>
        <v>5.1713457701636507E-3</v>
      </c>
      <c r="AP101" s="3064">
        <f>AVERAGE(AD101:AO101)</f>
        <v>5.0399273771295269E-3</v>
      </c>
      <c r="AQ101" s="3058"/>
      <c r="AR101" s="3058"/>
      <c r="AS101" s="3058"/>
    </row>
    <row r="102" spans="28:45">
      <c r="AB102" s="3035">
        <v>9</v>
      </c>
      <c r="AC102" s="2960"/>
      <c r="AD102" s="3053"/>
      <c r="AE102" s="3053"/>
      <c r="AF102" s="3053"/>
      <c r="AG102" s="3053"/>
      <c r="AH102" s="3053"/>
      <c r="AI102" s="3053"/>
      <c r="AJ102" s="3053"/>
      <c r="AK102" s="3053"/>
      <c r="AL102" s="3053"/>
      <c r="AM102" s="3053"/>
      <c r="AN102" s="3053"/>
      <c r="AO102" s="3053"/>
      <c r="AP102" s="3060"/>
      <c r="AQ102" s="3058"/>
      <c r="AR102" s="3058"/>
      <c r="AS102" s="3058"/>
    </row>
    <row r="103" spans="28:45">
      <c r="AB103" s="3035">
        <v>10</v>
      </c>
      <c r="AC103" s="2960" t="s">
        <v>1788</v>
      </c>
      <c r="AD103" s="3053">
        <f t="shared" ref="AD103:AO103" si="3">AD99-AD101</f>
        <v>-1.1231282379888675E-3</v>
      </c>
      <c r="AE103" s="3053">
        <f t="shared" si="3"/>
        <v>-1.1617241295232943E-3</v>
      </c>
      <c r="AF103" s="3053">
        <f t="shared" si="3"/>
        <v>-1.2321553776091527E-3</v>
      </c>
      <c r="AG103" s="3053">
        <f t="shared" si="3"/>
        <v>-1.2018759759830234E-3</v>
      </c>
      <c r="AH103" s="3053">
        <f t="shared" si="3"/>
        <v>-1.1909088230180383E-3</v>
      </c>
      <c r="AI103" s="3053">
        <f t="shared" si="3"/>
        <v>-1.1747421543983139E-3</v>
      </c>
      <c r="AJ103" s="3053">
        <f t="shared" si="3"/>
        <v>-1.13429317593118E-3</v>
      </c>
      <c r="AK103" s="3053">
        <f t="shared" si="3"/>
        <v>-1.0613693714790406E-3</v>
      </c>
      <c r="AL103" s="3053">
        <f t="shared" si="3"/>
        <v>-1.0450035284890764E-3</v>
      </c>
      <c r="AM103" s="3053">
        <f t="shared" si="3"/>
        <v>-1.030202329611569E-3</v>
      </c>
      <c r="AN103" s="3053">
        <f t="shared" si="3"/>
        <v>-1.0593650612197303E-3</v>
      </c>
      <c r="AO103" s="3053">
        <f t="shared" si="3"/>
        <v>-7.7923780536770688E-4</v>
      </c>
      <c r="AP103" s="3059">
        <f>AVERAGE(AD103:AO103)</f>
        <v>-1.0995004975515828E-3</v>
      </c>
      <c r="AQ103" s="3058"/>
      <c r="AR103" s="3058"/>
      <c r="AS103" s="3058"/>
    </row>
    <row r="104" spans="28:45">
      <c r="AB104" s="1495"/>
      <c r="AC104" s="1495"/>
      <c r="AD104" s="3065"/>
      <c r="AE104" s="3065"/>
      <c r="AF104" s="3065"/>
      <c r="AG104" s="3065"/>
      <c r="AH104" s="3065"/>
      <c r="AI104" s="3065"/>
      <c r="AJ104" s="3065"/>
      <c r="AK104" s="3065"/>
      <c r="AL104" s="3065"/>
      <c r="AM104" s="3065"/>
      <c r="AN104" s="3065"/>
      <c r="AO104" s="3065"/>
      <c r="AP104" s="3065"/>
      <c r="AQ104" s="1495"/>
      <c r="AR104" s="1495"/>
      <c r="AS104" s="1495"/>
    </row>
  </sheetData>
  <phoneticPr fontId="4" type="noConversion"/>
  <pageMargins left="1" right="0.75" top="0.78740157480314998" bottom="0" header="0" footer="0"/>
  <pageSetup scale="63" orientation="landscape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theme="7" tint="0.39997558519241921"/>
    <pageSetUpPr fitToPage="1"/>
  </sheetPr>
  <dimension ref="A1:U82"/>
  <sheetViews>
    <sheetView zoomScale="75" workbookViewId="0"/>
  </sheetViews>
  <sheetFormatPr defaultColWidth="8" defaultRowHeight="15"/>
  <cols>
    <col min="1" max="1" width="6.109375" style="232" customWidth="1"/>
    <col min="2" max="2" width="14.33203125" style="232" customWidth="1"/>
    <col min="3" max="3" width="8.5546875" style="232" customWidth="1"/>
    <col min="4" max="4" width="13.88671875" style="232" customWidth="1"/>
    <col min="5" max="5" width="8" style="232" customWidth="1"/>
    <col min="6" max="6" width="12" style="232" customWidth="1"/>
    <col min="7" max="8" width="8" style="232" customWidth="1"/>
    <col min="9" max="9" width="10.88671875" style="232" customWidth="1"/>
    <col min="10" max="10" width="18.6640625" style="232" customWidth="1"/>
    <col min="11" max="11" width="8" style="232" customWidth="1"/>
    <col min="12" max="12" width="7.109375" style="232" customWidth="1"/>
    <col min="13" max="13" width="2.109375" style="232" customWidth="1"/>
    <col min="14" max="14" width="8.33203125" style="232" customWidth="1"/>
    <col min="15" max="15" width="3" style="232" customWidth="1"/>
    <col min="16" max="16" width="26.88671875" style="232" customWidth="1"/>
    <col min="17" max="17" width="16.6640625" style="232" customWidth="1"/>
    <col min="18" max="18" width="8.5546875" style="232" customWidth="1"/>
    <col min="19" max="19" width="16.44140625" style="232" customWidth="1"/>
    <col min="20" max="20" width="12.109375" style="232" customWidth="1"/>
    <col min="21" max="21" width="17.109375" style="232" customWidth="1"/>
    <col min="22" max="16384" width="8" style="232"/>
  </cols>
  <sheetData>
    <row r="1" spans="1:11">
      <c r="A1" s="230" t="str">
        <f>LOGO!B5</f>
        <v>DUKE ENERGY KENTUCKY, INC.</v>
      </c>
      <c r="B1" s="231"/>
      <c r="C1" s="231"/>
      <c r="D1" s="231"/>
      <c r="E1" s="231"/>
      <c r="F1" s="231"/>
      <c r="G1" s="231"/>
      <c r="H1" s="231"/>
      <c r="I1" s="231"/>
      <c r="J1" s="231"/>
    </row>
    <row r="2" spans="1:11">
      <c r="A2" s="230" t="str">
        <f>LOGO!B6</f>
        <v>CASE NO. 2018-00261</v>
      </c>
      <c r="B2" s="231"/>
      <c r="C2" s="231"/>
      <c r="D2" s="231"/>
      <c r="E2" s="231"/>
      <c r="F2" s="231"/>
      <c r="G2" s="231"/>
      <c r="H2" s="231"/>
      <c r="I2" s="231"/>
      <c r="J2" s="231"/>
    </row>
    <row r="3" spans="1:11">
      <c r="A3" s="233" t="s">
        <v>1675</v>
      </c>
      <c r="B3" s="231"/>
      <c r="C3" s="231"/>
      <c r="D3" s="231"/>
      <c r="E3" s="231"/>
      <c r="F3" s="231"/>
      <c r="G3" s="231"/>
      <c r="H3" s="231"/>
      <c r="I3" s="231"/>
      <c r="J3" s="231"/>
    </row>
    <row r="4" spans="1:11">
      <c r="A4" s="163" t="str">
        <f>PeriodF</f>
        <v>FOR THE TWELVE MONTHS ENDED MARCH 31, 2020</v>
      </c>
      <c r="B4" s="231"/>
      <c r="C4" s="231"/>
      <c r="D4" s="231"/>
      <c r="E4" s="231"/>
      <c r="F4" s="231"/>
      <c r="G4" s="231"/>
      <c r="H4" s="231"/>
      <c r="I4" s="231"/>
      <c r="J4" s="231"/>
    </row>
    <row r="6" spans="1:11">
      <c r="A6" s="234" t="str">
        <f>DataF</f>
        <v>DATA:  BASE PERIOD  "X" FORECASTED PERIOD</v>
      </c>
      <c r="I6" s="235" t="s">
        <v>1607</v>
      </c>
    </row>
    <row r="7" spans="1:11">
      <c r="A7" s="234" t="str">
        <f>LOGO!B15</f>
        <v xml:space="preserve">TYPE OF FILING:  "X" ORIGINAL   UPDATED    REVISED  </v>
      </c>
      <c r="I7" s="235" t="s">
        <v>564</v>
      </c>
    </row>
    <row r="8" spans="1:11">
      <c r="A8" s="235" t="s">
        <v>154</v>
      </c>
      <c r="I8" s="235" t="s">
        <v>566</v>
      </c>
    </row>
    <row r="9" spans="1:11">
      <c r="I9" s="235" t="str">
        <f>_WIT1</f>
        <v>S. E. LAWLER</v>
      </c>
    </row>
    <row r="10" spans="1:11">
      <c r="A10" s="236"/>
      <c r="B10" s="236"/>
      <c r="C10" s="236"/>
      <c r="D10" s="236"/>
      <c r="E10" s="236"/>
      <c r="F10" s="236"/>
      <c r="G10" s="236"/>
      <c r="H10" s="236"/>
      <c r="I10" s="236"/>
      <c r="J10" s="236"/>
      <c r="K10" s="235"/>
    </row>
    <row r="12" spans="1:11">
      <c r="A12" s="235" t="s">
        <v>1942</v>
      </c>
      <c r="J12" s="237" t="s">
        <v>2098</v>
      </c>
    </row>
    <row r="13" spans="1:11">
      <c r="A13" s="236"/>
      <c r="B13" s="236"/>
      <c r="C13" s="236"/>
      <c r="D13" s="236"/>
      <c r="E13" s="236"/>
      <c r="F13" s="236"/>
      <c r="G13" s="236"/>
      <c r="H13" s="236"/>
      <c r="I13" s="236"/>
      <c r="J13" s="236"/>
      <c r="K13" s="235"/>
    </row>
    <row r="16" spans="1:11">
      <c r="A16" s="235" t="s">
        <v>1676</v>
      </c>
    </row>
    <row r="17" spans="1:20">
      <c r="A17" s="235" t="s">
        <v>285</v>
      </c>
    </row>
    <row r="18" spans="1:20">
      <c r="A18" s="3519" t="s">
        <v>3032</v>
      </c>
    </row>
    <row r="20" spans="1:20">
      <c r="A20" s="235" t="s">
        <v>2153</v>
      </c>
      <c r="I20" s="238"/>
      <c r="J20" s="172">
        <f>U55</f>
        <v>115100</v>
      </c>
    </row>
    <row r="21" spans="1:20">
      <c r="J21" s="238"/>
    </row>
    <row r="23" spans="1:20">
      <c r="A23" s="235" t="s">
        <v>349</v>
      </c>
      <c r="J23" s="209">
        <f>VLOOKUP(D30,ALLOCTABLE,2)/100</f>
        <v>1</v>
      </c>
    </row>
    <row r="24" spans="1:20">
      <c r="J24" s="238"/>
    </row>
    <row r="26" spans="1:20" ht="16.8">
      <c r="A26" s="235" t="s">
        <v>1934</v>
      </c>
      <c r="F26" s="235" t="s">
        <v>1681</v>
      </c>
      <c r="I26" s="238"/>
      <c r="J26" s="210">
        <f>ROUND(J20*J23,0)</f>
        <v>115100</v>
      </c>
    </row>
    <row r="27" spans="1:20">
      <c r="J27" s="238"/>
    </row>
    <row r="29" spans="1:20">
      <c r="L29" s="239"/>
      <c r="M29" s="240"/>
      <c r="N29" s="240"/>
      <c r="O29" s="240"/>
      <c r="P29" s="240"/>
      <c r="Q29" s="240"/>
      <c r="R29" s="241"/>
      <c r="S29" s="241"/>
      <c r="T29" s="240"/>
    </row>
    <row r="30" spans="1:20">
      <c r="A30" s="201" t="s">
        <v>1935</v>
      </c>
      <c r="B30" s="198"/>
      <c r="C30" s="198"/>
      <c r="D30" s="211" t="s">
        <v>591</v>
      </c>
      <c r="L30" s="239"/>
      <c r="M30" s="240"/>
      <c r="N30" s="240"/>
      <c r="O30" s="240"/>
      <c r="P30" s="240"/>
      <c r="Q30" s="240"/>
      <c r="R30" s="240"/>
      <c r="S30" s="240"/>
      <c r="T30" s="240"/>
    </row>
    <row r="31" spans="1:20">
      <c r="L31" s="239"/>
      <c r="M31" s="240"/>
      <c r="N31" s="240"/>
      <c r="O31" s="240"/>
      <c r="P31" s="240"/>
      <c r="Q31" s="240"/>
      <c r="R31" s="241"/>
      <c r="S31" s="240"/>
      <c r="T31" s="240"/>
    </row>
    <row r="32" spans="1:20">
      <c r="L32" s="241"/>
      <c r="M32" s="240"/>
      <c r="N32" s="240"/>
      <c r="O32" s="240"/>
      <c r="P32" s="240"/>
      <c r="Q32" s="240"/>
      <c r="R32" s="240"/>
      <c r="S32" s="240"/>
      <c r="T32" s="240"/>
    </row>
    <row r="33" spans="12:21">
      <c r="L33" s="239"/>
      <c r="M33" s="240"/>
      <c r="N33" s="240"/>
      <c r="O33" s="240"/>
      <c r="P33" s="240"/>
      <c r="Q33" s="240"/>
      <c r="R33" s="240"/>
      <c r="S33" s="242"/>
      <c r="T33" s="240"/>
    </row>
    <row r="34" spans="12:21">
      <c r="L34" s="240"/>
      <c r="M34" s="240"/>
      <c r="N34" s="240"/>
      <c r="O34" s="240"/>
      <c r="P34" s="240"/>
      <c r="Q34" s="240"/>
      <c r="R34" s="240"/>
      <c r="S34" s="240"/>
      <c r="T34" s="240"/>
    </row>
    <row r="35" spans="12:21">
      <c r="L35" s="240"/>
      <c r="M35" s="240"/>
      <c r="N35" s="243" t="str">
        <f>COMPANY</f>
        <v>DUKE ENERGY KENTUCKY, INC.</v>
      </c>
      <c r="O35" s="244"/>
      <c r="P35" s="244"/>
      <c r="Q35" s="244"/>
      <c r="R35" s="244"/>
      <c r="S35" s="244"/>
      <c r="T35" s="245" t="s">
        <v>2180</v>
      </c>
    </row>
    <row r="36" spans="12:21">
      <c r="L36" s="246"/>
      <c r="M36" s="240"/>
      <c r="N36" s="243" t="str">
        <f>DEPT</f>
        <v>GAS DEPARTMENT</v>
      </c>
      <c r="O36" s="244"/>
      <c r="P36" s="244"/>
      <c r="Q36" s="244"/>
      <c r="R36" s="244"/>
      <c r="S36" s="244"/>
      <c r="T36" s="245" t="s">
        <v>1937</v>
      </c>
    </row>
    <row r="37" spans="12:21">
      <c r="L37" s="247"/>
      <c r="M37" s="240"/>
      <c r="N37" s="243" t="str">
        <f>CASE</f>
        <v>CASE NO. 2018-00261</v>
      </c>
      <c r="O37" s="244"/>
      <c r="P37" s="244"/>
      <c r="Q37" s="244"/>
      <c r="R37" s="244"/>
      <c r="S37" s="244"/>
      <c r="T37" s="244" t="str">
        <f>LOGO!G6</f>
        <v>S. E. LAWLER</v>
      </c>
    </row>
    <row r="38" spans="12:21">
      <c r="L38" s="246"/>
      <c r="M38" s="240"/>
      <c r="N38" s="248" t="s">
        <v>1682</v>
      </c>
      <c r="O38" s="244"/>
      <c r="P38" s="244"/>
      <c r="Q38" s="244"/>
      <c r="R38" s="244"/>
      <c r="S38" s="244"/>
      <c r="T38" s="244"/>
    </row>
    <row r="39" spans="12:21">
      <c r="L39" s="249"/>
      <c r="M39" s="240"/>
      <c r="N39" s="243" t="str">
        <f>PeriodF</f>
        <v>FOR THE TWELVE MONTHS ENDED MARCH 31, 2020</v>
      </c>
      <c r="O39" s="244"/>
      <c r="P39" s="244"/>
      <c r="Q39" s="244"/>
      <c r="R39" s="244"/>
      <c r="S39" s="244"/>
      <c r="T39" s="244"/>
      <c r="U39" s="250"/>
    </row>
    <row r="40" spans="12:21">
      <c r="L40" s="249"/>
      <c r="M40" s="240"/>
      <c r="N40" s="243"/>
      <c r="O40" s="244"/>
      <c r="P40" s="244"/>
      <c r="Q40" s="244"/>
      <c r="R40" s="244"/>
      <c r="S40" s="244"/>
      <c r="T40" s="244"/>
      <c r="U40" s="250"/>
    </row>
    <row r="41" spans="12:21">
      <c r="L41" s="249"/>
      <c r="M41" s="240"/>
      <c r="N41" s="243"/>
      <c r="O41" s="244"/>
      <c r="P41" s="244"/>
      <c r="Q41" s="244"/>
      <c r="R41" s="244"/>
      <c r="S41" s="244"/>
      <c r="T41" s="244"/>
      <c r="U41" s="250"/>
    </row>
    <row r="42" spans="12:21">
      <c r="L42" s="249"/>
      <c r="M42" s="240"/>
      <c r="N42" s="243"/>
      <c r="O42" s="244"/>
      <c r="P42" s="244"/>
      <c r="Q42" s="244"/>
      <c r="R42" s="244"/>
      <c r="S42" s="244"/>
      <c r="T42" s="244"/>
      <c r="U42" s="250"/>
    </row>
    <row r="43" spans="12:21">
      <c r="L43" s="249"/>
      <c r="M43" s="240"/>
      <c r="N43" s="251" t="s">
        <v>567</v>
      </c>
      <c r="O43" s="244"/>
      <c r="P43" s="244"/>
      <c r="Q43" s="244"/>
      <c r="R43" s="244"/>
      <c r="S43" s="244"/>
      <c r="T43" s="244"/>
    </row>
    <row r="44" spans="12:21">
      <c r="L44" s="249"/>
      <c r="M44" s="240"/>
      <c r="N44" s="252" t="s">
        <v>766</v>
      </c>
      <c r="O44" s="253"/>
      <c r="P44" s="254" t="s">
        <v>642</v>
      </c>
      <c r="Q44" s="252"/>
      <c r="R44" s="253"/>
      <c r="S44" s="253"/>
      <c r="T44" s="253"/>
      <c r="U44" s="252" t="s">
        <v>2098</v>
      </c>
    </row>
    <row r="45" spans="12:21">
      <c r="L45" s="249"/>
      <c r="M45" s="240"/>
      <c r="O45" s="244"/>
      <c r="P45" s="255"/>
      <c r="Q45" s="255"/>
      <c r="R45" s="244"/>
      <c r="S45" s="244"/>
      <c r="T45" s="244"/>
      <c r="U45" s="256" t="s">
        <v>695</v>
      </c>
    </row>
    <row r="46" spans="12:21">
      <c r="L46" s="249"/>
      <c r="M46" s="240"/>
      <c r="N46" s="251">
        <v>1</v>
      </c>
      <c r="O46" s="244"/>
      <c r="P46" s="254" t="str">
        <f>PROPER(N37)</f>
        <v>Case No. 2018-00261</v>
      </c>
      <c r="Q46" s="255"/>
      <c r="R46" s="244"/>
      <c r="S46" s="244"/>
      <c r="T46" s="244"/>
      <c r="U46" s="244"/>
    </row>
    <row r="47" spans="12:21">
      <c r="L47" s="249"/>
      <c r="M47" s="240"/>
      <c r="N47" s="251">
        <v>2</v>
      </c>
      <c r="O47" s="244"/>
      <c r="P47" s="245" t="s">
        <v>1683</v>
      </c>
      <c r="Q47" s="245"/>
      <c r="R47" s="244"/>
      <c r="S47" s="244"/>
      <c r="T47" s="244"/>
      <c r="U47" s="257">
        <f>SCH_F6!C37</f>
        <v>575500</v>
      </c>
    </row>
    <row r="48" spans="12:21">
      <c r="L48" s="249"/>
      <c r="M48" s="240"/>
      <c r="N48" s="251">
        <v>3</v>
      </c>
      <c r="O48" s="244"/>
      <c r="P48" s="255"/>
      <c r="Q48" s="255"/>
      <c r="R48" s="244"/>
      <c r="S48" s="244"/>
      <c r="T48" s="244"/>
      <c r="U48" s="258"/>
    </row>
    <row r="49" spans="12:21">
      <c r="L49" s="249"/>
      <c r="M49" s="240"/>
      <c r="N49" s="251">
        <v>4</v>
      </c>
      <c r="O49" s="244"/>
      <c r="P49" s="3438" t="s">
        <v>3031</v>
      </c>
      <c r="Q49" s="245"/>
      <c r="R49" s="244"/>
      <c r="S49" s="244"/>
      <c r="T49" s="244"/>
      <c r="U49" s="259">
        <f>ROUND(U47/5,0)</f>
        <v>115100</v>
      </c>
    </row>
    <row r="50" spans="12:21">
      <c r="L50" s="249"/>
      <c r="M50" s="240"/>
      <c r="N50" s="251">
        <v>5</v>
      </c>
      <c r="O50" s="244"/>
      <c r="P50" s="255"/>
      <c r="Q50" s="255"/>
      <c r="R50" s="244"/>
      <c r="S50" s="244"/>
      <c r="T50" s="244"/>
      <c r="U50" s="244"/>
    </row>
    <row r="51" spans="12:21">
      <c r="L51" s="249"/>
      <c r="M51" s="240"/>
      <c r="N51" s="251">
        <v>6</v>
      </c>
      <c r="O51" s="244"/>
      <c r="P51" s="245" t="str">
        <f>"Annual Rate Case Expense - "&amp;PROPER(CASE)</f>
        <v>Annual Rate Case Expense - Case No. 2018-00261</v>
      </c>
      <c r="Q51" s="245"/>
      <c r="S51" s="245" t="s">
        <v>392</v>
      </c>
      <c r="T51" s="240"/>
      <c r="U51" s="260">
        <f>U49</f>
        <v>115100</v>
      </c>
    </row>
    <row r="52" spans="12:21">
      <c r="L52" s="249"/>
      <c r="M52" s="240"/>
      <c r="N52" s="251">
        <v>7</v>
      </c>
      <c r="O52" s="244"/>
      <c r="P52" s="255"/>
      <c r="Q52" s="255"/>
      <c r="R52" s="245"/>
      <c r="S52" s="244"/>
      <c r="T52" s="244"/>
      <c r="U52" s="258"/>
    </row>
    <row r="53" spans="12:21">
      <c r="L53" s="240"/>
      <c r="M53" s="240"/>
      <c r="N53" s="251">
        <f>N52+1</f>
        <v>8</v>
      </c>
      <c r="O53" s="240"/>
      <c r="P53" s="240" t="s">
        <v>1684</v>
      </c>
      <c r="Q53" s="240"/>
      <c r="R53" s="240"/>
      <c r="S53" s="240"/>
      <c r="T53" s="240"/>
      <c r="U53" s="261">
        <v>0</v>
      </c>
    </row>
    <row r="54" spans="12:21">
      <c r="L54" s="240"/>
      <c r="M54" s="240"/>
      <c r="N54" s="251">
        <f>N53+1</f>
        <v>9</v>
      </c>
      <c r="O54" s="240"/>
      <c r="P54" s="240"/>
      <c r="Q54" s="240"/>
      <c r="R54" s="240"/>
      <c r="S54" s="240"/>
      <c r="T54" s="240"/>
    </row>
    <row r="55" spans="12:21">
      <c r="L55" s="240"/>
      <c r="M55" s="240"/>
      <c r="N55" s="251">
        <f>N54+1</f>
        <v>10</v>
      </c>
      <c r="O55" s="240"/>
      <c r="P55" s="245" t="s">
        <v>1685</v>
      </c>
      <c r="S55" s="245" t="s">
        <v>390</v>
      </c>
      <c r="U55" s="262">
        <f>U51-U53</f>
        <v>115100</v>
      </c>
    </row>
    <row r="56" spans="12:21">
      <c r="L56" s="240"/>
      <c r="M56" s="240"/>
      <c r="N56" s="240"/>
      <c r="O56" s="240"/>
      <c r="P56" s="240"/>
      <c r="Q56" s="240"/>
      <c r="R56" s="240"/>
      <c r="S56" s="240"/>
      <c r="T56" s="240"/>
    </row>
    <row r="57" spans="12:21">
      <c r="L57" s="240"/>
      <c r="M57" s="240"/>
      <c r="N57" s="240"/>
      <c r="O57" s="240"/>
      <c r="P57" s="240"/>
      <c r="Q57" s="240"/>
      <c r="R57" s="240"/>
      <c r="S57" s="240"/>
      <c r="T57" s="240"/>
    </row>
    <row r="58" spans="12:21">
      <c r="L58" s="240"/>
      <c r="M58" s="240"/>
      <c r="N58" s="240"/>
      <c r="O58" s="240"/>
      <c r="P58" s="240"/>
      <c r="Q58" s="240"/>
      <c r="R58" s="240"/>
      <c r="S58" s="240"/>
      <c r="T58" s="240"/>
    </row>
    <row r="59" spans="12:21">
      <c r="L59" s="240"/>
      <c r="M59" s="240"/>
      <c r="N59" s="240"/>
      <c r="O59" s="240"/>
      <c r="P59" s="240"/>
      <c r="Q59" s="240"/>
      <c r="R59" s="240"/>
      <c r="S59" s="240"/>
      <c r="T59" s="240"/>
    </row>
    <row r="60" spans="12:21">
      <c r="L60" s="240"/>
      <c r="M60" s="240"/>
      <c r="N60" s="240"/>
      <c r="O60" s="240"/>
      <c r="P60" s="240"/>
      <c r="Q60" s="240"/>
      <c r="R60" s="240"/>
      <c r="S60" s="240"/>
      <c r="T60" s="240"/>
    </row>
    <row r="61" spans="12:21">
      <c r="L61" s="240"/>
      <c r="M61" s="240"/>
      <c r="N61" s="240"/>
      <c r="O61" s="240"/>
      <c r="P61" s="240"/>
      <c r="Q61" s="240"/>
      <c r="R61" s="240"/>
      <c r="S61" s="240"/>
      <c r="T61" s="240"/>
    </row>
    <row r="62" spans="12:21">
      <c r="L62" s="240"/>
      <c r="M62" s="240"/>
      <c r="N62" s="240"/>
      <c r="O62" s="240"/>
      <c r="P62" s="240"/>
      <c r="Q62" s="240"/>
      <c r="R62" s="240"/>
      <c r="S62" s="240"/>
      <c r="T62" s="240"/>
    </row>
    <row r="63" spans="12:21">
      <c r="L63" s="240"/>
      <c r="M63" s="240"/>
      <c r="N63" s="240"/>
      <c r="O63" s="240"/>
      <c r="P63" s="240"/>
      <c r="Q63" s="240"/>
      <c r="R63" s="240"/>
      <c r="S63" s="240"/>
      <c r="T63" s="240"/>
    </row>
    <row r="64" spans="12:21">
      <c r="L64" s="240"/>
      <c r="M64" s="240"/>
      <c r="N64" s="240"/>
      <c r="O64" s="240"/>
      <c r="P64" s="240"/>
      <c r="Q64" s="240"/>
      <c r="R64" s="240"/>
      <c r="S64" s="240"/>
      <c r="T64" s="240"/>
    </row>
    <row r="65" spans="12:20">
      <c r="L65" s="240"/>
      <c r="M65" s="240"/>
      <c r="N65" s="240"/>
      <c r="O65" s="240"/>
      <c r="P65" s="240"/>
      <c r="Q65" s="240"/>
      <c r="R65" s="240"/>
      <c r="S65" s="240"/>
      <c r="T65" s="240"/>
    </row>
    <row r="66" spans="12:20">
      <c r="L66" s="240"/>
      <c r="M66" s="240"/>
      <c r="N66" s="240"/>
      <c r="O66" s="240"/>
      <c r="P66" s="240"/>
      <c r="Q66" s="240"/>
      <c r="R66" s="240"/>
      <c r="S66" s="240"/>
      <c r="T66" s="240"/>
    </row>
    <row r="67" spans="12:20">
      <c r="L67" s="240"/>
      <c r="M67" s="240"/>
      <c r="N67" s="240"/>
      <c r="O67" s="240"/>
      <c r="P67" s="240"/>
      <c r="Q67" s="240"/>
      <c r="R67" s="240"/>
      <c r="S67" s="240"/>
      <c r="T67" s="240"/>
    </row>
    <row r="68" spans="12:20">
      <c r="L68" s="240"/>
      <c r="M68" s="240"/>
      <c r="N68" s="240"/>
      <c r="O68" s="240"/>
      <c r="P68" s="240"/>
      <c r="Q68" s="240"/>
      <c r="R68" s="240"/>
      <c r="S68" s="240"/>
      <c r="T68" s="240"/>
    </row>
    <row r="69" spans="12:20">
      <c r="L69" s="240"/>
      <c r="M69" s="240"/>
      <c r="N69" s="240"/>
      <c r="O69" s="240"/>
      <c r="P69" s="240"/>
      <c r="Q69" s="240"/>
      <c r="R69" s="240"/>
      <c r="S69" s="240"/>
      <c r="T69" s="240"/>
    </row>
    <row r="70" spans="12:20">
      <c r="L70" s="240"/>
      <c r="M70" s="240"/>
      <c r="N70" s="240"/>
      <c r="O70" s="240"/>
      <c r="P70" s="240"/>
      <c r="Q70" s="240"/>
      <c r="R70" s="240"/>
      <c r="S70" s="240"/>
      <c r="T70" s="240"/>
    </row>
    <row r="71" spans="12:20">
      <c r="L71" s="240"/>
      <c r="M71" s="240"/>
      <c r="N71" s="240"/>
      <c r="O71" s="240"/>
      <c r="T71" s="240"/>
    </row>
    <row r="72" spans="12:20">
      <c r="L72" s="240"/>
      <c r="M72" s="240"/>
      <c r="N72" s="240"/>
      <c r="O72" s="240"/>
      <c r="P72" s="240"/>
      <c r="Q72" s="240"/>
      <c r="R72" s="240"/>
      <c r="S72" s="240"/>
      <c r="T72" s="240"/>
    </row>
    <row r="73" spans="12:20">
      <c r="L73" s="240"/>
      <c r="M73" s="240"/>
      <c r="N73" s="240"/>
      <c r="O73" s="240"/>
      <c r="P73" s="240"/>
      <c r="Q73" s="240"/>
      <c r="R73" s="240"/>
      <c r="S73" s="240"/>
      <c r="T73" s="240"/>
    </row>
    <row r="74" spans="12:20">
      <c r="L74" s="240"/>
      <c r="M74" s="240"/>
      <c r="N74" s="240"/>
      <c r="O74" s="240"/>
      <c r="P74" s="240"/>
      <c r="Q74" s="240"/>
      <c r="R74" s="240"/>
      <c r="S74" s="240"/>
      <c r="T74" s="240"/>
    </row>
    <row r="75" spans="12:20">
      <c r="L75" s="240"/>
      <c r="M75" s="240"/>
      <c r="N75" s="240"/>
      <c r="O75" s="240"/>
      <c r="P75" s="240"/>
      <c r="Q75" s="240"/>
      <c r="R75" s="240"/>
      <c r="S75" s="240"/>
      <c r="T75" s="240"/>
    </row>
    <row r="76" spans="12:20">
      <c r="L76" s="240"/>
      <c r="M76" s="240"/>
      <c r="N76" s="240"/>
      <c r="O76" s="240"/>
      <c r="P76" s="240"/>
      <c r="Q76" s="240"/>
      <c r="R76" s="240"/>
      <c r="S76" s="240"/>
      <c r="T76" s="240"/>
    </row>
    <row r="77" spans="12:20">
      <c r="L77" s="240"/>
      <c r="M77" s="240"/>
      <c r="N77" s="240"/>
      <c r="O77" s="240"/>
      <c r="P77" s="240"/>
      <c r="Q77" s="240"/>
      <c r="R77" s="240"/>
      <c r="S77" s="240"/>
      <c r="T77" s="240"/>
    </row>
    <row r="78" spans="12:20">
      <c r="L78" s="240"/>
      <c r="M78" s="240"/>
      <c r="N78" s="240"/>
      <c r="O78" s="240"/>
      <c r="P78" s="240"/>
      <c r="Q78" s="240"/>
      <c r="R78" s="240"/>
      <c r="S78" s="240"/>
      <c r="T78" s="240"/>
    </row>
    <row r="79" spans="12:20">
      <c r="L79" s="240"/>
      <c r="M79" s="240"/>
      <c r="N79" s="240"/>
      <c r="O79" s="240"/>
      <c r="P79" s="240"/>
      <c r="Q79" s="240"/>
      <c r="R79" s="240"/>
      <c r="S79" s="240"/>
      <c r="T79" s="240"/>
    </row>
    <row r="80" spans="12:20">
      <c r="L80" s="240"/>
      <c r="M80" s="240"/>
      <c r="N80" s="240"/>
      <c r="O80" s="240"/>
      <c r="P80" s="240"/>
      <c r="Q80" s="240"/>
      <c r="R80" s="240"/>
      <c r="S80" s="240"/>
      <c r="T80" s="240"/>
    </row>
    <row r="81" spans="12:20">
      <c r="L81" s="240"/>
      <c r="M81" s="240"/>
      <c r="N81" s="240"/>
      <c r="O81" s="240"/>
      <c r="P81" s="240"/>
      <c r="Q81" s="240"/>
      <c r="R81" s="240"/>
      <c r="S81" s="240"/>
      <c r="T81" s="240"/>
    </row>
    <row r="82" spans="12:20">
      <c r="L82" s="240"/>
      <c r="M82" s="240"/>
      <c r="N82" s="240"/>
      <c r="O82" s="240"/>
      <c r="P82" s="240"/>
      <c r="Q82" s="240"/>
      <c r="R82" s="240"/>
      <c r="S82" s="240"/>
      <c r="T82" s="240"/>
    </row>
  </sheetData>
  <phoneticPr fontId="4" type="noConversion"/>
  <pageMargins left="1" right="0.75" top="1" bottom="0" header="0" footer="0"/>
  <pageSetup scale="79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theme="7" tint="0.39997558519241921"/>
    <pageSetUpPr fitToPage="1"/>
  </sheetPr>
  <dimension ref="A1:BP528"/>
  <sheetViews>
    <sheetView zoomScale="90" zoomScaleNormal="90" workbookViewId="0"/>
  </sheetViews>
  <sheetFormatPr defaultColWidth="8" defaultRowHeight="13.2"/>
  <cols>
    <col min="1" max="1" width="21.109375" style="1965" customWidth="1"/>
    <col min="2" max="2" width="6.6640625" style="1965" customWidth="1"/>
    <col min="3" max="5" width="12.33203125" style="1965" customWidth="1"/>
    <col min="6" max="6" width="14.88671875" style="1965" customWidth="1"/>
    <col min="7" max="7" width="8" style="1965" customWidth="1"/>
    <col min="8" max="8" width="17.44140625" style="1965" customWidth="1"/>
    <col min="9" max="9" width="17.6640625" style="1965" customWidth="1"/>
    <col min="10" max="10" width="3.44140625" style="1965" customWidth="1"/>
    <col min="11" max="11" width="1.88671875" style="1965" customWidth="1"/>
    <col min="12" max="12" width="7.6640625" style="1965" customWidth="1"/>
    <col min="13" max="13" width="1.5546875" style="1965" customWidth="1"/>
    <col min="14" max="14" width="11.5546875" style="1965" customWidth="1"/>
    <col min="15" max="15" width="2" style="1965" customWidth="1"/>
    <col min="16" max="16" width="29.6640625" style="1965" customWidth="1"/>
    <col min="17" max="17" width="1.44140625" style="1965" customWidth="1"/>
    <col min="18" max="18" width="10.33203125" style="1965" customWidth="1"/>
    <col min="19" max="19" width="15.33203125" style="1965" customWidth="1"/>
    <col min="20" max="20" width="11.44140625" style="1965" customWidth="1"/>
    <col min="21" max="21" width="15.6640625" style="1965" customWidth="1"/>
    <col min="22" max="22" width="18.88671875" style="1965" customWidth="1"/>
    <col min="23" max="16384" width="8" style="1965"/>
  </cols>
  <sheetData>
    <row r="1" spans="1:11">
      <c r="A1" s="1946" t="str">
        <f>LOGO!B5</f>
        <v>DUKE ENERGY KENTUCKY, INC.</v>
      </c>
      <c r="B1" s="2772"/>
      <c r="C1" s="2772"/>
      <c r="D1" s="2772"/>
      <c r="E1" s="2772"/>
      <c r="F1" s="2772"/>
      <c r="G1" s="2772"/>
      <c r="H1" s="2772"/>
      <c r="I1" s="2772"/>
      <c r="K1" s="2772"/>
    </row>
    <row r="2" spans="1:11">
      <c r="A2" s="1946" t="str">
        <f>LOGO!B6</f>
        <v>CASE NO. 2018-00261</v>
      </c>
      <c r="B2" s="2772"/>
      <c r="C2" s="2772"/>
      <c r="D2" s="2772"/>
      <c r="E2" s="2772"/>
      <c r="F2" s="2772"/>
      <c r="G2" s="2772"/>
      <c r="H2" s="2772"/>
      <c r="I2" s="2772"/>
      <c r="K2" s="2772"/>
    </row>
    <row r="3" spans="1:11">
      <c r="A3" s="2773" t="s">
        <v>2890</v>
      </c>
      <c r="B3" s="2772"/>
      <c r="C3" s="2772"/>
      <c r="D3" s="2772"/>
      <c r="E3" s="2772"/>
      <c r="F3" s="2772"/>
      <c r="G3" s="2772"/>
      <c r="H3" s="2772"/>
      <c r="I3" s="2772"/>
      <c r="K3" s="2772"/>
    </row>
    <row r="4" spans="1:11">
      <c r="A4" s="1946" t="str">
        <f>PeriodF</f>
        <v>FOR THE TWELVE MONTHS ENDED MARCH 31, 2020</v>
      </c>
      <c r="B4" s="2772"/>
      <c r="C4" s="2772"/>
      <c r="D4" s="2772"/>
      <c r="E4" s="2772"/>
      <c r="F4" s="2772"/>
      <c r="G4" s="2772"/>
      <c r="H4" s="2772"/>
      <c r="I4" s="2772"/>
      <c r="K4" s="2772"/>
    </row>
    <row r="6" spans="1:11">
      <c r="A6" s="2774" t="str">
        <f>DataF</f>
        <v>DATA:  BASE PERIOD  "X" FORECASTED PERIOD</v>
      </c>
      <c r="H6" s="2775" t="s">
        <v>198</v>
      </c>
    </row>
    <row r="7" spans="1:11">
      <c r="A7" s="2774" t="str">
        <f>LOGO!B15</f>
        <v xml:space="preserve">TYPE OF FILING:  "X" ORIGINAL   UPDATED    REVISED  </v>
      </c>
      <c r="H7" s="2775" t="s">
        <v>489</v>
      </c>
    </row>
    <row r="8" spans="1:11">
      <c r="A8" s="2776" t="s">
        <v>2661</v>
      </c>
      <c r="H8" s="2775" t="s">
        <v>1571</v>
      </c>
    </row>
    <row r="9" spans="1:11">
      <c r="H9" s="2776" t="str">
        <f>"          "&amp;_WIT1</f>
        <v xml:space="preserve">          S. E. LAWLER</v>
      </c>
    </row>
    <row r="10" spans="1:11">
      <c r="A10" s="2777"/>
      <c r="B10" s="2777"/>
      <c r="C10" s="2777"/>
      <c r="D10" s="2777"/>
      <c r="E10" s="2777"/>
      <c r="F10" s="2777"/>
      <c r="G10" s="2777"/>
      <c r="H10" s="2777"/>
      <c r="I10" s="2777"/>
      <c r="J10" s="2778"/>
      <c r="K10" s="2778"/>
    </row>
    <row r="12" spans="1:11">
      <c r="A12" s="2776" t="s">
        <v>1942</v>
      </c>
      <c r="I12" s="2779" t="s">
        <v>2098</v>
      </c>
      <c r="J12" s="2779"/>
      <c r="K12" s="2779"/>
    </row>
    <row r="13" spans="1:11">
      <c r="A13" s="2777"/>
      <c r="B13" s="2777"/>
      <c r="C13" s="2777"/>
      <c r="D13" s="2777"/>
      <c r="E13" s="2777"/>
      <c r="F13" s="2777"/>
      <c r="G13" s="2777"/>
      <c r="H13" s="2777"/>
      <c r="I13" s="2777"/>
      <c r="J13" s="2778"/>
      <c r="K13" s="2778"/>
    </row>
    <row r="15" spans="1:11">
      <c r="A15" s="2771" t="s">
        <v>2652</v>
      </c>
    </row>
    <row r="16" spans="1:11">
      <c r="A16" s="2771" t="s">
        <v>2653</v>
      </c>
    </row>
    <row r="17" spans="1:12">
      <c r="A17" s="1628"/>
    </row>
    <row r="18" spans="1:12">
      <c r="A18" s="1628"/>
    </row>
    <row r="19" spans="1:12">
      <c r="A19" s="1628"/>
    </row>
    <row r="20" spans="1:12">
      <c r="A20" s="1963" t="s">
        <v>2153</v>
      </c>
      <c r="B20" s="1964"/>
      <c r="C20" s="1964"/>
      <c r="D20" s="1964"/>
      <c r="E20" s="1964"/>
      <c r="F20" s="1964"/>
      <c r="G20" s="1964"/>
      <c r="H20" s="2780"/>
      <c r="I20" s="2781">
        <f>U52</f>
        <v>577423</v>
      </c>
    </row>
    <row r="21" spans="1:12">
      <c r="A21" s="1964"/>
      <c r="B21" s="1964"/>
      <c r="C21" s="1964"/>
      <c r="D21" s="1964"/>
      <c r="E21" s="1964"/>
      <c r="F21" s="1964"/>
      <c r="G21" s="1964"/>
      <c r="H21" s="1964"/>
      <c r="I21" s="2782"/>
    </row>
    <row r="22" spans="1:12">
      <c r="A22" s="1964"/>
      <c r="B22" s="1964"/>
      <c r="C22" s="1964"/>
      <c r="D22" s="1964"/>
      <c r="E22" s="1964"/>
      <c r="F22" s="1964"/>
      <c r="G22" s="1964"/>
      <c r="H22" s="1964"/>
      <c r="I22" s="2783"/>
    </row>
    <row r="23" spans="1:12">
      <c r="A23" s="1963" t="s">
        <v>349</v>
      </c>
      <c r="B23" s="1964"/>
      <c r="C23" s="1964"/>
      <c r="D23" s="1964"/>
      <c r="E23" s="1964"/>
      <c r="F23" s="1964"/>
      <c r="G23" s="1964"/>
      <c r="H23" s="1964"/>
      <c r="I23" s="2784">
        <f>VLOOKUP(C30,ALLOCTABLE,2)/100</f>
        <v>1</v>
      </c>
    </row>
    <row r="24" spans="1:12">
      <c r="A24" s="1964"/>
      <c r="B24" s="1964"/>
      <c r="C24" s="1964"/>
      <c r="D24" s="1964"/>
      <c r="E24" s="1964"/>
      <c r="F24" s="1964"/>
      <c r="G24" s="1964"/>
      <c r="H24" s="1964"/>
      <c r="I24" s="2782"/>
    </row>
    <row r="25" spans="1:12">
      <c r="A25" s="1964"/>
      <c r="B25" s="1964"/>
      <c r="C25" s="1964"/>
      <c r="D25" s="1964"/>
      <c r="E25" s="1964"/>
      <c r="F25" s="1964"/>
      <c r="G25" s="1964"/>
      <c r="H25" s="1964"/>
      <c r="I25" s="2785"/>
    </row>
    <row r="26" spans="1:12" ht="15">
      <c r="A26" s="1963" t="s">
        <v>1934</v>
      </c>
      <c r="B26" s="1964"/>
      <c r="C26" s="1964"/>
      <c r="D26" s="1964"/>
      <c r="E26" s="1964"/>
      <c r="F26" s="1963" t="s">
        <v>352</v>
      </c>
      <c r="G26" s="1964"/>
      <c r="H26" s="2780"/>
      <c r="I26" s="2786">
        <f>ROUND(+I20*I23,0)</f>
        <v>577423</v>
      </c>
    </row>
    <row r="27" spans="1:12">
      <c r="A27" s="1964"/>
      <c r="B27" s="1964"/>
      <c r="C27" s="1964"/>
      <c r="D27" s="1964"/>
      <c r="E27" s="1964"/>
      <c r="F27" s="1964"/>
      <c r="G27" s="1964"/>
      <c r="H27" s="1964"/>
      <c r="I27" s="1964"/>
      <c r="J27" s="1964"/>
      <c r="K27" s="1964"/>
      <c r="L27" s="2787"/>
    </row>
    <row r="28" spans="1:12">
      <c r="A28" s="1964"/>
      <c r="B28" s="1964"/>
      <c r="C28" s="1964"/>
      <c r="D28" s="1964"/>
      <c r="E28" s="1964"/>
      <c r="F28" s="1964"/>
      <c r="G28" s="1964"/>
      <c r="H28" s="1964"/>
      <c r="I28" s="1964"/>
      <c r="J28" s="1964"/>
      <c r="K28" s="1964"/>
      <c r="L28" s="1964"/>
    </row>
    <row r="29" spans="1:12">
      <c r="A29" s="1964"/>
      <c r="B29" s="1964"/>
      <c r="C29" s="1964"/>
      <c r="D29" s="1964"/>
      <c r="E29" s="1964"/>
      <c r="F29" s="1964"/>
      <c r="G29" s="1964"/>
      <c r="H29" s="1964"/>
      <c r="I29" s="1964"/>
      <c r="J29" s="1964"/>
      <c r="K29" s="1964"/>
      <c r="L29" s="1964"/>
    </row>
    <row r="30" spans="1:12">
      <c r="A30" s="1964" t="s">
        <v>1935</v>
      </c>
      <c r="B30" s="1964"/>
      <c r="C30" s="2788" t="s">
        <v>591</v>
      </c>
      <c r="D30" s="2788"/>
      <c r="E30" s="2788"/>
      <c r="G30" s="1964"/>
      <c r="H30" s="1964"/>
      <c r="I30" s="1964"/>
      <c r="J30" s="1964"/>
      <c r="K30" s="1964"/>
      <c r="L30" s="1964"/>
    </row>
    <row r="31" spans="1:12">
      <c r="A31" s="1945"/>
      <c r="B31" s="1945"/>
      <c r="C31" s="1945"/>
      <c r="D31" s="1945"/>
      <c r="E31" s="1945"/>
      <c r="F31" s="1945"/>
      <c r="G31" s="1627"/>
      <c r="H31" s="1627"/>
      <c r="I31" s="1959"/>
      <c r="J31" s="1959"/>
      <c r="K31" s="1959"/>
    </row>
    <row r="32" spans="1:12">
      <c r="A32" s="1945"/>
      <c r="B32" s="1945"/>
      <c r="C32" s="1945"/>
      <c r="D32" s="1945"/>
      <c r="E32" s="1945"/>
      <c r="F32" s="1945"/>
      <c r="G32" s="1627"/>
      <c r="H32" s="1627"/>
      <c r="I32" s="1945"/>
      <c r="J32" s="1945"/>
      <c r="K32" s="1945"/>
    </row>
    <row r="33" spans="1:22" ht="15">
      <c r="A33" s="1949"/>
      <c r="B33" s="1945"/>
      <c r="C33" s="1945"/>
      <c r="D33" s="1945"/>
      <c r="E33" s="1945"/>
      <c r="F33" s="1949"/>
      <c r="I33" s="2786"/>
      <c r="J33" s="2786"/>
      <c r="K33" s="2786"/>
    </row>
    <row r="34" spans="1:22">
      <c r="A34" s="1945"/>
      <c r="B34" s="1945"/>
      <c r="C34" s="1945"/>
      <c r="D34" s="1945"/>
      <c r="E34" s="1945"/>
      <c r="F34" s="1945"/>
      <c r="I34" s="1959"/>
      <c r="J34" s="1959"/>
      <c r="K34" s="1959"/>
    </row>
    <row r="35" spans="1:22">
      <c r="A35" s="1945"/>
      <c r="B35" s="1945"/>
      <c r="C35" s="1945"/>
      <c r="D35" s="1945"/>
      <c r="E35" s="1945"/>
      <c r="F35" s="1945"/>
      <c r="I35" s="1959"/>
      <c r="J35" s="1959"/>
      <c r="K35" s="1959"/>
    </row>
    <row r="36" spans="1:22">
      <c r="A36" s="1945"/>
      <c r="B36" s="1945"/>
      <c r="C36" s="1945"/>
      <c r="D36" s="1945"/>
      <c r="E36" s="1945"/>
      <c r="F36" s="1945"/>
    </row>
    <row r="37" spans="1:22">
      <c r="A37" s="1945"/>
      <c r="B37" s="1945"/>
      <c r="C37" s="1945"/>
      <c r="D37" s="1945"/>
      <c r="E37" s="1945"/>
      <c r="F37" s="1945"/>
      <c r="I37" s="2789"/>
      <c r="J37" s="2789"/>
      <c r="K37" s="2789"/>
    </row>
    <row r="38" spans="1:22">
      <c r="A38" s="1945"/>
      <c r="B38" s="1945"/>
      <c r="C38" s="1945"/>
      <c r="D38" s="1945"/>
      <c r="E38" s="1945"/>
      <c r="F38" s="1945"/>
      <c r="I38" s="2790"/>
      <c r="J38" s="2790"/>
      <c r="K38" s="2790"/>
    </row>
    <row r="39" spans="1:22">
      <c r="A39" s="1949"/>
      <c r="B39" s="1945"/>
      <c r="C39" s="1962"/>
      <c r="D39" s="1962"/>
      <c r="E39" s="1962"/>
      <c r="I39" s="2791"/>
      <c r="J39" s="2791"/>
      <c r="K39" s="2791"/>
    </row>
    <row r="40" spans="1:22">
      <c r="L40" s="2792" t="str">
        <f>COMPANY</f>
        <v>DUKE ENERGY KENTUCKY, INC.</v>
      </c>
      <c r="M40" s="2793"/>
      <c r="N40" s="2793"/>
      <c r="O40" s="2793"/>
      <c r="P40" s="2793"/>
      <c r="Q40" s="2793"/>
      <c r="S40" s="2793"/>
      <c r="T40" s="2794" t="s">
        <v>2247</v>
      </c>
    </row>
    <row r="41" spans="1:22">
      <c r="L41" s="2792" t="str">
        <f>DEPT</f>
        <v>GAS DEPARTMENT</v>
      </c>
      <c r="M41" s="2793"/>
      <c r="N41" s="2793"/>
      <c r="O41" s="2793"/>
      <c r="P41" s="2793"/>
      <c r="Q41" s="2793"/>
      <c r="S41" s="2793"/>
      <c r="T41" s="2795" t="s">
        <v>566</v>
      </c>
    </row>
    <row r="42" spans="1:22">
      <c r="L42" s="2792" t="str">
        <f>CASE</f>
        <v>CASE NO. 2018-00261</v>
      </c>
      <c r="M42" s="2793"/>
      <c r="N42" s="2793"/>
      <c r="O42" s="2793"/>
      <c r="P42" s="2793"/>
      <c r="Q42" s="2793"/>
      <c r="S42" s="2793"/>
      <c r="T42" s="2795" t="str">
        <f>_WIT1</f>
        <v>S. E. LAWLER</v>
      </c>
    </row>
    <row r="43" spans="1:22">
      <c r="L43" s="2796" t="str">
        <f>A3</f>
        <v>AMORTIZATION OF DEFERRED EXPENSE</v>
      </c>
      <c r="M43" s="2793"/>
      <c r="N43" s="2793"/>
      <c r="O43" s="2793"/>
      <c r="P43" s="2793"/>
      <c r="Q43" s="2793"/>
      <c r="R43" s="2795"/>
      <c r="S43" s="2793"/>
    </row>
    <row r="44" spans="1:22">
      <c r="L44" s="2776" t="str">
        <f>PeriodF</f>
        <v>FOR THE TWELVE MONTHS ENDED MARCH 31, 2020</v>
      </c>
      <c r="M44" s="2793"/>
      <c r="N44" s="2793"/>
      <c r="O44" s="2793"/>
      <c r="P44" s="2793"/>
      <c r="Q44" s="2793"/>
      <c r="R44" s="2793"/>
      <c r="S44" s="2793"/>
    </row>
    <row r="45" spans="1:22">
      <c r="L45" s="2793"/>
      <c r="M45" s="2793"/>
      <c r="N45" s="2793"/>
      <c r="O45" s="2793"/>
      <c r="P45" s="2793"/>
      <c r="Q45" s="2793"/>
      <c r="R45" s="2793"/>
      <c r="S45" s="2793"/>
      <c r="T45" s="2797"/>
      <c r="U45" s="2798"/>
      <c r="V45" s="2798"/>
    </row>
    <row r="46" spans="1:22">
      <c r="L46" s="2793"/>
      <c r="M46" s="2793"/>
      <c r="N46" s="2793"/>
      <c r="O46" s="2793"/>
      <c r="P46" s="2799"/>
      <c r="Q46" s="2799"/>
      <c r="R46" s="2793"/>
      <c r="S46" s="2793"/>
      <c r="T46" s="2797"/>
      <c r="U46" s="2798"/>
      <c r="V46" s="2798"/>
    </row>
    <row r="47" spans="1:22">
      <c r="L47" s="2800"/>
      <c r="M47" s="2800"/>
      <c r="N47" s="2800"/>
      <c r="O47" s="2800"/>
      <c r="P47" s="2801"/>
      <c r="Q47" s="2801"/>
      <c r="R47" s="2800"/>
      <c r="S47" s="2800"/>
      <c r="T47" s="2802"/>
      <c r="U47" s="2798"/>
      <c r="V47" s="2798"/>
    </row>
    <row r="48" spans="1:22">
      <c r="L48" s="2805" t="s">
        <v>2654</v>
      </c>
      <c r="M48" s="2736"/>
      <c r="N48" s="2805" t="s">
        <v>1987</v>
      </c>
      <c r="O48" s="2805"/>
      <c r="P48" s="2736"/>
      <c r="Q48" s="2806"/>
      <c r="R48" s="2807"/>
      <c r="S48" s="2736"/>
      <c r="T48" s="2738" t="s">
        <v>1606</v>
      </c>
      <c r="U48" s="2738" t="s">
        <v>1897</v>
      </c>
      <c r="V48" s="2798"/>
    </row>
    <row r="49" spans="12:23">
      <c r="L49" s="2808" t="s">
        <v>1939</v>
      </c>
      <c r="M49" s="2809"/>
      <c r="N49" s="2808" t="s">
        <v>148</v>
      </c>
      <c r="O49" s="2808"/>
      <c r="P49" s="2808" t="s">
        <v>1988</v>
      </c>
      <c r="Q49" s="2810"/>
      <c r="R49" s="2808" t="s">
        <v>2136</v>
      </c>
      <c r="S49" s="2808" t="s">
        <v>2655</v>
      </c>
      <c r="T49" s="2808" t="s">
        <v>1989</v>
      </c>
      <c r="U49" s="2811" t="s">
        <v>2656</v>
      </c>
      <c r="V49" s="2798"/>
    </row>
    <row r="50" spans="12:23">
      <c r="L50" s="2736"/>
      <c r="M50" s="2736"/>
      <c r="N50" s="2736"/>
      <c r="O50" s="2736"/>
      <c r="P50" s="2736"/>
      <c r="Q50" s="2806"/>
      <c r="R50" s="2806"/>
      <c r="S50" s="2812" t="s">
        <v>1134</v>
      </c>
      <c r="T50" s="2812"/>
      <c r="U50" s="2812" t="s">
        <v>1134</v>
      </c>
      <c r="V50" s="2798"/>
    </row>
    <row r="51" spans="12:23">
      <c r="L51" s="2736"/>
      <c r="M51" s="2736"/>
      <c r="N51" s="2736"/>
      <c r="O51" s="2736"/>
      <c r="P51" s="2736"/>
      <c r="Q51" s="2736"/>
      <c r="R51" s="2736"/>
      <c r="S51" s="2736"/>
      <c r="T51" s="2736"/>
      <c r="U51" s="2736"/>
      <c r="V51" s="2798"/>
    </row>
    <row r="52" spans="12:23">
      <c r="L52" s="2805">
        <v>1</v>
      </c>
      <c r="M52" s="2736"/>
      <c r="N52" s="2738">
        <v>182715</v>
      </c>
      <c r="O52" s="2738"/>
      <c r="P52" s="2813" t="s">
        <v>2658</v>
      </c>
      <c r="Q52" s="2736"/>
      <c r="R52" s="2805" t="s">
        <v>845</v>
      </c>
      <c r="S52" s="2814">
        <v>2887115</v>
      </c>
      <c r="T52" s="2815">
        <v>5</v>
      </c>
      <c r="U52" s="2816">
        <f>ROUND(S52/T52,0)</f>
        <v>577423</v>
      </c>
      <c r="V52" s="2798"/>
      <c r="W52" s="1967"/>
    </row>
    <row r="53" spans="12:23">
      <c r="L53" s="2817"/>
      <c r="M53" s="2736"/>
      <c r="N53" s="2736"/>
      <c r="O53" s="2736"/>
      <c r="P53" s="2813"/>
      <c r="Q53" s="2736"/>
      <c r="R53" s="2813"/>
      <c r="S53" s="2816"/>
      <c r="T53" s="2816"/>
      <c r="U53" s="2736"/>
      <c r="V53" s="2367"/>
    </row>
    <row r="54" spans="12:23">
      <c r="L54" s="2817"/>
      <c r="M54" s="2736"/>
      <c r="N54" s="2736"/>
      <c r="O54" s="2736"/>
      <c r="P54" s="2813"/>
      <c r="Q54" s="2736"/>
      <c r="R54" s="2813"/>
      <c r="S54" s="2816"/>
      <c r="T54" s="2816"/>
      <c r="U54" s="2736"/>
      <c r="V54" s="2367"/>
    </row>
    <row r="55" spans="12:23">
      <c r="L55" s="2817"/>
      <c r="M55" s="2736"/>
      <c r="N55" s="2813" t="s">
        <v>2657</v>
      </c>
      <c r="O55" s="2813"/>
      <c r="P55" s="2813"/>
      <c r="Q55" s="2736"/>
      <c r="R55" s="2813"/>
      <c r="S55" s="2736"/>
      <c r="T55" s="2736"/>
      <c r="U55" s="2736"/>
      <c r="V55" s="2803"/>
    </row>
    <row r="56" spans="12:23">
      <c r="L56" s="2817"/>
      <c r="M56" s="2736"/>
      <c r="N56" s="2736" t="s">
        <v>2660</v>
      </c>
      <c r="O56" s="2736"/>
      <c r="P56" s="2813"/>
      <c r="Q56" s="2736"/>
      <c r="R56" s="2813"/>
      <c r="S56" s="2816"/>
      <c r="T56" s="2816"/>
      <c r="U56" s="2736"/>
      <c r="V56" s="2364"/>
    </row>
    <row r="57" spans="12:23">
      <c r="L57" s="2817"/>
      <c r="M57" s="2736"/>
      <c r="N57" s="2736" t="s">
        <v>2659</v>
      </c>
      <c r="O57" s="2736"/>
      <c r="P57" s="2818"/>
      <c r="Q57" s="2736"/>
      <c r="R57" s="2736"/>
      <c r="S57" s="2819"/>
      <c r="T57" s="2819"/>
      <c r="U57" s="2736"/>
    </row>
    <row r="66" spans="12:68">
      <c r="L66" s="2798"/>
      <c r="M66" s="2798"/>
      <c r="N66" s="2798"/>
      <c r="O66" s="2798"/>
      <c r="P66" s="2798"/>
      <c r="Q66" s="2798"/>
      <c r="R66" s="2798"/>
      <c r="S66" s="2798"/>
      <c r="T66" s="2798"/>
      <c r="U66" s="2798"/>
      <c r="V66" s="2798"/>
      <c r="W66" s="2798"/>
      <c r="X66" s="2798"/>
      <c r="Y66" s="2798"/>
      <c r="Z66" s="2798"/>
      <c r="AA66" s="2798"/>
      <c r="AB66" s="2798"/>
      <c r="AC66" s="2798"/>
      <c r="AD66" s="2798"/>
      <c r="AE66" s="2798"/>
      <c r="AF66" s="2798"/>
      <c r="AG66" s="2798"/>
      <c r="AH66" s="2798"/>
      <c r="AI66" s="2798"/>
      <c r="AJ66" s="2798"/>
      <c r="AK66" s="2798"/>
      <c r="AL66" s="2798"/>
      <c r="AM66" s="2798"/>
      <c r="AN66" s="2798"/>
      <c r="AO66" s="2798"/>
      <c r="AP66" s="2798"/>
      <c r="AQ66" s="2798"/>
      <c r="AR66" s="2798"/>
      <c r="AS66" s="2798"/>
      <c r="AT66" s="2798"/>
      <c r="AU66" s="2798"/>
      <c r="AV66" s="2798"/>
      <c r="AW66" s="2798"/>
      <c r="AX66" s="2798"/>
      <c r="AY66" s="2798"/>
      <c r="AZ66" s="2798"/>
      <c r="BA66" s="2798"/>
      <c r="BB66" s="2798"/>
      <c r="BC66" s="2798"/>
      <c r="BD66" s="2798"/>
      <c r="BE66" s="2798"/>
      <c r="BF66" s="2798"/>
      <c r="BG66" s="2798"/>
      <c r="BH66" s="2798"/>
      <c r="BI66" s="2798"/>
      <c r="BJ66" s="2798"/>
      <c r="BK66" s="2798"/>
      <c r="BL66" s="2798"/>
      <c r="BM66" s="2798"/>
      <c r="BN66" s="2798"/>
      <c r="BO66" s="2798"/>
      <c r="BP66" s="2798"/>
    </row>
    <row r="67" spans="12:68">
      <c r="L67" s="2798"/>
      <c r="M67" s="2798"/>
      <c r="N67" s="2798"/>
      <c r="O67" s="2798"/>
      <c r="P67" s="2798"/>
      <c r="Q67" s="2798"/>
      <c r="R67" s="2798"/>
      <c r="S67" s="2798"/>
      <c r="T67" s="2798"/>
      <c r="U67" s="2798"/>
      <c r="V67" s="2798"/>
      <c r="W67" s="2798"/>
      <c r="X67" s="2798"/>
      <c r="Y67" s="2798"/>
      <c r="Z67" s="2798"/>
      <c r="AA67" s="2798"/>
      <c r="AB67" s="2798"/>
      <c r="AC67" s="2798"/>
      <c r="AD67" s="2798"/>
      <c r="AE67" s="2798"/>
      <c r="AF67" s="2798"/>
      <c r="AG67" s="2798"/>
      <c r="AH67" s="2798"/>
      <c r="AI67" s="2798"/>
      <c r="AJ67" s="2798"/>
      <c r="AK67" s="2798"/>
      <c r="AL67" s="2798"/>
      <c r="AM67" s="2798"/>
      <c r="AN67" s="2798"/>
      <c r="AO67" s="2798"/>
      <c r="AP67" s="2798"/>
      <c r="AQ67" s="2798"/>
      <c r="AR67" s="2798"/>
      <c r="AS67" s="2798"/>
      <c r="AT67" s="2798"/>
      <c r="AU67" s="2798"/>
      <c r="AV67" s="2798"/>
      <c r="AW67" s="2798"/>
      <c r="AX67" s="2798"/>
      <c r="AY67" s="2798"/>
      <c r="AZ67" s="2798"/>
      <c r="BA67" s="2798"/>
      <c r="BB67" s="2798"/>
      <c r="BC67" s="2798"/>
      <c r="BD67" s="2798"/>
      <c r="BE67" s="2798"/>
      <c r="BF67" s="2798"/>
      <c r="BG67" s="2798"/>
      <c r="BH67" s="2798"/>
      <c r="BI67" s="2798"/>
      <c r="BJ67" s="2798"/>
      <c r="BK67" s="2798"/>
      <c r="BL67" s="2798"/>
      <c r="BM67" s="2798"/>
      <c r="BN67" s="2798"/>
      <c r="BO67" s="2798"/>
      <c r="BP67" s="2798"/>
    </row>
    <row r="68" spans="12:68">
      <c r="L68" s="2798"/>
      <c r="M68" s="2798"/>
      <c r="N68" s="2798"/>
      <c r="O68" s="2798"/>
      <c r="P68" s="2798"/>
      <c r="Q68" s="2798"/>
      <c r="R68" s="2798"/>
      <c r="S68" s="2798"/>
      <c r="T68" s="2798"/>
      <c r="U68" s="2798"/>
      <c r="V68" s="2798"/>
      <c r="W68" s="2798"/>
      <c r="X68" s="2798"/>
      <c r="Y68" s="2798"/>
      <c r="Z68" s="2798"/>
      <c r="AA68" s="2798"/>
      <c r="AB68" s="2798"/>
      <c r="AC68" s="2798"/>
      <c r="AD68" s="2798"/>
      <c r="AE68" s="2798"/>
      <c r="AF68" s="2798"/>
      <c r="AG68" s="2798"/>
      <c r="AH68" s="2798"/>
      <c r="AI68" s="2798"/>
      <c r="AJ68" s="2798"/>
      <c r="AK68" s="2798"/>
      <c r="AL68" s="2798"/>
      <c r="AM68" s="2798"/>
      <c r="AN68" s="2798"/>
      <c r="AO68" s="2798"/>
      <c r="AP68" s="2798"/>
      <c r="AQ68" s="2798"/>
      <c r="AR68" s="2798"/>
      <c r="AS68" s="2798"/>
      <c r="AT68" s="2798"/>
      <c r="AU68" s="2798"/>
      <c r="AV68" s="2798"/>
      <c r="AW68" s="2798"/>
      <c r="AX68" s="2798"/>
      <c r="AY68" s="2798"/>
      <c r="AZ68" s="2798"/>
      <c r="BA68" s="2798"/>
      <c r="BB68" s="2798"/>
      <c r="BC68" s="2798"/>
      <c r="BD68" s="2798"/>
      <c r="BE68" s="2798"/>
      <c r="BF68" s="2798"/>
      <c r="BG68" s="2798"/>
      <c r="BH68" s="2798"/>
      <c r="BI68" s="2798"/>
      <c r="BJ68" s="2798"/>
      <c r="BK68" s="2798"/>
      <c r="BL68" s="2798"/>
      <c r="BM68" s="2798"/>
      <c r="BN68" s="2798"/>
      <c r="BO68" s="2798"/>
      <c r="BP68" s="2798"/>
    </row>
    <row r="69" spans="12:68">
      <c r="L69" s="2798"/>
      <c r="M69" s="2798"/>
      <c r="N69" s="2798"/>
      <c r="O69" s="2798"/>
      <c r="P69" s="2798"/>
      <c r="Q69" s="2798"/>
      <c r="R69" s="2798"/>
      <c r="S69" s="2798"/>
      <c r="T69" s="2798"/>
      <c r="U69" s="2798"/>
      <c r="V69" s="2798"/>
      <c r="W69" s="2798"/>
      <c r="X69" s="2798"/>
      <c r="Y69" s="2798"/>
      <c r="Z69" s="2798"/>
      <c r="AA69" s="2798"/>
      <c r="AB69" s="2798"/>
      <c r="AC69" s="2798"/>
      <c r="AD69" s="2798"/>
      <c r="AE69" s="2798"/>
      <c r="AF69" s="2798"/>
      <c r="AG69" s="2798"/>
      <c r="AH69" s="2798"/>
      <c r="AI69" s="2798"/>
      <c r="AJ69" s="2798"/>
      <c r="AK69" s="2798"/>
      <c r="AL69" s="2798"/>
      <c r="AM69" s="2798"/>
      <c r="AN69" s="2798"/>
      <c r="AO69" s="2798"/>
      <c r="AP69" s="2798"/>
      <c r="AQ69" s="2798"/>
      <c r="AR69" s="2798"/>
      <c r="AS69" s="2798"/>
      <c r="AT69" s="2798"/>
      <c r="AU69" s="2798"/>
      <c r="AV69" s="2798"/>
      <c r="AW69" s="2798"/>
      <c r="AX69" s="2798"/>
      <c r="AY69" s="2798"/>
      <c r="AZ69" s="2798"/>
      <c r="BA69" s="2798"/>
      <c r="BB69" s="2798"/>
      <c r="BC69" s="2798"/>
      <c r="BD69" s="2798"/>
      <c r="BE69" s="2798"/>
      <c r="BF69" s="2798"/>
      <c r="BG69" s="2798"/>
      <c r="BH69" s="2798"/>
      <c r="BI69" s="2798"/>
      <c r="BJ69" s="2798"/>
      <c r="BK69" s="2798"/>
      <c r="BL69" s="2798"/>
      <c r="BM69" s="2798"/>
      <c r="BN69" s="2798"/>
      <c r="BO69" s="2798"/>
      <c r="BP69" s="2798"/>
    </row>
    <row r="70" spans="12:68">
      <c r="L70" s="2798"/>
      <c r="M70" s="2798"/>
      <c r="N70" s="2798"/>
      <c r="O70" s="2798"/>
      <c r="P70" s="2798"/>
      <c r="Q70" s="2798"/>
      <c r="R70" s="2798"/>
      <c r="S70" s="2798"/>
      <c r="T70" s="2798"/>
      <c r="U70" s="2798"/>
      <c r="V70" s="2798"/>
      <c r="W70" s="2798"/>
      <c r="X70" s="2798"/>
      <c r="Y70" s="2798"/>
      <c r="Z70" s="2798"/>
      <c r="AA70" s="2798"/>
      <c r="AB70" s="2798"/>
      <c r="AC70" s="2798"/>
      <c r="AD70" s="2798"/>
      <c r="AE70" s="2798"/>
      <c r="AF70" s="2798"/>
      <c r="AG70" s="2798"/>
      <c r="AH70" s="2798"/>
      <c r="AI70" s="2798"/>
      <c r="AJ70" s="2798"/>
      <c r="AK70" s="2798"/>
      <c r="AL70" s="2798"/>
      <c r="AM70" s="2798"/>
      <c r="AN70" s="2798"/>
      <c r="AO70" s="2798"/>
      <c r="AP70" s="2798"/>
      <c r="AQ70" s="2798"/>
      <c r="AR70" s="2798"/>
      <c r="AS70" s="2798"/>
      <c r="AT70" s="2798"/>
      <c r="AU70" s="2798"/>
      <c r="AV70" s="2798"/>
      <c r="AW70" s="2798"/>
      <c r="AX70" s="2798"/>
      <c r="AY70" s="2798"/>
      <c r="AZ70" s="2798"/>
      <c r="BA70" s="2798"/>
      <c r="BB70" s="2798"/>
      <c r="BC70" s="2798"/>
      <c r="BD70" s="2798"/>
      <c r="BE70" s="2798"/>
      <c r="BF70" s="2798"/>
      <c r="BG70" s="2798"/>
      <c r="BH70" s="2798"/>
      <c r="BI70" s="2798"/>
      <c r="BJ70" s="2798"/>
      <c r="BK70" s="2798"/>
      <c r="BL70" s="2798"/>
      <c r="BM70" s="2798"/>
      <c r="BN70" s="2798"/>
      <c r="BO70" s="2798"/>
      <c r="BP70" s="2798"/>
    </row>
    <row r="71" spans="12:68">
      <c r="L71" s="2798"/>
      <c r="M71" s="2798"/>
      <c r="N71" s="2798"/>
      <c r="O71" s="2798"/>
      <c r="P71" s="2798"/>
      <c r="Q71" s="2798"/>
      <c r="R71" s="2798"/>
      <c r="S71" s="2798"/>
      <c r="T71" s="2798"/>
      <c r="U71" s="2798"/>
      <c r="V71" s="2798"/>
      <c r="W71" s="2798"/>
      <c r="X71" s="2798"/>
      <c r="Y71" s="2798"/>
      <c r="Z71" s="2798"/>
      <c r="AA71" s="2798"/>
      <c r="AB71" s="2798"/>
      <c r="AC71" s="2798"/>
      <c r="AD71" s="2798"/>
      <c r="AE71" s="2798"/>
      <c r="AF71" s="2798"/>
      <c r="AG71" s="2798"/>
      <c r="AH71" s="2798"/>
      <c r="AI71" s="2798"/>
      <c r="AJ71" s="2798"/>
      <c r="AK71" s="2798"/>
      <c r="AL71" s="2798"/>
      <c r="AM71" s="2798"/>
      <c r="AN71" s="2798"/>
      <c r="AO71" s="2798"/>
      <c r="AP71" s="2798"/>
      <c r="AQ71" s="2798"/>
      <c r="AR71" s="2798"/>
      <c r="AS71" s="2798"/>
      <c r="AT71" s="2798"/>
      <c r="AU71" s="2798"/>
      <c r="AV71" s="2798"/>
      <c r="AW71" s="2798"/>
      <c r="AX71" s="2798"/>
      <c r="AY71" s="2798"/>
      <c r="AZ71" s="2798"/>
      <c r="BA71" s="2798"/>
      <c r="BB71" s="2798"/>
      <c r="BC71" s="2798"/>
      <c r="BD71" s="2798"/>
      <c r="BE71" s="2798"/>
      <c r="BF71" s="2798"/>
      <c r="BG71" s="2798"/>
      <c r="BH71" s="2798"/>
      <c r="BI71" s="2798"/>
      <c r="BJ71" s="2798"/>
      <c r="BK71" s="2798"/>
      <c r="BL71" s="2798"/>
      <c r="BM71" s="2798"/>
      <c r="BN71" s="2798"/>
      <c r="BO71" s="2798"/>
      <c r="BP71" s="2798"/>
    </row>
    <row r="72" spans="12:68">
      <c r="L72" s="2798"/>
      <c r="M72" s="2798"/>
      <c r="N72" s="2798"/>
      <c r="O72" s="2798"/>
      <c r="P72" s="2798"/>
      <c r="Q72" s="2798"/>
      <c r="R72" s="2798"/>
      <c r="S72" s="2798"/>
      <c r="T72" s="2798"/>
      <c r="U72" s="2798"/>
      <c r="V72" s="2798"/>
      <c r="W72" s="2798"/>
      <c r="X72" s="2798"/>
      <c r="Y72" s="2798"/>
      <c r="Z72" s="2798"/>
      <c r="AA72" s="2798"/>
      <c r="AB72" s="2798"/>
      <c r="AC72" s="2798"/>
      <c r="AD72" s="2798"/>
      <c r="AE72" s="2798"/>
      <c r="AF72" s="2798"/>
      <c r="AG72" s="2798"/>
      <c r="AH72" s="2798"/>
      <c r="AI72" s="2798"/>
      <c r="AJ72" s="2798"/>
      <c r="AK72" s="2798"/>
      <c r="AL72" s="2798"/>
      <c r="AM72" s="2798"/>
      <c r="AN72" s="2798"/>
      <c r="AO72" s="2798"/>
      <c r="AP72" s="2798"/>
      <c r="AQ72" s="2798"/>
      <c r="AR72" s="2798"/>
      <c r="AS72" s="2798"/>
      <c r="AT72" s="2798"/>
      <c r="AU72" s="2798"/>
      <c r="AV72" s="2798"/>
      <c r="AW72" s="2798"/>
      <c r="AX72" s="2798"/>
      <c r="AY72" s="2798"/>
      <c r="AZ72" s="2798"/>
      <c r="BA72" s="2798"/>
      <c r="BB72" s="2798"/>
      <c r="BC72" s="2798"/>
      <c r="BD72" s="2798"/>
      <c r="BE72" s="2798"/>
      <c r="BF72" s="2798"/>
      <c r="BG72" s="2798"/>
      <c r="BH72" s="2798"/>
      <c r="BI72" s="2798"/>
      <c r="BJ72" s="2798"/>
      <c r="BK72" s="2798"/>
      <c r="BL72" s="2798"/>
      <c r="BM72" s="2798"/>
      <c r="BN72" s="2798"/>
      <c r="BO72" s="2798"/>
      <c r="BP72" s="2798"/>
    </row>
    <row r="73" spans="12:68">
      <c r="L73" s="2798"/>
      <c r="M73" s="2798"/>
      <c r="N73" s="2798"/>
      <c r="O73" s="2798"/>
      <c r="P73" s="2798"/>
      <c r="Q73" s="2798"/>
      <c r="R73" s="2798"/>
      <c r="S73" s="2798"/>
      <c r="T73" s="2798"/>
      <c r="U73" s="2798"/>
      <c r="V73" s="2798"/>
      <c r="W73" s="2798"/>
      <c r="X73" s="2798"/>
      <c r="Y73" s="2798"/>
      <c r="Z73" s="2798"/>
      <c r="AA73" s="2798"/>
      <c r="AB73" s="2798"/>
      <c r="AC73" s="2798"/>
      <c r="AD73" s="2798"/>
      <c r="AE73" s="2798"/>
      <c r="AF73" s="2798"/>
      <c r="AG73" s="2798"/>
      <c r="AH73" s="2798"/>
      <c r="AI73" s="2798"/>
      <c r="AJ73" s="2798"/>
      <c r="AK73" s="2798"/>
      <c r="AL73" s="2798"/>
      <c r="AM73" s="2798"/>
      <c r="AN73" s="2798"/>
      <c r="AO73" s="2798"/>
      <c r="AP73" s="2798"/>
      <c r="AQ73" s="2798"/>
      <c r="AR73" s="2798"/>
      <c r="AS73" s="2798"/>
      <c r="AT73" s="2798"/>
      <c r="AU73" s="2798"/>
      <c r="AV73" s="2798"/>
      <c r="AW73" s="2798"/>
      <c r="AX73" s="2798"/>
      <c r="AY73" s="2798"/>
      <c r="AZ73" s="2798"/>
      <c r="BA73" s="2798"/>
      <c r="BB73" s="2798"/>
      <c r="BC73" s="2798"/>
      <c r="BD73" s="2798"/>
      <c r="BE73" s="2798"/>
      <c r="BF73" s="2798"/>
      <c r="BG73" s="2798"/>
      <c r="BH73" s="2798"/>
      <c r="BI73" s="2798"/>
      <c r="BJ73" s="2798"/>
      <c r="BK73" s="2798"/>
      <c r="BL73" s="2798"/>
      <c r="BM73" s="2798"/>
      <c r="BN73" s="2798"/>
      <c r="BO73" s="2798"/>
      <c r="BP73" s="2798"/>
    </row>
    <row r="74" spans="12:68">
      <c r="L74" s="2798"/>
      <c r="M74" s="2798"/>
      <c r="N74" s="2798"/>
      <c r="O74" s="2798"/>
      <c r="P74" s="2798"/>
      <c r="Q74" s="2798"/>
      <c r="R74" s="2798"/>
      <c r="S74" s="2798"/>
      <c r="T74" s="2798"/>
      <c r="U74" s="2798"/>
      <c r="V74" s="2798"/>
      <c r="W74" s="2798"/>
      <c r="X74" s="2798"/>
      <c r="Y74" s="2798"/>
      <c r="Z74" s="2798"/>
      <c r="AA74" s="2798"/>
      <c r="AB74" s="2798"/>
      <c r="AC74" s="2798"/>
      <c r="AD74" s="2798"/>
      <c r="AE74" s="2798"/>
      <c r="AF74" s="2798"/>
      <c r="AG74" s="2798"/>
      <c r="AH74" s="2798"/>
      <c r="AI74" s="2798"/>
      <c r="AJ74" s="2798"/>
      <c r="AK74" s="2798"/>
      <c r="AL74" s="2798"/>
      <c r="AM74" s="2798"/>
      <c r="AN74" s="2798"/>
      <c r="AO74" s="2798"/>
      <c r="AP74" s="2798"/>
      <c r="AQ74" s="2798"/>
      <c r="AR74" s="2798"/>
      <c r="AS74" s="2798"/>
      <c r="AT74" s="2798"/>
      <c r="AU74" s="2798"/>
      <c r="AV74" s="2798"/>
      <c r="AW74" s="2798"/>
      <c r="AX74" s="2798"/>
      <c r="AY74" s="2798"/>
      <c r="AZ74" s="2798"/>
      <c r="BA74" s="2798"/>
      <c r="BB74" s="2798"/>
      <c r="BC74" s="2798"/>
      <c r="BD74" s="2798"/>
      <c r="BE74" s="2798"/>
      <c r="BF74" s="2798"/>
      <c r="BG74" s="2798"/>
      <c r="BH74" s="2798"/>
      <c r="BI74" s="2798"/>
      <c r="BJ74" s="2798"/>
      <c r="BK74" s="2798"/>
      <c r="BL74" s="2798"/>
      <c r="BM74" s="2798"/>
      <c r="BN74" s="2798"/>
      <c r="BO74" s="2798"/>
      <c r="BP74" s="2798"/>
    </row>
    <row r="75" spans="12:68">
      <c r="L75" s="2798"/>
      <c r="M75" s="2798"/>
      <c r="N75" s="2798"/>
      <c r="O75" s="2798"/>
      <c r="P75" s="2798"/>
      <c r="Q75" s="2798"/>
      <c r="R75" s="2798"/>
      <c r="S75" s="2798"/>
      <c r="T75" s="2798"/>
      <c r="U75" s="2798"/>
      <c r="V75" s="2798"/>
      <c r="W75" s="2798"/>
      <c r="X75" s="2798"/>
      <c r="Y75" s="2798"/>
      <c r="Z75" s="2798"/>
      <c r="AA75" s="2798"/>
      <c r="AB75" s="2798"/>
      <c r="AC75" s="2798"/>
      <c r="AD75" s="2798"/>
      <c r="AE75" s="2798"/>
      <c r="AF75" s="2798"/>
      <c r="AG75" s="2798"/>
      <c r="AH75" s="2798"/>
      <c r="AI75" s="2798"/>
      <c r="AJ75" s="2798"/>
      <c r="AK75" s="2798"/>
      <c r="AL75" s="2798"/>
      <c r="AM75" s="2798"/>
      <c r="AN75" s="2798"/>
      <c r="AO75" s="2798"/>
      <c r="AP75" s="2798"/>
      <c r="AQ75" s="2798"/>
      <c r="AR75" s="2798"/>
      <c r="AS75" s="2798"/>
      <c r="AT75" s="2798"/>
      <c r="AU75" s="2798"/>
      <c r="AV75" s="2798"/>
      <c r="AW75" s="2798"/>
      <c r="AX75" s="2798"/>
      <c r="AY75" s="2798"/>
      <c r="AZ75" s="2798"/>
      <c r="BA75" s="2798"/>
      <c r="BB75" s="2798"/>
      <c r="BC75" s="2798"/>
      <c r="BD75" s="2798"/>
      <c r="BE75" s="2798"/>
      <c r="BF75" s="2798"/>
      <c r="BG75" s="2798"/>
      <c r="BH75" s="2798"/>
      <c r="BI75" s="2798"/>
      <c r="BJ75" s="2798"/>
      <c r="BK75" s="2798"/>
      <c r="BL75" s="2798"/>
      <c r="BM75" s="2798"/>
      <c r="BN75" s="2798"/>
      <c r="BO75" s="2798"/>
      <c r="BP75" s="2798"/>
    </row>
    <row r="76" spans="12:68">
      <c r="L76" s="2798"/>
      <c r="M76" s="2798"/>
      <c r="N76" s="2798"/>
      <c r="O76" s="2798"/>
      <c r="P76" s="2798"/>
      <c r="Q76" s="2798"/>
      <c r="R76" s="2798"/>
      <c r="S76" s="2798"/>
      <c r="T76" s="2798"/>
      <c r="U76" s="2798"/>
      <c r="V76" s="2798"/>
      <c r="W76" s="2798"/>
      <c r="X76" s="2798"/>
      <c r="Y76" s="2798"/>
      <c r="Z76" s="2798"/>
      <c r="AA76" s="2798"/>
      <c r="AB76" s="2798"/>
      <c r="AC76" s="2798"/>
      <c r="AD76" s="2798"/>
      <c r="AE76" s="2798"/>
      <c r="AF76" s="2798"/>
      <c r="AG76" s="2798"/>
      <c r="AH76" s="2798"/>
      <c r="AI76" s="2798"/>
      <c r="AJ76" s="2798"/>
      <c r="AK76" s="2798"/>
      <c r="AL76" s="2798"/>
      <c r="AM76" s="2798"/>
      <c r="AN76" s="2798"/>
      <c r="AO76" s="2798"/>
      <c r="AP76" s="2798"/>
      <c r="AQ76" s="2798"/>
      <c r="AR76" s="2798"/>
      <c r="AS76" s="2798"/>
      <c r="AT76" s="2798"/>
      <c r="AU76" s="2798"/>
      <c r="AV76" s="2798"/>
      <c r="AW76" s="2798"/>
      <c r="AX76" s="2798"/>
      <c r="AY76" s="2798"/>
      <c r="AZ76" s="2798"/>
      <c r="BA76" s="2798"/>
      <c r="BB76" s="2798"/>
      <c r="BC76" s="2798"/>
      <c r="BD76" s="2798"/>
      <c r="BE76" s="2798"/>
      <c r="BF76" s="2798"/>
      <c r="BG76" s="2798"/>
      <c r="BH76" s="2798"/>
      <c r="BI76" s="2798"/>
      <c r="BJ76" s="2798"/>
      <c r="BK76" s="2798"/>
      <c r="BL76" s="2798"/>
      <c r="BM76" s="2798"/>
      <c r="BN76" s="2798"/>
      <c r="BO76" s="2798"/>
      <c r="BP76" s="2798"/>
    </row>
    <row r="77" spans="12:68">
      <c r="L77" s="2798"/>
      <c r="M77" s="2798"/>
      <c r="N77" s="2798"/>
      <c r="O77" s="2798"/>
      <c r="P77" s="2798"/>
      <c r="Q77" s="2798"/>
      <c r="R77" s="2798"/>
      <c r="S77" s="2798"/>
      <c r="T77" s="2798"/>
      <c r="U77" s="2798"/>
      <c r="V77" s="2798"/>
      <c r="W77" s="2798"/>
      <c r="X77" s="2798"/>
      <c r="Y77" s="2798"/>
      <c r="Z77" s="2798"/>
      <c r="AA77" s="2798"/>
      <c r="AB77" s="2798"/>
      <c r="AC77" s="2798"/>
      <c r="AD77" s="2798"/>
      <c r="AE77" s="2798"/>
      <c r="AF77" s="2798"/>
      <c r="AG77" s="2798"/>
      <c r="AH77" s="2798"/>
      <c r="AI77" s="2798"/>
      <c r="AJ77" s="2798"/>
      <c r="AK77" s="2798"/>
      <c r="AL77" s="2798"/>
      <c r="AM77" s="2798"/>
      <c r="AN77" s="2798"/>
      <c r="AO77" s="2798"/>
      <c r="AP77" s="2798"/>
      <c r="AQ77" s="2798"/>
      <c r="AR77" s="2798"/>
      <c r="AS77" s="2798"/>
      <c r="AT77" s="2798"/>
      <c r="AU77" s="2798"/>
      <c r="AV77" s="2798"/>
      <c r="AW77" s="2798"/>
      <c r="AX77" s="2798"/>
      <c r="AY77" s="2798"/>
      <c r="AZ77" s="2798"/>
      <c r="BA77" s="2798"/>
      <c r="BB77" s="2798"/>
      <c r="BC77" s="2798"/>
      <c r="BD77" s="2798"/>
      <c r="BE77" s="2798"/>
      <c r="BF77" s="2798"/>
      <c r="BG77" s="2798"/>
      <c r="BH77" s="2798"/>
      <c r="BI77" s="2798"/>
      <c r="BJ77" s="2798"/>
      <c r="BK77" s="2798"/>
      <c r="BL77" s="2798"/>
      <c r="BM77" s="2798"/>
      <c r="BN77" s="2798"/>
      <c r="BO77" s="2798"/>
      <c r="BP77" s="2798"/>
    </row>
    <row r="78" spans="12:68">
      <c r="L78" s="2798"/>
      <c r="M78" s="2798"/>
      <c r="N78" s="2798"/>
      <c r="O78" s="2798"/>
      <c r="P78" s="2798"/>
      <c r="Q78" s="2798"/>
      <c r="R78" s="2798"/>
      <c r="S78" s="2798"/>
      <c r="T78" s="2798"/>
      <c r="U78" s="2798"/>
      <c r="V78" s="2798"/>
      <c r="W78" s="2798"/>
      <c r="X78" s="2798"/>
      <c r="Y78" s="2798"/>
      <c r="Z78" s="2798"/>
      <c r="AA78" s="2798"/>
      <c r="AB78" s="2798"/>
      <c r="AC78" s="2798"/>
      <c r="AD78" s="2798"/>
      <c r="AE78" s="2798"/>
      <c r="AF78" s="2798"/>
      <c r="AG78" s="2798"/>
      <c r="AH78" s="2798"/>
      <c r="AI78" s="2798"/>
      <c r="AJ78" s="2798"/>
      <c r="AK78" s="2798"/>
      <c r="AL78" s="2798"/>
      <c r="AM78" s="2798"/>
      <c r="AN78" s="2798"/>
      <c r="AO78" s="2798"/>
      <c r="AP78" s="2798"/>
      <c r="AQ78" s="2798"/>
      <c r="AR78" s="2798"/>
      <c r="AS78" s="2798"/>
      <c r="AT78" s="2798"/>
      <c r="AU78" s="2798"/>
      <c r="AV78" s="2798"/>
      <c r="AW78" s="2798"/>
      <c r="AX78" s="2798"/>
      <c r="AY78" s="2798"/>
      <c r="AZ78" s="2798"/>
      <c r="BA78" s="2798"/>
      <c r="BB78" s="2798"/>
      <c r="BC78" s="2798"/>
      <c r="BD78" s="2798"/>
      <c r="BE78" s="2798"/>
      <c r="BF78" s="2798"/>
      <c r="BG78" s="2798"/>
      <c r="BH78" s="2798"/>
      <c r="BI78" s="2798"/>
      <c r="BJ78" s="2798"/>
      <c r="BK78" s="2798"/>
      <c r="BL78" s="2798"/>
      <c r="BM78" s="2798"/>
      <c r="BN78" s="2798"/>
      <c r="BO78" s="2798"/>
      <c r="BP78" s="2798"/>
    </row>
    <row r="79" spans="12:68">
      <c r="L79" s="2798"/>
      <c r="M79" s="2798"/>
      <c r="N79" s="2798"/>
      <c r="O79" s="2798"/>
      <c r="P79" s="2798"/>
      <c r="Q79" s="2798"/>
      <c r="R79" s="2798"/>
      <c r="S79" s="2798"/>
      <c r="T79" s="2798"/>
      <c r="U79" s="2798"/>
      <c r="V79" s="2798"/>
      <c r="W79" s="2798"/>
      <c r="X79" s="2798"/>
      <c r="Y79" s="2798"/>
      <c r="Z79" s="2798"/>
      <c r="AA79" s="2798"/>
      <c r="AB79" s="2798"/>
      <c r="AC79" s="2798"/>
      <c r="AD79" s="2798"/>
      <c r="AE79" s="2798"/>
      <c r="AF79" s="2798"/>
      <c r="AG79" s="2798"/>
      <c r="AH79" s="2798"/>
      <c r="AI79" s="2798"/>
      <c r="AJ79" s="2798"/>
      <c r="AK79" s="2798"/>
      <c r="AL79" s="2798"/>
      <c r="AM79" s="2798"/>
      <c r="AN79" s="2798"/>
      <c r="AO79" s="2798"/>
      <c r="AP79" s="2798"/>
      <c r="AQ79" s="2798"/>
      <c r="AR79" s="2798"/>
      <c r="AS79" s="2798"/>
      <c r="AT79" s="2798"/>
      <c r="AU79" s="2798"/>
      <c r="AV79" s="2798"/>
      <c r="AW79" s="2798"/>
      <c r="AX79" s="2798"/>
      <c r="AY79" s="2798"/>
      <c r="AZ79" s="2798"/>
      <c r="BA79" s="2798"/>
      <c r="BB79" s="2798"/>
      <c r="BC79" s="2798"/>
      <c r="BD79" s="2798"/>
      <c r="BE79" s="2798"/>
      <c r="BF79" s="2798"/>
      <c r="BG79" s="2798"/>
      <c r="BH79" s="2798"/>
      <c r="BI79" s="2798"/>
      <c r="BJ79" s="2798"/>
      <c r="BK79" s="2798"/>
      <c r="BL79" s="2798"/>
      <c r="BM79" s="2798"/>
      <c r="BN79" s="2798"/>
      <c r="BO79" s="2798"/>
      <c r="BP79" s="2798"/>
    </row>
    <row r="80" spans="12:68">
      <c r="L80" s="2798"/>
      <c r="M80" s="2798"/>
      <c r="N80" s="2798"/>
      <c r="O80" s="2798"/>
      <c r="P80" s="2798"/>
      <c r="Q80" s="2798"/>
      <c r="R80" s="2798"/>
      <c r="S80" s="2798"/>
      <c r="T80" s="2798"/>
      <c r="U80" s="2798"/>
      <c r="V80" s="2798"/>
      <c r="W80" s="2798"/>
      <c r="X80" s="2798"/>
      <c r="Y80" s="2798"/>
      <c r="Z80" s="2798"/>
      <c r="AA80" s="2798"/>
      <c r="AB80" s="2798"/>
      <c r="AC80" s="2798"/>
      <c r="AD80" s="2798"/>
      <c r="AE80" s="2798"/>
      <c r="AF80" s="2798"/>
      <c r="AG80" s="2798"/>
      <c r="AH80" s="2798"/>
      <c r="AI80" s="2798"/>
      <c r="AJ80" s="2798"/>
      <c r="AK80" s="2798"/>
      <c r="AL80" s="2798"/>
      <c r="AM80" s="2798"/>
      <c r="AN80" s="2798"/>
      <c r="AO80" s="2798"/>
      <c r="AP80" s="2798"/>
      <c r="AQ80" s="2798"/>
      <c r="AR80" s="2798"/>
      <c r="AS80" s="2798"/>
      <c r="AT80" s="2798"/>
      <c r="AU80" s="2798"/>
      <c r="AV80" s="2798"/>
      <c r="AW80" s="2798"/>
      <c r="AX80" s="2798"/>
      <c r="AY80" s="2798"/>
      <c r="AZ80" s="2798"/>
      <c r="BA80" s="2798"/>
      <c r="BB80" s="2798"/>
      <c r="BC80" s="2798"/>
      <c r="BD80" s="2798"/>
      <c r="BE80" s="2798"/>
      <c r="BF80" s="2798"/>
      <c r="BG80" s="2798"/>
      <c r="BH80" s="2798"/>
      <c r="BI80" s="2798"/>
      <c r="BJ80" s="2798"/>
      <c r="BK80" s="2798"/>
      <c r="BL80" s="2798"/>
      <c r="BM80" s="2798"/>
      <c r="BN80" s="2798"/>
      <c r="BO80" s="2798"/>
      <c r="BP80" s="2798"/>
    </row>
    <row r="81" spans="12:68">
      <c r="L81" s="2798"/>
      <c r="M81" s="2798"/>
      <c r="N81" s="2798"/>
      <c r="O81" s="2798"/>
      <c r="P81" s="2798"/>
      <c r="Q81" s="2798"/>
      <c r="R81" s="2798"/>
      <c r="S81" s="2798"/>
      <c r="T81" s="2798"/>
      <c r="U81" s="2798"/>
      <c r="V81" s="2798"/>
      <c r="W81" s="2798"/>
      <c r="X81" s="2798"/>
      <c r="Y81" s="2798"/>
      <c r="Z81" s="2798"/>
      <c r="AA81" s="2798"/>
      <c r="AB81" s="2798"/>
      <c r="AC81" s="2798"/>
      <c r="AD81" s="2798"/>
      <c r="AE81" s="2798"/>
      <c r="AF81" s="2798"/>
      <c r="AG81" s="2798"/>
      <c r="AH81" s="2798"/>
      <c r="AI81" s="2798"/>
      <c r="AJ81" s="2798"/>
      <c r="AK81" s="2798"/>
      <c r="AL81" s="2798"/>
      <c r="AM81" s="2798"/>
      <c r="AN81" s="2798"/>
      <c r="AO81" s="2798"/>
      <c r="AP81" s="2798"/>
      <c r="AQ81" s="2798"/>
      <c r="AR81" s="2798"/>
      <c r="AS81" s="2798"/>
      <c r="AT81" s="2798"/>
      <c r="AU81" s="2798"/>
      <c r="AV81" s="2798"/>
      <c r="AW81" s="2798"/>
      <c r="AX81" s="2798"/>
      <c r="AY81" s="2798"/>
      <c r="AZ81" s="2798"/>
      <c r="BA81" s="2798"/>
      <c r="BB81" s="2798"/>
      <c r="BC81" s="2798"/>
      <c r="BD81" s="2798"/>
      <c r="BE81" s="2798"/>
      <c r="BF81" s="2798"/>
      <c r="BG81" s="2798"/>
      <c r="BH81" s="2798"/>
      <c r="BI81" s="2798"/>
      <c r="BJ81" s="2798"/>
      <c r="BK81" s="2798"/>
      <c r="BL81" s="2798"/>
      <c r="BM81" s="2798"/>
      <c r="BN81" s="2798"/>
      <c r="BO81" s="2798"/>
      <c r="BP81" s="2798"/>
    </row>
    <row r="82" spans="12:68">
      <c r="L82" s="2798"/>
      <c r="M82" s="2798"/>
      <c r="N82" s="2798"/>
      <c r="O82" s="2798"/>
      <c r="P82" s="2798"/>
      <c r="Q82" s="2798"/>
      <c r="R82" s="2798"/>
      <c r="S82" s="2798"/>
      <c r="T82" s="2798"/>
      <c r="U82" s="2798"/>
      <c r="V82" s="2798"/>
      <c r="W82" s="2798"/>
      <c r="X82" s="2798"/>
      <c r="Y82" s="2798"/>
      <c r="Z82" s="2798"/>
      <c r="AA82" s="2798"/>
      <c r="AB82" s="2798"/>
      <c r="AC82" s="2798"/>
      <c r="AD82" s="2798"/>
      <c r="AE82" s="2798"/>
      <c r="AF82" s="2798"/>
      <c r="AG82" s="2798"/>
      <c r="AH82" s="2798"/>
      <c r="AI82" s="2798"/>
      <c r="AJ82" s="2798"/>
      <c r="AK82" s="2798"/>
      <c r="AL82" s="2798"/>
      <c r="AM82" s="2798"/>
      <c r="AN82" s="2798"/>
      <c r="AO82" s="2798"/>
      <c r="AP82" s="2798"/>
      <c r="AQ82" s="2798"/>
      <c r="AR82" s="2798"/>
      <c r="AS82" s="2798"/>
      <c r="AT82" s="2798"/>
      <c r="AU82" s="2798"/>
      <c r="AV82" s="2798"/>
      <c r="AW82" s="2798"/>
      <c r="AX82" s="2798"/>
      <c r="AY82" s="2798"/>
      <c r="AZ82" s="2798"/>
      <c r="BA82" s="2798"/>
      <c r="BB82" s="2798"/>
      <c r="BC82" s="2798"/>
      <c r="BD82" s="2798"/>
      <c r="BE82" s="2798"/>
      <c r="BF82" s="2798"/>
      <c r="BG82" s="2798"/>
      <c r="BH82" s="2798"/>
      <c r="BI82" s="2798"/>
      <c r="BJ82" s="2798"/>
      <c r="BK82" s="2798"/>
      <c r="BL82" s="2798"/>
      <c r="BM82" s="2798"/>
      <c r="BN82" s="2798"/>
      <c r="BO82" s="2798"/>
      <c r="BP82" s="2798"/>
    </row>
    <row r="83" spans="12:68">
      <c r="L83" s="2798"/>
      <c r="M83" s="2798"/>
      <c r="N83" s="2798"/>
      <c r="O83" s="2798"/>
      <c r="P83" s="2798"/>
      <c r="Q83" s="2798"/>
      <c r="R83" s="2798"/>
      <c r="S83" s="2798"/>
      <c r="T83" s="2798"/>
      <c r="U83" s="2798"/>
      <c r="V83" s="2798"/>
      <c r="W83" s="2798"/>
      <c r="X83" s="2798"/>
      <c r="Y83" s="2798"/>
      <c r="Z83" s="2798"/>
      <c r="AA83" s="2798"/>
      <c r="AB83" s="2798"/>
      <c r="AC83" s="2798"/>
      <c r="AD83" s="2798"/>
      <c r="AE83" s="2798"/>
      <c r="AF83" s="2798"/>
      <c r="AG83" s="2798"/>
      <c r="AH83" s="2798"/>
      <c r="AI83" s="2798"/>
      <c r="AJ83" s="2798"/>
      <c r="AK83" s="2798"/>
      <c r="AL83" s="2798"/>
      <c r="AM83" s="2798"/>
      <c r="AN83" s="2798"/>
      <c r="AO83" s="2798"/>
      <c r="AP83" s="2798"/>
      <c r="AQ83" s="2798"/>
      <c r="AR83" s="2798"/>
      <c r="AS83" s="2798"/>
      <c r="AT83" s="2798"/>
      <c r="AU83" s="2798"/>
      <c r="AV83" s="2798"/>
      <c r="AW83" s="2798"/>
      <c r="AX83" s="2798"/>
      <c r="AY83" s="2798"/>
      <c r="AZ83" s="2798"/>
      <c r="BA83" s="2798"/>
      <c r="BB83" s="2798"/>
      <c r="BC83" s="2798"/>
      <c r="BD83" s="2798"/>
      <c r="BE83" s="2798"/>
      <c r="BF83" s="2798"/>
      <c r="BG83" s="2798"/>
      <c r="BH83" s="2798"/>
      <c r="BI83" s="2798"/>
      <c r="BJ83" s="2798"/>
      <c r="BK83" s="2798"/>
      <c r="BL83" s="2798"/>
      <c r="BM83" s="2798"/>
      <c r="BN83" s="2798"/>
      <c r="BO83" s="2798"/>
      <c r="BP83" s="2798"/>
    </row>
    <row r="84" spans="12:68">
      <c r="L84" s="2798"/>
      <c r="M84" s="2798"/>
      <c r="N84" s="2798"/>
      <c r="O84" s="2798"/>
      <c r="P84" s="2798"/>
      <c r="Q84" s="2798"/>
      <c r="R84" s="2798"/>
      <c r="S84" s="2798"/>
      <c r="T84" s="2798"/>
      <c r="U84" s="2798"/>
      <c r="V84" s="2798"/>
      <c r="W84" s="2798"/>
      <c r="X84" s="2798"/>
      <c r="Y84" s="2798"/>
      <c r="Z84" s="2798"/>
      <c r="AA84" s="2798"/>
      <c r="AB84" s="2798"/>
      <c r="AC84" s="2798"/>
      <c r="AD84" s="2798"/>
      <c r="AE84" s="2798"/>
      <c r="AF84" s="2798"/>
      <c r="AG84" s="2798"/>
      <c r="AH84" s="2798"/>
      <c r="AI84" s="2798"/>
      <c r="AJ84" s="2798"/>
      <c r="AK84" s="2798"/>
      <c r="AL84" s="2798"/>
      <c r="AM84" s="2798"/>
      <c r="AN84" s="2798"/>
      <c r="AO84" s="2798"/>
      <c r="AP84" s="2798"/>
      <c r="AQ84" s="2798"/>
      <c r="AR84" s="2798"/>
      <c r="AS84" s="2798"/>
      <c r="AT84" s="2798"/>
      <c r="AU84" s="2798"/>
      <c r="AV84" s="2798"/>
      <c r="AW84" s="2798"/>
      <c r="AX84" s="2798"/>
      <c r="AY84" s="2798"/>
      <c r="AZ84" s="2798"/>
      <c r="BA84" s="2798"/>
      <c r="BB84" s="2798"/>
      <c r="BC84" s="2798"/>
      <c r="BD84" s="2798"/>
      <c r="BE84" s="2798"/>
      <c r="BF84" s="2798"/>
      <c r="BG84" s="2798"/>
      <c r="BH84" s="2798"/>
      <c r="BI84" s="2798"/>
      <c r="BJ84" s="2798"/>
      <c r="BK84" s="2798"/>
      <c r="BL84" s="2798"/>
      <c r="BM84" s="2798"/>
      <c r="BN84" s="2798"/>
      <c r="BO84" s="2798"/>
      <c r="BP84" s="2798"/>
    </row>
    <row r="85" spans="12:68">
      <c r="L85" s="2798"/>
      <c r="M85" s="2798"/>
      <c r="N85" s="2798"/>
      <c r="O85" s="2798"/>
      <c r="P85" s="2798"/>
      <c r="Q85" s="2798"/>
      <c r="R85" s="2798"/>
      <c r="S85" s="2798"/>
      <c r="T85" s="2798"/>
      <c r="U85" s="2798"/>
      <c r="V85" s="2798"/>
      <c r="W85" s="2798"/>
      <c r="X85" s="2798"/>
      <c r="Y85" s="2798"/>
      <c r="Z85" s="2798"/>
      <c r="AA85" s="2798"/>
      <c r="AB85" s="2798"/>
      <c r="AC85" s="2798"/>
      <c r="AD85" s="2798"/>
      <c r="AE85" s="2798"/>
      <c r="AF85" s="2798"/>
      <c r="AG85" s="2798"/>
      <c r="AH85" s="2798"/>
      <c r="AI85" s="2798"/>
      <c r="AJ85" s="2798"/>
      <c r="AK85" s="2798"/>
      <c r="AL85" s="2798"/>
      <c r="AM85" s="2798"/>
      <c r="AN85" s="2798"/>
      <c r="AO85" s="2798"/>
      <c r="AP85" s="2798"/>
      <c r="AQ85" s="2798"/>
      <c r="AR85" s="2798"/>
      <c r="AS85" s="2798"/>
      <c r="AT85" s="2798"/>
      <c r="AU85" s="2798"/>
      <c r="AV85" s="2798"/>
      <c r="AW85" s="2798"/>
      <c r="AX85" s="2798"/>
      <c r="AY85" s="2798"/>
      <c r="AZ85" s="2798"/>
      <c r="BA85" s="2798"/>
      <c r="BB85" s="2798"/>
      <c r="BC85" s="2798"/>
      <c r="BD85" s="2798"/>
      <c r="BE85" s="2798"/>
      <c r="BF85" s="2798"/>
      <c r="BG85" s="2798"/>
      <c r="BH85" s="2798"/>
      <c r="BI85" s="2798"/>
      <c r="BJ85" s="2798"/>
      <c r="BK85" s="2798"/>
      <c r="BL85" s="2798"/>
      <c r="BM85" s="2798"/>
      <c r="BN85" s="2798"/>
      <c r="BO85" s="2798"/>
      <c r="BP85" s="2798"/>
    </row>
    <row r="86" spans="12:68">
      <c r="L86" s="2798"/>
      <c r="M86" s="2798"/>
      <c r="N86" s="2798"/>
      <c r="O86" s="2798"/>
      <c r="P86" s="2798"/>
      <c r="Q86" s="2798"/>
      <c r="R86" s="2798"/>
      <c r="S86" s="2798"/>
      <c r="T86" s="2798"/>
      <c r="U86" s="2798"/>
      <c r="V86" s="2798"/>
      <c r="W86" s="2798"/>
      <c r="X86" s="2798"/>
      <c r="Y86" s="2798"/>
      <c r="Z86" s="2798"/>
      <c r="AA86" s="2798"/>
      <c r="AB86" s="2798"/>
      <c r="AC86" s="2798"/>
      <c r="AD86" s="2798"/>
      <c r="AE86" s="2798"/>
      <c r="AF86" s="2798"/>
      <c r="AG86" s="2798"/>
      <c r="AH86" s="2798"/>
      <c r="AI86" s="2798"/>
      <c r="AJ86" s="2798"/>
      <c r="AK86" s="2798"/>
      <c r="AL86" s="2798"/>
      <c r="AM86" s="2798"/>
      <c r="AN86" s="2798"/>
      <c r="AO86" s="2798"/>
      <c r="AP86" s="2798"/>
      <c r="AQ86" s="2798"/>
      <c r="AR86" s="2798"/>
      <c r="AS86" s="2798"/>
      <c r="AT86" s="2798"/>
      <c r="AU86" s="2798"/>
      <c r="AV86" s="2798"/>
      <c r="AW86" s="2798"/>
      <c r="AX86" s="2798"/>
      <c r="AY86" s="2798"/>
      <c r="AZ86" s="2798"/>
      <c r="BA86" s="2798"/>
      <c r="BB86" s="2798"/>
      <c r="BC86" s="2798"/>
      <c r="BD86" s="2798"/>
      <c r="BE86" s="2798"/>
      <c r="BF86" s="2798"/>
      <c r="BG86" s="2798"/>
      <c r="BH86" s="2798"/>
      <c r="BI86" s="2798"/>
      <c r="BJ86" s="2798"/>
      <c r="BK86" s="2798"/>
      <c r="BL86" s="2798"/>
      <c r="BM86" s="2798"/>
      <c r="BN86" s="2798"/>
      <c r="BO86" s="2798"/>
      <c r="BP86" s="2798"/>
    </row>
    <row r="87" spans="12:68">
      <c r="L87" s="2798"/>
      <c r="M87" s="2798"/>
      <c r="N87" s="2798"/>
      <c r="O87" s="2798"/>
      <c r="P87" s="2798"/>
      <c r="Q87" s="2798"/>
      <c r="R87" s="2798"/>
      <c r="S87" s="2798"/>
      <c r="T87" s="2798"/>
      <c r="U87" s="2798"/>
      <c r="V87" s="2798"/>
      <c r="W87" s="2798"/>
      <c r="X87" s="2798"/>
      <c r="Y87" s="2798"/>
      <c r="Z87" s="2798"/>
      <c r="AA87" s="2798"/>
      <c r="AB87" s="2798"/>
      <c r="AC87" s="2798"/>
      <c r="AD87" s="2798"/>
      <c r="AE87" s="2798"/>
      <c r="AF87" s="2798"/>
      <c r="AG87" s="2798"/>
      <c r="AH87" s="2798"/>
      <c r="AI87" s="2798"/>
      <c r="AJ87" s="2798"/>
      <c r="AK87" s="2798"/>
      <c r="AL87" s="2798"/>
      <c r="AM87" s="2798"/>
      <c r="AN87" s="2798"/>
      <c r="AO87" s="2798"/>
      <c r="AP87" s="2798"/>
      <c r="AQ87" s="2798"/>
      <c r="AR87" s="2798"/>
      <c r="AS87" s="2798"/>
      <c r="AT87" s="2798"/>
      <c r="AU87" s="2798"/>
      <c r="AV87" s="2798"/>
      <c r="AW87" s="2798"/>
      <c r="AX87" s="2798"/>
      <c r="AY87" s="2798"/>
      <c r="AZ87" s="2798"/>
      <c r="BA87" s="2798"/>
      <c r="BB87" s="2798"/>
      <c r="BC87" s="2798"/>
      <c r="BD87" s="2798"/>
      <c r="BE87" s="2798"/>
      <c r="BF87" s="2798"/>
      <c r="BG87" s="2798"/>
      <c r="BH87" s="2798"/>
      <c r="BI87" s="2798"/>
      <c r="BJ87" s="2798"/>
      <c r="BK87" s="2798"/>
      <c r="BL87" s="2798"/>
      <c r="BM87" s="2798"/>
      <c r="BN87" s="2798"/>
      <c r="BO87" s="2798"/>
      <c r="BP87" s="2798"/>
    </row>
    <row r="88" spans="12:68">
      <c r="L88" s="2798"/>
      <c r="M88" s="2798"/>
      <c r="N88" s="2798"/>
      <c r="O88" s="2798"/>
      <c r="P88" s="2798"/>
      <c r="Q88" s="2798"/>
      <c r="R88" s="2798"/>
      <c r="S88" s="2798"/>
      <c r="T88" s="2798"/>
      <c r="U88" s="2798"/>
      <c r="V88" s="2798"/>
      <c r="W88" s="2798"/>
      <c r="X88" s="2798"/>
      <c r="Y88" s="2798"/>
      <c r="Z88" s="2798"/>
      <c r="AA88" s="2798"/>
      <c r="AB88" s="2798"/>
      <c r="AC88" s="2798"/>
      <c r="AD88" s="2798"/>
      <c r="AE88" s="2798"/>
      <c r="AF88" s="2798"/>
      <c r="AG88" s="2798"/>
      <c r="AH88" s="2798"/>
      <c r="AI88" s="2798"/>
      <c r="AJ88" s="2798"/>
      <c r="AK88" s="2798"/>
      <c r="AL88" s="2798"/>
      <c r="AM88" s="2798"/>
      <c r="AN88" s="2798"/>
      <c r="AO88" s="2798"/>
      <c r="AP88" s="2798"/>
      <c r="AQ88" s="2798"/>
      <c r="AR88" s="2798"/>
      <c r="AS88" s="2798"/>
      <c r="AT88" s="2798"/>
      <c r="AU88" s="2798"/>
      <c r="AV88" s="2798"/>
      <c r="AW88" s="2798"/>
      <c r="AX88" s="2798"/>
      <c r="AY88" s="2798"/>
      <c r="AZ88" s="2798"/>
      <c r="BA88" s="2798"/>
      <c r="BB88" s="2798"/>
      <c r="BC88" s="2798"/>
      <c r="BD88" s="2798"/>
      <c r="BE88" s="2798"/>
      <c r="BF88" s="2798"/>
      <c r="BG88" s="2798"/>
      <c r="BH88" s="2798"/>
      <c r="BI88" s="2798"/>
      <c r="BJ88" s="2798"/>
      <c r="BK88" s="2798"/>
      <c r="BL88" s="2798"/>
      <c r="BM88" s="2798"/>
      <c r="BN88" s="2798"/>
      <c r="BO88" s="2798"/>
      <c r="BP88" s="2798"/>
    </row>
    <row r="89" spans="12:68">
      <c r="L89" s="2798"/>
      <c r="M89" s="2798"/>
      <c r="N89" s="2798"/>
      <c r="O89" s="2798"/>
      <c r="P89" s="2798"/>
      <c r="Q89" s="2798"/>
      <c r="R89" s="2798"/>
      <c r="S89" s="2798"/>
      <c r="T89" s="2798"/>
      <c r="U89" s="2798"/>
      <c r="V89" s="2798"/>
      <c r="W89" s="2798"/>
      <c r="X89" s="2798"/>
      <c r="Y89" s="2798"/>
      <c r="Z89" s="2798"/>
      <c r="AA89" s="2798"/>
      <c r="AB89" s="2798"/>
      <c r="AC89" s="2798"/>
      <c r="AD89" s="2798"/>
      <c r="AE89" s="2798"/>
      <c r="AF89" s="2798"/>
      <c r="AG89" s="2798"/>
      <c r="AH89" s="2798"/>
      <c r="AI89" s="2798"/>
      <c r="AJ89" s="2798"/>
      <c r="AK89" s="2798"/>
      <c r="AL89" s="2798"/>
      <c r="AM89" s="2798"/>
      <c r="AN89" s="2798"/>
      <c r="AO89" s="2798"/>
      <c r="AP89" s="2798"/>
      <c r="AQ89" s="2798"/>
      <c r="AR89" s="2798"/>
      <c r="AS89" s="2798"/>
      <c r="AT89" s="2798"/>
      <c r="AU89" s="2798"/>
      <c r="AV89" s="2798"/>
      <c r="AW89" s="2798"/>
      <c r="AX89" s="2798"/>
      <c r="AY89" s="2798"/>
      <c r="AZ89" s="2798"/>
      <c r="BA89" s="2798"/>
      <c r="BB89" s="2798"/>
      <c r="BC89" s="2798"/>
      <c r="BD89" s="2798"/>
      <c r="BE89" s="2798"/>
      <c r="BF89" s="2798"/>
      <c r="BG89" s="2798"/>
      <c r="BH89" s="2798"/>
      <c r="BI89" s="2798"/>
      <c r="BJ89" s="2798"/>
      <c r="BK89" s="2798"/>
      <c r="BL89" s="2798"/>
      <c r="BM89" s="2798"/>
      <c r="BN89" s="2798"/>
      <c r="BO89" s="2798"/>
      <c r="BP89" s="2798"/>
    </row>
    <row r="90" spans="12:68">
      <c r="L90" s="2798"/>
      <c r="M90" s="2798"/>
      <c r="N90" s="2798"/>
      <c r="O90" s="2798"/>
      <c r="P90" s="2798"/>
      <c r="Q90" s="2798"/>
      <c r="R90" s="2798"/>
      <c r="S90" s="2798"/>
      <c r="T90" s="2798"/>
      <c r="U90" s="2798"/>
      <c r="V90" s="2798"/>
      <c r="W90" s="2798"/>
      <c r="X90" s="2798"/>
      <c r="Y90" s="2798"/>
      <c r="Z90" s="2798"/>
      <c r="AA90" s="2798"/>
      <c r="AB90" s="2798"/>
      <c r="AC90" s="2798"/>
      <c r="AD90" s="2798"/>
      <c r="AE90" s="2798"/>
      <c r="AF90" s="2798"/>
      <c r="AG90" s="2798"/>
      <c r="AH90" s="2798"/>
      <c r="AI90" s="2798"/>
      <c r="AJ90" s="2798"/>
      <c r="AK90" s="2798"/>
      <c r="AL90" s="2798"/>
      <c r="AM90" s="2798"/>
      <c r="AN90" s="2798"/>
      <c r="AO90" s="2798"/>
      <c r="AP90" s="2798"/>
      <c r="AQ90" s="2798"/>
      <c r="AR90" s="2798"/>
      <c r="AS90" s="2798"/>
      <c r="AT90" s="2798"/>
      <c r="AU90" s="2798"/>
      <c r="AV90" s="2798"/>
      <c r="AW90" s="2798"/>
      <c r="AX90" s="2798"/>
      <c r="AY90" s="2798"/>
      <c r="AZ90" s="2798"/>
      <c r="BA90" s="2798"/>
      <c r="BB90" s="2798"/>
      <c r="BC90" s="2798"/>
      <c r="BD90" s="2798"/>
      <c r="BE90" s="2798"/>
      <c r="BF90" s="2798"/>
      <c r="BG90" s="2798"/>
      <c r="BH90" s="2798"/>
      <c r="BI90" s="2798"/>
      <c r="BJ90" s="2798"/>
      <c r="BK90" s="2798"/>
      <c r="BL90" s="2798"/>
      <c r="BM90" s="2798"/>
      <c r="BN90" s="2798"/>
      <c r="BO90" s="2798"/>
      <c r="BP90" s="2798"/>
    </row>
    <row r="91" spans="12:68">
      <c r="L91" s="2798"/>
      <c r="M91" s="2798"/>
      <c r="N91" s="2798"/>
      <c r="O91" s="2798"/>
      <c r="P91" s="2798"/>
      <c r="Q91" s="2798"/>
      <c r="R91" s="2798"/>
      <c r="S91" s="2798"/>
      <c r="T91" s="2798"/>
      <c r="U91" s="2798"/>
      <c r="V91" s="2798"/>
      <c r="W91" s="2798"/>
      <c r="X91" s="2798"/>
      <c r="Y91" s="2798"/>
      <c r="Z91" s="2798"/>
      <c r="AA91" s="2798"/>
      <c r="AB91" s="2798"/>
      <c r="AC91" s="2798"/>
      <c r="AD91" s="2798"/>
      <c r="AE91" s="2798"/>
      <c r="AF91" s="2798"/>
      <c r="AG91" s="2798"/>
      <c r="AH91" s="2798"/>
      <c r="AI91" s="2798"/>
      <c r="AJ91" s="2798"/>
      <c r="AK91" s="2798"/>
      <c r="AL91" s="2798"/>
      <c r="AM91" s="2798"/>
      <c r="AN91" s="2798"/>
      <c r="AO91" s="2798"/>
      <c r="AP91" s="2798"/>
      <c r="AQ91" s="2798"/>
      <c r="AR91" s="2798"/>
      <c r="AS91" s="2798"/>
      <c r="AT91" s="2798"/>
      <c r="AU91" s="2798"/>
      <c r="AV91" s="2798"/>
      <c r="AW91" s="2798"/>
      <c r="AX91" s="2798"/>
      <c r="AY91" s="2798"/>
      <c r="AZ91" s="2798"/>
      <c r="BA91" s="2798"/>
      <c r="BB91" s="2798"/>
      <c r="BC91" s="2798"/>
      <c r="BD91" s="2798"/>
      <c r="BE91" s="2798"/>
      <c r="BF91" s="2798"/>
      <c r="BG91" s="2798"/>
      <c r="BH91" s="2798"/>
      <c r="BI91" s="2798"/>
      <c r="BJ91" s="2798"/>
      <c r="BK91" s="2798"/>
      <c r="BL91" s="2798"/>
      <c r="BM91" s="2798"/>
      <c r="BN91" s="2798"/>
      <c r="BO91" s="2798"/>
      <c r="BP91" s="2798"/>
    </row>
    <row r="92" spans="12:68">
      <c r="L92" s="2798"/>
      <c r="M92" s="2798"/>
      <c r="N92" s="2798"/>
      <c r="O92" s="2798"/>
      <c r="P92" s="2798"/>
      <c r="Q92" s="2798"/>
      <c r="R92" s="2798"/>
      <c r="S92" s="2798"/>
      <c r="T92" s="2798"/>
      <c r="U92" s="2798"/>
      <c r="V92" s="2798"/>
      <c r="W92" s="2798"/>
      <c r="X92" s="2798"/>
      <c r="Y92" s="2798"/>
      <c r="Z92" s="2798"/>
      <c r="AA92" s="2798"/>
      <c r="AB92" s="2798"/>
      <c r="AC92" s="2798"/>
      <c r="AD92" s="2798"/>
      <c r="AE92" s="2798"/>
      <c r="AF92" s="2798"/>
      <c r="AG92" s="2798"/>
      <c r="AH92" s="2798"/>
      <c r="AI92" s="2798"/>
      <c r="AJ92" s="2798"/>
      <c r="AK92" s="2798"/>
      <c r="AL92" s="2798"/>
      <c r="AM92" s="2798"/>
      <c r="AN92" s="2798"/>
      <c r="AO92" s="2798"/>
      <c r="AP92" s="2798"/>
      <c r="AQ92" s="2798"/>
      <c r="AR92" s="2798"/>
      <c r="AS92" s="2798"/>
      <c r="AT92" s="2798"/>
      <c r="AU92" s="2798"/>
      <c r="AV92" s="2798"/>
      <c r="AW92" s="2798"/>
      <c r="AX92" s="2798"/>
      <c r="AY92" s="2798"/>
      <c r="AZ92" s="2798"/>
      <c r="BA92" s="2798"/>
      <c r="BB92" s="2798"/>
      <c r="BC92" s="2798"/>
      <c r="BD92" s="2798"/>
      <c r="BE92" s="2798"/>
      <c r="BF92" s="2798"/>
      <c r="BG92" s="2798"/>
      <c r="BH92" s="2798"/>
      <c r="BI92" s="2798"/>
      <c r="BJ92" s="2798"/>
      <c r="BK92" s="2798"/>
      <c r="BL92" s="2798"/>
      <c r="BM92" s="2798"/>
      <c r="BN92" s="2798"/>
      <c r="BO92" s="2798"/>
      <c r="BP92" s="2798"/>
    </row>
    <row r="93" spans="12:68">
      <c r="L93" s="2798"/>
      <c r="M93" s="2798"/>
      <c r="N93" s="2798"/>
      <c r="O93" s="2798"/>
      <c r="P93" s="2798"/>
      <c r="Q93" s="2798"/>
      <c r="R93" s="2798"/>
      <c r="S93" s="2798"/>
      <c r="T93" s="2798"/>
      <c r="U93" s="2798"/>
      <c r="V93" s="2798"/>
      <c r="W93" s="2798"/>
      <c r="X93" s="2798"/>
      <c r="Y93" s="2798"/>
      <c r="Z93" s="2798"/>
      <c r="AA93" s="2798"/>
      <c r="AB93" s="2798"/>
      <c r="AC93" s="2798"/>
      <c r="AD93" s="2798"/>
      <c r="AE93" s="2798"/>
      <c r="AF93" s="2798"/>
      <c r="AG93" s="2798"/>
      <c r="AH93" s="2798"/>
      <c r="AI93" s="2798"/>
      <c r="AJ93" s="2798"/>
      <c r="AK93" s="2798"/>
      <c r="AL93" s="2798"/>
      <c r="AM93" s="2798"/>
      <c r="AN93" s="2798"/>
      <c r="AO93" s="2798"/>
      <c r="AP93" s="2798"/>
      <c r="AQ93" s="2798"/>
      <c r="AR93" s="2798"/>
      <c r="AS93" s="2798"/>
      <c r="AT93" s="2798"/>
      <c r="AU93" s="2798"/>
      <c r="AV93" s="2798"/>
      <c r="AW93" s="2798"/>
      <c r="AX93" s="2798"/>
      <c r="AY93" s="2798"/>
      <c r="AZ93" s="2798"/>
      <c r="BA93" s="2798"/>
      <c r="BB93" s="2798"/>
      <c r="BC93" s="2798"/>
      <c r="BD93" s="2798"/>
      <c r="BE93" s="2798"/>
      <c r="BF93" s="2798"/>
      <c r="BG93" s="2798"/>
      <c r="BH93" s="2798"/>
      <c r="BI93" s="2798"/>
      <c r="BJ93" s="2798"/>
      <c r="BK93" s="2798"/>
      <c r="BL93" s="2798"/>
      <c r="BM93" s="2798"/>
      <c r="BN93" s="2798"/>
      <c r="BO93" s="2798"/>
      <c r="BP93" s="2798"/>
    </row>
    <row r="94" spans="12:68">
      <c r="L94" s="2798"/>
      <c r="M94" s="2798"/>
      <c r="N94" s="2798"/>
      <c r="O94" s="2798"/>
      <c r="P94" s="2798"/>
      <c r="Q94" s="2798"/>
      <c r="R94" s="2798"/>
      <c r="S94" s="2798"/>
      <c r="T94" s="2798"/>
      <c r="U94" s="2798"/>
      <c r="V94" s="2798"/>
      <c r="W94" s="2798"/>
      <c r="X94" s="2798"/>
      <c r="Y94" s="2798"/>
      <c r="Z94" s="2798"/>
      <c r="AA94" s="2798"/>
      <c r="AB94" s="2798"/>
      <c r="AC94" s="2798"/>
      <c r="AD94" s="2798"/>
      <c r="AE94" s="2798"/>
      <c r="AF94" s="2798"/>
      <c r="AG94" s="2798"/>
      <c r="AH94" s="2798"/>
      <c r="AI94" s="2798"/>
      <c r="AJ94" s="2798"/>
      <c r="AK94" s="2798"/>
      <c r="AL94" s="2798"/>
      <c r="AM94" s="2798"/>
      <c r="AN94" s="2798"/>
      <c r="AO94" s="2798"/>
      <c r="AP94" s="2798"/>
      <c r="AQ94" s="2798"/>
      <c r="AR94" s="2798"/>
      <c r="AS94" s="2798"/>
      <c r="AT94" s="2798"/>
      <c r="AU94" s="2798"/>
      <c r="AV94" s="2798"/>
      <c r="AW94" s="2798"/>
      <c r="AX94" s="2798"/>
      <c r="AY94" s="2798"/>
      <c r="AZ94" s="2798"/>
      <c r="BA94" s="2798"/>
      <c r="BB94" s="2798"/>
      <c r="BC94" s="2798"/>
      <c r="BD94" s="2798"/>
      <c r="BE94" s="2798"/>
      <c r="BF94" s="2798"/>
      <c r="BG94" s="2798"/>
      <c r="BH94" s="2798"/>
      <c r="BI94" s="2798"/>
      <c r="BJ94" s="2798"/>
      <c r="BK94" s="2798"/>
      <c r="BL94" s="2798"/>
      <c r="BM94" s="2798"/>
      <c r="BN94" s="2798"/>
      <c r="BO94" s="2798"/>
      <c r="BP94" s="2798"/>
    </row>
    <row r="95" spans="12:68">
      <c r="L95" s="2798"/>
      <c r="M95" s="2798"/>
      <c r="N95" s="2798"/>
      <c r="O95" s="2798"/>
      <c r="P95" s="2798"/>
      <c r="Q95" s="2798"/>
      <c r="R95" s="2798"/>
      <c r="S95" s="2798"/>
      <c r="T95" s="2798"/>
      <c r="U95" s="2798"/>
      <c r="V95" s="2798"/>
      <c r="W95" s="2798"/>
      <c r="X95" s="2798"/>
      <c r="Y95" s="2798"/>
      <c r="Z95" s="2798"/>
      <c r="AA95" s="2798"/>
      <c r="AB95" s="2798"/>
      <c r="AC95" s="2798"/>
      <c r="AD95" s="2798"/>
      <c r="AE95" s="2798"/>
      <c r="AF95" s="2798"/>
      <c r="AG95" s="2798"/>
      <c r="AH95" s="2798"/>
      <c r="AI95" s="2798"/>
      <c r="AJ95" s="2798"/>
      <c r="AK95" s="2798"/>
      <c r="AL95" s="2798"/>
      <c r="AM95" s="2798"/>
      <c r="AN95" s="2798"/>
      <c r="AO95" s="2798"/>
      <c r="AP95" s="2798"/>
      <c r="AQ95" s="2798"/>
      <c r="AR95" s="2798"/>
      <c r="AS95" s="2798"/>
      <c r="AT95" s="2798"/>
      <c r="AU95" s="2798"/>
      <c r="AV95" s="2798"/>
      <c r="AW95" s="2798"/>
      <c r="AX95" s="2798"/>
      <c r="AY95" s="2798"/>
      <c r="AZ95" s="2798"/>
      <c r="BA95" s="2798"/>
      <c r="BB95" s="2798"/>
      <c r="BC95" s="2798"/>
      <c r="BD95" s="2798"/>
      <c r="BE95" s="2798"/>
      <c r="BF95" s="2798"/>
      <c r="BG95" s="2798"/>
      <c r="BH95" s="2798"/>
      <c r="BI95" s="2798"/>
      <c r="BJ95" s="2798"/>
      <c r="BK95" s="2798"/>
      <c r="BL95" s="2798"/>
      <c r="BM95" s="2798"/>
      <c r="BN95" s="2798"/>
      <c r="BO95" s="2798"/>
      <c r="BP95" s="2798"/>
    </row>
    <row r="96" spans="12:68">
      <c r="L96" s="2798"/>
      <c r="M96" s="2798"/>
      <c r="N96" s="2798"/>
      <c r="O96" s="2798"/>
      <c r="P96" s="2798"/>
      <c r="Q96" s="2798"/>
      <c r="R96" s="2798"/>
      <c r="S96" s="2798"/>
      <c r="T96" s="2798"/>
      <c r="U96" s="2798"/>
      <c r="V96" s="2798"/>
      <c r="W96" s="2798"/>
      <c r="X96" s="2798"/>
      <c r="Y96" s="2798"/>
      <c r="Z96" s="2798"/>
      <c r="AA96" s="2798"/>
      <c r="AB96" s="2798"/>
      <c r="AC96" s="2798"/>
      <c r="AD96" s="2798"/>
      <c r="AE96" s="2798"/>
      <c r="AF96" s="2798"/>
      <c r="AG96" s="2798"/>
      <c r="AH96" s="2798"/>
      <c r="AI96" s="2798"/>
      <c r="AJ96" s="2798"/>
      <c r="AK96" s="2798"/>
      <c r="AL96" s="2798"/>
      <c r="AM96" s="2798"/>
      <c r="AN96" s="2798"/>
      <c r="AO96" s="2798"/>
      <c r="AP96" s="2798"/>
      <c r="AQ96" s="2798"/>
      <c r="AR96" s="2798"/>
      <c r="AS96" s="2798"/>
      <c r="AT96" s="2798"/>
      <c r="AU96" s="2798"/>
      <c r="AV96" s="2798"/>
      <c r="AW96" s="2798"/>
      <c r="AX96" s="2798"/>
      <c r="AY96" s="2798"/>
      <c r="AZ96" s="2798"/>
      <c r="BA96" s="2798"/>
      <c r="BB96" s="2798"/>
      <c r="BC96" s="2798"/>
      <c r="BD96" s="2798"/>
      <c r="BE96" s="2798"/>
      <c r="BF96" s="2798"/>
      <c r="BG96" s="2798"/>
      <c r="BH96" s="2798"/>
      <c r="BI96" s="2798"/>
      <c r="BJ96" s="2798"/>
      <c r="BK96" s="2798"/>
      <c r="BL96" s="2798"/>
      <c r="BM96" s="2798"/>
      <c r="BN96" s="2798"/>
      <c r="BO96" s="2798"/>
      <c r="BP96" s="2798"/>
    </row>
    <row r="97" spans="12:68">
      <c r="L97" s="2798"/>
      <c r="M97" s="2798"/>
      <c r="N97" s="2798"/>
      <c r="O97" s="2798"/>
      <c r="P97" s="2798"/>
      <c r="Q97" s="2798"/>
      <c r="R97" s="2798"/>
      <c r="S97" s="2798"/>
      <c r="T97" s="2798"/>
      <c r="U97" s="2798"/>
      <c r="V97" s="2798"/>
      <c r="W97" s="2798"/>
      <c r="X97" s="2798"/>
      <c r="Y97" s="2798"/>
      <c r="Z97" s="2798"/>
      <c r="AA97" s="2798"/>
      <c r="AB97" s="2798"/>
      <c r="AC97" s="2798"/>
      <c r="AD97" s="2798"/>
      <c r="AE97" s="2798"/>
      <c r="AF97" s="2798"/>
      <c r="AG97" s="2798"/>
      <c r="AH97" s="2798"/>
      <c r="AI97" s="2798"/>
      <c r="AJ97" s="2798"/>
      <c r="AK97" s="2798"/>
      <c r="AL97" s="2798"/>
      <c r="AM97" s="2798"/>
      <c r="AN97" s="2798"/>
      <c r="AO97" s="2798"/>
      <c r="AP97" s="2798"/>
      <c r="AQ97" s="2798"/>
      <c r="AR97" s="2798"/>
      <c r="AS97" s="2798"/>
      <c r="AT97" s="2798"/>
      <c r="AU97" s="2798"/>
      <c r="AV97" s="2798"/>
      <c r="AW97" s="2798"/>
      <c r="AX97" s="2798"/>
      <c r="AY97" s="2798"/>
      <c r="AZ97" s="2798"/>
      <c r="BA97" s="2798"/>
      <c r="BB97" s="2798"/>
      <c r="BC97" s="2798"/>
      <c r="BD97" s="2798"/>
      <c r="BE97" s="2798"/>
      <c r="BF97" s="2798"/>
      <c r="BG97" s="2798"/>
      <c r="BH97" s="2798"/>
      <c r="BI97" s="2798"/>
      <c r="BJ97" s="2798"/>
      <c r="BK97" s="2798"/>
      <c r="BL97" s="2798"/>
      <c r="BM97" s="2798"/>
      <c r="BN97" s="2798"/>
      <c r="BO97" s="2798"/>
      <c r="BP97" s="2798"/>
    </row>
    <row r="98" spans="12:68">
      <c r="L98" s="2798"/>
      <c r="M98" s="2798"/>
      <c r="N98" s="2798"/>
      <c r="O98" s="2798"/>
      <c r="P98" s="2798"/>
      <c r="Q98" s="2798"/>
      <c r="R98" s="2798"/>
      <c r="S98" s="2798"/>
      <c r="T98" s="2798"/>
      <c r="U98" s="2798"/>
      <c r="V98" s="2798"/>
      <c r="W98" s="2798"/>
      <c r="X98" s="2798"/>
      <c r="Y98" s="2798"/>
      <c r="Z98" s="2798"/>
      <c r="AA98" s="2798"/>
      <c r="AB98" s="2798"/>
      <c r="AC98" s="2798"/>
      <c r="AD98" s="2798"/>
      <c r="AE98" s="2798"/>
      <c r="AF98" s="2798"/>
      <c r="AG98" s="2798"/>
      <c r="AH98" s="2798"/>
      <c r="AI98" s="2798"/>
      <c r="AJ98" s="2798"/>
      <c r="AK98" s="2798"/>
      <c r="AL98" s="2798"/>
      <c r="AM98" s="2798"/>
      <c r="AN98" s="2798"/>
      <c r="AO98" s="2798"/>
      <c r="AP98" s="2798"/>
      <c r="AQ98" s="2798"/>
      <c r="AR98" s="2798"/>
      <c r="AS98" s="2798"/>
      <c r="AT98" s="2798"/>
      <c r="AU98" s="2798"/>
      <c r="AV98" s="2798"/>
      <c r="AW98" s="2798"/>
      <c r="AX98" s="2798"/>
      <c r="AY98" s="2798"/>
      <c r="AZ98" s="2798"/>
      <c r="BA98" s="2798"/>
      <c r="BB98" s="2798"/>
      <c r="BC98" s="2798"/>
      <c r="BD98" s="2798"/>
      <c r="BE98" s="2798"/>
      <c r="BF98" s="2798"/>
      <c r="BG98" s="2798"/>
      <c r="BH98" s="2798"/>
      <c r="BI98" s="2798"/>
      <c r="BJ98" s="2798"/>
      <c r="BK98" s="2798"/>
      <c r="BL98" s="2798"/>
      <c r="BM98" s="2798"/>
      <c r="BN98" s="2798"/>
      <c r="BO98" s="2798"/>
      <c r="BP98" s="2798"/>
    </row>
    <row r="99" spans="12:68">
      <c r="L99" s="2798"/>
      <c r="M99" s="2798"/>
      <c r="N99" s="2798"/>
      <c r="O99" s="2798"/>
      <c r="P99" s="2798"/>
      <c r="Q99" s="2798"/>
      <c r="R99" s="2798"/>
      <c r="S99" s="2798"/>
      <c r="T99" s="2798"/>
      <c r="U99" s="2798"/>
      <c r="V99" s="2798"/>
      <c r="W99" s="2798"/>
      <c r="X99" s="2798"/>
      <c r="Y99" s="2798"/>
      <c r="Z99" s="2798"/>
      <c r="AA99" s="2798"/>
      <c r="AB99" s="2798"/>
      <c r="AC99" s="2798"/>
      <c r="AD99" s="2798"/>
      <c r="AE99" s="2798"/>
      <c r="AF99" s="2798"/>
      <c r="AG99" s="2798"/>
      <c r="AH99" s="2798"/>
      <c r="AI99" s="2798"/>
      <c r="AJ99" s="2798"/>
      <c r="AK99" s="2798"/>
      <c r="AL99" s="2798"/>
      <c r="AM99" s="2798"/>
      <c r="AN99" s="2798"/>
      <c r="AO99" s="2798"/>
      <c r="AP99" s="2798"/>
      <c r="AQ99" s="2798"/>
      <c r="AR99" s="2798"/>
      <c r="AS99" s="2798"/>
      <c r="AT99" s="2798"/>
      <c r="AU99" s="2798"/>
      <c r="AV99" s="2798"/>
      <c r="AW99" s="2798"/>
      <c r="AX99" s="2798"/>
      <c r="AY99" s="2798"/>
      <c r="AZ99" s="2798"/>
      <c r="BA99" s="2798"/>
      <c r="BB99" s="2798"/>
      <c r="BC99" s="2798"/>
      <c r="BD99" s="2798"/>
      <c r="BE99" s="2798"/>
      <c r="BF99" s="2798"/>
      <c r="BG99" s="2798"/>
      <c r="BH99" s="2798"/>
      <c r="BI99" s="2798"/>
      <c r="BJ99" s="2798"/>
      <c r="BK99" s="2798"/>
      <c r="BL99" s="2798"/>
      <c r="BM99" s="2798"/>
      <c r="BN99" s="2798"/>
      <c r="BO99" s="2798"/>
      <c r="BP99" s="2798"/>
    </row>
    <row r="100" spans="12:68">
      <c r="L100" s="2798"/>
      <c r="M100" s="2798"/>
      <c r="N100" s="2798"/>
      <c r="O100" s="2798"/>
      <c r="P100" s="2798"/>
      <c r="Q100" s="2798"/>
      <c r="R100" s="2798"/>
      <c r="S100" s="2798"/>
      <c r="T100" s="2798"/>
      <c r="U100" s="2798"/>
      <c r="V100" s="2798"/>
      <c r="W100" s="2798"/>
      <c r="X100" s="2798"/>
      <c r="Y100" s="2798"/>
      <c r="Z100" s="2798"/>
      <c r="AA100" s="2798"/>
      <c r="AB100" s="2798"/>
      <c r="AC100" s="2798"/>
      <c r="AD100" s="2798"/>
      <c r="AE100" s="2798"/>
      <c r="AF100" s="2798"/>
      <c r="AG100" s="2798"/>
      <c r="AH100" s="2798"/>
      <c r="AI100" s="2798"/>
      <c r="AJ100" s="2798"/>
      <c r="AK100" s="2798"/>
      <c r="AL100" s="2798"/>
      <c r="AM100" s="2798"/>
      <c r="AN100" s="2798"/>
      <c r="AO100" s="2798"/>
      <c r="AP100" s="2798"/>
      <c r="AQ100" s="2798"/>
      <c r="AR100" s="2798"/>
      <c r="AS100" s="2798"/>
      <c r="AT100" s="2798"/>
      <c r="AU100" s="2798"/>
      <c r="AV100" s="2798"/>
      <c r="AW100" s="2798"/>
      <c r="AX100" s="2798"/>
      <c r="AY100" s="2798"/>
      <c r="AZ100" s="2798"/>
      <c r="BA100" s="2798"/>
      <c r="BB100" s="2798"/>
      <c r="BC100" s="2798"/>
      <c r="BD100" s="2798"/>
      <c r="BE100" s="2798"/>
      <c r="BF100" s="2798"/>
      <c r="BG100" s="2798"/>
      <c r="BH100" s="2798"/>
      <c r="BI100" s="2798"/>
      <c r="BJ100" s="2798"/>
      <c r="BK100" s="2798"/>
      <c r="BL100" s="2798"/>
      <c r="BM100" s="2798"/>
      <c r="BN100" s="2798"/>
      <c r="BO100" s="2798"/>
      <c r="BP100" s="2798"/>
    </row>
    <row r="101" spans="12:68">
      <c r="L101" s="2798"/>
      <c r="M101" s="2798"/>
      <c r="N101" s="2798"/>
      <c r="O101" s="2798"/>
      <c r="P101" s="2798"/>
      <c r="Q101" s="2798"/>
      <c r="R101" s="2798"/>
      <c r="S101" s="2798"/>
      <c r="T101" s="2798"/>
      <c r="U101" s="2798"/>
      <c r="V101" s="2798"/>
      <c r="W101" s="2798"/>
      <c r="X101" s="2798"/>
      <c r="Y101" s="2798"/>
      <c r="Z101" s="2798"/>
      <c r="AA101" s="2798"/>
      <c r="AB101" s="2798"/>
      <c r="AC101" s="2798"/>
      <c r="AD101" s="2798"/>
      <c r="AE101" s="2798"/>
      <c r="AF101" s="2798"/>
      <c r="AG101" s="2798"/>
      <c r="AH101" s="2798"/>
      <c r="AI101" s="2798"/>
      <c r="AJ101" s="2798"/>
      <c r="AK101" s="2798"/>
      <c r="AL101" s="2798"/>
      <c r="AM101" s="2798"/>
      <c r="AN101" s="2798"/>
      <c r="AO101" s="2798"/>
      <c r="AP101" s="2798"/>
      <c r="AQ101" s="2798"/>
      <c r="AR101" s="2798"/>
      <c r="AS101" s="2798"/>
      <c r="AT101" s="2798"/>
      <c r="AU101" s="2798"/>
      <c r="AV101" s="2798"/>
      <c r="AW101" s="2798"/>
      <c r="AX101" s="2798"/>
      <c r="AY101" s="2798"/>
      <c r="AZ101" s="2798"/>
      <c r="BA101" s="2798"/>
      <c r="BB101" s="2798"/>
      <c r="BC101" s="2798"/>
      <c r="BD101" s="2798"/>
      <c r="BE101" s="2798"/>
      <c r="BF101" s="2798"/>
      <c r="BG101" s="2798"/>
      <c r="BH101" s="2798"/>
      <c r="BI101" s="2798"/>
      <c r="BJ101" s="2798"/>
      <c r="BK101" s="2798"/>
      <c r="BL101" s="2798"/>
      <c r="BM101" s="2798"/>
      <c r="BN101" s="2798"/>
      <c r="BO101" s="2798"/>
      <c r="BP101" s="2798"/>
    </row>
    <row r="102" spans="12:68">
      <c r="L102" s="2798"/>
      <c r="M102" s="2798"/>
      <c r="N102" s="2798"/>
      <c r="O102" s="2798"/>
      <c r="P102" s="2798"/>
      <c r="Q102" s="2798"/>
      <c r="R102" s="2798"/>
      <c r="S102" s="2798"/>
      <c r="T102" s="2798"/>
      <c r="U102" s="2798"/>
      <c r="V102" s="2798"/>
      <c r="W102" s="2798"/>
      <c r="X102" s="2798"/>
      <c r="Y102" s="2798"/>
      <c r="Z102" s="2798"/>
      <c r="AA102" s="2798"/>
      <c r="AB102" s="2798"/>
      <c r="AC102" s="2798"/>
      <c r="AD102" s="2798"/>
      <c r="AE102" s="2798"/>
      <c r="AF102" s="2798"/>
      <c r="AG102" s="2798"/>
      <c r="AH102" s="2798"/>
      <c r="AI102" s="2798"/>
      <c r="AJ102" s="2798"/>
      <c r="AK102" s="2798"/>
      <c r="AL102" s="2798"/>
      <c r="AM102" s="2798"/>
      <c r="AN102" s="2798"/>
      <c r="AO102" s="2798"/>
      <c r="AP102" s="2798"/>
      <c r="AQ102" s="2798"/>
      <c r="AR102" s="2798"/>
      <c r="AS102" s="2798"/>
      <c r="AT102" s="2798"/>
      <c r="AU102" s="2798"/>
      <c r="AV102" s="2798"/>
      <c r="AW102" s="2798"/>
      <c r="AX102" s="2798"/>
      <c r="AY102" s="2798"/>
      <c r="AZ102" s="2798"/>
      <c r="BA102" s="2798"/>
      <c r="BB102" s="2798"/>
      <c r="BC102" s="2798"/>
      <c r="BD102" s="2798"/>
      <c r="BE102" s="2798"/>
      <c r="BF102" s="2798"/>
      <c r="BG102" s="2798"/>
      <c r="BH102" s="2798"/>
      <c r="BI102" s="2798"/>
      <c r="BJ102" s="2798"/>
      <c r="BK102" s="2798"/>
      <c r="BL102" s="2798"/>
      <c r="BM102" s="2798"/>
      <c r="BN102" s="2798"/>
      <c r="BO102" s="2798"/>
      <c r="BP102" s="2798"/>
    </row>
    <row r="103" spans="12:68">
      <c r="L103" s="2798"/>
      <c r="M103" s="2798"/>
      <c r="N103" s="2798"/>
      <c r="O103" s="2798"/>
      <c r="P103" s="2798"/>
      <c r="Q103" s="2798"/>
      <c r="R103" s="2798"/>
      <c r="S103" s="2798"/>
      <c r="T103" s="2798"/>
      <c r="U103" s="2798"/>
      <c r="V103" s="2798"/>
      <c r="W103" s="2798"/>
      <c r="X103" s="2798"/>
      <c r="Y103" s="2798"/>
      <c r="Z103" s="2798"/>
      <c r="AA103" s="2798"/>
      <c r="AB103" s="2798"/>
      <c r="AC103" s="2798"/>
      <c r="AD103" s="2798"/>
      <c r="AE103" s="2798"/>
      <c r="AF103" s="2798"/>
      <c r="AG103" s="2798"/>
      <c r="AH103" s="2798"/>
      <c r="AI103" s="2798"/>
      <c r="AJ103" s="2798"/>
      <c r="AK103" s="2798"/>
      <c r="AL103" s="2798"/>
      <c r="AM103" s="2798"/>
      <c r="AN103" s="2798"/>
      <c r="AO103" s="2798"/>
      <c r="AP103" s="2798"/>
      <c r="AQ103" s="2798"/>
      <c r="AR103" s="2798"/>
      <c r="AS103" s="2798"/>
      <c r="AT103" s="2798"/>
      <c r="AU103" s="2798"/>
      <c r="AV103" s="2798"/>
      <c r="AW103" s="2798"/>
      <c r="AX103" s="2798"/>
      <c r="AY103" s="2798"/>
      <c r="AZ103" s="2798"/>
      <c r="BA103" s="2798"/>
      <c r="BB103" s="2798"/>
      <c r="BC103" s="2798"/>
      <c r="BD103" s="2798"/>
      <c r="BE103" s="2798"/>
      <c r="BF103" s="2798"/>
      <c r="BG103" s="2798"/>
      <c r="BH103" s="2798"/>
      <c r="BI103" s="2798"/>
      <c r="BJ103" s="2798"/>
      <c r="BK103" s="2798"/>
      <c r="BL103" s="2798"/>
      <c r="BM103" s="2798"/>
      <c r="BN103" s="2798"/>
      <c r="BO103" s="2798"/>
      <c r="BP103" s="2798"/>
    </row>
    <row r="104" spans="12:68">
      <c r="L104" s="2798"/>
      <c r="M104" s="2798"/>
      <c r="N104" s="2798"/>
      <c r="O104" s="2798"/>
      <c r="P104" s="2798"/>
      <c r="Q104" s="2798"/>
      <c r="R104" s="2798"/>
      <c r="S104" s="2798"/>
      <c r="T104" s="2798"/>
      <c r="U104" s="2798"/>
      <c r="V104" s="2798"/>
      <c r="W104" s="2798"/>
      <c r="X104" s="2798"/>
      <c r="Y104" s="2798"/>
      <c r="Z104" s="2798"/>
      <c r="AA104" s="2798"/>
      <c r="AB104" s="2798"/>
      <c r="AC104" s="2798"/>
      <c r="AD104" s="2798"/>
      <c r="AE104" s="2798"/>
      <c r="AF104" s="2798"/>
      <c r="AG104" s="2798"/>
      <c r="AH104" s="2798"/>
      <c r="AI104" s="2798"/>
      <c r="AJ104" s="2798"/>
      <c r="AK104" s="2798"/>
      <c r="AL104" s="2798"/>
      <c r="AM104" s="2798"/>
      <c r="AN104" s="2798"/>
      <c r="AO104" s="2798"/>
      <c r="AP104" s="2798"/>
      <c r="AQ104" s="2798"/>
      <c r="AR104" s="2798"/>
      <c r="AS104" s="2798"/>
      <c r="AT104" s="2798"/>
      <c r="AU104" s="2798"/>
      <c r="AV104" s="2798"/>
      <c r="AW104" s="2798"/>
      <c r="AX104" s="2798"/>
      <c r="AY104" s="2798"/>
      <c r="AZ104" s="2798"/>
      <c r="BA104" s="2798"/>
      <c r="BB104" s="2798"/>
      <c r="BC104" s="2798"/>
      <c r="BD104" s="2798"/>
      <c r="BE104" s="2798"/>
      <c r="BF104" s="2798"/>
      <c r="BG104" s="2798"/>
      <c r="BH104" s="2798"/>
      <c r="BI104" s="2798"/>
      <c r="BJ104" s="2798"/>
      <c r="BK104" s="2798"/>
      <c r="BL104" s="2798"/>
      <c r="BM104" s="2798"/>
      <c r="BN104" s="2798"/>
      <c r="BO104" s="2798"/>
      <c r="BP104" s="2798"/>
    </row>
    <row r="105" spans="12:68">
      <c r="L105" s="2798"/>
      <c r="M105" s="2798"/>
      <c r="N105" s="2798"/>
      <c r="O105" s="2798"/>
      <c r="P105" s="2798"/>
      <c r="Q105" s="2798"/>
      <c r="R105" s="2798"/>
      <c r="S105" s="2798"/>
      <c r="T105" s="2798"/>
      <c r="U105" s="2798"/>
      <c r="V105" s="2798"/>
      <c r="W105" s="2798"/>
      <c r="X105" s="2798"/>
      <c r="Y105" s="2798"/>
      <c r="Z105" s="2798"/>
      <c r="AA105" s="2798"/>
      <c r="AB105" s="2798"/>
      <c r="AC105" s="2798"/>
      <c r="AD105" s="2798"/>
      <c r="AE105" s="2798"/>
      <c r="AF105" s="2798"/>
      <c r="AG105" s="2798"/>
      <c r="AH105" s="2798"/>
      <c r="AI105" s="2798"/>
      <c r="AJ105" s="2798"/>
      <c r="AK105" s="2798"/>
      <c r="AL105" s="2798"/>
      <c r="AM105" s="2798"/>
      <c r="AN105" s="2798"/>
      <c r="AO105" s="2798"/>
      <c r="AP105" s="2798"/>
      <c r="AQ105" s="2798"/>
      <c r="AR105" s="2798"/>
      <c r="AS105" s="2798"/>
      <c r="AT105" s="2798"/>
      <c r="AU105" s="2798"/>
      <c r="AV105" s="2798"/>
      <c r="AW105" s="2798"/>
      <c r="AX105" s="2798"/>
      <c r="AY105" s="2798"/>
      <c r="AZ105" s="2798"/>
      <c r="BA105" s="2798"/>
      <c r="BB105" s="2798"/>
      <c r="BC105" s="2798"/>
      <c r="BD105" s="2798"/>
      <c r="BE105" s="2798"/>
      <c r="BF105" s="2798"/>
      <c r="BG105" s="2798"/>
      <c r="BH105" s="2798"/>
      <c r="BI105" s="2798"/>
      <c r="BJ105" s="2798"/>
      <c r="BK105" s="2798"/>
      <c r="BL105" s="2798"/>
      <c r="BM105" s="2798"/>
      <c r="BN105" s="2798"/>
      <c r="BO105" s="2798"/>
      <c r="BP105" s="2798"/>
    </row>
    <row r="106" spans="12:68">
      <c r="L106" s="2798"/>
      <c r="M106" s="2798"/>
      <c r="N106" s="2798"/>
      <c r="O106" s="2798"/>
      <c r="P106" s="2798"/>
      <c r="Q106" s="2798"/>
      <c r="R106" s="2798"/>
      <c r="S106" s="2798"/>
      <c r="T106" s="2798"/>
      <c r="U106" s="2798"/>
      <c r="V106" s="2798"/>
      <c r="W106" s="2798"/>
      <c r="X106" s="2798"/>
      <c r="Y106" s="2798"/>
      <c r="Z106" s="2798"/>
      <c r="AA106" s="2798"/>
      <c r="AB106" s="2798"/>
      <c r="AC106" s="2798"/>
      <c r="AD106" s="2798"/>
      <c r="AE106" s="2798"/>
      <c r="AF106" s="2798"/>
      <c r="AG106" s="2798"/>
      <c r="AH106" s="2798"/>
      <c r="AI106" s="2798"/>
      <c r="AJ106" s="2798"/>
      <c r="AK106" s="2798"/>
      <c r="AL106" s="2798"/>
      <c r="AM106" s="2798"/>
      <c r="AN106" s="2798"/>
      <c r="AO106" s="2798"/>
      <c r="AP106" s="2798"/>
      <c r="AQ106" s="2798"/>
      <c r="AR106" s="2798"/>
      <c r="AS106" s="2798"/>
      <c r="AT106" s="2798"/>
      <c r="AU106" s="2798"/>
      <c r="AV106" s="2798"/>
      <c r="AW106" s="2798"/>
      <c r="AX106" s="2798"/>
      <c r="AY106" s="2798"/>
      <c r="AZ106" s="2798"/>
      <c r="BA106" s="2798"/>
      <c r="BB106" s="2798"/>
      <c r="BC106" s="2798"/>
      <c r="BD106" s="2798"/>
      <c r="BE106" s="2798"/>
      <c r="BF106" s="2798"/>
      <c r="BG106" s="2798"/>
      <c r="BH106" s="2798"/>
      <c r="BI106" s="2798"/>
      <c r="BJ106" s="2798"/>
      <c r="BK106" s="2798"/>
      <c r="BL106" s="2798"/>
      <c r="BM106" s="2798"/>
      <c r="BN106" s="2798"/>
      <c r="BO106" s="2798"/>
      <c r="BP106" s="2798"/>
    </row>
    <row r="107" spans="12:68">
      <c r="L107" s="2798"/>
      <c r="M107" s="2798"/>
      <c r="N107" s="2798"/>
      <c r="O107" s="2798"/>
      <c r="P107" s="2798"/>
      <c r="Q107" s="2798"/>
      <c r="R107" s="2798"/>
      <c r="S107" s="2798"/>
      <c r="T107" s="2798"/>
      <c r="U107" s="2798"/>
      <c r="V107" s="2798"/>
      <c r="W107" s="2798"/>
      <c r="X107" s="2798"/>
      <c r="Y107" s="2798"/>
      <c r="Z107" s="2798"/>
      <c r="AA107" s="2798"/>
      <c r="AB107" s="2798"/>
      <c r="AC107" s="2798"/>
      <c r="AD107" s="2798"/>
      <c r="AE107" s="2798"/>
      <c r="AF107" s="2798"/>
      <c r="AG107" s="2798"/>
      <c r="AH107" s="2798"/>
      <c r="AI107" s="2798"/>
      <c r="AJ107" s="2798"/>
      <c r="AK107" s="2798"/>
      <c r="AL107" s="2798"/>
      <c r="AM107" s="2798"/>
      <c r="AN107" s="2798"/>
      <c r="AO107" s="2798"/>
      <c r="AP107" s="2798"/>
      <c r="AQ107" s="2798"/>
      <c r="AR107" s="2798"/>
      <c r="AS107" s="2798"/>
      <c r="AT107" s="2798"/>
      <c r="AU107" s="2798"/>
      <c r="AV107" s="2798"/>
      <c r="AW107" s="2798"/>
      <c r="AX107" s="2798"/>
      <c r="AY107" s="2798"/>
      <c r="AZ107" s="2798"/>
      <c r="BA107" s="2798"/>
      <c r="BB107" s="2798"/>
      <c r="BC107" s="2798"/>
      <c r="BD107" s="2798"/>
      <c r="BE107" s="2798"/>
      <c r="BF107" s="2798"/>
      <c r="BG107" s="2798"/>
      <c r="BH107" s="2798"/>
      <c r="BI107" s="2798"/>
      <c r="BJ107" s="2798"/>
      <c r="BK107" s="2798"/>
      <c r="BL107" s="2798"/>
      <c r="BM107" s="2798"/>
      <c r="BN107" s="2798"/>
      <c r="BO107" s="2798"/>
      <c r="BP107" s="2798"/>
    </row>
    <row r="108" spans="12:68">
      <c r="L108" s="2798"/>
      <c r="M108" s="2798"/>
      <c r="N108" s="2798"/>
      <c r="O108" s="2798"/>
      <c r="P108" s="2798"/>
      <c r="Q108" s="2798"/>
      <c r="R108" s="2798"/>
      <c r="S108" s="2798"/>
      <c r="T108" s="2798"/>
      <c r="U108" s="2798"/>
      <c r="V108" s="2798"/>
      <c r="W108" s="2798"/>
      <c r="X108" s="2798"/>
      <c r="Y108" s="2798"/>
      <c r="Z108" s="2798"/>
      <c r="AA108" s="2798"/>
      <c r="AB108" s="2798"/>
      <c r="AC108" s="2798"/>
      <c r="AD108" s="2798"/>
      <c r="AE108" s="2798"/>
      <c r="AF108" s="2798"/>
      <c r="AG108" s="2798"/>
      <c r="AH108" s="2798"/>
      <c r="AI108" s="2798"/>
      <c r="AJ108" s="2798"/>
      <c r="AK108" s="2798"/>
      <c r="AL108" s="2798"/>
      <c r="AM108" s="2798"/>
      <c r="AN108" s="2798"/>
      <c r="AO108" s="2798"/>
      <c r="AP108" s="2798"/>
      <c r="AQ108" s="2798"/>
      <c r="AR108" s="2798"/>
      <c r="AS108" s="2798"/>
      <c r="AT108" s="2798"/>
      <c r="AU108" s="2798"/>
      <c r="AV108" s="2798"/>
      <c r="AW108" s="2798"/>
      <c r="AX108" s="2798"/>
      <c r="AY108" s="2798"/>
      <c r="AZ108" s="2798"/>
      <c r="BA108" s="2798"/>
      <c r="BB108" s="2798"/>
      <c r="BC108" s="2798"/>
      <c r="BD108" s="2798"/>
      <c r="BE108" s="2798"/>
      <c r="BF108" s="2798"/>
      <c r="BG108" s="2798"/>
      <c r="BH108" s="2798"/>
      <c r="BI108" s="2798"/>
      <c r="BJ108" s="2798"/>
      <c r="BK108" s="2798"/>
      <c r="BL108" s="2798"/>
      <c r="BM108" s="2798"/>
      <c r="BN108" s="2798"/>
      <c r="BO108" s="2798"/>
      <c r="BP108" s="2798"/>
    </row>
    <row r="109" spans="12:68">
      <c r="L109" s="2798"/>
      <c r="M109" s="2798"/>
      <c r="N109" s="2798"/>
      <c r="O109" s="2798"/>
      <c r="P109" s="2798"/>
      <c r="Q109" s="2798"/>
      <c r="R109" s="2798"/>
      <c r="S109" s="2798"/>
      <c r="T109" s="2798"/>
      <c r="U109" s="2798"/>
      <c r="V109" s="2798"/>
      <c r="W109" s="2798"/>
      <c r="X109" s="2798"/>
      <c r="Y109" s="2798"/>
      <c r="Z109" s="2798"/>
      <c r="AA109" s="2798"/>
      <c r="AB109" s="2798"/>
      <c r="AC109" s="2798"/>
      <c r="AD109" s="2798"/>
      <c r="AE109" s="2798"/>
      <c r="AF109" s="2798"/>
      <c r="AG109" s="2798"/>
      <c r="AH109" s="2798"/>
      <c r="AI109" s="2798"/>
      <c r="AJ109" s="2798"/>
      <c r="AK109" s="2798"/>
      <c r="AL109" s="2798"/>
      <c r="AM109" s="2798"/>
      <c r="AN109" s="2798"/>
      <c r="AO109" s="2798"/>
      <c r="AP109" s="2798"/>
      <c r="AQ109" s="2798"/>
      <c r="AR109" s="2798"/>
      <c r="AS109" s="2798"/>
      <c r="AT109" s="2798"/>
      <c r="AU109" s="2798"/>
      <c r="AV109" s="2798"/>
      <c r="AW109" s="2798"/>
      <c r="AX109" s="2798"/>
      <c r="AY109" s="2798"/>
      <c r="AZ109" s="2798"/>
      <c r="BA109" s="2798"/>
      <c r="BB109" s="2798"/>
      <c r="BC109" s="2798"/>
      <c r="BD109" s="2798"/>
      <c r="BE109" s="2798"/>
      <c r="BF109" s="2798"/>
      <c r="BG109" s="2798"/>
      <c r="BH109" s="2798"/>
      <c r="BI109" s="2798"/>
      <c r="BJ109" s="2798"/>
      <c r="BK109" s="2798"/>
      <c r="BL109" s="2798"/>
      <c r="BM109" s="2798"/>
      <c r="BN109" s="2798"/>
      <c r="BO109" s="2798"/>
      <c r="BP109" s="2798"/>
    </row>
    <row r="110" spans="12:68">
      <c r="L110" s="2798"/>
      <c r="M110" s="2798"/>
      <c r="N110" s="2798"/>
      <c r="O110" s="2798"/>
      <c r="P110" s="2798"/>
      <c r="Q110" s="2798"/>
      <c r="R110" s="2798"/>
      <c r="S110" s="2798"/>
      <c r="T110" s="2798"/>
      <c r="U110" s="2798"/>
      <c r="V110" s="2798"/>
      <c r="W110" s="2798"/>
      <c r="X110" s="2798"/>
      <c r="Y110" s="2798"/>
      <c r="Z110" s="2798"/>
      <c r="AA110" s="2798"/>
      <c r="AB110" s="2798"/>
      <c r="AC110" s="2798"/>
      <c r="AD110" s="2798"/>
      <c r="AE110" s="2798"/>
      <c r="AF110" s="2798"/>
      <c r="AG110" s="2798"/>
      <c r="AH110" s="2798"/>
      <c r="AI110" s="2798"/>
      <c r="AJ110" s="2798"/>
      <c r="AK110" s="2798"/>
      <c r="AL110" s="2798"/>
      <c r="AM110" s="2798"/>
      <c r="AN110" s="2798"/>
      <c r="AO110" s="2798"/>
      <c r="AP110" s="2798"/>
      <c r="AQ110" s="2798"/>
      <c r="AR110" s="2798"/>
      <c r="AS110" s="2798"/>
      <c r="AT110" s="2798"/>
      <c r="AU110" s="2798"/>
      <c r="AV110" s="2798"/>
      <c r="AW110" s="2798"/>
      <c r="AX110" s="2798"/>
      <c r="AY110" s="2798"/>
      <c r="AZ110" s="2798"/>
      <c r="BA110" s="2798"/>
      <c r="BB110" s="2798"/>
      <c r="BC110" s="2798"/>
      <c r="BD110" s="2798"/>
      <c r="BE110" s="2798"/>
      <c r="BF110" s="2798"/>
      <c r="BG110" s="2798"/>
      <c r="BH110" s="2798"/>
      <c r="BI110" s="2798"/>
      <c r="BJ110" s="2798"/>
      <c r="BK110" s="2798"/>
      <c r="BL110" s="2798"/>
      <c r="BM110" s="2798"/>
      <c r="BN110" s="2798"/>
      <c r="BO110" s="2798"/>
      <c r="BP110" s="2798"/>
    </row>
    <row r="111" spans="12:68">
      <c r="L111" s="2798"/>
      <c r="M111" s="2798"/>
      <c r="N111" s="2798"/>
      <c r="O111" s="2798"/>
      <c r="P111" s="2798"/>
      <c r="Q111" s="2798"/>
      <c r="R111" s="2798"/>
      <c r="S111" s="2798"/>
      <c r="T111" s="2798"/>
      <c r="U111" s="2798"/>
      <c r="V111" s="2798"/>
      <c r="W111" s="2798"/>
      <c r="X111" s="2798"/>
      <c r="Y111" s="2798"/>
      <c r="Z111" s="2798"/>
      <c r="AA111" s="2798"/>
      <c r="AB111" s="2798"/>
      <c r="AC111" s="2798"/>
      <c r="AD111" s="2798"/>
      <c r="AE111" s="2798"/>
      <c r="AF111" s="2798"/>
      <c r="AG111" s="2798"/>
      <c r="AH111" s="2798"/>
      <c r="AI111" s="2798"/>
      <c r="AJ111" s="2798"/>
      <c r="AK111" s="2798"/>
      <c r="AL111" s="2798"/>
      <c r="AM111" s="2798"/>
      <c r="AN111" s="2798"/>
      <c r="AO111" s="2798"/>
      <c r="AP111" s="2798"/>
      <c r="AQ111" s="2798"/>
      <c r="AR111" s="2798"/>
      <c r="AS111" s="2798"/>
      <c r="AT111" s="2798"/>
      <c r="AU111" s="2798"/>
      <c r="AV111" s="2798"/>
      <c r="AW111" s="2798"/>
      <c r="AX111" s="2798"/>
      <c r="AY111" s="2798"/>
      <c r="AZ111" s="2798"/>
      <c r="BA111" s="2798"/>
      <c r="BB111" s="2798"/>
      <c r="BC111" s="2798"/>
      <c r="BD111" s="2798"/>
      <c r="BE111" s="2798"/>
      <c r="BF111" s="2798"/>
      <c r="BG111" s="2798"/>
      <c r="BH111" s="2798"/>
      <c r="BI111" s="2798"/>
      <c r="BJ111" s="2798"/>
      <c r="BK111" s="2798"/>
      <c r="BL111" s="2798"/>
      <c r="BM111" s="2798"/>
      <c r="BN111" s="2798"/>
      <c r="BO111" s="2798"/>
      <c r="BP111" s="2798"/>
    </row>
    <row r="112" spans="12:68">
      <c r="L112" s="2798"/>
      <c r="M112" s="2798"/>
      <c r="N112" s="2798"/>
      <c r="O112" s="2798"/>
      <c r="P112" s="2798"/>
      <c r="Q112" s="2798"/>
      <c r="R112" s="2798"/>
      <c r="S112" s="2798"/>
      <c r="T112" s="2798"/>
      <c r="U112" s="2798"/>
      <c r="V112" s="2798"/>
      <c r="W112" s="2798"/>
      <c r="X112" s="2798"/>
      <c r="Y112" s="2798"/>
      <c r="Z112" s="2798"/>
      <c r="AA112" s="2798"/>
      <c r="AB112" s="2798"/>
      <c r="AC112" s="2798"/>
      <c r="AD112" s="2798"/>
      <c r="AE112" s="2798"/>
      <c r="AF112" s="2798"/>
      <c r="AG112" s="2798"/>
      <c r="AH112" s="2798"/>
      <c r="AI112" s="2798"/>
      <c r="AJ112" s="2798"/>
      <c r="AK112" s="2798"/>
      <c r="AL112" s="2798"/>
      <c r="AM112" s="2798"/>
      <c r="AN112" s="2798"/>
      <c r="AO112" s="2798"/>
      <c r="AP112" s="2798"/>
      <c r="AQ112" s="2798"/>
      <c r="AR112" s="2798"/>
      <c r="AS112" s="2798"/>
      <c r="AT112" s="2798"/>
      <c r="AU112" s="2798"/>
      <c r="AV112" s="2798"/>
      <c r="AW112" s="2798"/>
      <c r="AX112" s="2798"/>
      <c r="AY112" s="2798"/>
      <c r="AZ112" s="2798"/>
      <c r="BA112" s="2798"/>
      <c r="BB112" s="2798"/>
      <c r="BC112" s="2798"/>
      <c r="BD112" s="2798"/>
      <c r="BE112" s="2798"/>
      <c r="BF112" s="2798"/>
      <c r="BG112" s="2798"/>
      <c r="BH112" s="2798"/>
      <c r="BI112" s="2798"/>
      <c r="BJ112" s="2798"/>
      <c r="BK112" s="2798"/>
      <c r="BL112" s="2798"/>
      <c r="BM112" s="2798"/>
      <c r="BN112" s="2798"/>
      <c r="BO112" s="2798"/>
      <c r="BP112" s="2798"/>
    </row>
    <row r="113" spans="12:68">
      <c r="L113" s="2798"/>
      <c r="M113" s="2798"/>
      <c r="N113" s="2798"/>
      <c r="O113" s="2798"/>
      <c r="P113" s="2798"/>
      <c r="Q113" s="2798"/>
      <c r="R113" s="2798"/>
      <c r="S113" s="2798"/>
      <c r="T113" s="2798"/>
      <c r="U113" s="2798"/>
      <c r="V113" s="2798"/>
      <c r="W113" s="2798"/>
      <c r="X113" s="2798"/>
      <c r="Y113" s="2798"/>
      <c r="Z113" s="2798"/>
      <c r="AA113" s="2798"/>
      <c r="AB113" s="2798"/>
      <c r="AC113" s="2798"/>
      <c r="AD113" s="2798"/>
      <c r="AE113" s="2798"/>
      <c r="AF113" s="2798"/>
      <c r="AG113" s="2798"/>
      <c r="AH113" s="2798"/>
      <c r="AI113" s="2798"/>
      <c r="AJ113" s="2798"/>
      <c r="AK113" s="2798"/>
      <c r="AL113" s="2798"/>
      <c r="AM113" s="2798"/>
      <c r="AN113" s="2798"/>
      <c r="AO113" s="2798"/>
      <c r="AP113" s="2798"/>
      <c r="AQ113" s="2798"/>
      <c r="AR113" s="2798"/>
      <c r="AS113" s="2798"/>
      <c r="AT113" s="2798"/>
      <c r="AU113" s="2798"/>
      <c r="AV113" s="2798"/>
      <c r="AW113" s="2798"/>
      <c r="AX113" s="2798"/>
      <c r="AY113" s="2798"/>
      <c r="AZ113" s="2798"/>
      <c r="BA113" s="2798"/>
      <c r="BB113" s="2798"/>
      <c r="BC113" s="2798"/>
      <c r="BD113" s="2798"/>
      <c r="BE113" s="2798"/>
      <c r="BF113" s="2798"/>
      <c r="BG113" s="2798"/>
      <c r="BH113" s="2798"/>
      <c r="BI113" s="2798"/>
      <c r="BJ113" s="2798"/>
      <c r="BK113" s="2798"/>
      <c r="BL113" s="2798"/>
      <c r="BM113" s="2798"/>
      <c r="BN113" s="2798"/>
      <c r="BO113" s="2798"/>
      <c r="BP113" s="2798"/>
    </row>
    <row r="114" spans="12:68">
      <c r="L114" s="2798"/>
      <c r="M114" s="2798"/>
      <c r="N114" s="2798"/>
      <c r="O114" s="2798"/>
      <c r="P114" s="2798"/>
      <c r="Q114" s="2798"/>
      <c r="R114" s="2798"/>
      <c r="S114" s="2798"/>
      <c r="T114" s="2798"/>
      <c r="U114" s="2798"/>
      <c r="V114" s="2798"/>
      <c r="W114" s="2798"/>
      <c r="X114" s="2798"/>
      <c r="Y114" s="2798"/>
      <c r="Z114" s="2798"/>
      <c r="AA114" s="2798"/>
      <c r="AB114" s="2798"/>
      <c r="AC114" s="2798"/>
      <c r="AD114" s="2798"/>
      <c r="AE114" s="2798"/>
      <c r="AF114" s="2798"/>
      <c r="AG114" s="2798"/>
      <c r="AH114" s="2798"/>
      <c r="AI114" s="2798"/>
      <c r="AJ114" s="2798"/>
      <c r="AK114" s="2798"/>
      <c r="AL114" s="2798"/>
      <c r="AM114" s="2798"/>
      <c r="AN114" s="2798"/>
      <c r="AO114" s="2798"/>
      <c r="AP114" s="2798"/>
      <c r="AQ114" s="2798"/>
      <c r="AR114" s="2798"/>
      <c r="AS114" s="2798"/>
      <c r="AT114" s="2798"/>
      <c r="AU114" s="2798"/>
      <c r="AV114" s="2798"/>
      <c r="AW114" s="2798"/>
      <c r="AX114" s="2798"/>
      <c r="AY114" s="2798"/>
      <c r="AZ114" s="2798"/>
      <c r="BA114" s="2798"/>
      <c r="BB114" s="2798"/>
      <c r="BC114" s="2798"/>
      <c r="BD114" s="2798"/>
      <c r="BE114" s="2798"/>
      <c r="BF114" s="2798"/>
      <c r="BG114" s="2798"/>
      <c r="BH114" s="2798"/>
      <c r="BI114" s="2798"/>
      <c r="BJ114" s="2798"/>
      <c r="BK114" s="2798"/>
      <c r="BL114" s="2798"/>
      <c r="BM114" s="2798"/>
      <c r="BN114" s="2798"/>
      <c r="BO114" s="2798"/>
      <c r="BP114" s="2798"/>
    </row>
    <row r="115" spans="12:68">
      <c r="L115" s="2798"/>
      <c r="M115" s="2798"/>
      <c r="N115" s="2798"/>
      <c r="O115" s="2798"/>
      <c r="P115" s="2798"/>
      <c r="Q115" s="2798"/>
      <c r="R115" s="2798"/>
      <c r="S115" s="2798"/>
      <c r="T115" s="2798"/>
      <c r="U115" s="2798"/>
      <c r="V115" s="2798"/>
      <c r="W115" s="2798"/>
      <c r="X115" s="2798"/>
      <c r="Y115" s="2798"/>
      <c r="Z115" s="2798"/>
      <c r="AA115" s="2798"/>
      <c r="AB115" s="2798"/>
      <c r="AC115" s="2798"/>
      <c r="AD115" s="2798"/>
      <c r="AE115" s="2798"/>
      <c r="AF115" s="2798"/>
      <c r="AG115" s="2798"/>
      <c r="AH115" s="2798"/>
      <c r="AI115" s="2798"/>
      <c r="AJ115" s="2798"/>
      <c r="AK115" s="2798"/>
      <c r="AL115" s="2798"/>
      <c r="AM115" s="2798"/>
      <c r="AN115" s="2798"/>
      <c r="AO115" s="2798"/>
      <c r="AP115" s="2798"/>
      <c r="AQ115" s="2798"/>
      <c r="AR115" s="2798"/>
      <c r="AS115" s="2798"/>
      <c r="AT115" s="2798"/>
      <c r="AU115" s="2798"/>
      <c r="AV115" s="2798"/>
      <c r="AW115" s="2798"/>
      <c r="AX115" s="2798"/>
      <c r="AY115" s="2798"/>
      <c r="AZ115" s="2798"/>
      <c r="BA115" s="2798"/>
      <c r="BB115" s="2798"/>
      <c r="BC115" s="2798"/>
      <c r="BD115" s="2798"/>
      <c r="BE115" s="2798"/>
      <c r="BF115" s="2798"/>
      <c r="BG115" s="2798"/>
      <c r="BH115" s="2798"/>
      <c r="BI115" s="2798"/>
      <c r="BJ115" s="2798"/>
      <c r="BK115" s="2798"/>
      <c r="BL115" s="2798"/>
      <c r="BM115" s="2798"/>
      <c r="BN115" s="2798"/>
      <c r="BO115" s="2798"/>
      <c r="BP115" s="2798"/>
    </row>
    <row r="116" spans="12:68">
      <c r="L116" s="2798"/>
      <c r="M116" s="2798"/>
      <c r="N116" s="2798"/>
      <c r="O116" s="2798"/>
      <c r="P116" s="2798"/>
      <c r="Q116" s="2798"/>
      <c r="R116" s="2798"/>
      <c r="S116" s="2798"/>
      <c r="T116" s="2798"/>
      <c r="U116" s="2798"/>
      <c r="V116" s="2798"/>
      <c r="W116" s="2798"/>
      <c r="X116" s="2798"/>
      <c r="Y116" s="2798"/>
      <c r="Z116" s="2798"/>
      <c r="AA116" s="2798"/>
      <c r="AB116" s="2798"/>
      <c r="AC116" s="2798"/>
      <c r="AD116" s="2798"/>
      <c r="AE116" s="2798"/>
      <c r="AF116" s="2798"/>
      <c r="AG116" s="2798"/>
      <c r="AH116" s="2798"/>
      <c r="AI116" s="2798"/>
      <c r="AJ116" s="2798"/>
      <c r="AK116" s="2798"/>
      <c r="AL116" s="2798"/>
      <c r="AM116" s="2798"/>
      <c r="AN116" s="2798"/>
      <c r="AO116" s="2798"/>
      <c r="AP116" s="2798"/>
      <c r="AQ116" s="2798"/>
      <c r="AR116" s="2798"/>
      <c r="AS116" s="2798"/>
      <c r="AT116" s="2798"/>
      <c r="AU116" s="2798"/>
      <c r="AV116" s="2798"/>
      <c r="AW116" s="2798"/>
      <c r="AX116" s="2798"/>
      <c r="AY116" s="2798"/>
      <c r="AZ116" s="2798"/>
      <c r="BA116" s="2798"/>
      <c r="BB116" s="2798"/>
      <c r="BC116" s="2798"/>
      <c r="BD116" s="2798"/>
      <c r="BE116" s="2798"/>
      <c r="BF116" s="2798"/>
      <c r="BG116" s="2798"/>
      <c r="BH116" s="2798"/>
      <c r="BI116" s="2798"/>
      <c r="BJ116" s="2798"/>
      <c r="BK116" s="2798"/>
      <c r="BL116" s="2798"/>
      <c r="BM116" s="2798"/>
      <c r="BN116" s="2798"/>
      <c r="BO116" s="2798"/>
      <c r="BP116" s="2798"/>
    </row>
    <row r="117" spans="12:68">
      <c r="L117" s="2798"/>
      <c r="M117" s="2798"/>
      <c r="N117" s="2798"/>
      <c r="O117" s="2798"/>
      <c r="P117" s="2798"/>
      <c r="Q117" s="2798"/>
      <c r="R117" s="2798"/>
      <c r="S117" s="2798"/>
      <c r="T117" s="2798"/>
      <c r="U117" s="2798"/>
      <c r="V117" s="2798"/>
      <c r="W117" s="2798"/>
      <c r="X117" s="2798"/>
      <c r="Y117" s="2798"/>
      <c r="Z117" s="2798"/>
      <c r="AA117" s="2798"/>
      <c r="AB117" s="2798"/>
      <c r="AC117" s="2798"/>
      <c r="AD117" s="2798"/>
      <c r="AE117" s="2798"/>
      <c r="AF117" s="2798"/>
      <c r="AG117" s="2798"/>
      <c r="AH117" s="2798"/>
      <c r="AI117" s="2798"/>
      <c r="AJ117" s="2798"/>
      <c r="AK117" s="2798"/>
      <c r="AL117" s="2798"/>
      <c r="AM117" s="2798"/>
      <c r="AN117" s="2798"/>
      <c r="AO117" s="2798"/>
      <c r="AP117" s="2798"/>
      <c r="AQ117" s="2798"/>
      <c r="AR117" s="2798"/>
      <c r="AS117" s="2798"/>
      <c r="AT117" s="2798"/>
      <c r="AU117" s="2798"/>
      <c r="AV117" s="2798"/>
      <c r="AW117" s="2798"/>
      <c r="AX117" s="2798"/>
      <c r="AY117" s="2798"/>
      <c r="AZ117" s="2798"/>
      <c r="BA117" s="2798"/>
      <c r="BB117" s="2798"/>
      <c r="BC117" s="2798"/>
      <c r="BD117" s="2798"/>
      <c r="BE117" s="2798"/>
      <c r="BF117" s="2798"/>
      <c r="BG117" s="2798"/>
      <c r="BH117" s="2798"/>
      <c r="BI117" s="2798"/>
      <c r="BJ117" s="2798"/>
      <c r="BK117" s="2798"/>
      <c r="BL117" s="2798"/>
      <c r="BM117" s="2798"/>
      <c r="BN117" s="2798"/>
      <c r="BO117" s="2798"/>
      <c r="BP117" s="2798"/>
    </row>
    <row r="118" spans="12:68">
      <c r="L118" s="2798"/>
      <c r="M118" s="2798"/>
      <c r="N118" s="2798"/>
      <c r="O118" s="2798"/>
      <c r="P118" s="2798"/>
      <c r="Q118" s="2798"/>
      <c r="R118" s="2798"/>
      <c r="S118" s="2798"/>
      <c r="T118" s="2798"/>
      <c r="U118" s="2798"/>
      <c r="V118" s="2798"/>
      <c r="W118" s="2798"/>
      <c r="X118" s="2798"/>
      <c r="Y118" s="2798"/>
      <c r="Z118" s="2798"/>
      <c r="AA118" s="2798"/>
      <c r="AB118" s="2798"/>
      <c r="AC118" s="2798"/>
      <c r="AD118" s="2798"/>
      <c r="AE118" s="2798"/>
      <c r="AF118" s="2798"/>
      <c r="AG118" s="2798"/>
      <c r="AH118" s="2798"/>
      <c r="AI118" s="2798"/>
      <c r="AJ118" s="2798"/>
      <c r="AK118" s="2798"/>
      <c r="AL118" s="2798"/>
      <c r="AM118" s="2798"/>
      <c r="AN118" s="2798"/>
      <c r="AO118" s="2798"/>
      <c r="AP118" s="2798"/>
      <c r="AQ118" s="2798"/>
      <c r="AR118" s="2798"/>
      <c r="AS118" s="2798"/>
      <c r="AT118" s="2798"/>
      <c r="AU118" s="2798"/>
      <c r="AV118" s="2798"/>
      <c r="AW118" s="2798"/>
      <c r="AX118" s="2798"/>
      <c r="AY118" s="2798"/>
      <c r="AZ118" s="2798"/>
      <c r="BA118" s="2798"/>
      <c r="BB118" s="2798"/>
      <c r="BC118" s="2798"/>
      <c r="BD118" s="2798"/>
      <c r="BE118" s="2798"/>
      <c r="BF118" s="2798"/>
      <c r="BG118" s="2798"/>
      <c r="BH118" s="2798"/>
      <c r="BI118" s="2798"/>
      <c r="BJ118" s="2798"/>
      <c r="BK118" s="2798"/>
      <c r="BL118" s="2798"/>
      <c r="BM118" s="2798"/>
      <c r="BN118" s="2798"/>
      <c r="BO118" s="2798"/>
      <c r="BP118" s="2798"/>
    </row>
    <row r="119" spans="12:68">
      <c r="L119" s="2798"/>
      <c r="M119" s="2798"/>
      <c r="N119" s="2798"/>
      <c r="O119" s="2798"/>
      <c r="P119" s="2798"/>
      <c r="Q119" s="2798"/>
      <c r="R119" s="2798"/>
      <c r="S119" s="2798"/>
      <c r="T119" s="2798"/>
      <c r="U119" s="2798"/>
      <c r="V119" s="2798"/>
      <c r="W119" s="2798"/>
      <c r="X119" s="2798"/>
      <c r="Y119" s="2798"/>
      <c r="Z119" s="2798"/>
      <c r="AA119" s="2798"/>
      <c r="AB119" s="2798"/>
      <c r="AC119" s="2798"/>
      <c r="AD119" s="2798"/>
      <c r="AE119" s="2798"/>
      <c r="AF119" s="2798"/>
      <c r="AG119" s="2798"/>
      <c r="AH119" s="2798"/>
      <c r="AI119" s="2798"/>
      <c r="AJ119" s="2798"/>
      <c r="AK119" s="2798"/>
      <c r="AL119" s="2798"/>
      <c r="AM119" s="2798"/>
      <c r="AN119" s="2798"/>
      <c r="AO119" s="2798"/>
      <c r="AP119" s="2798"/>
      <c r="AQ119" s="2798"/>
      <c r="AR119" s="2798"/>
      <c r="AS119" s="2798"/>
      <c r="AT119" s="2798"/>
      <c r="AU119" s="2798"/>
      <c r="AV119" s="2798"/>
      <c r="AW119" s="2798"/>
      <c r="AX119" s="2798"/>
      <c r="AY119" s="2798"/>
      <c r="AZ119" s="2798"/>
      <c r="BA119" s="2798"/>
      <c r="BB119" s="2798"/>
      <c r="BC119" s="2798"/>
      <c r="BD119" s="2798"/>
      <c r="BE119" s="2798"/>
      <c r="BF119" s="2798"/>
      <c r="BG119" s="2798"/>
      <c r="BH119" s="2798"/>
      <c r="BI119" s="2798"/>
      <c r="BJ119" s="2798"/>
      <c r="BK119" s="2798"/>
      <c r="BL119" s="2798"/>
      <c r="BM119" s="2798"/>
      <c r="BN119" s="2798"/>
      <c r="BO119" s="2798"/>
      <c r="BP119" s="2798"/>
    </row>
    <row r="120" spans="12:68">
      <c r="L120" s="2798"/>
      <c r="M120" s="2798"/>
      <c r="N120" s="2798"/>
      <c r="O120" s="2798"/>
      <c r="P120" s="2798"/>
      <c r="Q120" s="2798"/>
      <c r="R120" s="2798"/>
      <c r="S120" s="2798"/>
      <c r="T120" s="2798"/>
      <c r="U120" s="2798"/>
      <c r="V120" s="2798"/>
      <c r="W120" s="2798"/>
      <c r="X120" s="2798"/>
      <c r="Y120" s="2798"/>
      <c r="Z120" s="2798"/>
      <c r="AA120" s="2798"/>
      <c r="AB120" s="2798"/>
      <c r="AC120" s="2798"/>
      <c r="AD120" s="2798"/>
      <c r="AE120" s="2798"/>
      <c r="AF120" s="2798"/>
      <c r="AG120" s="2798"/>
      <c r="AH120" s="2798"/>
      <c r="AI120" s="2798"/>
      <c r="AJ120" s="2798"/>
      <c r="AK120" s="2798"/>
      <c r="AL120" s="2798"/>
      <c r="AM120" s="2798"/>
      <c r="AN120" s="2798"/>
      <c r="AO120" s="2798"/>
      <c r="AP120" s="2798"/>
      <c r="AQ120" s="2798"/>
      <c r="AR120" s="2798"/>
      <c r="AS120" s="2798"/>
      <c r="AT120" s="2798"/>
      <c r="AU120" s="2798"/>
      <c r="AV120" s="2798"/>
      <c r="AW120" s="2798"/>
      <c r="AX120" s="2798"/>
      <c r="AY120" s="2798"/>
      <c r="AZ120" s="2798"/>
      <c r="BA120" s="2798"/>
      <c r="BB120" s="2798"/>
      <c r="BC120" s="2798"/>
      <c r="BD120" s="2798"/>
      <c r="BE120" s="2798"/>
      <c r="BF120" s="2798"/>
      <c r="BG120" s="2798"/>
      <c r="BH120" s="2798"/>
      <c r="BI120" s="2798"/>
      <c r="BJ120" s="2798"/>
      <c r="BK120" s="2798"/>
      <c r="BL120" s="2798"/>
      <c r="BM120" s="2798"/>
      <c r="BN120" s="2798"/>
      <c r="BO120" s="2798"/>
      <c r="BP120" s="2798"/>
    </row>
    <row r="121" spans="12:68">
      <c r="L121" s="2798"/>
      <c r="M121" s="2798"/>
      <c r="N121" s="2798"/>
      <c r="O121" s="2798"/>
      <c r="P121" s="2798"/>
      <c r="Q121" s="2798"/>
      <c r="R121" s="2798"/>
      <c r="S121" s="2798"/>
      <c r="T121" s="2798"/>
      <c r="U121" s="2798"/>
      <c r="V121" s="2798"/>
      <c r="W121" s="2798"/>
      <c r="X121" s="2798"/>
      <c r="Y121" s="2798"/>
      <c r="Z121" s="2798"/>
      <c r="AA121" s="2798"/>
      <c r="AB121" s="2798"/>
      <c r="AC121" s="2798"/>
      <c r="AD121" s="2798"/>
      <c r="AE121" s="2798"/>
      <c r="AF121" s="2798"/>
      <c r="AG121" s="2798"/>
      <c r="AH121" s="2798"/>
      <c r="AI121" s="2798"/>
      <c r="AJ121" s="2798"/>
      <c r="AK121" s="2798"/>
      <c r="AL121" s="2798"/>
      <c r="AM121" s="2798"/>
      <c r="AN121" s="2798"/>
      <c r="AO121" s="2798"/>
      <c r="AP121" s="2798"/>
      <c r="AQ121" s="2798"/>
      <c r="AR121" s="2798"/>
      <c r="AS121" s="2798"/>
      <c r="AT121" s="2798"/>
      <c r="AU121" s="2798"/>
      <c r="AV121" s="2798"/>
      <c r="AW121" s="2798"/>
      <c r="AX121" s="2798"/>
      <c r="AY121" s="2798"/>
      <c r="AZ121" s="2798"/>
      <c r="BA121" s="2798"/>
      <c r="BB121" s="2798"/>
      <c r="BC121" s="2798"/>
      <c r="BD121" s="2798"/>
      <c r="BE121" s="2798"/>
      <c r="BF121" s="2798"/>
      <c r="BG121" s="2798"/>
      <c r="BH121" s="2798"/>
      <c r="BI121" s="2798"/>
      <c r="BJ121" s="2798"/>
      <c r="BK121" s="2798"/>
      <c r="BL121" s="2798"/>
      <c r="BM121" s="2798"/>
      <c r="BN121" s="2798"/>
      <c r="BO121" s="2798"/>
      <c r="BP121" s="2798"/>
    </row>
    <row r="122" spans="12:68">
      <c r="L122" s="2798"/>
      <c r="M122" s="2798"/>
      <c r="N122" s="2798"/>
      <c r="O122" s="2798"/>
      <c r="P122" s="2798"/>
      <c r="Q122" s="2798"/>
      <c r="R122" s="2798"/>
      <c r="S122" s="2798"/>
      <c r="T122" s="2798"/>
      <c r="U122" s="2798"/>
      <c r="V122" s="2798"/>
      <c r="W122" s="2798"/>
      <c r="X122" s="2798"/>
      <c r="Y122" s="2798"/>
      <c r="Z122" s="2798"/>
      <c r="AA122" s="2798"/>
      <c r="AB122" s="2798"/>
      <c r="AC122" s="2798"/>
      <c r="AD122" s="2798"/>
      <c r="AE122" s="2798"/>
      <c r="AF122" s="2798"/>
      <c r="AG122" s="2798"/>
      <c r="AH122" s="2798"/>
      <c r="AI122" s="2798"/>
      <c r="AJ122" s="2798"/>
      <c r="AK122" s="2798"/>
      <c r="AL122" s="2798"/>
      <c r="AM122" s="2798"/>
      <c r="AN122" s="2798"/>
      <c r="AO122" s="2798"/>
      <c r="AP122" s="2798"/>
      <c r="AQ122" s="2798"/>
      <c r="AR122" s="2798"/>
      <c r="AS122" s="2798"/>
      <c r="AT122" s="2798"/>
      <c r="AU122" s="2798"/>
      <c r="AV122" s="2798"/>
      <c r="AW122" s="2798"/>
      <c r="AX122" s="2798"/>
      <c r="AY122" s="2798"/>
      <c r="AZ122" s="2798"/>
      <c r="BA122" s="2798"/>
      <c r="BB122" s="2798"/>
      <c r="BC122" s="2798"/>
      <c r="BD122" s="2798"/>
      <c r="BE122" s="2798"/>
      <c r="BF122" s="2798"/>
      <c r="BG122" s="2798"/>
      <c r="BH122" s="2798"/>
      <c r="BI122" s="2798"/>
      <c r="BJ122" s="2798"/>
      <c r="BK122" s="2798"/>
      <c r="BL122" s="2798"/>
      <c r="BM122" s="2798"/>
      <c r="BN122" s="2798"/>
      <c r="BO122" s="2798"/>
      <c r="BP122" s="2798"/>
    </row>
    <row r="123" spans="12:68">
      <c r="L123" s="2798"/>
      <c r="M123" s="2798"/>
      <c r="N123" s="2798"/>
      <c r="O123" s="2798"/>
      <c r="P123" s="2798"/>
      <c r="Q123" s="2798"/>
      <c r="R123" s="2798"/>
      <c r="S123" s="2798"/>
      <c r="T123" s="2798"/>
      <c r="U123" s="2798"/>
      <c r="V123" s="2798"/>
      <c r="W123" s="2798"/>
      <c r="X123" s="2798"/>
      <c r="Y123" s="2798"/>
      <c r="Z123" s="2798"/>
      <c r="AA123" s="2798"/>
      <c r="AB123" s="2798"/>
      <c r="AC123" s="2798"/>
      <c r="AD123" s="2798"/>
      <c r="AE123" s="2798"/>
      <c r="AF123" s="2798"/>
      <c r="AG123" s="2798"/>
      <c r="AH123" s="2798"/>
      <c r="AI123" s="2798"/>
      <c r="AJ123" s="2798"/>
      <c r="AK123" s="2798"/>
      <c r="AL123" s="2798"/>
      <c r="AM123" s="2798"/>
      <c r="AN123" s="2798"/>
      <c r="AO123" s="2798"/>
      <c r="AP123" s="2798"/>
      <c r="AQ123" s="2798"/>
      <c r="AR123" s="2798"/>
      <c r="AS123" s="2798"/>
      <c r="AT123" s="2798"/>
      <c r="AU123" s="2798"/>
      <c r="AV123" s="2798"/>
      <c r="AW123" s="2798"/>
      <c r="AX123" s="2798"/>
      <c r="AY123" s="2798"/>
      <c r="AZ123" s="2798"/>
      <c r="BA123" s="2798"/>
      <c r="BB123" s="2798"/>
      <c r="BC123" s="2798"/>
      <c r="BD123" s="2798"/>
      <c r="BE123" s="2798"/>
      <c r="BF123" s="2798"/>
      <c r="BG123" s="2798"/>
      <c r="BH123" s="2798"/>
      <c r="BI123" s="2798"/>
      <c r="BJ123" s="2798"/>
      <c r="BK123" s="2798"/>
      <c r="BL123" s="2798"/>
      <c r="BM123" s="2798"/>
      <c r="BN123" s="2798"/>
      <c r="BO123" s="2798"/>
      <c r="BP123" s="2798"/>
    </row>
    <row r="124" spans="12:68">
      <c r="L124" s="2798"/>
      <c r="M124" s="2798"/>
      <c r="N124" s="2798"/>
      <c r="O124" s="2798"/>
      <c r="P124" s="2798"/>
      <c r="Q124" s="2798"/>
      <c r="R124" s="2798"/>
      <c r="S124" s="2798"/>
      <c r="T124" s="2798"/>
      <c r="U124" s="2798"/>
      <c r="V124" s="2798"/>
      <c r="W124" s="2798"/>
      <c r="X124" s="2798"/>
      <c r="Y124" s="2798"/>
      <c r="Z124" s="2798"/>
      <c r="AA124" s="2798"/>
      <c r="AB124" s="2798"/>
      <c r="AC124" s="2798"/>
      <c r="AD124" s="2798"/>
      <c r="AE124" s="2798"/>
      <c r="AF124" s="2798"/>
      <c r="AG124" s="2798"/>
      <c r="AH124" s="2798"/>
      <c r="AI124" s="2798"/>
      <c r="AJ124" s="2798"/>
      <c r="AK124" s="2798"/>
      <c r="AL124" s="2798"/>
      <c r="AM124" s="2798"/>
      <c r="AN124" s="2798"/>
      <c r="AO124" s="2798"/>
      <c r="AP124" s="2798"/>
      <c r="AQ124" s="2798"/>
      <c r="AR124" s="2798"/>
      <c r="AS124" s="2798"/>
      <c r="AT124" s="2798"/>
      <c r="AU124" s="2798"/>
      <c r="AV124" s="2798"/>
      <c r="AW124" s="2798"/>
      <c r="AX124" s="2798"/>
      <c r="AY124" s="2798"/>
      <c r="AZ124" s="2798"/>
      <c r="BA124" s="2798"/>
      <c r="BB124" s="2798"/>
      <c r="BC124" s="2798"/>
      <c r="BD124" s="2798"/>
      <c r="BE124" s="2798"/>
      <c r="BF124" s="2798"/>
      <c r="BG124" s="2798"/>
      <c r="BH124" s="2798"/>
      <c r="BI124" s="2798"/>
      <c r="BJ124" s="2798"/>
      <c r="BK124" s="2798"/>
      <c r="BL124" s="2798"/>
      <c r="BM124" s="2798"/>
      <c r="BN124" s="2798"/>
      <c r="BO124" s="2798"/>
      <c r="BP124" s="2798"/>
    </row>
    <row r="125" spans="12:68">
      <c r="L125" s="2798"/>
      <c r="M125" s="2798"/>
      <c r="N125" s="2798"/>
      <c r="O125" s="2798"/>
      <c r="P125" s="2798"/>
      <c r="Q125" s="2798"/>
      <c r="R125" s="2798"/>
      <c r="S125" s="2798"/>
      <c r="T125" s="2798"/>
      <c r="U125" s="2798"/>
      <c r="V125" s="2798"/>
      <c r="W125" s="2798"/>
      <c r="X125" s="2798"/>
      <c r="Y125" s="2798"/>
      <c r="Z125" s="2798"/>
      <c r="AA125" s="2798"/>
      <c r="AB125" s="2798"/>
      <c r="AC125" s="2798"/>
      <c r="AD125" s="2798"/>
      <c r="AE125" s="2798"/>
      <c r="AF125" s="2798"/>
      <c r="AG125" s="2798"/>
      <c r="AH125" s="2798"/>
      <c r="AI125" s="2798"/>
      <c r="AJ125" s="2798"/>
      <c r="AK125" s="2798"/>
      <c r="AL125" s="2798"/>
      <c r="AM125" s="2798"/>
      <c r="AN125" s="2798"/>
      <c r="AO125" s="2798"/>
      <c r="AP125" s="2798"/>
      <c r="AQ125" s="2798"/>
      <c r="AR125" s="2798"/>
      <c r="AS125" s="2798"/>
      <c r="AT125" s="2798"/>
      <c r="AU125" s="2798"/>
      <c r="AV125" s="2798"/>
      <c r="AW125" s="2798"/>
      <c r="AX125" s="2798"/>
      <c r="AY125" s="2798"/>
      <c r="AZ125" s="2798"/>
      <c r="BA125" s="2798"/>
      <c r="BB125" s="2798"/>
      <c r="BC125" s="2798"/>
      <c r="BD125" s="2798"/>
      <c r="BE125" s="2798"/>
      <c r="BF125" s="2798"/>
      <c r="BG125" s="2798"/>
      <c r="BH125" s="2798"/>
      <c r="BI125" s="2798"/>
      <c r="BJ125" s="2798"/>
      <c r="BK125" s="2798"/>
      <c r="BL125" s="2798"/>
      <c r="BM125" s="2798"/>
      <c r="BN125" s="2798"/>
      <c r="BO125" s="2798"/>
      <c r="BP125" s="2798"/>
    </row>
    <row r="126" spans="12:68">
      <c r="L126" s="2798"/>
      <c r="M126" s="2798"/>
      <c r="N126" s="2798"/>
      <c r="O126" s="2798"/>
      <c r="P126" s="2798"/>
      <c r="Q126" s="2798"/>
      <c r="R126" s="2798"/>
      <c r="S126" s="2798"/>
      <c r="T126" s="2798"/>
      <c r="U126" s="2798"/>
      <c r="V126" s="2798"/>
      <c r="W126" s="2798"/>
      <c r="X126" s="2798"/>
      <c r="Y126" s="2798"/>
      <c r="Z126" s="2798"/>
      <c r="AA126" s="2798"/>
      <c r="AB126" s="2798"/>
      <c r="AC126" s="2798"/>
      <c r="AD126" s="2798"/>
      <c r="AE126" s="2798"/>
      <c r="AF126" s="2798"/>
      <c r="AG126" s="2798"/>
      <c r="AH126" s="2798"/>
      <c r="AI126" s="2798"/>
      <c r="AJ126" s="2798"/>
      <c r="AK126" s="2798"/>
      <c r="AL126" s="2798"/>
      <c r="AM126" s="2798"/>
      <c r="AN126" s="2798"/>
      <c r="AO126" s="2798"/>
      <c r="AP126" s="2798"/>
      <c r="AQ126" s="2798"/>
      <c r="AR126" s="2798"/>
      <c r="AS126" s="2798"/>
      <c r="AT126" s="2798"/>
      <c r="AU126" s="2798"/>
      <c r="AV126" s="2798"/>
      <c r="AW126" s="2798"/>
      <c r="AX126" s="2798"/>
      <c r="AY126" s="2798"/>
      <c r="AZ126" s="2798"/>
      <c r="BA126" s="2798"/>
      <c r="BB126" s="2798"/>
      <c r="BC126" s="2798"/>
      <c r="BD126" s="2798"/>
      <c r="BE126" s="2798"/>
      <c r="BF126" s="2798"/>
      <c r="BG126" s="2798"/>
      <c r="BH126" s="2798"/>
      <c r="BI126" s="2798"/>
      <c r="BJ126" s="2798"/>
      <c r="BK126" s="2798"/>
      <c r="BL126" s="2798"/>
      <c r="BM126" s="2798"/>
      <c r="BN126" s="2798"/>
      <c r="BO126" s="2798"/>
      <c r="BP126" s="2798"/>
    </row>
    <row r="127" spans="12:68">
      <c r="L127" s="2798"/>
      <c r="M127" s="2798"/>
      <c r="N127" s="2798"/>
      <c r="O127" s="2798"/>
      <c r="P127" s="2798"/>
      <c r="Q127" s="2798"/>
      <c r="R127" s="2798"/>
      <c r="S127" s="2798"/>
      <c r="T127" s="2798"/>
      <c r="U127" s="2798"/>
      <c r="V127" s="2798"/>
      <c r="W127" s="2798"/>
      <c r="X127" s="2798"/>
      <c r="Y127" s="2798"/>
      <c r="Z127" s="2798"/>
      <c r="AA127" s="2798"/>
      <c r="AB127" s="2798"/>
      <c r="AC127" s="2798"/>
      <c r="AD127" s="2798"/>
      <c r="AE127" s="2798"/>
      <c r="AF127" s="2798"/>
      <c r="AG127" s="2798"/>
      <c r="AH127" s="2798"/>
      <c r="AI127" s="2798"/>
      <c r="AJ127" s="2798"/>
      <c r="AK127" s="2798"/>
      <c r="AL127" s="2798"/>
      <c r="AM127" s="2798"/>
      <c r="AN127" s="2798"/>
      <c r="AO127" s="2798"/>
      <c r="AP127" s="2798"/>
      <c r="AQ127" s="2798"/>
      <c r="AR127" s="2798"/>
      <c r="AS127" s="2798"/>
      <c r="AT127" s="2798"/>
      <c r="AU127" s="2798"/>
      <c r="AV127" s="2798"/>
      <c r="AW127" s="2798"/>
      <c r="AX127" s="2798"/>
      <c r="AY127" s="2798"/>
      <c r="AZ127" s="2798"/>
      <c r="BA127" s="2798"/>
      <c r="BB127" s="2798"/>
      <c r="BC127" s="2798"/>
      <c r="BD127" s="2798"/>
      <c r="BE127" s="2798"/>
      <c r="BF127" s="2798"/>
      <c r="BG127" s="2798"/>
      <c r="BH127" s="2798"/>
      <c r="BI127" s="2798"/>
      <c r="BJ127" s="2798"/>
      <c r="BK127" s="2798"/>
      <c r="BL127" s="2798"/>
      <c r="BM127" s="2798"/>
      <c r="BN127" s="2798"/>
      <c r="BO127" s="2798"/>
      <c r="BP127" s="2798"/>
    </row>
    <row r="128" spans="12:68">
      <c r="L128" s="2798"/>
      <c r="M128" s="2798"/>
      <c r="N128" s="2798"/>
      <c r="O128" s="2798"/>
      <c r="P128" s="2798"/>
      <c r="Q128" s="2798"/>
      <c r="R128" s="2798"/>
      <c r="S128" s="2798"/>
      <c r="T128" s="2798"/>
      <c r="U128" s="2798"/>
      <c r="V128" s="2798"/>
      <c r="W128" s="2798"/>
      <c r="X128" s="2798"/>
      <c r="Y128" s="2798"/>
      <c r="Z128" s="2798"/>
      <c r="AA128" s="2798"/>
      <c r="AB128" s="2798"/>
      <c r="AC128" s="2798"/>
      <c r="AD128" s="2798"/>
      <c r="AE128" s="2798"/>
      <c r="AF128" s="2798"/>
      <c r="AG128" s="2798"/>
      <c r="AH128" s="2798"/>
      <c r="AI128" s="2798"/>
      <c r="AJ128" s="2798"/>
      <c r="AK128" s="2798"/>
      <c r="AL128" s="2798"/>
      <c r="AM128" s="2798"/>
      <c r="AN128" s="2798"/>
      <c r="AO128" s="2798"/>
      <c r="AP128" s="2798"/>
      <c r="AQ128" s="2798"/>
      <c r="AR128" s="2798"/>
      <c r="AS128" s="2798"/>
      <c r="AT128" s="2798"/>
      <c r="AU128" s="2798"/>
      <c r="AV128" s="2798"/>
      <c r="AW128" s="2798"/>
      <c r="AX128" s="2798"/>
      <c r="AY128" s="2798"/>
      <c r="AZ128" s="2798"/>
      <c r="BA128" s="2798"/>
      <c r="BB128" s="2798"/>
      <c r="BC128" s="2798"/>
      <c r="BD128" s="2798"/>
      <c r="BE128" s="2798"/>
      <c r="BF128" s="2798"/>
      <c r="BG128" s="2798"/>
      <c r="BH128" s="2798"/>
      <c r="BI128" s="2798"/>
      <c r="BJ128" s="2798"/>
      <c r="BK128" s="2798"/>
      <c r="BL128" s="2798"/>
      <c r="BM128" s="2798"/>
      <c r="BN128" s="2798"/>
      <c r="BO128" s="2798"/>
      <c r="BP128" s="2798"/>
    </row>
    <row r="129" spans="12:68">
      <c r="L129" s="2798"/>
      <c r="M129" s="2798"/>
      <c r="N129" s="2798"/>
      <c r="O129" s="2798"/>
      <c r="P129" s="2798"/>
      <c r="Q129" s="2798"/>
      <c r="R129" s="2798"/>
      <c r="S129" s="2798"/>
      <c r="T129" s="2798"/>
      <c r="U129" s="2798"/>
      <c r="V129" s="2798"/>
      <c r="W129" s="2798"/>
      <c r="X129" s="2798"/>
      <c r="Y129" s="2798"/>
      <c r="Z129" s="2798"/>
      <c r="AA129" s="2798"/>
      <c r="AB129" s="2798"/>
      <c r="AC129" s="2798"/>
      <c r="AD129" s="2798"/>
      <c r="AE129" s="2798"/>
      <c r="AF129" s="2798"/>
      <c r="AG129" s="2798"/>
      <c r="AH129" s="2798"/>
      <c r="AI129" s="2798"/>
      <c r="AJ129" s="2798"/>
      <c r="AK129" s="2798"/>
      <c r="AL129" s="2798"/>
      <c r="AM129" s="2798"/>
      <c r="AN129" s="2798"/>
      <c r="AO129" s="2798"/>
      <c r="AP129" s="2798"/>
      <c r="AQ129" s="2798"/>
      <c r="AR129" s="2798"/>
      <c r="AS129" s="2798"/>
      <c r="AT129" s="2798"/>
      <c r="AU129" s="2798"/>
      <c r="AV129" s="2798"/>
      <c r="AW129" s="2798"/>
      <c r="AX129" s="2798"/>
      <c r="AY129" s="2798"/>
      <c r="AZ129" s="2798"/>
      <c r="BA129" s="2798"/>
      <c r="BB129" s="2798"/>
      <c r="BC129" s="2798"/>
      <c r="BD129" s="2798"/>
      <c r="BE129" s="2798"/>
      <c r="BF129" s="2798"/>
      <c r="BG129" s="2798"/>
      <c r="BH129" s="2798"/>
      <c r="BI129" s="2798"/>
      <c r="BJ129" s="2798"/>
      <c r="BK129" s="2798"/>
      <c r="BL129" s="2798"/>
      <c r="BM129" s="2798"/>
      <c r="BN129" s="2798"/>
      <c r="BO129" s="2798"/>
      <c r="BP129" s="2798"/>
    </row>
    <row r="130" spans="12:68">
      <c r="L130" s="2798"/>
      <c r="M130" s="2798"/>
      <c r="N130" s="2798"/>
      <c r="O130" s="2798"/>
      <c r="P130" s="2798"/>
      <c r="Q130" s="2798"/>
      <c r="R130" s="2798"/>
      <c r="S130" s="2798"/>
      <c r="T130" s="2798"/>
      <c r="U130" s="2798"/>
      <c r="V130" s="2798"/>
      <c r="W130" s="2798"/>
      <c r="X130" s="2798"/>
      <c r="Y130" s="2798"/>
      <c r="Z130" s="2798"/>
      <c r="AA130" s="2798"/>
      <c r="AB130" s="2798"/>
      <c r="AC130" s="2798"/>
      <c r="AD130" s="2798"/>
      <c r="AE130" s="2798"/>
      <c r="AF130" s="2798"/>
      <c r="AG130" s="2798"/>
      <c r="AH130" s="2798"/>
      <c r="AI130" s="2798"/>
      <c r="AJ130" s="2798"/>
      <c r="AK130" s="2798"/>
      <c r="AL130" s="2798"/>
      <c r="AM130" s="2798"/>
      <c r="AN130" s="2798"/>
      <c r="AO130" s="2798"/>
      <c r="AP130" s="2798"/>
      <c r="AQ130" s="2798"/>
      <c r="AR130" s="2798"/>
      <c r="AS130" s="2798"/>
      <c r="AT130" s="2798"/>
      <c r="AU130" s="2798"/>
      <c r="AV130" s="2798"/>
      <c r="AW130" s="2798"/>
      <c r="AX130" s="2798"/>
      <c r="AY130" s="2798"/>
      <c r="AZ130" s="2798"/>
      <c r="BA130" s="2798"/>
      <c r="BB130" s="2798"/>
      <c r="BC130" s="2798"/>
      <c r="BD130" s="2798"/>
      <c r="BE130" s="2798"/>
      <c r="BF130" s="2798"/>
      <c r="BG130" s="2798"/>
      <c r="BH130" s="2798"/>
      <c r="BI130" s="2798"/>
      <c r="BJ130" s="2798"/>
      <c r="BK130" s="2798"/>
      <c r="BL130" s="2798"/>
      <c r="BM130" s="2798"/>
      <c r="BN130" s="2798"/>
      <c r="BO130" s="2798"/>
      <c r="BP130" s="2798"/>
    </row>
    <row r="131" spans="12:68">
      <c r="L131" s="2798"/>
      <c r="M131" s="2798"/>
      <c r="N131" s="2798"/>
      <c r="O131" s="2798"/>
      <c r="P131" s="2798"/>
      <c r="Q131" s="2798"/>
      <c r="R131" s="2798"/>
      <c r="S131" s="2798"/>
      <c r="T131" s="2798"/>
      <c r="U131" s="2798"/>
      <c r="V131" s="2798"/>
      <c r="W131" s="2798"/>
      <c r="X131" s="2798"/>
      <c r="Y131" s="2798"/>
      <c r="Z131" s="2798"/>
      <c r="AA131" s="2798"/>
      <c r="AB131" s="2798"/>
      <c r="AC131" s="2798"/>
      <c r="AD131" s="2798"/>
      <c r="AE131" s="2798"/>
      <c r="AF131" s="2798"/>
      <c r="AG131" s="2798"/>
      <c r="AH131" s="2798"/>
      <c r="AI131" s="2798"/>
      <c r="AJ131" s="2798"/>
      <c r="AK131" s="2798"/>
      <c r="AL131" s="2798"/>
      <c r="AM131" s="2798"/>
      <c r="AN131" s="2798"/>
      <c r="AO131" s="2798"/>
      <c r="AP131" s="2798"/>
      <c r="AQ131" s="2798"/>
      <c r="AR131" s="2798"/>
      <c r="AS131" s="2798"/>
      <c r="AT131" s="2798"/>
      <c r="AU131" s="2798"/>
      <c r="AV131" s="2798"/>
      <c r="AW131" s="2798"/>
      <c r="AX131" s="2798"/>
      <c r="AY131" s="2798"/>
      <c r="AZ131" s="2798"/>
      <c r="BA131" s="2798"/>
      <c r="BB131" s="2798"/>
      <c r="BC131" s="2798"/>
      <c r="BD131" s="2798"/>
      <c r="BE131" s="2798"/>
      <c r="BF131" s="2798"/>
      <c r="BG131" s="2798"/>
      <c r="BH131" s="2798"/>
      <c r="BI131" s="2798"/>
      <c r="BJ131" s="2798"/>
      <c r="BK131" s="2798"/>
      <c r="BL131" s="2798"/>
      <c r="BM131" s="2798"/>
      <c r="BN131" s="2798"/>
      <c r="BO131" s="2798"/>
      <c r="BP131" s="2798"/>
    </row>
    <row r="132" spans="12:68">
      <c r="L132" s="2798"/>
      <c r="M132" s="2798"/>
      <c r="N132" s="2798"/>
      <c r="O132" s="2798"/>
      <c r="P132" s="2798"/>
      <c r="Q132" s="2798"/>
      <c r="R132" s="2798"/>
      <c r="S132" s="2798"/>
      <c r="T132" s="2798"/>
      <c r="U132" s="2798"/>
      <c r="V132" s="2798"/>
      <c r="W132" s="2798"/>
      <c r="X132" s="2798"/>
      <c r="Y132" s="2798"/>
      <c r="Z132" s="2798"/>
      <c r="AA132" s="2798"/>
      <c r="AB132" s="2798"/>
      <c r="AC132" s="2798"/>
      <c r="AD132" s="2798"/>
      <c r="AE132" s="2798"/>
      <c r="AF132" s="2798"/>
      <c r="AG132" s="2798"/>
      <c r="AH132" s="2798"/>
      <c r="AI132" s="2798"/>
      <c r="AJ132" s="2798"/>
      <c r="AK132" s="2798"/>
      <c r="AL132" s="2798"/>
      <c r="AM132" s="2798"/>
      <c r="AN132" s="2798"/>
      <c r="AO132" s="2798"/>
      <c r="AP132" s="2798"/>
      <c r="AQ132" s="2798"/>
      <c r="AR132" s="2798"/>
      <c r="AS132" s="2798"/>
      <c r="AT132" s="2798"/>
      <c r="AU132" s="2798"/>
      <c r="AV132" s="2798"/>
      <c r="AW132" s="2798"/>
      <c r="AX132" s="2798"/>
      <c r="AY132" s="2798"/>
      <c r="AZ132" s="2798"/>
      <c r="BA132" s="2798"/>
      <c r="BB132" s="2798"/>
      <c r="BC132" s="2798"/>
      <c r="BD132" s="2798"/>
      <c r="BE132" s="2798"/>
      <c r="BF132" s="2798"/>
      <c r="BG132" s="2798"/>
      <c r="BH132" s="2798"/>
      <c r="BI132" s="2798"/>
      <c r="BJ132" s="2798"/>
      <c r="BK132" s="2798"/>
      <c r="BL132" s="2798"/>
      <c r="BM132" s="2798"/>
      <c r="BN132" s="2798"/>
      <c r="BO132" s="2798"/>
      <c r="BP132" s="2798"/>
    </row>
    <row r="133" spans="12:68">
      <c r="L133" s="2798"/>
      <c r="M133" s="2798"/>
      <c r="N133" s="2798"/>
      <c r="O133" s="2798"/>
      <c r="P133" s="2798"/>
      <c r="Q133" s="2798"/>
      <c r="R133" s="2798"/>
      <c r="S133" s="2798"/>
      <c r="T133" s="2798"/>
      <c r="U133" s="2798"/>
      <c r="V133" s="2798"/>
      <c r="W133" s="2798"/>
      <c r="X133" s="2798"/>
      <c r="Y133" s="2798"/>
      <c r="Z133" s="2798"/>
      <c r="AA133" s="2798"/>
      <c r="AB133" s="2798"/>
      <c r="AC133" s="2798"/>
      <c r="AD133" s="2798"/>
      <c r="AE133" s="2798"/>
      <c r="AF133" s="2798"/>
      <c r="AG133" s="2798"/>
      <c r="AH133" s="2798"/>
      <c r="AI133" s="2798"/>
      <c r="AJ133" s="2798"/>
      <c r="AK133" s="2798"/>
      <c r="AL133" s="2798"/>
      <c r="AM133" s="2798"/>
      <c r="AN133" s="2798"/>
      <c r="AO133" s="2798"/>
      <c r="AP133" s="2798"/>
      <c r="AQ133" s="2798"/>
      <c r="AR133" s="2798"/>
      <c r="AS133" s="2798"/>
      <c r="AT133" s="2798"/>
      <c r="AU133" s="2798"/>
      <c r="AV133" s="2798"/>
      <c r="AW133" s="2798"/>
      <c r="AX133" s="2798"/>
      <c r="AY133" s="2798"/>
      <c r="AZ133" s="2798"/>
      <c r="BA133" s="2798"/>
      <c r="BB133" s="2798"/>
      <c r="BC133" s="2798"/>
      <c r="BD133" s="2798"/>
      <c r="BE133" s="2798"/>
      <c r="BF133" s="2798"/>
      <c r="BG133" s="2798"/>
      <c r="BH133" s="2798"/>
      <c r="BI133" s="2798"/>
      <c r="BJ133" s="2798"/>
      <c r="BK133" s="2798"/>
      <c r="BL133" s="2798"/>
      <c r="BM133" s="2798"/>
      <c r="BN133" s="2798"/>
      <c r="BO133" s="2798"/>
      <c r="BP133" s="2798"/>
    </row>
    <row r="134" spans="12:68">
      <c r="L134" s="2798"/>
      <c r="M134" s="2798"/>
      <c r="N134" s="2798"/>
      <c r="O134" s="2798"/>
      <c r="P134" s="2798"/>
      <c r="Q134" s="2798"/>
      <c r="R134" s="2798"/>
      <c r="S134" s="2798"/>
      <c r="T134" s="2798"/>
      <c r="U134" s="2798"/>
      <c r="V134" s="2798"/>
      <c r="W134" s="2798"/>
      <c r="X134" s="2798"/>
      <c r="Y134" s="2798"/>
      <c r="Z134" s="2798"/>
      <c r="AA134" s="2798"/>
      <c r="AB134" s="2798"/>
      <c r="AC134" s="2798"/>
      <c r="AD134" s="2798"/>
      <c r="AE134" s="2798"/>
      <c r="AF134" s="2798"/>
      <c r="AG134" s="2798"/>
      <c r="AH134" s="2798"/>
      <c r="AI134" s="2798"/>
      <c r="AJ134" s="2798"/>
      <c r="AK134" s="2798"/>
      <c r="AL134" s="2798"/>
      <c r="AM134" s="2798"/>
      <c r="AN134" s="2798"/>
      <c r="AO134" s="2798"/>
      <c r="AP134" s="2798"/>
      <c r="AQ134" s="2798"/>
      <c r="AR134" s="2798"/>
      <c r="AS134" s="2798"/>
      <c r="AT134" s="2798"/>
      <c r="AU134" s="2798"/>
      <c r="AV134" s="2798"/>
      <c r="AW134" s="2798"/>
      <c r="AX134" s="2798"/>
      <c r="AY134" s="2798"/>
      <c r="AZ134" s="2798"/>
      <c r="BA134" s="2798"/>
      <c r="BB134" s="2798"/>
      <c r="BC134" s="2798"/>
      <c r="BD134" s="2798"/>
      <c r="BE134" s="2798"/>
      <c r="BF134" s="2798"/>
      <c r="BG134" s="2798"/>
      <c r="BH134" s="2798"/>
      <c r="BI134" s="2798"/>
      <c r="BJ134" s="2798"/>
      <c r="BK134" s="2798"/>
      <c r="BL134" s="2798"/>
      <c r="BM134" s="2798"/>
      <c r="BN134" s="2798"/>
      <c r="BO134" s="2798"/>
      <c r="BP134" s="2798"/>
    </row>
    <row r="135" spans="12:68">
      <c r="L135" s="2798"/>
      <c r="M135" s="2798"/>
      <c r="N135" s="2798"/>
      <c r="O135" s="2798"/>
      <c r="P135" s="2798"/>
      <c r="Q135" s="2798"/>
      <c r="R135" s="2798"/>
      <c r="S135" s="2798"/>
      <c r="T135" s="2798"/>
      <c r="U135" s="2798"/>
      <c r="V135" s="2798"/>
      <c r="W135" s="2798"/>
      <c r="X135" s="2798"/>
      <c r="Y135" s="2798"/>
      <c r="Z135" s="2798"/>
      <c r="AA135" s="2798"/>
      <c r="AB135" s="2798"/>
      <c r="AC135" s="2798"/>
      <c r="AD135" s="2798"/>
      <c r="AE135" s="2798"/>
      <c r="AF135" s="2798"/>
      <c r="AG135" s="2798"/>
      <c r="AH135" s="2798"/>
      <c r="AI135" s="2798"/>
      <c r="AJ135" s="2798"/>
      <c r="AK135" s="2798"/>
      <c r="AL135" s="2798"/>
      <c r="AM135" s="2798"/>
      <c r="AN135" s="2798"/>
      <c r="AO135" s="2798"/>
      <c r="AP135" s="2798"/>
      <c r="AQ135" s="2798"/>
      <c r="AR135" s="2798"/>
      <c r="AS135" s="2798"/>
      <c r="AT135" s="2798"/>
      <c r="AU135" s="2798"/>
      <c r="AV135" s="2798"/>
      <c r="AW135" s="2798"/>
      <c r="AX135" s="2798"/>
      <c r="AY135" s="2798"/>
      <c r="AZ135" s="2798"/>
      <c r="BA135" s="2798"/>
      <c r="BB135" s="2798"/>
      <c r="BC135" s="2798"/>
      <c r="BD135" s="2798"/>
      <c r="BE135" s="2798"/>
      <c r="BF135" s="2798"/>
      <c r="BG135" s="2798"/>
      <c r="BH135" s="2798"/>
      <c r="BI135" s="2798"/>
      <c r="BJ135" s="2798"/>
      <c r="BK135" s="2798"/>
      <c r="BL135" s="2798"/>
      <c r="BM135" s="2798"/>
      <c r="BN135" s="2798"/>
      <c r="BO135" s="2798"/>
      <c r="BP135" s="2798"/>
    </row>
    <row r="136" spans="12:68">
      <c r="L136" s="2798"/>
      <c r="M136" s="2798"/>
      <c r="N136" s="2798"/>
      <c r="O136" s="2798"/>
      <c r="P136" s="2798"/>
      <c r="Q136" s="2798"/>
      <c r="R136" s="2798"/>
      <c r="S136" s="2798"/>
      <c r="T136" s="2798"/>
      <c r="U136" s="2798"/>
      <c r="V136" s="2798"/>
      <c r="W136" s="2798"/>
      <c r="X136" s="2798"/>
      <c r="Y136" s="2798"/>
      <c r="Z136" s="2798"/>
      <c r="AA136" s="2798"/>
      <c r="AB136" s="2798"/>
      <c r="AC136" s="2798"/>
      <c r="AD136" s="2798"/>
      <c r="AE136" s="2798"/>
      <c r="AF136" s="2798"/>
      <c r="AG136" s="2798"/>
      <c r="AH136" s="2798"/>
      <c r="AI136" s="2798"/>
      <c r="AJ136" s="2798"/>
      <c r="AK136" s="2798"/>
      <c r="AL136" s="2798"/>
      <c r="AM136" s="2798"/>
      <c r="AN136" s="2798"/>
      <c r="AO136" s="2798"/>
      <c r="AP136" s="2798"/>
      <c r="AQ136" s="2798"/>
      <c r="AR136" s="2798"/>
      <c r="AS136" s="2798"/>
      <c r="AT136" s="2798"/>
      <c r="AU136" s="2798"/>
      <c r="AV136" s="2798"/>
      <c r="AW136" s="2798"/>
      <c r="AX136" s="2798"/>
      <c r="AY136" s="2798"/>
      <c r="AZ136" s="2798"/>
      <c r="BA136" s="2798"/>
      <c r="BB136" s="2798"/>
      <c r="BC136" s="2798"/>
      <c r="BD136" s="2798"/>
      <c r="BE136" s="2798"/>
      <c r="BF136" s="2798"/>
      <c r="BG136" s="2798"/>
      <c r="BH136" s="2798"/>
      <c r="BI136" s="2798"/>
      <c r="BJ136" s="2798"/>
      <c r="BK136" s="2798"/>
      <c r="BL136" s="2798"/>
      <c r="BM136" s="2798"/>
      <c r="BN136" s="2798"/>
      <c r="BO136" s="2798"/>
      <c r="BP136" s="2798"/>
    </row>
    <row r="137" spans="12:68">
      <c r="L137" s="2798"/>
      <c r="M137" s="2798"/>
      <c r="N137" s="2798"/>
      <c r="O137" s="2798"/>
      <c r="P137" s="2798"/>
      <c r="Q137" s="2798"/>
      <c r="R137" s="2798"/>
      <c r="S137" s="2798"/>
      <c r="T137" s="2798"/>
      <c r="U137" s="2798"/>
      <c r="V137" s="2798"/>
      <c r="W137" s="2798"/>
      <c r="X137" s="2798"/>
      <c r="Y137" s="2798"/>
      <c r="Z137" s="2798"/>
      <c r="AA137" s="2798"/>
      <c r="AB137" s="2798"/>
      <c r="AC137" s="2798"/>
      <c r="AD137" s="2798"/>
      <c r="AE137" s="2798"/>
      <c r="AF137" s="2798"/>
      <c r="AG137" s="2798"/>
      <c r="AH137" s="2798"/>
      <c r="AI137" s="2798"/>
      <c r="AJ137" s="2798"/>
      <c r="AK137" s="2798"/>
      <c r="AL137" s="2798"/>
      <c r="AM137" s="2798"/>
      <c r="AN137" s="2798"/>
      <c r="AO137" s="2798"/>
      <c r="AP137" s="2798"/>
      <c r="AQ137" s="2798"/>
      <c r="AR137" s="2798"/>
      <c r="AS137" s="2798"/>
      <c r="AT137" s="2798"/>
      <c r="AU137" s="2798"/>
      <c r="AV137" s="2798"/>
      <c r="AW137" s="2798"/>
      <c r="AX137" s="2798"/>
      <c r="AY137" s="2798"/>
      <c r="AZ137" s="2798"/>
      <c r="BA137" s="2798"/>
      <c r="BB137" s="2798"/>
      <c r="BC137" s="2798"/>
      <c r="BD137" s="2798"/>
      <c r="BE137" s="2798"/>
      <c r="BF137" s="2798"/>
      <c r="BG137" s="2798"/>
      <c r="BH137" s="2798"/>
      <c r="BI137" s="2798"/>
      <c r="BJ137" s="2798"/>
      <c r="BK137" s="2798"/>
      <c r="BL137" s="2798"/>
      <c r="BM137" s="2798"/>
      <c r="BN137" s="2798"/>
      <c r="BO137" s="2798"/>
      <c r="BP137" s="2798"/>
    </row>
    <row r="138" spans="12:68">
      <c r="L138" s="2798"/>
      <c r="M138" s="2798"/>
      <c r="N138" s="2798"/>
      <c r="O138" s="2798"/>
      <c r="P138" s="2798"/>
      <c r="Q138" s="2798"/>
      <c r="R138" s="2798"/>
      <c r="S138" s="2798"/>
      <c r="T138" s="2798"/>
      <c r="U138" s="2798"/>
      <c r="V138" s="2798"/>
      <c r="W138" s="2798"/>
      <c r="X138" s="2798"/>
      <c r="Y138" s="2798"/>
      <c r="Z138" s="2798"/>
      <c r="AA138" s="2798"/>
      <c r="AB138" s="2798"/>
      <c r="AC138" s="2798"/>
      <c r="AD138" s="2798"/>
      <c r="AE138" s="2798"/>
      <c r="AF138" s="2798"/>
      <c r="AG138" s="2798"/>
      <c r="AH138" s="2798"/>
      <c r="AI138" s="2798"/>
      <c r="AJ138" s="2798"/>
      <c r="AK138" s="2798"/>
      <c r="AL138" s="2798"/>
      <c r="AM138" s="2798"/>
      <c r="AN138" s="2798"/>
      <c r="AO138" s="2798"/>
      <c r="AP138" s="2798"/>
      <c r="AQ138" s="2798"/>
      <c r="AR138" s="2798"/>
      <c r="AS138" s="2798"/>
      <c r="AT138" s="2798"/>
      <c r="AU138" s="2798"/>
      <c r="AV138" s="2798"/>
      <c r="AW138" s="2798"/>
      <c r="AX138" s="2798"/>
      <c r="AY138" s="2798"/>
      <c r="AZ138" s="2798"/>
      <c r="BA138" s="2798"/>
      <c r="BB138" s="2798"/>
      <c r="BC138" s="2798"/>
      <c r="BD138" s="2798"/>
      <c r="BE138" s="2798"/>
      <c r="BF138" s="2798"/>
      <c r="BG138" s="2798"/>
      <c r="BH138" s="2798"/>
      <c r="BI138" s="2798"/>
      <c r="BJ138" s="2798"/>
      <c r="BK138" s="2798"/>
      <c r="BL138" s="2798"/>
      <c r="BM138" s="2798"/>
      <c r="BN138" s="2798"/>
      <c r="BO138" s="2798"/>
      <c r="BP138" s="2798"/>
    </row>
    <row r="139" spans="12:68">
      <c r="L139" s="2798"/>
      <c r="M139" s="2798"/>
      <c r="N139" s="2798"/>
      <c r="O139" s="2798"/>
      <c r="P139" s="2798"/>
      <c r="Q139" s="2798"/>
      <c r="R139" s="2798"/>
      <c r="S139" s="2798"/>
      <c r="T139" s="2798"/>
      <c r="U139" s="2798"/>
      <c r="V139" s="2798"/>
      <c r="W139" s="2798"/>
      <c r="X139" s="2798"/>
      <c r="Y139" s="2798"/>
      <c r="Z139" s="2798"/>
      <c r="AA139" s="2798"/>
      <c r="AB139" s="2798"/>
      <c r="AC139" s="2798"/>
      <c r="AD139" s="2798"/>
      <c r="AE139" s="2798"/>
      <c r="AF139" s="2798"/>
      <c r="AG139" s="2798"/>
      <c r="AH139" s="2798"/>
      <c r="AI139" s="2798"/>
      <c r="AJ139" s="2798"/>
      <c r="AK139" s="2798"/>
      <c r="AL139" s="2798"/>
      <c r="AM139" s="2798"/>
      <c r="AN139" s="2798"/>
      <c r="AO139" s="2798"/>
      <c r="AP139" s="2798"/>
      <c r="AQ139" s="2798"/>
      <c r="AR139" s="2798"/>
      <c r="AS139" s="2798"/>
      <c r="AT139" s="2798"/>
      <c r="AU139" s="2798"/>
      <c r="AV139" s="2798"/>
      <c r="AW139" s="2798"/>
      <c r="AX139" s="2798"/>
      <c r="AY139" s="2798"/>
      <c r="AZ139" s="2798"/>
      <c r="BA139" s="2798"/>
      <c r="BB139" s="2798"/>
      <c r="BC139" s="2798"/>
      <c r="BD139" s="2798"/>
      <c r="BE139" s="2798"/>
      <c r="BF139" s="2798"/>
      <c r="BG139" s="2798"/>
      <c r="BH139" s="2798"/>
      <c r="BI139" s="2798"/>
      <c r="BJ139" s="2798"/>
      <c r="BK139" s="2798"/>
      <c r="BL139" s="2798"/>
      <c r="BM139" s="2798"/>
      <c r="BN139" s="2798"/>
      <c r="BO139" s="2798"/>
      <c r="BP139" s="2798"/>
    </row>
    <row r="140" spans="12:68">
      <c r="L140" s="2798"/>
      <c r="M140" s="2798"/>
      <c r="N140" s="2798"/>
      <c r="O140" s="2798"/>
      <c r="P140" s="2798"/>
      <c r="Q140" s="2798"/>
      <c r="R140" s="2798"/>
      <c r="S140" s="2798"/>
      <c r="T140" s="2798"/>
      <c r="U140" s="2798"/>
      <c r="V140" s="2798"/>
      <c r="W140" s="2798"/>
      <c r="X140" s="2798"/>
      <c r="Y140" s="2798"/>
      <c r="Z140" s="2798"/>
      <c r="AA140" s="2798"/>
      <c r="AB140" s="2798"/>
      <c r="AC140" s="2798"/>
      <c r="AD140" s="2798"/>
      <c r="AE140" s="2798"/>
      <c r="AF140" s="2798"/>
      <c r="AG140" s="2798"/>
      <c r="AH140" s="2798"/>
      <c r="AI140" s="2798"/>
      <c r="AJ140" s="2798"/>
      <c r="AK140" s="2798"/>
      <c r="AL140" s="2798"/>
      <c r="AM140" s="2798"/>
      <c r="AN140" s="2798"/>
      <c r="AO140" s="2798"/>
      <c r="AP140" s="2798"/>
      <c r="AQ140" s="2798"/>
      <c r="AR140" s="2798"/>
      <c r="AS140" s="2798"/>
      <c r="AT140" s="2798"/>
      <c r="AU140" s="2798"/>
      <c r="AV140" s="2798"/>
      <c r="AW140" s="2798"/>
      <c r="AX140" s="2798"/>
      <c r="AY140" s="2798"/>
      <c r="AZ140" s="2798"/>
      <c r="BA140" s="2798"/>
      <c r="BB140" s="2798"/>
      <c r="BC140" s="2798"/>
      <c r="BD140" s="2798"/>
      <c r="BE140" s="2798"/>
      <c r="BF140" s="2798"/>
      <c r="BG140" s="2798"/>
      <c r="BH140" s="2798"/>
      <c r="BI140" s="2798"/>
      <c r="BJ140" s="2798"/>
      <c r="BK140" s="2798"/>
      <c r="BL140" s="2798"/>
      <c r="BM140" s="2798"/>
      <c r="BN140" s="2798"/>
      <c r="BO140" s="2798"/>
      <c r="BP140" s="2798"/>
    </row>
    <row r="141" spans="12:68">
      <c r="L141" s="2798"/>
      <c r="M141" s="2798"/>
      <c r="N141" s="2798"/>
      <c r="O141" s="2798"/>
      <c r="P141" s="2798"/>
      <c r="Q141" s="2798"/>
      <c r="R141" s="2798"/>
      <c r="S141" s="2798"/>
      <c r="T141" s="2798"/>
      <c r="U141" s="2798"/>
      <c r="V141" s="2798"/>
      <c r="W141" s="2798"/>
      <c r="X141" s="2798"/>
      <c r="Y141" s="2798"/>
      <c r="Z141" s="2798"/>
      <c r="AA141" s="2798"/>
      <c r="AB141" s="2798"/>
      <c r="AC141" s="2798"/>
      <c r="AD141" s="2798"/>
      <c r="AE141" s="2798"/>
      <c r="AF141" s="2798"/>
      <c r="AG141" s="2798"/>
      <c r="AH141" s="2798"/>
      <c r="AI141" s="2798"/>
      <c r="AJ141" s="2798"/>
      <c r="AK141" s="2798"/>
      <c r="AL141" s="2798"/>
      <c r="AM141" s="2798"/>
      <c r="AN141" s="2798"/>
      <c r="AO141" s="2798"/>
      <c r="AP141" s="2798"/>
      <c r="AQ141" s="2798"/>
      <c r="AR141" s="2798"/>
      <c r="AS141" s="2798"/>
      <c r="AT141" s="2798"/>
      <c r="AU141" s="2798"/>
      <c r="AV141" s="2798"/>
      <c r="AW141" s="2798"/>
      <c r="AX141" s="2798"/>
      <c r="AY141" s="2798"/>
      <c r="AZ141" s="2798"/>
      <c r="BA141" s="2798"/>
      <c r="BB141" s="2798"/>
      <c r="BC141" s="2798"/>
      <c r="BD141" s="2798"/>
      <c r="BE141" s="2798"/>
      <c r="BF141" s="2798"/>
      <c r="BG141" s="2798"/>
      <c r="BH141" s="2798"/>
      <c r="BI141" s="2798"/>
      <c r="BJ141" s="2798"/>
      <c r="BK141" s="2798"/>
      <c r="BL141" s="2798"/>
      <c r="BM141" s="2798"/>
      <c r="BN141" s="2798"/>
      <c r="BO141" s="2798"/>
      <c r="BP141" s="2798"/>
    </row>
    <row r="142" spans="12:68">
      <c r="L142" s="2798"/>
      <c r="M142" s="2798"/>
      <c r="N142" s="2798"/>
      <c r="O142" s="2798"/>
      <c r="P142" s="2798"/>
      <c r="Q142" s="2798"/>
      <c r="R142" s="2798"/>
      <c r="S142" s="2798"/>
      <c r="T142" s="2798"/>
      <c r="U142" s="2798"/>
      <c r="V142" s="2798"/>
      <c r="W142" s="2798"/>
      <c r="X142" s="2798"/>
      <c r="Y142" s="2798"/>
      <c r="Z142" s="2798"/>
      <c r="AA142" s="2798"/>
      <c r="AB142" s="2798"/>
      <c r="AC142" s="2798"/>
      <c r="AD142" s="2798"/>
      <c r="AE142" s="2798"/>
      <c r="AF142" s="2798"/>
      <c r="AG142" s="2798"/>
      <c r="AH142" s="2798"/>
      <c r="AI142" s="2798"/>
      <c r="AJ142" s="2798"/>
      <c r="AK142" s="2798"/>
      <c r="AL142" s="2798"/>
      <c r="AM142" s="2798"/>
      <c r="AN142" s="2798"/>
      <c r="AO142" s="2798"/>
      <c r="AP142" s="2798"/>
      <c r="AQ142" s="2798"/>
      <c r="AR142" s="2798"/>
      <c r="AS142" s="2798"/>
      <c r="AT142" s="2798"/>
      <c r="AU142" s="2798"/>
      <c r="AV142" s="2798"/>
      <c r="AW142" s="2798"/>
      <c r="AX142" s="2798"/>
      <c r="AY142" s="2798"/>
      <c r="AZ142" s="2798"/>
      <c r="BA142" s="2798"/>
      <c r="BB142" s="2798"/>
      <c r="BC142" s="2798"/>
      <c r="BD142" s="2798"/>
      <c r="BE142" s="2798"/>
      <c r="BF142" s="2798"/>
      <c r="BG142" s="2798"/>
      <c r="BH142" s="2798"/>
      <c r="BI142" s="2798"/>
      <c r="BJ142" s="2798"/>
      <c r="BK142" s="2798"/>
      <c r="BL142" s="2798"/>
      <c r="BM142" s="2798"/>
      <c r="BN142" s="2798"/>
      <c r="BO142" s="2798"/>
      <c r="BP142" s="2798"/>
    </row>
    <row r="143" spans="12:68">
      <c r="L143" s="2798"/>
      <c r="M143" s="2798"/>
      <c r="N143" s="2798"/>
      <c r="O143" s="2798"/>
      <c r="P143" s="2798"/>
      <c r="Q143" s="2798"/>
      <c r="R143" s="2798"/>
      <c r="S143" s="2798"/>
      <c r="T143" s="2798"/>
      <c r="U143" s="2798"/>
      <c r="V143" s="2798"/>
      <c r="W143" s="2798"/>
      <c r="X143" s="2798"/>
      <c r="Y143" s="2798"/>
      <c r="Z143" s="2798"/>
      <c r="AA143" s="2798"/>
      <c r="AB143" s="2798"/>
      <c r="AC143" s="2798"/>
      <c r="AD143" s="2798"/>
      <c r="AE143" s="2798"/>
      <c r="AF143" s="2798"/>
      <c r="AG143" s="2798"/>
      <c r="AH143" s="2798"/>
      <c r="AI143" s="2798"/>
      <c r="AJ143" s="2798"/>
      <c r="AK143" s="2798"/>
      <c r="AL143" s="2798"/>
      <c r="AM143" s="2798"/>
      <c r="AN143" s="2798"/>
      <c r="AO143" s="2798"/>
      <c r="AP143" s="2798"/>
      <c r="AQ143" s="2798"/>
      <c r="AR143" s="2798"/>
      <c r="AS143" s="2798"/>
      <c r="AT143" s="2798"/>
      <c r="AU143" s="2798"/>
      <c r="AV143" s="2798"/>
      <c r="AW143" s="2798"/>
      <c r="AX143" s="2798"/>
      <c r="AY143" s="2798"/>
      <c r="AZ143" s="2798"/>
      <c r="BA143" s="2798"/>
      <c r="BB143" s="2798"/>
      <c r="BC143" s="2798"/>
      <c r="BD143" s="2798"/>
      <c r="BE143" s="2798"/>
      <c r="BF143" s="2798"/>
      <c r="BG143" s="2798"/>
      <c r="BH143" s="2798"/>
      <c r="BI143" s="2798"/>
      <c r="BJ143" s="2798"/>
      <c r="BK143" s="2798"/>
      <c r="BL143" s="2798"/>
      <c r="BM143" s="2798"/>
      <c r="BN143" s="2798"/>
      <c r="BO143" s="2798"/>
      <c r="BP143" s="2798"/>
    </row>
    <row r="144" spans="12:68">
      <c r="L144" s="2798"/>
      <c r="M144" s="2798"/>
      <c r="N144" s="2798"/>
      <c r="O144" s="2798"/>
      <c r="P144" s="2798"/>
      <c r="Q144" s="2798"/>
      <c r="R144" s="2798"/>
      <c r="S144" s="2798"/>
      <c r="T144" s="2798"/>
      <c r="U144" s="2798"/>
      <c r="V144" s="2798"/>
      <c r="W144" s="2798"/>
      <c r="X144" s="2798"/>
      <c r="Y144" s="2798"/>
      <c r="Z144" s="2798"/>
      <c r="AA144" s="2798"/>
      <c r="AB144" s="2798"/>
      <c r="AC144" s="2798"/>
      <c r="AD144" s="2798"/>
      <c r="AE144" s="2798"/>
      <c r="AF144" s="2798"/>
      <c r="AG144" s="2798"/>
      <c r="AH144" s="2798"/>
      <c r="AI144" s="2798"/>
      <c r="AJ144" s="2798"/>
      <c r="AK144" s="2798"/>
      <c r="AL144" s="2798"/>
      <c r="AM144" s="2798"/>
      <c r="AN144" s="2798"/>
      <c r="AO144" s="2798"/>
      <c r="AP144" s="2798"/>
      <c r="AQ144" s="2798"/>
      <c r="AR144" s="2798"/>
      <c r="AS144" s="2798"/>
      <c r="AT144" s="2798"/>
      <c r="AU144" s="2798"/>
      <c r="AV144" s="2798"/>
      <c r="AW144" s="2798"/>
      <c r="AX144" s="2798"/>
      <c r="AY144" s="2798"/>
      <c r="AZ144" s="2798"/>
      <c r="BA144" s="2798"/>
      <c r="BB144" s="2798"/>
      <c r="BC144" s="2798"/>
      <c r="BD144" s="2798"/>
      <c r="BE144" s="2798"/>
      <c r="BF144" s="2798"/>
      <c r="BG144" s="2798"/>
      <c r="BH144" s="2798"/>
      <c r="BI144" s="2798"/>
      <c r="BJ144" s="2798"/>
      <c r="BK144" s="2798"/>
      <c r="BL144" s="2798"/>
      <c r="BM144" s="2798"/>
      <c r="BN144" s="2798"/>
      <c r="BO144" s="2798"/>
      <c r="BP144" s="2798"/>
    </row>
    <row r="145" spans="12:68">
      <c r="L145" s="2798"/>
      <c r="M145" s="2798"/>
      <c r="N145" s="2798"/>
      <c r="O145" s="2798"/>
      <c r="P145" s="2798"/>
      <c r="Q145" s="2798"/>
      <c r="R145" s="2798"/>
      <c r="S145" s="2798"/>
      <c r="T145" s="2798"/>
      <c r="U145" s="2798"/>
      <c r="V145" s="2798"/>
      <c r="W145" s="2798"/>
      <c r="X145" s="2798"/>
      <c r="Y145" s="2798"/>
      <c r="Z145" s="2798"/>
      <c r="AA145" s="2798"/>
      <c r="AB145" s="2798"/>
      <c r="AC145" s="2798"/>
      <c r="AD145" s="2798"/>
      <c r="AE145" s="2798"/>
      <c r="AF145" s="2798"/>
      <c r="AG145" s="2798"/>
      <c r="AH145" s="2798"/>
      <c r="AI145" s="2798"/>
      <c r="AJ145" s="2798"/>
      <c r="AK145" s="2798"/>
      <c r="AL145" s="2798"/>
      <c r="AM145" s="2798"/>
      <c r="AN145" s="2798"/>
      <c r="AO145" s="2798"/>
      <c r="AP145" s="2798"/>
      <c r="AQ145" s="2798"/>
      <c r="AR145" s="2798"/>
      <c r="AS145" s="2798"/>
      <c r="AT145" s="2798"/>
      <c r="AU145" s="2798"/>
      <c r="AV145" s="2798"/>
      <c r="AW145" s="2798"/>
      <c r="AX145" s="2798"/>
      <c r="AY145" s="2798"/>
      <c r="AZ145" s="2798"/>
      <c r="BA145" s="2798"/>
      <c r="BB145" s="2798"/>
      <c r="BC145" s="2798"/>
      <c r="BD145" s="2798"/>
      <c r="BE145" s="2798"/>
      <c r="BF145" s="2798"/>
      <c r="BG145" s="2798"/>
      <c r="BH145" s="2798"/>
      <c r="BI145" s="2798"/>
      <c r="BJ145" s="2798"/>
      <c r="BK145" s="2798"/>
      <c r="BL145" s="2798"/>
      <c r="BM145" s="2798"/>
      <c r="BN145" s="2798"/>
      <c r="BO145" s="2798"/>
      <c r="BP145" s="2798"/>
    </row>
    <row r="146" spans="12:68">
      <c r="L146" s="2798"/>
      <c r="M146" s="2798"/>
      <c r="N146" s="2798"/>
      <c r="O146" s="2798"/>
      <c r="P146" s="2798"/>
      <c r="Q146" s="2798"/>
      <c r="R146" s="2798"/>
      <c r="S146" s="2798"/>
      <c r="T146" s="2798"/>
      <c r="U146" s="2798"/>
      <c r="V146" s="2798"/>
      <c r="W146" s="2798"/>
      <c r="X146" s="2798"/>
      <c r="Y146" s="2798"/>
      <c r="Z146" s="2798"/>
      <c r="AA146" s="2798"/>
      <c r="AB146" s="2798"/>
      <c r="AC146" s="2798"/>
      <c r="AD146" s="2798"/>
      <c r="AE146" s="2798"/>
      <c r="AF146" s="2798"/>
      <c r="AG146" s="2798"/>
      <c r="AH146" s="2798"/>
      <c r="AI146" s="2798"/>
      <c r="AJ146" s="2798"/>
      <c r="AK146" s="2798"/>
      <c r="AL146" s="2798"/>
      <c r="AM146" s="2798"/>
      <c r="AN146" s="2798"/>
      <c r="AO146" s="2798"/>
      <c r="AP146" s="2798"/>
      <c r="AQ146" s="2798"/>
      <c r="AR146" s="2798"/>
      <c r="AS146" s="2798"/>
      <c r="AT146" s="2798"/>
      <c r="AU146" s="2798"/>
      <c r="AV146" s="2798"/>
      <c r="AW146" s="2798"/>
      <c r="AX146" s="2798"/>
      <c r="AY146" s="2798"/>
      <c r="AZ146" s="2798"/>
      <c r="BA146" s="2798"/>
      <c r="BB146" s="2798"/>
      <c r="BC146" s="2798"/>
      <c r="BD146" s="2798"/>
      <c r="BE146" s="2798"/>
      <c r="BF146" s="2798"/>
      <c r="BG146" s="2798"/>
      <c r="BH146" s="2798"/>
      <c r="BI146" s="2798"/>
      <c r="BJ146" s="2798"/>
      <c r="BK146" s="2798"/>
      <c r="BL146" s="2798"/>
      <c r="BM146" s="2798"/>
      <c r="BN146" s="2798"/>
      <c r="BO146" s="2798"/>
      <c r="BP146" s="2798"/>
    </row>
    <row r="147" spans="12:68">
      <c r="L147" s="2798"/>
      <c r="M147" s="2798"/>
      <c r="N147" s="2798"/>
      <c r="O147" s="2798"/>
      <c r="P147" s="2798"/>
      <c r="Q147" s="2798"/>
      <c r="R147" s="2798"/>
      <c r="S147" s="2798"/>
      <c r="T147" s="2798"/>
      <c r="U147" s="2798"/>
      <c r="V147" s="2798"/>
      <c r="W147" s="2798"/>
      <c r="X147" s="2798"/>
      <c r="Y147" s="2798"/>
      <c r="Z147" s="2798"/>
      <c r="AA147" s="2798"/>
      <c r="AB147" s="2798"/>
      <c r="AC147" s="2798"/>
      <c r="AD147" s="2798"/>
      <c r="AE147" s="2798"/>
      <c r="AF147" s="2798"/>
      <c r="AG147" s="2798"/>
      <c r="AH147" s="2798"/>
      <c r="AI147" s="2798"/>
      <c r="AJ147" s="2798"/>
      <c r="AK147" s="2798"/>
      <c r="AL147" s="2798"/>
      <c r="AM147" s="2798"/>
      <c r="AN147" s="2798"/>
      <c r="AO147" s="2798"/>
      <c r="AP147" s="2798"/>
      <c r="AQ147" s="2798"/>
      <c r="AR147" s="2798"/>
      <c r="AS147" s="2798"/>
      <c r="AT147" s="2798"/>
      <c r="AU147" s="2798"/>
      <c r="AV147" s="2798"/>
      <c r="AW147" s="2798"/>
      <c r="AX147" s="2798"/>
      <c r="AY147" s="2798"/>
      <c r="AZ147" s="2798"/>
      <c r="BA147" s="2798"/>
      <c r="BB147" s="2798"/>
      <c r="BC147" s="2798"/>
      <c r="BD147" s="2798"/>
      <c r="BE147" s="2798"/>
      <c r="BF147" s="2798"/>
      <c r="BG147" s="2798"/>
      <c r="BH147" s="2798"/>
      <c r="BI147" s="2798"/>
      <c r="BJ147" s="2798"/>
      <c r="BK147" s="2798"/>
      <c r="BL147" s="2798"/>
      <c r="BM147" s="2798"/>
      <c r="BN147" s="2798"/>
      <c r="BO147" s="2798"/>
      <c r="BP147" s="2798"/>
    </row>
    <row r="148" spans="12:68">
      <c r="L148" s="2798"/>
      <c r="M148" s="2798"/>
      <c r="N148" s="2798"/>
      <c r="O148" s="2798"/>
      <c r="P148" s="2798"/>
      <c r="Q148" s="2798"/>
      <c r="R148" s="2798"/>
      <c r="S148" s="2798"/>
      <c r="T148" s="2798"/>
      <c r="U148" s="2798"/>
      <c r="V148" s="2798"/>
      <c r="W148" s="2798"/>
      <c r="X148" s="2798"/>
      <c r="Y148" s="2798"/>
      <c r="Z148" s="2798"/>
      <c r="AA148" s="2798"/>
      <c r="AB148" s="2798"/>
      <c r="AC148" s="2798"/>
      <c r="AD148" s="2798"/>
      <c r="AE148" s="2798"/>
      <c r="AF148" s="2798"/>
      <c r="AG148" s="2798"/>
      <c r="AH148" s="2798"/>
      <c r="AI148" s="2798"/>
      <c r="AJ148" s="2798"/>
      <c r="AK148" s="2798"/>
      <c r="AL148" s="2798"/>
      <c r="AM148" s="2798"/>
      <c r="AN148" s="2798"/>
      <c r="AO148" s="2798"/>
      <c r="AP148" s="2798"/>
      <c r="AQ148" s="2798"/>
      <c r="AR148" s="2798"/>
      <c r="AS148" s="2798"/>
      <c r="AT148" s="2798"/>
      <c r="AU148" s="2798"/>
      <c r="AV148" s="2798"/>
      <c r="AW148" s="2798"/>
      <c r="AX148" s="2798"/>
      <c r="AY148" s="2798"/>
      <c r="AZ148" s="2798"/>
      <c r="BA148" s="2798"/>
      <c r="BB148" s="2798"/>
      <c r="BC148" s="2798"/>
      <c r="BD148" s="2798"/>
      <c r="BE148" s="2798"/>
      <c r="BF148" s="2798"/>
      <c r="BG148" s="2798"/>
      <c r="BH148" s="2798"/>
      <c r="BI148" s="2798"/>
      <c r="BJ148" s="2798"/>
      <c r="BK148" s="2798"/>
      <c r="BL148" s="2798"/>
      <c r="BM148" s="2798"/>
      <c r="BN148" s="2798"/>
      <c r="BO148" s="2798"/>
      <c r="BP148" s="2798"/>
    </row>
    <row r="149" spans="12:68">
      <c r="L149" s="2798"/>
      <c r="M149" s="2798"/>
      <c r="N149" s="2798"/>
      <c r="O149" s="2798"/>
      <c r="P149" s="2798"/>
      <c r="Q149" s="2798"/>
      <c r="R149" s="2798"/>
      <c r="S149" s="2798"/>
      <c r="T149" s="2798"/>
      <c r="U149" s="2798"/>
      <c r="V149" s="2798"/>
      <c r="W149" s="2798"/>
      <c r="X149" s="2798"/>
      <c r="Y149" s="2798"/>
      <c r="Z149" s="2798"/>
      <c r="AA149" s="2798"/>
      <c r="AB149" s="2798"/>
      <c r="AC149" s="2798"/>
      <c r="AD149" s="2798"/>
      <c r="AE149" s="2798"/>
      <c r="AF149" s="2798"/>
      <c r="AG149" s="2798"/>
      <c r="AH149" s="2798"/>
      <c r="AI149" s="2798"/>
      <c r="AJ149" s="2798"/>
      <c r="AK149" s="2798"/>
      <c r="AL149" s="2798"/>
      <c r="AM149" s="2798"/>
      <c r="AN149" s="2798"/>
      <c r="AO149" s="2798"/>
      <c r="AP149" s="2798"/>
      <c r="AQ149" s="2798"/>
      <c r="AR149" s="2798"/>
      <c r="AS149" s="2798"/>
      <c r="AT149" s="2798"/>
      <c r="AU149" s="2798"/>
      <c r="AV149" s="2798"/>
      <c r="AW149" s="2798"/>
      <c r="AX149" s="2798"/>
      <c r="AY149" s="2798"/>
      <c r="AZ149" s="2798"/>
      <c r="BA149" s="2798"/>
      <c r="BB149" s="2798"/>
      <c r="BC149" s="2798"/>
      <c r="BD149" s="2798"/>
      <c r="BE149" s="2798"/>
      <c r="BF149" s="2798"/>
      <c r="BG149" s="2798"/>
      <c r="BH149" s="2798"/>
      <c r="BI149" s="2798"/>
      <c r="BJ149" s="2798"/>
      <c r="BK149" s="2798"/>
      <c r="BL149" s="2798"/>
      <c r="BM149" s="2798"/>
      <c r="BN149" s="2798"/>
      <c r="BO149" s="2798"/>
      <c r="BP149" s="2798"/>
    </row>
    <row r="150" spans="12:68">
      <c r="L150" s="2798"/>
      <c r="M150" s="2798"/>
      <c r="N150" s="2798"/>
      <c r="O150" s="2798"/>
      <c r="P150" s="2798"/>
      <c r="Q150" s="2798"/>
      <c r="R150" s="2798"/>
      <c r="S150" s="2798"/>
      <c r="T150" s="2798"/>
      <c r="U150" s="2798"/>
      <c r="V150" s="2798"/>
      <c r="W150" s="2798"/>
      <c r="X150" s="2798"/>
      <c r="Y150" s="2798"/>
      <c r="Z150" s="2798"/>
      <c r="AA150" s="2798"/>
      <c r="AB150" s="2798"/>
      <c r="AC150" s="2798"/>
      <c r="AD150" s="2798"/>
      <c r="AE150" s="2798"/>
      <c r="AF150" s="2798"/>
      <c r="AG150" s="2798"/>
      <c r="AH150" s="2798"/>
      <c r="AI150" s="2798"/>
      <c r="AJ150" s="2798"/>
      <c r="AK150" s="2798"/>
      <c r="AL150" s="2798"/>
      <c r="AM150" s="2798"/>
      <c r="AN150" s="2798"/>
      <c r="AO150" s="2798"/>
      <c r="AP150" s="2798"/>
      <c r="AQ150" s="2798"/>
      <c r="AR150" s="2798"/>
      <c r="AS150" s="2798"/>
      <c r="AT150" s="2798"/>
      <c r="AU150" s="2798"/>
      <c r="AV150" s="2798"/>
      <c r="AW150" s="2798"/>
      <c r="AX150" s="2798"/>
      <c r="AY150" s="2798"/>
      <c r="AZ150" s="2798"/>
      <c r="BA150" s="2798"/>
      <c r="BB150" s="2798"/>
      <c r="BC150" s="2798"/>
      <c r="BD150" s="2798"/>
      <c r="BE150" s="2798"/>
      <c r="BF150" s="2798"/>
      <c r="BG150" s="2798"/>
      <c r="BH150" s="2798"/>
      <c r="BI150" s="2798"/>
      <c r="BJ150" s="2798"/>
      <c r="BK150" s="2798"/>
      <c r="BL150" s="2798"/>
      <c r="BM150" s="2798"/>
      <c r="BN150" s="2798"/>
      <c r="BO150" s="2798"/>
      <c r="BP150" s="2798"/>
    </row>
    <row r="151" spans="12:68">
      <c r="L151" s="2798"/>
      <c r="M151" s="2798"/>
      <c r="N151" s="2798"/>
      <c r="O151" s="2798"/>
      <c r="P151" s="2798"/>
      <c r="Q151" s="2798"/>
      <c r="R151" s="2798"/>
      <c r="S151" s="2798"/>
      <c r="T151" s="2798"/>
      <c r="U151" s="2798"/>
      <c r="V151" s="2798"/>
      <c r="W151" s="2798"/>
      <c r="X151" s="2798"/>
      <c r="Y151" s="2798"/>
      <c r="Z151" s="2798"/>
      <c r="AA151" s="2798"/>
      <c r="AB151" s="2798"/>
      <c r="AC151" s="2798"/>
      <c r="AD151" s="2798"/>
      <c r="AE151" s="2798"/>
      <c r="AF151" s="2798"/>
      <c r="AG151" s="2798"/>
      <c r="AH151" s="2798"/>
      <c r="AI151" s="2798"/>
      <c r="AJ151" s="2798"/>
      <c r="AK151" s="2798"/>
      <c r="AL151" s="2798"/>
      <c r="AM151" s="2798"/>
      <c r="AN151" s="2798"/>
      <c r="AO151" s="2798"/>
      <c r="AP151" s="2798"/>
      <c r="AQ151" s="2798"/>
      <c r="AR151" s="2798"/>
      <c r="AS151" s="2798"/>
      <c r="AT151" s="2798"/>
      <c r="AU151" s="2798"/>
      <c r="AV151" s="2798"/>
      <c r="AW151" s="2798"/>
      <c r="AX151" s="2798"/>
      <c r="AY151" s="2798"/>
      <c r="AZ151" s="2798"/>
      <c r="BA151" s="2798"/>
      <c r="BB151" s="2798"/>
      <c r="BC151" s="2798"/>
      <c r="BD151" s="2798"/>
      <c r="BE151" s="2798"/>
      <c r="BF151" s="2798"/>
      <c r="BG151" s="2798"/>
      <c r="BH151" s="2798"/>
      <c r="BI151" s="2798"/>
      <c r="BJ151" s="2798"/>
      <c r="BK151" s="2798"/>
      <c r="BL151" s="2798"/>
      <c r="BM151" s="2798"/>
      <c r="BN151" s="2798"/>
      <c r="BO151" s="2798"/>
      <c r="BP151" s="2798"/>
    </row>
    <row r="152" spans="12:68">
      <c r="L152" s="2798"/>
      <c r="M152" s="2798"/>
      <c r="N152" s="2798"/>
      <c r="O152" s="2798"/>
      <c r="P152" s="2798"/>
      <c r="Q152" s="2798"/>
      <c r="R152" s="2798"/>
      <c r="S152" s="2798"/>
      <c r="T152" s="2798"/>
      <c r="U152" s="2798"/>
      <c r="V152" s="2798"/>
      <c r="W152" s="2798"/>
      <c r="X152" s="2798"/>
      <c r="Y152" s="2798"/>
      <c r="Z152" s="2798"/>
      <c r="AA152" s="2798"/>
      <c r="AB152" s="2798"/>
      <c r="AC152" s="2798"/>
      <c r="AD152" s="2798"/>
      <c r="AE152" s="2798"/>
      <c r="AF152" s="2798"/>
      <c r="AG152" s="2798"/>
      <c r="AH152" s="2798"/>
      <c r="AI152" s="2798"/>
      <c r="AJ152" s="2798"/>
      <c r="AK152" s="2798"/>
      <c r="AL152" s="2798"/>
      <c r="AM152" s="2798"/>
      <c r="AN152" s="2798"/>
      <c r="AO152" s="2798"/>
      <c r="AP152" s="2798"/>
      <c r="AQ152" s="2798"/>
      <c r="AR152" s="2798"/>
      <c r="AS152" s="2798"/>
      <c r="AT152" s="2798"/>
      <c r="AU152" s="2798"/>
      <c r="AV152" s="2798"/>
      <c r="AW152" s="2798"/>
      <c r="AX152" s="2798"/>
      <c r="AY152" s="2798"/>
      <c r="AZ152" s="2798"/>
      <c r="BA152" s="2798"/>
      <c r="BB152" s="2798"/>
      <c r="BC152" s="2798"/>
      <c r="BD152" s="2798"/>
      <c r="BE152" s="2798"/>
      <c r="BF152" s="2798"/>
      <c r="BG152" s="2798"/>
      <c r="BH152" s="2798"/>
      <c r="BI152" s="2798"/>
      <c r="BJ152" s="2798"/>
      <c r="BK152" s="2798"/>
      <c r="BL152" s="2798"/>
      <c r="BM152" s="2798"/>
      <c r="BN152" s="2798"/>
      <c r="BO152" s="2798"/>
      <c r="BP152" s="2798"/>
    </row>
    <row r="153" spans="12:68">
      <c r="L153" s="2798"/>
      <c r="M153" s="2798"/>
      <c r="N153" s="2798"/>
      <c r="O153" s="2798"/>
      <c r="P153" s="2798"/>
      <c r="Q153" s="2798"/>
      <c r="R153" s="2798"/>
      <c r="S153" s="2798"/>
      <c r="T153" s="2798"/>
      <c r="U153" s="2798"/>
      <c r="V153" s="2798"/>
      <c r="W153" s="2798"/>
      <c r="X153" s="2798"/>
      <c r="Y153" s="2798"/>
      <c r="Z153" s="2798"/>
      <c r="AA153" s="2798"/>
      <c r="AB153" s="2798"/>
      <c r="AC153" s="2798"/>
      <c r="AD153" s="2798"/>
      <c r="AE153" s="2798"/>
      <c r="AF153" s="2798"/>
      <c r="AG153" s="2798"/>
      <c r="AH153" s="2798"/>
      <c r="AI153" s="2798"/>
      <c r="AJ153" s="2798"/>
      <c r="AK153" s="2798"/>
      <c r="AL153" s="2798"/>
      <c r="AM153" s="2798"/>
      <c r="AN153" s="2798"/>
      <c r="AO153" s="2798"/>
      <c r="AP153" s="2798"/>
      <c r="AQ153" s="2798"/>
      <c r="AR153" s="2798"/>
      <c r="AS153" s="2798"/>
      <c r="AT153" s="2798"/>
      <c r="AU153" s="2798"/>
      <c r="AV153" s="2798"/>
      <c r="AW153" s="2798"/>
      <c r="AX153" s="2798"/>
      <c r="AY153" s="2798"/>
      <c r="AZ153" s="2798"/>
      <c r="BA153" s="2798"/>
      <c r="BB153" s="2798"/>
      <c r="BC153" s="2798"/>
      <c r="BD153" s="2798"/>
      <c r="BE153" s="2798"/>
      <c r="BF153" s="2798"/>
      <c r="BG153" s="2798"/>
      <c r="BH153" s="2798"/>
      <c r="BI153" s="2798"/>
      <c r="BJ153" s="2798"/>
      <c r="BK153" s="2798"/>
      <c r="BL153" s="2798"/>
      <c r="BM153" s="2798"/>
      <c r="BN153" s="2798"/>
      <c r="BO153" s="2798"/>
      <c r="BP153" s="2798"/>
    </row>
    <row r="154" spans="12:68">
      <c r="L154" s="2798"/>
      <c r="M154" s="2798"/>
      <c r="N154" s="2798"/>
      <c r="O154" s="2798"/>
      <c r="P154" s="2798"/>
      <c r="Q154" s="2798"/>
      <c r="R154" s="2798"/>
      <c r="S154" s="2798"/>
      <c r="T154" s="2798"/>
      <c r="U154" s="2798"/>
      <c r="V154" s="2798"/>
      <c r="W154" s="2798"/>
      <c r="X154" s="2798"/>
      <c r="Y154" s="2798"/>
      <c r="Z154" s="2798"/>
      <c r="AA154" s="2798"/>
      <c r="AB154" s="2798"/>
      <c r="AC154" s="2798"/>
      <c r="AD154" s="2798"/>
      <c r="AE154" s="2798"/>
      <c r="AF154" s="2798"/>
      <c r="AG154" s="2798"/>
      <c r="AH154" s="2798"/>
      <c r="AI154" s="2798"/>
      <c r="AJ154" s="2798"/>
      <c r="AK154" s="2798"/>
      <c r="AL154" s="2798"/>
      <c r="AM154" s="2798"/>
      <c r="AN154" s="2798"/>
      <c r="AO154" s="2798"/>
      <c r="AP154" s="2798"/>
      <c r="AQ154" s="2798"/>
      <c r="AR154" s="2798"/>
      <c r="AS154" s="2798"/>
      <c r="AT154" s="2798"/>
      <c r="AU154" s="2798"/>
      <c r="AV154" s="2798"/>
      <c r="AW154" s="2798"/>
      <c r="AX154" s="2798"/>
      <c r="AY154" s="2798"/>
      <c r="AZ154" s="2798"/>
      <c r="BA154" s="2798"/>
      <c r="BB154" s="2798"/>
      <c r="BC154" s="2798"/>
      <c r="BD154" s="2798"/>
      <c r="BE154" s="2798"/>
      <c r="BF154" s="2798"/>
      <c r="BG154" s="2798"/>
      <c r="BH154" s="2798"/>
      <c r="BI154" s="2798"/>
      <c r="BJ154" s="2798"/>
      <c r="BK154" s="2798"/>
      <c r="BL154" s="2798"/>
      <c r="BM154" s="2798"/>
      <c r="BN154" s="2798"/>
      <c r="BO154" s="2798"/>
      <c r="BP154" s="2798"/>
    </row>
    <row r="155" spans="12:68">
      <c r="L155" s="2798"/>
      <c r="M155" s="2798"/>
      <c r="N155" s="2798"/>
      <c r="O155" s="2798"/>
      <c r="P155" s="2798"/>
      <c r="Q155" s="2798"/>
      <c r="R155" s="2798"/>
      <c r="S155" s="2798"/>
      <c r="T155" s="2798"/>
      <c r="U155" s="2798"/>
      <c r="V155" s="2798"/>
      <c r="W155" s="2798"/>
      <c r="X155" s="2798"/>
      <c r="Y155" s="2798"/>
      <c r="Z155" s="2798"/>
      <c r="AA155" s="2798"/>
      <c r="AB155" s="2798"/>
      <c r="AC155" s="2798"/>
      <c r="AD155" s="2798"/>
      <c r="AE155" s="2798"/>
      <c r="AF155" s="2798"/>
      <c r="AG155" s="2798"/>
      <c r="AH155" s="2798"/>
      <c r="AI155" s="2798"/>
      <c r="AJ155" s="2798"/>
      <c r="AK155" s="2798"/>
      <c r="AL155" s="2798"/>
      <c r="AM155" s="2798"/>
      <c r="AN155" s="2798"/>
      <c r="AO155" s="2798"/>
      <c r="AP155" s="2798"/>
      <c r="AQ155" s="2798"/>
      <c r="AR155" s="2798"/>
      <c r="AS155" s="2798"/>
      <c r="AT155" s="2798"/>
      <c r="AU155" s="2798"/>
      <c r="AV155" s="2798"/>
      <c r="AW155" s="2798"/>
      <c r="AX155" s="2798"/>
      <c r="AY155" s="2798"/>
      <c r="AZ155" s="2798"/>
      <c r="BA155" s="2798"/>
      <c r="BB155" s="2798"/>
      <c r="BC155" s="2798"/>
      <c r="BD155" s="2798"/>
      <c r="BE155" s="2798"/>
      <c r="BF155" s="2798"/>
      <c r="BG155" s="2798"/>
      <c r="BH155" s="2798"/>
      <c r="BI155" s="2798"/>
      <c r="BJ155" s="2798"/>
      <c r="BK155" s="2798"/>
      <c r="BL155" s="2798"/>
      <c r="BM155" s="2798"/>
      <c r="BN155" s="2798"/>
      <c r="BO155" s="2798"/>
      <c r="BP155" s="2798"/>
    </row>
    <row r="156" spans="12:68">
      <c r="L156" s="2798"/>
      <c r="M156" s="2798"/>
      <c r="N156" s="2798"/>
      <c r="O156" s="2798"/>
      <c r="P156" s="2798"/>
      <c r="Q156" s="2798"/>
      <c r="R156" s="2798"/>
      <c r="S156" s="2798"/>
      <c r="T156" s="2798"/>
      <c r="U156" s="2798"/>
      <c r="V156" s="2798"/>
      <c r="W156" s="2798"/>
      <c r="X156" s="2798"/>
      <c r="Y156" s="2798"/>
      <c r="Z156" s="2798"/>
      <c r="AA156" s="2798"/>
      <c r="AB156" s="2798"/>
      <c r="AC156" s="2798"/>
      <c r="AD156" s="2798"/>
      <c r="AE156" s="2798"/>
      <c r="AF156" s="2798"/>
      <c r="AG156" s="2798"/>
      <c r="AH156" s="2798"/>
      <c r="AI156" s="2798"/>
      <c r="AJ156" s="2798"/>
      <c r="AK156" s="2798"/>
      <c r="AL156" s="2798"/>
      <c r="AM156" s="2798"/>
      <c r="AN156" s="2798"/>
      <c r="AO156" s="2798"/>
      <c r="AP156" s="2798"/>
      <c r="AQ156" s="2798"/>
      <c r="AR156" s="2798"/>
      <c r="AS156" s="2798"/>
      <c r="AT156" s="2798"/>
      <c r="AU156" s="2798"/>
      <c r="AV156" s="2798"/>
      <c r="AW156" s="2798"/>
      <c r="AX156" s="2798"/>
      <c r="AY156" s="2798"/>
      <c r="AZ156" s="2798"/>
      <c r="BA156" s="2798"/>
      <c r="BB156" s="2798"/>
      <c r="BC156" s="2798"/>
      <c r="BD156" s="2798"/>
      <c r="BE156" s="2798"/>
      <c r="BF156" s="2798"/>
      <c r="BG156" s="2798"/>
      <c r="BH156" s="2798"/>
      <c r="BI156" s="2798"/>
      <c r="BJ156" s="2798"/>
      <c r="BK156" s="2798"/>
      <c r="BL156" s="2798"/>
      <c r="BM156" s="2798"/>
      <c r="BN156" s="2798"/>
      <c r="BO156" s="2798"/>
      <c r="BP156" s="2798"/>
    </row>
    <row r="157" spans="12:68">
      <c r="L157" s="2798"/>
      <c r="M157" s="2798"/>
      <c r="N157" s="2798"/>
      <c r="O157" s="2798"/>
      <c r="P157" s="2798"/>
      <c r="Q157" s="2798"/>
      <c r="R157" s="2798"/>
      <c r="S157" s="2798"/>
      <c r="T157" s="2798"/>
      <c r="U157" s="2798"/>
      <c r="V157" s="2798"/>
      <c r="W157" s="2798"/>
      <c r="X157" s="2798"/>
      <c r="Y157" s="2798"/>
      <c r="Z157" s="2798"/>
      <c r="AA157" s="2798"/>
      <c r="AB157" s="2798"/>
      <c r="AC157" s="2798"/>
      <c r="AD157" s="2798"/>
      <c r="AE157" s="2798"/>
      <c r="AF157" s="2798"/>
      <c r="AG157" s="2798"/>
      <c r="AH157" s="2798"/>
      <c r="AI157" s="2798"/>
      <c r="AJ157" s="2798"/>
      <c r="AK157" s="2798"/>
      <c r="AL157" s="2798"/>
      <c r="AM157" s="2798"/>
      <c r="AN157" s="2798"/>
      <c r="AO157" s="2798"/>
      <c r="AP157" s="2798"/>
      <c r="AQ157" s="2798"/>
      <c r="AR157" s="2798"/>
      <c r="AS157" s="2798"/>
      <c r="AT157" s="2798"/>
      <c r="AU157" s="2798"/>
      <c r="AV157" s="2798"/>
      <c r="AW157" s="2798"/>
      <c r="AX157" s="2798"/>
      <c r="AY157" s="2798"/>
      <c r="AZ157" s="2798"/>
      <c r="BA157" s="2798"/>
      <c r="BB157" s="2798"/>
      <c r="BC157" s="2798"/>
      <c r="BD157" s="2798"/>
      <c r="BE157" s="2798"/>
      <c r="BF157" s="2798"/>
      <c r="BG157" s="2798"/>
      <c r="BH157" s="2798"/>
      <c r="BI157" s="2798"/>
      <c r="BJ157" s="2798"/>
      <c r="BK157" s="2798"/>
      <c r="BL157" s="2798"/>
      <c r="BM157" s="2798"/>
      <c r="BN157" s="2798"/>
      <c r="BO157" s="2798"/>
      <c r="BP157" s="2798"/>
    </row>
    <row r="158" spans="12:68">
      <c r="L158" s="2798"/>
      <c r="M158" s="2798"/>
      <c r="N158" s="2798"/>
      <c r="O158" s="2798"/>
      <c r="P158" s="2798"/>
      <c r="Q158" s="2798"/>
      <c r="R158" s="2798"/>
      <c r="S158" s="2798"/>
      <c r="T158" s="2798"/>
      <c r="U158" s="2798"/>
      <c r="V158" s="2798"/>
      <c r="W158" s="2798"/>
      <c r="X158" s="2798"/>
      <c r="Y158" s="2798"/>
      <c r="Z158" s="2798"/>
      <c r="AA158" s="2798"/>
      <c r="AB158" s="2798"/>
      <c r="AC158" s="2798"/>
      <c r="AD158" s="2798"/>
      <c r="AE158" s="2798"/>
      <c r="AF158" s="2798"/>
      <c r="AG158" s="2798"/>
      <c r="AH158" s="2798"/>
      <c r="AI158" s="2798"/>
      <c r="AJ158" s="2798"/>
      <c r="AK158" s="2798"/>
      <c r="AL158" s="2798"/>
      <c r="AM158" s="2798"/>
      <c r="AN158" s="2798"/>
      <c r="AO158" s="2798"/>
      <c r="AP158" s="2798"/>
      <c r="AQ158" s="2798"/>
      <c r="AR158" s="2798"/>
      <c r="AS158" s="2798"/>
      <c r="AT158" s="2798"/>
      <c r="AU158" s="2798"/>
      <c r="AV158" s="2798"/>
      <c r="AW158" s="2798"/>
      <c r="AX158" s="2798"/>
      <c r="AY158" s="2798"/>
      <c r="AZ158" s="2798"/>
      <c r="BA158" s="2798"/>
      <c r="BB158" s="2798"/>
      <c r="BC158" s="2798"/>
      <c r="BD158" s="2798"/>
      <c r="BE158" s="2798"/>
      <c r="BF158" s="2798"/>
      <c r="BG158" s="2798"/>
      <c r="BH158" s="2798"/>
      <c r="BI158" s="2798"/>
      <c r="BJ158" s="2798"/>
      <c r="BK158" s="2798"/>
      <c r="BL158" s="2798"/>
      <c r="BM158" s="2798"/>
      <c r="BN158" s="2798"/>
      <c r="BO158" s="2798"/>
      <c r="BP158" s="2798"/>
    </row>
    <row r="159" spans="12:68">
      <c r="L159" s="2798"/>
      <c r="M159" s="2798"/>
      <c r="N159" s="2798"/>
      <c r="O159" s="2798"/>
      <c r="P159" s="2798"/>
      <c r="Q159" s="2798"/>
      <c r="R159" s="2798"/>
      <c r="S159" s="2798"/>
      <c r="T159" s="2798"/>
      <c r="U159" s="2798"/>
      <c r="V159" s="2798"/>
      <c r="W159" s="2798"/>
      <c r="X159" s="2798"/>
      <c r="Y159" s="2798"/>
      <c r="Z159" s="2798"/>
      <c r="AA159" s="2798"/>
      <c r="AB159" s="2798"/>
      <c r="AC159" s="2798"/>
      <c r="AD159" s="2798"/>
      <c r="AE159" s="2798"/>
      <c r="AF159" s="2798"/>
      <c r="AG159" s="2798"/>
      <c r="AH159" s="2798"/>
      <c r="AI159" s="2798"/>
      <c r="AJ159" s="2798"/>
      <c r="AK159" s="2798"/>
      <c r="AL159" s="2798"/>
      <c r="AM159" s="2798"/>
      <c r="AN159" s="2798"/>
      <c r="AO159" s="2798"/>
      <c r="AP159" s="2798"/>
      <c r="AQ159" s="2798"/>
      <c r="AR159" s="2798"/>
      <c r="AS159" s="2798"/>
      <c r="AT159" s="2798"/>
      <c r="AU159" s="2798"/>
      <c r="AV159" s="2798"/>
      <c r="AW159" s="2798"/>
      <c r="AX159" s="2798"/>
      <c r="AY159" s="2798"/>
      <c r="AZ159" s="2798"/>
      <c r="BA159" s="2798"/>
      <c r="BB159" s="2798"/>
      <c r="BC159" s="2798"/>
      <c r="BD159" s="2798"/>
      <c r="BE159" s="2798"/>
      <c r="BF159" s="2798"/>
      <c r="BG159" s="2798"/>
      <c r="BH159" s="2798"/>
      <c r="BI159" s="2798"/>
      <c r="BJ159" s="2798"/>
      <c r="BK159" s="2798"/>
      <c r="BL159" s="2798"/>
      <c r="BM159" s="2798"/>
      <c r="BN159" s="2798"/>
      <c r="BO159" s="2798"/>
      <c r="BP159" s="2798"/>
    </row>
    <row r="160" spans="12:68">
      <c r="L160" s="2798"/>
      <c r="M160" s="2798"/>
      <c r="N160" s="2798"/>
      <c r="O160" s="2798"/>
      <c r="P160" s="2798"/>
      <c r="Q160" s="2798"/>
      <c r="R160" s="2798"/>
      <c r="S160" s="2798"/>
      <c r="T160" s="2798"/>
      <c r="U160" s="2798"/>
      <c r="V160" s="2798"/>
      <c r="W160" s="2798"/>
      <c r="X160" s="2798"/>
      <c r="Y160" s="2798"/>
      <c r="Z160" s="2798"/>
      <c r="AA160" s="2798"/>
      <c r="AB160" s="2798"/>
      <c r="AC160" s="2798"/>
      <c r="AD160" s="2798"/>
      <c r="AE160" s="2798"/>
      <c r="AF160" s="2798"/>
      <c r="AG160" s="2798"/>
      <c r="AH160" s="2798"/>
      <c r="AI160" s="2798"/>
      <c r="AJ160" s="2798"/>
      <c r="AK160" s="2798"/>
      <c r="AL160" s="2798"/>
      <c r="AM160" s="2798"/>
      <c r="AN160" s="2798"/>
      <c r="AO160" s="2798"/>
      <c r="AP160" s="2798"/>
      <c r="AQ160" s="2798"/>
      <c r="AR160" s="2798"/>
      <c r="AS160" s="2798"/>
      <c r="AT160" s="2798"/>
      <c r="AU160" s="2798"/>
      <c r="AV160" s="2798"/>
      <c r="AW160" s="2798"/>
      <c r="AX160" s="2798"/>
      <c r="AY160" s="2798"/>
      <c r="AZ160" s="2798"/>
      <c r="BA160" s="2798"/>
      <c r="BB160" s="2798"/>
      <c r="BC160" s="2798"/>
      <c r="BD160" s="2798"/>
      <c r="BE160" s="2798"/>
      <c r="BF160" s="2798"/>
      <c r="BG160" s="2798"/>
      <c r="BH160" s="2798"/>
      <c r="BI160" s="2798"/>
      <c r="BJ160" s="2798"/>
      <c r="BK160" s="2798"/>
      <c r="BL160" s="2798"/>
      <c r="BM160" s="2798"/>
      <c r="BN160" s="2798"/>
      <c r="BO160" s="2798"/>
      <c r="BP160" s="2798"/>
    </row>
    <row r="161" spans="12:68">
      <c r="L161" s="2798"/>
      <c r="M161" s="2798"/>
      <c r="N161" s="2798"/>
      <c r="O161" s="2798"/>
      <c r="P161" s="2798"/>
      <c r="Q161" s="2798"/>
      <c r="R161" s="2798"/>
      <c r="S161" s="2798"/>
      <c r="T161" s="2798"/>
      <c r="U161" s="2798"/>
      <c r="V161" s="2798"/>
      <c r="W161" s="2798"/>
      <c r="X161" s="2798"/>
      <c r="Y161" s="2798"/>
      <c r="Z161" s="2798"/>
      <c r="AA161" s="2798"/>
      <c r="AB161" s="2798"/>
      <c r="AC161" s="2798"/>
      <c r="AD161" s="2798"/>
      <c r="AE161" s="2798"/>
      <c r="AF161" s="2798"/>
      <c r="AG161" s="2798"/>
      <c r="AH161" s="2798"/>
      <c r="AI161" s="2798"/>
      <c r="AJ161" s="2798"/>
      <c r="AK161" s="2798"/>
      <c r="AL161" s="2798"/>
      <c r="AM161" s="2798"/>
      <c r="AN161" s="2798"/>
      <c r="AO161" s="2798"/>
      <c r="AP161" s="2798"/>
      <c r="AQ161" s="2798"/>
      <c r="AR161" s="2798"/>
      <c r="AS161" s="2798"/>
      <c r="AT161" s="2798"/>
      <c r="AU161" s="2798"/>
      <c r="AV161" s="2798"/>
      <c r="AW161" s="2798"/>
      <c r="AX161" s="2798"/>
      <c r="AY161" s="2798"/>
      <c r="AZ161" s="2798"/>
      <c r="BA161" s="2798"/>
      <c r="BB161" s="2798"/>
      <c r="BC161" s="2798"/>
      <c r="BD161" s="2798"/>
      <c r="BE161" s="2798"/>
      <c r="BF161" s="2798"/>
      <c r="BG161" s="2798"/>
      <c r="BH161" s="2798"/>
      <c r="BI161" s="2798"/>
      <c r="BJ161" s="2798"/>
      <c r="BK161" s="2798"/>
      <c r="BL161" s="2798"/>
      <c r="BM161" s="2798"/>
      <c r="BN161" s="2798"/>
      <c r="BO161" s="2798"/>
      <c r="BP161" s="2798"/>
    </row>
    <row r="162" spans="12:68">
      <c r="L162" s="2798"/>
      <c r="M162" s="2798"/>
      <c r="N162" s="2798"/>
      <c r="O162" s="2798"/>
      <c r="P162" s="2798"/>
      <c r="Q162" s="2798"/>
      <c r="R162" s="2798"/>
      <c r="S162" s="2798"/>
      <c r="T162" s="2798"/>
      <c r="U162" s="2798"/>
      <c r="V162" s="2798"/>
      <c r="W162" s="2798"/>
      <c r="X162" s="2798"/>
      <c r="Y162" s="2798"/>
      <c r="Z162" s="2798"/>
      <c r="AA162" s="2798"/>
      <c r="AB162" s="2798"/>
      <c r="AC162" s="2798"/>
      <c r="AD162" s="2798"/>
      <c r="AE162" s="2798"/>
      <c r="AF162" s="2798"/>
      <c r="AG162" s="2798"/>
      <c r="AH162" s="2798"/>
      <c r="AI162" s="2798"/>
      <c r="AJ162" s="2798"/>
      <c r="AK162" s="2798"/>
      <c r="AL162" s="2798"/>
      <c r="AM162" s="2798"/>
      <c r="AN162" s="2798"/>
      <c r="AO162" s="2798"/>
      <c r="AP162" s="2798"/>
      <c r="AQ162" s="2798"/>
      <c r="AR162" s="2798"/>
      <c r="AS162" s="2798"/>
      <c r="AT162" s="2798"/>
      <c r="AU162" s="2798"/>
      <c r="AV162" s="2798"/>
      <c r="AW162" s="2798"/>
      <c r="AX162" s="2798"/>
      <c r="AY162" s="2798"/>
      <c r="AZ162" s="2798"/>
      <c r="BA162" s="2798"/>
      <c r="BB162" s="2798"/>
      <c r="BC162" s="2798"/>
      <c r="BD162" s="2798"/>
      <c r="BE162" s="2798"/>
      <c r="BF162" s="2798"/>
      <c r="BG162" s="2798"/>
      <c r="BH162" s="2798"/>
      <c r="BI162" s="2798"/>
      <c r="BJ162" s="2798"/>
      <c r="BK162" s="2798"/>
      <c r="BL162" s="2798"/>
      <c r="BM162" s="2798"/>
      <c r="BN162" s="2798"/>
      <c r="BO162" s="2798"/>
      <c r="BP162" s="2798"/>
    </row>
    <row r="163" spans="12:68">
      <c r="L163" s="2798"/>
      <c r="M163" s="2798"/>
      <c r="N163" s="2798"/>
      <c r="O163" s="2798"/>
      <c r="P163" s="2798"/>
      <c r="Q163" s="2798"/>
      <c r="R163" s="2798"/>
      <c r="S163" s="2798"/>
      <c r="T163" s="2798"/>
      <c r="U163" s="2798"/>
      <c r="V163" s="2798"/>
      <c r="W163" s="2798"/>
      <c r="X163" s="2798"/>
      <c r="Y163" s="2798"/>
      <c r="Z163" s="2798"/>
      <c r="AA163" s="2798"/>
      <c r="AB163" s="2798"/>
      <c r="AC163" s="2798"/>
      <c r="AD163" s="2798"/>
      <c r="AE163" s="2798"/>
      <c r="AF163" s="2798"/>
      <c r="AG163" s="2798"/>
      <c r="AH163" s="2798"/>
      <c r="AI163" s="2798"/>
      <c r="AJ163" s="2798"/>
      <c r="AK163" s="2798"/>
      <c r="AL163" s="2798"/>
      <c r="AM163" s="2798"/>
      <c r="AN163" s="2798"/>
      <c r="AO163" s="2798"/>
      <c r="AP163" s="2798"/>
      <c r="AQ163" s="2798"/>
      <c r="AR163" s="2798"/>
      <c r="AS163" s="2798"/>
      <c r="AT163" s="2798"/>
      <c r="AU163" s="2798"/>
      <c r="AV163" s="2798"/>
      <c r="AW163" s="2798"/>
      <c r="AX163" s="2798"/>
      <c r="AY163" s="2798"/>
      <c r="AZ163" s="2798"/>
      <c r="BA163" s="2798"/>
      <c r="BB163" s="2798"/>
      <c r="BC163" s="2798"/>
      <c r="BD163" s="2798"/>
      <c r="BE163" s="2798"/>
      <c r="BF163" s="2798"/>
      <c r="BG163" s="2798"/>
      <c r="BH163" s="2798"/>
      <c r="BI163" s="2798"/>
      <c r="BJ163" s="2798"/>
      <c r="BK163" s="2798"/>
      <c r="BL163" s="2798"/>
      <c r="BM163" s="2798"/>
      <c r="BN163" s="2798"/>
      <c r="BO163" s="2798"/>
      <c r="BP163" s="2798"/>
    </row>
    <row r="164" spans="12:68">
      <c r="L164" s="2798"/>
      <c r="M164" s="2798"/>
      <c r="N164" s="2798"/>
      <c r="O164" s="2798"/>
      <c r="P164" s="2798"/>
      <c r="Q164" s="2798"/>
      <c r="R164" s="2798"/>
      <c r="S164" s="2798"/>
      <c r="T164" s="2798"/>
      <c r="U164" s="2798"/>
      <c r="V164" s="2798"/>
      <c r="W164" s="2798"/>
      <c r="X164" s="2798"/>
      <c r="Y164" s="2798"/>
      <c r="Z164" s="2798"/>
      <c r="AA164" s="2798"/>
      <c r="AB164" s="2798"/>
      <c r="AC164" s="2798"/>
      <c r="AD164" s="2798"/>
      <c r="AE164" s="2798"/>
      <c r="AF164" s="2798"/>
      <c r="AG164" s="2798"/>
      <c r="AH164" s="2798"/>
      <c r="AI164" s="2798"/>
      <c r="AJ164" s="2798"/>
      <c r="AK164" s="2798"/>
      <c r="AL164" s="2798"/>
      <c r="AM164" s="2798"/>
      <c r="AN164" s="2798"/>
      <c r="AO164" s="2798"/>
      <c r="AP164" s="2798"/>
      <c r="AQ164" s="2798"/>
      <c r="AR164" s="2798"/>
      <c r="AS164" s="2798"/>
      <c r="AT164" s="2798"/>
      <c r="AU164" s="2798"/>
      <c r="AV164" s="2798"/>
      <c r="AW164" s="2798"/>
      <c r="AX164" s="2798"/>
      <c r="AY164" s="2798"/>
      <c r="AZ164" s="2798"/>
      <c r="BA164" s="2798"/>
      <c r="BB164" s="2798"/>
      <c r="BC164" s="2798"/>
      <c r="BD164" s="2798"/>
      <c r="BE164" s="2798"/>
      <c r="BF164" s="2798"/>
      <c r="BG164" s="2798"/>
      <c r="BH164" s="2798"/>
      <c r="BI164" s="2798"/>
      <c r="BJ164" s="2798"/>
      <c r="BK164" s="2798"/>
      <c r="BL164" s="2798"/>
      <c r="BM164" s="2798"/>
      <c r="BN164" s="2798"/>
      <c r="BO164" s="2798"/>
      <c r="BP164" s="2798"/>
    </row>
    <row r="165" spans="12:68">
      <c r="L165" s="2798"/>
      <c r="M165" s="2798"/>
      <c r="N165" s="2798"/>
      <c r="O165" s="2798"/>
      <c r="P165" s="2798"/>
      <c r="Q165" s="2798"/>
      <c r="R165" s="2798"/>
      <c r="S165" s="2798"/>
      <c r="T165" s="2798"/>
      <c r="U165" s="2798"/>
      <c r="V165" s="2798"/>
      <c r="W165" s="2798"/>
      <c r="X165" s="2798"/>
      <c r="Y165" s="2798"/>
      <c r="Z165" s="2798"/>
      <c r="AA165" s="2798"/>
      <c r="AB165" s="2798"/>
      <c r="AC165" s="2798"/>
      <c r="AD165" s="2798"/>
      <c r="AE165" s="2798"/>
      <c r="AF165" s="2798"/>
      <c r="AG165" s="2798"/>
      <c r="AH165" s="2798"/>
      <c r="AI165" s="2798"/>
      <c r="AJ165" s="2798"/>
      <c r="AK165" s="2798"/>
      <c r="AL165" s="2798"/>
      <c r="AM165" s="2798"/>
      <c r="AN165" s="2798"/>
      <c r="AO165" s="2798"/>
      <c r="AP165" s="2798"/>
      <c r="AQ165" s="2798"/>
      <c r="AR165" s="2798"/>
      <c r="AS165" s="2798"/>
      <c r="AT165" s="2798"/>
      <c r="AU165" s="2798"/>
      <c r="AV165" s="2798"/>
      <c r="AW165" s="2798"/>
      <c r="AX165" s="2798"/>
      <c r="AY165" s="2798"/>
      <c r="AZ165" s="2798"/>
      <c r="BA165" s="2798"/>
      <c r="BB165" s="2798"/>
      <c r="BC165" s="2798"/>
      <c r="BD165" s="2798"/>
      <c r="BE165" s="2798"/>
      <c r="BF165" s="2798"/>
      <c r="BG165" s="2798"/>
      <c r="BH165" s="2798"/>
      <c r="BI165" s="2798"/>
      <c r="BJ165" s="2798"/>
      <c r="BK165" s="2798"/>
      <c r="BL165" s="2798"/>
      <c r="BM165" s="2798"/>
      <c r="BN165" s="2798"/>
      <c r="BO165" s="2798"/>
      <c r="BP165" s="2798"/>
    </row>
    <row r="166" spans="12:68">
      <c r="L166" s="2798"/>
      <c r="M166" s="2798"/>
      <c r="N166" s="2798"/>
      <c r="O166" s="2798"/>
      <c r="P166" s="2798"/>
      <c r="Q166" s="2798"/>
      <c r="R166" s="2798"/>
      <c r="S166" s="2798"/>
      <c r="T166" s="2798"/>
      <c r="U166" s="2798"/>
      <c r="V166" s="2798"/>
      <c r="W166" s="2798"/>
      <c r="X166" s="2798"/>
      <c r="Y166" s="2798"/>
      <c r="Z166" s="2798"/>
      <c r="AA166" s="2798"/>
      <c r="AB166" s="2798"/>
      <c r="AC166" s="2798"/>
      <c r="AD166" s="2798"/>
      <c r="AE166" s="2798"/>
      <c r="AF166" s="2798"/>
      <c r="AG166" s="2798"/>
      <c r="AH166" s="2798"/>
      <c r="AI166" s="2798"/>
      <c r="AJ166" s="2798"/>
      <c r="AK166" s="2798"/>
      <c r="AL166" s="2798"/>
      <c r="AM166" s="2798"/>
      <c r="AN166" s="2798"/>
      <c r="AO166" s="2798"/>
      <c r="AP166" s="2798"/>
      <c r="AQ166" s="2798"/>
      <c r="AR166" s="2798"/>
      <c r="AS166" s="2798"/>
      <c r="AT166" s="2798"/>
      <c r="AU166" s="2798"/>
      <c r="AV166" s="2798"/>
      <c r="AW166" s="2798"/>
      <c r="AX166" s="2798"/>
      <c r="AY166" s="2798"/>
      <c r="AZ166" s="2798"/>
      <c r="BA166" s="2798"/>
      <c r="BB166" s="2798"/>
      <c r="BC166" s="2798"/>
      <c r="BD166" s="2798"/>
      <c r="BE166" s="2798"/>
      <c r="BF166" s="2798"/>
      <c r="BG166" s="2798"/>
      <c r="BH166" s="2798"/>
      <c r="BI166" s="2798"/>
      <c r="BJ166" s="2798"/>
      <c r="BK166" s="2798"/>
      <c r="BL166" s="2798"/>
      <c r="BM166" s="2798"/>
      <c r="BN166" s="2798"/>
      <c r="BO166" s="2798"/>
      <c r="BP166" s="2798"/>
    </row>
    <row r="167" spans="12:68">
      <c r="L167" s="2798"/>
      <c r="M167" s="2798"/>
      <c r="N167" s="2798"/>
      <c r="O167" s="2798"/>
      <c r="P167" s="2798"/>
      <c r="Q167" s="2798"/>
      <c r="R167" s="2798"/>
      <c r="S167" s="2798"/>
      <c r="T167" s="2798"/>
      <c r="U167" s="2798"/>
      <c r="V167" s="2798"/>
      <c r="W167" s="2798"/>
      <c r="X167" s="2798"/>
      <c r="Y167" s="2798"/>
      <c r="Z167" s="2798"/>
      <c r="AA167" s="2798"/>
      <c r="AB167" s="2798"/>
      <c r="AC167" s="2798"/>
      <c r="AD167" s="2798"/>
      <c r="AE167" s="2798"/>
      <c r="AF167" s="2798"/>
      <c r="AG167" s="2798"/>
      <c r="AH167" s="2798"/>
      <c r="AI167" s="2798"/>
      <c r="AJ167" s="2798"/>
      <c r="AK167" s="2798"/>
      <c r="AL167" s="2798"/>
      <c r="AM167" s="2798"/>
      <c r="AN167" s="2798"/>
      <c r="AO167" s="2798"/>
      <c r="AP167" s="2798"/>
      <c r="AQ167" s="2798"/>
      <c r="AR167" s="2798"/>
      <c r="AS167" s="2798"/>
      <c r="AT167" s="2798"/>
      <c r="AU167" s="2798"/>
      <c r="AV167" s="2798"/>
      <c r="AW167" s="2798"/>
      <c r="AX167" s="2798"/>
      <c r="AY167" s="2798"/>
      <c r="AZ167" s="2798"/>
      <c r="BA167" s="2798"/>
      <c r="BB167" s="2798"/>
      <c r="BC167" s="2798"/>
      <c r="BD167" s="2798"/>
      <c r="BE167" s="2798"/>
      <c r="BF167" s="2798"/>
      <c r="BG167" s="2798"/>
      <c r="BH167" s="2798"/>
      <c r="BI167" s="2798"/>
      <c r="BJ167" s="2798"/>
      <c r="BK167" s="2798"/>
      <c r="BL167" s="2798"/>
      <c r="BM167" s="2798"/>
      <c r="BN167" s="2798"/>
      <c r="BO167" s="2798"/>
      <c r="BP167" s="2798"/>
    </row>
    <row r="168" spans="12:68">
      <c r="L168" s="2798"/>
      <c r="M168" s="2798"/>
      <c r="N168" s="2798"/>
      <c r="O168" s="2798"/>
      <c r="P168" s="2798"/>
      <c r="Q168" s="2798"/>
      <c r="R168" s="2798"/>
      <c r="S168" s="2798"/>
      <c r="T168" s="2798"/>
      <c r="U168" s="2798"/>
      <c r="V168" s="2798"/>
      <c r="W168" s="2798"/>
      <c r="X168" s="2798"/>
      <c r="Y168" s="2798"/>
      <c r="Z168" s="2798"/>
      <c r="AA168" s="2798"/>
      <c r="AB168" s="2798"/>
      <c r="AC168" s="2798"/>
      <c r="AD168" s="2798"/>
      <c r="AE168" s="2798"/>
      <c r="AF168" s="2798"/>
      <c r="AG168" s="2798"/>
      <c r="AH168" s="2798"/>
      <c r="AI168" s="2798"/>
      <c r="AJ168" s="2798"/>
      <c r="AK168" s="2798"/>
      <c r="AL168" s="2798"/>
      <c r="AM168" s="2798"/>
      <c r="AN168" s="2798"/>
      <c r="AO168" s="2798"/>
      <c r="AP168" s="2798"/>
      <c r="AQ168" s="2798"/>
      <c r="AR168" s="2798"/>
      <c r="AS168" s="2798"/>
      <c r="AT168" s="2798"/>
      <c r="AU168" s="2798"/>
      <c r="AV168" s="2798"/>
      <c r="AW168" s="2798"/>
      <c r="AX168" s="2798"/>
      <c r="AY168" s="2798"/>
      <c r="AZ168" s="2798"/>
      <c r="BA168" s="2798"/>
      <c r="BB168" s="2798"/>
      <c r="BC168" s="2798"/>
      <c r="BD168" s="2798"/>
      <c r="BE168" s="2798"/>
      <c r="BF168" s="2798"/>
      <c r="BG168" s="2798"/>
      <c r="BH168" s="2798"/>
      <c r="BI168" s="2798"/>
      <c r="BJ168" s="2798"/>
      <c r="BK168" s="2798"/>
      <c r="BL168" s="2798"/>
      <c r="BM168" s="2798"/>
      <c r="BN168" s="2798"/>
      <c r="BO168" s="2798"/>
      <c r="BP168" s="2798"/>
    </row>
    <row r="169" spans="12:68">
      <c r="L169" s="2798"/>
      <c r="M169" s="2798"/>
      <c r="N169" s="2798"/>
      <c r="O169" s="2798"/>
      <c r="P169" s="2798"/>
      <c r="Q169" s="2798"/>
      <c r="R169" s="2798"/>
      <c r="S169" s="2798"/>
      <c r="T169" s="2798"/>
      <c r="U169" s="2798"/>
      <c r="V169" s="2798"/>
      <c r="W169" s="2798"/>
      <c r="X169" s="2798"/>
      <c r="Y169" s="2798"/>
      <c r="Z169" s="2798"/>
      <c r="AA169" s="2798"/>
      <c r="AB169" s="2798"/>
      <c r="AC169" s="2798"/>
      <c r="AD169" s="2798"/>
      <c r="AE169" s="2798"/>
      <c r="AF169" s="2798"/>
      <c r="AG169" s="2798"/>
      <c r="AH169" s="2798"/>
      <c r="AI169" s="2798"/>
      <c r="AJ169" s="2798"/>
      <c r="AK169" s="2798"/>
      <c r="AL169" s="2798"/>
      <c r="AM169" s="2798"/>
      <c r="AN169" s="2798"/>
      <c r="AO169" s="2798"/>
      <c r="AP169" s="2798"/>
      <c r="AQ169" s="2798"/>
      <c r="AR169" s="2798"/>
      <c r="AS169" s="2798"/>
      <c r="AT169" s="2798"/>
      <c r="AU169" s="2798"/>
      <c r="AV169" s="2798"/>
      <c r="AW169" s="2798"/>
      <c r="AX169" s="2798"/>
      <c r="AY169" s="2798"/>
      <c r="AZ169" s="2798"/>
      <c r="BA169" s="2798"/>
      <c r="BB169" s="2798"/>
      <c r="BC169" s="2798"/>
      <c r="BD169" s="2798"/>
      <c r="BE169" s="2798"/>
      <c r="BF169" s="2798"/>
      <c r="BG169" s="2798"/>
      <c r="BH169" s="2798"/>
      <c r="BI169" s="2798"/>
      <c r="BJ169" s="2798"/>
      <c r="BK169" s="2798"/>
      <c r="BL169" s="2798"/>
      <c r="BM169" s="2798"/>
      <c r="BN169" s="2798"/>
      <c r="BO169" s="2798"/>
      <c r="BP169" s="2798"/>
    </row>
    <row r="170" spans="12:68">
      <c r="L170" s="2798"/>
      <c r="M170" s="2798"/>
      <c r="N170" s="2798"/>
      <c r="O170" s="2798"/>
      <c r="P170" s="2798"/>
      <c r="Q170" s="2798"/>
      <c r="R170" s="2798"/>
      <c r="S170" s="2798"/>
      <c r="T170" s="2798"/>
      <c r="U170" s="2798"/>
      <c r="V170" s="2798"/>
      <c r="W170" s="2798"/>
      <c r="X170" s="2798"/>
      <c r="Y170" s="2798"/>
      <c r="Z170" s="2798"/>
      <c r="AA170" s="2798"/>
      <c r="AB170" s="2798"/>
      <c r="AC170" s="2798"/>
      <c r="AD170" s="2798"/>
      <c r="AE170" s="2798"/>
      <c r="AF170" s="2798"/>
      <c r="AG170" s="2798"/>
      <c r="AH170" s="2798"/>
      <c r="AI170" s="2798"/>
      <c r="AJ170" s="2798"/>
      <c r="AK170" s="2798"/>
      <c r="AL170" s="2798"/>
      <c r="AM170" s="2798"/>
      <c r="AN170" s="2798"/>
      <c r="AO170" s="2798"/>
      <c r="AP170" s="2798"/>
      <c r="AQ170" s="2798"/>
      <c r="AR170" s="2798"/>
      <c r="AS170" s="2798"/>
      <c r="AT170" s="2798"/>
      <c r="AU170" s="2798"/>
      <c r="AV170" s="2798"/>
      <c r="AW170" s="2798"/>
      <c r="AX170" s="2798"/>
      <c r="AY170" s="2798"/>
      <c r="AZ170" s="2798"/>
      <c r="BA170" s="2798"/>
      <c r="BB170" s="2798"/>
      <c r="BC170" s="2798"/>
      <c r="BD170" s="2798"/>
      <c r="BE170" s="2798"/>
      <c r="BF170" s="2798"/>
      <c r="BG170" s="2798"/>
      <c r="BH170" s="2798"/>
      <c r="BI170" s="2798"/>
      <c r="BJ170" s="2798"/>
      <c r="BK170" s="2798"/>
      <c r="BL170" s="2798"/>
      <c r="BM170" s="2798"/>
      <c r="BN170" s="2798"/>
      <c r="BO170" s="2798"/>
      <c r="BP170" s="2798"/>
    </row>
    <row r="171" spans="12:68">
      <c r="L171" s="2798"/>
      <c r="M171" s="2798"/>
      <c r="N171" s="2798"/>
      <c r="O171" s="2798"/>
      <c r="P171" s="2798"/>
      <c r="Q171" s="2798"/>
      <c r="R171" s="2798"/>
      <c r="S171" s="2798"/>
      <c r="T171" s="2798"/>
      <c r="U171" s="2798"/>
      <c r="V171" s="2798"/>
      <c r="W171" s="2798"/>
      <c r="X171" s="2798"/>
      <c r="Y171" s="2798"/>
      <c r="Z171" s="2798"/>
      <c r="AA171" s="2798"/>
      <c r="AB171" s="2798"/>
      <c r="AC171" s="2798"/>
      <c r="AD171" s="2798"/>
      <c r="AE171" s="2798"/>
      <c r="AF171" s="2798"/>
      <c r="AG171" s="2798"/>
      <c r="AH171" s="2798"/>
      <c r="AI171" s="2798"/>
      <c r="AJ171" s="2798"/>
      <c r="AK171" s="2798"/>
      <c r="AL171" s="2798"/>
      <c r="AM171" s="2798"/>
      <c r="AN171" s="2798"/>
      <c r="AO171" s="2798"/>
      <c r="AP171" s="2798"/>
      <c r="AQ171" s="2798"/>
      <c r="AR171" s="2798"/>
      <c r="AS171" s="2798"/>
      <c r="AT171" s="2798"/>
      <c r="AU171" s="2798"/>
      <c r="AV171" s="2798"/>
      <c r="AW171" s="2798"/>
      <c r="AX171" s="2798"/>
      <c r="AY171" s="2798"/>
      <c r="AZ171" s="2798"/>
      <c r="BA171" s="2798"/>
      <c r="BB171" s="2798"/>
      <c r="BC171" s="2798"/>
      <c r="BD171" s="2798"/>
      <c r="BE171" s="2798"/>
      <c r="BF171" s="2798"/>
      <c r="BG171" s="2798"/>
      <c r="BH171" s="2798"/>
      <c r="BI171" s="2798"/>
      <c r="BJ171" s="2798"/>
      <c r="BK171" s="2798"/>
      <c r="BL171" s="2798"/>
      <c r="BM171" s="2798"/>
      <c r="BN171" s="2798"/>
      <c r="BO171" s="2798"/>
      <c r="BP171" s="2798"/>
    </row>
    <row r="172" spans="12:68">
      <c r="L172" s="2798"/>
      <c r="M172" s="2798"/>
      <c r="N172" s="2798"/>
      <c r="O172" s="2798"/>
      <c r="P172" s="2798"/>
      <c r="Q172" s="2798"/>
      <c r="R172" s="2798"/>
      <c r="S172" s="2798"/>
      <c r="T172" s="2798"/>
      <c r="U172" s="2798"/>
      <c r="V172" s="2798"/>
      <c r="W172" s="2798"/>
      <c r="X172" s="2798"/>
      <c r="Y172" s="2798"/>
      <c r="Z172" s="2798"/>
      <c r="AA172" s="2798"/>
      <c r="AB172" s="2798"/>
      <c r="AC172" s="2798"/>
      <c r="AD172" s="2798"/>
      <c r="AE172" s="2798"/>
      <c r="AF172" s="2798"/>
      <c r="AG172" s="2798"/>
      <c r="AH172" s="2798"/>
      <c r="AI172" s="2798"/>
      <c r="AJ172" s="2798"/>
      <c r="AK172" s="2798"/>
      <c r="AL172" s="2798"/>
      <c r="AM172" s="2798"/>
      <c r="AN172" s="2798"/>
      <c r="AO172" s="2798"/>
      <c r="AP172" s="2798"/>
      <c r="AQ172" s="2798"/>
      <c r="AR172" s="2798"/>
      <c r="AS172" s="2798"/>
      <c r="AT172" s="2798"/>
      <c r="AU172" s="2798"/>
      <c r="AV172" s="2798"/>
      <c r="AW172" s="2798"/>
      <c r="AX172" s="2798"/>
      <c r="AY172" s="2798"/>
      <c r="AZ172" s="2798"/>
      <c r="BA172" s="2798"/>
      <c r="BB172" s="2798"/>
      <c r="BC172" s="2798"/>
      <c r="BD172" s="2798"/>
      <c r="BE172" s="2798"/>
      <c r="BF172" s="2798"/>
      <c r="BG172" s="2798"/>
      <c r="BH172" s="2798"/>
      <c r="BI172" s="2798"/>
      <c r="BJ172" s="2798"/>
      <c r="BK172" s="2798"/>
      <c r="BL172" s="2798"/>
      <c r="BM172" s="2798"/>
      <c r="BN172" s="2798"/>
      <c r="BO172" s="2798"/>
      <c r="BP172" s="2798"/>
    </row>
    <row r="173" spans="12:68">
      <c r="L173" s="2798"/>
      <c r="M173" s="2798"/>
      <c r="N173" s="2798"/>
      <c r="O173" s="2798"/>
      <c r="P173" s="2798"/>
      <c r="Q173" s="2798"/>
      <c r="R173" s="2798"/>
      <c r="S173" s="2798"/>
      <c r="T173" s="2798"/>
      <c r="U173" s="2798"/>
      <c r="V173" s="2798"/>
      <c r="W173" s="2798"/>
      <c r="X173" s="2798"/>
      <c r="Y173" s="2798"/>
      <c r="Z173" s="2798"/>
      <c r="AA173" s="2798"/>
      <c r="AB173" s="2798"/>
      <c r="AC173" s="2798"/>
      <c r="AD173" s="2798"/>
      <c r="AE173" s="2798"/>
      <c r="AF173" s="2798"/>
      <c r="AG173" s="2798"/>
      <c r="AH173" s="2798"/>
      <c r="AI173" s="2798"/>
      <c r="AJ173" s="2798"/>
      <c r="AK173" s="2798"/>
      <c r="AL173" s="2798"/>
      <c r="AM173" s="2798"/>
      <c r="AN173" s="2798"/>
      <c r="AO173" s="2798"/>
      <c r="AP173" s="2798"/>
      <c r="AQ173" s="2798"/>
      <c r="AR173" s="2798"/>
      <c r="AS173" s="2798"/>
      <c r="AT173" s="2798"/>
      <c r="AU173" s="2798"/>
      <c r="AV173" s="2798"/>
      <c r="AW173" s="2798"/>
      <c r="AX173" s="2798"/>
      <c r="AY173" s="2798"/>
      <c r="AZ173" s="2798"/>
      <c r="BA173" s="2798"/>
      <c r="BB173" s="2798"/>
      <c r="BC173" s="2798"/>
      <c r="BD173" s="2798"/>
      <c r="BE173" s="2798"/>
      <c r="BF173" s="2798"/>
      <c r="BG173" s="2798"/>
      <c r="BH173" s="2798"/>
      <c r="BI173" s="2798"/>
      <c r="BJ173" s="2798"/>
      <c r="BK173" s="2798"/>
      <c r="BL173" s="2798"/>
      <c r="BM173" s="2798"/>
      <c r="BN173" s="2798"/>
      <c r="BO173" s="2798"/>
      <c r="BP173" s="2798"/>
    </row>
    <row r="174" spans="12:68">
      <c r="L174" s="2798"/>
      <c r="M174" s="2798"/>
      <c r="N174" s="2798"/>
      <c r="O174" s="2798"/>
      <c r="P174" s="2798"/>
      <c r="Q174" s="2798"/>
      <c r="R174" s="2798"/>
      <c r="S174" s="2798"/>
      <c r="T174" s="2798"/>
      <c r="U174" s="2798"/>
      <c r="V174" s="2798"/>
      <c r="W174" s="2798"/>
      <c r="X174" s="2798"/>
      <c r="Y174" s="2798"/>
      <c r="Z174" s="2798"/>
      <c r="AA174" s="2798"/>
      <c r="AB174" s="2798"/>
      <c r="AC174" s="2798"/>
      <c r="AD174" s="2798"/>
      <c r="AE174" s="2798"/>
      <c r="AF174" s="2798"/>
      <c r="AG174" s="2798"/>
      <c r="AH174" s="2798"/>
      <c r="AI174" s="2798"/>
      <c r="AJ174" s="2798"/>
      <c r="AK174" s="2798"/>
      <c r="AL174" s="2798"/>
      <c r="AM174" s="2798"/>
      <c r="AN174" s="2798"/>
      <c r="AO174" s="2798"/>
      <c r="AP174" s="2798"/>
      <c r="AQ174" s="2798"/>
      <c r="AR174" s="2798"/>
      <c r="AS174" s="2798"/>
      <c r="AT174" s="2798"/>
      <c r="AU174" s="2798"/>
      <c r="AV174" s="2798"/>
      <c r="AW174" s="2798"/>
      <c r="AX174" s="2798"/>
      <c r="AY174" s="2798"/>
      <c r="AZ174" s="2798"/>
      <c r="BA174" s="2798"/>
      <c r="BB174" s="2798"/>
      <c r="BC174" s="2798"/>
      <c r="BD174" s="2798"/>
      <c r="BE174" s="2798"/>
      <c r="BF174" s="2798"/>
      <c r="BG174" s="2798"/>
      <c r="BH174" s="2798"/>
      <c r="BI174" s="2798"/>
      <c r="BJ174" s="2798"/>
      <c r="BK174" s="2798"/>
      <c r="BL174" s="2798"/>
      <c r="BM174" s="2798"/>
      <c r="BN174" s="2798"/>
      <c r="BO174" s="2798"/>
      <c r="BP174" s="2798"/>
    </row>
    <row r="175" spans="12:68">
      <c r="L175" s="2798"/>
      <c r="M175" s="2798"/>
      <c r="N175" s="2798"/>
      <c r="O175" s="2798"/>
      <c r="P175" s="2798"/>
      <c r="Q175" s="2798"/>
      <c r="R175" s="2798"/>
      <c r="S175" s="2798"/>
      <c r="T175" s="2798"/>
      <c r="U175" s="2798"/>
      <c r="V175" s="2798"/>
      <c r="W175" s="2798"/>
      <c r="X175" s="2798"/>
      <c r="Y175" s="2798"/>
      <c r="Z175" s="2798"/>
      <c r="AA175" s="2798"/>
      <c r="AB175" s="2798"/>
      <c r="AC175" s="2798"/>
      <c r="AD175" s="2798"/>
      <c r="AE175" s="2798"/>
      <c r="AF175" s="2798"/>
      <c r="AG175" s="2798"/>
      <c r="AH175" s="2798"/>
      <c r="AI175" s="2798"/>
      <c r="AJ175" s="2798"/>
      <c r="AK175" s="2798"/>
      <c r="AL175" s="2798"/>
      <c r="AM175" s="2798"/>
      <c r="AN175" s="2798"/>
      <c r="AO175" s="2798"/>
      <c r="AP175" s="2798"/>
      <c r="AQ175" s="2798"/>
      <c r="AR175" s="2798"/>
      <c r="AS175" s="2798"/>
      <c r="AT175" s="2798"/>
      <c r="AU175" s="2798"/>
      <c r="AV175" s="2798"/>
      <c r="AW175" s="2798"/>
      <c r="AX175" s="2798"/>
      <c r="AY175" s="2798"/>
      <c r="AZ175" s="2798"/>
      <c r="BA175" s="2798"/>
      <c r="BB175" s="2798"/>
      <c r="BC175" s="2798"/>
      <c r="BD175" s="2798"/>
      <c r="BE175" s="2798"/>
      <c r="BF175" s="2798"/>
      <c r="BG175" s="2798"/>
      <c r="BH175" s="2798"/>
      <c r="BI175" s="2798"/>
      <c r="BJ175" s="2798"/>
      <c r="BK175" s="2798"/>
      <c r="BL175" s="2798"/>
      <c r="BM175" s="2798"/>
      <c r="BN175" s="2798"/>
      <c r="BO175" s="2798"/>
      <c r="BP175" s="2798"/>
    </row>
    <row r="176" spans="12:68">
      <c r="L176" s="2798"/>
      <c r="M176" s="2798"/>
      <c r="N176" s="2798"/>
      <c r="O176" s="2798"/>
      <c r="P176" s="2798"/>
      <c r="Q176" s="2798"/>
      <c r="R176" s="2798"/>
      <c r="S176" s="2798"/>
      <c r="T176" s="2798"/>
      <c r="U176" s="2798"/>
      <c r="V176" s="2798"/>
      <c r="W176" s="2798"/>
      <c r="X176" s="2798"/>
      <c r="Y176" s="2798"/>
      <c r="Z176" s="2798"/>
      <c r="AA176" s="2798"/>
      <c r="AB176" s="2798"/>
      <c r="AC176" s="2798"/>
      <c r="AD176" s="2798"/>
      <c r="AE176" s="2798"/>
      <c r="AF176" s="2798"/>
      <c r="AG176" s="2798"/>
      <c r="AH176" s="2798"/>
      <c r="AI176" s="2798"/>
      <c r="AJ176" s="2798"/>
      <c r="AK176" s="2798"/>
      <c r="AL176" s="2798"/>
      <c r="AM176" s="2798"/>
      <c r="AN176" s="2798"/>
      <c r="AO176" s="2798"/>
      <c r="AP176" s="2798"/>
      <c r="AQ176" s="2798"/>
      <c r="AR176" s="2798"/>
      <c r="AS176" s="2798"/>
      <c r="AT176" s="2798"/>
      <c r="AU176" s="2798"/>
      <c r="AV176" s="2798"/>
      <c r="AW176" s="2798"/>
      <c r="AX176" s="2798"/>
      <c r="AY176" s="2798"/>
      <c r="AZ176" s="2798"/>
      <c r="BA176" s="2798"/>
      <c r="BB176" s="2798"/>
      <c r="BC176" s="2798"/>
      <c r="BD176" s="2798"/>
      <c r="BE176" s="2798"/>
      <c r="BF176" s="2798"/>
      <c r="BG176" s="2798"/>
      <c r="BH176" s="2798"/>
      <c r="BI176" s="2798"/>
      <c r="BJ176" s="2798"/>
      <c r="BK176" s="2798"/>
      <c r="BL176" s="2798"/>
      <c r="BM176" s="2798"/>
      <c r="BN176" s="2798"/>
      <c r="BO176" s="2798"/>
      <c r="BP176" s="2798"/>
    </row>
    <row r="177" spans="12:68">
      <c r="L177" s="2798"/>
      <c r="M177" s="2798"/>
      <c r="N177" s="2798"/>
      <c r="O177" s="2798"/>
      <c r="P177" s="2798"/>
      <c r="Q177" s="2798"/>
      <c r="R177" s="2798"/>
      <c r="S177" s="2798"/>
      <c r="T177" s="2798"/>
      <c r="U177" s="2798"/>
      <c r="V177" s="2798"/>
      <c r="W177" s="2798"/>
      <c r="X177" s="2798"/>
      <c r="Y177" s="2798"/>
      <c r="Z177" s="2798"/>
      <c r="AA177" s="2798"/>
      <c r="AB177" s="2798"/>
      <c r="AC177" s="2798"/>
      <c r="AD177" s="2798"/>
      <c r="AE177" s="2798"/>
      <c r="AF177" s="2798"/>
      <c r="AG177" s="2798"/>
      <c r="AH177" s="2798"/>
      <c r="AI177" s="2798"/>
      <c r="AJ177" s="2798"/>
      <c r="AK177" s="2798"/>
      <c r="AL177" s="2798"/>
      <c r="AM177" s="2798"/>
      <c r="AN177" s="2798"/>
      <c r="AO177" s="2798"/>
      <c r="AP177" s="2798"/>
      <c r="AQ177" s="2798"/>
      <c r="AR177" s="2798"/>
      <c r="AS177" s="2798"/>
      <c r="AT177" s="2798"/>
      <c r="AU177" s="2798"/>
      <c r="AV177" s="2798"/>
      <c r="AW177" s="2798"/>
      <c r="AX177" s="2798"/>
      <c r="AY177" s="2798"/>
      <c r="AZ177" s="2798"/>
      <c r="BA177" s="2798"/>
      <c r="BB177" s="2798"/>
      <c r="BC177" s="2798"/>
      <c r="BD177" s="2798"/>
      <c r="BE177" s="2798"/>
      <c r="BF177" s="2798"/>
      <c r="BG177" s="2798"/>
      <c r="BH177" s="2798"/>
      <c r="BI177" s="2798"/>
      <c r="BJ177" s="2798"/>
      <c r="BK177" s="2798"/>
      <c r="BL177" s="2798"/>
      <c r="BM177" s="2798"/>
      <c r="BN177" s="2798"/>
      <c r="BO177" s="2798"/>
      <c r="BP177" s="2798"/>
    </row>
    <row r="178" spans="12:68">
      <c r="L178" s="2798"/>
      <c r="M178" s="2798"/>
      <c r="N178" s="2798"/>
      <c r="O178" s="2798"/>
      <c r="P178" s="2798"/>
      <c r="Q178" s="2798"/>
      <c r="R178" s="2798"/>
      <c r="S178" s="2798"/>
      <c r="T178" s="2798"/>
      <c r="U178" s="2798"/>
      <c r="V178" s="2798"/>
      <c r="W178" s="2798"/>
      <c r="X178" s="2798"/>
      <c r="Y178" s="2798"/>
      <c r="Z178" s="2798"/>
      <c r="AA178" s="2798"/>
      <c r="AB178" s="2798"/>
      <c r="AC178" s="2798"/>
      <c r="AD178" s="2798"/>
      <c r="AE178" s="2798"/>
      <c r="AF178" s="2798"/>
      <c r="AG178" s="2798"/>
      <c r="AH178" s="2798"/>
      <c r="AI178" s="2798"/>
      <c r="AJ178" s="2798"/>
      <c r="AK178" s="2798"/>
      <c r="AL178" s="2798"/>
      <c r="AM178" s="2798"/>
      <c r="AN178" s="2798"/>
      <c r="AO178" s="2798"/>
      <c r="AP178" s="2798"/>
      <c r="AQ178" s="2798"/>
      <c r="AR178" s="2798"/>
      <c r="AS178" s="2798"/>
      <c r="AT178" s="2798"/>
      <c r="AU178" s="2798"/>
      <c r="AV178" s="2798"/>
      <c r="AW178" s="2798"/>
      <c r="AX178" s="2798"/>
      <c r="AY178" s="2798"/>
      <c r="AZ178" s="2798"/>
      <c r="BA178" s="2798"/>
      <c r="BB178" s="2798"/>
      <c r="BC178" s="2798"/>
      <c r="BD178" s="2798"/>
      <c r="BE178" s="2798"/>
      <c r="BF178" s="2798"/>
      <c r="BG178" s="2798"/>
      <c r="BH178" s="2798"/>
      <c r="BI178" s="2798"/>
      <c r="BJ178" s="2798"/>
      <c r="BK178" s="2798"/>
      <c r="BL178" s="2798"/>
      <c r="BM178" s="2798"/>
      <c r="BN178" s="2798"/>
      <c r="BO178" s="2798"/>
      <c r="BP178" s="2798"/>
    </row>
    <row r="179" spans="12:68">
      <c r="L179" s="2798"/>
      <c r="M179" s="2798"/>
      <c r="N179" s="2798"/>
      <c r="O179" s="2798"/>
      <c r="P179" s="2798"/>
      <c r="Q179" s="2798"/>
      <c r="R179" s="2798"/>
      <c r="S179" s="2798"/>
      <c r="T179" s="2798"/>
      <c r="U179" s="2798"/>
      <c r="V179" s="2798"/>
      <c r="W179" s="2798"/>
      <c r="X179" s="2798"/>
      <c r="Y179" s="2798"/>
      <c r="Z179" s="2798"/>
      <c r="AA179" s="2798"/>
      <c r="AB179" s="2798"/>
      <c r="AC179" s="2798"/>
      <c r="AD179" s="2798"/>
      <c r="AE179" s="2798"/>
      <c r="AF179" s="2798"/>
      <c r="AG179" s="2798"/>
      <c r="AH179" s="2798"/>
      <c r="AI179" s="2798"/>
      <c r="AJ179" s="2798"/>
      <c r="AK179" s="2798"/>
      <c r="AL179" s="2798"/>
      <c r="AM179" s="2798"/>
      <c r="AN179" s="2798"/>
      <c r="AO179" s="2798"/>
      <c r="AP179" s="2798"/>
      <c r="AQ179" s="2798"/>
      <c r="AR179" s="2798"/>
      <c r="AS179" s="2798"/>
      <c r="AT179" s="2798"/>
      <c r="AU179" s="2798"/>
      <c r="AV179" s="2798"/>
      <c r="AW179" s="2798"/>
      <c r="AX179" s="2798"/>
      <c r="AY179" s="2798"/>
      <c r="AZ179" s="2798"/>
      <c r="BA179" s="2798"/>
      <c r="BB179" s="2798"/>
      <c r="BC179" s="2798"/>
      <c r="BD179" s="2798"/>
      <c r="BE179" s="2798"/>
      <c r="BF179" s="2798"/>
      <c r="BG179" s="2798"/>
      <c r="BH179" s="2798"/>
      <c r="BI179" s="2798"/>
      <c r="BJ179" s="2798"/>
      <c r="BK179" s="2798"/>
      <c r="BL179" s="2798"/>
      <c r="BM179" s="2798"/>
      <c r="BN179" s="2798"/>
      <c r="BO179" s="2798"/>
      <c r="BP179" s="2798"/>
    </row>
    <row r="180" spans="12:68">
      <c r="L180" s="2798"/>
      <c r="M180" s="2798"/>
      <c r="N180" s="2798"/>
      <c r="O180" s="2798"/>
      <c r="P180" s="2798"/>
      <c r="Q180" s="2798"/>
      <c r="R180" s="2798"/>
      <c r="S180" s="2798"/>
      <c r="T180" s="2798"/>
      <c r="U180" s="2798"/>
      <c r="V180" s="2798"/>
      <c r="W180" s="2798"/>
      <c r="X180" s="2798"/>
      <c r="Y180" s="2798"/>
      <c r="Z180" s="2798"/>
      <c r="AA180" s="2798"/>
      <c r="AB180" s="2798"/>
      <c r="AC180" s="2798"/>
      <c r="AD180" s="2798"/>
      <c r="AE180" s="2798"/>
      <c r="AF180" s="2798"/>
      <c r="AG180" s="2798"/>
      <c r="AH180" s="2798"/>
      <c r="AI180" s="2798"/>
      <c r="AJ180" s="2798"/>
      <c r="AK180" s="2798"/>
      <c r="AL180" s="2798"/>
      <c r="AM180" s="2798"/>
      <c r="AN180" s="2798"/>
      <c r="AO180" s="2798"/>
      <c r="AP180" s="2798"/>
      <c r="AQ180" s="2798"/>
      <c r="AR180" s="2798"/>
      <c r="AS180" s="2798"/>
      <c r="AT180" s="2798"/>
      <c r="AU180" s="2798"/>
      <c r="AV180" s="2798"/>
      <c r="AW180" s="2798"/>
      <c r="AX180" s="2798"/>
      <c r="AY180" s="2798"/>
      <c r="AZ180" s="2798"/>
      <c r="BA180" s="2798"/>
      <c r="BB180" s="2798"/>
      <c r="BC180" s="2798"/>
      <c r="BD180" s="2798"/>
      <c r="BE180" s="2798"/>
      <c r="BF180" s="2798"/>
      <c r="BG180" s="2798"/>
      <c r="BH180" s="2798"/>
      <c r="BI180" s="2798"/>
      <c r="BJ180" s="2798"/>
      <c r="BK180" s="2798"/>
      <c r="BL180" s="2798"/>
      <c r="BM180" s="2798"/>
      <c r="BN180" s="2798"/>
      <c r="BO180" s="2798"/>
      <c r="BP180" s="2798"/>
    </row>
    <row r="181" spans="12:68">
      <c r="L181" s="2798"/>
      <c r="M181" s="2798"/>
      <c r="N181" s="2798"/>
      <c r="O181" s="2798"/>
      <c r="P181" s="2798"/>
      <c r="Q181" s="2798"/>
      <c r="R181" s="2798"/>
      <c r="S181" s="2798"/>
      <c r="T181" s="2798"/>
      <c r="U181" s="2798"/>
      <c r="V181" s="2798"/>
      <c r="W181" s="2798"/>
      <c r="X181" s="2798"/>
      <c r="Y181" s="2798"/>
      <c r="Z181" s="2798"/>
      <c r="AA181" s="2798"/>
      <c r="AB181" s="2798"/>
      <c r="AC181" s="2798"/>
      <c r="AD181" s="2798"/>
      <c r="AE181" s="2798"/>
      <c r="AF181" s="2798"/>
      <c r="AG181" s="2798"/>
      <c r="AH181" s="2798"/>
      <c r="AI181" s="2798"/>
      <c r="AJ181" s="2798"/>
      <c r="AK181" s="2798"/>
      <c r="AL181" s="2798"/>
      <c r="AM181" s="2798"/>
      <c r="AN181" s="2798"/>
      <c r="AO181" s="2798"/>
      <c r="AP181" s="2798"/>
      <c r="AQ181" s="2798"/>
      <c r="AR181" s="2798"/>
      <c r="AS181" s="2798"/>
      <c r="AT181" s="2798"/>
      <c r="AU181" s="2798"/>
      <c r="AV181" s="2798"/>
      <c r="AW181" s="2798"/>
      <c r="AX181" s="2798"/>
      <c r="AY181" s="2798"/>
      <c r="AZ181" s="2798"/>
      <c r="BA181" s="2798"/>
      <c r="BB181" s="2798"/>
      <c r="BC181" s="2798"/>
      <c r="BD181" s="2798"/>
      <c r="BE181" s="2798"/>
      <c r="BF181" s="2798"/>
      <c r="BG181" s="2798"/>
      <c r="BH181" s="2798"/>
      <c r="BI181" s="2798"/>
      <c r="BJ181" s="2798"/>
      <c r="BK181" s="2798"/>
      <c r="BL181" s="2798"/>
      <c r="BM181" s="2798"/>
      <c r="BN181" s="2798"/>
      <c r="BO181" s="2798"/>
      <c r="BP181" s="2798"/>
    </row>
    <row r="182" spans="12:68">
      <c r="L182" s="2798"/>
      <c r="M182" s="2798"/>
      <c r="N182" s="2798"/>
      <c r="O182" s="2798"/>
      <c r="P182" s="2798"/>
      <c r="Q182" s="2798"/>
      <c r="R182" s="2798"/>
      <c r="S182" s="2798"/>
      <c r="T182" s="2798"/>
      <c r="U182" s="2798"/>
      <c r="V182" s="2798"/>
      <c r="W182" s="2798"/>
      <c r="X182" s="2798"/>
      <c r="Y182" s="2798"/>
      <c r="Z182" s="2798"/>
      <c r="AA182" s="2798"/>
      <c r="AB182" s="2798"/>
      <c r="AC182" s="2798"/>
      <c r="AD182" s="2798"/>
      <c r="AE182" s="2798"/>
      <c r="AF182" s="2798"/>
      <c r="AG182" s="2798"/>
      <c r="AH182" s="2798"/>
      <c r="AI182" s="2798"/>
      <c r="AJ182" s="2798"/>
      <c r="AK182" s="2798"/>
      <c r="AL182" s="2798"/>
      <c r="AM182" s="2798"/>
      <c r="AN182" s="2798"/>
      <c r="AO182" s="2798"/>
      <c r="AP182" s="2798"/>
      <c r="AQ182" s="2798"/>
      <c r="AR182" s="2798"/>
      <c r="AS182" s="2798"/>
      <c r="AT182" s="2798"/>
      <c r="AU182" s="2798"/>
      <c r="AV182" s="2798"/>
      <c r="AW182" s="2798"/>
      <c r="AX182" s="2798"/>
      <c r="AY182" s="2798"/>
      <c r="AZ182" s="2798"/>
      <c r="BA182" s="2798"/>
      <c r="BB182" s="2798"/>
      <c r="BC182" s="2798"/>
      <c r="BD182" s="2798"/>
      <c r="BE182" s="2798"/>
      <c r="BF182" s="2798"/>
      <c r="BG182" s="2798"/>
      <c r="BH182" s="2798"/>
      <c r="BI182" s="2798"/>
      <c r="BJ182" s="2798"/>
      <c r="BK182" s="2798"/>
      <c r="BL182" s="2798"/>
      <c r="BM182" s="2798"/>
      <c r="BN182" s="2798"/>
      <c r="BO182" s="2798"/>
      <c r="BP182" s="2798"/>
    </row>
    <row r="183" spans="12:68">
      <c r="L183" s="2798"/>
      <c r="M183" s="2798"/>
      <c r="N183" s="2798"/>
      <c r="O183" s="2798"/>
      <c r="P183" s="2798"/>
      <c r="Q183" s="2798"/>
      <c r="R183" s="2798"/>
      <c r="S183" s="2798"/>
      <c r="T183" s="2798"/>
      <c r="U183" s="2798"/>
      <c r="V183" s="2798"/>
      <c r="W183" s="2798"/>
      <c r="X183" s="2798"/>
      <c r="Y183" s="2798"/>
      <c r="Z183" s="2798"/>
      <c r="AA183" s="2798"/>
      <c r="AB183" s="2798"/>
      <c r="AC183" s="2798"/>
      <c r="AD183" s="2798"/>
      <c r="AE183" s="2798"/>
      <c r="AF183" s="2798"/>
      <c r="AG183" s="2798"/>
      <c r="AH183" s="2798"/>
      <c r="AI183" s="2798"/>
      <c r="AJ183" s="2798"/>
      <c r="AK183" s="2798"/>
      <c r="AL183" s="2798"/>
      <c r="AM183" s="2798"/>
      <c r="AN183" s="2798"/>
      <c r="AO183" s="2798"/>
      <c r="AP183" s="2798"/>
      <c r="AQ183" s="2798"/>
      <c r="AR183" s="2798"/>
      <c r="AS183" s="2798"/>
      <c r="AT183" s="2798"/>
      <c r="AU183" s="2798"/>
      <c r="AV183" s="2798"/>
      <c r="AW183" s="2798"/>
      <c r="AX183" s="2798"/>
      <c r="AY183" s="2798"/>
      <c r="AZ183" s="2798"/>
      <c r="BA183" s="2798"/>
      <c r="BB183" s="2798"/>
      <c r="BC183" s="2798"/>
      <c r="BD183" s="2798"/>
      <c r="BE183" s="2798"/>
      <c r="BF183" s="2798"/>
      <c r="BG183" s="2798"/>
      <c r="BH183" s="2798"/>
      <c r="BI183" s="2798"/>
      <c r="BJ183" s="2798"/>
      <c r="BK183" s="2798"/>
      <c r="BL183" s="2798"/>
      <c r="BM183" s="2798"/>
      <c r="BN183" s="2798"/>
      <c r="BO183" s="2798"/>
      <c r="BP183" s="2798"/>
    </row>
    <row r="184" spans="12:68">
      <c r="L184" s="2798"/>
      <c r="M184" s="2798"/>
      <c r="N184" s="2798"/>
      <c r="O184" s="2798"/>
      <c r="P184" s="2798"/>
      <c r="Q184" s="2798"/>
      <c r="R184" s="2798"/>
      <c r="S184" s="2798"/>
      <c r="T184" s="2798"/>
      <c r="U184" s="2798"/>
      <c r="V184" s="2798"/>
      <c r="W184" s="2798"/>
      <c r="X184" s="2798"/>
      <c r="Y184" s="2798"/>
      <c r="Z184" s="2798"/>
      <c r="AA184" s="2798"/>
      <c r="AB184" s="2798"/>
      <c r="AC184" s="2798"/>
      <c r="AD184" s="2798"/>
      <c r="AE184" s="2798"/>
      <c r="AF184" s="2798"/>
      <c r="AG184" s="2798"/>
      <c r="AH184" s="2798"/>
      <c r="AI184" s="2798"/>
      <c r="AJ184" s="2798"/>
      <c r="AK184" s="2798"/>
      <c r="AL184" s="2798"/>
      <c r="AM184" s="2798"/>
      <c r="AN184" s="2798"/>
      <c r="AO184" s="2798"/>
      <c r="AP184" s="2798"/>
      <c r="AQ184" s="2798"/>
      <c r="AR184" s="2798"/>
      <c r="AS184" s="2798"/>
      <c r="AT184" s="2798"/>
      <c r="AU184" s="2798"/>
      <c r="AV184" s="2798"/>
      <c r="AW184" s="2798"/>
      <c r="AX184" s="2798"/>
      <c r="AY184" s="2798"/>
      <c r="AZ184" s="2798"/>
      <c r="BA184" s="2798"/>
      <c r="BB184" s="2798"/>
      <c r="BC184" s="2798"/>
      <c r="BD184" s="2798"/>
      <c r="BE184" s="2798"/>
      <c r="BF184" s="2798"/>
      <c r="BG184" s="2798"/>
      <c r="BH184" s="2798"/>
      <c r="BI184" s="2798"/>
      <c r="BJ184" s="2798"/>
      <c r="BK184" s="2798"/>
      <c r="BL184" s="2798"/>
      <c r="BM184" s="2798"/>
      <c r="BN184" s="2798"/>
      <c r="BO184" s="2798"/>
      <c r="BP184" s="2798"/>
    </row>
    <row r="185" spans="12:68">
      <c r="L185" s="2798"/>
      <c r="M185" s="2798"/>
      <c r="N185" s="2798"/>
      <c r="O185" s="2798"/>
      <c r="P185" s="2798"/>
      <c r="Q185" s="2798"/>
      <c r="R185" s="2798"/>
      <c r="S185" s="2798"/>
      <c r="T185" s="2798"/>
      <c r="U185" s="2798"/>
      <c r="V185" s="2798"/>
      <c r="W185" s="2798"/>
      <c r="X185" s="2798"/>
      <c r="Y185" s="2798"/>
      <c r="Z185" s="2798"/>
      <c r="AA185" s="2798"/>
      <c r="AB185" s="2798"/>
      <c r="AC185" s="2798"/>
      <c r="AD185" s="2798"/>
      <c r="AE185" s="2798"/>
      <c r="AF185" s="2798"/>
      <c r="AG185" s="2798"/>
      <c r="AH185" s="2798"/>
      <c r="AI185" s="2798"/>
      <c r="AJ185" s="2798"/>
      <c r="AK185" s="2798"/>
      <c r="AL185" s="2798"/>
      <c r="AM185" s="2798"/>
      <c r="AN185" s="2798"/>
      <c r="AO185" s="2798"/>
      <c r="AP185" s="2798"/>
      <c r="AQ185" s="2798"/>
      <c r="AR185" s="2798"/>
      <c r="AS185" s="2798"/>
      <c r="AT185" s="2798"/>
      <c r="AU185" s="2798"/>
      <c r="AV185" s="2798"/>
      <c r="AW185" s="2798"/>
      <c r="AX185" s="2798"/>
      <c r="AY185" s="2798"/>
      <c r="AZ185" s="2798"/>
      <c r="BA185" s="2798"/>
      <c r="BB185" s="2798"/>
      <c r="BC185" s="2798"/>
      <c r="BD185" s="2798"/>
      <c r="BE185" s="2798"/>
      <c r="BF185" s="2798"/>
      <c r="BG185" s="2798"/>
      <c r="BH185" s="2798"/>
      <c r="BI185" s="2798"/>
      <c r="BJ185" s="2798"/>
      <c r="BK185" s="2798"/>
      <c r="BL185" s="2798"/>
      <c r="BM185" s="2798"/>
      <c r="BN185" s="2798"/>
      <c r="BO185" s="2798"/>
      <c r="BP185" s="2798"/>
    </row>
    <row r="186" spans="12:68">
      <c r="L186" s="2798"/>
      <c r="M186" s="2798"/>
      <c r="N186" s="2798"/>
      <c r="O186" s="2798"/>
      <c r="P186" s="2798"/>
      <c r="Q186" s="2798"/>
      <c r="R186" s="2798"/>
      <c r="S186" s="2798"/>
      <c r="T186" s="2798"/>
      <c r="U186" s="2798"/>
      <c r="V186" s="2798"/>
      <c r="W186" s="2798"/>
      <c r="X186" s="2798"/>
      <c r="Y186" s="2798"/>
      <c r="Z186" s="2798"/>
      <c r="AA186" s="2798"/>
      <c r="AB186" s="2798"/>
      <c r="AC186" s="2798"/>
      <c r="AD186" s="2798"/>
      <c r="AE186" s="2798"/>
      <c r="AF186" s="2798"/>
      <c r="AG186" s="2798"/>
      <c r="AH186" s="2798"/>
      <c r="AI186" s="2798"/>
      <c r="AJ186" s="2798"/>
      <c r="AK186" s="2798"/>
      <c r="AL186" s="2798"/>
      <c r="AM186" s="2798"/>
      <c r="AN186" s="2798"/>
      <c r="AO186" s="2798"/>
      <c r="AP186" s="2798"/>
      <c r="AQ186" s="2798"/>
      <c r="AR186" s="2798"/>
      <c r="AS186" s="2798"/>
      <c r="AT186" s="2798"/>
      <c r="AU186" s="2798"/>
      <c r="AV186" s="2798"/>
      <c r="AW186" s="2798"/>
      <c r="AX186" s="2798"/>
      <c r="AY186" s="2798"/>
      <c r="AZ186" s="2798"/>
      <c r="BA186" s="2798"/>
      <c r="BB186" s="2798"/>
      <c r="BC186" s="2798"/>
      <c r="BD186" s="2798"/>
      <c r="BE186" s="2798"/>
      <c r="BF186" s="2798"/>
      <c r="BG186" s="2798"/>
      <c r="BH186" s="2798"/>
      <c r="BI186" s="2798"/>
      <c r="BJ186" s="2798"/>
      <c r="BK186" s="2798"/>
      <c r="BL186" s="2798"/>
      <c r="BM186" s="2798"/>
      <c r="BN186" s="2798"/>
      <c r="BO186" s="2798"/>
      <c r="BP186" s="2798"/>
    </row>
    <row r="187" spans="12:68">
      <c r="L187" s="2798"/>
      <c r="M187" s="2798"/>
      <c r="N187" s="2798"/>
      <c r="O187" s="2798"/>
      <c r="P187" s="2798"/>
      <c r="Q187" s="2798"/>
      <c r="R187" s="2798"/>
      <c r="S187" s="2798"/>
      <c r="T187" s="2798"/>
      <c r="U187" s="2798"/>
      <c r="V187" s="2798"/>
      <c r="W187" s="2798"/>
      <c r="X187" s="2798"/>
      <c r="Y187" s="2798"/>
      <c r="Z187" s="2798"/>
      <c r="AA187" s="2798"/>
      <c r="AB187" s="2798"/>
      <c r="AC187" s="2798"/>
      <c r="AD187" s="2798"/>
      <c r="AE187" s="2798"/>
      <c r="AF187" s="2798"/>
      <c r="AG187" s="2798"/>
      <c r="AH187" s="2798"/>
      <c r="AI187" s="2798"/>
      <c r="AJ187" s="2798"/>
      <c r="AK187" s="2798"/>
      <c r="AL187" s="2798"/>
      <c r="AM187" s="2798"/>
      <c r="AN187" s="2798"/>
      <c r="AO187" s="2798"/>
      <c r="AP187" s="2798"/>
      <c r="AQ187" s="2798"/>
      <c r="AR187" s="2798"/>
      <c r="AS187" s="2798"/>
      <c r="AT187" s="2798"/>
      <c r="AU187" s="2798"/>
      <c r="AV187" s="2798"/>
      <c r="AW187" s="2798"/>
      <c r="AX187" s="2798"/>
      <c r="AY187" s="2798"/>
      <c r="AZ187" s="2798"/>
      <c r="BA187" s="2798"/>
      <c r="BB187" s="2798"/>
      <c r="BC187" s="2798"/>
      <c r="BD187" s="2798"/>
      <c r="BE187" s="2798"/>
      <c r="BF187" s="2798"/>
      <c r="BG187" s="2798"/>
      <c r="BH187" s="2798"/>
      <c r="BI187" s="2798"/>
      <c r="BJ187" s="2798"/>
      <c r="BK187" s="2798"/>
      <c r="BL187" s="2798"/>
      <c r="BM187" s="2798"/>
      <c r="BN187" s="2798"/>
      <c r="BO187" s="2798"/>
      <c r="BP187" s="2798"/>
    </row>
    <row r="188" spans="12:68">
      <c r="L188" s="2798"/>
      <c r="M188" s="2798"/>
      <c r="N188" s="2798"/>
      <c r="O188" s="2798"/>
      <c r="P188" s="2798"/>
      <c r="Q188" s="2798"/>
      <c r="R188" s="2798"/>
      <c r="S188" s="2798"/>
      <c r="T188" s="2798"/>
      <c r="U188" s="2798"/>
      <c r="V188" s="2798"/>
      <c r="W188" s="2798"/>
      <c r="X188" s="2798"/>
      <c r="Y188" s="2798"/>
      <c r="Z188" s="2798"/>
      <c r="AA188" s="2798"/>
      <c r="AB188" s="2798"/>
      <c r="AC188" s="2798"/>
      <c r="AD188" s="2798"/>
      <c r="AE188" s="2798"/>
      <c r="AF188" s="2798"/>
      <c r="AG188" s="2798"/>
      <c r="AH188" s="2798"/>
      <c r="AI188" s="2798"/>
      <c r="AJ188" s="2798"/>
      <c r="AK188" s="2798"/>
      <c r="AL188" s="2798"/>
      <c r="AM188" s="2798"/>
      <c r="AN188" s="2798"/>
      <c r="AO188" s="2798"/>
      <c r="AP188" s="2798"/>
      <c r="AQ188" s="2798"/>
      <c r="AR188" s="2798"/>
      <c r="AS188" s="2798"/>
      <c r="AT188" s="2798"/>
      <c r="AU188" s="2798"/>
      <c r="AV188" s="2798"/>
      <c r="AW188" s="2798"/>
      <c r="AX188" s="2798"/>
      <c r="AY188" s="2798"/>
      <c r="AZ188" s="2798"/>
      <c r="BA188" s="2798"/>
      <c r="BB188" s="2798"/>
      <c r="BC188" s="2798"/>
      <c r="BD188" s="2798"/>
      <c r="BE188" s="2798"/>
      <c r="BF188" s="2798"/>
      <c r="BG188" s="2798"/>
      <c r="BH188" s="2798"/>
      <c r="BI188" s="2798"/>
      <c r="BJ188" s="2798"/>
      <c r="BK188" s="2798"/>
      <c r="BL188" s="2798"/>
      <c r="BM188" s="2798"/>
      <c r="BN188" s="2798"/>
      <c r="BO188" s="2798"/>
      <c r="BP188" s="2798"/>
    </row>
    <row r="189" spans="12:68">
      <c r="L189" s="2798"/>
      <c r="M189" s="2798"/>
      <c r="N189" s="2798"/>
      <c r="O189" s="2798"/>
      <c r="P189" s="2798"/>
      <c r="Q189" s="2798"/>
      <c r="R189" s="2798"/>
      <c r="S189" s="2798"/>
      <c r="T189" s="2798"/>
      <c r="U189" s="2798"/>
      <c r="V189" s="2798"/>
      <c r="W189" s="2798"/>
      <c r="X189" s="2798"/>
      <c r="Y189" s="2798"/>
      <c r="Z189" s="2798"/>
      <c r="AA189" s="2798"/>
      <c r="AB189" s="2798"/>
      <c r="AC189" s="2798"/>
      <c r="AD189" s="2798"/>
      <c r="AE189" s="2798"/>
      <c r="AF189" s="2798"/>
      <c r="AG189" s="2798"/>
      <c r="AH189" s="2798"/>
      <c r="AI189" s="2798"/>
      <c r="AJ189" s="2798"/>
      <c r="AK189" s="2798"/>
      <c r="AL189" s="2798"/>
      <c r="AM189" s="2798"/>
      <c r="AN189" s="2798"/>
      <c r="AO189" s="2798"/>
      <c r="AP189" s="2798"/>
      <c r="AQ189" s="2798"/>
      <c r="AR189" s="2798"/>
      <c r="AS189" s="2798"/>
      <c r="AT189" s="2798"/>
      <c r="AU189" s="2798"/>
      <c r="AV189" s="2798"/>
      <c r="AW189" s="2798"/>
      <c r="AX189" s="2798"/>
      <c r="AY189" s="2798"/>
      <c r="AZ189" s="2798"/>
      <c r="BA189" s="2798"/>
      <c r="BB189" s="2798"/>
      <c r="BC189" s="2798"/>
      <c r="BD189" s="2798"/>
      <c r="BE189" s="2798"/>
      <c r="BF189" s="2798"/>
      <c r="BG189" s="2798"/>
      <c r="BH189" s="2798"/>
      <c r="BI189" s="2798"/>
      <c r="BJ189" s="2798"/>
      <c r="BK189" s="2798"/>
      <c r="BL189" s="2798"/>
      <c r="BM189" s="2798"/>
      <c r="BN189" s="2798"/>
      <c r="BO189" s="2798"/>
      <c r="BP189" s="2798"/>
    </row>
    <row r="190" spans="12:68">
      <c r="L190" s="2798"/>
      <c r="M190" s="2798"/>
      <c r="N190" s="2798"/>
      <c r="O190" s="2798"/>
      <c r="P190" s="2798"/>
      <c r="Q190" s="2798"/>
      <c r="R190" s="2798"/>
      <c r="S190" s="2798"/>
      <c r="T190" s="2798"/>
      <c r="U190" s="2798"/>
      <c r="V190" s="2798"/>
      <c r="W190" s="2798"/>
      <c r="X190" s="2798"/>
      <c r="Y190" s="2798"/>
      <c r="Z190" s="2798"/>
      <c r="AA190" s="2798"/>
      <c r="AB190" s="2798"/>
      <c r="AC190" s="2798"/>
      <c r="AD190" s="2798"/>
      <c r="AE190" s="2798"/>
      <c r="AF190" s="2798"/>
      <c r="AG190" s="2798"/>
      <c r="AH190" s="2798"/>
      <c r="AI190" s="2798"/>
      <c r="AJ190" s="2798"/>
      <c r="AK190" s="2798"/>
      <c r="AL190" s="2798"/>
      <c r="AM190" s="2798"/>
      <c r="AN190" s="2798"/>
      <c r="AO190" s="2798"/>
      <c r="AP190" s="2798"/>
      <c r="AQ190" s="2798"/>
      <c r="AR190" s="2798"/>
      <c r="AS190" s="2798"/>
      <c r="AT190" s="2798"/>
      <c r="AU190" s="2798"/>
      <c r="AV190" s="2798"/>
      <c r="AW190" s="2798"/>
      <c r="AX190" s="2798"/>
      <c r="AY190" s="2798"/>
      <c r="AZ190" s="2798"/>
      <c r="BA190" s="2798"/>
      <c r="BB190" s="2798"/>
      <c r="BC190" s="2798"/>
      <c r="BD190" s="2798"/>
      <c r="BE190" s="2798"/>
      <c r="BF190" s="2798"/>
      <c r="BG190" s="2798"/>
      <c r="BH190" s="2798"/>
      <c r="BI190" s="2798"/>
      <c r="BJ190" s="2798"/>
      <c r="BK190" s="2798"/>
      <c r="BL190" s="2798"/>
      <c r="BM190" s="2798"/>
      <c r="BN190" s="2798"/>
      <c r="BO190" s="2798"/>
      <c r="BP190" s="2798"/>
    </row>
    <row r="191" spans="12:68">
      <c r="L191" s="2798"/>
      <c r="M191" s="2798"/>
      <c r="N191" s="2798"/>
      <c r="O191" s="2798"/>
      <c r="P191" s="2798"/>
      <c r="Q191" s="2798"/>
      <c r="R191" s="2798"/>
      <c r="S191" s="2798"/>
      <c r="T191" s="2798"/>
      <c r="U191" s="2798"/>
      <c r="V191" s="2798"/>
      <c r="W191" s="2798"/>
      <c r="X191" s="2798"/>
      <c r="Y191" s="2798"/>
      <c r="Z191" s="2798"/>
      <c r="AA191" s="2798"/>
      <c r="AB191" s="2798"/>
      <c r="AC191" s="2798"/>
      <c r="AD191" s="2798"/>
      <c r="AE191" s="2798"/>
      <c r="AF191" s="2798"/>
      <c r="AG191" s="2798"/>
      <c r="AH191" s="2798"/>
      <c r="AI191" s="2798"/>
      <c r="AJ191" s="2798"/>
      <c r="AK191" s="2798"/>
      <c r="AL191" s="2798"/>
      <c r="AM191" s="2798"/>
      <c r="AN191" s="2798"/>
      <c r="AO191" s="2798"/>
      <c r="AP191" s="2798"/>
      <c r="AQ191" s="2798"/>
      <c r="AR191" s="2798"/>
      <c r="AS191" s="2798"/>
      <c r="AT191" s="2798"/>
      <c r="AU191" s="2798"/>
      <c r="AV191" s="2798"/>
      <c r="AW191" s="2798"/>
      <c r="AX191" s="2798"/>
      <c r="AY191" s="2798"/>
      <c r="AZ191" s="2798"/>
      <c r="BA191" s="2798"/>
      <c r="BB191" s="2798"/>
      <c r="BC191" s="2798"/>
      <c r="BD191" s="2798"/>
      <c r="BE191" s="2798"/>
      <c r="BF191" s="2798"/>
      <c r="BG191" s="2798"/>
      <c r="BH191" s="2798"/>
      <c r="BI191" s="2798"/>
      <c r="BJ191" s="2798"/>
      <c r="BK191" s="2798"/>
      <c r="BL191" s="2798"/>
      <c r="BM191" s="2798"/>
      <c r="BN191" s="2798"/>
      <c r="BO191" s="2798"/>
      <c r="BP191" s="2798"/>
    </row>
    <row r="192" spans="12:68">
      <c r="L192" s="2798"/>
      <c r="M192" s="2798"/>
      <c r="N192" s="2798"/>
      <c r="O192" s="2798"/>
      <c r="P192" s="2798"/>
      <c r="Q192" s="2798"/>
      <c r="R192" s="2798"/>
      <c r="S192" s="2798"/>
      <c r="T192" s="2798"/>
      <c r="U192" s="2798"/>
      <c r="V192" s="2798"/>
      <c r="W192" s="2798"/>
      <c r="X192" s="2798"/>
      <c r="Y192" s="2798"/>
      <c r="Z192" s="2798"/>
      <c r="AA192" s="2798"/>
      <c r="AB192" s="2798"/>
      <c r="AC192" s="2798"/>
      <c r="AD192" s="2798"/>
      <c r="AE192" s="2798"/>
      <c r="AF192" s="2798"/>
      <c r="AG192" s="2798"/>
      <c r="AH192" s="2798"/>
      <c r="AI192" s="2798"/>
      <c r="AJ192" s="2798"/>
      <c r="AK192" s="2798"/>
      <c r="AL192" s="2798"/>
      <c r="AM192" s="2798"/>
      <c r="AN192" s="2798"/>
      <c r="AO192" s="2798"/>
      <c r="AP192" s="2798"/>
      <c r="AQ192" s="2798"/>
      <c r="AR192" s="2798"/>
      <c r="AS192" s="2798"/>
      <c r="AT192" s="2798"/>
      <c r="AU192" s="2798"/>
      <c r="AV192" s="2798"/>
      <c r="AW192" s="2798"/>
      <c r="AX192" s="2798"/>
      <c r="AY192" s="2798"/>
      <c r="AZ192" s="2798"/>
      <c r="BA192" s="2798"/>
      <c r="BB192" s="2798"/>
      <c r="BC192" s="2798"/>
      <c r="BD192" s="2798"/>
      <c r="BE192" s="2798"/>
      <c r="BF192" s="2798"/>
      <c r="BG192" s="2798"/>
      <c r="BH192" s="2798"/>
      <c r="BI192" s="2798"/>
      <c r="BJ192" s="2798"/>
      <c r="BK192" s="2798"/>
      <c r="BL192" s="2798"/>
      <c r="BM192" s="2798"/>
      <c r="BN192" s="2798"/>
      <c r="BO192" s="2798"/>
      <c r="BP192" s="2798"/>
    </row>
    <row r="193" spans="12:68">
      <c r="L193" s="2798"/>
      <c r="M193" s="2798"/>
      <c r="N193" s="2798"/>
      <c r="O193" s="2798"/>
      <c r="P193" s="2798"/>
      <c r="Q193" s="2798"/>
      <c r="R193" s="2798"/>
      <c r="S193" s="2798"/>
      <c r="T193" s="2798"/>
      <c r="U193" s="2798"/>
      <c r="V193" s="2798"/>
      <c r="W193" s="2798"/>
      <c r="X193" s="2798"/>
      <c r="Y193" s="2798"/>
      <c r="Z193" s="2798"/>
      <c r="AA193" s="2798"/>
      <c r="AB193" s="2798"/>
      <c r="AC193" s="2798"/>
      <c r="AD193" s="2798"/>
      <c r="AE193" s="2798"/>
      <c r="AF193" s="2798"/>
      <c r="AG193" s="2798"/>
      <c r="AH193" s="2798"/>
      <c r="AI193" s="2798"/>
      <c r="AJ193" s="2798"/>
      <c r="AK193" s="2798"/>
      <c r="AL193" s="2798"/>
      <c r="AM193" s="2798"/>
      <c r="AN193" s="2798"/>
      <c r="AO193" s="2798"/>
      <c r="AP193" s="2798"/>
      <c r="AQ193" s="2798"/>
      <c r="AR193" s="2798"/>
      <c r="AS193" s="2798"/>
      <c r="AT193" s="2798"/>
      <c r="AU193" s="2798"/>
      <c r="AV193" s="2798"/>
      <c r="AW193" s="2798"/>
      <c r="AX193" s="2798"/>
      <c r="AY193" s="2798"/>
      <c r="AZ193" s="2798"/>
      <c r="BA193" s="2798"/>
      <c r="BB193" s="2798"/>
      <c r="BC193" s="2798"/>
      <c r="BD193" s="2798"/>
      <c r="BE193" s="2798"/>
      <c r="BF193" s="2798"/>
      <c r="BG193" s="2798"/>
      <c r="BH193" s="2798"/>
      <c r="BI193" s="2798"/>
      <c r="BJ193" s="2798"/>
      <c r="BK193" s="2798"/>
      <c r="BL193" s="2798"/>
      <c r="BM193" s="2798"/>
      <c r="BN193" s="2798"/>
      <c r="BO193" s="2798"/>
      <c r="BP193" s="2798"/>
    </row>
    <row r="194" spans="12:68">
      <c r="L194" s="2798"/>
      <c r="M194" s="2798"/>
      <c r="N194" s="2798"/>
      <c r="O194" s="2798"/>
      <c r="P194" s="2798"/>
      <c r="Q194" s="2798"/>
      <c r="R194" s="2798"/>
      <c r="S194" s="2798"/>
      <c r="T194" s="2798"/>
      <c r="U194" s="2798"/>
      <c r="V194" s="2798"/>
      <c r="W194" s="2798"/>
      <c r="X194" s="2798"/>
      <c r="Y194" s="2798"/>
      <c r="Z194" s="2798"/>
      <c r="AA194" s="2798"/>
      <c r="AB194" s="2798"/>
      <c r="AC194" s="2798"/>
      <c r="AD194" s="2798"/>
      <c r="AE194" s="2798"/>
      <c r="AF194" s="2798"/>
      <c r="AG194" s="2798"/>
      <c r="AH194" s="2798"/>
      <c r="AI194" s="2798"/>
      <c r="AJ194" s="2798"/>
      <c r="AK194" s="2798"/>
      <c r="AL194" s="2798"/>
      <c r="AM194" s="2798"/>
      <c r="AN194" s="2798"/>
      <c r="AO194" s="2798"/>
      <c r="AP194" s="2798"/>
      <c r="AQ194" s="2798"/>
      <c r="AR194" s="2798"/>
      <c r="AS194" s="2798"/>
      <c r="AT194" s="2798"/>
      <c r="AU194" s="2798"/>
      <c r="AV194" s="2798"/>
      <c r="AW194" s="2798"/>
      <c r="AX194" s="2798"/>
      <c r="AY194" s="2798"/>
      <c r="AZ194" s="2798"/>
      <c r="BA194" s="2798"/>
      <c r="BB194" s="2798"/>
      <c r="BC194" s="2798"/>
      <c r="BD194" s="2798"/>
      <c r="BE194" s="2798"/>
      <c r="BF194" s="2798"/>
      <c r="BG194" s="2798"/>
      <c r="BH194" s="2798"/>
      <c r="BI194" s="2798"/>
      <c r="BJ194" s="2798"/>
      <c r="BK194" s="2798"/>
      <c r="BL194" s="2798"/>
      <c r="BM194" s="2798"/>
      <c r="BN194" s="2798"/>
      <c r="BO194" s="2798"/>
      <c r="BP194" s="2798"/>
    </row>
    <row r="195" spans="12:68">
      <c r="L195" s="2798"/>
      <c r="M195" s="2798"/>
      <c r="N195" s="2798"/>
      <c r="O195" s="2798"/>
      <c r="P195" s="2798"/>
      <c r="Q195" s="2798"/>
      <c r="R195" s="2798"/>
      <c r="S195" s="2798"/>
      <c r="T195" s="2798"/>
      <c r="U195" s="2798"/>
      <c r="V195" s="2798"/>
      <c r="W195" s="2798"/>
      <c r="X195" s="2798"/>
      <c r="Y195" s="2798"/>
      <c r="Z195" s="2798"/>
      <c r="AA195" s="2798"/>
      <c r="AB195" s="2798"/>
      <c r="AC195" s="2798"/>
      <c r="AD195" s="2798"/>
      <c r="AE195" s="2798"/>
      <c r="AF195" s="2798"/>
      <c r="AG195" s="2798"/>
      <c r="AH195" s="2798"/>
      <c r="AI195" s="2798"/>
      <c r="AJ195" s="2798"/>
      <c r="AK195" s="2798"/>
      <c r="AL195" s="2798"/>
      <c r="AM195" s="2798"/>
      <c r="AN195" s="2798"/>
      <c r="AO195" s="2798"/>
      <c r="AP195" s="2798"/>
      <c r="AQ195" s="2798"/>
      <c r="AR195" s="2798"/>
      <c r="AS195" s="2798"/>
      <c r="AT195" s="2798"/>
      <c r="AU195" s="2798"/>
      <c r="AV195" s="2798"/>
      <c r="AW195" s="2798"/>
      <c r="AX195" s="2798"/>
      <c r="AY195" s="2798"/>
      <c r="AZ195" s="2798"/>
      <c r="BA195" s="2798"/>
      <c r="BB195" s="2798"/>
      <c r="BC195" s="2798"/>
      <c r="BD195" s="2798"/>
      <c r="BE195" s="2798"/>
      <c r="BF195" s="2798"/>
      <c r="BG195" s="2798"/>
      <c r="BH195" s="2798"/>
      <c r="BI195" s="2798"/>
      <c r="BJ195" s="2798"/>
      <c r="BK195" s="2798"/>
      <c r="BL195" s="2798"/>
      <c r="BM195" s="2798"/>
      <c r="BN195" s="2798"/>
      <c r="BO195" s="2798"/>
      <c r="BP195" s="2798"/>
    </row>
    <row r="196" spans="12:68">
      <c r="L196" s="2798"/>
      <c r="M196" s="2798"/>
      <c r="N196" s="2798"/>
      <c r="O196" s="2798"/>
      <c r="P196" s="2798"/>
      <c r="Q196" s="2798"/>
      <c r="R196" s="2798"/>
      <c r="S196" s="2798"/>
      <c r="T196" s="2798"/>
      <c r="U196" s="2798"/>
      <c r="V196" s="2798"/>
      <c r="W196" s="2798"/>
      <c r="X196" s="2798"/>
      <c r="Y196" s="2798"/>
      <c r="Z196" s="2798"/>
      <c r="AA196" s="2798"/>
      <c r="AB196" s="2798"/>
      <c r="AC196" s="2798"/>
      <c r="AD196" s="2798"/>
      <c r="AE196" s="2798"/>
      <c r="AF196" s="2798"/>
      <c r="AG196" s="2798"/>
      <c r="AH196" s="2798"/>
      <c r="AI196" s="2798"/>
      <c r="AJ196" s="2798"/>
      <c r="AK196" s="2798"/>
      <c r="AL196" s="2798"/>
      <c r="AM196" s="2798"/>
      <c r="AN196" s="2798"/>
      <c r="AO196" s="2798"/>
      <c r="AP196" s="2798"/>
      <c r="AQ196" s="2798"/>
      <c r="AR196" s="2798"/>
      <c r="AS196" s="2798"/>
      <c r="AT196" s="2798"/>
      <c r="AU196" s="2798"/>
      <c r="AV196" s="2798"/>
      <c r="AW196" s="2798"/>
      <c r="AX196" s="2798"/>
      <c r="AY196" s="2798"/>
      <c r="AZ196" s="2798"/>
      <c r="BA196" s="2798"/>
      <c r="BB196" s="2798"/>
      <c r="BC196" s="2798"/>
      <c r="BD196" s="2798"/>
      <c r="BE196" s="2798"/>
      <c r="BF196" s="2798"/>
      <c r="BG196" s="2798"/>
      <c r="BH196" s="2798"/>
      <c r="BI196" s="2798"/>
      <c r="BJ196" s="2798"/>
      <c r="BK196" s="2798"/>
      <c r="BL196" s="2798"/>
      <c r="BM196" s="2798"/>
      <c r="BN196" s="2798"/>
      <c r="BO196" s="2798"/>
      <c r="BP196" s="2798"/>
    </row>
    <row r="197" spans="12:68">
      <c r="L197" s="2798"/>
      <c r="M197" s="2798"/>
      <c r="N197" s="2798"/>
      <c r="O197" s="2798"/>
      <c r="P197" s="2798"/>
      <c r="Q197" s="2798"/>
      <c r="R197" s="2798"/>
      <c r="S197" s="2798"/>
      <c r="T197" s="2798"/>
      <c r="U197" s="2798"/>
      <c r="V197" s="2798"/>
      <c r="W197" s="2798"/>
      <c r="X197" s="2798"/>
      <c r="Y197" s="2798"/>
      <c r="Z197" s="2798"/>
      <c r="AA197" s="2798"/>
      <c r="AB197" s="2798"/>
      <c r="AC197" s="2798"/>
      <c r="AD197" s="2798"/>
      <c r="AE197" s="2798"/>
      <c r="AF197" s="2798"/>
      <c r="AG197" s="2798"/>
      <c r="AH197" s="2798"/>
      <c r="AI197" s="2798"/>
      <c r="AJ197" s="2798"/>
      <c r="AK197" s="2798"/>
      <c r="AL197" s="2798"/>
      <c r="AM197" s="2798"/>
      <c r="AN197" s="2798"/>
      <c r="AO197" s="2798"/>
      <c r="AP197" s="2798"/>
      <c r="AQ197" s="2798"/>
      <c r="AR197" s="2798"/>
      <c r="AS197" s="2798"/>
      <c r="AT197" s="2798"/>
      <c r="AU197" s="2798"/>
      <c r="AV197" s="2798"/>
      <c r="AW197" s="2798"/>
      <c r="AX197" s="2798"/>
      <c r="AY197" s="2798"/>
      <c r="AZ197" s="2798"/>
      <c r="BA197" s="2798"/>
      <c r="BB197" s="2798"/>
      <c r="BC197" s="2798"/>
      <c r="BD197" s="2798"/>
      <c r="BE197" s="2798"/>
      <c r="BF197" s="2798"/>
      <c r="BG197" s="2798"/>
      <c r="BH197" s="2798"/>
      <c r="BI197" s="2798"/>
      <c r="BJ197" s="2798"/>
      <c r="BK197" s="2798"/>
      <c r="BL197" s="2798"/>
      <c r="BM197" s="2798"/>
      <c r="BN197" s="2798"/>
      <c r="BO197" s="2798"/>
      <c r="BP197" s="2798"/>
    </row>
    <row r="198" spans="12:68">
      <c r="L198" s="2798"/>
      <c r="M198" s="2798"/>
      <c r="N198" s="2798"/>
      <c r="O198" s="2798"/>
      <c r="P198" s="2798"/>
      <c r="Q198" s="2798"/>
      <c r="R198" s="2798"/>
      <c r="S198" s="2798"/>
      <c r="T198" s="2798"/>
      <c r="U198" s="2798"/>
      <c r="V198" s="2798"/>
      <c r="W198" s="2798"/>
      <c r="X198" s="2798"/>
      <c r="Y198" s="2798"/>
      <c r="Z198" s="2798"/>
      <c r="AA198" s="2798"/>
      <c r="AB198" s="2798"/>
      <c r="AC198" s="2798"/>
      <c r="AD198" s="2798"/>
      <c r="AE198" s="2798"/>
      <c r="AF198" s="2798"/>
      <c r="AG198" s="2798"/>
      <c r="AH198" s="2798"/>
      <c r="AI198" s="2798"/>
      <c r="AJ198" s="2798"/>
      <c r="AK198" s="2798"/>
      <c r="AL198" s="2798"/>
      <c r="AM198" s="2798"/>
      <c r="AN198" s="2798"/>
      <c r="AO198" s="2798"/>
      <c r="AP198" s="2798"/>
      <c r="AQ198" s="2798"/>
      <c r="AR198" s="2798"/>
      <c r="AS198" s="2798"/>
      <c r="AT198" s="2798"/>
      <c r="AU198" s="2798"/>
      <c r="AV198" s="2798"/>
      <c r="AW198" s="2798"/>
      <c r="AX198" s="2798"/>
      <c r="AY198" s="2798"/>
      <c r="AZ198" s="2798"/>
      <c r="BA198" s="2798"/>
      <c r="BB198" s="2798"/>
      <c r="BC198" s="2798"/>
      <c r="BD198" s="2798"/>
      <c r="BE198" s="2798"/>
      <c r="BF198" s="2798"/>
      <c r="BG198" s="2798"/>
      <c r="BH198" s="2798"/>
      <c r="BI198" s="2798"/>
      <c r="BJ198" s="2798"/>
      <c r="BK198" s="2798"/>
      <c r="BL198" s="2798"/>
      <c r="BM198" s="2798"/>
      <c r="BN198" s="2798"/>
      <c r="BO198" s="2798"/>
      <c r="BP198" s="2798"/>
    </row>
    <row r="199" spans="12:68">
      <c r="L199" s="2798"/>
      <c r="M199" s="2798"/>
      <c r="N199" s="2798"/>
      <c r="O199" s="2798"/>
      <c r="P199" s="2798"/>
      <c r="Q199" s="2798"/>
      <c r="R199" s="2798"/>
      <c r="S199" s="2798"/>
      <c r="T199" s="2798"/>
      <c r="U199" s="2798"/>
      <c r="V199" s="2798"/>
      <c r="W199" s="2798"/>
      <c r="X199" s="2798"/>
      <c r="Y199" s="2798"/>
      <c r="Z199" s="2798"/>
      <c r="AA199" s="2798"/>
      <c r="AB199" s="2798"/>
      <c r="AC199" s="2798"/>
      <c r="AD199" s="2798"/>
      <c r="AE199" s="2798"/>
      <c r="AF199" s="2798"/>
      <c r="AG199" s="2798"/>
      <c r="AH199" s="2798"/>
      <c r="AI199" s="2798"/>
      <c r="AJ199" s="2798"/>
      <c r="AK199" s="2798"/>
      <c r="AL199" s="2798"/>
      <c r="AM199" s="2798"/>
      <c r="AN199" s="2798"/>
      <c r="AO199" s="2798"/>
      <c r="AP199" s="2798"/>
      <c r="AQ199" s="2798"/>
      <c r="AR199" s="2798"/>
      <c r="AS199" s="2798"/>
      <c r="AT199" s="2798"/>
      <c r="AU199" s="2798"/>
      <c r="AV199" s="2798"/>
      <c r="AW199" s="2798"/>
      <c r="AX199" s="2798"/>
      <c r="AY199" s="2798"/>
      <c r="AZ199" s="2798"/>
      <c r="BA199" s="2798"/>
      <c r="BB199" s="2798"/>
      <c r="BC199" s="2798"/>
      <c r="BD199" s="2798"/>
      <c r="BE199" s="2798"/>
      <c r="BF199" s="2798"/>
      <c r="BG199" s="2798"/>
      <c r="BH199" s="2798"/>
      <c r="BI199" s="2798"/>
      <c r="BJ199" s="2798"/>
      <c r="BK199" s="2798"/>
      <c r="BL199" s="2798"/>
      <c r="BM199" s="2798"/>
      <c r="BN199" s="2798"/>
      <c r="BO199" s="2798"/>
      <c r="BP199" s="2798"/>
    </row>
    <row r="200" spans="12:68">
      <c r="L200" s="2798"/>
      <c r="M200" s="2798"/>
      <c r="N200" s="2798"/>
      <c r="O200" s="2798"/>
      <c r="P200" s="2798"/>
      <c r="Q200" s="2798"/>
      <c r="R200" s="2798"/>
      <c r="S200" s="2798"/>
      <c r="T200" s="2798"/>
      <c r="U200" s="2798"/>
      <c r="V200" s="2798"/>
      <c r="W200" s="2798"/>
      <c r="X200" s="2798"/>
      <c r="Y200" s="2798"/>
      <c r="Z200" s="2798"/>
      <c r="AA200" s="2798"/>
      <c r="AB200" s="2798"/>
      <c r="AC200" s="2798"/>
      <c r="AD200" s="2798"/>
      <c r="AE200" s="2798"/>
      <c r="AF200" s="2798"/>
      <c r="AG200" s="2798"/>
      <c r="AH200" s="2798"/>
      <c r="AI200" s="2798"/>
      <c r="AJ200" s="2798"/>
      <c r="AK200" s="2798"/>
      <c r="AL200" s="2798"/>
      <c r="AM200" s="2798"/>
      <c r="AN200" s="2798"/>
      <c r="AO200" s="2798"/>
      <c r="AP200" s="2798"/>
      <c r="AQ200" s="2798"/>
      <c r="AR200" s="2798"/>
      <c r="AS200" s="2798"/>
      <c r="AT200" s="2798"/>
      <c r="AU200" s="2798"/>
      <c r="AV200" s="2798"/>
      <c r="AW200" s="2798"/>
      <c r="AX200" s="2798"/>
      <c r="AY200" s="2798"/>
      <c r="AZ200" s="2798"/>
      <c r="BA200" s="2798"/>
      <c r="BB200" s="2798"/>
      <c r="BC200" s="2798"/>
      <c r="BD200" s="2798"/>
      <c r="BE200" s="2798"/>
      <c r="BF200" s="2798"/>
      <c r="BG200" s="2798"/>
      <c r="BH200" s="2798"/>
      <c r="BI200" s="2798"/>
      <c r="BJ200" s="2798"/>
      <c r="BK200" s="2798"/>
      <c r="BL200" s="2798"/>
      <c r="BM200" s="2798"/>
      <c r="BN200" s="2798"/>
      <c r="BO200" s="2798"/>
      <c r="BP200" s="2798"/>
    </row>
    <row r="201" spans="12:68">
      <c r="L201" s="2798"/>
      <c r="M201" s="2798"/>
      <c r="N201" s="2798"/>
      <c r="O201" s="2798"/>
      <c r="P201" s="2798"/>
      <c r="Q201" s="2798"/>
      <c r="R201" s="2798"/>
      <c r="S201" s="2798"/>
      <c r="T201" s="2798"/>
      <c r="U201" s="2798"/>
      <c r="V201" s="2798"/>
      <c r="W201" s="2798"/>
      <c r="X201" s="2798"/>
      <c r="Y201" s="2798"/>
      <c r="Z201" s="2798"/>
      <c r="AA201" s="2798"/>
      <c r="AB201" s="2798"/>
      <c r="AC201" s="2798"/>
      <c r="AD201" s="2798"/>
      <c r="AE201" s="2798"/>
      <c r="AF201" s="2798"/>
      <c r="AG201" s="2798"/>
      <c r="AH201" s="2798"/>
      <c r="AI201" s="2798"/>
      <c r="AJ201" s="2798"/>
      <c r="AK201" s="2798"/>
      <c r="AL201" s="2798"/>
      <c r="AM201" s="2798"/>
      <c r="AN201" s="2798"/>
      <c r="AO201" s="2798"/>
      <c r="AP201" s="2798"/>
      <c r="AQ201" s="2798"/>
      <c r="AR201" s="2798"/>
      <c r="AS201" s="2798"/>
      <c r="AT201" s="2798"/>
      <c r="AU201" s="2798"/>
      <c r="AV201" s="2798"/>
      <c r="AW201" s="2798"/>
      <c r="AX201" s="2798"/>
      <c r="AY201" s="2798"/>
      <c r="AZ201" s="2798"/>
      <c r="BA201" s="2798"/>
      <c r="BB201" s="2798"/>
      <c r="BC201" s="2798"/>
      <c r="BD201" s="2798"/>
      <c r="BE201" s="2798"/>
      <c r="BF201" s="2798"/>
      <c r="BG201" s="2798"/>
      <c r="BH201" s="2798"/>
      <c r="BI201" s="2798"/>
      <c r="BJ201" s="2798"/>
      <c r="BK201" s="2798"/>
      <c r="BL201" s="2798"/>
      <c r="BM201" s="2798"/>
      <c r="BN201" s="2798"/>
      <c r="BO201" s="2798"/>
      <c r="BP201" s="2798"/>
    </row>
    <row r="202" spans="12:68">
      <c r="L202" s="2798"/>
      <c r="M202" s="2798"/>
      <c r="N202" s="2798"/>
      <c r="O202" s="2798"/>
      <c r="P202" s="2798"/>
      <c r="Q202" s="2798"/>
      <c r="R202" s="2798"/>
      <c r="S202" s="2798"/>
      <c r="T202" s="2798"/>
      <c r="U202" s="2798"/>
      <c r="V202" s="2798"/>
      <c r="W202" s="2798"/>
      <c r="X202" s="2798"/>
      <c r="Y202" s="2798"/>
      <c r="Z202" s="2798"/>
      <c r="AA202" s="2798"/>
      <c r="AB202" s="2798"/>
      <c r="AC202" s="2798"/>
      <c r="AD202" s="2798"/>
      <c r="AE202" s="2798"/>
      <c r="AF202" s="2798"/>
      <c r="AG202" s="2798"/>
      <c r="AH202" s="2798"/>
      <c r="AI202" s="2798"/>
      <c r="AJ202" s="2798"/>
      <c r="AK202" s="2798"/>
      <c r="AL202" s="2798"/>
      <c r="AM202" s="2798"/>
      <c r="AN202" s="2798"/>
      <c r="AO202" s="2798"/>
      <c r="AP202" s="2798"/>
      <c r="AQ202" s="2798"/>
      <c r="AR202" s="2798"/>
      <c r="AS202" s="2798"/>
      <c r="AT202" s="2798"/>
      <c r="AU202" s="2798"/>
      <c r="AV202" s="2798"/>
      <c r="AW202" s="2798"/>
      <c r="AX202" s="2798"/>
      <c r="AY202" s="2798"/>
      <c r="AZ202" s="2798"/>
      <c r="BA202" s="2798"/>
      <c r="BB202" s="2798"/>
      <c r="BC202" s="2798"/>
      <c r="BD202" s="2798"/>
      <c r="BE202" s="2798"/>
      <c r="BF202" s="2798"/>
      <c r="BG202" s="2798"/>
      <c r="BH202" s="2798"/>
      <c r="BI202" s="2798"/>
      <c r="BJ202" s="2798"/>
      <c r="BK202" s="2798"/>
      <c r="BL202" s="2798"/>
      <c r="BM202" s="2798"/>
      <c r="BN202" s="2798"/>
      <c r="BO202" s="2798"/>
      <c r="BP202" s="2798"/>
    </row>
    <row r="203" spans="12:68">
      <c r="L203" s="2798"/>
      <c r="M203" s="2798"/>
      <c r="N203" s="2798"/>
      <c r="O203" s="2798"/>
      <c r="P203" s="2798"/>
      <c r="Q203" s="2798"/>
      <c r="R203" s="2798"/>
      <c r="S203" s="2798"/>
      <c r="T203" s="2798"/>
      <c r="U203" s="2798"/>
      <c r="V203" s="2798"/>
      <c r="W203" s="2798"/>
      <c r="X203" s="2798"/>
      <c r="Y203" s="2798"/>
      <c r="Z203" s="2798"/>
      <c r="AA203" s="2798"/>
      <c r="AB203" s="2798"/>
      <c r="AC203" s="2798"/>
      <c r="AD203" s="2798"/>
      <c r="AE203" s="2798"/>
      <c r="AF203" s="2798"/>
      <c r="AG203" s="2798"/>
      <c r="AH203" s="2798"/>
      <c r="AI203" s="2798"/>
      <c r="AJ203" s="2798"/>
      <c r="AK203" s="2798"/>
      <c r="AL203" s="2798"/>
      <c r="AM203" s="2798"/>
      <c r="AN203" s="2798"/>
      <c r="AO203" s="2798"/>
      <c r="AP203" s="2798"/>
      <c r="AQ203" s="2798"/>
      <c r="AR203" s="2798"/>
      <c r="AS203" s="2798"/>
      <c r="AT203" s="2798"/>
      <c r="AU203" s="2798"/>
      <c r="AV203" s="2798"/>
      <c r="AW203" s="2798"/>
      <c r="AX203" s="2798"/>
      <c r="AY203" s="2798"/>
      <c r="AZ203" s="2798"/>
      <c r="BA203" s="2798"/>
      <c r="BB203" s="2798"/>
      <c r="BC203" s="2798"/>
      <c r="BD203" s="2798"/>
      <c r="BE203" s="2798"/>
      <c r="BF203" s="2798"/>
      <c r="BG203" s="2798"/>
      <c r="BH203" s="2798"/>
      <c r="BI203" s="2798"/>
      <c r="BJ203" s="2798"/>
      <c r="BK203" s="2798"/>
      <c r="BL203" s="2798"/>
      <c r="BM203" s="2798"/>
      <c r="BN203" s="2798"/>
      <c r="BO203" s="2798"/>
      <c r="BP203" s="2798"/>
    </row>
    <row r="204" spans="12:68">
      <c r="L204" s="2798"/>
      <c r="M204" s="2798"/>
      <c r="N204" s="2798"/>
      <c r="O204" s="2798"/>
      <c r="P204" s="2798"/>
      <c r="Q204" s="2798"/>
      <c r="R204" s="2798"/>
      <c r="S204" s="2798"/>
      <c r="T204" s="2798"/>
      <c r="U204" s="2798"/>
      <c r="V204" s="2798"/>
      <c r="W204" s="2798"/>
      <c r="X204" s="2798"/>
      <c r="Y204" s="2798"/>
      <c r="Z204" s="2798"/>
      <c r="AA204" s="2798"/>
      <c r="AB204" s="2798"/>
      <c r="AC204" s="2798"/>
      <c r="AD204" s="2798"/>
      <c r="AE204" s="2798"/>
      <c r="AF204" s="2798"/>
      <c r="AG204" s="2798"/>
      <c r="AH204" s="2798"/>
      <c r="AI204" s="2798"/>
      <c r="AJ204" s="2798"/>
      <c r="AK204" s="2798"/>
      <c r="AL204" s="2798"/>
      <c r="AM204" s="2798"/>
      <c r="AN204" s="2798"/>
      <c r="AO204" s="2798"/>
      <c r="AP204" s="2798"/>
      <c r="AQ204" s="2798"/>
      <c r="AR204" s="2798"/>
      <c r="AS204" s="2798"/>
      <c r="AT204" s="2798"/>
      <c r="AU204" s="2798"/>
      <c r="AV204" s="2798"/>
      <c r="AW204" s="2798"/>
      <c r="AX204" s="2798"/>
      <c r="AY204" s="2798"/>
      <c r="AZ204" s="2798"/>
      <c r="BA204" s="2798"/>
      <c r="BB204" s="2798"/>
      <c r="BC204" s="2798"/>
      <c r="BD204" s="2798"/>
      <c r="BE204" s="2798"/>
      <c r="BF204" s="2798"/>
      <c r="BG204" s="2798"/>
      <c r="BH204" s="2798"/>
      <c r="BI204" s="2798"/>
      <c r="BJ204" s="2798"/>
      <c r="BK204" s="2798"/>
      <c r="BL204" s="2798"/>
      <c r="BM204" s="2798"/>
      <c r="BN204" s="2798"/>
      <c r="BO204" s="2798"/>
      <c r="BP204" s="2798"/>
    </row>
    <row r="205" spans="12:68">
      <c r="L205" s="2798"/>
      <c r="M205" s="2798"/>
      <c r="N205" s="2798"/>
      <c r="O205" s="2798"/>
      <c r="P205" s="2798"/>
      <c r="Q205" s="2798"/>
      <c r="R205" s="2798"/>
      <c r="S205" s="2798"/>
      <c r="T205" s="2798"/>
      <c r="U205" s="2798"/>
      <c r="V205" s="2798"/>
      <c r="W205" s="2798"/>
      <c r="X205" s="2798"/>
      <c r="Y205" s="2798"/>
      <c r="Z205" s="2798"/>
      <c r="AA205" s="2798"/>
      <c r="AB205" s="2798"/>
      <c r="AC205" s="2798"/>
      <c r="AD205" s="2798"/>
      <c r="AE205" s="2798"/>
      <c r="AF205" s="2798"/>
      <c r="AG205" s="2798"/>
      <c r="AH205" s="2798"/>
      <c r="AI205" s="2798"/>
      <c r="AJ205" s="2798"/>
      <c r="AK205" s="2798"/>
      <c r="AL205" s="2798"/>
      <c r="AM205" s="2798"/>
      <c r="AN205" s="2798"/>
      <c r="AO205" s="2798"/>
      <c r="AP205" s="2798"/>
      <c r="AQ205" s="2798"/>
      <c r="AR205" s="2798"/>
      <c r="AS205" s="2798"/>
      <c r="AT205" s="2798"/>
      <c r="AU205" s="2798"/>
      <c r="AV205" s="2798"/>
      <c r="AW205" s="2798"/>
      <c r="AX205" s="2798"/>
      <c r="AY205" s="2798"/>
      <c r="AZ205" s="2798"/>
      <c r="BA205" s="2798"/>
      <c r="BB205" s="2798"/>
      <c r="BC205" s="2798"/>
      <c r="BD205" s="2798"/>
      <c r="BE205" s="2798"/>
      <c r="BF205" s="2798"/>
      <c r="BG205" s="2798"/>
      <c r="BH205" s="2798"/>
      <c r="BI205" s="2798"/>
      <c r="BJ205" s="2798"/>
      <c r="BK205" s="2798"/>
      <c r="BL205" s="2798"/>
      <c r="BM205" s="2798"/>
      <c r="BN205" s="2798"/>
      <c r="BO205" s="2798"/>
      <c r="BP205" s="2798"/>
    </row>
    <row r="206" spans="12:68">
      <c r="L206" s="2798"/>
      <c r="M206" s="2798"/>
      <c r="N206" s="2798"/>
      <c r="O206" s="2798"/>
      <c r="P206" s="2798"/>
      <c r="Q206" s="2798"/>
      <c r="R206" s="2798"/>
      <c r="S206" s="2798"/>
      <c r="T206" s="2798"/>
      <c r="U206" s="2798"/>
      <c r="V206" s="2798"/>
      <c r="W206" s="2798"/>
      <c r="X206" s="2798"/>
      <c r="Y206" s="2798"/>
      <c r="Z206" s="2798"/>
      <c r="AA206" s="2798"/>
      <c r="AB206" s="2798"/>
      <c r="AC206" s="2798"/>
      <c r="AD206" s="2798"/>
      <c r="AE206" s="2798"/>
      <c r="AF206" s="2798"/>
      <c r="AG206" s="2798"/>
      <c r="AH206" s="2798"/>
      <c r="AI206" s="2798"/>
      <c r="AJ206" s="2798"/>
      <c r="AK206" s="2798"/>
      <c r="AL206" s="2798"/>
      <c r="AM206" s="2798"/>
      <c r="AN206" s="2798"/>
      <c r="AO206" s="2798"/>
      <c r="AP206" s="2798"/>
      <c r="AQ206" s="2798"/>
      <c r="AR206" s="2798"/>
      <c r="AS206" s="2798"/>
      <c r="AT206" s="2798"/>
      <c r="AU206" s="2798"/>
      <c r="AV206" s="2798"/>
      <c r="AW206" s="2798"/>
      <c r="AX206" s="2798"/>
      <c r="AY206" s="2798"/>
      <c r="AZ206" s="2798"/>
      <c r="BA206" s="2798"/>
      <c r="BB206" s="2798"/>
      <c r="BC206" s="2798"/>
      <c r="BD206" s="2798"/>
      <c r="BE206" s="2798"/>
      <c r="BF206" s="2798"/>
      <c r="BG206" s="2798"/>
      <c r="BH206" s="2798"/>
      <c r="BI206" s="2798"/>
      <c r="BJ206" s="2798"/>
      <c r="BK206" s="2798"/>
      <c r="BL206" s="2798"/>
      <c r="BM206" s="2798"/>
      <c r="BN206" s="2798"/>
      <c r="BO206" s="2798"/>
      <c r="BP206" s="2798"/>
    </row>
    <row r="207" spans="12:68">
      <c r="L207" s="2798"/>
      <c r="M207" s="2798"/>
      <c r="N207" s="2798"/>
      <c r="O207" s="2798"/>
      <c r="P207" s="2798"/>
      <c r="Q207" s="2798"/>
      <c r="R207" s="2798"/>
      <c r="S207" s="2798"/>
      <c r="T207" s="2798"/>
      <c r="U207" s="2798"/>
      <c r="V207" s="2798"/>
      <c r="W207" s="2798"/>
      <c r="X207" s="2798"/>
      <c r="Y207" s="2798"/>
      <c r="Z207" s="2798"/>
      <c r="AA207" s="2798"/>
      <c r="AB207" s="2798"/>
      <c r="AC207" s="2798"/>
      <c r="AD207" s="2798"/>
      <c r="AE207" s="2798"/>
      <c r="AF207" s="2798"/>
      <c r="AG207" s="2798"/>
      <c r="AH207" s="2798"/>
      <c r="AI207" s="2798"/>
      <c r="AJ207" s="2798"/>
      <c r="AK207" s="2798"/>
      <c r="AL207" s="2798"/>
      <c r="AM207" s="2798"/>
      <c r="AN207" s="2798"/>
      <c r="AO207" s="2798"/>
      <c r="AP207" s="2798"/>
      <c r="AQ207" s="2798"/>
      <c r="AR207" s="2798"/>
      <c r="AS207" s="2798"/>
      <c r="AT207" s="2798"/>
      <c r="AU207" s="2798"/>
      <c r="AV207" s="2798"/>
      <c r="AW207" s="2798"/>
      <c r="AX207" s="2798"/>
      <c r="AY207" s="2798"/>
      <c r="AZ207" s="2798"/>
      <c r="BA207" s="2798"/>
      <c r="BB207" s="2798"/>
      <c r="BC207" s="2798"/>
      <c r="BD207" s="2798"/>
      <c r="BE207" s="2798"/>
      <c r="BF207" s="2798"/>
      <c r="BG207" s="2798"/>
      <c r="BH207" s="2798"/>
      <c r="BI207" s="2798"/>
      <c r="BJ207" s="2798"/>
      <c r="BK207" s="2798"/>
      <c r="BL207" s="2798"/>
      <c r="BM207" s="2798"/>
      <c r="BN207" s="2798"/>
      <c r="BO207" s="2798"/>
      <c r="BP207" s="2798"/>
    </row>
    <row r="208" spans="12:68">
      <c r="L208" s="2798"/>
      <c r="M208" s="2798"/>
      <c r="N208" s="2798"/>
      <c r="O208" s="2798"/>
      <c r="P208" s="2798"/>
      <c r="Q208" s="2798"/>
      <c r="R208" s="2798"/>
      <c r="S208" s="2798"/>
      <c r="T208" s="2798"/>
      <c r="U208" s="2798"/>
      <c r="V208" s="2798"/>
      <c r="W208" s="2798"/>
      <c r="X208" s="2798"/>
      <c r="Y208" s="2798"/>
      <c r="Z208" s="2798"/>
      <c r="AA208" s="2798"/>
      <c r="AB208" s="2798"/>
      <c r="AC208" s="2798"/>
      <c r="AD208" s="2798"/>
      <c r="AE208" s="2798"/>
      <c r="AF208" s="2798"/>
      <c r="AG208" s="2798"/>
      <c r="AH208" s="2798"/>
      <c r="AI208" s="2798"/>
      <c r="AJ208" s="2798"/>
      <c r="AK208" s="2798"/>
      <c r="AL208" s="2798"/>
      <c r="AM208" s="2798"/>
      <c r="AN208" s="2798"/>
      <c r="AO208" s="2798"/>
      <c r="AP208" s="2798"/>
      <c r="AQ208" s="2798"/>
      <c r="AR208" s="2798"/>
      <c r="AS208" s="2798"/>
      <c r="AT208" s="2798"/>
      <c r="AU208" s="2798"/>
      <c r="AV208" s="2798"/>
      <c r="AW208" s="2798"/>
      <c r="AX208" s="2798"/>
      <c r="AY208" s="2798"/>
      <c r="AZ208" s="2798"/>
      <c r="BA208" s="2798"/>
      <c r="BB208" s="2798"/>
      <c r="BC208" s="2798"/>
      <c r="BD208" s="2798"/>
      <c r="BE208" s="2798"/>
      <c r="BF208" s="2798"/>
      <c r="BG208" s="2798"/>
      <c r="BH208" s="2798"/>
      <c r="BI208" s="2798"/>
      <c r="BJ208" s="2798"/>
      <c r="BK208" s="2798"/>
      <c r="BL208" s="2798"/>
      <c r="BM208" s="2798"/>
      <c r="BN208" s="2798"/>
      <c r="BO208" s="2798"/>
      <c r="BP208" s="2798"/>
    </row>
    <row r="209" spans="12:68">
      <c r="L209" s="2798"/>
      <c r="M209" s="2798"/>
      <c r="N209" s="2798"/>
      <c r="O209" s="2798"/>
      <c r="P209" s="2798"/>
      <c r="Q209" s="2798"/>
      <c r="R209" s="2798"/>
      <c r="S209" s="2798"/>
      <c r="T209" s="2798"/>
      <c r="U209" s="2798"/>
      <c r="V209" s="2798"/>
      <c r="W209" s="2798"/>
      <c r="X209" s="2798"/>
      <c r="Y209" s="2798"/>
      <c r="Z209" s="2798"/>
      <c r="AA209" s="2798"/>
      <c r="AB209" s="2798"/>
      <c r="AC209" s="2798"/>
      <c r="AD209" s="2798"/>
      <c r="AE209" s="2798"/>
      <c r="AF209" s="2798"/>
      <c r="AG209" s="2798"/>
      <c r="AH209" s="2798"/>
      <c r="AI209" s="2798"/>
      <c r="AJ209" s="2798"/>
      <c r="AK209" s="2798"/>
      <c r="AL209" s="2798"/>
      <c r="AM209" s="2798"/>
      <c r="AN209" s="2798"/>
      <c r="AO209" s="2798"/>
      <c r="AP209" s="2798"/>
      <c r="AQ209" s="2798"/>
      <c r="AR209" s="2798"/>
      <c r="AS209" s="2798"/>
      <c r="AT209" s="2798"/>
      <c r="AU209" s="2798"/>
      <c r="AV209" s="2798"/>
      <c r="AW209" s="2798"/>
      <c r="AX209" s="2798"/>
      <c r="AY209" s="2798"/>
      <c r="AZ209" s="2798"/>
      <c r="BA209" s="2798"/>
      <c r="BB209" s="2798"/>
      <c r="BC209" s="2798"/>
      <c r="BD209" s="2798"/>
      <c r="BE209" s="2798"/>
      <c r="BF209" s="2798"/>
      <c r="BG209" s="2798"/>
      <c r="BH209" s="2798"/>
      <c r="BI209" s="2798"/>
      <c r="BJ209" s="2798"/>
      <c r="BK209" s="2798"/>
      <c r="BL209" s="2798"/>
      <c r="BM209" s="2798"/>
      <c r="BN209" s="2798"/>
      <c r="BO209" s="2798"/>
      <c r="BP209" s="2798"/>
    </row>
    <row r="210" spans="12:68">
      <c r="L210" s="2798"/>
      <c r="M210" s="2798"/>
      <c r="N210" s="2798"/>
      <c r="O210" s="2798"/>
      <c r="P210" s="2798"/>
      <c r="Q210" s="2798"/>
      <c r="R210" s="2798"/>
      <c r="S210" s="2798"/>
      <c r="T210" s="2798"/>
      <c r="U210" s="2798"/>
      <c r="V210" s="2798"/>
      <c r="W210" s="2798"/>
      <c r="X210" s="2798"/>
      <c r="Y210" s="2798"/>
      <c r="Z210" s="2798"/>
      <c r="AA210" s="2798"/>
      <c r="AB210" s="2798"/>
      <c r="AC210" s="2798"/>
      <c r="AD210" s="2798"/>
      <c r="AE210" s="2798"/>
      <c r="AF210" s="2798"/>
      <c r="AG210" s="2798"/>
      <c r="AH210" s="2798"/>
      <c r="AI210" s="2798"/>
      <c r="AJ210" s="2798"/>
      <c r="AK210" s="2798"/>
      <c r="AL210" s="2798"/>
      <c r="AM210" s="2798"/>
      <c r="AN210" s="2798"/>
      <c r="AO210" s="2798"/>
      <c r="AP210" s="2798"/>
      <c r="AQ210" s="2798"/>
      <c r="AR210" s="2798"/>
      <c r="AS210" s="2798"/>
      <c r="AT210" s="2798"/>
      <c r="AU210" s="2798"/>
      <c r="AV210" s="2798"/>
      <c r="AW210" s="2798"/>
      <c r="AX210" s="2798"/>
      <c r="AY210" s="2798"/>
      <c r="AZ210" s="2798"/>
      <c r="BA210" s="2798"/>
      <c r="BB210" s="2798"/>
      <c r="BC210" s="2798"/>
      <c r="BD210" s="2798"/>
      <c r="BE210" s="2798"/>
      <c r="BF210" s="2798"/>
      <c r="BG210" s="2798"/>
      <c r="BH210" s="2798"/>
      <c r="BI210" s="2798"/>
      <c r="BJ210" s="2798"/>
      <c r="BK210" s="2798"/>
      <c r="BL210" s="2798"/>
      <c r="BM210" s="2798"/>
      <c r="BN210" s="2798"/>
      <c r="BO210" s="2798"/>
      <c r="BP210" s="2798"/>
    </row>
    <row r="211" spans="12:68">
      <c r="L211" s="2798"/>
      <c r="M211" s="2798"/>
      <c r="N211" s="2798"/>
      <c r="O211" s="2798"/>
      <c r="P211" s="2798"/>
      <c r="Q211" s="2798"/>
      <c r="R211" s="2798"/>
      <c r="S211" s="2798"/>
      <c r="T211" s="2798"/>
      <c r="U211" s="2798"/>
      <c r="V211" s="2798"/>
      <c r="W211" s="2798"/>
      <c r="X211" s="2798"/>
      <c r="Y211" s="2798"/>
      <c r="Z211" s="2798"/>
      <c r="AA211" s="2798"/>
      <c r="AB211" s="2798"/>
      <c r="AC211" s="2798"/>
      <c r="AD211" s="2798"/>
      <c r="AE211" s="2798"/>
      <c r="AF211" s="2798"/>
      <c r="AG211" s="2798"/>
      <c r="AH211" s="2798"/>
      <c r="AI211" s="2798"/>
      <c r="AJ211" s="2798"/>
      <c r="AK211" s="2798"/>
      <c r="AL211" s="2798"/>
      <c r="AM211" s="2798"/>
      <c r="AN211" s="2798"/>
      <c r="AO211" s="2798"/>
      <c r="AP211" s="2798"/>
      <c r="AQ211" s="2798"/>
      <c r="AR211" s="2798"/>
      <c r="AS211" s="2798"/>
      <c r="AT211" s="2798"/>
      <c r="AU211" s="2798"/>
      <c r="AV211" s="2798"/>
      <c r="AW211" s="2798"/>
      <c r="AX211" s="2798"/>
      <c r="AY211" s="2798"/>
      <c r="AZ211" s="2798"/>
      <c r="BA211" s="2798"/>
      <c r="BB211" s="2798"/>
      <c r="BC211" s="2798"/>
      <c r="BD211" s="2798"/>
      <c r="BE211" s="2798"/>
      <c r="BF211" s="2798"/>
      <c r="BG211" s="2798"/>
      <c r="BH211" s="2798"/>
      <c r="BI211" s="2798"/>
      <c r="BJ211" s="2798"/>
      <c r="BK211" s="2798"/>
      <c r="BL211" s="2798"/>
      <c r="BM211" s="2798"/>
      <c r="BN211" s="2798"/>
      <c r="BO211" s="2798"/>
      <c r="BP211" s="2798"/>
    </row>
    <row r="212" spans="12:68">
      <c r="L212" s="2798"/>
      <c r="M212" s="2798"/>
      <c r="N212" s="2798"/>
      <c r="O212" s="2798"/>
      <c r="P212" s="2798"/>
      <c r="Q212" s="2798"/>
      <c r="R212" s="2798"/>
      <c r="S212" s="2798"/>
      <c r="T212" s="2798"/>
      <c r="U212" s="2798"/>
      <c r="V212" s="2798"/>
      <c r="W212" s="2798"/>
      <c r="X212" s="2798"/>
      <c r="Y212" s="2798"/>
      <c r="Z212" s="2798"/>
      <c r="AA212" s="2798"/>
      <c r="AB212" s="2798"/>
      <c r="AC212" s="2798"/>
      <c r="AD212" s="2798"/>
      <c r="AE212" s="2798"/>
      <c r="AF212" s="2798"/>
      <c r="AG212" s="2798"/>
      <c r="AH212" s="2798"/>
      <c r="AI212" s="2798"/>
      <c r="AJ212" s="2798"/>
      <c r="AK212" s="2798"/>
      <c r="AL212" s="2798"/>
      <c r="AM212" s="2798"/>
      <c r="AN212" s="2798"/>
      <c r="AO212" s="2798"/>
      <c r="AP212" s="2798"/>
      <c r="AQ212" s="2798"/>
      <c r="AR212" s="2798"/>
      <c r="AS212" s="2798"/>
      <c r="AT212" s="2798"/>
      <c r="AU212" s="2798"/>
      <c r="AV212" s="2798"/>
      <c r="AW212" s="2798"/>
      <c r="AX212" s="2798"/>
      <c r="AY212" s="2798"/>
      <c r="AZ212" s="2798"/>
      <c r="BA212" s="2798"/>
      <c r="BB212" s="2798"/>
      <c r="BC212" s="2798"/>
      <c r="BD212" s="2798"/>
      <c r="BE212" s="2798"/>
      <c r="BF212" s="2798"/>
      <c r="BG212" s="2798"/>
      <c r="BH212" s="2798"/>
      <c r="BI212" s="2798"/>
      <c r="BJ212" s="2798"/>
      <c r="BK212" s="2798"/>
      <c r="BL212" s="2798"/>
      <c r="BM212" s="2798"/>
      <c r="BN212" s="2798"/>
      <c r="BO212" s="2798"/>
      <c r="BP212" s="2798"/>
    </row>
    <row r="213" spans="12:68">
      <c r="L213" s="2798"/>
      <c r="M213" s="2798"/>
      <c r="N213" s="2798"/>
      <c r="O213" s="2798"/>
      <c r="P213" s="2798"/>
      <c r="Q213" s="2798"/>
      <c r="R213" s="2798"/>
      <c r="S213" s="2798"/>
      <c r="T213" s="2798"/>
      <c r="U213" s="2798"/>
      <c r="V213" s="2798"/>
      <c r="W213" s="2798"/>
      <c r="X213" s="2798"/>
      <c r="Y213" s="2798"/>
      <c r="Z213" s="2798"/>
      <c r="AA213" s="2798"/>
      <c r="AB213" s="2798"/>
      <c r="AC213" s="2798"/>
      <c r="AD213" s="2798"/>
      <c r="AE213" s="2798"/>
      <c r="AF213" s="2798"/>
      <c r="AG213" s="2798"/>
      <c r="AH213" s="2798"/>
      <c r="AI213" s="2798"/>
      <c r="AJ213" s="2798"/>
      <c r="AK213" s="2798"/>
      <c r="AL213" s="2798"/>
      <c r="AM213" s="2798"/>
      <c r="AN213" s="2798"/>
      <c r="AO213" s="2798"/>
      <c r="AP213" s="2798"/>
      <c r="AQ213" s="2798"/>
      <c r="AR213" s="2798"/>
      <c r="AS213" s="2798"/>
      <c r="AT213" s="2798"/>
      <c r="AU213" s="2798"/>
      <c r="AV213" s="2798"/>
      <c r="AW213" s="2798"/>
      <c r="AX213" s="2798"/>
      <c r="AY213" s="2798"/>
      <c r="AZ213" s="2798"/>
      <c r="BA213" s="2798"/>
      <c r="BB213" s="2798"/>
      <c r="BC213" s="2798"/>
      <c r="BD213" s="2798"/>
      <c r="BE213" s="2798"/>
      <c r="BF213" s="2798"/>
      <c r="BG213" s="2798"/>
      <c r="BH213" s="2798"/>
      <c r="BI213" s="2798"/>
      <c r="BJ213" s="2798"/>
      <c r="BK213" s="2798"/>
      <c r="BL213" s="2798"/>
      <c r="BM213" s="2798"/>
      <c r="BN213" s="2798"/>
      <c r="BO213" s="2798"/>
      <c r="BP213" s="2798"/>
    </row>
    <row r="214" spans="12:68">
      <c r="L214" s="2798"/>
      <c r="M214" s="2798"/>
      <c r="N214" s="2798"/>
      <c r="O214" s="2798"/>
      <c r="P214" s="2798"/>
      <c r="Q214" s="2798"/>
      <c r="R214" s="2798"/>
      <c r="S214" s="2798"/>
      <c r="T214" s="2798"/>
      <c r="U214" s="2798"/>
      <c r="V214" s="2798"/>
      <c r="W214" s="2798"/>
      <c r="X214" s="2798"/>
      <c r="Y214" s="2798"/>
      <c r="Z214" s="2798"/>
      <c r="AA214" s="2798"/>
      <c r="AB214" s="2798"/>
      <c r="AC214" s="2798"/>
      <c r="AD214" s="2798"/>
      <c r="AE214" s="2798"/>
      <c r="AF214" s="2798"/>
      <c r="AG214" s="2798"/>
      <c r="AH214" s="2798"/>
      <c r="AI214" s="2798"/>
      <c r="AJ214" s="2798"/>
      <c r="AK214" s="2798"/>
      <c r="AL214" s="2798"/>
      <c r="AM214" s="2798"/>
      <c r="AN214" s="2798"/>
      <c r="AO214" s="2798"/>
      <c r="AP214" s="2798"/>
      <c r="AQ214" s="2798"/>
      <c r="AR214" s="2798"/>
      <c r="AS214" s="2798"/>
      <c r="AT214" s="2798"/>
      <c r="AU214" s="2798"/>
      <c r="AV214" s="2798"/>
      <c r="AW214" s="2798"/>
      <c r="AX214" s="2798"/>
      <c r="AY214" s="2798"/>
      <c r="AZ214" s="2798"/>
      <c r="BA214" s="2798"/>
      <c r="BB214" s="2798"/>
      <c r="BC214" s="2798"/>
      <c r="BD214" s="2798"/>
      <c r="BE214" s="2798"/>
      <c r="BF214" s="2798"/>
      <c r="BG214" s="2798"/>
      <c r="BH214" s="2798"/>
      <c r="BI214" s="2798"/>
      <c r="BJ214" s="2798"/>
      <c r="BK214" s="2798"/>
      <c r="BL214" s="2798"/>
      <c r="BM214" s="2798"/>
      <c r="BN214" s="2798"/>
      <c r="BO214" s="2798"/>
      <c r="BP214" s="2798"/>
    </row>
    <row r="215" spans="12:68">
      <c r="L215" s="2798"/>
      <c r="M215" s="2798"/>
      <c r="N215" s="2798"/>
      <c r="O215" s="2798"/>
      <c r="P215" s="2798"/>
      <c r="Q215" s="2798"/>
      <c r="R215" s="2798"/>
      <c r="S215" s="2798"/>
      <c r="T215" s="2798"/>
      <c r="U215" s="2798"/>
      <c r="V215" s="2798"/>
      <c r="W215" s="2798"/>
      <c r="X215" s="2798"/>
      <c r="Y215" s="2798"/>
      <c r="Z215" s="2798"/>
      <c r="AA215" s="2798"/>
      <c r="AB215" s="2798"/>
      <c r="AC215" s="2798"/>
      <c r="AD215" s="2798"/>
      <c r="AE215" s="2798"/>
      <c r="AF215" s="2798"/>
      <c r="AG215" s="2798"/>
      <c r="AH215" s="2798"/>
      <c r="AI215" s="2798"/>
      <c r="AJ215" s="2798"/>
      <c r="AK215" s="2798"/>
      <c r="AL215" s="2798"/>
      <c r="AM215" s="2798"/>
      <c r="AN215" s="2798"/>
      <c r="AO215" s="2798"/>
      <c r="AP215" s="2798"/>
      <c r="AQ215" s="2798"/>
      <c r="AR215" s="2798"/>
      <c r="AS215" s="2798"/>
      <c r="AT215" s="2798"/>
      <c r="AU215" s="2798"/>
      <c r="AV215" s="2798"/>
      <c r="AW215" s="2798"/>
      <c r="AX215" s="2798"/>
      <c r="AY215" s="2798"/>
      <c r="AZ215" s="2798"/>
      <c r="BA215" s="2798"/>
      <c r="BB215" s="2798"/>
      <c r="BC215" s="2798"/>
      <c r="BD215" s="2798"/>
      <c r="BE215" s="2798"/>
      <c r="BF215" s="2798"/>
      <c r="BG215" s="2798"/>
      <c r="BH215" s="2798"/>
      <c r="BI215" s="2798"/>
      <c r="BJ215" s="2798"/>
      <c r="BK215" s="2798"/>
      <c r="BL215" s="2798"/>
      <c r="BM215" s="2798"/>
      <c r="BN215" s="2798"/>
      <c r="BO215" s="2798"/>
      <c r="BP215" s="2798"/>
    </row>
    <row r="216" spans="12:68">
      <c r="L216" s="2798"/>
      <c r="M216" s="2798"/>
      <c r="N216" s="2798"/>
      <c r="O216" s="2798"/>
      <c r="P216" s="2798"/>
      <c r="Q216" s="2798"/>
      <c r="R216" s="2798"/>
      <c r="S216" s="2798"/>
      <c r="T216" s="2798"/>
      <c r="U216" s="2798"/>
      <c r="V216" s="2798"/>
      <c r="W216" s="2798"/>
      <c r="X216" s="2798"/>
      <c r="Y216" s="2798"/>
      <c r="Z216" s="2798"/>
      <c r="AA216" s="2798"/>
      <c r="AB216" s="2798"/>
      <c r="AC216" s="2798"/>
      <c r="AD216" s="2798"/>
      <c r="AE216" s="2798"/>
      <c r="AF216" s="2798"/>
      <c r="AG216" s="2798"/>
      <c r="AH216" s="2798"/>
      <c r="AI216" s="2798"/>
      <c r="AJ216" s="2798"/>
      <c r="AK216" s="2798"/>
      <c r="AL216" s="2798"/>
      <c r="AM216" s="2798"/>
      <c r="AN216" s="2798"/>
      <c r="AO216" s="2798"/>
      <c r="AP216" s="2798"/>
      <c r="AQ216" s="2798"/>
      <c r="AR216" s="2798"/>
      <c r="AS216" s="2798"/>
      <c r="AT216" s="2798"/>
      <c r="AU216" s="2798"/>
      <c r="AV216" s="2798"/>
      <c r="AW216" s="2798"/>
      <c r="AX216" s="2798"/>
      <c r="AY216" s="2798"/>
      <c r="AZ216" s="2798"/>
      <c r="BA216" s="2798"/>
      <c r="BB216" s="2798"/>
      <c r="BC216" s="2798"/>
      <c r="BD216" s="2798"/>
      <c r="BE216" s="2798"/>
      <c r="BF216" s="2798"/>
      <c r="BG216" s="2798"/>
      <c r="BH216" s="2798"/>
      <c r="BI216" s="2798"/>
      <c r="BJ216" s="2798"/>
      <c r="BK216" s="2798"/>
      <c r="BL216" s="2798"/>
      <c r="BM216" s="2798"/>
      <c r="BN216" s="2798"/>
      <c r="BO216" s="2798"/>
      <c r="BP216" s="2798"/>
    </row>
    <row r="217" spans="12:68">
      <c r="L217" s="2798"/>
      <c r="M217" s="2798"/>
      <c r="N217" s="2798"/>
      <c r="O217" s="2798"/>
      <c r="P217" s="2798"/>
      <c r="Q217" s="2798"/>
      <c r="R217" s="2798"/>
      <c r="S217" s="2798"/>
      <c r="T217" s="2798"/>
      <c r="U217" s="2798"/>
      <c r="V217" s="2798"/>
      <c r="W217" s="2798"/>
      <c r="X217" s="2798"/>
      <c r="Y217" s="2798"/>
      <c r="Z217" s="2798"/>
      <c r="AA217" s="2798"/>
      <c r="AB217" s="2798"/>
      <c r="AC217" s="2798"/>
      <c r="AD217" s="2798"/>
      <c r="AE217" s="2798"/>
      <c r="AF217" s="2798"/>
      <c r="AG217" s="2798"/>
      <c r="AH217" s="2798"/>
      <c r="AI217" s="2798"/>
      <c r="AJ217" s="2798"/>
      <c r="AK217" s="2798"/>
      <c r="AL217" s="2798"/>
      <c r="AM217" s="2798"/>
      <c r="AN217" s="2798"/>
      <c r="AO217" s="2798"/>
      <c r="AP217" s="2798"/>
      <c r="AQ217" s="2798"/>
      <c r="AR217" s="2798"/>
      <c r="AS217" s="2798"/>
      <c r="AT217" s="2798"/>
      <c r="AU217" s="2798"/>
      <c r="AV217" s="2798"/>
      <c r="AW217" s="2798"/>
      <c r="AX217" s="2798"/>
      <c r="AY217" s="2798"/>
      <c r="AZ217" s="2798"/>
      <c r="BA217" s="2798"/>
      <c r="BB217" s="2798"/>
      <c r="BC217" s="2798"/>
      <c r="BD217" s="2798"/>
      <c r="BE217" s="2798"/>
      <c r="BF217" s="2798"/>
      <c r="BG217" s="2798"/>
      <c r="BH217" s="2798"/>
      <c r="BI217" s="2798"/>
      <c r="BJ217" s="2798"/>
      <c r="BK217" s="2798"/>
      <c r="BL217" s="2798"/>
      <c r="BM217" s="2798"/>
      <c r="BN217" s="2798"/>
      <c r="BO217" s="2798"/>
      <c r="BP217" s="2798"/>
    </row>
    <row r="218" spans="12:68">
      <c r="L218" s="2798"/>
      <c r="M218" s="2798"/>
      <c r="N218" s="2798"/>
      <c r="O218" s="2798"/>
      <c r="P218" s="2798"/>
      <c r="Q218" s="2798"/>
      <c r="R218" s="2798"/>
      <c r="S218" s="2798"/>
      <c r="T218" s="2798"/>
      <c r="U218" s="2798"/>
      <c r="V218" s="2798"/>
      <c r="W218" s="2798"/>
      <c r="X218" s="2798"/>
      <c r="Y218" s="2798"/>
      <c r="Z218" s="2798"/>
      <c r="AA218" s="2798"/>
      <c r="AB218" s="2798"/>
      <c r="AC218" s="2798"/>
      <c r="AD218" s="2798"/>
      <c r="AE218" s="2798"/>
      <c r="AF218" s="2798"/>
      <c r="AG218" s="2798"/>
      <c r="AH218" s="2798"/>
      <c r="AI218" s="2798"/>
      <c r="AJ218" s="2798"/>
      <c r="AK218" s="2798"/>
      <c r="AL218" s="2798"/>
      <c r="AM218" s="2798"/>
      <c r="AN218" s="2798"/>
      <c r="AO218" s="2798"/>
      <c r="AP218" s="2798"/>
      <c r="AQ218" s="2798"/>
      <c r="AR218" s="2798"/>
      <c r="AS218" s="2798"/>
      <c r="AT218" s="2798"/>
      <c r="AU218" s="2798"/>
      <c r="AV218" s="2798"/>
      <c r="AW218" s="2798"/>
      <c r="AX218" s="2798"/>
      <c r="AY218" s="2798"/>
      <c r="AZ218" s="2798"/>
      <c r="BA218" s="2798"/>
      <c r="BB218" s="2798"/>
      <c r="BC218" s="2798"/>
      <c r="BD218" s="2798"/>
      <c r="BE218" s="2798"/>
      <c r="BF218" s="2798"/>
      <c r="BG218" s="2798"/>
      <c r="BH218" s="2798"/>
      <c r="BI218" s="2798"/>
      <c r="BJ218" s="2798"/>
      <c r="BK218" s="2798"/>
      <c r="BL218" s="2798"/>
      <c r="BM218" s="2798"/>
      <c r="BN218" s="2798"/>
      <c r="BO218" s="2798"/>
      <c r="BP218" s="2798"/>
    </row>
    <row r="219" spans="12:68">
      <c r="L219" s="2798"/>
      <c r="M219" s="2798"/>
      <c r="N219" s="2798"/>
      <c r="O219" s="2798"/>
      <c r="P219" s="2798"/>
      <c r="Q219" s="2798"/>
      <c r="R219" s="2798"/>
      <c r="S219" s="2798"/>
      <c r="T219" s="2798"/>
      <c r="U219" s="2798"/>
      <c r="V219" s="2798"/>
      <c r="W219" s="2798"/>
      <c r="X219" s="2798"/>
      <c r="Y219" s="2798"/>
      <c r="Z219" s="2798"/>
      <c r="AA219" s="2798"/>
      <c r="AB219" s="2798"/>
      <c r="AC219" s="2798"/>
      <c r="AD219" s="2798"/>
      <c r="AE219" s="2798"/>
      <c r="AF219" s="2798"/>
      <c r="AG219" s="2798"/>
      <c r="AH219" s="2798"/>
      <c r="AI219" s="2798"/>
      <c r="AJ219" s="2798"/>
      <c r="AK219" s="2798"/>
      <c r="AL219" s="2798"/>
      <c r="AM219" s="2798"/>
      <c r="AN219" s="2798"/>
      <c r="AO219" s="2798"/>
      <c r="AP219" s="2798"/>
      <c r="AQ219" s="2798"/>
      <c r="AR219" s="2798"/>
      <c r="AS219" s="2798"/>
      <c r="AT219" s="2798"/>
      <c r="AU219" s="2798"/>
      <c r="AV219" s="2798"/>
      <c r="AW219" s="2798"/>
      <c r="AX219" s="2798"/>
      <c r="AY219" s="2798"/>
      <c r="AZ219" s="2798"/>
      <c r="BA219" s="2798"/>
      <c r="BB219" s="2798"/>
      <c r="BC219" s="2798"/>
      <c r="BD219" s="2798"/>
      <c r="BE219" s="2798"/>
      <c r="BF219" s="2798"/>
      <c r="BG219" s="2798"/>
      <c r="BH219" s="2798"/>
      <c r="BI219" s="2798"/>
      <c r="BJ219" s="2798"/>
      <c r="BK219" s="2798"/>
      <c r="BL219" s="2798"/>
      <c r="BM219" s="2798"/>
      <c r="BN219" s="2798"/>
      <c r="BO219" s="2798"/>
      <c r="BP219" s="2798"/>
    </row>
    <row r="220" spans="12:68">
      <c r="L220" s="2798"/>
      <c r="M220" s="2798"/>
      <c r="N220" s="2798"/>
      <c r="O220" s="2798"/>
      <c r="P220" s="2798"/>
      <c r="Q220" s="2798"/>
      <c r="R220" s="2798"/>
      <c r="S220" s="2798"/>
      <c r="T220" s="2798"/>
      <c r="U220" s="2798"/>
      <c r="V220" s="2798"/>
      <c r="W220" s="2798"/>
      <c r="X220" s="2798"/>
      <c r="Y220" s="2798"/>
      <c r="Z220" s="2798"/>
      <c r="AA220" s="2798"/>
      <c r="AB220" s="2798"/>
      <c r="AC220" s="2798"/>
      <c r="AD220" s="2798"/>
      <c r="AE220" s="2798"/>
      <c r="AF220" s="2798"/>
      <c r="AG220" s="2798"/>
      <c r="AH220" s="2798"/>
      <c r="AI220" s="2798"/>
      <c r="AJ220" s="2798"/>
      <c r="AK220" s="2798"/>
      <c r="AL220" s="2798"/>
      <c r="AM220" s="2798"/>
      <c r="AN220" s="2798"/>
      <c r="AO220" s="2798"/>
      <c r="AP220" s="2798"/>
      <c r="AQ220" s="2798"/>
      <c r="AR220" s="2798"/>
      <c r="AS220" s="2798"/>
      <c r="AT220" s="2798"/>
      <c r="AU220" s="2798"/>
      <c r="AV220" s="2798"/>
      <c r="AW220" s="2798"/>
      <c r="AX220" s="2798"/>
      <c r="AY220" s="2798"/>
      <c r="AZ220" s="2798"/>
      <c r="BA220" s="2798"/>
      <c r="BB220" s="2798"/>
      <c r="BC220" s="2798"/>
      <c r="BD220" s="2798"/>
      <c r="BE220" s="2798"/>
      <c r="BF220" s="2798"/>
      <c r="BG220" s="2798"/>
      <c r="BH220" s="2798"/>
      <c r="BI220" s="2798"/>
      <c r="BJ220" s="2798"/>
      <c r="BK220" s="2798"/>
      <c r="BL220" s="2798"/>
      <c r="BM220" s="2798"/>
      <c r="BN220" s="2798"/>
      <c r="BO220" s="2798"/>
      <c r="BP220" s="2798"/>
    </row>
    <row r="221" spans="12:68">
      <c r="L221" s="2798"/>
      <c r="M221" s="2798"/>
      <c r="N221" s="2798"/>
      <c r="O221" s="2798"/>
      <c r="P221" s="2798"/>
      <c r="Q221" s="2798"/>
      <c r="R221" s="2798"/>
      <c r="S221" s="2798"/>
      <c r="T221" s="2798"/>
      <c r="U221" s="2798"/>
      <c r="V221" s="2798"/>
      <c r="W221" s="2798"/>
      <c r="X221" s="2798"/>
      <c r="Y221" s="2798"/>
      <c r="Z221" s="2798"/>
      <c r="AA221" s="2798"/>
      <c r="AB221" s="2798"/>
      <c r="AC221" s="2798"/>
      <c r="AD221" s="2798"/>
      <c r="AE221" s="2798"/>
      <c r="AF221" s="2798"/>
      <c r="AG221" s="2798"/>
      <c r="AH221" s="2798"/>
      <c r="AI221" s="2798"/>
      <c r="AJ221" s="2798"/>
      <c r="AK221" s="2798"/>
      <c r="AL221" s="2798"/>
      <c r="AM221" s="2798"/>
      <c r="AN221" s="2798"/>
      <c r="AO221" s="2798"/>
      <c r="AP221" s="2798"/>
      <c r="AQ221" s="2798"/>
      <c r="AR221" s="2798"/>
      <c r="AS221" s="2798"/>
      <c r="AT221" s="2798"/>
      <c r="AU221" s="2798"/>
      <c r="AV221" s="2798"/>
      <c r="AW221" s="2798"/>
      <c r="AX221" s="2798"/>
      <c r="AY221" s="2798"/>
      <c r="AZ221" s="2798"/>
      <c r="BA221" s="2798"/>
      <c r="BB221" s="2798"/>
      <c r="BC221" s="2798"/>
      <c r="BD221" s="2798"/>
      <c r="BE221" s="2798"/>
      <c r="BF221" s="2798"/>
      <c r="BG221" s="2798"/>
      <c r="BH221" s="2798"/>
      <c r="BI221" s="2798"/>
      <c r="BJ221" s="2798"/>
      <c r="BK221" s="2798"/>
      <c r="BL221" s="2798"/>
      <c r="BM221" s="2798"/>
      <c r="BN221" s="2798"/>
      <c r="BO221" s="2798"/>
      <c r="BP221" s="2798"/>
    </row>
    <row r="222" spans="12:68">
      <c r="L222" s="2798"/>
      <c r="M222" s="2798"/>
      <c r="N222" s="2798"/>
      <c r="O222" s="2798"/>
      <c r="P222" s="2798"/>
      <c r="Q222" s="2798"/>
      <c r="R222" s="2798"/>
      <c r="S222" s="2798"/>
      <c r="T222" s="2798"/>
      <c r="U222" s="2798"/>
      <c r="V222" s="2798"/>
      <c r="W222" s="2798"/>
      <c r="X222" s="2798"/>
      <c r="Y222" s="2798"/>
      <c r="Z222" s="2798"/>
      <c r="AA222" s="2798"/>
      <c r="AB222" s="2798"/>
      <c r="AC222" s="2798"/>
      <c r="AD222" s="2798"/>
      <c r="AE222" s="2798"/>
      <c r="AF222" s="2798"/>
      <c r="AG222" s="2798"/>
      <c r="AH222" s="2798"/>
      <c r="AI222" s="2798"/>
      <c r="AJ222" s="2798"/>
      <c r="AK222" s="2798"/>
      <c r="AL222" s="2798"/>
      <c r="AM222" s="2798"/>
      <c r="AN222" s="2798"/>
      <c r="AO222" s="2798"/>
      <c r="AP222" s="2798"/>
      <c r="AQ222" s="2798"/>
      <c r="AR222" s="2798"/>
      <c r="AS222" s="2798"/>
      <c r="AT222" s="2798"/>
      <c r="AU222" s="2798"/>
      <c r="AV222" s="2798"/>
      <c r="AW222" s="2798"/>
      <c r="AX222" s="2798"/>
      <c r="AY222" s="2798"/>
      <c r="AZ222" s="2798"/>
      <c r="BA222" s="2798"/>
      <c r="BB222" s="2798"/>
      <c r="BC222" s="2798"/>
      <c r="BD222" s="2798"/>
      <c r="BE222" s="2798"/>
      <c r="BF222" s="2798"/>
      <c r="BG222" s="2798"/>
      <c r="BH222" s="2798"/>
      <c r="BI222" s="2798"/>
      <c r="BJ222" s="2798"/>
      <c r="BK222" s="2798"/>
      <c r="BL222" s="2798"/>
      <c r="BM222" s="2798"/>
      <c r="BN222" s="2798"/>
      <c r="BO222" s="2798"/>
      <c r="BP222" s="2798"/>
    </row>
    <row r="223" spans="12:68">
      <c r="L223" s="2798"/>
      <c r="M223" s="2798"/>
      <c r="N223" s="2798"/>
      <c r="O223" s="2798"/>
      <c r="P223" s="2798"/>
      <c r="Q223" s="2798"/>
      <c r="R223" s="2798"/>
      <c r="S223" s="2798"/>
      <c r="T223" s="2798"/>
      <c r="U223" s="2798"/>
      <c r="V223" s="2798"/>
      <c r="W223" s="2798"/>
      <c r="X223" s="2798"/>
      <c r="Y223" s="2798"/>
      <c r="Z223" s="2798"/>
      <c r="AA223" s="2798"/>
      <c r="AB223" s="2798"/>
      <c r="AC223" s="2798"/>
      <c r="AD223" s="2798"/>
      <c r="AE223" s="2798"/>
      <c r="AF223" s="2798"/>
      <c r="AG223" s="2798"/>
      <c r="AH223" s="2798"/>
      <c r="AI223" s="2798"/>
      <c r="AJ223" s="2798"/>
      <c r="AK223" s="2798"/>
      <c r="AL223" s="2798"/>
      <c r="AM223" s="2798"/>
      <c r="AN223" s="2798"/>
      <c r="AO223" s="2798"/>
      <c r="AP223" s="2798"/>
      <c r="AQ223" s="2798"/>
      <c r="AR223" s="2798"/>
      <c r="AS223" s="2798"/>
      <c r="AT223" s="2798"/>
      <c r="AU223" s="2798"/>
      <c r="AV223" s="2798"/>
      <c r="AW223" s="2798"/>
      <c r="AX223" s="2798"/>
      <c r="AY223" s="2798"/>
      <c r="AZ223" s="2798"/>
      <c r="BA223" s="2798"/>
      <c r="BB223" s="2798"/>
      <c r="BC223" s="2798"/>
      <c r="BD223" s="2798"/>
      <c r="BE223" s="2798"/>
      <c r="BF223" s="2798"/>
      <c r="BG223" s="2798"/>
      <c r="BH223" s="2798"/>
      <c r="BI223" s="2798"/>
      <c r="BJ223" s="2798"/>
      <c r="BK223" s="2798"/>
      <c r="BL223" s="2798"/>
      <c r="BM223" s="2798"/>
      <c r="BN223" s="2798"/>
      <c r="BO223" s="2798"/>
      <c r="BP223" s="2798"/>
    </row>
    <row r="224" spans="12:68">
      <c r="L224" s="2798"/>
      <c r="M224" s="2798"/>
      <c r="N224" s="2798"/>
      <c r="O224" s="2798"/>
      <c r="P224" s="2798"/>
      <c r="Q224" s="2798"/>
      <c r="R224" s="2798"/>
      <c r="S224" s="2798"/>
      <c r="T224" s="2798"/>
      <c r="U224" s="2798"/>
      <c r="V224" s="2798"/>
      <c r="W224" s="2798"/>
      <c r="X224" s="2798"/>
      <c r="Y224" s="2798"/>
      <c r="Z224" s="2798"/>
      <c r="AA224" s="2798"/>
      <c r="AB224" s="2798"/>
      <c r="AC224" s="2798"/>
      <c r="AD224" s="2798"/>
      <c r="AE224" s="2798"/>
      <c r="AF224" s="2798"/>
      <c r="AG224" s="2798"/>
      <c r="AH224" s="2798"/>
      <c r="AI224" s="2798"/>
      <c r="AJ224" s="2798"/>
      <c r="AK224" s="2798"/>
      <c r="AL224" s="2798"/>
      <c r="AM224" s="2798"/>
      <c r="AN224" s="2798"/>
      <c r="AO224" s="2798"/>
      <c r="AP224" s="2798"/>
      <c r="AQ224" s="2798"/>
      <c r="AR224" s="2798"/>
      <c r="AS224" s="2798"/>
      <c r="AT224" s="2798"/>
      <c r="AU224" s="2798"/>
      <c r="AV224" s="2798"/>
      <c r="AW224" s="2798"/>
      <c r="AX224" s="2798"/>
      <c r="AY224" s="2798"/>
      <c r="AZ224" s="2798"/>
      <c r="BA224" s="2798"/>
      <c r="BB224" s="2798"/>
      <c r="BC224" s="2798"/>
      <c r="BD224" s="2798"/>
      <c r="BE224" s="2798"/>
      <c r="BF224" s="2798"/>
      <c r="BG224" s="2798"/>
      <c r="BH224" s="2798"/>
      <c r="BI224" s="2798"/>
      <c r="BJ224" s="2798"/>
      <c r="BK224" s="2798"/>
      <c r="BL224" s="2798"/>
      <c r="BM224" s="2798"/>
      <c r="BN224" s="2798"/>
      <c r="BO224" s="2798"/>
      <c r="BP224" s="2798"/>
    </row>
    <row r="225" spans="12:68">
      <c r="L225" s="2798"/>
      <c r="M225" s="2798"/>
      <c r="N225" s="2798"/>
      <c r="O225" s="2798"/>
      <c r="P225" s="2798"/>
      <c r="Q225" s="2798"/>
      <c r="R225" s="2798"/>
      <c r="S225" s="2798"/>
      <c r="T225" s="2798"/>
      <c r="U225" s="2798"/>
      <c r="V225" s="2798"/>
      <c r="W225" s="2798"/>
      <c r="X225" s="2798"/>
      <c r="Y225" s="2798"/>
      <c r="Z225" s="2798"/>
      <c r="AA225" s="2798"/>
      <c r="AB225" s="2798"/>
      <c r="AC225" s="2798"/>
      <c r="AD225" s="2798"/>
      <c r="AE225" s="2798"/>
      <c r="AF225" s="2798"/>
      <c r="AG225" s="2798"/>
      <c r="AH225" s="2798"/>
      <c r="AI225" s="2798"/>
      <c r="AJ225" s="2798"/>
      <c r="AK225" s="2798"/>
      <c r="AL225" s="2798"/>
      <c r="AM225" s="2798"/>
      <c r="AN225" s="2798"/>
      <c r="AO225" s="2798"/>
      <c r="AP225" s="2798"/>
      <c r="AQ225" s="2798"/>
      <c r="AR225" s="2798"/>
      <c r="AS225" s="2798"/>
      <c r="AT225" s="2798"/>
      <c r="AU225" s="2798"/>
      <c r="AV225" s="2798"/>
      <c r="AW225" s="2798"/>
      <c r="AX225" s="2798"/>
      <c r="AY225" s="2798"/>
      <c r="AZ225" s="2798"/>
      <c r="BA225" s="2798"/>
      <c r="BB225" s="2798"/>
      <c r="BC225" s="2798"/>
      <c r="BD225" s="2798"/>
      <c r="BE225" s="2798"/>
      <c r="BF225" s="2798"/>
      <c r="BG225" s="2798"/>
      <c r="BH225" s="2798"/>
      <c r="BI225" s="2798"/>
      <c r="BJ225" s="2798"/>
      <c r="BK225" s="2798"/>
      <c r="BL225" s="2798"/>
      <c r="BM225" s="2798"/>
      <c r="BN225" s="2798"/>
      <c r="BO225" s="2798"/>
      <c r="BP225" s="2798"/>
    </row>
    <row r="226" spans="12:68">
      <c r="L226" s="2798"/>
      <c r="M226" s="2798"/>
      <c r="N226" s="2798"/>
      <c r="O226" s="2798"/>
      <c r="P226" s="2798"/>
      <c r="Q226" s="2798"/>
      <c r="R226" s="2798"/>
      <c r="S226" s="2798"/>
      <c r="T226" s="2798"/>
      <c r="U226" s="2798"/>
      <c r="V226" s="2798"/>
      <c r="W226" s="2798"/>
      <c r="X226" s="2798"/>
      <c r="Y226" s="2798"/>
      <c r="Z226" s="2798"/>
      <c r="AA226" s="2798"/>
      <c r="AB226" s="2798"/>
      <c r="AC226" s="2798"/>
      <c r="AD226" s="2798"/>
      <c r="AE226" s="2798"/>
      <c r="AF226" s="2798"/>
      <c r="AG226" s="2798"/>
      <c r="AH226" s="2798"/>
      <c r="AI226" s="2798"/>
      <c r="AJ226" s="2798"/>
      <c r="AK226" s="2798"/>
      <c r="AL226" s="2798"/>
      <c r="AM226" s="2798"/>
      <c r="AN226" s="2798"/>
      <c r="AO226" s="2798"/>
      <c r="AP226" s="2798"/>
      <c r="AQ226" s="2798"/>
      <c r="AR226" s="2798"/>
      <c r="AS226" s="2798"/>
      <c r="AT226" s="2798"/>
      <c r="AU226" s="2798"/>
      <c r="AV226" s="2798"/>
      <c r="AW226" s="2798"/>
      <c r="AX226" s="2798"/>
      <c r="AY226" s="2798"/>
      <c r="AZ226" s="2798"/>
      <c r="BA226" s="2798"/>
      <c r="BB226" s="2798"/>
      <c r="BC226" s="2798"/>
      <c r="BD226" s="2798"/>
      <c r="BE226" s="2798"/>
      <c r="BF226" s="2798"/>
      <c r="BG226" s="2798"/>
      <c r="BH226" s="2798"/>
      <c r="BI226" s="2798"/>
      <c r="BJ226" s="2798"/>
      <c r="BK226" s="2798"/>
      <c r="BL226" s="2798"/>
      <c r="BM226" s="2798"/>
      <c r="BN226" s="2798"/>
      <c r="BO226" s="2798"/>
      <c r="BP226" s="2798"/>
    </row>
    <row r="227" spans="12:68">
      <c r="L227" s="2798"/>
      <c r="M227" s="2798"/>
      <c r="N227" s="2798"/>
      <c r="O227" s="2798"/>
      <c r="P227" s="2798"/>
      <c r="Q227" s="2798"/>
      <c r="R227" s="2798"/>
      <c r="S227" s="2798"/>
      <c r="T227" s="2798"/>
      <c r="U227" s="2798"/>
      <c r="V227" s="2798"/>
      <c r="W227" s="2798"/>
      <c r="X227" s="2798"/>
      <c r="Y227" s="2798"/>
      <c r="Z227" s="2798"/>
      <c r="AA227" s="2798"/>
      <c r="AB227" s="2798"/>
      <c r="AC227" s="2798"/>
      <c r="AD227" s="2798"/>
      <c r="AE227" s="2798"/>
      <c r="AF227" s="2798"/>
      <c r="AG227" s="2798"/>
      <c r="AH227" s="2798"/>
      <c r="AI227" s="2798"/>
      <c r="AJ227" s="2798"/>
      <c r="AK227" s="2798"/>
      <c r="AL227" s="2798"/>
      <c r="AM227" s="2798"/>
      <c r="AN227" s="2798"/>
      <c r="AO227" s="2798"/>
      <c r="AP227" s="2798"/>
      <c r="AQ227" s="2798"/>
      <c r="AR227" s="2798"/>
      <c r="AS227" s="2798"/>
      <c r="AT227" s="2798"/>
      <c r="AU227" s="2798"/>
      <c r="AV227" s="2798"/>
      <c r="AW227" s="2798"/>
      <c r="AX227" s="2798"/>
      <c r="AY227" s="2798"/>
      <c r="AZ227" s="2798"/>
      <c r="BA227" s="2798"/>
      <c r="BB227" s="2798"/>
      <c r="BC227" s="2798"/>
      <c r="BD227" s="2798"/>
      <c r="BE227" s="2798"/>
      <c r="BF227" s="2798"/>
      <c r="BG227" s="2798"/>
      <c r="BH227" s="2798"/>
      <c r="BI227" s="2798"/>
      <c r="BJ227" s="2798"/>
      <c r="BK227" s="2798"/>
      <c r="BL227" s="2798"/>
      <c r="BM227" s="2798"/>
      <c r="BN227" s="2798"/>
      <c r="BO227" s="2798"/>
      <c r="BP227" s="2798"/>
    </row>
    <row r="228" spans="12:68">
      <c r="L228" s="2798"/>
      <c r="M228" s="2798"/>
      <c r="N228" s="2798"/>
      <c r="O228" s="2798"/>
      <c r="P228" s="2798"/>
      <c r="Q228" s="2798"/>
      <c r="R228" s="2798"/>
      <c r="S228" s="2798"/>
      <c r="T228" s="2798"/>
      <c r="U228" s="2798"/>
      <c r="V228" s="2798"/>
      <c r="W228" s="2798"/>
      <c r="X228" s="2798"/>
      <c r="Y228" s="2798"/>
      <c r="Z228" s="2798"/>
      <c r="AA228" s="2798"/>
      <c r="AB228" s="2798"/>
      <c r="AC228" s="2798"/>
      <c r="AD228" s="2798"/>
      <c r="AE228" s="2798"/>
      <c r="AF228" s="2798"/>
      <c r="AG228" s="2798"/>
      <c r="AH228" s="2798"/>
      <c r="AI228" s="2798"/>
      <c r="AJ228" s="2798"/>
      <c r="AK228" s="2798"/>
      <c r="AL228" s="2798"/>
      <c r="AM228" s="2798"/>
      <c r="AN228" s="2798"/>
      <c r="AO228" s="2798"/>
      <c r="AP228" s="2798"/>
      <c r="AQ228" s="2798"/>
      <c r="AR228" s="2798"/>
      <c r="AS228" s="2798"/>
      <c r="AT228" s="2798"/>
      <c r="AU228" s="2798"/>
      <c r="AV228" s="2798"/>
      <c r="AW228" s="2798"/>
      <c r="AX228" s="2798"/>
      <c r="AY228" s="2798"/>
      <c r="AZ228" s="2798"/>
      <c r="BA228" s="2798"/>
      <c r="BB228" s="2798"/>
      <c r="BC228" s="2798"/>
      <c r="BD228" s="2798"/>
      <c r="BE228" s="2798"/>
      <c r="BF228" s="2798"/>
      <c r="BG228" s="2798"/>
      <c r="BH228" s="2798"/>
      <c r="BI228" s="2798"/>
      <c r="BJ228" s="2798"/>
      <c r="BK228" s="2798"/>
      <c r="BL228" s="2798"/>
      <c r="BM228" s="2798"/>
      <c r="BN228" s="2798"/>
      <c r="BO228" s="2798"/>
      <c r="BP228" s="2798"/>
    </row>
    <row r="229" spans="12:68">
      <c r="L229" s="2798"/>
      <c r="M229" s="2798"/>
      <c r="N229" s="2798"/>
      <c r="O229" s="2798"/>
      <c r="P229" s="2798"/>
      <c r="Q229" s="2798"/>
      <c r="R229" s="2798"/>
      <c r="S229" s="2798"/>
      <c r="T229" s="2798"/>
      <c r="U229" s="2798"/>
      <c r="V229" s="2798"/>
      <c r="W229" s="2798"/>
      <c r="X229" s="2798"/>
      <c r="Y229" s="2798"/>
      <c r="Z229" s="2798"/>
      <c r="AA229" s="2798"/>
      <c r="AB229" s="2798"/>
      <c r="AC229" s="2798"/>
      <c r="AD229" s="2798"/>
      <c r="AE229" s="2798"/>
      <c r="AF229" s="2798"/>
      <c r="AG229" s="2798"/>
      <c r="AH229" s="2798"/>
      <c r="AI229" s="2798"/>
      <c r="AJ229" s="2798"/>
      <c r="AK229" s="2798"/>
      <c r="AL229" s="2798"/>
      <c r="AM229" s="2798"/>
      <c r="AN229" s="2798"/>
      <c r="AO229" s="2798"/>
      <c r="AP229" s="2798"/>
      <c r="AQ229" s="2798"/>
      <c r="AR229" s="2798"/>
      <c r="AS229" s="2798"/>
      <c r="AT229" s="2798"/>
      <c r="AU229" s="2798"/>
      <c r="AV229" s="2798"/>
      <c r="AW229" s="2798"/>
      <c r="AX229" s="2798"/>
      <c r="AY229" s="2798"/>
      <c r="AZ229" s="2798"/>
      <c r="BA229" s="2798"/>
      <c r="BB229" s="2798"/>
      <c r="BC229" s="2798"/>
      <c r="BD229" s="2798"/>
      <c r="BE229" s="2798"/>
      <c r="BF229" s="2798"/>
      <c r="BG229" s="2798"/>
      <c r="BH229" s="2798"/>
      <c r="BI229" s="2798"/>
      <c r="BJ229" s="2798"/>
      <c r="BK229" s="2798"/>
      <c r="BL229" s="2798"/>
      <c r="BM229" s="2798"/>
      <c r="BN229" s="2798"/>
      <c r="BO229" s="2798"/>
      <c r="BP229" s="2798"/>
    </row>
    <row r="230" spans="12:68">
      <c r="L230" s="2798"/>
      <c r="M230" s="2798"/>
      <c r="N230" s="2798"/>
      <c r="O230" s="2798"/>
      <c r="P230" s="2798"/>
      <c r="Q230" s="2798"/>
      <c r="R230" s="2798"/>
      <c r="S230" s="2798"/>
      <c r="T230" s="2798"/>
      <c r="U230" s="2798"/>
      <c r="V230" s="2798"/>
      <c r="W230" s="2798"/>
      <c r="X230" s="2798"/>
      <c r="Y230" s="2798"/>
      <c r="Z230" s="2798"/>
      <c r="AA230" s="2798"/>
      <c r="AB230" s="2798"/>
      <c r="AC230" s="2798"/>
      <c r="AD230" s="2798"/>
      <c r="AE230" s="2798"/>
      <c r="AF230" s="2798"/>
      <c r="AG230" s="2798"/>
      <c r="AH230" s="2798"/>
      <c r="AI230" s="2798"/>
      <c r="AJ230" s="2798"/>
      <c r="AK230" s="2798"/>
      <c r="AL230" s="2798"/>
      <c r="AM230" s="2798"/>
      <c r="AN230" s="2798"/>
      <c r="AO230" s="2798"/>
      <c r="AP230" s="2798"/>
      <c r="AQ230" s="2798"/>
      <c r="AR230" s="2798"/>
      <c r="AS230" s="2798"/>
      <c r="AT230" s="2798"/>
      <c r="AU230" s="2798"/>
      <c r="AV230" s="2798"/>
      <c r="AW230" s="2798"/>
      <c r="AX230" s="2798"/>
      <c r="AY230" s="2798"/>
      <c r="AZ230" s="2798"/>
      <c r="BA230" s="2798"/>
      <c r="BB230" s="2798"/>
      <c r="BC230" s="2798"/>
      <c r="BD230" s="2798"/>
      <c r="BE230" s="2798"/>
      <c r="BF230" s="2798"/>
      <c r="BG230" s="2798"/>
      <c r="BH230" s="2798"/>
      <c r="BI230" s="2798"/>
      <c r="BJ230" s="2798"/>
      <c r="BK230" s="2798"/>
      <c r="BL230" s="2798"/>
      <c r="BM230" s="2798"/>
      <c r="BN230" s="2798"/>
      <c r="BO230" s="2798"/>
      <c r="BP230" s="2798"/>
    </row>
    <row r="231" spans="12:68">
      <c r="L231" s="2798"/>
      <c r="M231" s="2798"/>
      <c r="N231" s="2798"/>
      <c r="O231" s="2798"/>
      <c r="P231" s="2798"/>
      <c r="Q231" s="2798"/>
      <c r="R231" s="2798"/>
      <c r="S231" s="2798"/>
      <c r="T231" s="2798"/>
      <c r="U231" s="2798"/>
      <c r="V231" s="2798"/>
      <c r="W231" s="2798"/>
      <c r="X231" s="2798"/>
      <c r="Y231" s="2798"/>
      <c r="Z231" s="2798"/>
      <c r="AA231" s="2798"/>
      <c r="AB231" s="2798"/>
      <c r="AC231" s="2798"/>
      <c r="AD231" s="2798"/>
      <c r="AE231" s="2798"/>
      <c r="AF231" s="2798"/>
      <c r="AG231" s="2798"/>
      <c r="AH231" s="2798"/>
      <c r="AI231" s="2798"/>
      <c r="AJ231" s="2798"/>
      <c r="AK231" s="2798"/>
      <c r="AL231" s="2798"/>
      <c r="AM231" s="2798"/>
      <c r="AN231" s="2798"/>
      <c r="AO231" s="2798"/>
      <c r="AP231" s="2798"/>
      <c r="AQ231" s="2798"/>
      <c r="AR231" s="2798"/>
      <c r="AS231" s="2798"/>
      <c r="AT231" s="2798"/>
      <c r="AU231" s="2798"/>
      <c r="AV231" s="2798"/>
      <c r="AW231" s="2798"/>
      <c r="AX231" s="2798"/>
      <c r="AY231" s="2798"/>
      <c r="AZ231" s="2798"/>
      <c r="BA231" s="2798"/>
      <c r="BB231" s="2798"/>
      <c r="BC231" s="2798"/>
      <c r="BD231" s="2798"/>
      <c r="BE231" s="2798"/>
      <c r="BF231" s="2798"/>
      <c r="BG231" s="2798"/>
      <c r="BH231" s="2798"/>
      <c r="BI231" s="2798"/>
      <c r="BJ231" s="2798"/>
      <c r="BK231" s="2798"/>
      <c r="BL231" s="2798"/>
      <c r="BM231" s="2798"/>
      <c r="BN231" s="2798"/>
      <c r="BO231" s="2798"/>
      <c r="BP231" s="2798"/>
    </row>
    <row r="232" spans="12:68">
      <c r="L232" s="2798"/>
      <c r="M232" s="2798"/>
      <c r="N232" s="2798"/>
      <c r="O232" s="2798"/>
      <c r="P232" s="2798"/>
      <c r="Q232" s="2798"/>
      <c r="R232" s="2798"/>
      <c r="S232" s="2798"/>
      <c r="T232" s="2798"/>
      <c r="U232" s="2798"/>
      <c r="V232" s="2798"/>
      <c r="W232" s="2798"/>
      <c r="X232" s="2798"/>
      <c r="Y232" s="2798"/>
      <c r="Z232" s="2798"/>
      <c r="AA232" s="2798"/>
      <c r="AB232" s="2798"/>
      <c r="AC232" s="2798"/>
      <c r="AD232" s="2798"/>
      <c r="AE232" s="2798"/>
      <c r="AF232" s="2798"/>
      <c r="AG232" s="2798"/>
      <c r="AH232" s="2798"/>
      <c r="AI232" s="2798"/>
      <c r="AJ232" s="2798"/>
      <c r="AK232" s="2798"/>
      <c r="AL232" s="2798"/>
      <c r="AM232" s="2798"/>
      <c r="AN232" s="2798"/>
      <c r="AO232" s="2798"/>
      <c r="AP232" s="2798"/>
      <c r="AQ232" s="2798"/>
      <c r="AR232" s="2798"/>
      <c r="AS232" s="2798"/>
      <c r="AT232" s="2798"/>
      <c r="AU232" s="2798"/>
      <c r="AV232" s="2798"/>
      <c r="AW232" s="2798"/>
      <c r="AX232" s="2798"/>
      <c r="AY232" s="2798"/>
      <c r="AZ232" s="2798"/>
      <c r="BA232" s="2798"/>
      <c r="BB232" s="2798"/>
      <c r="BC232" s="2798"/>
      <c r="BD232" s="2798"/>
      <c r="BE232" s="2798"/>
      <c r="BF232" s="2798"/>
      <c r="BG232" s="2798"/>
      <c r="BH232" s="2798"/>
      <c r="BI232" s="2798"/>
      <c r="BJ232" s="2798"/>
      <c r="BK232" s="2798"/>
      <c r="BL232" s="2798"/>
      <c r="BM232" s="2798"/>
      <c r="BN232" s="2798"/>
      <c r="BO232" s="2798"/>
      <c r="BP232" s="2798"/>
    </row>
    <row r="233" spans="12:68">
      <c r="L233" s="2798"/>
      <c r="M233" s="2798"/>
      <c r="N233" s="2798"/>
      <c r="O233" s="2798"/>
      <c r="P233" s="2798"/>
      <c r="Q233" s="2798"/>
      <c r="R233" s="2798"/>
      <c r="S233" s="2798"/>
      <c r="T233" s="2798"/>
      <c r="U233" s="2798"/>
      <c r="V233" s="2798"/>
      <c r="W233" s="2798"/>
      <c r="X233" s="2798"/>
      <c r="Y233" s="2798"/>
      <c r="Z233" s="2798"/>
      <c r="AA233" s="2798"/>
      <c r="AB233" s="2798"/>
      <c r="AC233" s="2798"/>
      <c r="AD233" s="2798"/>
      <c r="AE233" s="2798"/>
      <c r="AF233" s="2798"/>
      <c r="AG233" s="2798"/>
      <c r="AH233" s="2798"/>
      <c r="AI233" s="2798"/>
      <c r="AJ233" s="2798"/>
      <c r="AK233" s="2798"/>
      <c r="AL233" s="2798"/>
      <c r="AM233" s="2798"/>
      <c r="AN233" s="2798"/>
      <c r="AO233" s="2798"/>
      <c r="AP233" s="2798"/>
      <c r="AQ233" s="2798"/>
      <c r="AR233" s="2798"/>
      <c r="AS233" s="2798"/>
      <c r="AT233" s="2798"/>
      <c r="AU233" s="2798"/>
      <c r="AV233" s="2798"/>
      <c r="AW233" s="2798"/>
      <c r="AX233" s="2798"/>
      <c r="AY233" s="2798"/>
      <c r="AZ233" s="2798"/>
      <c r="BA233" s="2798"/>
      <c r="BB233" s="2798"/>
      <c r="BC233" s="2798"/>
      <c r="BD233" s="2798"/>
      <c r="BE233" s="2798"/>
      <c r="BF233" s="2798"/>
      <c r="BG233" s="2798"/>
      <c r="BH233" s="2798"/>
      <c r="BI233" s="2798"/>
      <c r="BJ233" s="2798"/>
      <c r="BK233" s="2798"/>
      <c r="BL233" s="2798"/>
      <c r="BM233" s="2798"/>
      <c r="BN233" s="2798"/>
      <c r="BO233" s="2798"/>
      <c r="BP233" s="2798"/>
    </row>
    <row r="234" spans="12:68">
      <c r="L234" s="2798"/>
      <c r="M234" s="2798"/>
      <c r="N234" s="2798"/>
      <c r="O234" s="2798"/>
      <c r="P234" s="2798"/>
      <c r="Q234" s="2798"/>
      <c r="R234" s="2798"/>
      <c r="S234" s="2798"/>
      <c r="T234" s="2798"/>
      <c r="U234" s="2798"/>
      <c r="V234" s="2798"/>
      <c r="W234" s="2798"/>
      <c r="X234" s="2798"/>
      <c r="Y234" s="2798"/>
      <c r="Z234" s="2798"/>
      <c r="AA234" s="2798"/>
      <c r="AB234" s="2798"/>
      <c r="AC234" s="2798"/>
      <c r="AD234" s="2798"/>
      <c r="AE234" s="2798"/>
      <c r="AF234" s="2798"/>
      <c r="AG234" s="2798"/>
      <c r="AH234" s="2798"/>
      <c r="AI234" s="2798"/>
      <c r="AJ234" s="2798"/>
      <c r="AK234" s="2798"/>
      <c r="AL234" s="2798"/>
      <c r="AM234" s="2798"/>
      <c r="AN234" s="2798"/>
      <c r="AO234" s="2798"/>
      <c r="AP234" s="2798"/>
      <c r="AQ234" s="2798"/>
      <c r="AR234" s="2798"/>
      <c r="AS234" s="2798"/>
      <c r="AT234" s="2798"/>
      <c r="AU234" s="2798"/>
      <c r="AV234" s="2798"/>
      <c r="AW234" s="2798"/>
      <c r="AX234" s="2798"/>
      <c r="AY234" s="2798"/>
      <c r="AZ234" s="2798"/>
      <c r="BA234" s="2798"/>
      <c r="BB234" s="2798"/>
      <c r="BC234" s="2798"/>
      <c r="BD234" s="2798"/>
      <c r="BE234" s="2798"/>
      <c r="BF234" s="2798"/>
      <c r="BG234" s="2798"/>
      <c r="BH234" s="2798"/>
      <c r="BI234" s="2798"/>
      <c r="BJ234" s="2798"/>
      <c r="BK234" s="2798"/>
      <c r="BL234" s="2798"/>
      <c r="BM234" s="2798"/>
      <c r="BN234" s="2798"/>
      <c r="BO234" s="2798"/>
      <c r="BP234" s="2798"/>
    </row>
    <row r="235" spans="12:68">
      <c r="L235" s="2798"/>
      <c r="M235" s="2798"/>
      <c r="N235" s="2798"/>
      <c r="O235" s="2798"/>
      <c r="P235" s="2798"/>
      <c r="Q235" s="2798"/>
      <c r="R235" s="2798"/>
      <c r="S235" s="2798"/>
      <c r="T235" s="2798"/>
      <c r="U235" s="2798"/>
      <c r="V235" s="2798"/>
      <c r="W235" s="2798"/>
      <c r="X235" s="2798"/>
      <c r="Y235" s="2798"/>
      <c r="Z235" s="2798"/>
      <c r="AA235" s="2798"/>
      <c r="AB235" s="2798"/>
      <c r="AC235" s="2798"/>
      <c r="AD235" s="2798"/>
      <c r="AE235" s="2798"/>
      <c r="AF235" s="2798"/>
      <c r="AG235" s="2798"/>
      <c r="AH235" s="2798"/>
      <c r="AI235" s="2798"/>
      <c r="AJ235" s="2798"/>
      <c r="AK235" s="2798"/>
      <c r="AL235" s="2798"/>
      <c r="AM235" s="2798"/>
      <c r="AN235" s="2798"/>
      <c r="AO235" s="2798"/>
      <c r="AP235" s="2798"/>
      <c r="AQ235" s="2798"/>
      <c r="AR235" s="2798"/>
      <c r="AS235" s="2798"/>
      <c r="AT235" s="2798"/>
      <c r="AU235" s="2798"/>
      <c r="AV235" s="2798"/>
      <c r="AW235" s="2798"/>
      <c r="AX235" s="2798"/>
      <c r="AY235" s="2798"/>
      <c r="AZ235" s="2798"/>
      <c r="BA235" s="2798"/>
      <c r="BB235" s="2798"/>
      <c r="BC235" s="2798"/>
      <c r="BD235" s="2798"/>
      <c r="BE235" s="2798"/>
      <c r="BF235" s="2798"/>
      <c r="BG235" s="2798"/>
      <c r="BH235" s="2798"/>
      <c r="BI235" s="2798"/>
      <c r="BJ235" s="2798"/>
      <c r="BK235" s="2798"/>
      <c r="BL235" s="2798"/>
      <c r="BM235" s="2798"/>
      <c r="BN235" s="2798"/>
      <c r="BO235" s="2798"/>
      <c r="BP235" s="2798"/>
    </row>
    <row r="236" spans="12:68">
      <c r="L236" s="2798"/>
      <c r="M236" s="2798"/>
      <c r="N236" s="2798"/>
      <c r="O236" s="2798"/>
      <c r="P236" s="2798"/>
      <c r="Q236" s="2798"/>
      <c r="R236" s="2798"/>
      <c r="S236" s="2798"/>
      <c r="T236" s="2798"/>
      <c r="U236" s="2798"/>
      <c r="V236" s="2798"/>
      <c r="W236" s="2798"/>
      <c r="X236" s="2798"/>
      <c r="Y236" s="2798"/>
      <c r="Z236" s="2798"/>
      <c r="AA236" s="2798"/>
      <c r="AB236" s="2798"/>
      <c r="AC236" s="2798"/>
      <c r="AD236" s="2798"/>
      <c r="AE236" s="2798"/>
      <c r="AF236" s="2798"/>
      <c r="AG236" s="2798"/>
      <c r="AH236" s="2798"/>
      <c r="AI236" s="2798"/>
      <c r="AJ236" s="2798"/>
      <c r="AK236" s="2798"/>
      <c r="AL236" s="2798"/>
      <c r="AM236" s="2798"/>
      <c r="AN236" s="2798"/>
      <c r="AO236" s="2798"/>
      <c r="AP236" s="2798"/>
      <c r="AQ236" s="2798"/>
      <c r="AR236" s="2798"/>
      <c r="AS236" s="2798"/>
      <c r="AT236" s="2798"/>
      <c r="AU236" s="2798"/>
      <c r="AV236" s="2798"/>
      <c r="AW236" s="2798"/>
      <c r="AX236" s="2798"/>
      <c r="AY236" s="2798"/>
      <c r="AZ236" s="2798"/>
      <c r="BA236" s="2798"/>
      <c r="BB236" s="2798"/>
      <c r="BC236" s="2798"/>
      <c r="BD236" s="2798"/>
      <c r="BE236" s="2798"/>
      <c r="BF236" s="2798"/>
      <c r="BG236" s="2798"/>
      <c r="BH236" s="2798"/>
      <c r="BI236" s="2798"/>
      <c r="BJ236" s="2798"/>
      <c r="BK236" s="2798"/>
      <c r="BL236" s="2798"/>
      <c r="BM236" s="2798"/>
      <c r="BN236" s="2798"/>
      <c r="BO236" s="2798"/>
      <c r="BP236" s="2798"/>
    </row>
    <row r="237" spans="12:68">
      <c r="L237" s="2798"/>
      <c r="M237" s="2798"/>
      <c r="N237" s="2798"/>
      <c r="O237" s="2798"/>
      <c r="P237" s="2798"/>
      <c r="Q237" s="2798"/>
      <c r="R237" s="2798"/>
      <c r="S237" s="2798"/>
      <c r="T237" s="2798"/>
      <c r="U237" s="2798"/>
      <c r="V237" s="2798"/>
      <c r="W237" s="2798"/>
      <c r="X237" s="2798"/>
      <c r="Y237" s="2798"/>
      <c r="Z237" s="2798"/>
      <c r="AA237" s="2798"/>
      <c r="AB237" s="2798"/>
      <c r="AC237" s="2798"/>
      <c r="AD237" s="2798"/>
      <c r="AE237" s="2798"/>
      <c r="AF237" s="2798"/>
      <c r="AG237" s="2798"/>
      <c r="AH237" s="2798"/>
      <c r="AI237" s="2798"/>
      <c r="AJ237" s="2798"/>
      <c r="AK237" s="2798"/>
      <c r="AL237" s="2798"/>
      <c r="AM237" s="2798"/>
      <c r="AN237" s="2798"/>
      <c r="AO237" s="2798"/>
      <c r="AP237" s="2798"/>
      <c r="AQ237" s="2798"/>
      <c r="AR237" s="2798"/>
      <c r="AS237" s="2798"/>
      <c r="AT237" s="2798"/>
      <c r="AU237" s="2798"/>
      <c r="AV237" s="2798"/>
      <c r="AW237" s="2798"/>
      <c r="AX237" s="2798"/>
      <c r="AY237" s="2798"/>
      <c r="AZ237" s="2798"/>
      <c r="BA237" s="2798"/>
      <c r="BB237" s="2798"/>
      <c r="BC237" s="2798"/>
      <c r="BD237" s="2798"/>
      <c r="BE237" s="2798"/>
      <c r="BF237" s="2798"/>
      <c r="BG237" s="2798"/>
      <c r="BH237" s="2798"/>
      <c r="BI237" s="2798"/>
      <c r="BJ237" s="2798"/>
      <c r="BK237" s="2798"/>
      <c r="BL237" s="2798"/>
      <c r="BM237" s="2798"/>
      <c r="BN237" s="2798"/>
      <c r="BO237" s="2798"/>
      <c r="BP237" s="2798"/>
    </row>
    <row r="238" spans="12:68">
      <c r="L238" s="2798"/>
      <c r="M238" s="2798"/>
      <c r="N238" s="2798"/>
      <c r="O238" s="2798"/>
      <c r="P238" s="2798"/>
      <c r="Q238" s="2798"/>
      <c r="R238" s="2798"/>
      <c r="S238" s="2798"/>
      <c r="T238" s="2798"/>
      <c r="U238" s="2798"/>
      <c r="V238" s="2798"/>
      <c r="W238" s="2798"/>
      <c r="X238" s="2798"/>
      <c r="Y238" s="2798"/>
      <c r="Z238" s="2798"/>
      <c r="AA238" s="2798"/>
      <c r="AB238" s="2798"/>
      <c r="AC238" s="2798"/>
      <c r="AD238" s="2798"/>
      <c r="AE238" s="2798"/>
      <c r="AF238" s="2798"/>
      <c r="AG238" s="2798"/>
      <c r="AH238" s="2798"/>
      <c r="AI238" s="2798"/>
      <c r="AJ238" s="2798"/>
      <c r="AK238" s="2798"/>
      <c r="AL238" s="2798"/>
      <c r="AM238" s="2798"/>
      <c r="AN238" s="2798"/>
      <c r="AO238" s="2798"/>
      <c r="AP238" s="2798"/>
      <c r="AQ238" s="2798"/>
      <c r="AR238" s="2798"/>
      <c r="AS238" s="2798"/>
      <c r="AT238" s="2798"/>
      <c r="AU238" s="2798"/>
      <c r="AV238" s="2798"/>
      <c r="AW238" s="2798"/>
      <c r="AX238" s="2798"/>
      <c r="AY238" s="2798"/>
      <c r="AZ238" s="2798"/>
      <c r="BA238" s="2798"/>
      <c r="BB238" s="2798"/>
      <c r="BC238" s="2798"/>
      <c r="BD238" s="2798"/>
      <c r="BE238" s="2798"/>
      <c r="BF238" s="2798"/>
      <c r="BG238" s="2798"/>
      <c r="BH238" s="2798"/>
      <c r="BI238" s="2798"/>
      <c r="BJ238" s="2798"/>
      <c r="BK238" s="2798"/>
      <c r="BL238" s="2798"/>
      <c r="BM238" s="2798"/>
      <c r="BN238" s="2798"/>
      <c r="BO238" s="2798"/>
      <c r="BP238" s="2798"/>
    </row>
    <row r="239" spans="12:68">
      <c r="L239" s="2798"/>
      <c r="M239" s="2798"/>
      <c r="N239" s="2798"/>
      <c r="O239" s="2798"/>
      <c r="P239" s="2798"/>
      <c r="Q239" s="2798"/>
      <c r="R239" s="2798"/>
      <c r="S239" s="2798"/>
      <c r="T239" s="2798"/>
      <c r="U239" s="2798"/>
      <c r="V239" s="2798"/>
      <c r="W239" s="2798"/>
      <c r="X239" s="2798"/>
      <c r="Y239" s="2798"/>
      <c r="Z239" s="2798"/>
      <c r="AA239" s="2798"/>
      <c r="AB239" s="2798"/>
      <c r="AC239" s="2798"/>
      <c r="AD239" s="2798"/>
      <c r="AE239" s="2798"/>
      <c r="AF239" s="2798"/>
      <c r="AG239" s="2798"/>
      <c r="AH239" s="2798"/>
      <c r="AI239" s="2798"/>
      <c r="AJ239" s="2798"/>
      <c r="AK239" s="2798"/>
      <c r="AL239" s="2798"/>
      <c r="AM239" s="2798"/>
      <c r="AN239" s="2798"/>
      <c r="AO239" s="2798"/>
      <c r="AP239" s="2798"/>
      <c r="AQ239" s="2798"/>
      <c r="AR239" s="2798"/>
      <c r="AS239" s="2798"/>
      <c r="AT239" s="2798"/>
      <c r="AU239" s="2798"/>
      <c r="AV239" s="2798"/>
      <c r="AW239" s="2798"/>
      <c r="AX239" s="2798"/>
      <c r="AY239" s="2798"/>
      <c r="AZ239" s="2798"/>
      <c r="BA239" s="2798"/>
      <c r="BB239" s="2798"/>
      <c r="BC239" s="2798"/>
      <c r="BD239" s="2798"/>
      <c r="BE239" s="2798"/>
      <c r="BF239" s="2798"/>
      <c r="BG239" s="2798"/>
      <c r="BH239" s="2798"/>
      <c r="BI239" s="2798"/>
      <c r="BJ239" s="2798"/>
      <c r="BK239" s="2798"/>
      <c r="BL239" s="2798"/>
      <c r="BM239" s="2798"/>
      <c r="BN239" s="2798"/>
      <c r="BO239" s="2798"/>
      <c r="BP239" s="2798"/>
    </row>
    <row r="240" spans="12:68">
      <c r="L240" s="2798"/>
      <c r="M240" s="2798"/>
      <c r="N240" s="2798"/>
      <c r="O240" s="2798"/>
      <c r="P240" s="2798"/>
      <c r="Q240" s="2798"/>
      <c r="R240" s="2798"/>
      <c r="S240" s="2798"/>
      <c r="T240" s="2798"/>
      <c r="U240" s="2798"/>
      <c r="V240" s="2798"/>
      <c r="W240" s="2798"/>
      <c r="X240" s="2798"/>
      <c r="Y240" s="2798"/>
      <c r="Z240" s="2798"/>
      <c r="AA240" s="2798"/>
      <c r="AB240" s="2798"/>
      <c r="AC240" s="2798"/>
      <c r="AD240" s="2798"/>
      <c r="AE240" s="2798"/>
      <c r="AF240" s="2798"/>
      <c r="AG240" s="2798"/>
      <c r="AH240" s="2798"/>
      <c r="AI240" s="2798"/>
      <c r="AJ240" s="2798"/>
      <c r="AK240" s="2798"/>
      <c r="AL240" s="2798"/>
      <c r="AM240" s="2798"/>
      <c r="AN240" s="2798"/>
      <c r="AO240" s="2798"/>
      <c r="AP240" s="2798"/>
      <c r="AQ240" s="2798"/>
      <c r="AR240" s="2798"/>
      <c r="AS240" s="2798"/>
      <c r="AT240" s="2798"/>
      <c r="AU240" s="2798"/>
      <c r="AV240" s="2798"/>
      <c r="AW240" s="2798"/>
      <c r="AX240" s="2798"/>
      <c r="AY240" s="2798"/>
      <c r="AZ240" s="2798"/>
      <c r="BA240" s="2798"/>
      <c r="BB240" s="2798"/>
      <c r="BC240" s="2798"/>
      <c r="BD240" s="2798"/>
      <c r="BE240" s="2798"/>
      <c r="BF240" s="2798"/>
      <c r="BG240" s="2798"/>
      <c r="BH240" s="2798"/>
      <c r="BI240" s="2798"/>
      <c r="BJ240" s="2798"/>
      <c r="BK240" s="2798"/>
      <c r="BL240" s="2798"/>
      <c r="BM240" s="2798"/>
      <c r="BN240" s="2798"/>
      <c r="BO240" s="2798"/>
      <c r="BP240" s="2798"/>
    </row>
    <row r="241" spans="12:68">
      <c r="L241" s="2798"/>
      <c r="M241" s="2798"/>
      <c r="N241" s="2798"/>
      <c r="O241" s="2798"/>
      <c r="P241" s="2798"/>
      <c r="Q241" s="2798"/>
      <c r="R241" s="2798"/>
      <c r="S241" s="2798"/>
      <c r="T241" s="2798"/>
      <c r="U241" s="2798"/>
      <c r="V241" s="2798"/>
      <c r="W241" s="2798"/>
      <c r="X241" s="2798"/>
      <c r="Y241" s="2798"/>
      <c r="Z241" s="2798"/>
      <c r="AA241" s="2798"/>
      <c r="AB241" s="2798"/>
      <c r="AC241" s="2798"/>
      <c r="AD241" s="2798"/>
      <c r="AE241" s="2798"/>
      <c r="AF241" s="2798"/>
      <c r="AG241" s="2798"/>
      <c r="AH241" s="2798"/>
      <c r="AI241" s="2798"/>
      <c r="AJ241" s="2798"/>
      <c r="AK241" s="2798"/>
      <c r="AL241" s="2798"/>
      <c r="AM241" s="2798"/>
      <c r="AN241" s="2798"/>
      <c r="AO241" s="2798"/>
      <c r="AP241" s="2798"/>
      <c r="AQ241" s="2798"/>
      <c r="AR241" s="2798"/>
      <c r="AS241" s="2798"/>
      <c r="AT241" s="2798"/>
      <c r="AU241" s="2798"/>
      <c r="AV241" s="2798"/>
      <c r="AW241" s="2798"/>
      <c r="AX241" s="2798"/>
      <c r="AY241" s="2798"/>
      <c r="AZ241" s="2798"/>
      <c r="BA241" s="2798"/>
      <c r="BB241" s="2798"/>
      <c r="BC241" s="2798"/>
      <c r="BD241" s="2798"/>
      <c r="BE241" s="2798"/>
      <c r="BF241" s="2798"/>
      <c r="BG241" s="2798"/>
      <c r="BH241" s="2798"/>
      <c r="BI241" s="2798"/>
      <c r="BJ241" s="2798"/>
      <c r="BK241" s="2798"/>
      <c r="BL241" s="2798"/>
      <c r="BM241" s="2798"/>
      <c r="BN241" s="2798"/>
      <c r="BO241" s="2798"/>
      <c r="BP241" s="2798"/>
    </row>
    <row r="242" spans="12:68">
      <c r="L242" s="2798"/>
      <c r="M242" s="2798"/>
      <c r="N242" s="2798"/>
      <c r="O242" s="2798"/>
      <c r="P242" s="2798"/>
      <c r="Q242" s="2798"/>
      <c r="R242" s="2798"/>
      <c r="S242" s="2798"/>
      <c r="T242" s="2798"/>
      <c r="U242" s="2798"/>
      <c r="V242" s="2798"/>
      <c r="W242" s="2798"/>
      <c r="X242" s="2798"/>
      <c r="Y242" s="2798"/>
      <c r="Z242" s="2798"/>
      <c r="AA242" s="2798"/>
      <c r="AB242" s="2798"/>
      <c r="AC242" s="2798"/>
      <c r="AD242" s="2798"/>
      <c r="AE242" s="2798"/>
      <c r="AF242" s="2798"/>
      <c r="AG242" s="2798"/>
      <c r="AH242" s="2798"/>
      <c r="AI242" s="2798"/>
      <c r="AJ242" s="2798"/>
      <c r="AK242" s="2798"/>
      <c r="AL242" s="2798"/>
      <c r="AM242" s="2798"/>
      <c r="AN242" s="2798"/>
      <c r="AO242" s="2798"/>
      <c r="AP242" s="2798"/>
      <c r="AQ242" s="2798"/>
      <c r="AR242" s="2798"/>
      <c r="AS242" s="2798"/>
      <c r="AT242" s="2798"/>
      <c r="AU242" s="2798"/>
      <c r="AV242" s="2798"/>
      <c r="AW242" s="2798"/>
      <c r="AX242" s="2798"/>
      <c r="AY242" s="2798"/>
      <c r="AZ242" s="2798"/>
      <c r="BA242" s="2798"/>
      <c r="BB242" s="2798"/>
      <c r="BC242" s="2798"/>
      <c r="BD242" s="2798"/>
      <c r="BE242" s="2798"/>
      <c r="BF242" s="2798"/>
      <c r="BG242" s="2798"/>
      <c r="BH242" s="2798"/>
      <c r="BI242" s="2798"/>
      <c r="BJ242" s="2798"/>
      <c r="BK242" s="2798"/>
      <c r="BL242" s="2798"/>
      <c r="BM242" s="2798"/>
      <c r="BN242" s="2798"/>
      <c r="BO242" s="2798"/>
      <c r="BP242" s="2798"/>
    </row>
    <row r="243" spans="12:68">
      <c r="L243" s="2798"/>
      <c r="M243" s="2798"/>
      <c r="N243" s="2798"/>
      <c r="O243" s="2798"/>
      <c r="P243" s="2798"/>
      <c r="Q243" s="2798"/>
      <c r="R243" s="2798"/>
      <c r="S243" s="2798"/>
      <c r="T243" s="2798"/>
      <c r="U243" s="2798"/>
      <c r="V243" s="2798"/>
      <c r="W243" s="2798"/>
      <c r="X243" s="2798"/>
      <c r="Y243" s="2798"/>
      <c r="Z243" s="2798"/>
      <c r="AA243" s="2798"/>
      <c r="AB243" s="2798"/>
      <c r="AC243" s="2798"/>
      <c r="AD243" s="2798"/>
      <c r="AE243" s="2798"/>
      <c r="AF243" s="2798"/>
      <c r="AG243" s="2798"/>
      <c r="AH243" s="2798"/>
      <c r="AI243" s="2798"/>
      <c r="AJ243" s="2798"/>
      <c r="AK243" s="2798"/>
      <c r="AL243" s="2798"/>
      <c r="AM243" s="2798"/>
      <c r="AN243" s="2798"/>
      <c r="AO243" s="2798"/>
      <c r="AP243" s="2798"/>
      <c r="AQ243" s="2798"/>
      <c r="AR243" s="2798"/>
      <c r="AS243" s="2798"/>
      <c r="AT243" s="2798"/>
      <c r="AU243" s="2798"/>
      <c r="AV243" s="2798"/>
      <c r="AW243" s="2798"/>
      <c r="AX243" s="2798"/>
      <c r="AY243" s="2798"/>
      <c r="AZ243" s="2798"/>
      <c r="BA243" s="2798"/>
      <c r="BB243" s="2798"/>
      <c r="BC243" s="2798"/>
      <c r="BD243" s="2798"/>
      <c r="BE243" s="2798"/>
      <c r="BF243" s="2798"/>
      <c r="BG243" s="2798"/>
      <c r="BH243" s="2798"/>
      <c r="BI243" s="2798"/>
      <c r="BJ243" s="2798"/>
      <c r="BK243" s="2798"/>
      <c r="BL243" s="2798"/>
      <c r="BM243" s="2798"/>
      <c r="BN243" s="2798"/>
      <c r="BO243" s="2798"/>
      <c r="BP243" s="2798"/>
    </row>
    <row r="244" spans="12:68">
      <c r="L244" s="2798"/>
      <c r="M244" s="2798"/>
      <c r="N244" s="2798"/>
      <c r="O244" s="2798"/>
      <c r="P244" s="2798"/>
      <c r="Q244" s="2798"/>
      <c r="R244" s="2798"/>
      <c r="S244" s="2798"/>
      <c r="T244" s="2798"/>
      <c r="U244" s="2798"/>
      <c r="V244" s="2798"/>
      <c r="W244" s="2798"/>
      <c r="X244" s="2798"/>
      <c r="Y244" s="2798"/>
      <c r="Z244" s="2798"/>
      <c r="AA244" s="2798"/>
      <c r="AB244" s="2798"/>
      <c r="AC244" s="2798"/>
      <c r="AD244" s="2798"/>
      <c r="AE244" s="2798"/>
      <c r="AF244" s="2798"/>
      <c r="AG244" s="2798"/>
      <c r="AH244" s="2798"/>
      <c r="AI244" s="2798"/>
      <c r="AJ244" s="2798"/>
      <c r="AK244" s="2798"/>
      <c r="AL244" s="2798"/>
      <c r="AM244" s="2798"/>
      <c r="AN244" s="2798"/>
      <c r="AO244" s="2798"/>
      <c r="AP244" s="2798"/>
      <c r="AQ244" s="2798"/>
      <c r="AR244" s="2798"/>
      <c r="AS244" s="2798"/>
      <c r="AT244" s="2798"/>
      <c r="AU244" s="2798"/>
      <c r="AV244" s="2798"/>
      <c r="AW244" s="2798"/>
      <c r="AX244" s="2798"/>
      <c r="AY244" s="2798"/>
      <c r="AZ244" s="2798"/>
      <c r="BA244" s="2798"/>
      <c r="BB244" s="2798"/>
      <c r="BC244" s="2798"/>
      <c r="BD244" s="2798"/>
      <c r="BE244" s="2798"/>
      <c r="BF244" s="2798"/>
      <c r="BG244" s="2798"/>
      <c r="BH244" s="2798"/>
      <c r="BI244" s="2798"/>
      <c r="BJ244" s="2798"/>
      <c r="BK244" s="2798"/>
      <c r="BL244" s="2798"/>
      <c r="BM244" s="2798"/>
      <c r="BN244" s="2798"/>
      <c r="BO244" s="2798"/>
      <c r="BP244" s="2798"/>
    </row>
    <row r="245" spans="12:68">
      <c r="L245" s="2798"/>
      <c r="M245" s="2798"/>
      <c r="N245" s="2798"/>
      <c r="O245" s="2798"/>
      <c r="P245" s="2798"/>
      <c r="Q245" s="2798"/>
      <c r="R245" s="2798"/>
      <c r="S245" s="2798"/>
      <c r="T245" s="2798"/>
      <c r="U245" s="2798"/>
      <c r="V245" s="2798"/>
      <c r="W245" s="2798"/>
      <c r="X245" s="2798"/>
      <c r="Y245" s="2798"/>
      <c r="Z245" s="2798"/>
      <c r="AA245" s="2798"/>
      <c r="AB245" s="2798"/>
      <c r="AC245" s="2798"/>
      <c r="AD245" s="2798"/>
      <c r="AE245" s="2798"/>
      <c r="AF245" s="2798"/>
      <c r="AG245" s="2798"/>
      <c r="AH245" s="2798"/>
      <c r="AI245" s="2798"/>
      <c r="AJ245" s="2798"/>
      <c r="AK245" s="2798"/>
      <c r="AL245" s="2798"/>
      <c r="AM245" s="2798"/>
      <c r="AN245" s="2798"/>
      <c r="AO245" s="2798"/>
      <c r="AP245" s="2798"/>
      <c r="AQ245" s="2798"/>
      <c r="AR245" s="2798"/>
      <c r="AS245" s="2798"/>
      <c r="AT245" s="2798"/>
      <c r="AU245" s="2798"/>
      <c r="AV245" s="2798"/>
      <c r="AW245" s="2798"/>
      <c r="AX245" s="2798"/>
      <c r="AY245" s="2798"/>
      <c r="AZ245" s="2798"/>
      <c r="BA245" s="2798"/>
      <c r="BB245" s="2798"/>
      <c r="BC245" s="2798"/>
      <c r="BD245" s="2798"/>
      <c r="BE245" s="2798"/>
      <c r="BF245" s="2798"/>
      <c r="BG245" s="2798"/>
      <c r="BH245" s="2798"/>
      <c r="BI245" s="2798"/>
      <c r="BJ245" s="2798"/>
      <c r="BK245" s="2798"/>
      <c r="BL245" s="2798"/>
      <c r="BM245" s="2798"/>
      <c r="BN245" s="2798"/>
      <c r="BO245" s="2798"/>
      <c r="BP245" s="2798"/>
    </row>
    <row r="246" spans="12:68">
      <c r="L246" s="2798"/>
      <c r="M246" s="2798"/>
      <c r="N246" s="2798"/>
      <c r="O246" s="2798"/>
      <c r="P246" s="2798"/>
      <c r="Q246" s="2798"/>
      <c r="R246" s="2798"/>
      <c r="S246" s="2798"/>
      <c r="T246" s="2798"/>
      <c r="U246" s="2798"/>
      <c r="V246" s="2798"/>
      <c r="W246" s="2798"/>
      <c r="X246" s="2798"/>
      <c r="Y246" s="2798"/>
      <c r="Z246" s="2798"/>
      <c r="AA246" s="2798"/>
      <c r="AB246" s="2798"/>
      <c r="AC246" s="2798"/>
      <c r="AD246" s="2798"/>
      <c r="AE246" s="2798"/>
      <c r="AF246" s="2798"/>
      <c r="AG246" s="2798"/>
      <c r="AH246" s="2798"/>
      <c r="AI246" s="2798"/>
      <c r="AJ246" s="2798"/>
      <c r="AK246" s="2798"/>
      <c r="AL246" s="2798"/>
      <c r="AM246" s="2798"/>
      <c r="AN246" s="2798"/>
      <c r="AO246" s="2798"/>
      <c r="AP246" s="2798"/>
      <c r="AQ246" s="2798"/>
      <c r="AR246" s="2798"/>
      <c r="AS246" s="2798"/>
      <c r="AT246" s="2798"/>
      <c r="AU246" s="2798"/>
      <c r="AV246" s="2798"/>
      <c r="AW246" s="2798"/>
      <c r="AX246" s="2798"/>
      <c r="AY246" s="2798"/>
      <c r="AZ246" s="2798"/>
      <c r="BA246" s="2798"/>
      <c r="BB246" s="2798"/>
      <c r="BC246" s="2798"/>
      <c r="BD246" s="2798"/>
      <c r="BE246" s="2798"/>
      <c r="BF246" s="2798"/>
      <c r="BG246" s="2798"/>
      <c r="BH246" s="2798"/>
      <c r="BI246" s="2798"/>
      <c r="BJ246" s="2798"/>
      <c r="BK246" s="2798"/>
      <c r="BL246" s="2798"/>
      <c r="BM246" s="2798"/>
      <c r="BN246" s="2798"/>
      <c r="BO246" s="2798"/>
      <c r="BP246" s="2798"/>
    </row>
    <row r="247" spans="12:68">
      <c r="L247" s="2798"/>
      <c r="M247" s="2798"/>
      <c r="N247" s="2798"/>
      <c r="O247" s="2798"/>
      <c r="P247" s="2798"/>
      <c r="Q247" s="2798"/>
      <c r="R247" s="2798"/>
      <c r="S247" s="2798"/>
      <c r="T247" s="2798"/>
      <c r="U247" s="2798"/>
      <c r="V247" s="2798"/>
      <c r="W247" s="2798"/>
      <c r="X247" s="2798"/>
      <c r="Y247" s="2798"/>
      <c r="Z247" s="2798"/>
      <c r="AA247" s="2798"/>
      <c r="AB247" s="2798"/>
      <c r="AC247" s="2798"/>
      <c r="AD247" s="2798"/>
      <c r="AE247" s="2798"/>
      <c r="AF247" s="2798"/>
      <c r="AG247" s="2798"/>
      <c r="AH247" s="2798"/>
      <c r="AI247" s="2798"/>
      <c r="AJ247" s="2798"/>
      <c r="AK247" s="2798"/>
      <c r="AL247" s="2798"/>
      <c r="AM247" s="2798"/>
      <c r="AN247" s="2798"/>
      <c r="AO247" s="2798"/>
      <c r="AP247" s="2798"/>
      <c r="AQ247" s="2798"/>
      <c r="AR247" s="2798"/>
      <c r="AS247" s="2798"/>
      <c r="AT247" s="2798"/>
      <c r="AU247" s="2798"/>
      <c r="AV247" s="2798"/>
      <c r="AW247" s="2798"/>
      <c r="AX247" s="2798"/>
      <c r="AY247" s="2798"/>
      <c r="AZ247" s="2798"/>
      <c r="BA247" s="2798"/>
      <c r="BB247" s="2798"/>
      <c r="BC247" s="2798"/>
      <c r="BD247" s="2798"/>
      <c r="BE247" s="2798"/>
      <c r="BF247" s="2798"/>
      <c r="BG247" s="2798"/>
      <c r="BH247" s="2798"/>
      <c r="BI247" s="2798"/>
      <c r="BJ247" s="2798"/>
      <c r="BK247" s="2798"/>
      <c r="BL247" s="2798"/>
      <c r="BM247" s="2798"/>
      <c r="BN247" s="2798"/>
      <c r="BO247" s="2798"/>
      <c r="BP247" s="2798"/>
    </row>
    <row r="248" spans="12:68">
      <c r="L248" s="2798"/>
      <c r="M248" s="2798"/>
      <c r="N248" s="2798"/>
      <c r="O248" s="2798"/>
      <c r="P248" s="2798"/>
      <c r="Q248" s="2798"/>
      <c r="R248" s="2798"/>
      <c r="S248" s="2798"/>
      <c r="T248" s="2798"/>
      <c r="U248" s="2798"/>
      <c r="V248" s="2798"/>
      <c r="W248" s="2798"/>
      <c r="X248" s="2798"/>
      <c r="Y248" s="2798"/>
      <c r="Z248" s="2798"/>
      <c r="AA248" s="2798"/>
      <c r="AB248" s="2798"/>
      <c r="AC248" s="2798"/>
      <c r="AD248" s="2798"/>
      <c r="AE248" s="2798"/>
      <c r="AF248" s="2798"/>
      <c r="AG248" s="2798"/>
      <c r="AH248" s="2798"/>
      <c r="AI248" s="2798"/>
      <c r="AJ248" s="2798"/>
      <c r="AK248" s="2798"/>
      <c r="AL248" s="2798"/>
      <c r="AM248" s="2798"/>
      <c r="AN248" s="2798"/>
      <c r="AO248" s="2798"/>
      <c r="AP248" s="2798"/>
      <c r="AQ248" s="2798"/>
      <c r="AR248" s="2798"/>
      <c r="AS248" s="2798"/>
      <c r="AT248" s="2798"/>
      <c r="AU248" s="2798"/>
      <c r="AV248" s="2798"/>
      <c r="AW248" s="2798"/>
      <c r="AX248" s="2798"/>
      <c r="AY248" s="2798"/>
      <c r="AZ248" s="2798"/>
      <c r="BA248" s="2798"/>
      <c r="BB248" s="2798"/>
      <c r="BC248" s="2798"/>
      <c r="BD248" s="2798"/>
      <c r="BE248" s="2798"/>
      <c r="BF248" s="2798"/>
      <c r="BG248" s="2798"/>
      <c r="BH248" s="2798"/>
      <c r="BI248" s="2798"/>
      <c r="BJ248" s="2798"/>
      <c r="BK248" s="2798"/>
      <c r="BL248" s="2798"/>
      <c r="BM248" s="2798"/>
      <c r="BN248" s="2798"/>
      <c r="BO248" s="2798"/>
      <c r="BP248" s="2798"/>
    </row>
    <row r="249" spans="12:68">
      <c r="L249" s="2798"/>
      <c r="M249" s="2798"/>
      <c r="N249" s="2798"/>
      <c r="O249" s="2798"/>
      <c r="P249" s="2798"/>
      <c r="Q249" s="2798"/>
      <c r="R249" s="2798"/>
      <c r="S249" s="2798"/>
      <c r="T249" s="2798"/>
      <c r="U249" s="2798"/>
      <c r="V249" s="2798"/>
      <c r="W249" s="2798"/>
      <c r="X249" s="2798"/>
      <c r="Y249" s="2798"/>
      <c r="Z249" s="2798"/>
      <c r="AA249" s="2798"/>
      <c r="AB249" s="2798"/>
      <c r="AC249" s="2798"/>
      <c r="AD249" s="2798"/>
      <c r="AE249" s="2798"/>
      <c r="AF249" s="2798"/>
      <c r="AG249" s="2798"/>
      <c r="AH249" s="2798"/>
      <c r="AI249" s="2798"/>
      <c r="AJ249" s="2798"/>
      <c r="AK249" s="2798"/>
      <c r="AL249" s="2798"/>
      <c r="AM249" s="2798"/>
      <c r="AN249" s="2798"/>
      <c r="AO249" s="2798"/>
      <c r="AP249" s="2798"/>
      <c r="AQ249" s="2798"/>
      <c r="AR249" s="2798"/>
      <c r="AS249" s="2798"/>
      <c r="AT249" s="2798"/>
      <c r="AU249" s="2798"/>
      <c r="AV249" s="2798"/>
      <c r="AW249" s="2798"/>
      <c r="AX249" s="2798"/>
      <c r="AY249" s="2798"/>
      <c r="AZ249" s="2798"/>
      <c r="BA249" s="2798"/>
      <c r="BB249" s="2798"/>
      <c r="BC249" s="2798"/>
      <c r="BD249" s="2798"/>
      <c r="BE249" s="2798"/>
      <c r="BF249" s="2798"/>
      <c r="BG249" s="2798"/>
      <c r="BH249" s="2798"/>
      <c r="BI249" s="2798"/>
      <c r="BJ249" s="2798"/>
      <c r="BK249" s="2798"/>
      <c r="BL249" s="2798"/>
      <c r="BM249" s="2798"/>
      <c r="BN249" s="2798"/>
      <c r="BO249" s="2798"/>
      <c r="BP249" s="2798"/>
    </row>
    <row r="250" spans="12:68">
      <c r="L250" s="2798"/>
      <c r="M250" s="2798"/>
      <c r="N250" s="2798"/>
      <c r="O250" s="2798"/>
      <c r="P250" s="2798"/>
      <c r="Q250" s="2798"/>
      <c r="R250" s="2798"/>
      <c r="S250" s="2798"/>
      <c r="T250" s="2798"/>
      <c r="U250" s="2798"/>
      <c r="V250" s="2798"/>
      <c r="W250" s="2798"/>
      <c r="X250" s="2798"/>
      <c r="Y250" s="2798"/>
      <c r="Z250" s="2798"/>
      <c r="AA250" s="2798"/>
      <c r="AB250" s="2798"/>
      <c r="AC250" s="2798"/>
      <c r="AD250" s="2798"/>
      <c r="AE250" s="2798"/>
      <c r="AF250" s="2798"/>
      <c r="AG250" s="2798"/>
      <c r="AH250" s="2798"/>
      <c r="AI250" s="2798"/>
      <c r="AJ250" s="2798"/>
      <c r="AK250" s="2798"/>
      <c r="AL250" s="2798"/>
      <c r="AM250" s="2798"/>
      <c r="AN250" s="2798"/>
      <c r="AO250" s="2798"/>
      <c r="AP250" s="2798"/>
      <c r="AQ250" s="2798"/>
      <c r="AR250" s="2798"/>
      <c r="AS250" s="2798"/>
      <c r="AT250" s="2798"/>
      <c r="AU250" s="2798"/>
      <c r="AV250" s="2798"/>
      <c r="AW250" s="2798"/>
      <c r="AX250" s="2798"/>
      <c r="AY250" s="2798"/>
      <c r="AZ250" s="2798"/>
      <c r="BA250" s="2798"/>
      <c r="BB250" s="2798"/>
      <c r="BC250" s="2798"/>
      <c r="BD250" s="2798"/>
      <c r="BE250" s="2798"/>
      <c r="BF250" s="2798"/>
      <c r="BG250" s="2798"/>
      <c r="BH250" s="2798"/>
      <c r="BI250" s="2798"/>
      <c r="BJ250" s="2798"/>
      <c r="BK250" s="2798"/>
      <c r="BL250" s="2798"/>
      <c r="BM250" s="2798"/>
      <c r="BN250" s="2798"/>
      <c r="BO250" s="2798"/>
      <c r="BP250" s="2798"/>
    </row>
    <row r="251" spans="12:68">
      <c r="L251" s="2798"/>
      <c r="M251" s="2798"/>
      <c r="N251" s="2798"/>
      <c r="O251" s="2798"/>
      <c r="P251" s="2798"/>
      <c r="Q251" s="2798"/>
      <c r="R251" s="2798"/>
      <c r="S251" s="2798"/>
      <c r="T251" s="2798"/>
      <c r="U251" s="2798"/>
      <c r="V251" s="2798"/>
      <c r="W251" s="2798"/>
      <c r="X251" s="2798"/>
      <c r="Y251" s="2798"/>
      <c r="Z251" s="2798"/>
      <c r="AA251" s="2798"/>
      <c r="AB251" s="2798"/>
      <c r="AC251" s="2798"/>
      <c r="AD251" s="2798"/>
      <c r="AE251" s="2798"/>
      <c r="AF251" s="2798"/>
      <c r="AG251" s="2798"/>
      <c r="AH251" s="2798"/>
      <c r="AI251" s="2798"/>
      <c r="AJ251" s="2798"/>
      <c r="AK251" s="2798"/>
      <c r="AL251" s="2798"/>
      <c r="AM251" s="2798"/>
      <c r="AN251" s="2798"/>
      <c r="AO251" s="2798"/>
      <c r="AP251" s="2798"/>
      <c r="AQ251" s="2798"/>
      <c r="AR251" s="2798"/>
      <c r="AS251" s="2798"/>
      <c r="AT251" s="2798"/>
      <c r="AU251" s="2798"/>
      <c r="AV251" s="2798"/>
      <c r="AW251" s="2798"/>
      <c r="AX251" s="2798"/>
      <c r="AY251" s="2798"/>
      <c r="AZ251" s="2798"/>
      <c r="BA251" s="2798"/>
      <c r="BB251" s="2798"/>
      <c r="BC251" s="2798"/>
      <c r="BD251" s="2798"/>
      <c r="BE251" s="2798"/>
      <c r="BF251" s="2798"/>
      <c r="BG251" s="2798"/>
      <c r="BH251" s="2798"/>
      <c r="BI251" s="2798"/>
      <c r="BJ251" s="2798"/>
      <c r="BK251" s="2798"/>
      <c r="BL251" s="2798"/>
      <c r="BM251" s="2798"/>
      <c r="BN251" s="2798"/>
      <c r="BO251" s="2798"/>
      <c r="BP251" s="2798"/>
    </row>
    <row r="252" spans="12:68">
      <c r="L252" s="2798"/>
      <c r="M252" s="2798"/>
      <c r="N252" s="2798"/>
      <c r="O252" s="2798"/>
      <c r="P252" s="2798"/>
      <c r="Q252" s="2798"/>
      <c r="R252" s="2798"/>
      <c r="S252" s="2798"/>
      <c r="T252" s="2798"/>
      <c r="U252" s="2798"/>
      <c r="V252" s="2798"/>
      <c r="W252" s="2798"/>
      <c r="X252" s="2798"/>
      <c r="Y252" s="2798"/>
      <c r="Z252" s="2798"/>
      <c r="AA252" s="2798"/>
      <c r="AB252" s="2798"/>
      <c r="AC252" s="2798"/>
      <c r="AD252" s="2798"/>
      <c r="AE252" s="2798"/>
      <c r="AF252" s="2798"/>
      <c r="AG252" s="2798"/>
      <c r="AH252" s="2798"/>
      <c r="AI252" s="2798"/>
      <c r="AJ252" s="2798"/>
      <c r="AK252" s="2798"/>
      <c r="AL252" s="2798"/>
      <c r="AM252" s="2798"/>
      <c r="AN252" s="2798"/>
      <c r="AO252" s="2798"/>
      <c r="AP252" s="2798"/>
      <c r="AQ252" s="2798"/>
      <c r="AR252" s="2798"/>
      <c r="AS252" s="2798"/>
      <c r="AT252" s="2798"/>
      <c r="AU252" s="2798"/>
      <c r="AV252" s="2798"/>
      <c r="AW252" s="2798"/>
      <c r="AX252" s="2798"/>
      <c r="AY252" s="2798"/>
      <c r="AZ252" s="2798"/>
      <c r="BA252" s="2798"/>
      <c r="BB252" s="2798"/>
      <c r="BC252" s="2798"/>
      <c r="BD252" s="2798"/>
      <c r="BE252" s="2798"/>
      <c r="BF252" s="2798"/>
      <c r="BG252" s="2798"/>
      <c r="BH252" s="2798"/>
      <c r="BI252" s="2798"/>
      <c r="BJ252" s="2798"/>
      <c r="BK252" s="2798"/>
      <c r="BL252" s="2798"/>
      <c r="BM252" s="2798"/>
      <c r="BN252" s="2798"/>
      <c r="BO252" s="2798"/>
      <c r="BP252" s="2798"/>
    </row>
    <row r="253" spans="12:68">
      <c r="L253" s="2798"/>
      <c r="M253" s="2798"/>
      <c r="N253" s="2798"/>
      <c r="O253" s="2798"/>
      <c r="P253" s="2798"/>
      <c r="Q253" s="2798"/>
      <c r="R253" s="2798"/>
      <c r="S253" s="2798"/>
      <c r="T253" s="2798"/>
      <c r="U253" s="2798"/>
      <c r="V253" s="2798"/>
      <c r="W253" s="2798"/>
      <c r="X253" s="2798"/>
      <c r="Y253" s="2798"/>
      <c r="Z253" s="2798"/>
      <c r="AA253" s="2798"/>
      <c r="AB253" s="2798"/>
      <c r="AC253" s="2798"/>
      <c r="AD253" s="2798"/>
      <c r="AE253" s="2798"/>
      <c r="AF253" s="2798"/>
      <c r="AG253" s="2798"/>
      <c r="AH253" s="2798"/>
      <c r="AI253" s="2798"/>
      <c r="AJ253" s="2798"/>
      <c r="AK253" s="2798"/>
      <c r="AL253" s="2798"/>
      <c r="AM253" s="2798"/>
      <c r="AN253" s="2798"/>
      <c r="AO253" s="2798"/>
      <c r="AP253" s="2798"/>
      <c r="AQ253" s="2798"/>
      <c r="AR253" s="2798"/>
      <c r="AS253" s="2798"/>
      <c r="AT253" s="2798"/>
      <c r="AU253" s="2798"/>
      <c r="AV253" s="2798"/>
      <c r="AW253" s="2798"/>
      <c r="AX253" s="2798"/>
      <c r="AY253" s="2798"/>
      <c r="AZ253" s="2798"/>
      <c r="BA253" s="2798"/>
      <c r="BB253" s="2798"/>
      <c r="BC253" s="2798"/>
      <c r="BD253" s="2798"/>
      <c r="BE253" s="2798"/>
      <c r="BF253" s="2798"/>
      <c r="BG253" s="2798"/>
      <c r="BH253" s="2798"/>
      <c r="BI253" s="2798"/>
      <c r="BJ253" s="2798"/>
      <c r="BK253" s="2798"/>
      <c r="BL253" s="2798"/>
      <c r="BM253" s="2798"/>
      <c r="BN253" s="2798"/>
      <c r="BO253" s="2798"/>
      <c r="BP253" s="2798"/>
    </row>
    <row r="254" spans="12:68">
      <c r="L254" s="2798"/>
      <c r="M254" s="2798"/>
      <c r="N254" s="2798"/>
      <c r="O254" s="2798"/>
      <c r="P254" s="2798"/>
      <c r="Q254" s="2798"/>
      <c r="R254" s="2798"/>
      <c r="S254" s="2798"/>
      <c r="T254" s="2798"/>
      <c r="U254" s="2798"/>
      <c r="V254" s="2798"/>
      <c r="W254" s="2798"/>
      <c r="X254" s="2798"/>
      <c r="Y254" s="2798"/>
      <c r="Z254" s="2798"/>
      <c r="AA254" s="2798"/>
      <c r="AB254" s="2798"/>
      <c r="AC254" s="2798"/>
      <c r="AD254" s="2798"/>
      <c r="AE254" s="2798"/>
      <c r="AF254" s="2798"/>
      <c r="AG254" s="2798"/>
      <c r="AH254" s="2798"/>
      <c r="AI254" s="2798"/>
      <c r="AJ254" s="2798"/>
      <c r="AK254" s="2798"/>
      <c r="AL254" s="2798"/>
      <c r="AM254" s="2798"/>
      <c r="AN254" s="2798"/>
      <c r="AO254" s="2798"/>
      <c r="AP254" s="2798"/>
      <c r="AQ254" s="2798"/>
      <c r="AR254" s="2798"/>
      <c r="AS254" s="2798"/>
      <c r="AT254" s="2798"/>
      <c r="AU254" s="2798"/>
      <c r="AV254" s="2798"/>
      <c r="AW254" s="2798"/>
      <c r="AX254" s="2798"/>
      <c r="AY254" s="2798"/>
      <c r="AZ254" s="2798"/>
      <c r="BA254" s="2798"/>
      <c r="BB254" s="2798"/>
      <c r="BC254" s="2798"/>
      <c r="BD254" s="2798"/>
      <c r="BE254" s="2798"/>
      <c r="BF254" s="2798"/>
      <c r="BG254" s="2798"/>
      <c r="BH254" s="2798"/>
      <c r="BI254" s="2798"/>
      <c r="BJ254" s="2798"/>
      <c r="BK254" s="2798"/>
      <c r="BL254" s="2798"/>
      <c r="BM254" s="2798"/>
      <c r="BN254" s="2798"/>
      <c r="BO254" s="2798"/>
      <c r="BP254" s="2798"/>
    </row>
    <row r="255" spans="12:68">
      <c r="L255" s="2798"/>
      <c r="M255" s="2798"/>
      <c r="N255" s="2798"/>
      <c r="O255" s="2798"/>
      <c r="P255" s="2798"/>
      <c r="Q255" s="2798"/>
      <c r="R255" s="2798"/>
      <c r="S255" s="2798"/>
      <c r="T255" s="2798"/>
      <c r="U255" s="2798"/>
      <c r="V255" s="2798"/>
      <c r="W255" s="2798"/>
      <c r="X255" s="2798"/>
      <c r="Y255" s="2798"/>
      <c r="Z255" s="2798"/>
      <c r="AA255" s="2798"/>
      <c r="AB255" s="2798"/>
      <c r="AC255" s="2798"/>
      <c r="AD255" s="2798"/>
      <c r="AE255" s="2798"/>
      <c r="AF255" s="2798"/>
      <c r="AG255" s="2798"/>
      <c r="AH255" s="2798"/>
      <c r="AI255" s="2798"/>
      <c r="AJ255" s="2798"/>
      <c r="AK255" s="2798"/>
      <c r="AL255" s="2798"/>
      <c r="AM255" s="2798"/>
      <c r="AN255" s="2798"/>
      <c r="AO255" s="2798"/>
      <c r="AP255" s="2798"/>
      <c r="AQ255" s="2798"/>
      <c r="AR255" s="2798"/>
      <c r="AS255" s="2798"/>
      <c r="AT255" s="2798"/>
      <c r="AU255" s="2798"/>
      <c r="AV255" s="2798"/>
      <c r="AW255" s="2798"/>
      <c r="AX255" s="2798"/>
      <c r="AY255" s="2798"/>
      <c r="AZ255" s="2798"/>
      <c r="BA255" s="2798"/>
      <c r="BB255" s="2798"/>
      <c r="BC255" s="2798"/>
      <c r="BD255" s="2798"/>
      <c r="BE255" s="2798"/>
      <c r="BF255" s="2798"/>
      <c r="BG255" s="2798"/>
      <c r="BH255" s="2798"/>
      <c r="BI255" s="2798"/>
      <c r="BJ255" s="2798"/>
      <c r="BK255" s="2798"/>
      <c r="BL255" s="2798"/>
      <c r="BM255" s="2798"/>
      <c r="BN255" s="2798"/>
      <c r="BO255" s="2798"/>
      <c r="BP255" s="2798"/>
    </row>
    <row r="256" spans="12:68">
      <c r="L256" s="2798"/>
      <c r="M256" s="2798"/>
      <c r="N256" s="2798"/>
      <c r="O256" s="2798"/>
      <c r="P256" s="2798"/>
      <c r="Q256" s="2798"/>
      <c r="R256" s="2798"/>
      <c r="S256" s="2798"/>
      <c r="T256" s="2798"/>
      <c r="U256" s="2798"/>
      <c r="V256" s="2798"/>
      <c r="W256" s="2798"/>
      <c r="X256" s="2798"/>
      <c r="Y256" s="2798"/>
      <c r="Z256" s="2798"/>
      <c r="AA256" s="2798"/>
      <c r="AB256" s="2798"/>
      <c r="AC256" s="2798"/>
      <c r="AD256" s="2798"/>
      <c r="AE256" s="2798"/>
      <c r="AF256" s="2798"/>
      <c r="AG256" s="2798"/>
      <c r="AH256" s="2798"/>
      <c r="AI256" s="2798"/>
      <c r="AJ256" s="2798"/>
      <c r="AK256" s="2798"/>
      <c r="AL256" s="2798"/>
      <c r="AM256" s="2798"/>
      <c r="AN256" s="2798"/>
      <c r="AO256" s="2798"/>
      <c r="AP256" s="2798"/>
      <c r="AQ256" s="2798"/>
      <c r="AR256" s="2798"/>
      <c r="AS256" s="2798"/>
      <c r="AT256" s="2798"/>
      <c r="AU256" s="2798"/>
      <c r="AV256" s="2798"/>
      <c r="AW256" s="2798"/>
      <c r="AX256" s="2798"/>
      <c r="AY256" s="2798"/>
      <c r="AZ256" s="2798"/>
      <c r="BA256" s="2798"/>
      <c r="BB256" s="2798"/>
      <c r="BC256" s="2798"/>
      <c r="BD256" s="2798"/>
      <c r="BE256" s="2798"/>
      <c r="BF256" s="2798"/>
      <c r="BG256" s="2798"/>
      <c r="BH256" s="2798"/>
      <c r="BI256" s="2798"/>
      <c r="BJ256" s="2798"/>
      <c r="BK256" s="2798"/>
      <c r="BL256" s="2798"/>
      <c r="BM256" s="2798"/>
      <c r="BN256" s="2798"/>
      <c r="BO256" s="2798"/>
      <c r="BP256" s="2798"/>
    </row>
    <row r="257" spans="12:68">
      <c r="L257" s="2798"/>
      <c r="M257" s="2798"/>
      <c r="N257" s="2798"/>
      <c r="O257" s="2798"/>
      <c r="P257" s="2798"/>
      <c r="Q257" s="2798"/>
      <c r="R257" s="2798"/>
      <c r="S257" s="2798"/>
      <c r="T257" s="2798"/>
      <c r="U257" s="2798"/>
      <c r="V257" s="2798"/>
      <c r="W257" s="2798"/>
      <c r="X257" s="2798"/>
      <c r="Y257" s="2798"/>
      <c r="Z257" s="2798"/>
      <c r="AA257" s="2798"/>
      <c r="AB257" s="2798"/>
      <c r="AC257" s="2798"/>
      <c r="AD257" s="2798"/>
      <c r="AE257" s="2798"/>
      <c r="AF257" s="2798"/>
      <c r="AG257" s="2798"/>
      <c r="AH257" s="2798"/>
      <c r="AI257" s="2798"/>
      <c r="AJ257" s="2798"/>
      <c r="AK257" s="2798"/>
      <c r="AL257" s="2798"/>
      <c r="AM257" s="2798"/>
      <c r="AN257" s="2798"/>
      <c r="AO257" s="2798"/>
      <c r="AP257" s="2798"/>
      <c r="AQ257" s="2798"/>
      <c r="AR257" s="2798"/>
      <c r="AS257" s="2798"/>
      <c r="AT257" s="2798"/>
      <c r="AU257" s="2798"/>
      <c r="AV257" s="2798"/>
      <c r="AW257" s="2798"/>
      <c r="AX257" s="2798"/>
      <c r="AY257" s="2798"/>
      <c r="AZ257" s="2798"/>
      <c r="BA257" s="2798"/>
      <c r="BB257" s="2798"/>
      <c r="BC257" s="2798"/>
      <c r="BD257" s="2798"/>
      <c r="BE257" s="2798"/>
      <c r="BF257" s="2798"/>
      <c r="BG257" s="2798"/>
      <c r="BH257" s="2798"/>
      <c r="BI257" s="2798"/>
      <c r="BJ257" s="2798"/>
      <c r="BK257" s="2798"/>
      <c r="BL257" s="2798"/>
      <c r="BM257" s="2798"/>
      <c r="BN257" s="2798"/>
      <c r="BO257" s="2798"/>
      <c r="BP257" s="2798"/>
    </row>
    <row r="258" spans="12:68">
      <c r="L258" s="2798"/>
      <c r="M258" s="2798"/>
      <c r="N258" s="2798"/>
      <c r="O258" s="2798"/>
      <c r="P258" s="2798"/>
      <c r="Q258" s="2798"/>
      <c r="R258" s="2798"/>
      <c r="S258" s="2798"/>
      <c r="T258" s="2798"/>
      <c r="U258" s="2798"/>
      <c r="V258" s="2798"/>
      <c r="W258" s="2798"/>
      <c r="X258" s="2798"/>
      <c r="Y258" s="2798"/>
      <c r="Z258" s="2798"/>
      <c r="AA258" s="2798"/>
      <c r="AB258" s="2798"/>
      <c r="AC258" s="2798"/>
      <c r="AD258" s="2798"/>
      <c r="AE258" s="2798"/>
      <c r="AF258" s="2798"/>
      <c r="AG258" s="2798"/>
      <c r="AH258" s="2798"/>
      <c r="AI258" s="2798"/>
      <c r="AJ258" s="2798"/>
      <c r="AK258" s="2798"/>
      <c r="AL258" s="2798"/>
      <c r="AM258" s="2798"/>
      <c r="AN258" s="2798"/>
      <c r="AO258" s="2798"/>
      <c r="AP258" s="2798"/>
      <c r="AQ258" s="2798"/>
      <c r="AR258" s="2798"/>
      <c r="AS258" s="2798"/>
      <c r="AT258" s="2798"/>
      <c r="AU258" s="2798"/>
      <c r="AV258" s="2798"/>
      <c r="AW258" s="2798"/>
      <c r="AX258" s="2798"/>
      <c r="AY258" s="2798"/>
      <c r="AZ258" s="2798"/>
      <c r="BA258" s="2798"/>
      <c r="BB258" s="2798"/>
      <c r="BC258" s="2798"/>
      <c r="BD258" s="2798"/>
      <c r="BE258" s="2798"/>
      <c r="BF258" s="2798"/>
      <c r="BG258" s="2798"/>
      <c r="BH258" s="2798"/>
      <c r="BI258" s="2798"/>
      <c r="BJ258" s="2798"/>
      <c r="BK258" s="2798"/>
      <c r="BL258" s="2798"/>
      <c r="BM258" s="2798"/>
      <c r="BN258" s="2798"/>
      <c r="BO258" s="2798"/>
      <c r="BP258" s="2798"/>
    </row>
    <row r="259" spans="12:68">
      <c r="L259" s="2798"/>
      <c r="M259" s="2798"/>
      <c r="N259" s="2798"/>
      <c r="O259" s="2798"/>
      <c r="P259" s="2798"/>
      <c r="Q259" s="2798"/>
      <c r="R259" s="2798"/>
      <c r="S259" s="2798"/>
      <c r="T259" s="2798"/>
      <c r="U259" s="2798"/>
      <c r="V259" s="2798"/>
      <c r="W259" s="2798"/>
      <c r="X259" s="2798"/>
      <c r="Y259" s="2798"/>
      <c r="Z259" s="2798"/>
      <c r="AA259" s="2798"/>
      <c r="AB259" s="2798"/>
      <c r="AC259" s="2798"/>
      <c r="AD259" s="2798"/>
      <c r="AE259" s="2798"/>
      <c r="AF259" s="2798"/>
      <c r="AG259" s="2798"/>
      <c r="AH259" s="2798"/>
      <c r="AI259" s="2798"/>
      <c r="AJ259" s="2798"/>
      <c r="AK259" s="2798"/>
      <c r="AL259" s="2798"/>
      <c r="AM259" s="2798"/>
      <c r="AN259" s="2798"/>
      <c r="AO259" s="2798"/>
      <c r="AP259" s="2798"/>
      <c r="AQ259" s="2798"/>
      <c r="AR259" s="2798"/>
      <c r="AS259" s="2798"/>
      <c r="AT259" s="2798"/>
      <c r="AU259" s="2798"/>
      <c r="AV259" s="2798"/>
      <c r="AW259" s="2798"/>
      <c r="AX259" s="2798"/>
      <c r="AY259" s="2798"/>
      <c r="AZ259" s="2798"/>
      <c r="BA259" s="2798"/>
      <c r="BB259" s="2798"/>
      <c r="BC259" s="2798"/>
      <c r="BD259" s="2798"/>
      <c r="BE259" s="2798"/>
      <c r="BF259" s="2798"/>
      <c r="BG259" s="2798"/>
      <c r="BH259" s="2798"/>
      <c r="BI259" s="2798"/>
      <c r="BJ259" s="2798"/>
      <c r="BK259" s="2798"/>
      <c r="BL259" s="2798"/>
      <c r="BM259" s="2798"/>
      <c r="BN259" s="2798"/>
      <c r="BO259" s="2798"/>
      <c r="BP259" s="2798"/>
    </row>
    <row r="260" spans="12:68">
      <c r="L260" s="2798"/>
      <c r="M260" s="2798"/>
      <c r="N260" s="2798"/>
      <c r="O260" s="2798"/>
      <c r="P260" s="2798"/>
      <c r="Q260" s="2798"/>
      <c r="R260" s="2798"/>
      <c r="S260" s="2798"/>
      <c r="T260" s="2798"/>
      <c r="U260" s="2798"/>
      <c r="V260" s="2798"/>
      <c r="W260" s="2798"/>
      <c r="X260" s="2798"/>
      <c r="Y260" s="2798"/>
      <c r="Z260" s="2798"/>
      <c r="AA260" s="2798"/>
      <c r="AB260" s="2798"/>
      <c r="AC260" s="2798"/>
      <c r="AD260" s="2798"/>
      <c r="AE260" s="2798"/>
      <c r="AF260" s="2798"/>
      <c r="AG260" s="2798"/>
      <c r="AH260" s="2798"/>
      <c r="AI260" s="2798"/>
      <c r="AJ260" s="2798"/>
      <c r="AK260" s="2798"/>
      <c r="AL260" s="2798"/>
      <c r="AM260" s="2798"/>
      <c r="AN260" s="2798"/>
      <c r="AO260" s="2798"/>
      <c r="AP260" s="2798"/>
      <c r="AQ260" s="2798"/>
      <c r="AR260" s="2798"/>
      <c r="AS260" s="2798"/>
      <c r="AT260" s="2798"/>
      <c r="AU260" s="2798"/>
      <c r="AV260" s="2798"/>
      <c r="AW260" s="2798"/>
      <c r="AX260" s="2798"/>
      <c r="AY260" s="2798"/>
      <c r="AZ260" s="2798"/>
      <c r="BA260" s="2798"/>
      <c r="BB260" s="2798"/>
      <c r="BC260" s="2798"/>
      <c r="BD260" s="2798"/>
      <c r="BE260" s="2798"/>
      <c r="BF260" s="2798"/>
      <c r="BG260" s="2798"/>
      <c r="BH260" s="2798"/>
      <c r="BI260" s="2798"/>
      <c r="BJ260" s="2798"/>
      <c r="BK260" s="2798"/>
      <c r="BL260" s="2798"/>
      <c r="BM260" s="2798"/>
      <c r="BN260" s="2798"/>
      <c r="BO260" s="2798"/>
      <c r="BP260" s="2798"/>
    </row>
    <row r="261" spans="12:68">
      <c r="L261" s="2798"/>
      <c r="M261" s="2798"/>
      <c r="N261" s="2798"/>
      <c r="O261" s="2798"/>
      <c r="P261" s="2798"/>
      <c r="Q261" s="2798"/>
      <c r="R261" s="2798"/>
      <c r="S261" s="2798"/>
      <c r="T261" s="2798"/>
      <c r="U261" s="2798"/>
      <c r="V261" s="2798"/>
      <c r="W261" s="2798"/>
      <c r="X261" s="2798"/>
      <c r="Y261" s="2798"/>
      <c r="Z261" s="2798"/>
      <c r="AA261" s="2798"/>
      <c r="AB261" s="2798"/>
      <c r="AC261" s="2798"/>
      <c r="AD261" s="2798"/>
      <c r="AE261" s="2798"/>
      <c r="AF261" s="2798"/>
      <c r="AG261" s="2798"/>
      <c r="AH261" s="2798"/>
      <c r="AI261" s="2798"/>
      <c r="AJ261" s="2798"/>
      <c r="AK261" s="2798"/>
      <c r="AL261" s="2798"/>
      <c r="AM261" s="2798"/>
      <c r="AN261" s="2798"/>
      <c r="AO261" s="2798"/>
      <c r="AP261" s="2798"/>
      <c r="AQ261" s="2798"/>
      <c r="AR261" s="2798"/>
      <c r="AS261" s="2798"/>
      <c r="AT261" s="2798"/>
      <c r="AU261" s="2798"/>
      <c r="AV261" s="2798"/>
      <c r="AW261" s="2798"/>
      <c r="AX261" s="2798"/>
      <c r="AY261" s="2798"/>
      <c r="AZ261" s="2798"/>
      <c r="BA261" s="2798"/>
      <c r="BB261" s="2798"/>
      <c r="BC261" s="2798"/>
      <c r="BD261" s="2798"/>
      <c r="BE261" s="2798"/>
      <c r="BF261" s="2798"/>
      <c r="BG261" s="2798"/>
      <c r="BH261" s="2798"/>
      <c r="BI261" s="2798"/>
      <c r="BJ261" s="2798"/>
      <c r="BK261" s="2798"/>
      <c r="BL261" s="2798"/>
      <c r="BM261" s="2798"/>
      <c r="BN261" s="2798"/>
      <c r="BO261" s="2798"/>
      <c r="BP261" s="2798"/>
    </row>
    <row r="262" spans="12:68">
      <c r="L262" s="2798"/>
      <c r="M262" s="2798"/>
      <c r="N262" s="2798"/>
      <c r="O262" s="2798"/>
      <c r="P262" s="2798"/>
      <c r="Q262" s="2798"/>
      <c r="R262" s="2798"/>
      <c r="S262" s="2798"/>
      <c r="T262" s="2798"/>
      <c r="U262" s="2798"/>
      <c r="V262" s="2798"/>
      <c r="W262" s="2798"/>
      <c r="X262" s="2798"/>
      <c r="Y262" s="2798"/>
      <c r="Z262" s="2798"/>
      <c r="AA262" s="2798"/>
      <c r="AB262" s="2798"/>
      <c r="AC262" s="2798"/>
      <c r="AD262" s="2798"/>
      <c r="AE262" s="2798"/>
      <c r="AF262" s="2798"/>
      <c r="AG262" s="2798"/>
      <c r="AH262" s="2798"/>
      <c r="AI262" s="2798"/>
      <c r="AJ262" s="2798"/>
      <c r="AK262" s="2798"/>
      <c r="AL262" s="2798"/>
      <c r="AM262" s="2798"/>
      <c r="AN262" s="2798"/>
      <c r="AO262" s="2798"/>
      <c r="AP262" s="2798"/>
      <c r="AQ262" s="2798"/>
      <c r="AR262" s="2798"/>
      <c r="AS262" s="2798"/>
      <c r="AT262" s="2798"/>
      <c r="AU262" s="2798"/>
      <c r="AV262" s="2798"/>
      <c r="AW262" s="2798"/>
      <c r="AX262" s="2798"/>
      <c r="AY262" s="2798"/>
      <c r="AZ262" s="2798"/>
      <c r="BA262" s="2798"/>
      <c r="BB262" s="2798"/>
      <c r="BC262" s="2798"/>
      <c r="BD262" s="2798"/>
      <c r="BE262" s="2798"/>
      <c r="BF262" s="2798"/>
      <c r="BG262" s="2798"/>
      <c r="BH262" s="2798"/>
      <c r="BI262" s="2798"/>
      <c r="BJ262" s="2798"/>
      <c r="BK262" s="2798"/>
      <c r="BL262" s="2798"/>
      <c r="BM262" s="2798"/>
      <c r="BN262" s="2798"/>
      <c r="BO262" s="2798"/>
      <c r="BP262" s="2798"/>
    </row>
    <row r="263" spans="12:68">
      <c r="L263" s="2798"/>
      <c r="M263" s="2798"/>
      <c r="N263" s="2798"/>
      <c r="O263" s="2798"/>
      <c r="P263" s="2798"/>
      <c r="Q263" s="2798"/>
      <c r="R263" s="2798"/>
      <c r="S263" s="2798"/>
      <c r="T263" s="2798"/>
      <c r="U263" s="2798"/>
      <c r="V263" s="2798"/>
      <c r="W263" s="2798"/>
      <c r="X263" s="2798"/>
      <c r="Y263" s="2798"/>
      <c r="Z263" s="2798"/>
      <c r="AA263" s="2798"/>
      <c r="AB263" s="2798"/>
      <c r="AC263" s="2798"/>
      <c r="AD263" s="2798"/>
      <c r="AE263" s="2798"/>
      <c r="AF263" s="2798"/>
      <c r="AG263" s="2798"/>
      <c r="AH263" s="2798"/>
      <c r="AI263" s="2798"/>
      <c r="AJ263" s="2798"/>
      <c r="AK263" s="2798"/>
      <c r="AL263" s="2798"/>
      <c r="AM263" s="2798"/>
      <c r="AN263" s="2798"/>
      <c r="AO263" s="2798"/>
      <c r="AP263" s="2798"/>
      <c r="AQ263" s="2798"/>
      <c r="AR263" s="2798"/>
      <c r="AS263" s="2798"/>
      <c r="AT263" s="2798"/>
      <c r="AU263" s="2798"/>
      <c r="AV263" s="2798"/>
      <c r="AW263" s="2798"/>
      <c r="AX263" s="2798"/>
      <c r="AY263" s="2798"/>
      <c r="AZ263" s="2798"/>
      <c r="BA263" s="2798"/>
      <c r="BB263" s="2798"/>
      <c r="BC263" s="2798"/>
      <c r="BD263" s="2798"/>
      <c r="BE263" s="2798"/>
      <c r="BF263" s="2798"/>
      <c r="BG263" s="2798"/>
      <c r="BH263" s="2798"/>
      <c r="BI263" s="2798"/>
      <c r="BJ263" s="2798"/>
      <c r="BK263" s="2798"/>
      <c r="BL263" s="2798"/>
      <c r="BM263" s="2798"/>
      <c r="BN263" s="2798"/>
      <c r="BO263" s="2798"/>
      <c r="BP263" s="2798"/>
    </row>
    <row r="264" spans="12:68">
      <c r="L264" s="2798"/>
      <c r="M264" s="2798"/>
      <c r="N264" s="2798"/>
      <c r="O264" s="2798"/>
      <c r="P264" s="2798"/>
      <c r="Q264" s="2798"/>
      <c r="R264" s="2798"/>
      <c r="S264" s="2798"/>
      <c r="T264" s="2798"/>
      <c r="U264" s="2798"/>
      <c r="V264" s="2798"/>
      <c r="W264" s="2798"/>
      <c r="X264" s="2798"/>
      <c r="Y264" s="2798"/>
      <c r="Z264" s="2798"/>
      <c r="AA264" s="2798"/>
      <c r="AB264" s="2798"/>
      <c r="AC264" s="2798"/>
      <c r="AD264" s="2798"/>
      <c r="AE264" s="2798"/>
      <c r="AF264" s="2798"/>
      <c r="AG264" s="2798"/>
      <c r="AH264" s="2798"/>
      <c r="AI264" s="2798"/>
      <c r="AJ264" s="2798"/>
      <c r="AK264" s="2798"/>
      <c r="AL264" s="2798"/>
      <c r="AM264" s="2798"/>
      <c r="AN264" s="2798"/>
      <c r="AO264" s="2798"/>
      <c r="AP264" s="2798"/>
      <c r="AQ264" s="2798"/>
      <c r="AR264" s="2798"/>
      <c r="AS264" s="2798"/>
      <c r="AT264" s="2798"/>
      <c r="AU264" s="2798"/>
      <c r="AV264" s="2798"/>
      <c r="AW264" s="2798"/>
      <c r="AX264" s="2798"/>
      <c r="AY264" s="2798"/>
      <c r="AZ264" s="2798"/>
      <c r="BA264" s="2798"/>
      <c r="BB264" s="2798"/>
      <c r="BC264" s="2798"/>
      <c r="BD264" s="2798"/>
      <c r="BE264" s="2798"/>
      <c r="BF264" s="2798"/>
      <c r="BG264" s="2798"/>
      <c r="BH264" s="2798"/>
      <c r="BI264" s="2798"/>
      <c r="BJ264" s="2798"/>
      <c r="BK264" s="2798"/>
      <c r="BL264" s="2798"/>
      <c r="BM264" s="2798"/>
      <c r="BN264" s="2798"/>
      <c r="BO264" s="2798"/>
      <c r="BP264" s="2798"/>
    </row>
    <row r="265" spans="12:68">
      <c r="L265" s="2798"/>
      <c r="M265" s="2798"/>
      <c r="N265" s="2798"/>
      <c r="O265" s="2798"/>
      <c r="P265" s="2798"/>
      <c r="Q265" s="2798"/>
      <c r="R265" s="2798"/>
      <c r="S265" s="2798"/>
      <c r="T265" s="2798"/>
      <c r="U265" s="2798"/>
      <c r="V265" s="2798"/>
      <c r="W265" s="2798"/>
      <c r="X265" s="2798"/>
      <c r="Y265" s="2798"/>
      <c r="Z265" s="2798"/>
      <c r="AA265" s="2798"/>
      <c r="AB265" s="2798"/>
      <c r="AC265" s="2798"/>
      <c r="AD265" s="2798"/>
      <c r="AE265" s="2798"/>
      <c r="AF265" s="2798"/>
      <c r="AG265" s="2798"/>
      <c r="AH265" s="2798"/>
      <c r="AI265" s="2798"/>
      <c r="AJ265" s="2798"/>
      <c r="AK265" s="2798"/>
      <c r="AL265" s="2798"/>
      <c r="AM265" s="2798"/>
      <c r="AN265" s="2798"/>
      <c r="AO265" s="2798"/>
      <c r="AP265" s="2798"/>
      <c r="AQ265" s="2798"/>
      <c r="AR265" s="2798"/>
      <c r="AS265" s="2798"/>
      <c r="AT265" s="2798"/>
      <c r="AU265" s="2798"/>
      <c r="AV265" s="2798"/>
      <c r="AW265" s="2798"/>
      <c r="AX265" s="2798"/>
      <c r="AY265" s="2798"/>
      <c r="AZ265" s="2798"/>
      <c r="BA265" s="2798"/>
      <c r="BB265" s="2798"/>
      <c r="BC265" s="2798"/>
      <c r="BD265" s="2798"/>
      <c r="BE265" s="2798"/>
      <c r="BF265" s="2798"/>
      <c r="BG265" s="2798"/>
      <c r="BH265" s="2798"/>
      <c r="BI265" s="2798"/>
      <c r="BJ265" s="2798"/>
      <c r="BK265" s="2798"/>
      <c r="BL265" s="2798"/>
      <c r="BM265" s="2798"/>
      <c r="BN265" s="2798"/>
      <c r="BO265" s="2798"/>
      <c r="BP265" s="2798"/>
    </row>
    <row r="266" spans="12:68">
      <c r="L266" s="2798"/>
      <c r="M266" s="2798"/>
      <c r="N266" s="2798"/>
      <c r="O266" s="2798"/>
      <c r="P266" s="2798"/>
      <c r="Q266" s="2798"/>
      <c r="R266" s="2798"/>
      <c r="S266" s="2798"/>
      <c r="T266" s="2798"/>
      <c r="U266" s="2798"/>
      <c r="V266" s="2798"/>
      <c r="W266" s="2798"/>
      <c r="X266" s="2798"/>
      <c r="Y266" s="2798"/>
      <c r="Z266" s="2798"/>
      <c r="AA266" s="2798"/>
      <c r="AB266" s="2798"/>
      <c r="AC266" s="2798"/>
      <c r="AD266" s="2798"/>
      <c r="AE266" s="2798"/>
      <c r="AF266" s="2798"/>
      <c r="AG266" s="2798"/>
      <c r="AH266" s="2798"/>
      <c r="AI266" s="2798"/>
      <c r="AJ266" s="2798"/>
      <c r="AK266" s="2798"/>
      <c r="AL266" s="2798"/>
      <c r="AM266" s="2798"/>
      <c r="AN266" s="2798"/>
      <c r="AO266" s="2798"/>
      <c r="AP266" s="2798"/>
      <c r="AQ266" s="2798"/>
      <c r="AR266" s="2798"/>
      <c r="AS266" s="2798"/>
      <c r="AT266" s="2798"/>
      <c r="AU266" s="2798"/>
      <c r="AV266" s="2798"/>
      <c r="AW266" s="2798"/>
      <c r="AX266" s="2798"/>
      <c r="AY266" s="2798"/>
      <c r="AZ266" s="2798"/>
      <c r="BA266" s="2798"/>
      <c r="BB266" s="2798"/>
      <c r="BC266" s="2798"/>
      <c r="BD266" s="2798"/>
      <c r="BE266" s="2798"/>
      <c r="BF266" s="2798"/>
      <c r="BG266" s="2798"/>
      <c r="BH266" s="2798"/>
      <c r="BI266" s="2798"/>
      <c r="BJ266" s="2798"/>
      <c r="BK266" s="2798"/>
      <c r="BL266" s="2798"/>
      <c r="BM266" s="2798"/>
      <c r="BN266" s="2798"/>
      <c r="BO266" s="2798"/>
      <c r="BP266" s="2798"/>
    </row>
    <row r="267" spans="12:68">
      <c r="L267" s="2798"/>
      <c r="M267" s="2798"/>
      <c r="N267" s="2798"/>
      <c r="O267" s="2798"/>
      <c r="P267" s="2798"/>
      <c r="Q267" s="2798"/>
      <c r="R267" s="2798"/>
      <c r="S267" s="2798"/>
      <c r="T267" s="2798"/>
      <c r="U267" s="2798"/>
      <c r="V267" s="2798"/>
      <c r="W267" s="2798"/>
      <c r="X267" s="2798"/>
      <c r="Y267" s="2798"/>
      <c r="Z267" s="2798"/>
      <c r="AA267" s="2798"/>
      <c r="AB267" s="2798"/>
      <c r="AC267" s="2798"/>
      <c r="AD267" s="2798"/>
      <c r="AE267" s="2798"/>
      <c r="AF267" s="2798"/>
      <c r="AG267" s="2798"/>
      <c r="AH267" s="2798"/>
      <c r="AI267" s="2798"/>
      <c r="AJ267" s="2798"/>
      <c r="AK267" s="2798"/>
      <c r="AL267" s="2798"/>
      <c r="AM267" s="2798"/>
      <c r="AN267" s="2798"/>
      <c r="AO267" s="2798"/>
      <c r="AP267" s="2798"/>
      <c r="AQ267" s="2798"/>
      <c r="AR267" s="2798"/>
      <c r="AS267" s="2798"/>
      <c r="AT267" s="2798"/>
      <c r="AU267" s="2798"/>
      <c r="AV267" s="2798"/>
      <c r="AW267" s="2798"/>
      <c r="AX267" s="2798"/>
      <c r="AY267" s="2798"/>
      <c r="AZ267" s="2798"/>
      <c r="BA267" s="2798"/>
      <c r="BB267" s="2798"/>
      <c r="BC267" s="2798"/>
      <c r="BD267" s="2798"/>
      <c r="BE267" s="2798"/>
      <c r="BF267" s="2798"/>
      <c r="BG267" s="2798"/>
      <c r="BH267" s="2798"/>
      <c r="BI267" s="2798"/>
      <c r="BJ267" s="2798"/>
      <c r="BK267" s="2798"/>
      <c r="BL267" s="2798"/>
      <c r="BM267" s="2798"/>
      <c r="BN267" s="2798"/>
      <c r="BO267" s="2798"/>
      <c r="BP267" s="2798"/>
    </row>
    <row r="268" spans="12:68">
      <c r="L268" s="2798"/>
      <c r="M268" s="2798"/>
      <c r="N268" s="2798"/>
      <c r="O268" s="2798"/>
      <c r="P268" s="2798"/>
      <c r="Q268" s="2798"/>
      <c r="R268" s="2798"/>
      <c r="S268" s="2798"/>
      <c r="T268" s="2798"/>
      <c r="U268" s="2798"/>
      <c r="V268" s="2798"/>
      <c r="W268" s="2798"/>
      <c r="X268" s="2798"/>
      <c r="Y268" s="2798"/>
      <c r="Z268" s="2798"/>
      <c r="AA268" s="2798"/>
      <c r="AB268" s="2798"/>
      <c r="AC268" s="2798"/>
      <c r="AD268" s="2798"/>
      <c r="AE268" s="2798"/>
      <c r="AF268" s="2798"/>
      <c r="AG268" s="2798"/>
      <c r="AH268" s="2798"/>
      <c r="AI268" s="2798"/>
      <c r="AJ268" s="2798"/>
      <c r="AK268" s="2798"/>
      <c r="AL268" s="2798"/>
      <c r="AM268" s="2798"/>
      <c r="AN268" s="2798"/>
      <c r="AO268" s="2798"/>
      <c r="AP268" s="2798"/>
      <c r="AQ268" s="2798"/>
      <c r="AR268" s="2798"/>
      <c r="AS268" s="2798"/>
      <c r="AT268" s="2798"/>
      <c r="AU268" s="2798"/>
      <c r="AV268" s="2798"/>
      <c r="AW268" s="2798"/>
      <c r="AX268" s="2798"/>
      <c r="AY268" s="2798"/>
      <c r="AZ268" s="2798"/>
      <c r="BA268" s="2798"/>
      <c r="BB268" s="2798"/>
      <c r="BC268" s="2798"/>
      <c r="BD268" s="2798"/>
      <c r="BE268" s="2798"/>
      <c r="BF268" s="2798"/>
      <c r="BG268" s="2798"/>
      <c r="BH268" s="2798"/>
      <c r="BI268" s="2798"/>
      <c r="BJ268" s="2798"/>
      <c r="BK268" s="2798"/>
      <c r="BL268" s="2798"/>
      <c r="BM268" s="2798"/>
      <c r="BN268" s="2798"/>
      <c r="BO268" s="2798"/>
      <c r="BP268" s="2798"/>
    </row>
    <row r="269" spans="12:68">
      <c r="L269" s="2798"/>
      <c r="M269" s="2798"/>
      <c r="N269" s="2798"/>
      <c r="O269" s="2798"/>
      <c r="P269" s="2798"/>
      <c r="Q269" s="2798"/>
      <c r="R269" s="2798"/>
      <c r="S269" s="2798"/>
      <c r="T269" s="2798"/>
      <c r="U269" s="2798"/>
      <c r="V269" s="2798"/>
      <c r="W269" s="2798"/>
      <c r="X269" s="2798"/>
      <c r="Y269" s="2798"/>
      <c r="Z269" s="2798"/>
      <c r="AA269" s="2798"/>
      <c r="AB269" s="2798"/>
      <c r="AC269" s="2798"/>
      <c r="AD269" s="2798"/>
      <c r="AE269" s="2798"/>
      <c r="AF269" s="2798"/>
      <c r="AG269" s="2798"/>
      <c r="AH269" s="2798"/>
      <c r="AI269" s="2798"/>
      <c r="AJ269" s="2798"/>
      <c r="AK269" s="2798"/>
      <c r="AL269" s="2798"/>
      <c r="AM269" s="2798"/>
      <c r="AN269" s="2798"/>
      <c r="AO269" s="2798"/>
      <c r="AP269" s="2798"/>
      <c r="AQ269" s="2798"/>
      <c r="AR269" s="2798"/>
      <c r="AS269" s="2798"/>
      <c r="AT269" s="2798"/>
      <c r="AU269" s="2798"/>
      <c r="AV269" s="2798"/>
      <c r="AW269" s="2798"/>
      <c r="AX269" s="2798"/>
      <c r="AY269" s="2798"/>
      <c r="AZ269" s="2798"/>
      <c r="BA269" s="2798"/>
      <c r="BB269" s="2798"/>
      <c r="BC269" s="2798"/>
      <c r="BD269" s="2798"/>
      <c r="BE269" s="2798"/>
      <c r="BF269" s="2798"/>
      <c r="BG269" s="2798"/>
      <c r="BH269" s="2798"/>
      <c r="BI269" s="2798"/>
      <c r="BJ269" s="2798"/>
      <c r="BK269" s="2798"/>
      <c r="BL269" s="2798"/>
      <c r="BM269" s="2798"/>
      <c r="BN269" s="2798"/>
      <c r="BO269" s="2798"/>
      <c r="BP269" s="2798"/>
    </row>
    <row r="270" spans="12:68">
      <c r="L270" s="2798"/>
      <c r="M270" s="2798"/>
      <c r="N270" s="2798"/>
      <c r="O270" s="2798"/>
      <c r="P270" s="2798"/>
      <c r="Q270" s="2798"/>
      <c r="R270" s="2798"/>
      <c r="S270" s="2798"/>
      <c r="T270" s="2798"/>
      <c r="U270" s="2798"/>
      <c r="V270" s="2798"/>
      <c r="W270" s="2798"/>
      <c r="X270" s="2798"/>
      <c r="Y270" s="2798"/>
      <c r="Z270" s="2798"/>
      <c r="AA270" s="2798"/>
      <c r="AB270" s="2798"/>
      <c r="AC270" s="2798"/>
      <c r="AD270" s="2798"/>
      <c r="AE270" s="2798"/>
      <c r="AF270" s="2798"/>
      <c r="AG270" s="2798"/>
      <c r="AH270" s="2798"/>
      <c r="AI270" s="2798"/>
      <c r="AJ270" s="2798"/>
      <c r="AK270" s="2798"/>
      <c r="AL270" s="2798"/>
      <c r="AM270" s="2798"/>
      <c r="AN270" s="2798"/>
      <c r="AO270" s="2798"/>
      <c r="AP270" s="2798"/>
      <c r="AQ270" s="2798"/>
      <c r="AR270" s="2798"/>
      <c r="AS270" s="2798"/>
      <c r="AT270" s="2798"/>
      <c r="AU270" s="2798"/>
      <c r="AV270" s="2798"/>
      <c r="AW270" s="2798"/>
      <c r="AX270" s="2798"/>
      <c r="AY270" s="2798"/>
      <c r="AZ270" s="2798"/>
      <c r="BA270" s="2798"/>
      <c r="BB270" s="2798"/>
      <c r="BC270" s="2798"/>
      <c r="BD270" s="2798"/>
      <c r="BE270" s="2798"/>
      <c r="BF270" s="2798"/>
      <c r="BG270" s="2798"/>
      <c r="BH270" s="2798"/>
      <c r="BI270" s="2798"/>
      <c r="BJ270" s="2798"/>
      <c r="BK270" s="2798"/>
      <c r="BL270" s="2798"/>
      <c r="BM270" s="2798"/>
      <c r="BN270" s="2798"/>
      <c r="BO270" s="2798"/>
      <c r="BP270" s="2798"/>
    </row>
    <row r="271" spans="12:68">
      <c r="L271" s="2798"/>
      <c r="M271" s="2798"/>
      <c r="N271" s="2798"/>
      <c r="O271" s="2798"/>
      <c r="P271" s="2798"/>
      <c r="Q271" s="2798"/>
      <c r="R271" s="2798"/>
      <c r="S271" s="2798"/>
      <c r="T271" s="2798"/>
      <c r="U271" s="2798"/>
      <c r="V271" s="2798"/>
      <c r="W271" s="2798"/>
      <c r="X271" s="2798"/>
      <c r="Y271" s="2798"/>
      <c r="Z271" s="2798"/>
      <c r="AA271" s="2798"/>
      <c r="AB271" s="2798"/>
      <c r="AC271" s="2798"/>
      <c r="AD271" s="2798"/>
      <c r="AE271" s="2798"/>
      <c r="AF271" s="2798"/>
      <c r="AG271" s="2798"/>
      <c r="AH271" s="2798"/>
      <c r="AI271" s="2798"/>
      <c r="AJ271" s="2798"/>
      <c r="AK271" s="2798"/>
      <c r="AL271" s="2798"/>
      <c r="AM271" s="2798"/>
      <c r="AN271" s="2798"/>
      <c r="AO271" s="2798"/>
      <c r="AP271" s="2798"/>
      <c r="AQ271" s="2798"/>
      <c r="AR271" s="2798"/>
      <c r="AS271" s="2798"/>
      <c r="AT271" s="2798"/>
      <c r="AU271" s="2798"/>
      <c r="AV271" s="2798"/>
      <c r="AW271" s="2798"/>
      <c r="AX271" s="2798"/>
      <c r="AY271" s="2798"/>
      <c r="AZ271" s="2798"/>
      <c r="BA271" s="2798"/>
      <c r="BB271" s="2798"/>
      <c r="BC271" s="2798"/>
      <c r="BD271" s="2798"/>
      <c r="BE271" s="2798"/>
      <c r="BF271" s="2798"/>
      <c r="BG271" s="2798"/>
      <c r="BH271" s="2798"/>
      <c r="BI271" s="2798"/>
      <c r="BJ271" s="2798"/>
      <c r="BK271" s="2798"/>
      <c r="BL271" s="2798"/>
      <c r="BM271" s="2798"/>
      <c r="BN271" s="2798"/>
      <c r="BO271" s="2798"/>
      <c r="BP271" s="2798"/>
    </row>
    <row r="272" spans="12:68">
      <c r="L272" s="2798"/>
      <c r="M272" s="2798"/>
      <c r="N272" s="2798"/>
      <c r="O272" s="2798"/>
      <c r="P272" s="2798"/>
      <c r="Q272" s="2798"/>
      <c r="R272" s="2798"/>
      <c r="S272" s="2798"/>
      <c r="T272" s="2798"/>
      <c r="U272" s="2798"/>
      <c r="V272" s="2798"/>
      <c r="W272" s="2798"/>
      <c r="X272" s="2798"/>
      <c r="Y272" s="2798"/>
      <c r="Z272" s="2798"/>
      <c r="AA272" s="2798"/>
      <c r="AB272" s="2798"/>
      <c r="AC272" s="2798"/>
      <c r="AD272" s="2798"/>
      <c r="AE272" s="2798"/>
      <c r="AF272" s="2798"/>
      <c r="AG272" s="2798"/>
      <c r="AH272" s="2798"/>
      <c r="AI272" s="2798"/>
      <c r="AJ272" s="2798"/>
      <c r="AK272" s="2798"/>
      <c r="AL272" s="2798"/>
      <c r="AM272" s="2798"/>
      <c r="AN272" s="2798"/>
      <c r="AO272" s="2798"/>
      <c r="AP272" s="2798"/>
      <c r="AQ272" s="2798"/>
      <c r="AR272" s="2798"/>
      <c r="AS272" s="2798"/>
      <c r="AT272" s="2798"/>
      <c r="AU272" s="2798"/>
      <c r="AV272" s="2798"/>
      <c r="AW272" s="2798"/>
      <c r="AX272" s="2798"/>
      <c r="AY272" s="2798"/>
      <c r="AZ272" s="2798"/>
      <c r="BA272" s="2798"/>
      <c r="BB272" s="2798"/>
      <c r="BC272" s="2798"/>
      <c r="BD272" s="2798"/>
      <c r="BE272" s="2798"/>
      <c r="BF272" s="2798"/>
      <c r="BG272" s="2798"/>
      <c r="BH272" s="2798"/>
      <c r="BI272" s="2798"/>
      <c r="BJ272" s="2798"/>
      <c r="BK272" s="2798"/>
      <c r="BL272" s="2798"/>
      <c r="BM272" s="2798"/>
      <c r="BN272" s="2798"/>
      <c r="BO272" s="2798"/>
      <c r="BP272" s="2798"/>
    </row>
    <row r="273" spans="12:68">
      <c r="L273" s="2798"/>
      <c r="M273" s="2798"/>
      <c r="N273" s="2798"/>
      <c r="O273" s="2798"/>
      <c r="P273" s="2798"/>
      <c r="Q273" s="2798"/>
      <c r="R273" s="2798"/>
      <c r="S273" s="2798"/>
      <c r="T273" s="2798"/>
      <c r="U273" s="2798"/>
      <c r="V273" s="2798"/>
      <c r="W273" s="2798"/>
      <c r="X273" s="2798"/>
      <c r="Y273" s="2798"/>
      <c r="Z273" s="2798"/>
      <c r="AA273" s="2798"/>
      <c r="AB273" s="2798"/>
      <c r="AC273" s="2798"/>
      <c r="AD273" s="2798"/>
      <c r="AE273" s="2798"/>
      <c r="AF273" s="2798"/>
      <c r="AG273" s="2798"/>
      <c r="AH273" s="2798"/>
      <c r="AI273" s="2798"/>
      <c r="AJ273" s="2798"/>
      <c r="AK273" s="2798"/>
      <c r="AL273" s="2798"/>
      <c r="AM273" s="2798"/>
      <c r="AN273" s="2798"/>
      <c r="AO273" s="2798"/>
      <c r="AP273" s="2798"/>
      <c r="AQ273" s="2798"/>
      <c r="AR273" s="2798"/>
      <c r="AS273" s="2798"/>
      <c r="AT273" s="2798"/>
      <c r="AU273" s="2798"/>
      <c r="AV273" s="2798"/>
      <c r="AW273" s="2798"/>
      <c r="AX273" s="2798"/>
      <c r="AY273" s="2798"/>
      <c r="AZ273" s="2798"/>
      <c r="BA273" s="2798"/>
      <c r="BB273" s="2798"/>
      <c r="BC273" s="2798"/>
      <c r="BD273" s="2798"/>
      <c r="BE273" s="2798"/>
      <c r="BF273" s="2798"/>
      <c r="BG273" s="2798"/>
      <c r="BH273" s="2798"/>
      <c r="BI273" s="2798"/>
      <c r="BJ273" s="2798"/>
      <c r="BK273" s="2798"/>
      <c r="BL273" s="2798"/>
      <c r="BM273" s="2798"/>
      <c r="BN273" s="2798"/>
      <c r="BO273" s="2798"/>
      <c r="BP273" s="2798"/>
    </row>
    <row r="274" spans="12:68">
      <c r="L274" s="2798"/>
      <c r="M274" s="2798"/>
      <c r="N274" s="2798"/>
      <c r="O274" s="2798"/>
      <c r="P274" s="2798"/>
      <c r="Q274" s="2798"/>
      <c r="R274" s="2798"/>
      <c r="S274" s="2798"/>
      <c r="T274" s="2798"/>
      <c r="U274" s="2798"/>
      <c r="V274" s="2798"/>
      <c r="W274" s="2798"/>
      <c r="X274" s="2798"/>
      <c r="Y274" s="2798"/>
      <c r="Z274" s="2798"/>
      <c r="AA274" s="2798"/>
      <c r="AB274" s="2798"/>
      <c r="AC274" s="2798"/>
      <c r="AD274" s="2798"/>
      <c r="AE274" s="2798"/>
      <c r="AF274" s="2798"/>
      <c r="AG274" s="2798"/>
      <c r="AH274" s="2798"/>
      <c r="AI274" s="2798"/>
      <c r="AJ274" s="2798"/>
      <c r="AK274" s="2798"/>
      <c r="AL274" s="2798"/>
      <c r="AM274" s="2798"/>
      <c r="AN274" s="2798"/>
      <c r="AO274" s="2798"/>
      <c r="AP274" s="2798"/>
      <c r="AQ274" s="2798"/>
      <c r="AR274" s="2798"/>
      <c r="AS274" s="2798"/>
      <c r="AT274" s="2798"/>
      <c r="AU274" s="2798"/>
      <c r="AV274" s="2798"/>
      <c r="AW274" s="2798"/>
      <c r="AX274" s="2798"/>
      <c r="AY274" s="2798"/>
      <c r="AZ274" s="2798"/>
      <c r="BA274" s="2798"/>
      <c r="BB274" s="2798"/>
      <c r="BC274" s="2798"/>
      <c r="BD274" s="2798"/>
      <c r="BE274" s="2798"/>
      <c r="BF274" s="2798"/>
      <c r="BG274" s="2798"/>
      <c r="BH274" s="2798"/>
      <c r="BI274" s="2798"/>
      <c r="BJ274" s="2798"/>
      <c r="BK274" s="2798"/>
      <c r="BL274" s="2798"/>
      <c r="BM274" s="2798"/>
      <c r="BN274" s="2798"/>
      <c r="BO274" s="2798"/>
      <c r="BP274" s="2798"/>
    </row>
    <row r="275" spans="12:68">
      <c r="L275" s="2798"/>
      <c r="M275" s="2798"/>
      <c r="N275" s="2798"/>
      <c r="O275" s="2798"/>
      <c r="P275" s="2798"/>
      <c r="Q275" s="2798"/>
      <c r="R275" s="2798"/>
      <c r="S275" s="2798"/>
      <c r="T275" s="2798"/>
      <c r="U275" s="2798"/>
      <c r="V275" s="2798"/>
      <c r="W275" s="2798"/>
      <c r="X275" s="2798"/>
      <c r="Y275" s="2798"/>
      <c r="Z275" s="2798"/>
      <c r="AA275" s="2798"/>
      <c r="AB275" s="2798"/>
      <c r="AC275" s="2798"/>
      <c r="AD275" s="2798"/>
      <c r="AE275" s="2798"/>
      <c r="AF275" s="2798"/>
      <c r="AG275" s="2798"/>
      <c r="AH275" s="2798"/>
      <c r="AI275" s="2798"/>
      <c r="AJ275" s="2798"/>
      <c r="AK275" s="2798"/>
      <c r="AL275" s="2798"/>
      <c r="AM275" s="2798"/>
      <c r="AN275" s="2798"/>
      <c r="AO275" s="2798"/>
      <c r="AP275" s="2798"/>
      <c r="AQ275" s="2798"/>
      <c r="AR275" s="2798"/>
      <c r="AS275" s="2798"/>
      <c r="AT275" s="2798"/>
      <c r="AU275" s="2798"/>
      <c r="AV275" s="2798"/>
      <c r="AW275" s="2798"/>
      <c r="AX275" s="2798"/>
      <c r="AY275" s="2798"/>
      <c r="AZ275" s="2798"/>
      <c r="BA275" s="2798"/>
      <c r="BB275" s="2798"/>
      <c r="BC275" s="2798"/>
      <c r="BD275" s="2798"/>
      <c r="BE275" s="2798"/>
      <c r="BF275" s="2798"/>
      <c r="BG275" s="2798"/>
      <c r="BH275" s="2798"/>
      <c r="BI275" s="2798"/>
      <c r="BJ275" s="2798"/>
      <c r="BK275" s="2798"/>
      <c r="BL275" s="2798"/>
      <c r="BM275" s="2798"/>
      <c r="BN275" s="2798"/>
      <c r="BO275" s="2798"/>
      <c r="BP275" s="2798"/>
    </row>
    <row r="276" spans="12:68">
      <c r="L276" s="2798"/>
      <c r="M276" s="2798"/>
      <c r="N276" s="2798"/>
      <c r="O276" s="2798"/>
      <c r="P276" s="2798"/>
      <c r="Q276" s="2798"/>
      <c r="R276" s="2798"/>
      <c r="S276" s="2798"/>
      <c r="T276" s="2798"/>
      <c r="U276" s="2798"/>
      <c r="V276" s="2798"/>
      <c r="W276" s="2798"/>
      <c r="X276" s="2798"/>
      <c r="Y276" s="2798"/>
      <c r="Z276" s="2798"/>
      <c r="AA276" s="2798"/>
      <c r="AB276" s="2798"/>
      <c r="AC276" s="2798"/>
      <c r="AD276" s="2798"/>
      <c r="AE276" s="2798"/>
      <c r="AF276" s="2798"/>
      <c r="AG276" s="2798"/>
      <c r="AH276" s="2798"/>
      <c r="AI276" s="2798"/>
      <c r="AJ276" s="2798"/>
      <c r="AK276" s="2798"/>
      <c r="AL276" s="2798"/>
      <c r="AM276" s="2798"/>
      <c r="AN276" s="2798"/>
      <c r="AO276" s="2798"/>
      <c r="AP276" s="2798"/>
      <c r="AQ276" s="2798"/>
      <c r="AR276" s="2798"/>
      <c r="AS276" s="2798"/>
      <c r="AT276" s="2798"/>
      <c r="AU276" s="2798"/>
      <c r="AV276" s="2798"/>
      <c r="AW276" s="2798"/>
      <c r="AX276" s="2798"/>
      <c r="AY276" s="2798"/>
      <c r="AZ276" s="2798"/>
      <c r="BA276" s="2798"/>
      <c r="BB276" s="2798"/>
      <c r="BC276" s="2798"/>
      <c r="BD276" s="2798"/>
      <c r="BE276" s="2798"/>
      <c r="BF276" s="2798"/>
      <c r="BG276" s="2798"/>
      <c r="BH276" s="2798"/>
      <c r="BI276" s="2798"/>
      <c r="BJ276" s="2798"/>
      <c r="BK276" s="2798"/>
      <c r="BL276" s="2798"/>
      <c r="BM276" s="2798"/>
      <c r="BN276" s="2798"/>
      <c r="BO276" s="2798"/>
      <c r="BP276" s="2798"/>
    </row>
    <row r="277" spans="12:68">
      <c r="L277" s="2798"/>
      <c r="M277" s="2798"/>
      <c r="N277" s="2798"/>
      <c r="O277" s="2798"/>
      <c r="P277" s="2798"/>
      <c r="Q277" s="2798"/>
      <c r="R277" s="2798"/>
      <c r="S277" s="2798"/>
      <c r="T277" s="2798"/>
      <c r="U277" s="2798"/>
      <c r="V277" s="2798"/>
      <c r="W277" s="2798"/>
      <c r="X277" s="2798"/>
      <c r="Y277" s="2798"/>
      <c r="Z277" s="2798"/>
      <c r="AA277" s="2798"/>
      <c r="AB277" s="2798"/>
      <c r="AC277" s="2798"/>
      <c r="AD277" s="2798"/>
      <c r="AE277" s="2798"/>
      <c r="AF277" s="2798"/>
      <c r="AG277" s="2798"/>
      <c r="AH277" s="2798"/>
      <c r="AI277" s="2798"/>
      <c r="AJ277" s="2798"/>
      <c r="AK277" s="2798"/>
      <c r="AL277" s="2798"/>
      <c r="AM277" s="2798"/>
      <c r="AN277" s="2798"/>
      <c r="AO277" s="2798"/>
      <c r="AP277" s="2798"/>
      <c r="AQ277" s="2798"/>
      <c r="AR277" s="2798"/>
      <c r="AS277" s="2798"/>
      <c r="AT277" s="2798"/>
      <c r="AU277" s="2798"/>
      <c r="AV277" s="2798"/>
      <c r="AW277" s="2798"/>
      <c r="AX277" s="2798"/>
      <c r="AY277" s="2798"/>
      <c r="AZ277" s="2798"/>
      <c r="BA277" s="2798"/>
      <c r="BB277" s="2798"/>
      <c r="BC277" s="2798"/>
      <c r="BD277" s="2798"/>
      <c r="BE277" s="2798"/>
      <c r="BF277" s="2798"/>
      <c r="BG277" s="2798"/>
      <c r="BH277" s="2798"/>
      <c r="BI277" s="2798"/>
      <c r="BJ277" s="2798"/>
      <c r="BK277" s="2798"/>
      <c r="BL277" s="2798"/>
      <c r="BM277" s="2798"/>
      <c r="BN277" s="2798"/>
      <c r="BO277" s="2798"/>
      <c r="BP277" s="2798"/>
    </row>
    <row r="278" spans="12:68">
      <c r="L278" s="2798"/>
      <c r="M278" s="2798"/>
      <c r="N278" s="2798"/>
      <c r="O278" s="2798"/>
      <c r="P278" s="2798"/>
      <c r="Q278" s="2798"/>
      <c r="R278" s="2798"/>
      <c r="S278" s="2798"/>
      <c r="T278" s="2798"/>
      <c r="U278" s="2798"/>
      <c r="V278" s="2798"/>
      <c r="W278" s="2798"/>
      <c r="X278" s="2798"/>
      <c r="Y278" s="2798"/>
      <c r="Z278" s="2798"/>
      <c r="AA278" s="2798"/>
      <c r="AB278" s="2798"/>
      <c r="AC278" s="2798"/>
      <c r="AD278" s="2798"/>
      <c r="AE278" s="2798"/>
      <c r="AF278" s="2798"/>
      <c r="AG278" s="2798"/>
      <c r="AH278" s="2798"/>
      <c r="AI278" s="2798"/>
      <c r="AJ278" s="2798"/>
      <c r="AK278" s="2798"/>
      <c r="AL278" s="2798"/>
      <c r="AM278" s="2798"/>
      <c r="AN278" s="2798"/>
      <c r="AO278" s="2798"/>
      <c r="AP278" s="2798"/>
      <c r="AQ278" s="2798"/>
      <c r="AR278" s="2798"/>
      <c r="AS278" s="2798"/>
      <c r="AT278" s="2798"/>
      <c r="AU278" s="2798"/>
      <c r="AV278" s="2798"/>
      <c r="AW278" s="2798"/>
      <c r="AX278" s="2798"/>
      <c r="AY278" s="2798"/>
      <c r="AZ278" s="2798"/>
      <c r="BA278" s="2798"/>
      <c r="BB278" s="2798"/>
      <c r="BC278" s="2798"/>
      <c r="BD278" s="2798"/>
      <c r="BE278" s="2798"/>
      <c r="BF278" s="2798"/>
      <c r="BG278" s="2798"/>
      <c r="BH278" s="2798"/>
      <c r="BI278" s="2798"/>
      <c r="BJ278" s="2798"/>
      <c r="BK278" s="2798"/>
      <c r="BL278" s="2798"/>
      <c r="BM278" s="2798"/>
      <c r="BN278" s="2798"/>
      <c r="BO278" s="2798"/>
      <c r="BP278" s="2798"/>
    </row>
    <row r="279" spans="12:68">
      <c r="L279" s="2798"/>
      <c r="M279" s="2798"/>
      <c r="N279" s="2798"/>
      <c r="O279" s="2798"/>
      <c r="P279" s="2798"/>
      <c r="Q279" s="2798"/>
      <c r="R279" s="2798"/>
      <c r="S279" s="2798"/>
      <c r="T279" s="2798"/>
      <c r="U279" s="2798"/>
      <c r="V279" s="2798"/>
      <c r="W279" s="2798"/>
      <c r="X279" s="2798"/>
      <c r="Y279" s="2798"/>
      <c r="Z279" s="2798"/>
      <c r="AA279" s="2798"/>
      <c r="AB279" s="2798"/>
      <c r="AC279" s="2798"/>
      <c r="AD279" s="2798"/>
      <c r="AE279" s="2798"/>
      <c r="AF279" s="2798"/>
      <c r="AG279" s="2798"/>
      <c r="AH279" s="2798"/>
      <c r="AI279" s="2798"/>
      <c r="AJ279" s="2798"/>
      <c r="AK279" s="2798"/>
      <c r="AL279" s="2798"/>
      <c r="AM279" s="2798"/>
      <c r="AN279" s="2798"/>
      <c r="AO279" s="2798"/>
      <c r="AP279" s="2798"/>
      <c r="AQ279" s="2798"/>
      <c r="AR279" s="2798"/>
      <c r="AS279" s="2798"/>
      <c r="AT279" s="2798"/>
      <c r="AU279" s="2798"/>
      <c r="AV279" s="2798"/>
      <c r="AW279" s="2798"/>
      <c r="AX279" s="2798"/>
      <c r="AY279" s="2798"/>
      <c r="AZ279" s="2798"/>
      <c r="BA279" s="2798"/>
      <c r="BB279" s="2798"/>
      <c r="BC279" s="2798"/>
      <c r="BD279" s="2798"/>
      <c r="BE279" s="2798"/>
      <c r="BF279" s="2798"/>
      <c r="BG279" s="2798"/>
      <c r="BH279" s="2798"/>
      <c r="BI279" s="2798"/>
      <c r="BJ279" s="2798"/>
      <c r="BK279" s="2798"/>
      <c r="BL279" s="2798"/>
      <c r="BM279" s="2798"/>
      <c r="BN279" s="2798"/>
      <c r="BO279" s="2798"/>
      <c r="BP279" s="2798"/>
    </row>
    <row r="280" spans="12:68">
      <c r="L280" s="2798"/>
      <c r="M280" s="2798"/>
      <c r="N280" s="2798"/>
      <c r="O280" s="2798"/>
      <c r="P280" s="2798"/>
      <c r="Q280" s="2798"/>
      <c r="R280" s="2798"/>
      <c r="S280" s="2798"/>
      <c r="T280" s="2798"/>
      <c r="U280" s="2798"/>
      <c r="V280" s="2798"/>
      <c r="W280" s="2798"/>
      <c r="X280" s="2798"/>
      <c r="Y280" s="2798"/>
      <c r="Z280" s="2798"/>
      <c r="AA280" s="2798"/>
      <c r="AB280" s="2798"/>
      <c r="AC280" s="2798"/>
      <c r="AD280" s="2798"/>
      <c r="AE280" s="2798"/>
      <c r="AF280" s="2798"/>
      <c r="AG280" s="2798"/>
      <c r="AH280" s="2798"/>
      <c r="AI280" s="2798"/>
      <c r="AJ280" s="2798"/>
      <c r="AK280" s="2798"/>
      <c r="AL280" s="2798"/>
      <c r="AM280" s="2798"/>
      <c r="AN280" s="2798"/>
      <c r="AO280" s="2798"/>
      <c r="AP280" s="2798"/>
      <c r="AQ280" s="2798"/>
      <c r="AR280" s="2798"/>
      <c r="AS280" s="2798"/>
      <c r="AT280" s="2798"/>
      <c r="AU280" s="2798"/>
      <c r="AV280" s="2798"/>
      <c r="AW280" s="2798"/>
      <c r="AX280" s="2798"/>
      <c r="AY280" s="2798"/>
      <c r="AZ280" s="2798"/>
      <c r="BA280" s="2798"/>
      <c r="BB280" s="2798"/>
      <c r="BC280" s="2798"/>
      <c r="BD280" s="2798"/>
      <c r="BE280" s="2798"/>
      <c r="BF280" s="2798"/>
      <c r="BG280" s="2798"/>
      <c r="BH280" s="2798"/>
      <c r="BI280" s="2798"/>
      <c r="BJ280" s="2798"/>
      <c r="BK280" s="2798"/>
      <c r="BL280" s="2798"/>
      <c r="BM280" s="2798"/>
      <c r="BN280" s="2798"/>
      <c r="BO280" s="2798"/>
      <c r="BP280" s="2798"/>
    </row>
    <row r="281" spans="12:68">
      <c r="L281" s="2798"/>
      <c r="M281" s="2798"/>
      <c r="N281" s="2798"/>
      <c r="O281" s="2798"/>
      <c r="P281" s="2798"/>
      <c r="Q281" s="2798"/>
      <c r="R281" s="2798"/>
      <c r="S281" s="2798"/>
      <c r="T281" s="2798"/>
      <c r="U281" s="2798"/>
      <c r="V281" s="2798"/>
      <c r="W281" s="2798"/>
      <c r="X281" s="2798"/>
      <c r="Y281" s="2798"/>
      <c r="Z281" s="2798"/>
      <c r="AA281" s="2798"/>
      <c r="AB281" s="2798"/>
      <c r="AC281" s="2798"/>
      <c r="AD281" s="2798"/>
      <c r="AE281" s="2798"/>
      <c r="AF281" s="2798"/>
      <c r="AG281" s="2798"/>
      <c r="AH281" s="2798"/>
      <c r="AI281" s="2798"/>
      <c r="AJ281" s="2798"/>
      <c r="AK281" s="2798"/>
      <c r="AL281" s="2798"/>
      <c r="AM281" s="2798"/>
      <c r="AN281" s="2798"/>
      <c r="AO281" s="2798"/>
      <c r="AP281" s="2798"/>
      <c r="AQ281" s="2798"/>
      <c r="AR281" s="2798"/>
      <c r="AS281" s="2798"/>
      <c r="AT281" s="2798"/>
      <c r="AU281" s="2798"/>
      <c r="AV281" s="2798"/>
      <c r="AW281" s="2798"/>
      <c r="AX281" s="2798"/>
      <c r="AY281" s="2798"/>
      <c r="AZ281" s="2798"/>
      <c r="BA281" s="2798"/>
      <c r="BB281" s="2798"/>
      <c r="BC281" s="2798"/>
      <c r="BD281" s="2798"/>
      <c r="BE281" s="2798"/>
      <c r="BF281" s="2798"/>
      <c r="BG281" s="2798"/>
      <c r="BH281" s="2798"/>
      <c r="BI281" s="2798"/>
      <c r="BJ281" s="2798"/>
      <c r="BK281" s="2798"/>
      <c r="BL281" s="2798"/>
      <c r="BM281" s="2798"/>
      <c r="BN281" s="2798"/>
      <c r="BO281" s="2798"/>
      <c r="BP281" s="2798"/>
    </row>
    <row r="282" spans="12:68">
      <c r="L282" s="2798"/>
      <c r="M282" s="2798"/>
      <c r="N282" s="2798"/>
      <c r="O282" s="2798"/>
      <c r="P282" s="2798"/>
      <c r="Q282" s="2798"/>
      <c r="R282" s="2798"/>
      <c r="S282" s="2798"/>
      <c r="T282" s="2798"/>
      <c r="U282" s="2798"/>
      <c r="V282" s="2798"/>
      <c r="W282" s="2798"/>
      <c r="X282" s="2798"/>
      <c r="Y282" s="2798"/>
      <c r="Z282" s="2798"/>
      <c r="AA282" s="2798"/>
      <c r="AB282" s="2798"/>
      <c r="AC282" s="2798"/>
      <c r="AD282" s="2798"/>
      <c r="AE282" s="2798"/>
      <c r="AF282" s="2798"/>
      <c r="AG282" s="2798"/>
      <c r="AH282" s="2798"/>
      <c r="AI282" s="2798"/>
      <c r="AJ282" s="2798"/>
      <c r="AK282" s="2798"/>
      <c r="AL282" s="2798"/>
      <c r="AM282" s="2798"/>
      <c r="AN282" s="2798"/>
      <c r="AO282" s="2798"/>
      <c r="AP282" s="2798"/>
      <c r="AQ282" s="2798"/>
      <c r="AR282" s="2798"/>
      <c r="AS282" s="2798"/>
      <c r="AT282" s="2798"/>
      <c r="AU282" s="2798"/>
      <c r="AV282" s="2798"/>
      <c r="AW282" s="2798"/>
      <c r="AX282" s="2798"/>
      <c r="AY282" s="2798"/>
      <c r="AZ282" s="2798"/>
      <c r="BA282" s="2798"/>
      <c r="BB282" s="2798"/>
      <c r="BC282" s="2798"/>
      <c r="BD282" s="2798"/>
      <c r="BE282" s="2798"/>
      <c r="BF282" s="2798"/>
      <c r="BG282" s="2798"/>
      <c r="BH282" s="2798"/>
      <c r="BI282" s="2798"/>
      <c r="BJ282" s="2798"/>
      <c r="BK282" s="2798"/>
      <c r="BL282" s="2798"/>
      <c r="BM282" s="2798"/>
      <c r="BN282" s="2798"/>
      <c r="BO282" s="2798"/>
      <c r="BP282" s="2798"/>
    </row>
    <row r="283" spans="12:68">
      <c r="L283" s="2798"/>
      <c r="M283" s="2798"/>
      <c r="N283" s="2798"/>
      <c r="O283" s="2798"/>
      <c r="P283" s="2798"/>
      <c r="Q283" s="2798"/>
      <c r="R283" s="2798"/>
      <c r="S283" s="2798"/>
      <c r="T283" s="2798"/>
      <c r="U283" s="2798"/>
      <c r="V283" s="2798"/>
      <c r="W283" s="2798"/>
      <c r="X283" s="2798"/>
      <c r="Y283" s="2798"/>
      <c r="Z283" s="2798"/>
      <c r="AA283" s="2798"/>
      <c r="AB283" s="2798"/>
      <c r="AC283" s="2798"/>
      <c r="AD283" s="2798"/>
      <c r="AE283" s="2798"/>
      <c r="AF283" s="2798"/>
      <c r="AG283" s="2798"/>
      <c r="AH283" s="2798"/>
      <c r="AI283" s="2798"/>
      <c r="AJ283" s="2798"/>
      <c r="AK283" s="2798"/>
      <c r="AL283" s="2798"/>
      <c r="AM283" s="2798"/>
      <c r="AN283" s="2798"/>
      <c r="AO283" s="2798"/>
      <c r="AP283" s="2798"/>
      <c r="AQ283" s="2798"/>
      <c r="AR283" s="2798"/>
      <c r="AS283" s="2798"/>
      <c r="AT283" s="2798"/>
      <c r="AU283" s="2798"/>
      <c r="AV283" s="2798"/>
      <c r="AW283" s="2798"/>
      <c r="AX283" s="2798"/>
      <c r="AY283" s="2798"/>
      <c r="AZ283" s="2798"/>
      <c r="BA283" s="2798"/>
      <c r="BB283" s="2798"/>
      <c r="BC283" s="2798"/>
      <c r="BD283" s="2798"/>
      <c r="BE283" s="2798"/>
      <c r="BF283" s="2798"/>
      <c r="BG283" s="2798"/>
      <c r="BH283" s="2798"/>
      <c r="BI283" s="2798"/>
      <c r="BJ283" s="2798"/>
      <c r="BK283" s="2798"/>
      <c r="BL283" s="2798"/>
      <c r="BM283" s="2798"/>
      <c r="BN283" s="2798"/>
      <c r="BO283" s="2798"/>
      <c r="BP283" s="2798"/>
    </row>
    <row r="284" spans="12:68">
      <c r="L284" s="2798"/>
      <c r="M284" s="2798"/>
      <c r="N284" s="2798"/>
      <c r="O284" s="2798"/>
      <c r="P284" s="2798"/>
      <c r="Q284" s="2798"/>
      <c r="R284" s="2798"/>
      <c r="S284" s="2798"/>
      <c r="T284" s="2798"/>
      <c r="U284" s="2798"/>
      <c r="V284" s="2798"/>
      <c r="W284" s="2798"/>
      <c r="X284" s="2798"/>
      <c r="Y284" s="2798"/>
      <c r="Z284" s="2798"/>
      <c r="AA284" s="2798"/>
      <c r="AB284" s="2798"/>
      <c r="AC284" s="2798"/>
      <c r="AD284" s="2798"/>
      <c r="AE284" s="2798"/>
      <c r="AF284" s="2798"/>
      <c r="AG284" s="2798"/>
      <c r="AH284" s="2798"/>
      <c r="AI284" s="2798"/>
      <c r="AJ284" s="2798"/>
      <c r="AK284" s="2798"/>
      <c r="AL284" s="2798"/>
      <c r="AM284" s="2798"/>
      <c r="AN284" s="2798"/>
      <c r="AO284" s="2798"/>
      <c r="AP284" s="2798"/>
      <c r="AQ284" s="2798"/>
      <c r="AR284" s="2798"/>
      <c r="AS284" s="2798"/>
      <c r="AT284" s="2798"/>
      <c r="AU284" s="2798"/>
      <c r="AV284" s="2798"/>
      <c r="AW284" s="2798"/>
      <c r="AX284" s="2798"/>
      <c r="AY284" s="2798"/>
      <c r="AZ284" s="2798"/>
      <c r="BA284" s="2798"/>
      <c r="BB284" s="2798"/>
      <c r="BC284" s="2798"/>
      <c r="BD284" s="2798"/>
      <c r="BE284" s="2798"/>
      <c r="BF284" s="2798"/>
      <c r="BG284" s="2798"/>
      <c r="BH284" s="2798"/>
      <c r="BI284" s="2798"/>
      <c r="BJ284" s="2798"/>
      <c r="BK284" s="2798"/>
      <c r="BL284" s="2798"/>
      <c r="BM284" s="2798"/>
      <c r="BN284" s="2798"/>
      <c r="BO284" s="2798"/>
      <c r="BP284" s="2798"/>
    </row>
    <row r="285" spans="12:68">
      <c r="L285" s="2798"/>
      <c r="M285" s="2798"/>
      <c r="N285" s="2798"/>
      <c r="O285" s="2798"/>
      <c r="P285" s="2798"/>
      <c r="Q285" s="2798"/>
      <c r="R285" s="2798"/>
      <c r="S285" s="2798"/>
      <c r="T285" s="2798"/>
      <c r="U285" s="2798"/>
      <c r="V285" s="2798"/>
      <c r="W285" s="2798"/>
      <c r="X285" s="2798"/>
      <c r="Y285" s="2798"/>
      <c r="Z285" s="2798"/>
      <c r="AA285" s="2798"/>
      <c r="AB285" s="2798"/>
      <c r="AC285" s="2798"/>
      <c r="AD285" s="2798"/>
      <c r="AE285" s="2798"/>
      <c r="AF285" s="2798"/>
      <c r="AG285" s="2798"/>
      <c r="AH285" s="2798"/>
      <c r="AI285" s="2798"/>
      <c r="AJ285" s="2798"/>
      <c r="AK285" s="2798"/>
      <c r="AL285" s="2798"/>
      <c r="AM285" s="2798"/>
      <c r="AN285" s="2798"/>
      <c r="AO285" s="2798"/>
      <c r="AP285" s="2798"/>
      <c r="AQ285" s="2798"/>
      <c r="AR285" s="2798"/>
      <c r="AS285" s="2798"/>
      <c r="AT285" s="2798"/>
      <c r="AU285" s="2798"/>
      <c r="AV285" s="2798"/>
      <c r="AW285" s="2798"/>
      <c r="AX285" s="2798"/>
      <c r="AY285" s="2798"/>
      <c r="AZ285" s="2798"/>
      <c r="BA285" s="2798"/>
      <c r="BB285" s="2798"/>
      <c r="BC285" s="2798"/>
      <c r="BD285" s="2798"/>
      <c r="BE285" s="2798"/>
      <c r="BF285" s="2798"/>
      <c r="BG285" s="2798"/>
      <c r="BH285" s="2798"/>
      <c r="BI285" s="2798"/>
      <c r="BJ285" s="2798"/>
      <c r="BK285" s="2798"/>
      <c r="BL285" s="2798"/>
      <c r="BM285" s="2798"/>
      <c r="BN285" s="2798"/>
      <c r="BO285" s="2798"/>
      <c r="BP285" s="2798"/>
    </row>
    <row r="286" spans="12:68">
      <c r="L286" s="2798"/>
      <c r="M286" s="2798"/>
      <c r="N286" s="2798"/>
      <c r="O286" s="2798"/>
      <c r="P286" s="2798"/>
      <c r="Q286" s="2798"/>
      <c r="R286" s="2798"/>
      <c r="S286" s="2798"/>
      <c r="T286" s="2798"/>
      <c r="U286" s="2798"/>
      <c r="V286" s="2798"/>
      <c r="W286" s="2798"/>
      <c r="X286" s="2798"/>
      <c r="Y286" s="2798"/>
      <c r="Z286" s="2798"/>
      <c r="AA286" s="2798"/>
      <c r="AB286" s="2798"/>
      <c r="AC286" s="2798"/>
      <c r="AD286" s="2798"/>
      <c r="AE286" s="2798"/>
      <c r="AF286" s="2798"/>
      <c r="AG286" s="2798"/>
      <c r="AH286" s="2798"/>
      <c r="AI286" s="2798"/>
      <c r="AJ286" s="2798"/>
      <c r="AK286" s="2798"/>
      <c r="AL286" s="2798"/>
      <c r="AM286" s="2798"/>
      <c r="AN286" s="2798"/>
      <c r="AO286" s="2798"/>
      <c r="AP286" s="2798"/>
      <c r="AQ286" s="2798"/>
      <c r="AR286" s="2798"/>
      <c r="AS286" s="2798"/>
      <c r="AT286" s="2798"/>
      <c r="AU286" s="2798"/>
      <c r="AV286" s="2798"/>
      <c r="AW286" s="2798"/>
      <c r="AX286" s="2798"/>
      <c r="AY286" s="2798"/>
      <c r="AZ286" s="2798"/>
      <c r="BA286" s="2798"/>
      <c r="BB286" s="2798"/>
      <c r="BC286" s="2798"/>
      <c r="BD286" s="2798"/>
      <c r="BE286" s="2798"/>
      <c r="BF286" s="2798"/>
      <c r="BG286" s="2798"/>
      <c r="BH286" s="2798"/>
      <c r="BI286" s="2798"/>
      <c r="BJ286" s="2798"/>
      <c r="BK286" s="2798"/>
      <c r="BL286" s="2798"/>
      <c r="BM286" s="2798"/>
      <c r="BN286" s="2798"/>
      <c r="BO286" s="2798"/>
      <c r="BP286" s="2798"/>
    </row>
    <row r="287" spans="12:68">
      <c r="L287" s="2798"/>
      <c r="M287" s="2798"/>
      <c r="N287" s="2798"/>
      <c r="O287" s="2798"/>
      <c r="P287" s="2798"/>
      <c r="Q287" s="2798"/>
      <c r="R287" s="2798"/>
      <c r="S287" s="2798"/>
      <c r="T287" s="2798"/>
      <c r="U287" s="2798"/>
      <c r="V287" s="2798"/>
      <c r="W287" s="2798"/>
      <c r="X287" s="2798"/>
      <c r="Y287" s="2798"/>
      <c r="Z287" s="2798"/>
      <c r="AA287" s="2798"/>
      <c r="AB287" s="2798"/>
      <c r="AC287" s="2798"/>
      <c r="AD287" s="2798"/>
      <c r="AE287" s="2798"/>
      <c r="AF287" s="2798"/>
      <c r="AG287" s="2798"/>
      <c r="AH287" s="2798"/>
      <c r="AI287" s="2798"/>
      <c r="AJ287" s="2798"/>
      <c r="AK287" s="2798"/>
      <c r="AL287" s="2798"/>
      <c r="AM287" s="2798"/>
      <c r="AN287" s="2798"/>
      <c r="AO287" s="2798"/>
      <c r="AP287" s="2798"/>
      <c r="AQ287" s="2798"/>
      <c r="AR287" s="2798"/>
      <c r="AS287" s="2798"/>
      <c r="AT287" s="2798"/>
      <c r="AU287" s="2798"/>
      <c r="AV287" s="2798"/>
      <c r="AW287" s="2798"/>
      <c r="AX287" s="2798"/>
      <c r="AY287" s="2798"/>
      <c r="AZ287" s="2798"/>
      <c r="BA287" s="2798"/>
      <c r="BB287" s="2798"/>
      <c r="BC287" s="2798"/>
      <c r="BD287" s="2798"/>
      <c r="BE287" s="2798"/>
      <c r="BF287" s="2798"/>
      <c r="BG287" s="2798"/>
      <c r="BH287" s="2798"/>
      <c r="BI287" s="2798"/>
      <c r="BJ287" s="2798"/>
      <c r="BK287" s="2798"/>
      <c r="BL287" s="2798"/>
      <c r="BM287" s="2798"/>
      <c r="BN287" s="2798"/>
      <c r="BO287" s="2798"/>
      <c r="BP287" s="2798"/>
    </row>
    <row r="288" spans="12:68">
      <c r="L288" s="2798"/>
      <c r="M288" s="2798"/>
      <c r="N288" s="2798"/>
      <c r="O288" s="2798"/>
      <c r="P288" s="2798"/>
      <c r="Q288" s="2798"/>
      <c r="R288" s="2798"/>
      <c r="S288" s="2798"/>
      <c r="T288" s="2798"/>
      <c r="U288" s="2798"/>
      <c r="V288" s="2798"/>
      <c r="W288" s="2798"/>
      <c r="X288" s="2798"/>
      <c r="Y288" s="2798"/>
      <c r="Z288" s="2798"/>
      <c r="AA288" s="2798"/>
      <c r="AB288" s="2798"/>
      <c r="AC288" s="2798"/>
      <c r="AD288" s="2798"/>
      <c r="AE288" s="2798"/>
      <c r="AF288" s="2798"/>
      <c r="AG288" s="2798"/>
      <c r="AH288" s="2798"/>
      <c r="AI288" s="2798"/>
      <c r="AJ288" s="2798"/>
      <c r="AK288" s="2798"/>
      <c r="AL288" s="2798"/>
      <c r="AM288" s="2798"/>
      <c r="AN288" s="2798"/>
      <c r="AO288" s="2798"/>
      <c r="AP288" s="2798"/>
      <c r="AQ288" s="2798"/>
      <c r="AR288" s="2798"/>
      <c r="AS288" s="2798"/>
      <c r="AT288" s="2798"/>
      <c r="AU288" s="2798"/>
      <c r="AV288" s="2798"/>
      <c r="AW288" s="2798"/>
      <c r="AX288" s="2798"/>
      <c r="AY288" s="2798"/>
      <c r="AZ288" s="2798"/>
      <c r="BA288" s="2798"/>
      <c r="BB288" s="2798"/>
      <c r="BC288" s="2798"/>
      <c r="BD288" s="2798"/>
      <c r="BE288" s="2798"/>
      <c r="BF288" s="2798"/>
      <c r="BG288" s="2798"/>
      <c r="BH288" s="2798"/>
      <c r="BI288" s="2798"/>
      <c r="BJ288" s="2798"/>
      <c r="BK288" s="2798"/>
      <c r="BL288" s="2798"/>
      <c r="BM288" s="2798"/>
      <c r="BN288" s="2798"/>
      <c r="BO288" s="2798"/>
      <c r="BP288" s="2798"/>
    </row>
    <row r="289" spans="12:68">
      <c r="L289" s="2798"/>
      <c r="M289" s="2798"/>
      <c r="N289" s="2798"/>
      <c r="O289" s="2798"/>
      <c r="P289" s="2798"/>
      <c r="Q289" s="2798"/>
      <c r="R289" s="2798"/>
      <c r="S289" s="2798"/>
      <c r="T289" s="2798"/>
      <c r="U289" s="2798"/>
      <c r="V289" s="2798"/>
      <c r="W289" s="2798"/>
      <c r="X289" s="2798"/>
      <c r="Y289" s="2798"/>
      <c r="Z289" s="2798"/>
      <c r="AA289" s="2798"/>
      <c r="AB289" s="2798"/>
      <c r="AC289" s="2798"/>
      <c r="AD289" s="2798"/>
      <c r="AE289" s="2798"/>
      <c r="AF289" s="2798"/>
      <c r="AG289" s="2798"/>
      <c r="AH289" s="2798"/>
      <c r="AI289" s="2798"/>
      <c r="AJ289" s="2798"/>
      <c r="AK289" s="2798"/>
      <c r="AL289" s="2798"/>
      <c r="AM289" s="2798"/>
      <c r="AN289" s="2798"/>
      <c r="AO289" s="2798"/>
      <c r="AP289" s="2798"/>
      <c r="AQ289" s="2798"/>
      <c r="AR289" s="2798"/>
      <c r="AS289" s="2798"/>
      <c r="AT289" s="2798"/>
      <c r="AU289" s="2798"/>
      <c r="AV289" s="2798"/>
      <c r="AW289" s="2798"/>
      <c r="AX289" s="2798"/>
      <c r="AY289" s="2798"/>
      <c r="AZ289" s="2798"/>
      <c r="BA289" s="2798"/>
      <c r="BB289" s="2798"/>
      <c r="BC289" s="2798"/>
      <c r="BD289" s="2798"/>
      <c r="BE289" s="2798"/>
      <c r="BF289" s="2798"/>
      <c r="BG289" s="2798"/>
      <c r="BH289" s="2798"/>
      <c r="BI289" s="2798"/>
      <c r="BJ289" s="2798"/>
      <c r="BK289" s="2798"/>
      <c r="BL289" s="2798"/>
      <c r="BM289" s="2798"/>
      <c r="BN289" s="2798"/>
      <c r="BO289" s="2798"/>
      <c r="BP289" s="2798"/>
    </row>
    <row r="290" spans="12:68">
      <c r="L290" s="2798"/>
      <c r="M290" s="2798"/>
      <c r="N290" s="2798"/>
      <c r="O290" s="2798"/>
      <c r="P290" s="2798"/>
      <c r="Q290" s="2798"/>
      <c r="R290" s="2798"/>
      <c r="S290" s="2798"/>
      <c r="T290" s="2798"/>
      <c r="U290" s="2798"/>
      <c r="V290" s="2798"/>
      <c r="W290" s="2798"/>
      <c r="X290" s="2798"/>
      <c r="Y290" s="2798"/>
      <c r="Z290" s="2798"/>
      <c r="AA290" s="2798"/>
      <c r="AB290" s="2798"/>
      <c r="AC290" s="2798"/>
      <c r="AD290" s="2798"/>
      <c r="AE290" s="2798"/>
      <c r="AF290" s="2798"/>
      <c r="AG290" s="2798"/>
      <c r="AH290" s="2798"/>
      <c r="AI290" s="2798"/>
      <c r="AJ290" s="2798"/>
      <c r="AK290" s="2798"/>
      <c r="AL290" s="2798"/>
      <c r="AM290" s="2798"/>
      <c r="AN290" s="2798"/>
      <c r="AO290" s="2798"/>
      <c r="AP290" s="2798"/>
      <c r="AQ290" s="2798"/>
      <c r="AR290" s="2798"/>
      <c r="AS290" s="2798"/>
      <c r="AT290" s="2798"/>
      <c r="AU290" s="2798"/>
      <c r="AV290" s="2798"/>
      <c r="AW290" s="2798"/>
      <c r="AX290" s="2798"/>
      <c r="AY290" s="2798"/>
      <c r="AZ290" s="2798"/>
      <c r="BA290" s="2798"/>
      <c r="BB290" s="2798"/>
      <c r="BC290" s="2798"/>
      <c r="BD290" s="2798"/>
      <c r="BE290" s="2798"/>
      <c r="BF290" s="2798"/>
      <c r="BG290" s="2798"/>
      <c r="BH290" s="2798"/>
      <c r="BI290" s="2798"/>
      <c r="BJ290" s="2798"/>
      <c r="BK290" s="2798"/>
      <c r="BL290" s="2798"/>
      <c r="BM290" s="2798"/>
      <c r="BN290" s="2798"/>
      <c r="BO290" s="2798"/>
      <c r="BP290" s="2798"/>
    </row>
    <row r="291" spans="12:68">
      <c r="L291" s="2798"/>
      <c r="M291" s="2798"/>
      <c r="N291" s="2798"/>
      <c r="O291" s="2798"/>
      <c r="P291" s="2798"/>
      <c r="Q291" s="2798"/>
      <c r="R291" s="2798"/>
      <c r="S291" s="2798"/>
      <c r="T291" s="2798"/>
      <c r="U291" s="2798"/>
      <c r="V291" s="2798"/>
      <c r="W291" s="2798"/>
      <c r="X291" s="2798"/>
      <c r="Y291" s="2798"/>
      <c r="Z291" s="2798"/>
      <c r="AA291" s="2798"/>
      <c r="AB291" s="2798"/>
      <c r="AC291" s="2798"/>
      <c r="AD291" s="2798"/>
      <c r="AE291" s="2798"/>
      <c r="AF291" s="2798"/>
      <c r="AG291" s="2798"/>
      <c r="AH291" s="2798"/>
      <c r="AI291" s="2798"/>
      <c r="AJ291" s="2798"/>
      <c r="AK291" s="2798"/>
      <c r="AL291" s="2798"/>
      <c r="AM291" s="2798"/>
      <c r="AN291" s="2798"/>
      <c r="AO291" s="2798"/>
      <c r="AP291" s="2798"/>
      <c r="AQ291" s="2798"/>
      <c r="AR291" s="2798"/>
      <c r="AS291" s="2798"/>
      <c r="AT291" s="2798"/>
      <c r="AU291" s="2798"/>
      <c r="AV291" s="2798"/>
      <c r="AW291" s="2798"/>
      <c r="AX291" s="2798"/>
      <c r="AY291" s="2798"/>
      <c r="AZ291" s="2798"/>
      <c r="BA291" s="2798"/>
      <c r="BB291" s="2798"/>
      <c r="BC291" s="2798"/>
      <c r="BD291" s="2798"/>
      <c r="BE291" s="2798"/>
      <c r="BF291" s="2798"/>
      <c r="BG291" s="2798"/>
      <c r="BH291" s="2798"/>
      <c r="BI291" s="2798"/>
      <c r="BJ291" s="2798"/>
      <c r="BK291" s="2798"/>
      <c r="BL291" s="2798"/>
      <c r="BM291" s="2798"/>
      <c r="BN291" s="2798"/>
      <c r="BO291" s="2798"/>
      <c r="BP291" s="2798"/>
    </row>
    <row r="292" spans="12:68">
      <c r="L292" s="2798"/>
      <c r="M292" s="2798"/>
      <c r="N292" s="2798"/>
      <c r="O292" s="2798"/>
      <c r="P292" s="2798"/>
      <c r="Q292" s="2798"/>
      <c r="R292" s="2798"/>
      <c r="S292" s="2798"/>
      <c r="T292" s="2798"/>
      <c r="U292" s="2798"/>
      <c r="V292" s="2798"/>
      <c r="W292" s="2798"/>
      <c r="X292" s="2798"/>
      <c r="Y292" s="2798"/>
      <c r="Z292" s="2798"/>
      <c r="AA292" s="2798"/>
      <c r="AB292" s="2798"/>
      <c r="AC292" s="2798"/>
      <c r="AD292" s="2798"/>
      <c r="AE292" s="2798"/>
      <c r="AF292" s="2798"/>
      <c r="AG292" s="2798"/>
      <c r="AH292" s="2798"/>
      <c r="AI292" s="2798"/>
      <c r="AJ292" s="2798"/>
      <c r="AK292" s="2798"/>
      <c r="AL292" s="2798"/>
      <c r="AM292" s="2798"/>
      <c r="AN292" s="2798"/>
      <c r="AO292" s="2798"/>
      <c r="AP292" s="2798"/>
      <c r="AQ292" s="2798"/>
      <c r="AR292" s="2798"/>
      <c r="AS292" s="2798"/>
      <c r="AT292" s="2798"/>
      <c r="AU292" s="2798"/>
      <c r="AV292" s="2798"/>
      <c r="AW292" s="2798"/>
      <c r="AX292" s="2798"/>
      <c r="AY292" s="2798"/>
      <c r="AZ292" s="2798"/>
      <c r="BA292" s="2798"/>
      <c r="BB292" s="2798"/>
      <c r="BC292" s="2798"/>
      <c r="BD292" s="2798"/>
      <c r="BE292" s="2798"/>
      <c r="BF292" s="2798"/>
      <c r="BG292" s="2798"/>
      <c r="BH292" s="2798"/>
      <c r="BI292" s="2798"/>
      <c r="BJ292" s="2798"/>
      <c r="BK292" s="2798"/>
      <c r="BL292" s="2798"/>
      <c r="BM292" s="2798"/>
      <c r="BN292" s="2798"/>
      <c r="BO292" s="2798"/>
      <c r="BP292" s="2798"/>
    </row>
    <row r="293" spans="12:68">
      <c r="L293" s="2798"/>
      <c r="M293" s="2798"/>
      <c r="N293" s="2798"/>
      <c r="O293" s="2798"/>
      <c r="P293" s="2798"/>
      <c r="Q293" s="2798"/>
      <c r="R293" s="2798"/>
      <c r="S293" s="2798"/>
      <c r="T293" s="2798"/>
      <c r="U293" s="2798"/>
      <c r="V293" s="2798"/>
      <c r="W293" s="2798"/>
      <c r="X293" s="2798"/>
      <c r="Y293" s="2798"/>
      <c r="Z293" s="2798"/>
      <c r="AA293" s="2798"/>
      <c r="AB293" s="2798"/>
      <c r="AC293" s="2798"/>
      <c r="AD293" s="2798"/>
      <c r="AE293" s="2798"/>
      <c r="AF293" s="2798"/>
      <c r="AG293" s="2798"/>
      <c r="AH293" s="2798"/>
      <c r="AI293" s="2798"/>
      <c r="AJ293" s="2798"/>
      <c r="AK293" s="2798"/>
      <c r="AL293" s="2798"/>
      <c r="AM293" s="2798"/>
      <c r="AN293" s="2798"/>
      <c r="AO293" s="2798"/>
      <c r="AP293" s="2798"/>
      <c r="AQ293" s="2798"/>
      <c r="AR293" s="2798"/>
      <c r="AS293" s="2798"/>
      <c r="AT293" s="2798"/>
      <c r="AU293" s="2798"/>
      <c r="AV293" s="2798"/>
      <c r="AW293" s="2798"/>
      <c r="AX293" s="2798"/>
      <c r="AY293" s="2798"/>
      <c r="AZ293" s="2798"/>
      <c r="BA293" s="2798"/>
      <c r="BB293" s="2798"/>
      <c r="BC293" s="2798"/>
      <c r="BD293" s="2798"/>
      <c r="BE293" s="2798"/>
      <c r="BF293" s="2798"/>
      <c r="BG293" s="2798"/>
      <c r="BH293" s="2798"/>
      <c r="BI293" s="2798"/>
      <c r="BJ293" s="2798"/>
      <c r="BK293" s="2798"/>
      <c r="BL293" s="2798"/>
      <c r="BM293" s="2798"/>
      <c r="BN293" s="2798"/>
      <c r="BO293" s="2798"/>
      <c r="BP293" s="2798"/>
    </row>
    <row r="294" spans="12:68">
      <c r="L294" s="2798"/>
      <c r="M294" s="2798"/>
      <c r="N294" s="2798"/>
      <c r="O294" s="2798"/>
      <c r="P294" s="2798"/>
      <c r="Q294" s="2798"/>
      <c r="R294" s="2798"/>
      <c r="S294" s="2798"/>
      <c r="T294" s="2798"/>
      <c r="U294" s="2798"/>
      <c r="V294" s="2798"/>
      <c r="W294" s="2798"/>
      <c r="X294" s="2798"/>
      <c r="Y294" s="2798"/>
      <c r="Z294" s="2798"/>
      <c r="AA294" s="2798"/>
      <c r="AB294" s="2798"/>
      <c r="AC294" s="2798"/>
      <c r="AD294" s="2798"/>
      <c r="AE294" s="2798"/>
      <c r="AF294" s="2798"/>
      <c r="AG294" s="2798"/>
      <c r="AH294" s="2798"/>
      <c r="AI294" s="2798"/>
      <c r="AJ294" s="2798"/>
      <c r="AK294" s="2798"/>
      <c r="AL294" s="2798"/>
      <c r="AM294" s="2798"/>
      <c r="AN294" s="2798"/>
      <c r="AO294" s="2798"/>
      <c r="AP294" s="2798"/>
      <c r="AQ294" s="2798"/>
      <c r="AR294" s="2798"/>
      <c r="AS294" s="2798"/>
      <c r="AT294" s="2798"/>
      <c r="AU294" s="2798"/>
      <c r="AV294" s="2798"/>
      <c r="AW294" s="2798"/>
      <c r="AX294" s="2798"/>
      <c r="AY294" s="2798"/>
      <c r="AZ294" s="2798"/>
      <c r="BA294" s="2798"/>
      <c r="BB294" s="2798"/>
      <c r="BC294" s="2798"/>
      <c r="BD294" s="2798"/>
      <c r="BE294" s="2798"/>
      <c r="BF294" s="2798"/>
      <c r="BG294" s="2798"/>
      <c r="BH294" s="2798"/>
      <c r="BI294" s="2798"/>
      <c r="BJ294" s="2798"/>
      <c r="BK294" s="2798"/>
      <c r="BL294" s="2798"/>
      <c r="BM294" s="2798"/>
      <c r="BN294" s="2798"/>
      <c r="BO294" s="2798"/>
      <c r="BP294" s="2798"/>
    </row>
    <row r="295" spans="12:68">
      <c r="L295" s="2798"/>
      <c r="M295" s="2798"/>
      <c r="N295" s="2798"/>
      <c r="O295" s="2798"/>
      <c r="P295" s="2798"/>
      <c r="Q295" s="2798"/>
      <c r="R295" s="2798"/>
      <c r="S295" s="2798"/>
      <c r="T295" s="2798"/>
      <c r="U295" s="2798"/>
      <c r="V295" s="2798"/>
      <c r="W295" s="2798"/>
      <c r="X295" s="2798"/>
      <c r="Y295" s="2798"/>
      <c r="Z295" s="2798"/>
      <c r="AA295" s="2798"/>
      <c r="AB295" s="2798"/>
      <c r="AC295" s="2798"/>
      <c r="AD295" s="2798"/>
      <c r="AE295" s="2798"/>
      <c r="AF295" s="2798"/>
      <c r="AG295" s="2798"/>
      <c r="AH295" s="2798"/>
      <c r="AI295" s="2798"/>
      <c r="AJ295" s="2798"/>
      <c r="AK295" s="2798"/>
      <c r="AL295" s="2798"/>
      <c r="AM295" s="2798"/>
      <c r="AN295" s="2798"/>
      <c r="AO295" s="2798"/>
      <c r="AP295" s="2798"/>
      <c r="AQ295" s="2798"/>
      <c r="AR295" s="2798"/>
      <c r="AS295" s="2798"/>
      <c r="AT295" s="2798"/>
      <c r="AU295" s="2798"/>
      <c r="AV295" s="2798"/>
      <c r="AW295" s="2798"/>
      <c r="AX295" s="2798"/>
      <c r="AY295" s="2798"/>
      <c r="AZ295" s="2798"/>
      <c r="BA295" s="2798"/>
      <c r="BB295" s="2798"/>
      <c r="BC295" s="2798"/>
      <c r="BD295" s="2798"/>
      <c r="BE295" s="2798"/>
      <c r="BF295" s="2798"/>
      <c r="BG295" s="2798"/>
      <c r="BH295" s="2798"/>
      <c r="BI295" s="2798"/>
      <c r="BJ295" s="2798"/>
      <c r="BK295" s="2798"/>
      <c r="BL295" s="2798"/>
      <c r="BM295" s="2798"/>
      <c r="BN295" s="2798"/>
      <c r="BO295" s="2798"/>
      <c r="BP295" s="2798"/>
    </row>
    <row r="296" spans="12:68">
      <c r="L296" s="2798"/>
      <c r="M296" s="2798"/>
      <c r="N296" s="2798"/>
      <c r="O296" s="2798"/>
      <c r="P296" s="2798"/>
      <c r="Q296" s="2798"/>
      <c r="R296" s="2798"/>
      <c r="S296" s="2798"/>
      <c r="T296" s="2798"/>
      <c r="U296" s="2798"/>
      <c r="V296" s="2798"/>
      <c r="W296" s="2798"/>
      <c r="X296" s="2798"/>
      <c r="Y296" s="2798"/>
      <c r="Z296" s="2798"/>
      <c r="AA296" s="2798"/>
      <c r="AB296" s="2798"/>
      <c r="AC296" s="2798"/>
      <c r="AD296" s="2798"/>
      <c r="AE296" s="2798"/>
      <c r="AF296" s="2798"/>
      <c r="AG296" s="2798"/>
      <c r="AH296" s="2798"/>
      <c r="AI296" s="2798"/>
      <c r="AJ296" s="2798"/>
      <c r="AK296" s="2798"/>
      <c r="AL296" s="2798"/>
      <c r="AM296" s="2798"/>
      <c r="AN296" s="2798"/>
      <c r="AO296" s="2798"/>
      <c r="AP296" s="2798"/>
      <c r="AQ296" s="2798"/>
      <c r="AR296" s="2798"/>
      <c r="AS296" s="2798"/>
      <c r="AT296" s="2798"/>
      <c r="AU296" s="2798"/>
      <c r="AV296" s="2798"/>
      <c r="AW296" s="2798"/>
      <c r="AX296" s="2798"/>
      <c r="AY296" s="2798"/>
      <c r="AZ296" s="2798"/>
      <c r="BA296" s="2798"/>
      <c r="BB296" s="2798"/>
      <c r="BC296" s="2798"/>
      <c r="BD296" s="2798"/>
      <c r="BE296" s="2798"/>
      <c r="BF296" s="2798"/>
      <c r="BG296" s="2798"/>
      <c r="BH296" s="2798"/>
      <c r="BI296" s="2798"/>
      <c r="BJ296" s="2798"/>
      <c r="BK296" s="2798"/>
      <c r="BL296" s="2798"/>
      <c r="BM296" s="2798"/>
      <c r="BN296" s="2798"/>
      <c r="BO296" s="2798"/>
      <c r="BP296" s="2798"/>
    </row>
    <row r="297" spans="12:68">
      <c r="L297" s="2798"/>
      <c r="M297" s="2798"/>
      <c r="N297" s="2798"/>
      <c r="O297" s="2798"/>
      <c r="P297" s="2798"/>
      <c r="Q297" s="2798"/>
      <c r="R297" s="2798"/>
      <c r="S297" s="2798"/>
      <c r="T297" s="2798"/>
      <c r="U297" s="2798"/>
      <c r="V297" s="2798"/>
      <c r="W297" s="2798"/>
      <c r="X297" s="2798"/>
      <c r="Y297" s="2798"/>
      <c r="Z297" s="2798"/>
      <c r="AA297" s="2798"/>
      <c r="AB297" s="2798"/>
      <c r="AC297" s="2798"/>
      <c r="AD297" s="2798"/>
      <c r="AE297" s="2798"/>
      <c r="AF297" s="2798"/>
      <c r="AG297" s="2798"/>
      <c r="AH297" s="2798"/>
      <c r="AI297" s="2798"/>
      <c r="AJ297" s="2798"/>
      <c r="AK297" s="2798"/>
      <c r="AL297" s="2798"/>
      <c r="AM297" s="2798"/>
      <c r="AN297" s="2798"/>
      <c r="AO297" s="2798"/>
      <c r="AP297" s="2798"/>
      <c r="AQ297" s="2798"/>
      <c r="AR297" s="2798"/>
      <c r="AS297" s="2798"/>
      <c r="AT297" s="2798"/>
      <c r="AU297" s="2798"/>
      <c r="AV297" s="2798"/>
      <c r="AW297" s="2798"/>
      <c r="AX297" s="2798"/>
      <c r="AY297" s="2798"/>
      <c r="AZ297" s="2798"/>
      <c r="BA297" s="2798"/>
      <c r="BB297" s="2798"/>
      <c r="BC297" s="2798"/>
      <c r="BD297" s="2798"/>
      <c r="BE297" s="2798"/>
      <c r="BF297" s="2798"/>
      <c r="BG297" s="2798"/>
      <c r="BH297" s="2798"/>
      <c r="BI297" s="2798"/>
      <c r="BJ297" s="2798"/>
      <c r="BK297" s="2798"/>
      <c r="BL297" s="2798"/>
      <c r="BM297" s="2798"/>
      <c r="BN297" s="2798"/>
      <c r="BO297" s="2798"/>
      <c r="BP297" s="2798"/>
    </row>
    <row r="298" spans="12:68">
      <c r="L298" s="2798"/>
      <c r="M298" s="2798"/>
      <c r="N298" s="2798"/>
      <c r="O298" s="2798"/>
      <c r="P298" s="2798"/>
      <c r="Q298" s="2798"/>
      <c r="R298" s="2798"/>
      <c r="S298" s="2798"/>
      <c r="T298" s="2798"/>
      <c r="U298" s="2798"/>
      <c r="V298" s="2798"/>
      <c r="W298" s="2798"/>
      <c r="X298" s="2798"/>
      <c r="Y298" s="2798"/>
      <c r="Z298" s="2798"/>
      <c r="AA298" s="2798"/>
      <c r="AB298" s="2798"/>
      <c r="AC298" s="2798"/>
      <c r="AD298" s="2798"/>
      <c r="AE298" s="2798"/>
      <c r="AF298" s="2798"/>
      <c r="AG298" s="2798"/>
      <c r="AH298" s="2798"/>
      <c r="AI298" s="2798"/>
      <c r="AJ298" s="2798"/>
      <c r="AK298" s="2798"/>
      <c r="AL298" s="2798"/>
      <c r="AM298" s="2798"/>
      <c r="AN298" s="2798"/>
      <c r="AO298" s="2798"/>
      <c r="AP298" s="2798"/>
      <c r="AQ298" s="2798"/>
      <c r="AR298" s="2798"/>
      <c r="AS298" s="2798"/>
      <c r="AT298" s="2798"/>
      <c r="AU298" s="2798"/>
      <c r="AV298" s="2798"/>
      <c r="AW298" s="2798"/>
      <c r="AX298" s="2798"/>
      <c r="AY298" s="2798"/>
      <c r="AZ298" s="2798"/>
      <c r="BA298" s="2798"/>
      <c r="BB298" s="2798"/>
      <c r="BC298" s="2798"/>
      <c r="BD298" s="2798"/>
      <c r="BE298" s="2798"/>
      <c r="BF298" s="2798"/>
      <c r="BG298" s="2798"/>
      <c r="BH298" s="2798"/>
      <c r="BI298" s="2798"/>
      <c r="BJ298" s="2798"/>
      <c r="BK298" s="2798"/>
      <c r="BL298" s="2798"/>
      <c r="BM298" s="2798"/>
      <c r="BN298" s="2798"/>
      <c r="BO298" s="2798"/>
      <c r="BP298" s="2798"/>
    </row>
    <row r="299" spans="12:68">
      <c r="L299" s="2798"/>
      <c r="M299" s="2798"/>
      <c r="N299" s="2798"/>
      <c r="O299" s="2798"/>
      <c r="P299" s="2798"/>
      <c r="Q299" s="2798"/>
      <c r="R299" s="2798"/>
      <c r="S299" s="2798"/>
      <c r="T299" s="2798"/>
      <c r="U299" s="2798"/>
      <c r="V299" s="2798"/>
      <c r="W299" s="2798"/>
      <c r="X299" s="2798"/>
      <c r="Y299" s="2798"/>
      <c r="Z299" s="2798"/>
      <c r="AA299" s="2798"/>
      <c r="AB299" s="2798"/>
      <c r="AC299" s="2798"/>
      <c r="AD299" s="2798"/>
      <c r="AE299" s="2798"/>
      <c r="AF299" s="2798"/>
      <c r="AG299" s="2798"/>
      <c r="AH299" s="2798"/>
      <c r="AI299" s="2798"/>
      <c r="AJ299" s="2798"/>
      <c r="AK299" s="2798"/>
      <c r="AL299" s="2798"/>
      <c r="AM299" s="2798"/>
      <c r="AN299" s="2798"/>
      <c r="AO299" s="2798"/>
      <c r="AP299" s="2798"/>
      <c r="AQ299" s="2798"/>
      <c r="AR299" s="2798"/>
      <c r="AS299" s="2798"/>
      <c r="AT299" s="2798"/>
      <c r="AU299" s="2798"/>
      <c r="AV299" s="2798"/>
      <c r="AW299" s="2798"/>
      <c r="AX299" s="2798"/>
      <c r="AY299" s="2798"/>
      <c r="AZ299" s="2798"/>
      <c r="BA299" s="2798"/>
      <c r="BB299" s="2798"/>
      <c r="BC299" s="2798"/>
      <c r="BD299" s="2798"/>
      <c r="BE299" s="2798"/>
      <c r="BF299" s="2798"/>
      <c r="BG299" s="2798"/>
      <c r="BH299" s="2798"/>
      <c r="BI299" s="2798"/>
      <c r="BJ299" s="2798"/>
      <c r="BK299" s="2798"/>
      <c r="BL299" s="2798"/>
      <c r="BM299" s="2798"/>
      <c r="BN299" s="2798"/>
      <c r="BO299" s="2798"/>
      <c r="BP299" s="2798"/>
    </row>
    <row r="300" spans="12:68">
      <c r="L300" s="2798"/>
      <c r="M300" s="2798"/>
      <c r="N300" s="2798"/>
      <c r="O300" s="2798"/>
      <c r="P300" s="2798"/>
      <c r="Q300" s="2798"/>
      <c r="R300" s="2798"/>
      <c r="S300" s="2798"/>
      <c r="T300" s="2798"/>
      <c r="U300" s="2798"/>
      <c r="V300" s="2798"/>
      <c r="W300" s="2798"/>
      <c r="X300" s="2798"/>
      <c r="Y300" s="2798"/>
      <c r="Z300" s="2798"/>
      <c r="AA300" s="2798"/>
      <c r="AB300" s="2798"/>
      <c r="AC300" s="2798"/>
      <c r="AD300" s="2798"/>
      <c r="AE300" s="2798"/>
      <c r="AF300" s="2798"/>
      <c r="AG300" s="2798"/>
      <c r="AH300" s="2798"/>
      <c r="AI300" s="2798"/>
      <c r="AJ300" s="2798"/>
      <c r="AK300" s="2798"/>
      <c r="AL300" s="2798"/>
      <c r="AM300" s="2798"/>
      <c r="AN300" s="2798"/>
      <c r="AO300" s="2798"/>
      <c r="AP300" s="2798"/>
      <c r="AQ300" s="2798"/>
      <c r="AR300" s="2798"/>
      <c r="AS300" s="2798"/>
      <c r="AT300" s="2798"/>
      <c r="AU300" s="2798"/>
      <c r="AV300" s="2798"/>
      <c r="AW300" s="2798"/>
      <c r="AX300" s="2798"/>
      <c r="AY300" s="2798"/>
      <c r="AZ300" s="2798"/>
      <c r="BA300" s="2798"/>
      <c r="BB300" s="2798"/>
      <c r="BC300" s="2798"/>
      <c r="BD300" s="2798"/>
      <c r="BE300" s="2798"/>
      <c r="BF300" s="2798"/>
      <c r="BG300" s="2798"/>
      <c r="BH300" s="2798"/>
      <c r="BI300" s="2798"/>
      <c r="BJ300" s="2798"/>
      <c r="BK300" s="2798"/>
      <c r="BL300" s="2798"/>
      <c r="BM300" s="2798"/>
      <c r="BN300" s="2798"/>
      <c r="BO300" s="2798"/>
      <c r="BP300" s="2798"/>
    </row>
    <row r="301" spans="12:68">
      <c r="L301" s="2798"/>
      <c r="M301" s="2798"/>
      <c r="N301" s="2798"/>
      <c r="O301" s="2798"/>
      <c r="P301" s="2798"/>
      <c r="Q301" s="2798"/>
      <c r="R301" s="2798"/>
      <c r="S301" s="2798"/>
      <c r="T301" s="2798"/>
      <c r="U301" s="2798"/>
      <c r="V301" s="2798"/>
      <c r="W301" s="2798"/>
      <c r="X301" s="2798"/>
      <c r="Y301" s="2798"/>
      <c r="Z301" s="2798"/>
      <c r="AA301" s="2798"/>
      <c r="AB301" s="2798"/>
      <c r="AC301" s="2798"/>
      <c r="AD301" s="2798"/>
      <c r="AE301" s="2798"/>
      <c r="AF301" s="2798"/>
      <c r="AG301" s="2798"/>
      <c r="AH301" s="2798"/>
      <c r="AI301" s="2798"/>
      <c r="AJ301" s="2798"/>
      <c r="AK301" s="2798"/>
      <c r="AL301" s="2798"/>
      <c r="AM301" s="2798"/>
      <c r="AN301" s="2798"/>
      <c r="AO301" s="2798"/>
      <c r="AP301" s="2798"/>
      <c r="AQ301" s="2798"/>
      <c r="AR301" s="2798"/>
      <c r="AS301" s="2798"/>
      <c r="AT301" s="2798"/>
      <c r="AU301" s="2798"/>
      <c r="AV301" s="2798"/>
      <c r="AW301" s="2798"/>
      <c r="AX301" s="2798"/>
      <c r="AY301" s="2798"/>
      <c r="AZ301" s="2798"/>
      <c r="BA301" s="2798"/>
      <c r="BB301" s="2798"/>
      <c r="BC301" s="2798"/>
      <c r="BD301" s="2798"/>
      <c r="BE301" s="2798"/>
      <c r="BF301" s="2798"/>
      <c r="BG301" s="2798"/>
      <c r="BH301" s="2798"/>
      <c r="BI301" s="2798"/>
      <c r="BJ301" s="2798"/>
      <c r="BK301" s="2798"/>
      <c r="BL301" s="2798"/>
      <c r="BM301" s="2798"/>
      <c r="BN301" s="2798"/>
      <c r="BO301" s="2798"/>
      <c r="BP301" s="2798"/>
    </row>
    <row r="302" spans="12:68">
      <c r="L302" s="2798"/>
      <c r="M302" s="2798"/>
      <c r="N302" s="2798"/>
      <c r="O302" s="2798"/>
      <c r="P302" s="2798"/>
      <c r="Q302" s="2798"/>
      <c r="R302" s="2798"/>
      <c r="S302" s="2798"/>
      <c r="T302" s="2798"/>
      <c r="U302" s="2798"/>
      <c r="V302" s="2798"/>
      <c r="W302" s="2798"/>
      <c r="X302" s="2798"/>
      <c r="Y302" s="2798"/>
      <c r="Z302" s="2798"/>
      <c r="AA302" s="2798"/>
      <c r="AB302" s="2798"/>
      <c r="AC302" s="2798"/>
      <c r="AD302" s="2798"/>
      <c r="AE302" s="2798"/>
      <c r="AF302" s="2798"/>
      <c r="AG302" s="2798"/>
      <c r="AH302" s="2798"/>
      <c r="AI302" s="2798"/>
      <c r="AJ302" s="2798"/>
      <c r="AK302" s="2798"/>
      <c r="AL302" s="2798"/>
      <c r="AM302" s="2798"/>
      <c r="AN302" s="2798"/>
      <c r="AO302" s="2798"/>
      <c r="AP302" s="2798"/>
      <c r="AQ302" s="2798"/>
      <c r="AR302" s="2798"/>
      <c r="AS302" s="2798"/>
      <c r="AT302" s="2798"/>
      <c r="AU302" s="2798"/>
      <c r="AV302" s="2798"/>
      <c r="AW302" s="2798"/>
      <c r="AX302" s="2798"/>
      <c r="AY302" s="2798"/>
      <c r="AZ302" s="2798"/>
      <c r="BA302" s="2798"/>
      <c r="BB302" s="2798"/>
      <c r="BC302" s="2798"/>
      <c r="BD302" s="2798"/>
      <c r="BE302" s="2798"/>
      <c r="BF302" s="2798"/>
      <c r="BG302" s="2798"/>
      <c r="BH302" s="2798"/>
      <c r="BI302" s="2798"/>
      <c r="BJ302" s="2798"/>
      <c r="BK302" s="2798"/>
      <c r="BL302" s="2798"/>
      <c r="BM302" s="2798"/>
      <c r="BN302" s="2798"/>
      <c r="BO302" s="2798"/>
      <c r="BP302" s="2798"/>
    </row>
    <row r="303" spans="12:68">
      <c r="L303" s="2798"/>
      <c r="M303" s="2798"/>
      <c r="N303" s="2798"/>
      <c r="O303" s="2798"/>
      <c r="P303" s="2798"/>
      <c r="Q303" s="2798"/>
      <c r="R303" s="2798"/>
      <c r="S303" s="2798"/>
      <c r="T303" s="2798"/>
      <c r="U303" s="2798"/>
      <c r="V303" s="2798"/>
      <c r="W303" s="2798"/>
      <c r="X303" s="2798"/>
      <c r="Y303" s="2798"/>
      <c r="Z303" s="2798"/>
      <c r="AA303" s="2798"/>
      <c r="AB303" s="2798"/>
      <c r="AC303" s="2798"/>
      <c r="AD303" s="2798"/>
      <c r="AE303" s="2798"/>
      <c r="AF303" s="2798"/>
      <c r="AG303" s="2798"/>
      <c r="AH303" s="2798"/>
      <c r="AI303" s="2798"/>
      <c r="AJ303" s="2798"/>
      <c r="AK303" s="2798"/>
      <c r="AL303" s="2798"/>
      <c r="AM303" s="2798"/>
      <c r="AN303" s="2798"/>
      <c r="AO303" s="2798"/>
      <c r="AP303" s="2798"/>
      <c r="AQ303" s="2798"/>
      <c r="AR303" s="2798"/>
      <c r="AS303" s="2798"/>
      <c r="AT303" s="2798"/>
      <c r="AU303" s="2798"/>
      <c r="AV303" s="2798"/>
      <c r="AW303" s="2798"/>
      <c r="AX303" s="2798"/>
      <c r="AY303" s="2798"/>
      <c r="AZ303" s="2798"/>
      <c r="BA303" s="2798"/>
      <c r="BB303" s="2798"/>
      <c r="BC303" s="2798"/>
      <c r="BD303" s="2798"/>
      <c r="BE303" s="2798"/>
      <c r="BF303" s="2798"/>
      <c r="BG303" s="2798"/>
      <c r="BH303" s="2798"/>
      <c r="BI303" s="2798"/>
      <c r="BJ303" s="2798"/>
      <c r="BK303" s="2798"/>
      <c r="BL303" s="2798"/>
      <c r="BM303" s="2798"/>
      <c r="BN303" s="2798"/>
      <c r="BO303" s="2798"/>
      <c r="BP303" s="2798"/>
    </row>
    <row r="304" spans="12:68">
      <c r="L304" s="2798"/>
      <c r="M304" s="2798"/>
      <c r="N304" s="2798"/>
      <c r="O304" s="2798"/>
      <c r="P304" s="2798"/>
      <c r="Q304" s="2798"/>
      <c r="R304" s="2798"/>
      <c r="S304" s="2798"/>
      <c r="T304" s="2798"/>
      <c r="U304" s="2798"/>
      <c r="V304" s="2798"/>
      <c r="W304" s="2798"/>
      <c r="X304" s="2798"/>
      <c r="Y304" s="2798"/>
      <c r="Z304" s="2798"/>
      <c r="AA304" s="2798"/>
      <c r="AB304" s="2798"/>
      <c r="AC304" s="2798"/>
      <c r="AD304" s="2798"/>
      <c r="AE304" s="2798"/>
      <c r="AF304" s="2798"/>
      <c r="AG304" s="2798"/>
      <c r="AH304" s="2798"/>
      <c r="AI304" s="2798"/>
      <c r="AJ304" s="2798"/>
      <c r="AK304" s="2798"/>
      <c r="AL304" s="2798"/>
      <c r="AM304" s="2798"/>
      <c r="AN304" s="2798"/>
      <c r="AO304" s="2798"/>
      <c r="AP304" s="2798"/>
      <c r="AQ304" s="2798"/>
      <c r="AR304" s="2798"/>
      <c r="AS304" s="2798"/>
      <c r="AT304" s="2798"/>
      <c r="AU304" s="2798"/>
      <c r="AV304" s="2798"/>
      <c r="AW304" s="2798"/>
      <c r="AX304" s="2798"/>
      <c r="AY304" s="2798"/>
      <c r="AZ304" s="2798"/>
      <c r="BA304" s="2798"/>
      <c r="BB304" s="2798"/>
      <c r="BC304" s="2798"/>
      <c r="BD304" s="2798"/>
      <c r="BE304" s="2798"/>
      <c r="BF304" s="2798"/>
      <c r="BG304" s="2798"/>
      <c r="BH304" s="2798"/>
      <c r="BI304" s="2798"/>
      <c r="BJ304" s="2798"/>
      <c r="BK304" s="2798"/>
      <c r="BL304" s="2798"/>
      <c r="BM304" s="2798"/>
      <c r="BN304" s="2798"/>
      <c r="BO304" s="2798"/>
      <c r="BP304" s="2798"/>
    </row>
    <row r="305" spans="12:68">
      <c r="L305" s="2798"/>
      <c r="M305" s="2798"/>
      <c r="N305" s="2798"/>
      <c r="O305" s="2798"/>
      <c r="P305" s="2798"/>
      <c r="Q305" s="2798"/>
      <c r="R305" s="2798"/>
      <c r="S305" s="2798"/>
      <c r="T305" s="2798"/>
      <c r="U305" s="2798"/>
      <c r="V305" s="2798"/>
      <c r="W305" s="2798"/>
      <c r="X305" s="2798"/>
      <c r="Y305" s="2798"/>
      <c r="Z305" s="2798"/>
      <c r="AA305" s="2798"/>
      <c r="AB305" s="2798"/>
      <c r="AC305" s="2798"/>
      <c r="AD305" s="2798"/>
      <c r="AE305" s="2798"/>
      <c r="AF305" s="2798"/>
      <c r="AG305" s="2798"/>
      <c r="AH305" s="2798"/>
      <c r="AI305" s="2798"/>
      <c r="AJ305" s="2798"/>
      <c r="AK305" s="2798"/>
      <c r="AL305" s="2798"/>
      <c r="AM305" s="2798"/>
      <c r="AN305" s="2798"/>
      <c r="AO305" s="2798"/>
      <c r="AP305" s="2798"/>
      <c r="AQ305" s="2798"/>
      <c r="AR305" s="2798"/>
      <c r="AS305" s="2798"/>
      <c r="AT305" s="2798"/>
      <c r="AU305" s="2798"/>
      <c r="AV305" s="2798"/>
      <c r="AW305" s="2798"/>
      <c r="AX305" s="2798"/>
      <c r="AY305" s="2798"/>
      <c r="AZ305" s="2798"/>
      <c r="BA305" s="2798"/>
      <c r="BB305" s="2798"/>
      <c r="BC305" s="2798"/>
      <c r="BD305" s="2798"/>
      <c r="BE305" s="2798"/>
      <c r="BF305" s="2798"/>
      <c r="BG305" s="2798"/>
      <c r="BH305" s="2798"/>
      <c r="BI305" s="2798"/>
      <c r="BJ305" s="2798"/>
      <c r="BK305" s="2798"/>
      <c r="BL305" s="2798"/>
      <c r="BM305" s="2798"/>
      <c r="BN305" s="2798"/>
      <c r="BO305" s="2798"/>
      <c r="BP305" s="2798"/>
    </row>
    <row r="306" spans="12:68">
      <c r="L306" s="2798"/>
      <c r="M306" s="2798"/>
      <c r="N306" s="2798"/>
      <c r="O306" s="2798"/>
      <c r="P306" s="2798"/>
      <c r="Q306" s="2798"/>
      <c r="R306" s="2798"/>
      <c r="S306" s="2798"/>
      <c r="T306" s="2798"/>
      <c r="U306" s="2798"/>
      <c r="V306" s="2798"/>
      <c r="W306" s="2798"/>
      <c r="X306" s="2798"/>
      <c r="Y306" s="2798"/>
      <c r="Z306" s="2798"/>
      <c r="AA306" s="2798"/>
      <c r="AB306" s="2798"/>
      <c r="AC306" s="2798"/>
      <c r="AD306" s="2798"/>
      <c r="AE306" s="2798"/>
      <c r="AF306" s="2798"/>
      <c r="AG306" s="2798"/>
      <c r="AH306" s="2798"/>
      <c r="AI306" s="2798"/>
      <c r="AJ306" s="2798"/>
      <c r="AK306" s="2798"/>
      <c r="AL306" s="2798"/>
      <c r="AM306" s="2798"/>
      <c r="AN306" s="2798"/>
      <c r="AO306" s="2798"/>
      <c r="AP306" s="2798"/>
      <c r="AQ306" s="2798"/>
      <c r="AR306" s="2798"/>
      <c r="AS306" s="2798"/>
      <c r="AT306" s="2798"/>
      <c r="AU306" s="2798"/>
      <c r="AV306" s="2798"/>
      <c r="AW306" s="2798"/>
      <c r="AX306" s="2798"/>
      <c r="AY306" s="2798"/>
      <c r="AZ306" s="2798"/>
      <c r="BA306" s="2798"/>
      <c r="BB306" s="2798"/>
      <c r="BC306" s="2798"/>
      <c r="BD306" s="2798"/>
      <c r="BE306" s="2798"/>
      <c r="BF306" s="2798"/>
      <c r="BG306" s="2798"/>
      <c r="BH306" s="2798"/>
      <c r="BI306" s="2798"/>
      <c r="BJ306" s="2798"/>
      <c r="BK306" s="2798"/>
      <c r="BL306" s="2798"/>
      <c r="BM306" s="2798"/>
      <c r="BN306" s="2798"/>
      <c r="BO306" s="2798"/>
      <c r="BP306" s="2798"/>
    </row>
    <row r="307" spans="12:68">
      <c r="L307" s="2798"/>
      <c r="M307" s="2798"/>
      <c r="N307" s="2798"/>
      <c r="O307" s="2798"/>
      <c r="P307" s="2798"/>
      <c r="Q307" s="2798"/>
      <c r="R307" s="2798"/>
      <c r="S307" s="2798"/>
      <c r="T307" s="2798"/>
      <c r="U307" s="2798"/>
      <c r="V307" s="2798"/>
      <c r="W307" s="2798"/>
      <c r="X307" s="2798"/>
      <c r="Y307" s="2798"/>
      <c r="Z307" s="2798"/>
      <c r="AA307" s="2798"/>
      <c r="AB307" s="2798"/>
      <c r="AC307" s="2798"/>
      <c r="AD307" s="2798"/>
      <c r="AE307" s="2798"/>
      <c r="AF307" s="2798"/>
      <c r="AG307" s="2798"/>
      <c r="AH307" s="2798"/>
      <c r="AI307" s="2798"/>
      <c r="AJ307" s="2798"/>
      <c r="AK307" s="2798"/>
      <c r="AL307" s="2798"/>
      <c r="AM307" s="2798"/>
      <c r="AN307" s="2798"/>
      <c r="AO307" s="2798"/>
      <c r="AP307" s="2798"/>
      <c r="AQ307" s="2798"/>
      <c r="AR307" s="2798"/>
      <c r="AS307" s="2798"/>
      <c r="AT307" s="2798"/>
      <c r="AU307" s="2798"/>
      <c r="AV307" s="2798"/>
      <c r="AW307" s="2798"/>
      <c r="AX307" s="2798"/>
      <c r="AY307" s="2798"/>
      <c r="AZ307" s="2798"/>
      <c r="BA307" s="2798"/>
      <c r="BB307" s="2798"/>
      <c r="BC307" s="2798"/>
      <c r="BD307" s="2798"/>
      <c r="BE307" s="2798"/>
      <c r="BF307" s="2798"/>
      <c r="BG307" s="2798"/>
      <c r="BH307" s="2798"/>
      <c r="BI307" s="2798"/>
      <c r="BJ307" s="2798"/>
      <c r="BK307" s="2798"/>
      <c r="BL307" s="2798"/>
      <c r="BM307" s="2798"/>
      <c r="BN307" s="2798"/>
      <c r="BO307" s="2798"/>
      <c r="BP307" s="2798"/>
    </row>
    <row r="308" spans="12:68">
      <c r="L308" s="2798"/>
      <c r="M308" s="2798"/>
      <c r="N308" s="2798"/>
      <c r="O308" s="2798"/>
      <c r="P308" s="2798"/>
      <c r="Q308" s="2798"/>
      <c r="R308" s="2798"/>
      <c r="S308" s="2798"/>
      <c r="T308" s="2798"/>
      <c r="U308" s="2798"/>
      <c r="V308" s="2798"/>
      <c r="W308" s="2798"/>
      <c r="X308" s="2798"/>
      <c r="Y308" s="2798"/>
      <c r="Z308" s="2798"/>
      <c r="AA308" s="2798"/>
      <c r="AB308" s="2798"/>
      <c r="AC308" s="2798"/>
      <c r="AD308" s="2798"/>
      <c r="AE308" s="2798"/>
      <c r="AF308" s="2798"/>
      <c r="AG308" s="2798"/>
      <c r="AH308" s="2798"/>
      <c r="AI308" s="2798"/>
      <c r="AJ308" s="2798"/>
      <c r="AK308" s="2798"/>
      <c r="AL308" s="2798"/>
      <c r="AM308" s="2798"/>
      <c r="AN308" s="2798"/>
      <c r="AO308" s="2798"/>
      <c r="AP308" s="2798"/>
      <c r="AQ308" s="2798"/>
      <c r="AR308" s="2798"/>
      <c r="AS308" s="2798"/>
      <c r="AT308" s="2798"/>
      <c r="AU308" s="2798"/>
      <c r="AV308" s="2798"/>
      <c r="AW308" s="2798"/>
      <c r="AX308" s="2798"/>
      <c r="AY308" s="2798"/>
      <c r="AZ308" s="2798"/>
      <c r="BA308" s="2798"/>
      <c r="BB308" s="2798"/>
      <c r="BC308" s="2798"/>
      <c r="BD308" s="2798"/>
      <c r="BE308" s="2798"/>
      <c r="BF308" s="2798"/>
      <c r="BG308" s="2798"/>
      <c r="BH308" s="2798"/>
      <c r="BI308" s="2798"/>
      <c r="BJ308" s="2798"/>
      <c r="BK308" s="2798"/>
      <c r="BL308" s="2798"/>
      <c r="BM308" s="2798"/>
      <c r="BN308" s="2798"/>
      <c r="BO308" s="2798"/>
      <c r="BP308" s="2798"/>
    </row>
    <row r="309" spans="12:68">
      <c r="L309" s="2798"/>
      <c r="M309" s="2798"/>
      <c r="N309" s="2798"/>
      <c r="O309" s="2798"/>
      <c r="P309" s="2798"/>
      <c r="Q309" s="2798"/>
      <c r="R309" s="2798"/>
      <c r="S309" s="2798"/>
      <c r="T309" s="2798"/>
      <c r="U309" s="2798"/>
      <c r="V309" s="2798"/>
      <c r="W309" s="2798"/>
      <c r="X309" s="2798"/>
      <c r="Y309" s="2798"/>
      <c r="Z309" s="2798"/>
      <c r="AA309" s="2798"/>
      <c r="AB309" s="2798"/>
      <c r="AC309" s="2798"/>
      <c r="AD309" s="2798"/>
      <c r="AE309" s="2798"/>
      <c r="AF309" s="2798"/>
      <c r="AG309" s="2798"/>
      <c r="AH309" s="2798"/>
      <c r="AI309" s="2798"/>
      <c r="AJ309" s="2798"/>
      <c r="AK309" s="2798"/>
      <c r="AL309" s="2798"/>
      <c r="AM309" s="2798"/>
      <c r="AN309" s="2798"/>
      <c r="AO309" s="2798"/>
      <c r="AP309" s="2798"/>
      <c r="AQ309" s="2798"/>
      <c r="AR309" s="2798"/>
      <c r="AS309" s="2798"/>
      <c r="AT309" s="2798"/>
      <c r="AU309" s="2798"/>
      <c r="AV309" s="2798"/>
      <c r="AW309" s="2798"/>
      <c r="AX309" s="2798"/>
      <c r="AY309" s="2798"/>
      <c r="AZ309" s="2798"/>
      <c r="BA309" s="2798"/>
      <c r="BB309" s="2798"/>
      <c r="BC309" s="2798"/>
      <c r="BD309" s="2798"/>
      <c r="BE309" s="2798"/>
      <c r="BF309" s="2798"/>
      <c r="BG309" s="2798"/>
      <c r="BH309" s="2798"/>
      <c r="BI309" s="2798"/>
      <c r="BJ309" s="2798"/>
      <c r="BK309" s="2798"/>
      <c r="BL309" s="2798"/>
      <c r="BM309" s="2798"/>
      <c r="BN309" s="2798"/>
      <c r="BO309" s="2798"/>
      <c r="BP309" s="2798"/>
    </row>
    <row r="310" spans="12:68">
      <c r="L310" s="2798"/>
      <c r="M310" s="2798"/>
      <c r="N310" s="2798"/>
      <c r="O310" s="2798"/>
      <c r="P310" s="2798"/>
      <c r="Q310" s="2798"/>
      <c r="R310" s="2798"/>
      <c r="S310" s="2798"/>
      <c r="T310" s="2798"/>
      <c r="U310" s="2798"/>
      <c r="V310" s="2798"/>
      <c r="W310" s="2798"/>
      <c r="X310" s="2798"/>
      <c r="Y310" s="2798"/>
      <c r="Z310" s="2798"/>
      <c r="AA310" s="2798"/>
      <c r="AB310" s="2798"/>
      <c r="AC310" s="2798"/>
      <c r="AD310" s="2798"/>
      <c r="AE310" s="2798"/>
      <c r="AF310" s="2798"/>
      <c r="AG310" s="2798"/>
      <c r="AH310" s="2798"/>
      <c r="AI310" s="2798"/>
      <c r="AJ310" s="2798"/>
      <c r="AK310" s="2798"/>
      <c r="AL310" s="2798"/>
      <c r="AM310" s="2798"/>
      <c r="AN310" s="2798"/>
      <c r="AO310" s="2798"/>
      <c r="AP310" s="2798"/>
      <c r="AQ310" s="2798"/>
      <c r="AR310" s="2798"/>
      <c r="AS310" s="2798"/>
      <c r="AT310" s="2798"/>
      <c r="AU310" s="2798"/>
      <c r="AV310" s="2798"/>
      <c r="AW310" s="2798"/>
      <c r="AX310" s="2798"/>
      <c r="AY310" s="2798"/>
      <c r="AZ310" s="2798"/>
      <c r="BA310" s="2798"/>
      <c r="BB310" s="2798"/>
      <c r="BC310" s="2798"/>
      <c r="BD310" s="2798"/>
      <c r="BE310" s="2798"/>
      <c r="BF310" s="2798"/>
      <c r="BG310" s="2798"/>
      <c r="BH310" s="2798"/>
      <c r="BI310" s="2798"/>
      <c r="BJ310" s="2798"/>
      <c r="BK310" s="2798"/>
      <c r="BL310" s="2798"/>
      <c r="BM310" s="2798"/>
      <c r="BN310" s="2798"/>
      <c r="BO310" s="2798"/>
      <c r="BP310" s="2798"/>
    </row>
    <row r="311" spans="12:68">
      <c r="L311" s="2798"/>
      <c r="M311" s="2798"/>
      <c r="N311" s="2798"/>
      <c r="O311" s="2798"/>
      <c r="P311" s="2798"/>
      <c r="Q311" s="2798"/>
      <c r="R311" s="2798"/>
      <c r="S311" s="2798"/>
      <c r="T311" s="2798"/>
      <c r="U311" s="2798"/>
      <c r="V311" s="2798"/>
      <c r="W311" s="2798"/>
      <c r="X311" s="2798"/>
      <c r="Y311" s="2798"/>
      <c r="Z311" s="2798"/>
      <c r="AA311" s="2798"/>
      <c r="AB311" s="2798"/>
      <c r="AC311" s="2798"/>
      <c r="AD311" s="2798"/>
      <c r="AE311" s="2798"/>
      <c r="AF311" s="2798"/>
      <c r="AG311" s="2798"/>
      <c r="AH311" s="2798"/>
      <c r="AI311" s="2798"/>
      <c r="AJ311" s="2798"/>
      <c r="AK311" s="2798"/>
      <c r="AL311" s="2798"/>
      <c r="AM311" s="2798"/>
      <c r="AN311" s="2798"/>
      <c r="AO311" s="2798"/>
      <c r="AP311" s="2798"/>
      <c r="AQ311" s="2798"/>
      <c r="AR311" s="2798"/>
      <c r="AS311" s="2798"/>
      <c r="AT311" s="2798"/>
      <c r="AU311" s="2798"/>
      <c r="AV311" s="2798"/>
      <c r="AW311" s="2798"/>
      <c r="AX311" s="2798"/>
      <c r="AY311" s="2798"/>
      <c r="AZ311" s="2798"/>
      <c r="BA311" s="2798"/>
      <c r="BB311" s="2798"/>
      <c r="BC311" s="2798"/>
      <c r="BD311" s="2798"/>
      <c r="BE311" s="2798"/>
      <c r="BF311" s="2798"/>
      <c r="BG311" s="2798"/>
      <c r="BH311" s="2798"/>
      <c r="BI311" s="2798"/>
      <c r="BJ311" s="2798"/>
      <c r="BK311" s="2798"/>
      <c r="BL311" s="2798"/>
      <c r="BM311" s="2798"/>
      <c r="BN311" s="2798"/>
      <c r="BO311" s="2798"/>
      <c r="BP311" s="2798"/>
    </row>
    <row r="312" spans="12:68">
      <c r="L312" s="2798"/>
      <c r="M312" s="2798"/>
      <c r="N312" s="2798"/>
      <c r="O312" s="2798"/>
      <c r="P312" s="2798"/>
      <c r="Q312" s="2798"/>
      <c r="R312" s="2798"/>
      <c r="S312" s="2798"/>
      <c r="T312" s="2798"/>
      <c r="U312" s="2798"/>
      <c r="V312" s="2798"/>
      <c r="W312" s="2798"/>
      <c r="X312" s="2798"/>
      <c r="Y312" s="2798"/>
      <c r="Z312" s="2798"/>
      <c r="AA312" s="2798"/>
      <c r="AB312" s="2798"/>
      <c r="AC312" s="2798"/>
      <c r="AD312" s="2798"/>
      <c r="AE312" s="2798"/>
      <c r="AF312" s="2798"/>
      <c r="AG312" s="2798"/>
      <c r="AH312" s="2798"/>
      <c r="AI312" s="2798"/>
      <c r="AJ312" s="2798"/>
      <c r="AK312" s="2798"/>
      <c r="AL312" s="2798"/>
      <c r="AM312" s="2798"/>
      <c r="AN312" s="2798"/>
      <c r="AO312" s="2798"/>
      <c r="AP312" s="2798"/>
      <c r="AQ312" s="2798"/>
      <c r="AR312" s="2798"/>
      <c r="AS312" s="2798"/>
      <c r="AT312" s="2798"/>
      <c r="AU312" s="2798"/>
      <c r="AV312" s="2798"/>
      <c r="AW312" s="2798"/>
      <c r="AX312" s="2798"/>
      <c r="AY312" s="2798"/>
      <c r="AZ312" s="2798"/>
      <c r="BA312" s="2798"/>
      <c r="BB312" s="2798"/>
      <c r="BC312" s="2798"/>
      <c r="BD312" s="2798"/>
      <c r="BE312" s="2798"/>
      <c r="BF312" s="2798"/>
      <c r="BG312" s="2798"/>
      <c r="BH312" s="2798"/>
      <c r="BI312" s="2798"/>
      <c r="BJ312" s="2798"/>
      <c r="BK312" s="2798"/>
      <c r="BL312" s="2798"/>
      <c r="BM312" s="2798"/>
      <c r="BN312" s="2798"/>
      <c r="BO312" s="2798"/>
      <c r="BP312" s="2798"/>
    </row>
    <row r="313" spans="12:68">
      <c r="L313" s="2798"/>
      <c r="M313" s="2798"/>
      <c r="N313" s="2798"/>
      <c r="O313" s="2798"/>
      <c r="P313" s="2798"/>
      <c r="Q313" s="2798"/>
      <c r="R313" s="2798"/>
      <c r="S313" s="2798"/>
      <c r="T313" s="2798"/>
      <c r="U313" s="2798"/>
      <c r="V313" s="2798"/>
      <c r="W313" s="2798"/>
      <c r="X313" s="2798"/>
      <c r="Y313" s="2798"/>
      <c r="Z313" s="2798"/>
      <c r="AA313" s="2798"/>
      <c r="AB313" s="2798"/>
      <c r="AC313" s="2798"/>
      <c r="AD313" s="2798"/>
      <c r="AE313" s="2798"/>
      <c r="AF313" s="2798"/>
      <c r="AG313" s="2798"/>
      <c r="AH313" s="2798"/>
      <c r="AI313" s="2798"/>
      <c r="AJ313" s="2798"/>
      <c r="AK313" s="2798"/>
      <c r="AL313" s="2798"/>
      <c r="AM313" s="2798"/>
      <c r="AN313" s="2798"/>
      <c r="AO313" s="2798"/>
      <c r="AP313" s="2798"/>
      <c r="AQ313" s="2798"/>
      <c r="AR313" s="2798"/>
      <c r="AS313" s="2798"/>
      <c r="AT313" s="2798"/>
      <c r="AU313" s="2798"/>
      <c r="AV313" s="2798"/>
      <c r="AW313" s="2798"/>
      <c r="AX313" s="2798"/>
      <c r="AY313" s="2798"/>
      <c r="AZ313" s="2798"/>
      <c r="BA313" s="2798"/>
      <c r="BB313" s="2798"/>
      <c r="BC313" s="2798"/>
      <c r="BD313" s="2798"/>
      <c r="BE313" s="2798"/>
      <c r="BF313" s="2798"/>
      <c r="BG313" s="2798"/>
      <c r="BH313" s="2798"/>
      <c r="BI313" s="2798"/>
      <c r="BJ313" s="2798"/>
      <c r="BK313" s="2798"/>
      <c r="BL313" s="2798"/>
      <c r="BM313" s="2798"/>
      <c r="BN313" s="2798"/>
      <c r="BO313" s="2798"/>
      <c r="BP313" s="2798"/>
    </row>
    <row r="314" spans="12:68">
      <c r="L314" s="2798"/>
      <c r="M314" s="2798"/>
      <c r="N314" s="2798"/>
      <c r="O314" s="2798"/>
      <c r="P314" s="2798"/>
      <c r="Q314" s="2798"/>
      <c r="R314" s="2798"/>
      <c r="S314" s="2798"/>
      <c r="T314" s="2798"/>
      <c r="U314" s="2798"/>
      <c r="V314" s="2798"/>
      <c r="W314" s="2798"/>
      <c r="X314" s="2798"/>
      <c r="Y314" s="2798"/>
      <c r="Z314" s="2798"/>
      <c r="AA314" s="2798"/>
      <c r="AB314" s="2798"/>
      <c r="AC314" s="2798"/>
      <c r="AD314" s="2798"/>
      <c r="AE314" s="2798"/>
      <c r="AF314" s="2798"/>
      <c r="AG314" s="2798"/>
      <c r="AH314" s="2798"/>
      <c r="AI314" s="2798"/>
      <c r="AJ314" s="2798"/>
      <c r="AK314" s="2798"/>
      <c r="AL314" s="2798"/>
      <c r="AM314" s="2798"/>
      <c r="AN314" s="2798"/>
      <c r="AO314" s="2798"/>
      <c r="AP314" s="2798"/>
      <c r="AQ314" s="2798"/>
      <c r="AR314" s="2798"/>
      <c r="AS314" s="2798"/>
      <c r="AT314" s="2798"/>
      <c r="AU314" s="2798"/>
      <c r="AV314" s="2798"/>
      <c r="AW314" s="2798"/>
      <c r="AX314" s="2798"/>
      <c r="AY314" s="2798"/>
      <c r="AZ314" s="2798"/>
      <c r="BA314" s="2798"/>
      <c r="BB314" s="2798"/>
      <c r="BC314" s="2798"/>
      <c r="BD314" s="2798"/>
      <c r="BE314" s="2798"/>
      <c r="BF314" s="2798"/>
      <c r="BG314" s="2798"/>
      <c r="BH314" s="2798"/>
      <c r="BI314" s="2798"/>
      <c r="BJ314" s="2798"/>
      <c r="BK314" s="2798"/>
      <c r="BL314" s="2798"/>
      <c r="BM314" s="2798"/>
      <c r="BN314" s="2798"/>
      <c r="BO314" s="2798"/>
      <c r="BP314" s="2798"/>
    </row>
    <row r="315" spans="12:68">
      <c r="L315" s="2798"/>
      <c r="M315" s="2798"/>
      <c r="N315" s="2798"/>
      <c r="O315" s="2798"/>
      <c r="P315" s="2798"/>
      <c r="Q315" s="2798"/>
      <c r="R315" s="2798"/>
      <c r="S315" s="2798"/>
      <c r="T315" s="2798"/>
      <c r="U315" s="2798"/>
      <c r="V315" s="2798"/>
      <c r="W315" s="2798"/>
      <c r="X315" s="2798"/>
      <c r="Y315" s="2798"/>
      <c r="Z315" s="2798"/>
      <c r="AA315" s="2798"/>
      <c r="AB315" s="2798"/>
      <c r="AC315" s="2798"/>
      <c r="AD315" s="2798"/>
      <c r="AE315" s="2798"/>
      <c r="AF315" s="2798"/>
      <c r="AG315" s="2798"/>
      <c r="AH315" s="2798"/>
      <c r="AI315" s="2798"/>
      <c r="AJ315" s="2798"/>
      <c r="AK315" s="2798"/>
      <c r="AL315" s="2798"/>
      <c r="AM315" s="2798"/>
      <c r="AN315" s="2798"/>
      <c r="AO315" s="2798"/>
      <c r="AP315" s="2798"/>
      <c r="AQ315" s="2798"/>
      <c r="AR315" s="2798"/>
      <c r="AS315" s="2798"/>
      <c r="AT315" s="2798"/>
      <c r="AU315" s="2798"/>
      <c r="AV315" s="2798"/>
      <c r="AW315" s="2798"/>
      <c r="AX315" s="2798"/>
      <c r="AY315" s="2798"/>
      <c r="AZ315" s="2798"/>
      <c r="BA315" s="2798"/>
      <c r="BB315" s="2798"/>
      <c r="BC315" s="2798"/>
      <c r="BD315" s="2798"/>
      <c r="BE315" s="2798"/>
      <c r="BF315" s="2798"/>
      <c r="BG315" s="2798"/>
      <c r="BH315" s="2798"/>
      <c r="BI315" s="2798"/>
      <c r="BJ315" s="2798"/>
      <c r="BK315" s="2798"/>
      <c r="BL315" s="2798"/>
      <c r="BM315" s="2798"/>
      <c r="BN315" s="2798"/>
      <c r="BO315" s="2798"/>
      <c r="BP315" s="2798"/>
    </row>
    <row r="316" spans="12:68">
      <c r="L316" s="2798"/>
      <c r="M316" s="2798"/>
      <c r="N316" s="2798"/>
      <c r="O316" s="2798"/>
      <c r="P316" s="2798"/>
      <c r="Q316" s="2798"/>
      <c r="R316" s="2798"/>
      <c r="S316" s="2798"/>
      <c r="T316" s="2798"/>
      <c r="U316" s="2798"/>
      <c r="V316" s="2798"/>
      <c r="W316" s="2798"/>
      <c r="X316" s="2798"/>
      <c r="Y316" s="2798"/>
      <c r="Z316" s="2798"/>
      <c r="AA316" s="2798"/>
      <c r="AB316" s="2798"/>
      <c r="AC316" s="2798"/>
      <c r="AD316" s="2798"/>
      <c r="AE316" s="2798"/>
      <c r="AF316" s="2798"/>
      <c r="AG316" s="2798"/>
      <c r="AH316" s="2798"/>
      <c r="AI316" s="2798"/>
      <c r="AJ316" s="2798"/>
      <c r="AK316" s="2798"/>
      <c r="AL316" s="2798"/>
      <c r="AM316" s="2798"/>
      <c r="AN316" s="2798"/>
      <c r="AO316" s="2798"/>
      <c r="AP316" s="2798"/>
      <c r="AQ316" s="2798"/>
      <c r="AR316" s="2798"/>
      <c r="AS316" s="2798"/>
      <c r="AT316" s="2798"/>
      <c r="AU316" s="2798"/>
      <c r="AV316" s="2798"/>
      <c r="AW316" s="2798"/>
      <c r="AX316" s="2798"/>
      <c r="AY316" s="2798"/>
      <c r="AZ316" s="2798"/>
      <c r="BA316" s="2798"/>
      <c r="BB316" s="2798"/>
      <c r="BC316" s="2798"/>
      <c r="BD316" s="2798"/>
      <c r="BE316" s="2798"/>
      <c r="BF316" s="2798"/>
      <c r="BG316" s="2798"/>
      <c r="BH316" s="2798"/>
      <c r="BI316" s="2798"/>
      <c r="BJ316" s="2798"/>
      <c r="BK316" s="2798"/>
      <c r="BL316" s="2798"/>
      <c r="BM316" s="2798"/>
      <c r="BN316" s="2798"/>
      <c r="BO316" s="2798"/>
      <c r="BP316" s="2798"/>
    </row>
    <row r="317" spans="12:68">
      <c r="L317" s="2798"/>
      <c r="M317" s="2798"/>
      <c r="N317" s="2798"/>
      <c r="O317" s="2798"/>
      <c r="P317" s="2798"/>
      <c r="Q317" s="2798"/>
      <c r="R317" s="2798"/>
      <c r="S317" s="2798"/>
      <c r="T317" s="2798"/>
      <c r="U317" s="2798"/>
      <c r="V317" s="2798"/>
      <c r="W317" s="2798"/>
      <c r="X317" s="2798"/>
      <c r="Y317" s="2798"/>
      <c r="Z317" s="2798"/>
      <c r="AA317" s="2798"/>
      <c r="AB317" s="2798"/>
      <c r="AC317" s="2798"/>
      <c r="AD317" s="2798"/>
      <c r="AE317" s="2798"/>
      <c r="AF317" s="2798"/>
      <c r="AG317" s="2798"/>
      <c r="AH317" s="2798"/>
      <c r="AI317" s="2798"/>
      <c r="AJ317" s="2798"/>
      <c r="AK317" s="2798"/>
      <c r="AL317" s="2798"/>
      <c r="AM317" s="2798"/>
      <c r="AN317" s="2798"/>
      <c r="AO317" s="2798"/>
      <c r="AP317" s="2798"/>
      <c r="AQ317" s="2798"/>
      <c r="AR317" s="2798"/>
      <c r="AS317" s="2798"/>
      <c r="AT317" s="2798"/>
      <c r="AU317" s="2798"/>
      <c r="AV317" s="2798"/>
      <c r="AW317" s="2798"/>
      <c r="AX317" s="2798"/>
      <c r="AY317" s="2798"/>
      <c r="AZ317" s="2798"/>
      <c r="BA317" s="2798"/>
      <c r="BB317" s="2798"/>
      <c r="BC317" s="2798"/>
      <c r="BD317" s="2798"/>
      <c r="BE317" s="2798"/>
      <c r="BF317" s="2798"/>
      <c r="BG317" s="2798"/>
      <c r="BH317" s="2798"/>
      <c r="BI317" s="2798"/>
      <c r="BJ317" s="2798"/>
      <c r="BK317" s="2798"/>
      <c r="BL317" s="2798"/>
      <c r="BM317" s="2798"/>
      <c r="BN317" s="2798"/>
      <c r="BO317" s="2798"/>
      <c r="BP317" s="2798"/>
    </row>
    <row r="318" spans="12:68">
      <c r="L318" s="2798"/>
      <c r="M318" s="2798"/>
      <c r="N318" s="2798"/>
      <c r="O318" s="2798"/>
      <c r="P318" s="2798"/>
      <c r="Q318" s="2798"/>
      <c r="R318" s="2798"/>
      <c r="S318" s="2798"/>
      <c r="T318" s="2798"/>
      <c r="U318" s="2798"/>
      <c r="V318" s="2798"/>
      <c r="W318" s="2798"/>
      <c r="X318" s="2798"/>
      <c r="Y318" s="2798"/>
      <c r="Z318" s="2798"/>
      <c r="AA318" s="2798"/>
      <c r="AB318" s="2798"/>
      <c r="AC318" s="2798"/>
      <c r="AD318" s="2798"/>
      <c r="AE318" s="2798"/>
      <c r="AF318" s="2798"/>
      <c r="AG318" s="2798"/>
      <c r="AH318" s="2798"/>
      <c r="AI318" s="2798"/>
      <c r="AJ318" s="2798"/>
      <c r="AK318" s="2798"/>
      <c r="AL318" s="2798"/>
      <c r="AM318" s="2798"/>
      <c r="AN318" s="2798"/>
      <c r="AO318" s="2798"/>
      <c r="AP318" s="2798"/>
      <c r="AQ318" s="2798"/>
      <c r="AR318" s="2798"/>
      <c r="AS318" s="2798"/>
      <c r="AT318" s="2798"/>
      <c r="AU318" s="2798"/>
      <c r="AV318" s="2798"/>
      <c r="AW318" s="2798"/>
      <c r="AX318" s="2798"/>
      <c r="AY318" s="2798"/>
      <c r="AZ318" s="2798"/>
      <c r="BA318" s="2798"/>
      <c r="BB318" s="2798"/>
      <c r="BC318" s="2798"/>
      <c r="BD318" s="2798"/>
      <c r="BE318" s="2798"/>
      <c r="BF318" s="2798"/>
      <c r="BG318" s="2798"/>
      <c r="BH318" s="2798"/>
      <c r="BI318" s="2798"/>
      <c r="BJ318" s="2798"/>
      <c r="BK318" s="2798"/>
      <c r="BL318" s="2798"/>
      <c r="BM318" s="2798"/>
      <c r="BN318" s="2798"/>
      <c r="BO318" s="2798"/>
      <c r="BP318" s="2798"/>
    </row>
    <row r="319" spans="12:68">
      <c r="L319" s="2798"/>
      <c r="M319" s="2798"/>
      <c r="N319" s="2798"/>
      <c r="O319" s="2798"/>
      <c r="P319" s="2798"/>
      <c r="Q319" s="2798"/>
      <c r="R319" s="2798"/>
      <c r="S319" s="2798"/>
      <c r="T319" s="2798"/>
      <c r="U319" s="2798"/>
      <c r="V319" s="2798"/>
      <c r="W319" s="2798"/>
      <c r="X319" s="2798"/>
      <c r="Y319" s="2798"/>
      <c r="Z319" s="2798"/>
      <c r="AA319" s="2798"/>
      <c r="AB319" s="2798"/>
      <c r="AC319" s="2798"/>
      <c r="AD319" s="2798"/>
      <c r="AE319" s="2798"/>
      <c r="AF319" s="2798"/>
      <c r="AG319" s="2798"/>
      <c r="AH319" s="2798"/>
      <c r="AI319" s="2798"/>
      <c r="AJ319" s="2798"/>
      <c r="AK319" s="2798"/>
      <c r="AL319" s="2798"/>
      <c r="AM319" s="2798"/>
      <c r="AN319" s="2798"/>
      <c r="AO319" s="2798"/>
      <c r="AP319" s="2798"/>
      <c r="AQ319" s="2798"/>
      <c r="AR319" s="2798"/>
      <c r="AS319" s="2798"/>
      <c r="AT319" s="2798"/>
      <c r="AU319" s="2798"/>
      <c r="AV319" s="2798"/>
      <c r="AW319" s="2798"/>
      <c r="AX319" s="2798"/>
      <c r="AY319" s="2798"/>
      <c r="AZ319" s="2798"/>
      <c r="BA319" s="2798"/>
      <c r="BB319" s="2798"/>
      <c r="BC319" s="2798"/>
      <c r="BD319" s="2798"/>
      <c r="BE319" s="2798"/>
      <c r="BF319" s="2798"/>
      <c r="BG319" s="2798"/>
      <c r="BH319" s="2798"/>
      <c r="BI319" s="2798"/>
      <c r="BJ319" s="2798"/>
      <c r="BK319" s="2798"/>
      <c r="BL319" s="2798"/>
      <c r="BM319" s="2798"/>
      <c r="BN319" s="2798"/>
      <c r="BO319" s="2798"/>
      <c r="BP319" s="2798"/>
    </row>
    <row r="320" spans="12:68">
      <c r="L320" s="2798"/>
      <c r="M320" s="2798"/>
      <c r="N320" s="2798"/>
      <c r="O320" s="2798"/>
      <c r="P320" s="2798"/>
      <c r="Q320" s="2798"/>
      <c r="R320" s="2798"/>
      <c r="S320" s="2798"/>
      <c r="T320" s="2798"/>
      <c r="U320" s="2798"/>
      <c r="V320" s="2798"/>
      <c r="W320" s="2798"/>
      <c r="X320" s="2798"/>
      <c r="Y320" s="2798"/>
      <c r="Z320" s="2798"/>
      <c r="AA320" s="2798"/>
      <c r="AB320" s="2798"/>
      <c r="AC320" s="2798"/>
      <c r="AD320" s="2798"/>
      <c r="AE320" s="2798"/>
      <c r="AF320" s="2798"/>
      <c r="AG320" s="2798"/>
      <c r="AH320" s="2798"/>
      <c r="AI320" s="2798"/>
      <c r="AJ320" s="2798"/>
      <c r="AK320" s="2798"/>
      <c r="AL320" s="2798"/>
      <c r="AM320" s="2798"/>
      <c r="AN320" s="2798"/>
      <c r="AO320" s="2798"/>
      <c r="AP320" s="2798"/>
      <c r="AQ320" s="2798"/>
      <c r="AR320" s="2798"/>
      <c r="AS320" s="2798"/>
      <c r="AT320" s="2798"/>
      <c r="AU320" s="2798"/>
      <c r="AV320" s="2798"/>
      <c r="AW320" s="2798"/>
      <c r="AX320" s="2798"/>
      <c r="AY320" s="2798"/>
      <c r="AZ320" s="2798"/>
      <c r="BA320" s="2798"/>
      <c r="BB320" s="2798"/>
      <c r="BC320" s="2798"/>
      <c r="BD320" s="2798"/>
      <c r="BE320" s="2798"/>
      <c r="BF320" s="2798"/>
      <c r="BG320" s="2798"/>
      <c r="BH320" s="2798"/>
      <c r="BI320" s="2798"/>
      <c r="BJ320" s="2798"/>
      <c r="BK320" s="2798"/>
      <c r="BL320" s="2798"/>
      <c r="BM320" s="2798"/>
      <c r="BN320" s="2798"/>
      <c r="BO320" s="2798"/>
      <c r="BP320" s="2798"/>
    </row>
    <row r="321" spans="12:68">
      <c r="L321" s="2798"/>
      <c r="M321" s="2798"/>
      <c r="N321" s="2798"/>
      <c r="O321" s="2798"/>
      <c r="P321" s="2798"/>
      <c r="Q321" s="2798"/>
      <c r="R321" s="2798"/>
      <c r="S321" s="2798"/>
      <c r="T321" s="2798"/>
      <c r="U321" s="2798"/>
      <c r="V321" s="2798"/>
      <c r="W321" s="2798"/>
      <c r="X321" s="2798"/>
      <c r="Y321" s="2798"/>
      <c r="Z321" s="2798"/>
      <c r="AA321" s="2798"/>
      <c r="AB321" s="2798"/>
      <c r="AC321" s="2798"/>
      <c r="AD321" s="2798"/>
      <c r="AE321" s="2798"/>
      <c r="AF321" s="2798"/>
      <c r="AG321" s="2798"/>
      <c r="AH321" s="2798"/>
      <c r="AI321" s="2798"/>
      <c r="AJ321" s="2798"/>
      <c r="AK321" s="2798"/>
      <c r="AL321" s="2798"/>
      <c r="AM321" s="2798"/>
      <c r="AN321" s="2798"/>
      <c r="AO321" s="2798"/>
      <c r="AP321" s="2798"/>
      <c r="AQ321" s="2798"/>
      <c r="AR321" s="2798"/>
      <c r="AS321" s="2798"/>
      <c r="AT321" s="2798"/>
      <c r="AU321" s="2798"/>
      <c r="AV321" s="2798"/>
      <c r="AW321" s="2798"/>
      <c r="AX321" s="2798"/>
      <c r="AY321" s="2798"/>
      <c r="AZ321" s="2798"/>
      <c r="BA321" s="2798"/>
      <c r="BB321" s="2798"/>
      <c r="BC321" s="2798"/>
      <c r="BD321" s="2798"/>
      <c r="BE321" s="2798"/>
      <c r="BF321" s="2798"/>
      <c r="BG321" s="2798"/>
      <c r="BH321" s="2798"/>
      <c r="BI321" s="2798"/>
      <c r="BJ321" s="2798"/>
      <c r="BK321" s="2798"/>
      <c r="BL321" s="2798"/>
      <c r="BM321" s="2798"/>
      <c r="BN321" s="2798"/>
      <c r="BO321" s="2798"/>
      <c r="BP321" s="2798"/>
    </row>
    <row r="322" spans="12:68">
      <c r="L322" s="2798"/>
      <c r="M322" s="2798"/>
      <c r="N322" s="2798"/>
      <c r="O322" s="2798"/>
      <c r="P322" s="2798"/>
      <c r="Q322" s="2798"/>
      <c r="R322" s="2798"/>
      <c r="S322" s="2798"/>
      <c r="T322" s="2798"/>
      <c r="U322" s="2798"/>
      <c r="V322" s="2798"/>
      <c r="W322" s="2798"/>
      <c r="X322" s="2798"/>
      <c r="Y322" s="2798"/>
      <c r="Z322" s="2798"/>
      <c r="AA322" s="2798"/>
      <c r="AB322" s="2798"/>
      <c r="AC322" s="2798"/>
      <c r="AD322" s="2798"/>
      <c r="AE322" s="2798"/>
      <c r="AF322" s="2798"/>
      <c r="AG322" s="2798"/>
      <c r="AH322" s="2798"/>
      <c r="AI322" s="2798"/>
      <c r="AJ322" s="2798"/>
      <c r="AK322" s="2798"/>
      <c r="AL322" s="2798"/>
      <c r="AM322" s="2798"/>
      <c r="AN322" s="2798"/>
      <c r="AO322" s="2798"/>
      <c r="AP322" s="2798"/>
      <c r="AQ322" s="2798"/>
      <c r="AR322" s="2798"/>
      <c r="AS322" s="2798"/>
      <c r="AT322" s="2798"/>
      <c r="AU322" s="2798"/>
      <c r="AV322" s="2798"/>
      <c r="AW322" s="2798"/>
      <c r="AX322" s="2798"/>
      <c r="AY322" s="2798"/>
      <c r="AZ322" s="2798"/>
      <c r="BA322" s="2798"/>
      <c r="BB322" s="2798"/>
      <c r="BC322" s="2798"/>
      <c r="BD322" s="2798"/>
      <c r="BE322" s="2798"/>
      <c r="BF322" s="2798"/>
      <c r="BG322" s="2798"/>
      <c r="BH322" s="2798"/>
      <c r="BI322" s="2798"/>
      <c r="BJ322" s="2798"/>
      <c r="BK322" s="2798"/>
      <c r="BL322" s="2798"/>
      <c r="BM322" s="2798"/>
      <c r="BN322" s="2798"/>
      <c r="BO322" s="2798"/>
      <c r="BP322" s="2798"/>
    </row>
    <row r="323" spans="12:68">
      <c r="L323" s="2798"/>
      <c r="M323" s="2798"/>
      <c r="N323" s="2798"/>
      <c r="O323" s="2798"/>
      <c r="P323" s="2798"/>
      <c r="Q323" s="2798"/>
      <c r="R323" s="2798"/>
      <c r="S323" s="2798"/>
      <c r="T323" s="2798"/>
      <c r="U323" s="2798"/>
      <c r="V323" s="2798"/>
      <c r="W323" s="2798"/>
      <c r="X323" s="2798"/>
      <c r="Y323" s="2798"/>
      <c r="Z323" s="2798"/>
      <c r="AA323" s="2798"/>
      <c r="AB323" s="2798"/>
      <c r="AC323" s="2798"/>
      <c r="AD323" s="2798"/>
      <c r="AE323" s="2798"/>
      <c r="AF323" s="2798"/>
      <c r="AG323" s="2798"/>
      <c r="AH323" s="2798"/>
      <c r="AI323" s="2798"/>
      <c r="AJ323" s="2798"/>
      <c r="AK323" s="2798"/>
      <c r="AL323" s="2798"/>
      <c r="AM323" s="2798"/>
      <c r="AN323" s="2798"/>
      <c r="AO323" s="2798"/>
      <c r="AP323" s="2798"/>
      <c r="AQ323" s="2798"/>
      <c r="AR323" s="2798"/>
      <c r="AS323" s="2798"/>
      <c r="AT323" s="2798"/>
      <c r="AU323" s="2798"/>
      <c r="AV323" s="2798"/>
      <c r="AW323" s="2798"/>
      <c r="AX323" s="2798"/>
      <c r="AY323" s="2798"/>
      <c r="AZ323" s="2798"/>
      <c r="BA323" s="2798"/>
      <c r="BB323" s="2798"/>
      <c r="BC323" s="2798"/>
      <c r="BD323" s="2798"/>
      <c r="BE323" s="2798"/>
      <c r="BF323" s="2798"/>
      <c r="BG323" s="2798"/>
      <c r="BH323" s="2798"/>
      <c r="BI323" s="2798"/>
      <c r="BJ323" s="2798"/>
      <c r="BK323" s="2798"/>
      <c r="BL323" s="2798"/>
      <c r="BM323" s="2798"/>
      <c r="BN323" s="2798"/>
      <c r="BO323" s="2798"/>
      <c r="BP323" s="2798"/>
    </row>
    <row r="324" spans="12:68">
      <c r="L324" s="2798"/>
      <c r="M324" s="2798"/>
      <c r="N324" s="2798"/>
      <c r="O324" s="2798"/>
      <c r="P324" s="2798"/>
      <c r="Q324" s="2798"/>
      <c r="R324" s="2798"/>
      <c r="S324" s="2798"/>
      <c r="T324" s="2798"/>
      <c r="U324" s="2798"/>
      <c r="V324" s="2798"/>
      <c r="W324" s="2798"/>
      <c r="X324" s="2798"/>
      <c r="Y324" s="2798"/>
      <c r="Z324" s="2798"/>
      <c r="AA324" s="2798"/>
      <c r="AB324" s="2798"/>
      <c r="AC324" s="2798"/>
      <c r="AD324" s="2798"/>
      <c r="AE324" s="2798"/>
      <c r="AF324" s="2798"/>
      <c r="AG324" s="2798"/>
      <c r="AH324" s="2798"/>
      <c r="AI324" s="2798"/>
      <c r="AJ324" s="2798"/>
      <c r="AK324" s="2798"/>
      <c r="AL324" s="2798"/>
      <c r="AM324" s="2798"/>
      <c r="AN324" s="2798"/>
      <c r="AO324" s="2798"/>
      <c r="AP324" s="2798"/>
      <c r="AQ324" s="2798"/>
      <c r="AR324" s="2798"/>
      <c r="AS324" s="2798"/>
      <c r="AT324" s="2798"/>
      <c r="AU324" s="2798"/>
      <c r="AV324" s="2798"/>
      <c r="AW324" s="2798"/>
      <c r="AX324" s="2798"/>
      <c r="AY324" s="2798"/>
      <c r="AZ324" s="2798"/>
      <c r="BA324" s="2798"/>
      <c r="BB324" s="2798"/>
      <c r="BC324" s="2798"/>
      <c r="BD324" s="2798"/>
      <c r="BE324" s="2798"/>
      <c r="BF324" s="2798"/>
      <c r="BG324" s="2798"/>
      <c r="BH324" s="2798"/>
      <c r="BI324" s="2798"/>
      <c r="BJ324" s="2798"/>
      <c r="BK324" s="2798"/>
      <c r="BL324" s="2798"/>
      <c r="BM324" s="2798"/>
      <c r="BN324" s="2798"/>
      <c r="BO324" s="2798"/>
      <c r="BP324" s="2798"/>
    </row>
    <row r="325" spans="12:68">
      <c r="L325" s="2798"/>
      <c r="M325" s="2798"/>
      <c r="N325" s="2798"/>
      <c r="O325" s="2798"/>
      <c r="P325" s="2798"/>
      <c r="Q325" s="2798"/>
      <c r="R325" s="2798"/>
      <c r="S325" s="2798"/>
      <c r="T325" s="2798"/>
      <c r="U325" s="2798"/>
      <c r="V325" s="2798"/>
      <c r="W325" s="2798"/>
      <c r="X325" s="2798"/>
      <c r="Y325" s="2798"/>
      <c r="Z325" s="2798"/>
      <c r="AA325" s="2798"/>
      <c r="AB325" s="2798"/>
      <c r="AC325" s="2798"/>
      <c r="AD325" s="2798"/>
      <c r="AE325" s="2798"/>
      <c r="AF325" s="2798"/>
      <c r="AG325" s="2798"/>
      <c r="AH325" s="2798"/>
      <c r="AI325" s="2798"/>
      <c r="AJ325" s="2798"/>
      <c r="AK325" s="2798"/>
      <c r="AL325" s="2798"/>
      <c r="AM325" s="2798"/>
      <c r="AN325" s="2798"/>
      <c r="AO325" s="2798"/>
      <c r="AP325" s="2798"/>
      <c r="AQ325" s="2798"/>
      <c r="AR325" s="2798"/>
      <c r="AS325" s="2798"/>
      <c r="AT325" s="2798"/>
      <c r="AU325" s="2798"/>
      <c r="AV325" s="2798"/>
      <c r="AW325" s="2798"/>
      <c r="AX325" s="2798"/>
      <c r="AY325" s="2798"/>
      <c r="AZ325" s="2798"/>
      <c r="BA325" s="2798"/>
      <c r="BB325" s="2798"/>
      <c r="BC325" s="2798"/>
      <c r="BD325" s="2798"/>
      <c r="BE325" s="2798"/>
      <c r="BF325" s="2798"/>
      <c r="BG325" s="2798"/>
      <c r="BH325" s="2798"/>
      <c r="BI325" s="2798"/>
      <c r="BJ325" s="2798"/>
      <c r="BK325" s="2798"/>
      <c r="BL325" s="2798"/>
      <c r="BM325" s="2798"/>
      <c r="BN325" s="2798"/>
      <c r="BO325" s="2798"/>
      <c r="BP325" s="2798"/>
    </row>
    <row r="326" spans="12:68">
      <c r="L326" s="2798"/>
      <c r="M326" s="2798"/>
      <c r="N326" s="2798"/>
      <c r="O326" s="2798"/>
      <c r="P326" s="2798"/>
      <c r="Q326" s="2798"/>
      <c r="R326" s="2798"/>
      <c r="S326" s="2798"/>
      <c r="T326" s="2798"/>
      <c r="U326" s="2798"/>
      <c r="V326" s="2798"/>
      <c r="W326" s="2798"/>
      <c r="X326" s="2798"/>
      <c r="Y326" s="2798"/>
      <c r="Z326" s="2798"/>
      <c r="AA326" s="2798"/>
      <c r="AB326" s="2798"/>
      <c r="AC326" s="2798"/>
      <c r="AD326" s="2798"/>
      <c r="AE326" s="2798"/>
      <c r="AF326" s="2798"/>
      <c r="AG326" s="2798"/>
      <c r="AH326" s="2798"/>
      <c r="AI326" s="2798"/>
      <c r="AJ326" s="2798"/>
      <c r="AK326" s="2798"/>
      <c r="AL326" s="2798"/>
      <c r="AM326" s="2798"/>
      <c r="AN326" s="2798"/>
      <c r="AO326" s="2798"/>
      <c r="AP326" s="2798"/>
      <c r="AQ326" s="2798"/>
      <c r="AR326" s="2798"/>
      <c r="AS326" s="2798"/>
      <c r="AT326" s="2798"/>
      <c r="AU326" s="2798"/>
      <c r="AV326" s="2798"/>
      <c r="AW326" s="2798"/>
      <c r="AX326" s="2798"/>
      <c r="AY326" s="2798"/>
      <c r="AZ326" s="2798"/>
      <c r="BA326" s="2798"/>
      <c r="BB326" s="2798"/>
      <c r="BC326" s="2798"/>
      <c r="BD326" s="2798"/>
      <c r="BE326" s="2798"/>
      <c r="BF326" s="2798"/>
      <c r="BG326" s="2798"/>
      <c r="BH326" s="2798"/>
      <c r="BI326" s="2798"/>
      <c r="BJ326" s="2798"/>
      <c r="BK326" s="2798"/>
      <c r="BL326" s="2798"/>
      <c r="BM326" s="2798"/>
      <c r="BN326" s="2798"/>
      <c r="BO326" s="2798"/>
      <c r="BP326" s="2798"/>
    </row>
    <row r="327" spans="12:68">
      <c r="L327" s="2798"/>
      <c r="M327" s="2798"/>
      <c r="N327" s="2798"/>
      <c r="O327" s="2798"/>
      <c r="P327" s="2798"/>
      <c r="Q327" s="2798"/>
      <c r="R327" s="2798"/>
      <c r="S327" s="2798"/>
      <c r="T327" s="2798"/>
      <c r="U327" s="2798"/>
      <c r="V327" s="2798"/>
      <c r="W327" s="2798"/>
      <c r="X327" s="2798"/>
      <c r="Y327" s="2798"/>
      <c r="Z327" s="2798"/>
      <c r="AA327" s="2798"/>
      <c r="AB327" s="2798"/>
      <c r="AC327" s="2798"/>
      <c r="AD327" s="2798"/>
      <c r="AE327" s="2798"/>
      <c r="AF327" s="2798"/>
      <c r="AG327" s="2798"/>
      <c r="AH327" s="2798"/>
      <c r="AI327" s="2798"/>
      <c r="AJ327" s="2798"/>
      <c r="AK327" s="2798"/>
      <c r="AL327" s="2798"/>
      <c r="AM327" s="2798"/>
      <c r="AN327" s="2798"/>
      <c r="AO327" s="2798"/>
      <c r="AP327" s="2798"/>
      <c r="AQ327" s="2798"/>
      <c r="AR327" s="2798"/>
      <c r="AS327" s="2798"/>
      <c r="AT327" s="2798"/>
      <c r="AU327" s="2798"/>
      <c r="AV327" s="2798"/>
      <c r="AW327" s="2798"/>
      <c r="AX327" s="2798"/>
      <c r="AY327" s="2798"/>
      <c r="AZ327" s="2798"/>
      <c r="BA327" s="2798"/>
      <c r="BB327" s="2798"/>
      <c r="BC327" s="2798"/>
      <c r="BD327" s="2798"/>
      <c r="BE327" s="2798"/>
      <c r="BF327" s="2798"/>
      <c r="BG327" s="2798"/>
      <c r="BH327" s="2798"/>
      <c r="BI327" s="2798"/>
      <c r="BJ327" s="2798"/>
      <c r="BK327" s="2798"/>
      <c r="BL327" s="2798"/>
      <c r="BM327" s="2798"/>
      <c r="BN327" s="2798"/>
      <c r="BO327" s="2798"/>
      <c r="BP327" s="2798"/>
    </row>
    <row r="328" spans="12:68">
      <c r="L328" s="2798"/>
      <c r="M328" s="2798"/>
      <c r="N328" s="2798"/>
      <c r="O328" s="2798"/>
      <c r="P328" s="2798"/>
      <c r="Q328" s="2798"/>
      <c r="R328" s="2798"/>
      <c r="S328" s="2798"/>
      <c r="T328" s="2798"/>
      <c r="U328" s="2798"/>
      <c r="V328" s="2798"/>
      <c r="W328" s="2798"/>
      <c r="X328" s="2798"/>
      <c r="Y328" s="2798"/>
      <c r="Z328" s="2798"/>
      <c r="AA328" s="2798"/>
      <c r="AB328" s="2798"/>
      <c r="AC328" s="2798"/>
      <c r="AD328" s="2798"/>
      <c r="AE328" s="2798"/>
      <c r="AF328" s="2798"/>
      <c r="AG328" s="2798"/>
      <c r="AH328" s="2798"/>
      <c r="AI328" s="2798"/>
      <c r="AJ328" s="2798"/>
      <c r="AK328" s="2798"/>
      <c r="AL328" s="2798"/>
      <c r="AM328" s="2798"/>
      <c r="AN328" s="2798"/>
      <c r="AO328" s="2798"/>
      <c r="AP328" s="2798"/>
      <c r="AQ328" s="2798"/>
      <c r="AR328" s="2798"/>
      <c r="AS328" s="2798"/>
      <c r="AT328" s="2798"/>
      <c r="AU328" s="2798"/>
      <c r="AV328" s="2798"/>
      <c r="AW328" s="2798"/>
      <c r="AX328" s="2798"/>
      <c r="AY328" s="2798"/>
      <c r="AZ328" s="2798"/>
      <c r="BA328" s="2798"/>
      <c r="BB328" s="2798"/>
      <c r="BC328" s="2798"/>
      <c r="BD328" s="2798"/>
      <c r="BE328" s="2798"/>
      <c r="BF328" s="2798"/>
      <c r="BG328" s="2798"/>
      <c r="BH328" s="2798"/>
      <c r="BI328" s="2798"/>
      <c r="BJ328" s="2798"/>
      <c r="BK328" s="2798"/>
      <c r="BL328" s="2798"/>
      <c r="BM328" s="2798"/>
      <c r="BN328" s="2798"/>
      <c r="BO328" s="2798"/>
      <c r="BP328" s="2798"/>
    </row>
    <row r="329" spans="12:68">
      <c r="L329" s="2798"/>
      <c r="M329" s="2798"/>
      <c r="N329" s="2798"/>
      <c r="O329" s="2798"/>
      <c r="P329" s="2798"/>
      <c r="Q329" s="2798"/>
      <c r="R329" s="2798"/>
      <c r="S329" s="2798"/>
      <c r="T329" s="2798"/>
      <c r="U329" s="2798"/>
      <c r="V329" s="2798"/>
      <c r="W329" s="2798"/>
      <c r="X329" s="2798"/>
      <c r="Y329" s="2798"/>
      <c r="Z329" s="2798"/>
      <c r="AA329" s="2798"/>
      <c r="AB329" s="2798"/>
      <c r="AC329" s="2798"/>
      <c r="AD329" s="2798"/>
      <c r="AE329" s="2798"/>
      <c r="AF329" s="2798"/>
      <c r="AG329" s="2798"/>
      <c r="AH329" s="2798"/>
      <c r="AI329" s="2798"/>
      <c r="AJ329" s="2798"/>
      <c r="AK329" s="2798"/>
      <c r="AL329" s="2798"/>
      <c r="AM329" s="2798"/>
      <c r="AN329" s="2798"/>
      <c r="AO329" s="2798"/>
      <c r="AP329" s="2798"/>
      <c r="AQ329" s="2798"/>
      <c r="AR329" s="2798"/>
      <c r="AS329" s="2798"/>
      <c r="AT329" s="2798"/>
      <c r="AU329" s="2798"/>
      <c r="AV329" s="2798"/>
      <c r="AW329" s="2798"/>
      <c r="AX329" s="2798"/>
      <c r="AY329" s="2798"/>
      <c r="AZ329" s="2798"/>
      <c r="BA329" s="2798"/>
      <c r="BB329" s="2798"/>
      <c r="BC329" s="2798"/>
      <c r="BD329" s="2798"/>
      <c r="BE329" s="2798"/>
      <c r="BF329" s="2798"/>
      <c r="BG329" s="2798"/>
      <c r="BH329" s="2798"/>
      <c r="BI329" s="2798"/>
      <c r="BJ329" s="2798"/>
      <c r="BK329" s="2798"/>
      <c r="BL329" s="2798"/>
      <c r="BM329" s="2798"/>
      <c r="BN329" s="2798"/>
      <c r="BO329" s="2798"/>
      <c r="BP329" s="2798"/>
    </row>
    <row r="330" spans="12:68">
      <c r="L330" s="2798"/>
      <c r="M330" s="2798"/>
      <c r="N330" s="2798"/>
      <c r="O330" s="2798"/>
      <c r="P330" s="2798"/>
      <c r="Q330" s="2798"/>
      <c r="R330" s="2798"/>
      <c r="S330" s="2798"/>
      <c r="T330" s="2798"/>
      <c r="U330" s="2798"/>
      <c r="V330" s="2798"/>
      <c r="W330" s="2798"/>
      <c r="X330" s="2798"/>
      <c r="Y330" s="2798"/>
      <c r="Z330" s="2798"/>
      <c r="AA330" s="2798"/>
      <c r="AB330" s="2798"/>
      <c r="AC330" s="2798"/>
      <c r="AD330" s="2798"/>
      <c r="AE330" s="2798"/>
      <c r="AF330" s="2798"/>
      <c r="AG330" s="2798"/>
      <c r="AH330" s="2798"/>
      <c r="AI330" s="2798"/>
      <c r="AJ330" s="2798"/>
      <c r="AK330" s="2798"/>
      <c r="AL330" s="2798"/>
      <c r="AM330" s="2798"/>
      <c r="AN330" s="2798"/>
      <c r="AO330" s="2798"/>
      <c r="AP330" s="2798"/>
      <c r="AQ330" s="2798"/>
      <c r="AR330" s="2798"/>
      <c r="AS330" s="2798"/>
      <c r="AT330" s="2798"/>
      <c r="AU330" s="2798"/>
      <c r="AV330" s="2798"/>
      <c r="AW330" s="2798"/>
      <c r="AX330" s="2798"/>
      <c r="AY330" s="2798"/>
      <c r="AZ330" s="2798"/>
      <c r="BA330" s="2798"/>
      <c r="BB330" s="2798"/>
      <c r="BC330" s="2798"/>
      <c r="BD330" s="2798"/>
      <c r="BE330" s="2798"/>
      <c r="BF330" s="2798"/>
      <c r="BG330" s="2798"/>
      <c r="BH330" s="2798"/>
      <c r="BI330" s="2798"/>
      <c r="BJ330" s="2798"/>
      <c r="BK330" s="2798"/>
      <c r="BL330" s="2798"/>
      <c r="BM330" s="2798"/>
      <c r="BN330" s="2798"/>
      <c r="BO330" s="2798"/>
      <c r="BP330" s="2798"/>
    </row>
    <row r="331" spans="12:68">
      <c r="L331" s="2798"/>
      <c r="M331" s="2798"/>
      <c r="N331" s="2798"/>
      <c r="O331" s="2798"/>
      <c r="P331" s="2798"/>
      <c r="Q331" s="2798"/>
      <c r="R331" s="2798"/>
      <c r="S331" s="2798"/>
      <c r="T331" s="2798"/>
      <c r="U331" s="2798"/>
      <c r="V331" s="2798"/>
      <c r="W331" s="2798"/>
      <c r="X331" s="2798"/>
      <c r="Y331" s="2798"/>
      <c r="Z331" s="2798"/>
      <c r="AA331" s="2798"/>
      <c r="AB331" s="2798"/>
      <c r="AC331" s="2798"/>
      <c r="AD331" s="2798"/>
      <c r="AE331" s="2798"/>
      <c r="AF331" s="2798"/>
      <c r="AG331" s="2798"/>
      <c r="AH331" s="2798"/>
      <c r="AI331" s="2798"/>
      <c r="AJ331" s="2798"/>
      <c r="AK331" s="2798"/>
      <c r="AL331" s="2798"/>
      <c r="AM331" s="2798"/>
      <c r="AN331" s="2798"/>
      <c r="AO331" s="2798"/>
      <c r="AP331" s="2798"/>
      <c r="AQ331" s="2798"/>
      <c r="AR331" s="2798"/>
      <c r="AS331" s="2798"/>
      <c r="AT331" s="2798"/>
      <c r="AU331" s="2798"/>
      <c r="AV331" s="2798"/>
      <c r="AW331" s="2798"/>
      <c r="AX331" s="2798"/>
      <c r="AY331" s="2798"/>
      <c r="AZ331" s="2798"/>
      <c r="BA331" s="2798"/>
      <c r="BB331" s="2798"/>
      <c r="BC331" s="2798"/>
      <c r="BD331" s="2798"/>
      <c r="BE331" s="2798"/>
      <c r="BF331" s="2798"/>
      <c r="BG331" s="2798"/>
      <c r="BH331" s="2798"/>
      <c r="BI331" s="2798"/>
      <c r="BJ331" s="2798"/>
      <c r="BK331" s="2798"/>
      <c r="BL331" s="2798"/>
      <c r="BM331" s="2798"/>
      <c r="BN331" s="2798"/>
      <c r="BO331" s="2798"/>
      <c r="BP331" s="2798"/>
    </row>
    <row r="332" spans="12:68">
      <c r="L332" s="2798"/>
      <c r="M332" s="2798"/>
      <c r="N332" s="2798"/>
      <c r="O332" s="2798"/>
      <c r="P332" s="2798"/>
      <c r="Q332" s="2798"/>
      <c r="R332" s="2798"/>
      <c r="S332" s="2798"/>
      <c r="T332" s="2798"/>
      <c r="U332" s="2798"/>
      <c r="V332" s="2798"/>
      <c r="W332" s="2798"/>
      <c r="X332" s="2798"/>
      <c r="Y332" s="2798"/>
      <c r="Z332" s="2798"/>
      <c r="AA332" s="2798"/>
      <c r="AB332" s="2798"/>
      <c r="AC332" s="2798"/>
      <c r="AD332" s="2798"/>
      <c r="AE332" s="2798"/>
      <c r="AF332" s="2798"/>
      <c r="AG332" s="2798"/>
      <c r="AH332" s="2798"/>
      <c r="AI332" s="2798"/>
      <c r="AJ332" s="2798"/>
      <c r="AK332" s="2798"/>
      <c r="AL332" s="2798"/>
      <c r="AM332" s="2798"/>
      <c r="AN332" s="2798"/>
      <c r="AO332" s="2798"/>
      <c r="AP332" s="2798"/>
      <c r="AQ332" s="2798"/>
      <c r="AR332" s="2798"/>
      <c r="AS332" s="2798"/>
      <c r="AT332" s="2798"/>
      <c r="AU332" s="2798"/>
      <c r="AV332" s="2798"/>
      <c r="AW332" s="2798"/>
      <c r="AX332" s="2798"/>
      <c r="AY332" s="2798"/>
      <c r="AZ332" s="2798"/>
      <c r="BA332" s="2798"/>
      <c r="BB332" s="2798"/>
      <c r="BC332" s="2798"/>
      <c r="BD332" s="2798"/>
      <c r="BE332" s="2798"/>
      <c r="BF332" s="2798"/>
      <c r="BG332" s="2798"/>
      <c r="BH332" s="2798"/>
      <c r="BI332" s="2798"/>
      <c r="BJ332" s="2798"/>
      <c r="BK332" s="2798"/>
      <c r="BL332" s="2798"/>
      <c r="BM332" s="2798"/>
      <c r="BN332" s="2798"/>
      <c r="BO332" s="2798"/>
      <c r="BP332" s="2798"/>
    </row>
    <row r="333" spans="12:68">
      <c r="L333" s="2798"/>
      <c r="M333" s="2798"/>
      <c r="N333" s="2798"/>
      <c r="O333" s="2798"/>
      <c r="P333" s="2798"/>
      <c r="Q333" s="2798"/>
      <c r="R333" s="2798"/>
      <c r="S333" s="2798"/>
      <c r="T333" s="2798"/>
      <c r="U333" s="2798"/>
      <c r="V333" s="2798"/>
      <c r="W333" s="2798"/>
      <c r="X333" s="2798"/>
      <c r="Y333" s="2798"/>
      <c r="Z333" s="2798"/>
      <c r="AA333" s="2798"/>
      <c r="AB333" s="2798"/>
      <c r="AC333" s="2798"/>
      <c r="AD333" s="2798"/>
      <c r="AE333" s="2798"/>
      <c r="AF333" s="2798"/>
      <c r="AG333" s="2798"/>
      <c r="AH333" s="2798"/>
      <c r="AI333" s="2798"/>
      <c r="AJ333" s="2798"/>
      <c r="AK333" s="2798"/>
      <c r="AL333" s="2798"/>
      <c r="AM333" s="2798"/>
      <c r="AN333" s="2798"/>
      <c r="AO333" s="2798"/>
      <c r="AP333" s="2798"/>
      <c r="AQ333" s="2798"/>
      <c r="AR333" s="2798"/>
      <c r="AS333" s="2798"/>
      <c r="AT333" s="2798"/>
      <c r="AU333" s="2798"/>
      <c r="AV333" s="2798"/>
      <c r="AW333" s="2798"/>
      <c r="AX333" s="2798"/>
      <c r="AY333" s="2798"/>
      <c r="AZ333" s="2798"/>
      <c r="BA333" s="2798"/>
      <c r="BB333" s="2798"/>
      <c r="BC333" s="2798"/>
      <c r="BD333" s="2798"/>
      <c r="BE333" s="2798"/>
      <c r="BF333" s="2798"/>
      <c r="BG333" s="2798"/>
      <c r="BH333" s="2798"/>
      <c r="BI333" s="2798"/>
      <c r="BJ333" s="2798"/>
      <c r="BK333" s="2798"/>
      <c r="BL333" s="2798"/>
      <c r="BM333" s="2798"/>
      <c r="BN333" s="2798"/>
      <c r="BO333" s="2798"/>
      <c r="BP333" s="2798"/>
    </row>
    <row r="334" spans="12:68">
      <c r="L334" s="2798"/>
      <c r="M334" s="2798"/>
      <c r="N334" s="2798"/>
      <c r="O334" s="2798"/>
      <c r="P334" s="2798"/>
      <c r="Q334" s="2798"/>
      <c r="R334" s="2798"/>
      <c r="S334" s="2798"/>
      <c r="T334" s="2798"/>
      <c r="U334" s="2798"/>
      <c r="V334" s="2798"/>
      <c r="W334" s="2798"/>
      <c r="X334" s="2798"/>
      <c r="Y334" s="2798"/>
      <c r="Z334" s="2798"/>
      <c r="AA334" s="2798"/>
      <c r="AB334" s="2798"/>
      <c r="AC334" s="2798"/>
      <c r="AD334" s="2798"/>
      <c r="AE334" s="2798"/>
      <c r="AF334" s="2798"/>
      <c r="AG334" s="2798"/>
      <c r="AH334" s="2798"/>
      <c r="AI334" s="2798"/>
      <c r="AJ334" s="2798"/>
      <c r="AK334" s="2798"/>
      <c r="AL334" s="2798"/>
      <c r="AM334" s="2798"/>
      <c r="AN334" s="2798"/>
      <c r="AO334" s="2798"/>
      <c r="AP334" s="2798"/>
      <c r="AQ334" s="2798"/>
      <c r="AR334" s="2798"/>
      <c r="AS334" s="2798"/>
      <c r="AT334" s="2798"/>
      <c r="AU334" s="2798"/>
      <c r="AV334" s="2798"/>
      <c r="AW334" s="2798"/>
      <c r="AX334" s="2798"/>
      <c r="AY334" s="2798"/>
      <c r="AZ334" s="2798"/>
      <c r="BA334" s="2798"/>
      <c r="BB334" s="2798"/>
      <c r="BC334" s="2798"/>
      <c r="BD334" s="2798"/>
      <c r="BE334" s="2798"/>
      <c r="BF334" s="2798"/>
      <c r="BG334" s="2798"/>
      <c r="BH334" s="2798"/>
      <c r="BI334" s="2798"/>
      <c r="BJ334" s="2798"/>
      <c r="BK334" s="2798"/>
      <c r="BL334" s="2798"/>
      <c r="BM334" s="2798"/>
      <c r="BN334" s="2798"/>
      <c r="BO334" s="2798"/>
      <c r="BP334" s="2798"/>
    </row>
    <row r="335" spans="12:68">
      <c r="L335" s="2798"/>
      <c r="M335" s="2798"/>
      <c r="N335" s="2798"/>
      <c r="O335" s="2798"/>
      <c r="P335" s="2798"/>
      <c r="Q335" s="2798"/>
      <c r="R335" s="2798"/>
      <c r="S335" s="2798"/>
      <c r="T335" s="2798"/>
      <c r="U335" s="2798"/>
      <c r="V335" s="2798"/>
      <c r="W335" s="2798"/>
      <c r="X335" s="2798"/>
      <c r="Y335" s="2798"/>
      <c r="Z335" s="2798"/>
      <c r="AA335" s="2798"/>
      <c r="AB335" s="2798"/>
      <c r="AC335" s="2798"/>
      <c r="AD335" s="2798"/>
      <c r="AE335" s="2798"/>
      <c r="AF335" s="2798"/>
      <c r="AG335" s="2798"/>
      <c r="AH335" s="2798"/>
      <c r="AI335" s="2798"/>
      <c r="AJ335" s="2798"/>
      <c r="AK335" s="2798"/>
      <c r="AL335" s="2798"/>
      <c r="AM335" s="2798"/>
      <c r="AN335" s="2798"/>
      <c r="AO335" s="2798"/>
      <c r="AP335" s="2798"/>
      <c r="AQ335" s="2798"/>
      <c r="AR335" s="2798"/>
      <c r="AS335" s="2798"/>
      <c r="AT335" s="2798"/>
      <c r="AU335" s="2798"/>
      <c r="AV335" s="2798"/>
      <c r="AW335" s="2798"/>
      <c r="AX335" s="2798"/>
      <c r="AY335" s="2798"/>
      <c r="AZ335" s="2798"/>
      <c r="BA335" s="2798"/>
      <c r="BB335" s="2798"/>
      <c r="BC335" s="2798"/>
      <c r="BD335" s="2798"/>
      <c r="BE335" s="2798"/>
      <c r="BF335" s="2798"/>
      <c r="BG335" s="2798"/>
      <c r="BH335" s="2798"/>
      <c r="BI335" s="2798"/>
      <c r="BJ335" s="2798"/>
      <c r="BK335" s="2798"/>
      <c r="BL335" s="2798"/>
      <c r="BM335" s="2798"/>
      <c r="BN335" s="2798"/>
      <c r="BO335" s="2798"/>
      <c r="BP335" s="2798"/>
    </row>
    <row r="336" spans="12:68">
      <c r="L336" s="2798"/>
      <c r="M336" s="2798"/>
      <c r="N336" s="2798"/>
      <c r="O336" s="2798"/>
      <c r="P336" s="2798"/>
      <c r="Q336" s="2798"/>
      <c r="R336" s="2798"/>
      <c r="S336" s="2798"/>
      <c r="T336" s="2798"/>
      <c r="U336" s="2798"/>
      <c r="V336" s="2798"/>
      <c r="W336" s="2798"/>
      <c r="X336" s="2798"/>
      <c r="Y336" s="2798"/>
      <c r="Z336" s="2798"/>
      <c r="AA336" s="2798"/>
      <c r="AB336" s="2798"/>
      <c r="AC336" s="2798"/>
      <c r="AD336" s="2798"/>
      <c r="AE336" s="2798"/>
      <c r="AF336" s="2798"/>
      <c r="AG336" s="2798"/>
      <c r="AH336" s="2798"/>
      <c r="AI336" s="2798"/>
      <c r="AJ336" s="2798"/>
      <c r="AK336" s="2798"/>
      <c r="AL336" s="2798"/>
      <c r="AM336" s="2798"/>
      <c r="AN336" s="2798"/>
      <c r="AO336" s="2798"/>
      <c r="AP336" s="2798"/>
      <c r="AQ336" s="2798"/>
      <c r="AR336" s="2798"/>
      <c r="AS336" s="2798"/>
      <c r="AT336" s="2798"/>
      <c r="AU336" s="2798"/>
      <c r="AV336" s="2798"/>
      <c r="AW336" s="2798"/>
      <c r="AX336" s="2798"/>
      <c r="AY336" s="2798"/>
      <c r="AZ336" s="2798"/>
      <c r="BA336" s="2798"/>
      <c r="BB336" s="2798"/>
      <c r="BC336" s="2798"/>
      <c r="BD336" s="2798"/>
      <c r="BE336" s="2798"/>
      <c r="BF336" s="2798"/>
      <c r="BG336" s="2798"/>
      <c r="BH336" s="2798"/>
      <c r="BI336" s="2798"/>
      <c r="BJ336" s="2798"/>
      <c r="BK336" s="2798"/>
      <c r="BL336" s="2798"/>
      <c r="BM336" s="2798"/>
      <c r="BN336" s="2798"/>
      <c r="BO336" s="2798"/>
      <c r="BP336" s="2798"/>
    </row>
    <row r="337" spans="12:68">
      <c r="L337" s="2798"/>
      <c r="M337" s="2798"/>
      <c r="N337" s="2798"/>
      <c r="O337" s="2798"/>
      <c r="P337" s="2798"/>
      <c r="Q337" s="2798"/>
      <c r="R337" s="2798"/>
      <c r="S337" s="2798"/>
      <c r="T337" s="2798"/>
      <c r="U337" s="2798"/>
      <c r="V337" s="2798"/>
      <c r="W337" s="2798"/>
      <c r="X337" s="2798"/>
      <c r="Y337" s="2798"/>
      <c r="Z337" s="2798"/>
      <c r="AA337" s="2798"/>
      <c r="AB337" s="2798"/>
      <c r="AC337" s="2798"/>
      <c r="AD337" s="2798"/>
      <c r="AE337" s="2798"/>
      <c r="AF337" s="2798"/>
      <c r="AG337" s="2798"/>
      <c r="AH337" s="2798"/>
      <c r="AI337" s="2798"/>
      <c r="AJ337" s="2798"/>
      <c r="AK337" s="2798"/>
      <c r="AL337" s="2798"/>
      <c r="AM337" s="2798"/>
      <c r="AN337" s="2798"/>
      <c r="AO337" s="2798"/>
      <c r="AP337" s="2798"/>
      <c r="AQ337" s="2798"/>
      <c r="AR337" s="2798"/>
      <c r="AS337" s="2798"/>
      <c r="AT337" s="2798"/>
      <c r="AU337" s="2798"/>
      <c r="AV337" s="2798"/>
      <c r="AW337" s="2798"/>
      <c r="AX337" s="2798"/>
      <c r="AY337" s="2798"/>
      <c r="AZ337" s="2798"/>
      <c r="BA337" s="2798"/>
      <c r="BB337" s="2798"/>
      <c r="BC337" s="2798"/>
      <c r="BD337" s="2798"/>
      <c r="BE337" s="2798"/>
      <c r="BF337" s="2798"/>
      <c r="BG337" s="2798"/>
      <c r="BH337" s="2798"/>
      <c r="BI337" s="2798"/>
      <c r="BJ337" s="2798"/>
      <c r="BK337" s="2798"/>
      <c r="BL337" s="2798"/>
      <c r="BM337" s="2798"/>
      <c r="BN337" s="2798"/>
      <c r="BO337" s="2798"/>
      <c r="BP337" s="2798"/>
    </row>
    <row r="338" spans="12:68">
      <c r="L338" s="2798"/>
      <c r="M338" s="2798"/>
      <c r="N338" s="2798"/>
      <c r="O338" s="2798"/>
      <c r="P338" s="2798"/>
      <c r="Q338" s="2798"/>
      <c r="R338" s="2798"/>
      <c r="S338" s="2798"/>
      <c r="T338" s="2798"/>
      <c r="U338" s="2798"/>
      <c r="V338" s="2798"/>
      <c r="W338" s="2798"/>
      <c r="X338" s="2798"/>
      <c r="Y338" s="2798"/>
      <c r="Z338" s="2798"/>
      <c r="AA338" s="2798"/>
      <c r="AB338" s="2798"/>
      <c r="AC338" s="2798"/>
      <c r="AD338" s="2798"/>
      <c r="AE338" s="2798"/>
      <c r="AF338" s="2798"/>
      <c r="AG338" s="2798"/>
      <c r="AH338" s="2798"/>
      <c r="AI338" s="2798"/>
      <c r="AJ338" s="2798"/>
      <c r="AK338" s="2798"/>
      <c r="AL338" s="2798"/>
      <c r="AM338" s="2798"/>
      <c r="AN338" s="2798"/>
      <c r="AO338" s="2798"/>
      <c r="AP338" s="2798"/>
      <c r="AQ338" s="2798"/>
      <c r="AR338" s="2798"/>
      <c r="AS338" s="2798"/>
      <c r="AT338" s="2798"/>
      <c r="AU338" s="2798"/>
      <c r="AV338" s="2798"/>
      <c r="AW338" s="2798"/>
      <c r="AX338" s="2798"/>
      <c r="AY338" s="2798"/>
      <c r="AZ338" s="2798"/>
      <c r="BA338" s="2798"/>
      <c r="BB338" s="2798"/>
      <c r="BC338" s="2798"/>
      <c r="BD338" s="2798"/>
      <c r="BE338" s="2798"/>
      <c r="BF338" s="2798"/>
      <c r="BG338" s="2798"/>
      <c r="BH338" s="2798"/>
      <c r="BI338" s="2798"/>
      <c r="BJ338" s="2798"/>
      <c r="BK338" s="2798"/>
      <c r="BL338" s="2798"/>
      <c r="BM338" s="2798"/>
      <c r="BN338" s="2798"/>
      <c r="BO338" s="2798"/>
      <c r="BP338" s="2798"/>
    </row>
    <row r="339" spans="12:68">
      <c r="L339" s="2798"/>
      <c r="M339" s="2798"/>
      <c r="N339" s="2798"/>
      <c r="O339" s="2798"/>
      <c r="P339" s="2798"/>
      <c r="Q339" s="2798"/>
      <c r="R339" s="2798"/>
      <c r="S339" s="2798"/>
      <c r="T339" s="2798"/>
      <c r="U339" s="2798"/>
      <c r="V339" s="2798"/>
      <c r="W339" s="2798"/>
      <c r="X339" s="2798"/>
      <c r="Y339" s="2798"/>
      <c r="Z339" s="2798"/>
      <c r="AA339" s="2798"/>
      <c r="AB339" s="2798"/>
      <c r="AC339" s="2798"/>
      <c r="AD339" s="2798"/>
      <c r="AE339" s="2798"/>
      <c r="AF339" s="2798"/>
      <c r="AG339" s="2798"/>
      <c r="AH339" s="2798"/>
      <c r="AI339" s="2798"/>
      <c r="AJ339" s="2798"/>
      <c r="AK339" s="2798"/>
      <c r="AL339" s="2798"/>
      <c r="AM339" s="2798"/>
      <c r="AN339" s="2798"/>
      <c r="AO339" s="2798"/>
      <c r="AP339" s="2798"/>
      <c r="AQ339" s="2798"/>
      <c r="AR339" s="2798"/>
      <c r="AS339" s="2798"/>
      <c r="AT339" s="2798"/>
      <c r="AU339" s="2798"/>
      <c r="AV339" s="2798"/>
      <c r="AW339" s="2798"/>
      <c r="AX339" s="2798"/>
      <c r="AY339" s="2798"/>
      <c r="AZ339" s="2798"/>
      <c r="BA339" s="2798"/>
      <c r="BB339" s="2798"/>
      <c r="BC339" s="2798"/>
      <c r="BD339" s="2798"/>
      <c r="BE339" s="2798"/>
      <c r="BF339" s="2798"/>
      <c r="BG339" s="2798"/>
      <c r="BH339" s="2798"/>
      <c r="BI339" s="2798"/>
      <c r="BJ339" s="2798"/>
      <c r="BK339" s="2798"/>
      <c r="BL339" s="2798"/>
      <c r="BM339" s="2798"/>
      <c r="BN339" s="2798"/>
      <c r="BO339" s="2798"/>
      <c r="BP339" s="2798"/>
    </row>
    <row r="340" spans="12:68">
      <c r="L340" s="2798"/>
      <c r="M340" s="2798"/>
      <c r="N340" s="2798"/>
      <c r="O340" s="2798"/>
      <c r="P340" s="2798"/>
      <c r="Q340" s="2798"/>
      <c r="R340" s="2798"/>
      <c r="S340" s="2798"/>
      <c r="T340" s="2798"/>
      <c r="U340" s="2798"/>
      <c r="V340" s="2798"/>
      <c r="W340" s="2798"/>
      <c r="X340" s="2798"/>
      <c r="Y340" s="2798"/>
      <c r="Z340" s="2798"/>
      <c r="AA340" s="2798"/>
      <c r="AB340" s="2798"/>
      <c r="AC340" s="2798"/>
      <c r="AD340" s="2798"/>
      <c r="AE340" s="2798"/>
      <c r="AF340" s="2798"/>
      <c r="AG340" s="2798"/>
      <c r="AH340" s="2798"/>
      <c r="AI340" s="2798"/>
      <c r="AJ340" s="2798"/>
      <c r="AK340" s="2798"/>
      <c r="AL340" s="2798"/>
      <c r="AM340" s="2798"/>
      <c r="AN340" s="2798"/>
      <c r="AO340" s="2798"/>
      <c r="AP340" s="2798"/>
      <c r="AQ340" s="2798"/>
      <c r="AR340" s="2798"/>
      <c r="AS340" s="2798"/>
      <c r="AT340" s="2798"/>
      <c r="AU340" s="2798"/>
      <c r="AV340" s="2798"/>
      <c r="AW340" s="2798"/>
      <c r="AX340" s="2798"/>
      <c r="AY340" s="2798"/>
      <c r="AZ340" s="2798"/>
      <c r="BA340" s="2798"/>
      <c r="BB340" s="2798"/>
      <c r="BC340" s="2798"/>
      <c r="BD340" s="2798"/>
      <c r="BE340" s="2798"/>
      <c r="BF340" s="2798"/>
      <c r="BG340" s="2798"/>
      <c r="BH340" s="2798"/>
      <c r="BI340" s="2798"/>
      <c r="BJ340" s="2798"/>
      <c r="BK340" s="2798"/>
      <c r="BL340" s="2798"/>
      <c r="BM340" s="2798"/>
      <c r="BN340" s="2798"/>
      <c r="BO340" s="2798"/>
      <c r="BP340" s="2798"/>
    </row>
    <row r="341" spans="12:68">
      <c r="L341" s="2798"/>
      <c r="M341" s="2798"/>
      <c r="N341" s="2798"/>
      <c r="O341" s="2798"/>
      <c r="P341" s="2798"/>
      <c r="Q341" s="2798"/>
      <c r="R341" s="2798"/>
      <c r="S341" s="2798"/>
      <c r="T341" s="2798"/>
      <c r="U341" s="2798"/>
      <c r="V341" s="2798"/>
      <c r="W341" s="2798"/>
      <c r="X341" s="2798"/>
      <c r="Y341" s="2798"/>
      <c r="Z341" s="2798"/>
      <c r="AA341" s="2798"/>
      <c r="AB341" s="2798"/>
      <c r="AC341" s="2798"/>
      <c r="AD341" s="2798"/>
      <c r="AE341" s="2798"/>
      <c r="AF341" s="2798"/>
      <c r="AG341" s="2798"/>
      <c r="AH341" s="2798"/>
      <c r="AI341" s="2798"/>
      <c r="AJ341" s="2798"/>
      <c r="AK341" s="2798"/>
      <c r="AL341" s="2798"/>
      <c r="AM341" s="2798"/>
      <c r="AN341" s="2798"/>
      <c r="AO341" s="2798"/>
      <c r="AP341" s="2798"/>
      <c r="AQ341" s="2798"/>
      <c r="AR341" s="2798"/>
      <c r="AS341" s="2798"/>
      <c r="AT341" s="2798"/>
      <c r="AU341" s="2798"/>
      <c r="AV341" s="2798"/>
      <c r="AW341" s="2798"/>
      <c r="AX341" s="2798"/>
      <c r="AY341" s="2798"/>
      <c r="AZ341" s="2798"/>
      <c r="BA341" s="2798"/>
      <c r="BB341" s="2798"/>
      <c r="BC341" s="2798"/>
      <c r="BD341" s="2798"/>
      <c r="BE341" s="2798"/>
      <c r="BF341" s="2798"/>
      <c r="BG341" s="2798"/>
      <c r="BH341" s="2798"/>
      <c r="BI341" s="2798"/>
      <c r="BJ341" s="2798"/>
      <c r="BK341" s="2798"/>
      <c r="BL341" s="2798"/>
      <c r="BM341" s="2798"/>
      <c r="BN341" s="2798"/>
      <c r="BO341" s="2798"/>
      <c r="BP341" s="2798"/>
    </row>
    <row r="342" spans="12:68">
      <c r="L342" s="2798"/>
      <c r="M342" s="2798"/>
      <c r="N342" s="2798"/>
      <c r="O342" s="2798"/>
      <c r="P342" s="2798"/>
      <c r="Q342" s="2798"/>
      <c r="R342" s="2798"/>
      <c r="S342" s="2798"/>
      <c r="T342" s="2798"/>
      <c r="U342" s="2798"/>
      <c r="V342" s="2798"/>
      <c r="W342" s="2798"/>
      <c r="X342" s="2798"/>
      <c r="Y342" s="2798"/>
      <c r="Z342" s="2798"/>
      <c r="AA342" s="2798"/>
      <c r="AB342" s="2798"/>
      <c r="AC342" s="2798"/>
      <c r="AD342" s="2798"/>
      <c r="AE342" s="2798"/>
      <c r="AF342" s="2798"/>
      <c r="AG342" s="2798"/>
      <c r="AH342" s="2798"/>
      <c r="AI342" s="2798"/>
      <c r="AJ342" s="2798"/>
      <c r="AK342" s="2798"/>
      <c r="AL342" s="2798"/>
      <c r="AM342" s="2798"/>
      <c r="AN342" s="2798"/>
      <c r="AO342" s="2798"/>
      <c r="AP342" s="2798"/>
      <c r="AQ342" s="2798"/>
      <c r="AR342" s="2798"/>
      <c r="AS342" s="2798"/>
      <c r="AT342" s="2798"/>
      <c r="AU342" s="2798"/>
      <c r="AV342" s="2798"/>
      <c r="AW342" s="2798"/>
      <c r="AX342" s="2798"/>
      <c r="AY342" s="2798"/>
      <c r="AZ342" s="2798"/>
      <c r="BA342" s="2798"/>
      <c r="BB342" s="2798"/>
      <c r="BC342" s="2798"/>
      <c r="BD342" s="2798"/>
      <c r="BE342" s="2798"/>
      <c r="BF342" s="2798"/>
      <c r="BG342" s="2798"/>
      <c r="BH342" s="2798"/>
      <c r="BI342" s="2798"/>
      <c r="BJ342" s="2798"/>
      <c r="BK342" s="2798"/>
      <c r="BL342" s="2798"/>
      <c r="BM342" s="2798"/>
      <c r="BN342" s="2798"/>
      <c r="BO342" s="2798"/>
      <c r="BP342" s="2798"/>
    </row>
    <row r="343" spans="12:68">
      <c r="L343" s="2798"/>
      <c r="M343" s="2798"/>
      <c r="N343" s="2798"/>
      <c r="O343" s="2798"/>
      <c r="P343" s="2798"/>
      <c r="Q343" s="2798"/>
      <c r="R343" s="2798"/>
      <c r="S343" s="2798"/>
      <c r="T343" s="2798"/>
      <c r="U343" s="2798"/>
      <c r="V343" s="2798"/>
      <c r="W343" s="2798"/>
      <c r="X343" s="2798"/>
      <c r="Y343" s="2798"/>
      <c r="Z343" s="2798"/>
      <c r="AA343" s="2798"/>
      <c r="AB343" s="2798"/>
      <c r="AC343" s="2798"/>
      <c r="AD343" s="2798"/>
      <c r="AE343" s="2798"/>
      <c r="AF343" s="2798"/>
      <c r="AG343" s="2798"/>
      <c r="AH343" s="2798"/>
      <c r="AI343" s="2798"/>
      <c r="AJ343" s="2798"/>
      <c r="AK343" s="2798"/>
      <c r="AL343" s="2798"/>
      <c r="AM343" s="2798"/>
      <c r="AN343" s="2798"/>
      <c r="AO343" s="2798"/>
      <c r="AP343" s="2798"/>
      <c r="AQ343" s="2798"/>
      <c r="AR343" s="2798"/>
      <c r="AS343" s="2798"/>
      <c r="AT343" s="2798"/>
      <c r="AU343" s="2798"/>
      <c r="AV343" s="2798"/>
      <c r="AW343" s="2798"/>
      <c r="AX343" s="2798"/>
      <c r="AY343" s="2798"/>
      <c r="AZ343" s="2798"/>
      <c r="BA343" s="2798"/>
      <c r="BB343" s="2798"/>
      <c r="BC343" s="2798"/>
      <c r="BD343" s="2798"/>
      <c r="BE343" s="2798"/>
      <c r="BF343" s="2798"/>
      <c r="BG343" s="2798"/>
      <c r="BH343" s="2798"/>
      <c r="BI343" s="2798"/>
      <c r="BJ343" s="2798"/>
      <c r="BK343" s="2798"/>
      <c r="BL343" s="2798"/>
      <c r="BM343" s="2798"/>
      <c r="BN343" s="2798"/>
      <c r="BO343" s="2798"/>
      <c r="BP343" s="2798"/>
    </row>
    <row r="344" spans="12:68">
      <c r="L344" s="2798"/>
      <c r="M344" s="2798"/>
      <c r="N344" s="2798"/>
      <c r="O344" s="2798"/>
      <c r="P344" s="2798"/>
      <c r="Q344" s="2798"/>
      <c r="R344" s="2798"/>
      <c r="S344" s="2798"/>
      <c r="T344" s="2798"/>
      <c r="U344" s="2798"/>
      <c r="V344" s="2798"/>
      <c r="W344" s="2798"/>
      <c r="X344" s="2798"/>
      <c r="Y344" s="2798"/>
      <c r="Z344" s="2798"/>
      <c r="AA344" s="2798"/>
      <c r="AB344" s="2798"/>
      <c r="AC344" s="2798"/>
      <c r="AD344" s="2798"/>
      <c r="AE344" s="2798"/>
      <c r="AF344" s="2798"/>
      <c r="AG344" s="2798"/>
      <c r="AH344" s="2798"/>
      <c r="AI344" s="2798"/>
      <c r="AJ344" s="2798"/>
      <c r="AK344" s="2798"/>
      <c r="AL344" s="2798"/>
      <c r="AM344" s="2798"/>
      <c r="AN344" s="2798"/>
      <c r="AO344" s="2798"/>
      <c r="AP344" s="2798"/>
      <c r="AQ344" s="2798"/>
      <c r="AR344" s="2798"/>
      <c r="AS344" s="2798"/>
      <c r="AT344" s="2798"/>
      <c r="AU344" s="2798"/>
      <c r="AV344" s="2798"/>
      <c r="AW344" s="2798"/>
      <c r="AX344" s="2798"/>
      <c r="AY344" s="2798"/>
      <c r="AZ344" s="2798"/>
      <c r="BA344" s="2798"/>
      <c r="BB344" s="2798"/>
      <c r="BC344" s="2798"/>
      <c r="BD344" s="2798"/>
      <c r="BE344" s="2798"/>
      <c r="BF344" s="2798"/>
      <c r="BG344" s="2798"/>
      <c r="BH344" s="2798"/>
      <c r="BI344" s="2798"/>
      <c r="BJ344" s="2798"/>
      <c r="BK344" s="2798"/>
      <c r="BL344" s="2798"/>
      <c r="BM344" s="2798"/>
      <c r="BN344" s="2798"/>
      <c r="BO344" s="2798"/>
      <c r="BP344" s="2798"/>
    </row>
    <row r="345" spans="12:68">
      <c r="L345" s="2798"/>
      <c r="M345" s="2798"/>
      <c r="N345" s="2798"/>
      <c r="O345" s="2798"/>
      <c r="P345" s="2798"/>
      <c r="Q345" s="2798"/>
      <c r="R345" s="2798"/>
      <c r="S345" s="2798"/>
      <c r="T345" s="2798"/>
      <c r="U345" s="2798"/>
      <c r="V345" s="2798"/>
      <c r="W345" s="2798"/>
      <c r="X345" s="2798"/>
      <c r="Y345" s="2798"/>
      <c r="Z345" s="2798"/>
      <c r="AA345" s="2798"/>
      <c r="AB345" s="2798"/>
      <c r="AC345" s="2798"/>
      <c r="AD345" s="2798"/>
      <c r="AE345" s="2798"/>
      <c r="AF345" s="2798"/>
      <c r="AG345" s="2798"/>
      <c r="AH345" s="2798"/>
      <c r="AI345" s="2798"/>
      <c r="AJ345" s="2798"/>
      <c r="AK345" s="2798"/>
      <c r="AL345" s="2798"/>
      <c r="AM345" s="2798"/>
      <c r="AN345" s="2798"/>
      <c r="AO345" s="2798"/>
      <c r="AP345" s="2798"/>
      <c r="AQ345" s="2798"/>
      <c r="AR345" s="2798"/>
      <c r="AS345" s="2798"/>
      <c r="AT345" s="2798"/>
      <c r="AU345" s="2798"/>
      <c r="AV345" s="2798"/>
      <c r="AW345" s="2798"/>
      <c r="AX345" s="2798"/>
      <c r="AY345" s="2798"/>
      <c r="AZ345" s="2798"/>
      <c r="BA345" s="2798"/>
      <c r="BB345" s="2798"/>
      <c r="BC345" s="2798"/>
      <c r="BD345" s="2798"/>
      <c r="BE345" s="2798"/>
      <c r="BF345" s="2798"/>
      <c r="BG345" s="2798"/>
      <c r="BH345" s="2798"/>
      <c r="BI345" s="2798"/>
      <c r="BJ345" s="2798"/>
      <c r="BK345" s="2798"/>
      <c r="BL345" s="2798"/>
      <c r="BM345" s="2798"/>
      <c r="BN345" s="2798"/>
      <c r="BO345" s="2798"/>
      <c r="BP345" s="2798"/>
    </row>
    <row r="346" spans="12:68">
      <c r="L346" s="2798"/>
      <c r="M346" s="2798"/>
      <c r="N346" s="2798"/>
      <c r="O346" s="2798"/>
      <c r="P346" s="2798"/>
      <c r="Q346" s="2798"/>
      <c r="R346" s="2798"/>
      <c r="S346" s="2798"/>
      <c r="T346" s="2798"/>
      <c r="U346" s="2798"/>
      <c r="V346" s="2798"/>
      <c r="W346" s="2798"/>
      <c r="X346" s="2798"/>
      <c r="Y346" s="2798"/>
      <c r="Z346" s="2798"/>
      <c r="AA346" s="2798"/>
      <c r="AB346" s="2798"/>
      <c r="AC346" s="2798"/>
      <c r="AD346" s="2798"/>
      <c r="AE346" s="2798"/>
      <c r="AF346" s="2798"/>
      <c r="AG346" s="2798"/>
      <c r="AH346" s="2798"/>
      <c r="AI346" s="2798"/>
      <c r="AJ346" s="2798"/>
      <c r="AK346" s="2798"/>
      <c r="AL346" s="2798"/>
      <c r="AM346" s="2798"/>
      <c r="AN346" s="2798"/>
      <c r="AO346" s="2798"/>
      <c r="AP346" s="2798"/>
      <c r="AQ346" s="2798"/>
      <c r="AR346" s="2798"/>
      <c r="AS346" s="2798"/>
      <c r="AT346" s="2798"/>
      <c r="AU346" s="2798"/>
      <c r="AV346" s="2798"/>
      <c r="AW346" s="2798"/>
      <c r="AX346" s="2798"/>
      <c r="AY346" s="2798"/>
      <c r="AZ346" s="2798"/>
      <c r="BA346" s="2798"/>
      <c r="BB346" s="2798"/>
      <c r="BC346" s="2798"/>
      <c r="BD346" s="2798"/>
      <c r="BE346" s="2798"/>
      <c r="BF346" s="2798"/>
      <c r="BG346" s="2798"/>
      <c r="BH346" s="2798"/>
      <c r="BI346" s="2798"/>
      <c r="BJ346" s="2798"/>
      <c r="BK346" s="2798"/>
      <c r="BL346" s="2798"/>
      <c r="BM346" s="2798"/>
      <c r="BN346" s="2798"/>
      <c r="BO346" s="2798"/>
      <c r="BP346" s="2798"/>
    </row>
    <row r="347" spans="12:68">
      <c r="L347" s="2798"/>
      <c r="M347" s="2798"/>
      <c r="N347" s="2798"/>
      <c r="O347" s="2798"/>
      <c r="P347" s="2798"/>
      <c r="Q347" s="2798"/>
      <c r="R347" s="2798"/>
      <c r="S347" s="2798"/>
      <c r="T347" s="2798"/>
      <c r="U347" s="2798"/>
      <c r="V347" s="2798"/>
      <c r="W347" s="2798"/>
      <c r="X347" s="2798"/>
      <c r="Y347" s="2798"/>
      <c r="Z347" s="2798"/>
      <c r="AA347" s="2798"/>
      <c r="AB347" s="2798"/>
      <c r="AC347" s="2798"/>
      <c r="AD347" s="2798"/>
      <c r="AE347" s="2798"/>
      <c r="AF347" s="2798"/>
      <c r="AG347" s="2798"/>
      <c r="AH347" s="2798"/>
      <c r="AI347" s="2798"/>
      <c r="AJ347" s="2798"/>
      <c r="AK347" s="2798"/>
      <c r="AL347" s="2798"/>
      <c r="AM347" s="2798"/>
      <c r="AN347" s="2798"/>
      <c r="AO347" s="2798"/>
      <c r="AP347" s="2798"/>
      <c r="AQ347" s="2798"/>
      <c r="AR347" s="2798"/>
      <c r="AS347" s="2798"/>
      <c r="AT347" s="2798"/>
      <c r="AU347" s="2798"/>
      <c r="AV347" s="2798"/>
      <c r="AW347" s="2798"/>
      <c r="AX347" s="2798"/>
      <c r="AY347" s="2798"/>
      <c r="AZ347" s="2798"/>
      <c r="BA347" s="2798"/>
      <c r="BB347" s="2798"/>
      <c r="BC347" s="2798"/>
      <c r="BD347" s="2798"/>
      <c r="BE347" s="2798"/>
      <c r="BF347" s="2798"/>
      <c r="BG347" s="2798"/>
      <c r="BH347" s="2798"/>
      <c r="BI347" s="2798"/>
      <c r="BJ347" s="2798"/>
      <c r="BK347" s="2798"/>
      <c r="BL347" s="2798"/>
      <c r="BM347" s="2798"/>
      <c r="BN347" s="2798"/>
      <c r="BO347" s="2798"/>
      <c r="BP347" s="2798"/>
    </row>
    <row r="348" spans="12:68">
      <c r="L348" s="2798"/>
      <c r="M348" s="2798"/>
      <c r="N348" s="2798"/>
      <c r="O348" s="2798"/>
      <c r="P348" s="2798"/>
      <c r="Q348" s="2798"/>
      <c r="R348" s="2798"/>
      <c r="S348" s="2798"/>
      <c r="T348" s="2798"/>
      <c r="U348" s="2798"/>
      <c r="V348" s="2798"/>
      <c r="W348" s="2798"/>
      <c r="X348" s="2798"/>
      <c r="Y348" s="2798"/>
      <c r="Z348" s="2798"/>
      <c r="AA348" s="2798"/>
      <c r="AB348" s="2798"/>
      <c r="AC348" s="2798"/>
      <c r="AD348" s="2798"/>
      <c r="AE348" s="2798"/>
      <c r="AF348" s="2798"/>
      <c r="AG348" s="2798"/>
      <c r="AH348" s="2798"/>
      <c r="AI348" s="2798"/>
      <c r="AJ348" s="2798"/>
      <c r="AK348" s="2798"/>
      <c r="AL348" s="2798"/>
      <c r="AM348" s="2798"/>
      <c r="AN348" s="2798"/>
      <c r="AO348" s="2798"/>
      <c r="AP348" s="2798"/>
      <c r="AQ348" s="2798"/>
      <c r="AR348" s="2798"/>
      <c r="AS348" s="2798"/>
      <c r="AT348" s="2798"/>
      <c r="AU348" s="2798"/>
      <c r="AV348" s="2798"/>
      <c r="AW348" s="2798"/>
      <c r="AX348" s="2798"/>
      <c r="AY348" s="2798"/>
      <c r="AZ348" s="2798"/>
      <c r="BA348" s="2798"/>
      <c r="BB348" s="2798"/>
      <c r="BC348" s="2798"/>
      <c r="BD348" s="2798"/>
      <c r="BE348" s="2798"/>
      <c r="BF348" s="2798"/>
      <c r="BG348" s="2798"/>
      <c r="BH348" s="2798"/>
      <c r="BI348" s="2798"/>
      <c r="BJ348" s="2798"/>
      <c r="BK348" s="2798"/>
      <c r="BL348" s="2798"/>
      <c r="BM348" s="2798"/>
      <c r="BN348" s="2798"/>
      <c r="BO348" s="2798"/>
      <c r="BP348" s="2798"/>
    </row>
    <row r="349" spans="12:68">
      <c r="L349" s="2798"/>
      <c r="M349" s="2798"/>
      <c r="N349" s="2798"/>
      <c r="O349" s="2798"/>
      <c r="P349" s="2798"/>
      <c r="Q349" s="2798"/>
      <c r="R349" s="2798"/>
      <c r="S349" s="2798"/>
      <c r="T349" s="2798"/>
      <c r="U349" s="2798"/>
      <c r="V349" s="2798"/>
      <c r="W349" s="2798"/>
      <c r="X349" s="2798"/>
      <c r="Y349" s="2798"/>
      <c r="Z349" s="2798"/>
      <c r="AA349" s="2798"/>
      <c r="AB349" s="2798"/>
      <c r="AC349" s="2798"/>
      <c r="AD349" s="2798"/>
      <c r="AE349" s="2798"/>
      <c r="AF349" s="2798"/>
      <c r="AG349" s="2798"/>
      <c r="AH349" s="2798"/>
      <c r="AI349" s="2798"/>
      <c r="AJ349" s="2798"/>
      <c r="AK349" s="2798"/>
      <c r="AL349" s="2798"/>
      <c r="AM349" s="2798"/>
      <c r="AN349" s="2798"/>
      <c r="AO349" s="2798"/>
      <c r="AP349" s="2798"/>
      <c r="AQ349" s="2798"/>
      <c r="AR349" s="2798"/>
      <c r="AS349" s="2798"/>
      <c r="AT349" s="2798"/>
      <c r="AU349" s="2798"/>
      <c r="AV349" s="2798"/>
      <c r="AW349" s="2798"/>
      <c r="AX349" s="2798"/>
      <c r="AY349" s="2798"/>
      <c r="AZ349" s="2798"/>
      <c r="BA349" s="2798"/>
      <c r="BB349" s="2798"/>
      <c r="BC349" s="2798"/>
      <c r="BD349" s="2798"/>
      <c r="BE349" s="2798"/>
      <c r="BF349" s="2798"/>
      <c r="BG349" s="2798"/>
      <c r="BH349" s="2798"/>
      <c r="BI349" s="2798"/>
      <c r="BJ349" s="2798"/>
      <c r="BK349" s="2798"/>
      <c r="BL349" s="2798"/>
      <c r="BM349" s="2798"/>
      <c r="BN349" s="2798"/>
      <c r="BO349" s="2798"/>
      <c r="BP349" s="2798"/>
    </row>
    <row r="350" spans="12:68">
      <c r="L350" s="2798"/>
      <c r="M350" s="2798"/>
      <c r="N350" s="2798"/>
      <c r="O350" s="2798"/>
      <c r="P350" s="2798"/>
      <c r="Q350" s="2798"/>
      <c r="R350" s="2798"/>
      <c r="S350" s="2798"/>
      <c r="T350" s="2798"/>
      <c r="U350" s="2798"/>
      <c r="V350" s="2798"/>
      <c r="W350" s="2798"/>
      <c r="X350" s="2798"/>
      <c r="Y350" s="2798"/>
      <c r="Z350" s="2798"/>
      <c r="AA350" s="2798"/>
      <c r="AB350" s="2798"/>
      <c r="AC350" s="2798"/>
      <c r="AD350" s="2798"/>
      <c r="AE350" s="2798"/>
      <c r="AF350" s="2798"/>
      <c r="AG350" s="2798"/>
      <c r="AH350" s="2798"/>
      <c r="AI350" s="2798"/>
      <c r="AJ350" s="2798"/>
      <c r="AK350" s="2798"/>
      <c r="AL350" s="2798"/>
      <c r="AM350" s="2798"/>
      <c r="AN350" s="2798"/>
      <c r="AO350" s="2798"/>
      <c r="AP350" s="2798"/>
      <c r="AQ350" s="2798"/>
      <c r="AR350" s="2798"/>
      <c r="AS350" s="2798"/>
      <c r="AT350" s="2798"/>
      <c r="AU350" s="2798"/>
      <c r="AV350" s="2798"/>
      <c r="AW350" s="2798"/>
      <c r="AX350" s="2798"/>
      <c r="AY350" s="2798"/>
      <c r="AZ350" s="2798"/>
      <c r="BA350" s="2798"/>
      <c r="BB350" s="2798"/>
      <c r="BC350" s="2798"/>
      <c r="BD350" s="2798"/>
      <c r="BE350" s="2798"/>
      <c r="BF350" s="2798"/>
      <c r="BG350" s="2798"/>
      <c r="BH350" s="2798"/>
      <c r="BI350" s="2798"/>
      <c r="BJ350" s="2798"/>
      <c r="BK350" s="2798"/>
      <c r="BL350" s="2798"/>
      <c r="BM350" s="2798"/>
      <c r="BN350" s="2798"/>
      <c r="BO350" s="2798"/>
      <c r="BP350" s="2798"/>
    </row>
    <row r="351" spans="12:68">
      <c r="L351" s="2798"/>
      <c r="M351" s="2798"/>
      <c r="N351" s="2798"/>
      <c r="O351" s="2798"/>
      <c r="P351" s="2798"/>
      <c r="Q351" s="2798"/>
      <c r="R351" s="2798"/>
      <c r="S351" s="2798"/>
      <c r="T351" s="2798"/>
      <c r="U351" s="2798"/>
      <c r="V351" s="2798"/>
      <c r="W351" s="2798"/>
      <c r="X351" s="2798"/>
      <c r="Y351" s="2798"/>
      <c r="Z351" s="2798"/>
      <c r="AA351" s="2798"/>
      <c r="AB351" s="2798"/>
      <c r="AC351" s="2798"/>
      <c r="AD351" s="2798"/>
      <c r="AE351" s="2798"/>
      <c r="AF351" s="2798"/>
      <c r="AG351" s="2798"/>
      <c r="AH351" s="2798"/>
      <c r="AI351" s="2798"/>
      <c r="AJ351" s="2798"/>
      <c r="AK351" s="2798"/>
      <c r="AL351" s="2798"/>
      <c r="AM351" s="2798"/>
      <c r="AN351" s="2798"/>
      <c r="AO351" s="2798"/>
      <c r="AP351" s="2798"/>
      <c r="AQ351" s="2798"/>
      <c r="AR351" s="2798"/>
      <c r="AS351" s="2798"/>
      <c r="AT351" s="2798"/>
      <c r="AU351" s="2798"/>
      <c r="AV351" s="2798"/>
      <c r="AW351" s="2798"/>
      <c r="AX351" s="2798"/>
      <c r="AY351" s="2798"/>
      <c r="AZ351" s="2798"/>
      <c r="BA351" s="2798"/>
      <c r="BB351" s="2798"/>
      <c r="BC351" s="2798"/>
      <c r="BD351" s="2798"/>
      <c r="BE351" s="2798"/>
      <c r="BF351" s="2798"/>
      <c r="BG351" s="2798"/>
      <c r="BH351" s="2798"/>
      <c r="BI351" s="2798"/>
      <c r="BJ351" s="2798"/>
      <c r="BK351" s="2798"/>
      <c r="BL351" s="2798"/>
      <c r="BM351" s="2798"/>
      <c r="BN351" s="2798"/>
      <c r="BO351" s="2798"/>
      <c r="BP351" s="2798"/>
    </row>
    <row r="352" spans="12:68">
      <c r="L352" s="2798"/>
      <c r="M352" s="2798"/>
      <c r="N352" s="2798"/>
      <c r="O352" s="2798"/>
      <c r="P352" s="2798"/>
      <c r="Q352" s="2798"/>
      <c r="R352" s="2798"/>
      <c r="S352" s="2798"/>
      <c r="T352" s="2798"/>
      <c r="U352" s="2798"/>
      <c r="V352" s="2798"/>
      <c r="W352" s="2798"/>
      <c r="X352" s="2798"/>
      <c r="Y352" s="2798"/>
      <c r="Z352" s="2798"/>
      <c r="AA352" s="2798"/>
      <c r="AB352" s="2798"/>
      <c r="AC352" s="2798"/>
      <c r="AD352" s="2798"/>
      <c r="AE352" s="2798"/>
      <c r="AF352" s="2798"/>
      <c r="AG352" s="2798"/>
      <c r="AH352" s="2798"/>
      <c r="AI352" s="2798"/>
      <c r="AJ352" s="2798"/>
      <c r="AK352" s="2798"/>
      <c r="AL352" s="2798"/>
      <c r="AM352" s="2798"/>
      <c r="AN352" s="2798"/>
      <c r="AO352" s="2798"/>
      <c r="AP352" s="2798"/>
      <c r="AQ352" s="2798"/>
      <c r="AR352" s="2798"/>
      <c r="AS352" s="2798"/>
      <c r="AT352" s="2798"/>
      <c r="AU352" s="2798"/>
      <c r="AV352" s="2798"/>
      <c r="AW352" s="2798"/>
      <c r="AX352" s="2798"/>
      <c r="AY352" s="2798"/>
      <c r="AZ352" s="2798"/>
      <c r="BA352" s="2798"/>
      <c r="BB352" s="2798"/>
      <c r="BC352" s="2798"/>
      <c r="BD352" s="2798"/>
      <c r="BE352" s="2798"/>
      <c r="BF352" s="2798"/>
      <c r="BG352" s="2798"/>
      <c r="BH352" s="2798"/>
      <c r="BI352" s="2798"/>
      <c r="BJ352" s="2798"/>
      <c r="BK352" s="2798"/>
      <c r="BL352" s="2798"/>
      <c r="BM352" s="2798"/>
      <c r="BN352" s="2798"/>
      <c r="BO352" s="2798"/>
      <c r="BP352" s="2798"/>
    </row>
    <row r="353" spans="1:68">
      <c r="A353" s="2804"/>
      <c r="L353" s="2798"/>
      <c r="M353" s="2798"/>
      <c r="N353" s="2798"/>
      <c r="O353" s="2798"/>
      <c r="P353" s="2798"/>
      <c r="Q353" s="2798"/>
      <c r="R353" s="2798"/>
      <c r="S353" s="2798"/>
      <c r="T353" s="2798"/>
      <c r="U353" s="2798"/>
      <c r="V353" s="2798"/>
      <c r="W353" s="2798"/>
      <c r="X353" s="2798"/>
      <c r="Y353" s="2798"/>
      <c r="Z353" s="2798"/>
      <c r="AA353" s="2798"/>
      <c r="AB353" s="2798"/>
      <c r="AC353" s="2798"/>
      <c r="AD353" s="2798"/>
      <c r="AE353" s="2798"/>
      <c r="AF353" s="2798"/>
      <c r="AG353" s="2798"/>
      <c r="AH353" s="2798"/>
      <c r="AI353" s="2798"/>
      <c r="AJ353" s="2798"/>
      <c r="AK353" s="2798"/>
      <c r="AL353" s="2798"/>
      <c r="AM353" s="2798"/>
      <c r="AN353" s="2798"/>
      <c r="AO353" s="2798"/>
      <c r="AP353" s="2798"/>
      <c r="AQ353" s="2798"/>
      <c r="AR353" s="2798"/>
      <c r="AS353" s="2798"/>
      <c r="AT353" s="2798"/>
      <c r="AU353" s="2798"/>
      <c r="AV353" s="2798"/>
      <c r="AW353" s="2798"/>
      <c r="AX353" s="2798"/>
      <c r="AY353" s="2798"/>
      <c r="AZ353" s="2798"/>
      <c r="BA353" s="2798"/>
      <c r="BB353" s="2798"/>
      <c r="BC353" s="2798"/>
      <c r="BD353" s="2798"/>
      <c r="BE353" s="2798"/>
      <c r="BF353" s="2798"/>
      <c r="BG353" s="2798"/>
      <c r="BH353" s="2798"/>
      <c r="BI353" s="2798"/>
      <c r="BJ353" s="2798"/>
      <c r="BK353" s="2798"/>
      <c r="BL353" s="2798"/>
      <c r="BM353" s="2798"/>
      <c r="BN353" s="2798"/>
      <c r="BO353" s="2798"/>
      <c r="BP353" s="2798"/>
    </row>
    <row r="354" spans="1:68">
      <c r="A354" s="2804"/>
      <c r="L354" s="2798"/>
      <c r="M354" s="2798"/>
      <c r="N354" s="2798"/>
      <c r="O354" s="2798"/>
      <c r="P354" s="2798"/>
      <c r="Q354" s="2798"/>
      <c r="R354" s="2798"/>
      <c r="S354" s="2798"/>
      <c r="T354" s="2798"/>
      <c r="U354" s="2798"/>
      <c r="V354" s="2798"/>
      <c r="W354" s="2798"/>
      <c r="X354" s="2798"/>
      <c r="Y354" s="2798"/>
      <c r="Z354" s="2798"/>
      <c r="AA354" s="2798"/>
      <c r="AB354" s="2798"/>
      <c r="AC354" s="2798"/>
      <c r="AD354" s="2798"/>
      <c r="AE354" s="2798"/>
      <c r="AF354" s="2798"/>
      <c r="AG354" s="2798"/>
      <c r="AH354" s="2798"/>
      <c r="AI354" s="2798"/>
      <c r="AJ354" s="2798"/>
      <c r="AK354" s="2798"/>
      <c r="AL354" s="2798"/>
      <c r="AM354" s="2798"/>
      <c r="AN354" s="2798"/>
      <c r="AO354" s="2798"/>
      <c r="AP354" s="2798"/>
      <c r="AQ354" s="2798"/>
      <c r="AR354" s="2798"/>
      <c r="AS354" s="2798"/>
      <c r="AT354" s="2798"/>
      <c r="AU354" s="2798"/>
      <c r="AV354" s="2798"/>
      <c r="AW354" s="2798"/>
      <c r="AX354" s="2798"/>
      <c r="AY354" s="2798"/>
      <c r="AZ354" s="2798"/>
      <c r="BA354" s="2798"/>
      <c r="BB354" s="2798"/>
      <c r="BC354" s="2798"/>
      <c r="BD354" s="2798"/>
      <c r="BE354" s="2798"/>
      <c r="BF354" s="2798"/>
      <c r="BG354" s="2798"/>
      <c r="BH354" s="2798"/>
      <c r="BI354" s="2798"/>
      <c r="BJ354" s="2798"/>
      <c r="BK354" s="2798"/>
      <c r="BL354" s="2798"/>
      <c r="BM354" s="2798"/>
      <c r="BN354" s="2798"/>
      <c r="BO354" s="2798"/>
      <c r="BP354" s="2798"/>
    </row>
    <row r="355" spans="1:68">
      <c r="A355" s="2804"/>
      <c r="L355" s="2798"/>
      <c r="M355" s="2798"/>
      <c r="N355" s="2798"/>
      <c r="O355" s="2798"/>
      <c r="P355" s="2798"/>
      <c r="Q355" s="2798"/>
      <c r="R355" s="2798"/>
      <c r="S355" s="2798"/>
      <c r="T355" s="2798"/>
      <c r="U355" s="2798"/>
      <c r="V355" s="2798"/>
      <c r="W355" s="2798"/>
      <c r="X355" s="2798"/>
      <c r="Y355" s="2798"/>
      <c r="Z355" s="2798"/>
      <c r="AA355" s="2798"/>
      <c r="AB355" s="2798"/>
      <c r="AC355" s="2798"/>
      <c r="AD355" s="2798"/>
      <c r="AE355" s="2798"/>
      <c r="AF355" s="2798"/>
      <c r="AG355" s="2798"/>
      <c r="AH355" s="2798"/>
      <c r="AI355" s="2798"/>
      <c r="AJ355" s="2798"/>
      <c r="AK355" s="2798"/>
      <c r="AL355" s="2798"/>
      <c r="AM355" s="2798"/>
      <c r="AN355" s="2798"/>
      <c r="AO355" s="2798"/>
      <c r="AP355" s="2798"/>
      <c r="AQ355" s="2798"/>
      <c r="AR355" s="2798"/>
      <c r="AS355" s="2798"/>
      <c r="AT355" s="2798"/>
      <c r="AU355" s="2798"/>
      <c r="AV355" s="2798"/>
      <c r="AW355" s="2798"/>
      <c r="AX355" s="2798"/>
      <c r="AY355" s="2798"/>
      <c r="AZ355" s="2798"/>
      <c r="BA355" s="2798"/>
      <c r="BB355" s="2798"/>
      <c r="BC355" s="2798"/>
      <c r="BD355" s="2798"/>
      <c r="BE355" s="2798"/>
      <c r="BF355" s="2798"/>
      <c r="BG355" s="2798"/>
      <c r="BH355" s="2798"/>
      <c r="BI355" s="2798"/>
      <c r="BJ355" s="2798"/>
      <c r="BK355" s="2798"/>
      <c r="BL355" s="2798"/>
      <c r="BM355" s="2798"/>
      <c r="BN355" s="2798"/>
      <c r="BO355" s="2798"/>
      <c r="BP355" s="2798"/>
    </row>
    <row r="356" spans="1:68">
      <c r="A356" s="2804"/>
      <c r="L356" s="2798"/>
      <c r="M356" s="2798"/>
      <c r="N356" s="2798"/>
      <c r="O356" s="2798"/>
      <c r="P356" s="2798"/>
      <c r="Q356" s="2798"/>
      <c r="R356" s="2798"/>
      <c r="S356" s="2798"/>
      <c r="T356" s="2798"/>
      <c r="U356" s="2798"/>
      <c r="V356" s="2798"/>
      <c r="W356" s="2798"/>
      <c r="X356" s="2798"/>
      <c r="Y356" s="2798"/>
      <c r="Z356" s="2798"/>
      <c r="AA356" s="2798"/>
      <c r="AB356" s="2798"/>
      <c r="AC356" s="2798"/>
      <c r="AD356" s="2798"/>
      <c r="AE356" s="2798"/>
      <c r="AF356" s="2798"/>
      <c r="AG356" s="2798"/>
      <c r="AH356" s="2798"/>
      <c r="AI356" s="2798"/>
      <c r="AJ356" s="2798"/>
      <c r="AK356" s="2798"/>
      <c r="AL356" s="2798"/>
      <c r="AM356" s="2798"/>
      <c r="AN356" s="2798"/>
      <c r="AO356" s="2798"/>
      <c r="AP356" s="2798"/>
      <c r="AQ356" s="2798"/>
      <c r="AR356" s="2798"/>
      <c r="AS356" s="2798"/>
      <c r="AT356" s="2798"/>
      <c r="AU356" s="2798"/>
      <c r="AV356" s="2798"/>
      <c r="AW356" s="2798"/>
      <c r="AX356" s="2798"/>
      <c r="AY356" s="2798"/>
      <c r="AZ356" s="2798"/>
      <c r="BA356" s="2798"/>
      <c r="BB356" s="2798"/>
      <c r="BC356" s="2798"/>
      <c r="BD356" s="2798"/>
      <c r="BE356" s="2798"/>
      <c r="BF356" s="2798"/>
      <c r="BG356" s="2798"/>
      <c r="BH356" s="2798"/>
      <c r="BI356" s="2798"/>
      <c r="BJ356" s="2798"/>
      <c r="BK356" s="2798"/>
      <c r="BL356" s="2798"/>
      <c r="BM356" s="2798"/>
      <c r="BN356" s="2798"/>
      <c r="BO356" s="2798"/>
      <c r="BP356" s="2798"/>
    </row>
    <row r="357" spans="1:68">
      <c r="A357" s="2804"/>
      <c r="L357" s="2798"/>
      <c r="M357" s="2798"/>
      <c r="N357" s="2798"/>
      <c r="O357" s="2798"/>
      <c r="P357" s="2798"/>
      <c r="Q357" s="2798"/>
      <c r="R357" s="2798"/>
      <c r="S357" s="2798"/>
      <c r="T357" s="2798"/>
      <c r="U357" s="2798"/>
      <c r="V357" s="2798"/>
      <c r="W357" s="2798"/>
      <c r="X357" s="2798"/>
      <c r="Y357" s="2798"/>
      <c r="Z357" s="2798"/>
      <c r="AA357" s="2798"/>
      <c r="AB357" s="2798"/>
      <c r="AC357" s="2798"/>
      <c r="AD357" s="2798"/>
      <c r="AE357" s="2798"/>
      <c r="AF357" s="2798"/>
      <c r="AG357" s="2798"/>
      <c r="AH357" s="2798"/>
      <c r="AI357" s="2798"/>
      <c r="AJ357" s="2798"/>
      <c r="AK357" s="2798"/>
      <c r="AL357" s="2798"/>
      <c r="AM357" s="2798"/>
      <c r="AN357" s="2798"/>
      <c r="AO357" s="2798"/>
      <c r="AP357" s="2798"/>
      <c r="AQ357" s="2798"/>
      <c r="AR357" s="2798"/>
      <c r="AS357" s="2798"/>
      <c r="AT357" s="2798"/>
      <c r="AU357" s="2798"/>
      <c r="AV357" s="2798"/>
      <c r="AW357" s="2798"/>
      <c r="AX357" s="2798"/>
      <c r="AY357" s="2798"/>
      <c r="AZ357" s="2798"/>
      <c r="BA357" s="2798"/>
      <c r="BB357" s="2798"/>
      <c r="BC357" s="2798"/>
      <c r="BD357" s="2798"/>
      <c r="BE357" s="2798"/>
      <c r="BF357" s="2798"/>
      <c r="BG357" s="2798"/>
      <c r="BH357" s="2798"/>
      <c r="BI357" s="2798"/>
      <c r="BJ357" s="2798"/>
      <c r="BK357" s="2798"/>
      <c r="BL357" s="2798"/>
      <c r="BM357" s="2798"/>
      <c r="BN357" s="2798"/>
      <c r="BO357" s="2798"/>
      <c r="BP357" s="2798"/>
    </row>
    <row r="358" spans="1:68">
      <c r="A358" s="2804"/>
      <c r="L358" s="2798"/>
      <c r="M358" s="2798"/>
      <c r="N358" s="2798"/>
      <c r="O358" s="2798"/>
      <c r="P358" s="2798"/>
      <c r="Q358" s="2798"/>
      <c r="R358" s="2798"/>
      <c r="S358" s="2798"/>
      <c r="T358" s="2798"/>
      <c r="U358" s="2798"/>
      <c r="V358" s="2798"/>
      <c r="W358" s="2798"/>
      <c r="X358" s="2798"/>
      <c r="Y358" s="2798"/>
      <c r="Z358" s="2798"/>
      <c r="AA358" s="2798"/>
      <c r="AB358" s="2798"/>
      <c r="AC358" s="2798"/>
      <c r="AD358" s="2798"/>
      <c r="AE358" s="2798"/>
      <c r="AF358" s="2798"/>
      <c r="AG358" s="2798"/>
      <c r="AH358" s="2798"/>
      <c r="AI358" s="2798"/>
      <c r="AJ358" s="2798"/>
      <c r="AK358" s="2798"/>
      <c r="AL358" s="2798"/>
      <c r="AM358" s="2798"/>
      <c r="AN358" s="2798"/>
      <c r="AO358" s="2798"/>
      <c r="AP358" s="2798"/>
      <c r="AQ358" s="2798"/>
      <c r="AR358" s="2798"/>
      <c r="AS358" s="2798"/>
      <c r="AT358" s="2798"/>
      <c r="AU358" s="2798"/>
      <c r="AV358" s="2798"/>
      <c r="AW358" s="2798"/>
      <c r="AX358" s="2798"/>
      <c r="AY358" s="2798"/>
      <c r="AZ358" s="2798"/>
      <c r="BA358" s="2798"/>
      <c r="BB358" s="2798"/>
      <c r="BC358" s="2798"/>
      <c r="BD358" s="2798"/>
      <c r="BE358" s="2798"/>
      <c r="BF358" s="2798"/>
      <c r="BG358" s="2798"/>
      <c r="BH358" s="2798"/>
      <c r="BI358" s="2798"/>
      <c r="BJ358" s="2798"/>
      <c r="BK358" s="2798"/>
      <c r="BL358" s="2798"/>
      <c r="BM358" s="2798"/>
      <c r="BN358" s="2798"/>
      <c r="BO358" s="2798"/>
      <c r="BP358" s="2798"/>
    </row>
    <row r="359" spans="1:68">
      <c r="A359" s="2804"/>
      <c r="L359" s="2798"/>
      <c r="M359" s="2798"/>
      <c r="N359" s="2798"/>
      <c r="O359" s="2798"/>
      <c r="P359" s="2798"/>
      <c r="Q359" s="2798"/>
      <c r="R359" s="2798"/>
      <c r="S359" s="2798"/>
      <c r="T359" s="2798"/>
      <c r="U359" s="2798"/>
      <c r="V359" s="2798"/>
      <c r="W359" s="2798"/>
      <c r="X359" s="2798"/>
      <c r="Y359" s="2798"/>
      <c r="Z359" s="2798"/>
      <c r="AA359" s="2798"/>
      <c r="AB359" s="2798"/>
      <c r="AC359" s="2798"/>
      <c r="AD359" s="2798"/>
      <c r="AE359" s="2798"/>
      <c r="AF359" s="2798"/>
      <c r="AG359" s="2798"/>
      <c r="AH359" s="2798"/>
      <c r="AI359" s="2798"/>
      <c r="AJ359" s="2798"/>
      <c r="AK359" s="2798"/>
      <c r="AL359" s="2798"/>
      <c r="AM359" s="2798"/>
      <c r="AN359" s="2798"/>
      <c r="AO359" s="2798"/>
      <c r="AP359" s="2798"/>
      <c r="AQ359" s="2798"/>
      <c r="AR359" s="2798"/>
      <c r="AS359" s="2798"/>
      <c r="AT359" s="2798"/>
      <c r="AU359" s="2798"/>
      <c r="AV359" s="2798"/>
      <c r="AW359" s="2798"/>
      <c r="AX359" s="2798"/>
      <c r="AY359" s="2798"/>
      <c r="AZ359" s="2798"/>
      <c r="BA359" s="2798"/>
      <c r="BB359" s="2798"/>
      <c r="BC359" s="2798"/>
      <c r="BD359" s="2798"/>
      <c r="BE359" s="2798"/>
      <c r="BF359" s="2798"/>
      <c r="BG359" s="2798"/>
      <c r="BH359" s="2798"/>
      <c r="BI359" s="2798"/>
      <c r="BJ359" s="2798"/>
      <c r="BK359" s="2798"/>
      <c r="BL359" s="2798"/>
      <c r="BM359" s="2798"/>
      <c r="BN359" s="2798"/>
      <c r="BO359" s="2798"/>
      <c r="BP359" s="2798"/>
    </row>
    <row r="360" spans="1:68">
      <c r="A360" s="2804"/>
      <c r="L360" s="2798"/>
      <c r="M360" s="2798"/>
      <c r="N360" s="2798"/>
      <c r="O360" s="2798"/>
      <c r="P360" s="2798"/>
      <c r="Q360" s="2798"/>
      <c r="R360" s="2798"/>
      <c r="S360" s="2798"/>
      <c r="T360" s="2798"/>
      <c r="U360" s="2798"/>
      <c r="V360" s="2798"/>
      <c r="W360" s="2798"/>
      <c r="X360" s="2798"/>
      <c r="Y360" s="2798"/>
      <c r="Z360" s="2798"/>
      <c r="AA360" s="2798"/>
      <c r="AB360" s="2798"/>
      <c r="AC360" s="2798"/>
      <c r="AD360" s="2798"/>
      <c r="AE360" s="2798"/>
      <c r="AF360" s="2798"/>
      <c r="AG360" s="2798"/>
      <c r="AH360" s="2798"/>
      <c r="AI360" s="2798"/>
      <c r="AJ360" s="2798"/>
      <c r="AK360" s="2798"/>
      <c r="AL360" s="2798"/>
      <c r="AM360" s="2798"/>
      <c r="AN360" s="2798"/>
      <c r="AO360" s="2798"/>
      <c r="AP360" s="2798"/>
      <c r="AQ360" s="2798"/>
      <c r="AR360" s="2798"/>
      <c r="AS360" s="2798"/>
      <c r="AT360" s="2798"/>
      <c r="AU360" s="2798"/>
      <c r="AV360" s="2798"/>
      <c r="AW360" s="2798"/>
      <c r="AX360" s="2798"/>
      <c r="AY360" s="2798"/>
      <c r="AZ360" s="2798"/>
      <c r="BA360" s="2798"/>
      <c r="BB360" s="2798"/>
      <c r="BC360" s="2798"/>
      <c r="BD360" s="2798"/>
      <c r="BE360" s="2798"/>
      <c r="BF360" s="2798"/>
      <c r="BG360" s="2798"/>
      <c r="BH360" s="2798"/>
      <c r="BI360" s="2798"/>
      <c r="BJ360" s="2798"/>
      <c r="BK360" s="2798"/>
      <c r="BL360" s="2798"/>
      <c r="BM360" s="2798"/>
      <c r="BN360" s="2798"/>
      <c r="BO360" s="2798"/>
      <c r="BP360" s="2798"/>
    </row>
    <row r="361" spans="1:68">
      <c r="A361" s="2804"/>
      <c r="L361" s="2798"/>
      <c r="M361" s="2798"/>
      <c r="N361" s="2798"/>
      <c r="O361" s="2798"/>
      <c r="P361" s="2798"/>
      <c r="Q361" s="2798"/>
      <c r="R361" s="2798"/>
      <c r="S361" s="2798"/>
      <c r="T361" s="2798"/>
      <c r="U361" s="2798"/>
      <c r="V361" s="2798"/>
      <c r="W361" s="2798"/>
      <c r="X361" s="2798"/>
      <c r="Y361" s="2798"/>
      <c r="Z361" s="2798"/>
      <c r="AA361" s="2798"/>
      <c r="AB361" s="2798"/>
      <c r="AC361" s="2798"/>
      <c r="AD361" s="2798"/>
      <c r="AE361" s="2798"/>
      <c r="AF361" s="2798"/>
      <c r="AG361" s="2798"/>
      <c r="AH361" s="2798"/>
      <c r="AI361" s="2798"/>
      <c r="AJ361" s="2798"/>
      <c r="AK361" s="2798"/>
      <c r="AL361" s="2798"/>
      <c r="AM361" s="2798"/>
      <c r="AN361" s="2798"/>
      <c r="AO361" s="2798"/>
      <c r="AP361" s="2798"/>
      <c r="AQ361" s="2798"/>
      <c r="AR361" s="2798"/>
      <c r="AS361" s="2798"/>
      <c r="AT361" s="2798"/>
      <c r="AU361" s="2798"/>
      <c r="AV361" s="2798"/>
      <c r="AW361" s="2798"/>
      <c r="AX361" s="2798"/>
      <c r="AY361" s="2798"/>
      <c r="AZ361" s="2798"/>
      <c r="BA361" s="2798"/>
      <c r="BB361" s="2798"/>
      <c r="BC361" s="2798"/>
      <c r="BD361" s="2798"/>
      <c r="BE361" s="2798"/>
      <c r="BF361" s="2798"/>
      <c r="BG361" s="2798"/>
      <c r="BH361" s="2798"/>
      <c r="BI361" s="2798"/>
      <c r="BJ361" s="2798"/>
      <c r="BK361" s="2798"/>
      <c r="BL361" s="2798"/>
      <c r="BM361" s="2798"/>
      <c r="BN361" s="2798"/>
      <c r="BO361" s="2798"/>
      <c r="BP361" s="2798"/>
    </row>
    <row r="362" spans="1:68">
      <c r="A362" s="2804"/>
      <c r="L362" s="2798"/>
      <c r="M362" s="2798"/>
      <c r="N362" s="2798"/>
      <c r="O362" s="2798"/>
      <c r="P362" s="2798"/>
      <c r="Q362" s="2798"/>
      <c r="R362" s="2798"/>
      <c r="S362" s="2798"/>
      <c r="T362" s="2798"/>
      <c r="U362" s="2798"/>
      <c r="V362" s="2798"/>
      <c r="W362" s="2798"/>
      <c r="X362" s="2798"/>
      <c r="Y362" s="2798"/>
      <c r="Z362" s="2798"/>
      <c r="AA362" s="2798"/>
      <c r="AB362" s="2798"/>
      <c r="AC362" s="2798"/>
      <c r="AD362" s="2798"/>
      <c r="AE362" s="2798"/>
      <c r="AF362" s="2798"/>
      <c r="AG362" s="2798"/>
      <c r="AH362" s="2798"/>
      <c r="AI362" s="2798"/>
      <c r="AJ362" s="2798"/>
      <c r="AK362" s="2798"/>
      <c r="AL362" s="2798"/>
      <c r="AM362" s="2798"/>
      <c r="AN362" s="2798"/>
      <c r="AO362" s="2798"/>
      <c r="AP362" s="2798"/>
      <c r="AQ362" s="2798"/>
      <c r="AR362" s="2798"/>
      <c r="AS362" s="2798"/>
      <c r="AT362" s="2798"/>
      <c r="AU362" s="2798"/>
      <c r="AV362" s="2798"/>
      <c r="AW362" s="2798"/>
      <c r="AX362" s="2798"/>
      <c r="AY362" s="2798"/>
      <c r="AZ362" s="2798"/>
      <c r="BA362" s="2798"/>
      <c r="BB362" s="2798"/>
      <c r="BC362" s="2798"/>
      <c r="BD362" s="2798"/>
      <c r="BE362" s="2798"/>
      <c r="BF362" s="2798"/>
      <c r="BG362" s="2798"/>
      <c r="BH362" s="2798"/>
      <c r="BI362" s="2798"/>
      <c r="BJ362" s="2798"/>
      <c r="BK362" s="2798"/>
      <c r="BL362" s="2798"/>
      <c r="BM362" s="2798"/>
      <c r="BN362" s="2798"/>
      <c r="BO362" s="2798"/>
      <c r="BP362" s="2798"/>
    </row>
    <row r="363" spans="1:68">
      <c r="A363" s="2804"/>
      <c r="L363" s="2798"/>
      <c r="M363" s="2798"/>
      <c r="N363" s="2798"/>
      <c r="O363" s="2798"/>
      <c r="P363" s="2798"/>
      <c r="Q363" s="2798"/>
      <c r="R363" s="2798"/>
      <c r="S363" s="2798"/>
      <c r="T363" s="2798"/>
      <c r="U363" s="2798"/>
      <c r="V363" s="2798"/>
      <c r="W363" s="2798"/>
      <c r="X363" s="2798"/>
      <c r="Y363" s="2798"/>
      <c r="Z363" s="2798"/>
      <c r="AA363" s="2798"/>
      <c r="AB363" s="2798"/>
      <c r="AC363" s="2798"/>
      <c r="AD363" s="2798"/>
      <c r="AE363" s="2798"/>
      <c r="AF363" s="2798"/>
      <c r="AG363" s="2798"/>
      <c r="AH363" s="2798"/>
      <c r="AI363" s="2798"/>
      <c r="AJ363" s="2798"/>
      <c r="AK363" s="2798"/>
      <c r="AL363" s="2798"/>
      <c r="AM363" s="2798"/>
      <c r="AN363" s="2798"/>
      <c r="AO363" s="2798"/>
      <c r="AP363" s="2798"/>
      <c r="AQ363" s="2798"/>
      <c r="AR363" s="2798"/>
      <c r="AS363" s="2798"/>
      <c r="AT363" s="2798"/>
      <c r="AU363" s="2798"/>
      <c r="AV363" s="2798"/>
      <c r="AW363" s="2798"/>
      <c r="AX363" s="2798"/>
      <c r="AY363" s="2798"/>
      <c r="AZ363" s="2798"/>
      <c r="BA363" s="2798"/>
      <c r="BB363" s="2798"/>
      <c r="BC363" s="2798"/>
      <c r="BD363" s="2798"/>
      <c r="BE363" s="2798"/>
      <c r="BF363" s="2798"/>
      <c r="BG363" s="2798"/>
      <c r="BH363" s="2798"/>
      <c r="BI363" s="2798"/>
      <c r="BJ363" s="2798"/>
      <c r="BK363" s="2798"/>
      <c r="BL363" s="2798"/>
      <c r="BM363" s="2798"/>
      <c r="BN363" s="2798"/>
      <c r="BO363" s="2798"/>
      <c r="BP363" s="2798"/>
    </row>
    <row r="364" spans="1:68">
      <c r="A364" s="2804"/>
      <c r="L364" s="2798"/>
      <c r="M364" s="2798"/>
      <c r="N364" s="2798"/>
      <c r="O364" s="2798"/>
      <c r="P364" s="2798"/>
      <c r="Q364" s="2798"/>
      <c r="R364" s="2798"/>
      <c r="S364" s="2798"/>
      <c r="T364" s="2798"/>
      <c r="U364" s="2798"/>
      <c r="V364" s="2798"/>
      <c r="W364" s="2798"/>
      <c r="X364" s="2798"/>
      <c r="Y364" s="2798"/>
      <c r="Z364" s="2798"/>
      <c r="AA364" s="2798"/>
      <c r="AB364" s="2798"/>
      <c r="AC364" s="2798"/>
      <c r="AD364" s="2798"/>
      <c r="AE364" s="2798"/>
      <c r="AF364" s="2798"/>
      <c r="AG364" s="2798"/>
      <c r="AH364" s="2798"/>
      <c r="AI364" s="2798"/>
      <c r="AJ364" s="2798"/>
      <c r="AK364" s="2798"/>
      <c r="AL364" s="2798"/>
      <c r="AM364" s="2798"/>
      <c r="AN364" s="2798"/>
      <c r="AO364" s="2798"/>
      <c r="AP364" s="2798"/>
      <c r="AQ364" s="2798"/>
      <c r="AR364" s="2798"/>
      <c r="AS364" s="2798"/>
      <c r="AT364" s="2798"/>
      <c r="AU364" s="2798"/>
      <c r="AV364" s="2798"/>
      <c r="AW364" s="2798"/>
      <c r="AX364" s="2798"/>
      <c r="AY364" s="2798"/>
      <c r="AZ364" s="2798"/>
      <c r="BA364" s="2798"/>
      <c r="BB364" s="2798"/>
      <c r="BC364" s="2798"/>
      <c r="BD364" s="2798"/>
      <c r="BE364" s="2798"/>
      <c r="BF364" s="2798"/>
      <c r="BG364" s="2798"/>
      <c r="BH364" s="2798"/>
      <c r="BI364" s="2798"/>
      <c r="BJ364" s="2798"/>
      <c r="BK364" s="2798"/>
      <c r="BL364" s="2798"/>
      <c r="BM364" s="2798"/>
      <c r="BN364" s="2798"/>
      <c r="BO364" s="2798"/>
      <c r="BP364" s="2798"/>
    </row>
    <row r="365" spans="1:68">
      <c r="A365" s="2804"/>
      <c r="L365" s="2798"/>
      <c r="M365" s="2798"/>
      <c r="N365" s="2798"/>
      <c r="O365" s="2798"/>
      <c r="P365" s="2798"/>
      <c r="Q365" s="2798"/>
      <c r="R365" s="2798"/>
      <c r="S365" s="2798"/>
      <c r="T365" s="2798"/>
      <c r="U365" s="2798"/>
      <c r="V365" s="2798"/>
      <c r="W365" s="2798"/>
      <c r="X365" s="2798"/>
      <c r="Y365" s="2798"/>
      <c r="Z365" s="2798"/>
      <c r="AA365" s="2798"/>
      <c r="AB365" s="2798"/>
      <c r="AC365" s="2798"/>
      <c r="AD365" s="2798"/>
      <c r="AE365" s="2798"/>
      <c r="AF365" s="2798"/>
      <c r="AG365" s="2798"/>
      <c r="AH365" s="2798"/>
      <c r="AI365" s="2798"/>
      <c r="AJ365" s="2798"/>
      <c r="AK365" s="2798"/>
      <c r="AL365" s="2798"/>
      <c r="AM365" s="2798"/>
      <c r="AN365" s="2798"/>
      <c r="AO365" s="2798"/>
      <c r="AP365" s="2798"/>
      <c r="AQ365" s="2798"/>
      <c r="AR365" s="2798"/>
      <c r="AS365" s="2798"/>
      <c r="AT365" s="2798"/>
      <c r="AU365" s="2798"/>
      <c r="AV365" s="2798"/>
      <c r="AW365" s="2798"/>
      <c r="AX365" s="2798"/>
      <c r="AY365" s="2798"/>
      <c r="AZ365" s="2798"/>
      <c r="BA365" s="2798"/>
      <c r="BB365" s="2798"/>
      <c r="BC365" s="2798"/>
      <c r="BD365" s="2798"/>
      <c r="BE365" s="2798"/>
      <c r="BF365" s="2798"/>
      <c r="BG365" s="2798"/>
      <c r="BH365" s="2798"/>
      <c r="BI365" s="2798"/>
      <c r="BJ365" s="2798"/>
      <c r="BK365" s="2798"/>
      <c r="BL365" s="2798"/>
      <c r="BM365" s="2798"/>
      <c r="BN365" s="2798"/>
      <c r="BO365" s="2798"/>
      <c r="BP365" s="2798"/>
    </row>
    <row r="366" spans="1:68">
      <c r="A366" s="2804"/>
      <c r="L366" s="2798"/>
      <c r="M366" s="2798"/>
      <c r="N366" s="2798"/>
      <c r="O366" s="2798"/>
      <c r="P366" s="2798"/>
      <c r="Q366" s="2798"/>
      <c r="R366" s="2798"/>
      <c r="S366" s="2798"/>
      <c r="T366" s="2798"/>
      <c r="U366" s="2798"/>
      <c r="V366" s="2798"/>
      <c r="W366" s="2798"/>
      <c r="X366" s="2798"/>
      <c r="Y366" s="2798"/>
      <c r="Z366" s="2798"/>
      <c r="AA366" s="2798"/>
      <c r="AB366" s="2798"/>
      <c r="AC366" s="2798"/>
      <c r="AD366" s="2798"/>
      <c r="AE366" s="2798"/>
      <c r="AF366" s="2798"/>
      <c r="AG366" s="2798"/>
      <c r="AH366" s="2798"/>
      <c r="AI366" s="2798"/>
      <c r="AJ366" s="2798"/>
      <c r="AK366" s="2798"/>
      <c r="AL366" s="2798"/>
      <c r="AM366" s="2798"/>
      <c r="AN366" s="2798"/>
      <c r="AO366" s="2798"/>
      <c r="AP366" s="2798"/>
      <c r="AQ366" s="2798"/>
      <c r="AR366" s="2798"/>
      <c r="AS366" s="2798"/>
      <c r="AT366" s="2798"/>
      <c r="AU366" s="2798"/>
      <c r="AV366" s="2798"/>
      <c r="AW366" s="2798"/>
      <c r="AX366" s="2798"/>
      <c r="AY366" s="2798"/>
      <c r="AZ366" s="2798"/>
      <c r="BA366" s="2798"/>
      <c r="BB366" s="2798"/>
      <c r="BC366" s="2798"/>
      <c r="BD366" s="2798"/>
      <c r="BE366" s="2798"/>
      <c r="BF366" s="2798"/>
      <c r="BG366" s="2798"/>
      <c r="BH366" s="2798"/>
      <c r="BI366" s="2798"/>
      <c r="BJ366" s="2798"/>
      <c r="BK366" s="2798"/>
      <c r="BL366" s="2798"/>
      <c r="BM366" s="2798"/>
      <c r="BN366" s="2798"/>
      <c r="BO366" s="2798"/>
      <c r="BP366" s="2798"/>
    </row>
    <row r="367" spans="1:68">
      <c r="A367" s="2804"/>
      <c r="L367" s="2798"/>
      <c r="M367" s="2798"/>
      <c r="N367" s="2798"/>
      <c r="O367" s="2798"/>
      <c r="P367" s="2798"/>
      <c r="Q367" s="2798"/>
      <c r="R367" s="2798"/>
      <c r="S367" s="2798"/>
      <c r="T367" s="2798"/>
      <c r="U367" s="2798"/>
      <c r="V367" s="2798"/>
      <c r="W367" s="2798"/>
      <c r="X367" s="2798"/>
      <c r="Y367" s="2798"/>
      <c r="Z367" s="2798"/>
      <c r="AA367" s="2798"/>
      <c r="AB367" s="2798"/>
      <c r="AC367" s="2798"/>
      <c r="AD367" s="2798"/>
      <c r="AE367" s="2798"/>
      <c r="AF367" s="2798"/>
      <c r="AG367" s="2798"/>
      <c r="AH367" s="2798"/>
      <c r="AI367" s="2798"/>
      <c r="AJ367" s="2798"/>
      <c r="AK367" s="2798"/>
      <c r="AL367" s="2798"/>
      <c r="AM367" s="2798"/>
      <c r="AN367" s="2798"/>
      <c r="AO367" s="2798"/>
      <c r="AP367" s="2798"/>
      <c r="AQ367" s="2798"/>
      <c r="AR367" s="2798"/>
      <c r="AS367" s="2798"/>
      <c r="AT367" s="2798"/>
      <c r="AU367" s="2798"/>
      <c r="AV367" s="2798"/>
      <c r="AW367" s="2798"/>
      <c r="AX367" s="2798"/>
      <c r="AY367" s="2798"/>
      <c r="AZ367" s="2798"/>
      <c r="BA367" s="2798"/>
      <c r="BB367" s="2798"/>
      <c r="BC367" s="2798"/>
      <c r="BD367" s="2798"/>
      <c r="BE367" s="2798"/>
      <c r="BF367" s="2798"/>
      <c r="BG367" s="2798"/>
      <c r="BH367" s="2798"/>
      <c r="BI367" s="2798"/>
      <c r="BJ367" s="2798"/>
      <c r="BK367" s="2798"/>
      <c r="BL367" s="2798"/>
      <c r="BM367" s="2798"/>
      <c r="BN367" s="2798"/>
      <c r="BO367" s="2798"/>
      <c r="BP367" s="2798"/>
    </row>
    <row r="368" spans="1:68">
      <c r="A368" s="2804"/>
      <c r="L368" s="2798"/>
      <c r="M368" s="2798"/>
      <c r="N368" s="2798"/>
      <c r="O368" s="2798"/>
      <c r="P368" s="2798"/>
      <c r="Q368" s="2798"/>
      <c r="R368" s="2798"/>
      <c r="S368" s="2798"/>
      <c r="T368" s="2798"/>
      <c r="U368" s="2798"/>
      <c r="V368" s="2798"/>
      <c r="W368" s="2798"/>
      <c r="X368" s="2798"/>
      <c r="Y368" s="2798"/>
      <c r="Z368" s="2798"/>
      <c r="AA368" s="2798"/>
      <c r="AB368" s="2798"/>
      <c r="AC368" s="2798"/>
      <c r="AD368" s="2798"/>
      <c r="AE368" s="2798"/>
      <c r="AF368" s="2798"/>
      <c r="AG368" s="2798"/>
      <c r="AH368" s="2798"/>
      <c r="AI368" s="2798"/>
      <c r="AJ368" s="2798"/>
      <c r="AK368" s="2798"/>
      <c r="AL368" s="2798"/>
      <c r="AM368" s="2798"/>
      <c r="AN368" s="2798"/>
      <c r="AO368" s="2798"/>
      <c r="AP368" s="2798"/>
      <c r="AQ368" s="2798"/>
      <c r="AR368" s="2798"/>
      <c r="AS368" s="2798"/>
      <c r="AT368" s="2798"/>
      <c r="AU368" s="2798"/>
      <c r="AV368" s="2798"/>
      <c r="AW368" s="2798"/>
      <c r="AX368" s="2798"/>
      <c r="AY368" s="2798"/>
      <c r="AZ368" s="2798"/>
      <c r="BA368" s="2798"/>
      <c r="BB368" s="2798"/>
      <c r="BC368" s="2798"/>
      <c r="BD368" s="2798"/>
      <c r="BE368" s="2798"/>
      <c r="BF368" s="2798"/>
      <c r="BG368" s="2798"/>
      <c r="BH368" s="2798"/>
      <c r="BI368" s="2798"/>
      <c r="BJ368" s="2798"/>
      <c r="BK368" s="2798"/>
      <c r="BL368" s="2798"/>
      <c r="BM368" s="2798"/>
      <c r="BN368" s="2798"/>
      <c r="BO368" s="2798"/>
      <c r="BP368" s="2798"/>
    </row>
    <row r="369" spans="1:68">
      <c r="A369" s="2804"/>
      <c r="L369" s="2798"/>
      <c r="M369" s="2798"/>
      <c r="N369" s="2798"/>
      <c r="O369" s="2798"/>
      <c r="P369" s="2798"/>
      <c r="Q369" s="2798"/>
      <c r="R369" s="2798"/>
      <c r="S369" s="2798"/>
      <c r="T369" s="2798"/>
      <c r="U369" s="2798"/>
      <c r="V369" s="2798"/>
      <c r="W369" s="2798"/>
      <c r="X369" s="2798"/>
      <c r="Y369" s="2798"/>
      <c r="Z369" s="2798"/>
      <c r="AA369" s="2798"/>
      <c r="AB369" s="2798"/>
      <c r="AC369" s="2798"/>
      <c r="AD369" s="2798"/>
      <c r="AE369" s="2798"/>
      <c r="AF369" s="2798"/>
      <c r="AG369" s="2798"/>
      <c r="AH369" s="2798"/>
      <c r="AI369" s="2798"/>
      <c r="AJ369" s="2798"/>
      <c r="AK369" s="2798"/>
      <c r="AL369" s="2798"/>
      <c r="AM369" s="2798"/>
      <c r="AN369" s="2798"/>
      <c r="AO369" s="2798"/>
      <c r="AP369" s="2798"/>
      <c r="AQ369" s="2798"/>
      <c r="AR369" s="2798"/>
      <c r="AS369" s="2798"/>
      <c r="AT369" s="2798"/>
      <c r="AU369" s="2798"/>
      <c r="AV369" s="2798"/>
      <c r="AW369" s="2798"/>
      <c r="AX369" s="2798"/>
      <c r="AY369" s="2798"/>
      <c r="AZ369" s="2798"/>
      <c r="BA369" s="2798"/>
      <c r="BB369" s="2798"/>
      <c r="BC369" s="2798"/>
      <c r="BD369" s="2798"/>
      <c r="BE369" s="2798"/>
      <c r="BF369" s="2798"/>
      <c r="BG369" s="2798"/>
      <c r="BH369" s="2798"/>
      <c r="BI369" s="2798"/>
      <c r="BJ369" s="2798"/>
      <c r="BK369" s="2798"/>
      <c r="BL369" s="2798"/>
      <c r="BM369" s="2798"/>
      <c r="BN369" s="2798"/>
      <c r="BO369" s="2798"/>
      <c r="BP369" s="2798"/>
    </row>
    <row r="370" spans="1:68">
      <c r="A370" s="2804"/>
      <c r="L370" s="2798"/>
      <c r="M370" s="2798"/>
      <c r="N370" s="2798"/>
      <c r="O370" s="2798"/>
      <c r="P370" s="2798"/>
      <c r="Q370" s="2798"/>
      <c r="R370" s="2798"/>
      <c r="S370" s="2798"/>
      <c r="T370" s="2798"/>
      <c r="U370" s="2798"/>
      <c r="V370" s="2798"/>
      <c r="W370" s="2798"/>
      <c r="X370" s="2798"/>
      <c r="Y370" s="2798"/>
      <c r="Z370" s="2798"/>
      <c r="AA370" s="2798"/>
      <c r="AB370" s="2798"/>
      <c r="AC370" s="2798"/>
      <c r="AD370" s="2798"/>
      <c r="AE370" s="2798"/>
      <c r="AF370" s="2798"/>
      <c r="AG370" s="2798"/>
      <c r="AH370" s="2798"/>
      <c r="AI370" s="2798"/>
      <c r="AJ370" s="2798"/>
      <c r="AK370" s="2798"/>
      <c r="AL370" s="2798"/>
      <c r="AM370" s="2798"/>
      <c r="AN370" s="2798"/>
      <c r="AO370" s="2798"/>
      <c r="AP370" s="2798"/>
      <c r="AQ370" s="2798"/>
      <c r="AR370" s="2798"/>
      <c r="AS370" s="2798"/>
      <c r="AT370" s="2798"/>
      <c r="AU370" s="2798"/>
      <c r="AV370" s="2798"/>
      <c r="AW370" s="2798"/>
      <c r="AX370" s="2798"/>
      <c r="AY370" s="2798"/>
      <c r="AZ370" s="2798"/>
      <c r="BA370" s="2798"/>
      <c r="BB370" s="2798"/>
      <c r="BC370" s="2798"/>
      <c r="BD370" s="2798"/>
      <c r="BE370" s="2798"/>
      <c r="BF370" s="2798"/>
      <c r="BG370" s="2798"/>
      <c r="BH370" s="2798"/>
      <c r="BI370" s="2798"/>
      <c r="BJ370" s="2798"/>
      <c r="BK370" s="2798"/>
      <c r="BL370" s="2798"/>
      <c r="BM370" s="2798"/>
      <c r="BN370" s="2798"/>
      <c r="BO370" s="2798"/>
      <c r="BP370" s="2798"/>
    </row>
    <row r="371" spans="1:68">
      <c r="A371" s="2804"/>
      <c r="L371" s="2798"/>
      <c r="M371" s="2798"/>
      <c r="N371" s="2798"/>
      <c r="O371" s="2798"/>
      <c r="P371" s="2798"/>
      <c r="Q371" s="2798"/>
      <c r="R371" s="2798"/>
      <c r="S371" s="2798"/>
      <c r="T371" s="2798"/>
      <c r="U371" s="2798"/>
      <c r="V371" s="2798"/>
      <c r="W371" s="2798"/>
      <c r="X371" s="2798"/>
      <c r="Y371" s="2798"/>
      <c r="Z371" s="2798"/>
      <c r="AA371" s="2798"/>
      <c r="AB371" s="2798"/>
      <c r="AC371" s="2798"/>
      <c r="AD371" s="2798"/>
      <c r="AE371" s="2798"/>
      <c r="AF371" s="2798"/>
      <c r="AG371" s="2798"/>
      <c r="AH371" s="2798"/>
      <c r="AI371" s="2798"/>
      <c r="AJ371" s="2798"/>
      <c r="AK371" s="2798"/>
      <c r="AL371" s="2798"/>
      <c r="AM371" s="2798"/>
      <c r="AN371" s="2798"/>
      <c r="AO371" s="2798"/>
      <c r="AP371" s="2798"/>
      <c r="AQ371" s="2798"/>
      <c r="AR371" s="2798"/>
      <c r="AS371" s="2798"/>
      <c r="AT371" s="2798"/>
      <c r="AU371" s="2798"/>
      <c r="AV371" s="2798"/>
      <c r="AW371" s="2798"/>
      <c r="AX371" s="2798"/>
      <c r="AY371" s="2798"/>
      <c r="AZ371" s="2798"/>
      <c r="BA371" s="2798"/>
      <c r="BB371" s="2798"/>
      <c r="BC371" s="2798"/>
      <c r="BD371" s="2798"/>
      <c r="BE371" s="2798"/>
      <c r="BF371" s="2798"/>
      <c r="BG371" s="2798"/>
      <c r="BH371" s="2798"/>
      <c r="BI371" s="2798"/>
      <c r="BJ371" s="2798"/>
      <c r="BK371" s="2798"/>
      <c r="BL371" s="2798"/>
      <c r="BM371" s="2798"/>
      <c r="BN371" s="2798"/>
      <c r="BO371" s="2798"/>
      <c r="BP371" s="2798"/>
    </row>
    <row r="372" spans="1:68">
      <c r="A372" s="2804"/>
      <c r="L372" s="2798"/>
      <c r="M372" s="2798"/>
      <c r="N372" s="2798"/>
      <c r="O372" s="2798"/>
      <c r="P372" s="2798"/>
      <c r="Q372" s="2798"/>
      <c r="R372" s="2798"/>
      <c r="S372" s="2798"/>
      <c r="T372" s="2798"/>
      <c r="U372" s="2798"/>
      <c r="V372" s="2798"/>
      <c r="W372" s="2798"/>
      <c r="X372" s="2798"/>
      <c r="Y372" s="2798"/>
      <c r="Z372" s="2798"/>
      <c r="AA372" s="2798"/>
      <c r="AB372" s="2798"/>
      <c r="AC372" s="2798"/>
      <c r="AD372" s="2798"/>
      <c r="AE372" s="2798"/>
      <c r="AF372" s="2798"/>
      <c r="AG372" s="2798"/>
      <c r="AH372" s="2798"/>
      <c r="AI372" s="2798"/>
      <c r="AJ372" s="2798"/>
      <c r="AK372" s="2798"/>
      <c r="AL372" s="2798"/>
      <c r="AM372" s="2798"/>
      <c r="AN372" s="2798"/>
      <c r="AO372" s="2798"/>
      <c r="AP372" s="2798"/>
      <c r="AQ372" s="2798"/>
      <c r="AR372" s="2798"/>
      <c r="AS372" s="2798"/>
      <c r="AT372" s="2798"/>
      <c r="AU372" s="2798"/>
      <c r="AV372" s="2798"/>
      <c r="AW372" s="2798"/>
      <c r="AX372" s="2798"/>
      <c r="AY372" s="2798"/>
      <c r="AZ372" s="2798"/>
      <c r="BA372" s="2798"/>
      <c r="BB372" s="2798"/>
      <c r="BC372" s="2798"/>
      <c r="BD372" s="2798"/>
      <c r="BE372" s="2798"/>
      <c r="BF372" s="2798"/>
      <c r="BG372" s="2798"/>
      <c r="BH372" s="2798"/>
      <c r="BI372" s="2798"/>
      <c r="BJ372" s="2798"/>
      <c r="BK372" s="2798"/>
      <c r="BL372" s="2798"/>
      <c r="BM372" s="2798"/>
      <c r="BN372" s="2798"/>
      <c r="BO372" s="2798"/>
      <c r="BP372" s="2798"/>
    </row>
    <row r="373" spans="1:68">
      <c r="A373" s="2804"/>
      <c r="L373" s="2798"/>
      <c r="M373" s="2798"/>
      <c r="N373" s="2798"/>
      <c r="O373" s="2798"/>
      <c r="P373" s="2798"/>
      <c r="Q373" s="2798"/>
      <c r="R373" s="2798"/>
      <c r="S373" s="2798"/>
      <c r="T373" s="2798"/>
      <c r="U373" s="2798"/>
      <c r="V373" s="2798"/>
      <c r="W373" s="2798"/>
      <c r="X373" s="2798"/>
      <c r="Y373" s="2798"/>
      <c r="Z373" s="2798"/>
      <c r="AA373" s="2798"/>
      <c r="AB373" s="2798"/>
      <c r="AC373" s="2798"/>
      <c r="AD373" s="2798"/>
      <c r="AE373" s="2798"/>
      <c r="AF373" s="2798"/>
      <c r="AG373" s="2798"/>
      <c r="AH373" s="2798"/>
      <c r="AI373" s="2798"/>
      <c r="AJ373" s="2798"/>
      <c r="AK373" s="2798"/>
      <c r="AL373" s="2798"/>
      <c r="AM373" s="2798"/>
      <c r="AN373" s="2798"/>
      <c r="AO373" s="2798"/>
      <c r="AP373" s="2798"/>
      <c r="AQ373" s="2798"/>
      <c r="AR373" s="2798"/>
      <c r="AS373" s="2798"/>
      <c r="AT373" s="2798"/>
      <c r="AU373" s="2798"/>
      <c r="AV373" s="2798"/>
      <c r="AW373" s="2798"/>
      <c r="AX373" s="2798"/>
      <c r="AY373" s="2798"/>
      <c r="AZ373" s="2798"/>
      <c r="BA373" s="2798"/>
      <c r="BB373" s="2798"/>
      <c r="BC373" s="2798"/>
      <c r="BD373" s="2798"/>
      <c r="BE373" s="2798"/>
      <c r="BF373" s="2798"/>
      <c r="BG373" s="2798"/>
      <c r="BH373" s="2798"/>
      <c r="BI373" s="2798"/>
      <c r="BJ373" s="2798"/>
      <c r="BK373" s="2798"/>
      <c r="BL373" s="2798"/>
      <c r="BM373" s="2798"/>
      <c r="BN373" s="2798"/>
      <c r="BO373" s="2798"/>
      <c r="BP373" s="2798"/>
    </row>
    <row r="374" spans="1:68">
      <c r="A374" s="2804"/>
      <c r="L374" s="2798"/>
      <c r="M374" s="2798"/>
      <c r="N374" s="2798"/>
      <c r="O374" s="2798"/>
      <c r="P374" s="2798"/>
      <c r="Q374" s="2798"/>
      <c r="R374" s="2798"/>
      <c r="S374" s="2798"/>
      <c r="T374" s="2798"/>
      <c r="U374" s="2798"/>
      <c r="V374" s="2798"/>
      <c r="W374" s="2798"/>
      <c r="X374" s="2798"/>
      <c r="Y374" s="2798"/>
      <c r="Z374" s="2798"/>
      <c r="AA374" s="2798"/>
      <c r="AB374" s="2798"/>
      <c r="AC374" s="2798"/>
      <c r="AD374" s="2798"/>
      <c r="AE374" s="2798"/>
      <c r="AF374" s="2798"/>
      <c r="AG374" s="2798"/>
      <c r="AH374" s="2798"/>
      <c r="AI374" s="2798"/>
      <c r="AJ374" s="2798"/>
      <c r="AK374" s="2798"/>
      <c r="AL374" s="2798"/>
      <c r="AM374" s="2798"/>
      <c r="AN374" s="2798"/>
      <c r="AO374" s="2798"/>
      <c r="AP374" s="2798"/>
      <c r="AQ374" s="2798"/>
      <c r="AR374" s="2798"/>
      <c r="AS374" s="2798"/>
      <c r="AT374" s="2798"/>
      <c r="AU374" s="2798"/>
      <c r="AV374" s="2798"/>
      <c r="AW374" s="2798"/>
      <c r="AX374" s="2798"/>
      <c r="AY374" s="2798"/>
      <c r="AZ374" s="2798"/>
      <c r="BA374" s="2798"/>
      <c r="BB374" s="2798"/>
      <c r="BC374" s="2798"/>
      <c r="BD374" s="2798"/>
      <c r="BE374" s="2798"/>
      <c r="BF374" s="2798"/>
      <c r="BG374" s="2798"/>
      <c r="BH374" s="2798"/>
      <c r="BI374" s="2798"/>
      <c r="BJ374" s="2798"/>
      <c r="BK374" s="2798"/>
      <c r="BL374" s="2798"/>
      <c r="BM374" s="2798"/>
      <c r="BN374" s="2798"/>
      <c r="BO374" s="2798"/>
      <c r="BP374" s="2798"/>
    </row>
    <row r="375" spans="1:68">
      <c r="A375" s="2804"/>
      <c r="L375" s="2798"/>
      <c r="M375" s="2798"/>
      <c r="N375" s="2798"/>
      <c r="O375" s="2798"/>
      <c r="P375" s="2798"/>
      <c r="Q375" s="2798"/>
      <c r="R375" s="2798"/>
      <c r="S375" s="2798"/>
      <c r="T375" s="2798"/>
      <c r="U375" s="2798"/>
      <c r="V375" s="2798"/>
      <c r="W375" s="2798"/>
      <c r="X375" s="2798"/>
      <c r="Y375" s="2798"/>
      <c r="Z375" s="2798"/>
      <c r="AA375" s="2798"/>
      <c r="AB375" s="2798"/>
      <c r="AC375" s="2798"/>
      <c r="AD375" s="2798"/>
      <c r="AE375" s="2798"/>
      <c r="AF375" s="2798"/>
      <c r="AG375" s="2798"/>
      <c r="AH375" s="2798"/>
      <c r="AI375" s="2798"/>
      <c r="AJ375" s="2798"/>
      <c r="AK375" s="2798"/>
      <c r="AL375" s="2798"/>
      <c r="AM375" s="2798"/>
      <c r="AN375" s="2798"/>
      <c r="AO375" s="2798"/>
      <c r="AP375" s="2798"/>
      <c r="AQ375" s="2798"/>
      <c r="AR375" s="2798"/>
      <c r="AS375" s="2798"/>
      <c r="AT375" s="2798"/>
      <c r="AU375" s="2798"/>
      <c r="AV375" s="2798"/>
      <c r="AW375" s="2798"/>
      <c r="AX375" s="2798"/>
      <c r="AY375" s="2798"/>
      <c r="AZ375" s="2798"/>
      <c r="BA375" s="2798"/>
      <c r="BB375" s="2798"/>
      <c r="BC375" s="2798"/>
      <c r="BD375" s="2798"/>
      <c r="BE375" s="2798"/>
      <c r="BF375" s="2798"/>
      <c r="BG375" s="2798"/>
      <c r="BH375" s="2798"/>
      <c r="BI375" s="2798"/>
      <c r="BJ375" s="2798"/>
      <c r="BK375" s="2798"/>
      <c r="BL375" s="2798"/>
      <c r="BM375" s="2798"/>
      <c r="BN375" s="2798"/>
      <c r="BO375" s="2798"/>
      <c r="BP375" s="2798"/>
    </row>
    <row r="376" spans="1:68">
      <c r="A376" s="2804"/>
      <c r="L376" s="2798"/>
      <c r="M376" s="2798"/>
      <c r="N376" s="2798"/>
      <c r="O376" s="2798"/>
      <c r="P376" s="2798"/>
      <c r="Q376" s="2798"/>
      <c r="R376" s="2798"/>
      <c r="S376" s="2798"/>
      <c r="T376" s="2798"/>
      <c r="U376" s="2798"/>
      <c r="V376" s="2798"/>
      <c r="W376" s="2798"/>
      <c r="X376" s="2798"/>
      <c r="Y376" s="2798"/>
      <c r="Z376" s="2798"/>
      <c r="AA376" s="2798"/>
      <c r="AB376" s="2798"/>
      <c r="AC376" s="2798"/>
      <c r="AD376" s="2798"/>
      <c r="AE376" s="2798"/>
      <c r="AF376" s="2798"/>
      <c r="AG376" s="2798"/>
      <c r="AH376" s="2798"/>
      <c r="AI376" s="2798"/>
      <c r="AJ376" s="2798"/>
      <c r="AK376" s="2798"/>
      <c r="AL376" s="2798"/>
      <c r="AM376" s="2798"/>
      <c r="AN376" s="2798"/>
      <c r="AO376" s="2798"/>
      <c r="AP376" s="2798"/>
      <c r="AQ376" s="2798"/>
      <c r="AR376" s="2798"/>
      <c r="AS376" s="2798"/>
      <c r="AT376" s="2798"/>
      <c r="AU376" s="2798"/>
      <c r="AV376" s="2798"/>
      <c r="AW376" s="2798"/>
      <c r="AX376" s="2798"/>
      <c r="AY376" s="2798"/>
      <c r="AZ376" s="2798"/>
      <c r="BA376" s="2798"/>
      <c r="BB376" s="2798"/>
      <c r="BC376" s="2798"/>
      <c r="BD376" s="2798"/>
      <c r="BE376" s="2798"/>
      <c r="BF376" s="2798"/>
      <c r="BG376" s="2798"/>
      <c r="BH376" s="2798"/>
      <c r="BI376" s="2798"/>
      <c r="BJ376" s="2798"/>
      <c r="BK376" s="2798"/>
      <c r="BL376" s="2798"/>
      <c r="BM376" s="2798"/>
      <c r="BN376" s="2798"/>
      <c r="BO376" s="2798"/>
      <c r="BP376" s="2798"/>
    </row>
    <row r="377" spans="1:68">
      <c r="A377" s="2804"/>
      <c r="L377" s="2798"/>
      <c r="M377" s="2798"/>
      <c r="N377" s="2798"/>
      <c r="O377" s="2798"/>
      <c r="P377" s="2798"/>
      <c r="Q377" s="2798"/>
      <c r="R377" s="2798"/>
      <c r="S377" s="2798"/>
      <c r="T377" s="2798"/>
      <c r="U377" s="2798"/>
      <c r="V377" s="2798"/>
      <c r="W377" s="2798"/>
      <c r="X377" s="2798"/>
      <c r="Y377" s="2798"/>
      <c r="Z377" s="2798"/>
      <c r="AA377" s="2798"/>
      <c r="AB377" s="2798"/>
      <c r="AC377" s="2798"/>
      <c r="AD377" s="2798"/>
      <c r="AE377" s="2798"/>
      <c r="AF377" s="2798"/>
      <c r="AG377" s="2798"/>
      <c r="AH377" s="2798"/>
      <c r="AI377" s="2798"/>
      <c r="AJ377" s="2798"/>
      <c r="AK377" s="2798"/>
      <c r="AL377" s="2798"/>
      <c r="AM377" s="2798"/>
      <c r="AN377" s="2798"/>
      <c r="AO377" s="2798"/>
      <c r="AP377" s="2798"/>
      <c r="AQ377" s="2798"/>
      <c r="AR377" s="2798"/>
      <c r="AS377" s="2798"/>
      <c r="AT377" s="2798"/>
      <c r="AU377" s="2798"/>
      <c r="AV377" s="2798"/>
      <c r="AW377" s="2798"/>
      <c r="AX377" s="2798"/>
      <c r="AY377" s="2798"/>
      <c r="AZ377" s="2798"/>
      <c r="BA377" s="2798"/>
      <c r="BB377" s="2798"/>
      <c r="BC377" s="2798"/>
      <c r="BD377" s="2798"/>
      <c r="BE377" s="2798"/>
      <c r="BF377" s="2798"/>
      <c r="BG377" s="2798"/>
      <c r="BH377" s="2798"/>
      <c r="BI377" s="2798"/>
      <c r="BJ377" s="2798"/>
      <c r="BK377" s="2798"/>
      <c r="BL377" s="2798"/>
      <c r="BM377" s="2798"/>
      <c r="BN377" s="2798"/>
      <c r="BO377" s="2798"/>
      <c r="BP377" s="2798"/>
    </row>
    <row r="378" spans="1:68">
      <c r="A378" s="2804"/>
      <c r="L378" s="2798"/>
      <c r="M378" s="2798"/>
      <c r="N378" s="2798"/>
      <c r="O378" s="2798"/>
      <c r="P378" s="2798"/>
      <c r="Q378" s="2798"/>
      <c r="R378" s="2798"/>
      <c r="S378" s="2798"/>
      <c r="T378" s="2798"/>
      <c r="U378" s="2798"/>
      <c r="V378" s="2798"/>
      <c r="W378" s="2798"/>
      <c r="X378" s="2798"/>
      <c r="Y378" s="2798"/>
      <c r="Z378" s="2798"/>
      <c r="AA378" s="2798"/>
      <c r="AB378" s="2798"/>
      <c r="AC378" s="2798"/>
      <c r="AD378" s="2798"/>
      <c r="AE378" s="2798"/>
      <c r="AF378" s="2798"/>
      <c r="AG378" s="2798"/>
      <c r="AH378" s="2798"/>
      <c r="AI378" s="2798"/>
      <c r="AJ378" s="2798"/>
      <c r="AK378" s="2798"/>
      <c r="AL378" s="2798"/>
      <c r="AM378" s="2798"/>
      <c r="AN378" s="2798"/>
      <c r="AO378" s="2798"/>
      <c r="AP378" s="2798"/>
      <c r="AQ378" s="2798"/>
      <c r="AR378" s="2798"/>
      <c r="AS378" s="2798"/>
      <c r="AT378" s="2798"/>
      <c r="AU378" s="2798"/>
      <c r="AV378" s="2798"/>
      <c r="AW378" s="2798"/>
      <c r="AX378" s="2798"/>
      <c r="AY378" s="2798"/>
      <c r="AZ378" s="2798"/>
      <c r="BA378" s="2798"/>
      <c r="BB378" s="2798"/>
      <c r="BC378" s="2798"/>
      <c r="BD378" s="2798"/>
      <c r="BE378" s="2798"/>
      <c r="BF378" s="2798"/>
      <c r="BG378" s="2798"/>
      <c r="BH378" s="2798"/>
      <c r="BI378" s="2798"/>
      <c r="BJ378" s="2798"/>
      <c r="BK378" s="2798"/>
      <c r="BL378" s="2798"/>
      <c r="BM378" s="2798"/>
      <c r="BN378" s="2798"/>
      <c r="BO378" s="2798"/>
      <c r="BP378" s="2798"/>
    </row>
    <row r="379" spans="1:68">
      <c r="A379" s="2804"/>
      <c r="L379" s="2798"/>
      <c r="M379" s="2798"/>
      <c r="N379" s="2798"/>
      <c r="O379" s="2798"/>
      <c r="P379" s="2798"/>
      <c r="Q379" s="2798"/>
      <c r="R379" s="2798"/>
      <c r="S379" s="2798"/>
      <c r="T379" s="2798"/>
      <c r="U379" s="2798"/>
      <c r="V379" s="2798"/>
      <c r="W379" s="2798"/>
      <c r="X379" s="2798"/>
      <c r="Y379" s="2798"/>
      <c r="Z379" s="2798"/>
      <c r="AA379" s="2798"/>
      <c r="AB379" s="2798"/>
      <c r="AC379" s="2798"/>
      <c r="AD379" s="2798"/>
      <c r="AE379" s="2798"/>
      <c r="AF379" s="2798"/>
      <c r="AG379" s="2798"/>
      <c r="AH379" s="2798"/>
      <c r="AI379" s="2798"/>
      <c r="AJ379" s="2798"/>
      <c r="AK379" s="2798"/>
      <c r="AL379" s="2798"/>
      <c r="AM379" s="2798"/>
      <c r="AN379" s="2798"/>
      <c r="AO379" s="2798"/>
      <c r="AP379" s="2798"/>
      <c r="AQ379" s="2798"/>
      <c r="AR379" s="2798"/>
      <c r="AS379" s="2798"/>
      <c r="AT379" s="2798"/>
      <c r="AU379" s="2798"/>
      <c r="AV379" s="2798"/>
      <c r="AW379" s="2798"/>
      <c r="AX379" s="2798"/>
      <c r="AY379" s="2798"/>
      <c r="AZ379" s="2798"/>
      <c r="BA379" s="2798"/>
      <c r="BB379" s="2798"/>
      <c r="BC379" s="2798"/>
      <c r="BD379" s="2798"/>
      <c r="BE379" s="2798"/>
      <c r="BF379" s="2798"/>
      <c r="BG379" s="2798"/>
      <c r="BH379" s="2798"/>
      <c r="BI379" s="2798"/>
      <c r="BJ379" s="2798"/>
      <c r="BK379" s="2798"/>
      <c r="BL379" s="2798"/>
      <c r="BM379" s="2798"/>
      <c r="BN379" s="2798"/>
      <c r="BO379" s="2798"/>
      <c r="BP379" s="2798"/>
    </row>
    <row r="380" spans="1:68">
      <c r="A380" s="2804"/>
      <c r="L380" s="2798"/>
      <c r="M380" s="2798"/>
      <c r="N380" s="2798"/>
      <c r="O380" s="2798"/>
      <c r="P380" s="2798"/>
      <c r="Q380" s="2798"/>
      <c r="R380" s="2798"/>
      <c r="S380" s="2798"/>
      <c r="T380" s="2798"/>
      <c r="U380" s="2798"/>
      <c r="V380" s="2798"/>
      <c r="W380" s="2798"/>
      <c r="X380" s="2798"/>
      <c r="Y380" s="2798"/>
      <c r="Z380" s="2798"/>
      <c r="AA380" s="2798"/>
      <c r="AB380" s="2798"/>
      <c r="AC380" s="2798"/>
      <c r="AD380" s="2798"/>
      <c r="AE380" s="2798"/>
      <c r="AF380" s="2798"/>
      <c r="AG380" s="2798"/>
      <c r="AH380" s="2798"/>
      <c r="AI380" s="2798"/>
      <c r="AJ380" s="2798"/>
      <c r="AK380" s="2798"/>
      <c r="AL380" s="2798"/>
      <c r="AM380" s="2798"/>
      <c r="AN380" s="2798"/>
      <c r="AO380" s="2798"/>
      <c r="AP380" s="2798"/>
      <c r="AQ380" s="2798"/>
      <c r="AR380" s="2798"/>
      <c r="AS380" s="2798"/>
      <c r="AT380" s="2798"/>
      <c r="AU380" s="2798"/>
      <c r="AV380" s="2798"/>
      <c r="AW380" s="2798"/>
      <c r="AX380" s="2798"/>
      <c r="AY380" s="2798"/>
      <c r="AZ380" s="2798"/>
      <c r="BA380" s="2798"/>
      <c r="BB380" s="2798"/>
      <c r="BC380" s="2798"/>
      <c r="BD380" s="2798"/>
      <c r="BE380" s="2798"/>
      <c r="BF380" s="2798"/>
      <c r="BG380" s="2798"/>
      <c r="BH380" s="2798"/>
      <c r="BI380" s="2798"/>
      <c r="BJ380" s="2798"/>
      <c r="BK380" s="2798"/>
      <c r="BL380" s="2798"/>
      <c r="BM380" s="2798"/>
      <c r="BN380" s="2798"/>
      <c r="BO380" s="2798"/>
      <c r="BP380" s="2798"/>
    </row>
    <row r="381" spans="1:68">
      <c r="A381" s="2804"/>
      <c r="L381" s="2798"/>
      <c r="M381" s="2798"/>
      <c r="N381" s="2798"/>
      <c r="O381" s="2798"/>
      <c r="P381" s="2798"/>
      <c r="Q381" s="2798"/>
      <c r="R381" s="2798"/>
      <c r="S381" s="2798"/>
      <c r="T381" s="2798"/>
      <c r="U381" s="2798"/>
      <c r="V381" s="2798"/>
      <c r="W381" s="2798"/>
      <c r="X381" s="2798"/>
      <c r="Y381" s="2798"/>
      <c r="Z381" s="2798"/>
      <c r="AA381" s="2798"/>
      <c r="AB381" s="2798"/>
      <c r="AC381" s="2798"/>
      <c r="AD381" s="2798"/>
      <c r="AE381" s="2798"/>
      <c r="AF381" s="2798"/>
      <c r="AG381" s="2798"/>
      <c r="AH381" s="2798"/>
      <c r="AI381" s="2798"/>
      <c r="AJ381" s="2798"/>
      <c r="AK381" s="2798"/>
      <c r="AL381" s="2798"/>
      <c r="AM381" s="2798"/>
      <c r="AN381" s="2798"/>
      <c r="AO381" s="2798"/>
      <c r="AP381" s="2798"/>
      <c r="AQ381" s="2798"/>
      <c r="AR381" s="2798"/>
      <c r="AS381" s="2798"/>
      <c r="AT381" s="2798"/>
      <c r="AU381" s="2798"/>
      <c r="AV381" s="2798"/>
      <c r="AW381" s="2798"/>
      <c r="AX381" s="2798"/>
      <c r="AY381" s="2798"/>
      <c r="AZ381" s="2798"/>
      <c r="BA381" s="2798"/>
      <c r="BB381" s="2798"/>
      <c r="BC381" s="2798"/>
      <c r="BD381" s="2798"/>
      <c r="BE381" s="2798"/>
      <c r="BF381" s="2798"/>
      <c r="BG381" s="2798"/>
      <c r="BH381" s="2798"/>
      <c r="BI381" s="2798"/>
      <c r="BJ381" s="2798"/>
      <c r="BK381" s="2798"/>
      <c r="BL381" s="2798"/>
      <c r="BM381" s="2798"/>
      <c r="BN381" s="2798"/>
      <c r="BO381" s="2798"/>
      <c r="BP381" s="2798"/>
    </row>
    <row r="382" spans="1:68">
      <c r="A382" s="2804"/>
      <c r="L382" s="2798"/>
      <c r="M382" s="2798"/>
      <c r="N382" s="2798"/>
      <c r="O382" s="2798"/>
      <c r="P382" s="2798"/>
      <c r="Q382" s="2798"/>
      <c r="R382" s="2798"/>
      <c r="S382" s="2798"/>
      <c r="T382" s="2798"/>
      <c r="U382" s="2798"/>
      <c r="V382" s="2798"/>
      <c r="W382" s="2798"/>
      <c r="X382" s="2798"/>
      <c r="Y382" s="2798"/>
      <c r="Z382" s="2798"/>
      <c r="AA382" s="2798"/>
      <c r="AB382" s="2798"/>
      <c r="AC382" s="2798"/>
      <c r="AD382" s="2798"/>
      <c r="AE382" s="2798"/>
      <c r="AF382" s="2798"/>
      <c r="AG382" s="2798"/>
      <c r="AH382" s="2798"/>
      <c r="AI382" s="2798"/>
      <c r="AJ382" s="2798"/>
      <c r="AK382" s="2798"/>
      <c r="AL382" s="2798"/>
      <c r="AM382" s="2798"/>
      <c r="AN382" s="2798"/>
      <c r="AO382" s="2798"/>
      <c r="AP382" s="2798"/>
      <c r="AQ382" s="2798"/>
      <c r="AR382" s="2798"/>
      <c r="AS382" s="2798"/>
      <c r="AT382" s="2798"/>
      <c r="AU382" s="2798"/>
      <c r="AV382" s="2798"/>
      <c r="AW382" s="2798"/>
      <c r="AX382" s="2798"/>
      <c r="AY382" s="2798"/>
      <c r="AZ382" s="2798"/>
      <c r="BA382" s="2798"/>
      <c r="BB382" s="2798"/>
      <c r="BC382" s="2798"/>
      <c r="BD382" s="2798"/>
      <c r="BE382" s="2798"/>
      <c r="BF382" s="2798"/>
      <c r="BG382" s="2798"/>
      <c r="BH382" s="2798"/>
      <c r="BI382" s="2798"/>
      <c r="BJ382" s="2798"/>
      <c r="BK382" s="2798"/>
      <c r="BL382" s="2798"/>
      <c r="BM382" s="2798"/>
      <c r="BN382" s="2798"/>
      <c r="BO382" s="2798"/>
      <c r="BP382" s="2798"/>
    </row>
    <row r="383" spans="1:68">
      <c r="A383" s="2804"/>
      <c r="L383" s="2798"/>
      <c r="M383" s="2798"/>
      <c r="N383" s="2798"/>
      <c r="O383" s="2798"/>
      <c r="P383" s="2798"/>
      <c r="Q383" s="2798"/>
      <c r="R383" s="2798"/>
      <c r="S383" s="2798"/>
      <c r="T383" s="2798"/>
      <c r="U383" s="2798"/>
      <c r="V383" s="2798"/>
      <c r="W383" s="2798"/>
      <c r="X383" s="2798"/>
      <c r="Y383" s="2798"/>
      <c r="Z383" s="2798"/>
      <c r="AA383" s="2798"/>
      <c r="AB383" s="2798"/>
      <c r="AC383" s="2798"/>
      <c r="AD383" s="2798"/>
      <c r="AE383" s="2798"/>
      <c r="AF383" s="2798"/>
      <c r="AG383" s="2798"/>
      <c r="AH383" s="2798"/>
      <c r="AI383" s="2798"/>
      <c r="AJ383" s="2798"/>
      <c r="AK383" s="2798"/>
      <c r="AL383" s="2798"/>
      <c r="AM383" s="2798"/>
      <c r="AN383" s="2798"/>
      <c r="AO383" s="2798"/>
      <c r="AP383" s="2798"/>
      <c r="AQ383" s="2798"/>
      <c r="AR383" s="2798"/>
      <c r="AS383" s="2798"/>
      <c r="AT383" s="2798"/>
      <c r="AU383" s="2798"/>
      <c r="AV383" s="2798"/>
      <c r="AW383" s="2798"/>
      <c r="AX383" s="2798"/>
      <c r="AY383" s="2798"/>
      <c r="AZ383" s="2798"/>
      <c r="BA383" s="2798"/>
      <c r="BB383" s="2798"/>
      <c r="BC383" s="2798"/>
      <c r="BD383" s="2798"/>
      <c r="BE383" s="2798"/>
      <c r="BF383" s="2798"/>
      <c r="BG383" s="2798"/>
      <c r="BH383" s="2798"/>
      <c r="BI383" s="2798"/>
      <c r="BJ383" s="2798"/>
      <c r="BK383" s="2798"/>
      <c r="BL383" s="2798"/>
      <c r="BM383" s="2798"/>
      <c r="BN383" s="2798"/>
      <c r="BO383" s="2798"/>
      <c r="BP383" s="2798"/>
    </row>
    <row r="384" spans="1:68">
      <c r="A384" s="2804"/>
      <c r="L384" s="2798"/>
      <c r="M384" s="2798"/>
      <c r="N384" s="2798"/>
      <c r="O384" s="2798"/>
      <c r="P384" s="2798"/>
      <c r="Q384" s="2798"/>
      <c r="R384" s="2798"/>
      <c r="S384" s="2798"/>
      <c r="T384" s="2798"/>
      <c r="U384" s="2798"/>
      <c r="V384" s="2798"/>
      <c r="W384" s="2798"/>
      <c r="X384" s="2798"/>
      <c r="Y384" s="2798"/>
      <c r="Z384" s="2798"/>
      <c r="AA384" s="2798"/>
      <c r="AB384" s="2798"/>
      <c r="AC384" s="2798"/>
      <c r="AD384" s="2798"/>
      <c r="AE384" s="2798"/>
      <c r="AF384" s="2798"/>
      <c r="AG384" s="2798"/>
      <c r="AH384" s="2798"/>
      <c r="AI384" s="2798"/>
      <c r="AJ384" s="2798"/>
      <c r="AK384" s="2798"/>
      <c r="AL384" s="2798"/>
      <c r="AM384" s="2798"/>
      <c r="AN384" s="2798"/>
      <c r="AO384" s="2798"/>
      <c r="AP384" s="2798"/>
      <c r="AQ384" s="2798"/>
      <c r="AR384" s="2798"/>
      <c r="AS384" s="2798"/>
      <c r="AT384" s="2798"/>
      <c r="AU384" s="2798"/>
      <c r="AV384" s="2798"/>
      <c r="AW384" s="2798"/>
      <c r="AX384" s="2798"/>
      <c r="AY384" s="2798"/>
      <c r="AZ384" s="2798"/>
      <c r="BA384" s="2798"/>
      <c r="BB384" s="2798"/>
      <c r="BC384" s="2798"/>
      <c r="BD384" s="2798"/>
      <c r="BE384" s="2798"/>
      <c r="BF384" s="2798"/>
      <c r="BG384" s="2798"/>
      <c r="BH384" s="2798"/>
      <c r="BI384" s="2798"/>
      <c r="BJ384" s="2798"/>
      <c r="BK384" s="2798"/>
      <c r="BL384" s="2798"/>
      <c r="BM384" s="2798"/>
      <c r="BN384" s="2798"/>
      <c r="BO384" s="2798"/>
      <c r="BP384" s="2798"/>
    </row>
    <row r="385" spans="1:68">
      <c r="A385" s="2804"/>
      <c r="L385" s="2798"/>
      <c r="M385" s="2798"/>
      <c r="N385" s="2798"/>
      <c r="O385" s="2798"/>
      <c r="P385" s="2798"/>
      <c r="Q385" s="2798"/>
      <c r="R385" s="2798"/>
      <c r="S385" s="2798"/>
      <c r="T385" s="2798"/>
      <c r="U385" s="2798"/>
      <c r="V385" s="2798"/>
      <c r="W385" s="2798"/>
      <c r="X385" s="2798"/>
      <c r="Y385" s="2798"/>
      <c r="Z385" s="2798"/>
      <c r="AA385" s="2798"/>
      <c r="AB385" s="2798"/>
      <c r="AC385" s="2798"/>
      <c r="AD385" s="2798"/>
      <c r="AE385" s="2798"/>
      <c r="AF385" s="2798"/>
      <c r="AG385" s="2798"/>
      <c r="AH385" s="2798"/>
      <c r="AI385" s="2798"/>
      <c r="AJ385" s="2798"/>
      <c r="AK385" s="2798"/>
      <c r="AL385" s="2798"/>
      <c r="AM385" s="2798"/>
      <c r="AN385" s="2798"/>
      <c r="AO385" s="2798"/>
      <c r="AP385" s="2798"/>
      <c r="AQ385" s="2798"/>
      <c r="AR385" s="2798"/>
      <c r="AS385" s="2798"/>
      <c r="AT385" s="2798"/>
      <c r="AU385" s="2798"/>
      <c r="AV385" s="2798"/>
      <c r="AW385" s="2798"/>
      <c r="AX385" s="2798"/>
      <c r="AY385" s="2798"/>
      <c r="AZ385" s="2798"/>
      <c r="BA385" s="2798"/>
      <c r="BB385" s="2798"/>
      <c r="BC385" s="2798"/>
      <c r="BD385" s="2798"/>
      <c r="BE385" s="2798"/>
      <c r="BF385" s="2798"/>
      <c r="BG385" s="2798"/>
      <c r="BH385" s="2798"/>
      <c r="BI385" s="2798"/>
      <c r="BJ385" s="2798"/>
      <c r="BK385" s="2798"/>
      <c r="BL385" s="2798"/>
      <c r="BM385" s="2798"/>
      <c r="BN385" s="2798"/>
      <c r="BO385" s="2798"/>
      <c r="BP385" s="2798"/>
    </row>
    <row r="386" spans="1:68">
      <c r="A386" s="2804"/>
      <c r="L386" s="2798"/>
      <c r="M386" s="2798"/>
      <c r="N386" s="2798"/>
      <c r="O386" s="2798"/>
      <c r="P386" s="2798"/>
      <c r="Q386" s="2798"/>
      <c r="R386" s="2798"/>
      <c r="S386" s="2798"/>
      <c r="T386" s="2798"/>
      <c r="U386" s="2798"/>
      <c r="V386" s="2798"/>
      <c r="W386" s="2798"/>
      <c r="X386" s="2798"/>
      <c r="Y386" s="2798"/>
      <c r="Z386" s="2798"/>
      <c r="AA386" s="2798"/>
      <c r="AB386" s="2798"/>
      <c r="AC386" s="2798"/>
      <c r="AD386" s="2798"/>
      <c r="AE386" s="2798"/>
      <c r="AF386" s="2798"/>
      <c r="AG386" s="2798"/>
      <c r="AH386" s="2798"/>
      <c r="AI386" s="2798"/>
      <c r="AJ386" s="2798"/>
      <c r="AK386" s="2798"/>
      <c r="AL386" s="2798"/>
      <c r="AM386" s="2798"/>
      <c r="AN386" s="2798"/>
      <c r="AO386" s="2798"/>
      <c r="AP386" s="2798"/>
      <c r="AQ386" s="2798"/>
      <c r="AR386" s="2798"/>
      <c r="AS386" s="2798"/>
      <c r="AT386" s="2798"/>
      <c r="AU386" s="2798"/>
      <c r="AV386" s="2798"/>
      <c r="AW386" s="2798"/>
      <c r="AX386" s="2798"/>
      <c r="AY386" s="2798"/>
      <c r="AZ386" s="2798"/>
      <c r="BA386" s="2798"/>
      <c r="BB386" s="2798"/>
      <c r="BC386" s="2798"/>
      <c r="BD386" s="2798"/>
      <c r="BE386" s="2798"/>
      <c r="BF386" s="2798"/>
      <c r="BG386" s="2798"/>
      <c r="BH386" s="2798"/>
      <c r="BI386" s="2798"/>
      <c r="BJ386" s="2798"/>
      <c r="BK386" s="2798"/>
      <c r="BL386" s="2798"/>
      <c r="BM386" s="2798"/>
      <c r="BN386" s="2798"/>
      <c r="BO386" s="2798"/>
      <c r="BP386" s="2798"/>
    </row>
    <row r="387" spans="1:68">
      <c r="A387" s="2804"/>
      <c r="L387" s="2798"/>
      <c r="M387" s="2798"/>
      <c r="N387" s="2798"/>
      <c r="O387" s="2798"/>
      <c r="P387" s="2798"/>
      <c r="Q387" s="2798"/>
      <c r="R387" s="2798"/>
      <c r="S387" s="2798"/>
      <c r="T387" s="2798"/>
      <c r="U387" s="2798"/>
      <c r="V387" s="2798"/>
      <c r="W387" s="2798"/>
      <c r="X387" s="2798"/>
      <c r="Y387" s="2798"/>
      <c r="Z387" s="2798"/>
      <c r="AA387" s="2798"/>
      <c r="AB387" s="2798"/>
      <c r="AC387" s="2798"/>
      <c r="AD387" s="2798"/>
      <c r="AE387" s="2798"/>
      <c r="AF387" s="2798"/>
      <c r="AG387" s="2798"/>
      <c r="AH387" s="2798"/>
      <c r="AI387" s="2798"/>
      <c r="AJ387" s="2798"/>
      <c r="AK387" s="2798"/>
      <c r="AL387" s="2798"/>
      <c r="AM387" s="2798"/>
      <c r="AN387" s="2798"/>
      <c r="AO387" s="2798"/>
      <c r="AP387" s="2798"/>
      <c r="AQ387" s="2798"/>
      <c r="AR387" s="2798"/>
      <c r="AS387" s="2798"/>
      <c r="AT387" s="2798"/>
      <c r="AU387" s="2798"/>
      <c r="AV387" s="2798"/>
      <c r="AW387" s="2798"/>
      <c r="AX387" s="2798"/>
      <c r="AY387" s="2798"/>
      <c r="AZ387" s="2798"/>
      <c r="BA387" s="2798"/>
      <c r="BB387" s="2798"/>
      <c r="BC387" s="2798"/>
      <c r="BD387" s="2798"/>
      <c r="BE387" s="2798"/>
      <c r="BF387" s="2798"/>
      <c r="BG387" s="2798"/>
      <c r="BH387" s="2798"/>
      <c r="BI387" s="2798"/>
      <c r="BJ387" s="2798"/>
      <c r="BK387" s="2798"/>
      <c r="BL387" s="2798"/>
      <c r="BM387" s="2798"/>
      <c r="BN387" s="2798"/>
      <c r="BO387" s="2798"/>
      <c r="BP387" s="2798"/>
    </row>
    <row r="388" spans="1:68">
      <c r="A388" s="2804"/>
      <c r="L388" s="2798"/>
      <c r="M388" s="2798"/>
      <c r="N388" s="2798"/>
      <c r="O388" s="2798"/>
      <c r="P388" s="2798"/>
      <c r="Q388" s="2798"/>
      <c r="R388" s="2798"/>
      <c r="S388" s="2798"/>
      <c r="T388" s="2798"/>
      <c r="U388" s="2798"/>
      <c r="V388" s="2798"/>
      <c r="W388" s="2798"/>
      <c r="X388" s="2798"/>
      <c r="Y388" s="2798"/>
      <c r="Z388" s="2798"/>
      <c r="AA388" s="2798"/>
      <c r="AB388" s="2798"/>
      <c r="AC388" s="2798"/>
      <c r="AD388" s="2798"/>
      <c r="AE388" s="2798"/>
      <c r="AF388" s="2798"/>
      <c r="AG388" s="2798"/>
      <c r="AH388" s="2798"/>
      <c r="AI388" s="2798"/>
      <c r="AJ388" s="2798"/>
      <c r="AK388" s="2798"/>
      <c r="AL388" s="2798"/>
      <c r="AM388" s="2798"/>
      <c r="AN388" s="2798"/>
      <c r="AO388" s="2798"/>
      <c r="AP388" s="2798"/>
      <c r="AQ388" s="2798"/>
      <c r="AR388" s="2798"/>
      <c r="AS388" s="2798"/>
      <c r="AT388" s="2798"/>
      <c r="AU388" s="2798"/>
      <c r="AV388" s="2798"/>
      <c r="AW388" s="2798"/>
      <c r="AX388" s="2798"/>
      <c r="AY388" s="2798"/>
      <c r="AZ388" s="2798"/>
      <c r="BA388" s="2798"/>
      <c r="BB388" s="2798"/>
      <c r="BC388" s="2798"/>
      <c r="BD388" s="2798"/>
      <c r="BE388" s="2798"/>
      <c r="BF388" s="2798"/>
      <c r="BG388" s="2798"/>
      <c r="BH388" s="2798"/>
      <c r="BI388" s="2798"/>
      <c r="BJ388" s="2798"/>
      <c r="BK388" s="2798"/>
      <c r="BL388" s="2798"/>
      <c r="BM388" s="2798"/>
      <c r="BN388" s="2798"/>
      <c r="BO388" s="2798"/>
      <c r="BP388" s="2798"/>
    </row>
    <row r="389" spans="1:68">
      <c r="A389" s="2804"/>
      <c r="L389" s="2798"/>
      <c r="M389" s="2798"/>
      <c r="N389" s="2798"/>
      <c r="O389" s="2798"/>
      <c r="P389" s="2798"/>
      <c r="Q389" s="2798"/>
      <c r="R389" s="2798"/>
      <c r="S389" s="2798"/>
      <c r="T389" s="2798"/>
      <c r="U389" s="2798"/>
      <c r="V389" s="2798"/>
      <c r="W389" s="2798"/>
      <c r="X389" s="2798"/>
      <c r="Y389" s="2798"/>
      <c r="Z389" s="2798"/>
      <c r="AA389" s="2798"/>
      <c r="AB389" s="2798"/>
      <c r="AC389" s="2798"/>
      <c r="AD389" s="2798"/>
      <c r="AE389" s="2798"/>
      <c r="AF389" s="2798"/>
      <c r="AG389" s="2798"/>
      <c r="AH389" s="2798"/>
      <c r="AI389" s="2798"/>
      <c r="AJ389" s="2798"/>
      <c r="AK389" s="2798"/>
      <c r="AL389" s="2798"/>
      <c r="AM389" s="2798"/>
      <c r="AN389" s="2798"/>
      <c r="AO389" s="2798"/>
      <c r="AP389" s="2798"/>
      <c r="AQ389" s="2798"/>
      <c r="AR389" s="2798"/>
      <c r="AS389" s="2798"/>
      <c r="AT389" s="2798"/>
      <c r="AU389" s="2798"/>
      <c r="AV389" s="2798"/>
      <c r="AW389" s="2798"/>
      <c r="AX389" s="2798"/>
      <c r="AY389" s="2798"/>
      <c r="AZ389" s="2798"/>
      <c r="BA389" s="2798"/>
      <c r="BB389" s="2798"/>
      <c r="BC389" s="2798"/>
      <c r="BD389" s="2798"/>
      <c r="BE389" s="2798"/>
      <c r="BF389" s="2798"/>
      <c r="BG389" s="2798"/>
      <c r="BH389" s="2798"/>
      <c r="BI389" s="2798"/>
      <c r="BJ389" s="2798"/>
      <c r="BK389" s="2798"/>
      <c r="BL389" s="2798"/>
      <c r="BM389" s="2798"/>
      <c r="BN389" s="2798"/>
      <c r="BO389" s="2798"/>
      <c r="BP389" s="2798"/>
    </row>
    <row r="390" spans="1:68">
      <c r="A390" s="2804"/>
      <c r="L390" s="2798"/>
      <c r="M390" s="2798"/>
      <c r="N390" s="2798"/>
      <c r="O390" s="2798"/>
      <c r="P390" s="2798"/>
      <c r="Q390" s="2798"/>
      <c r="R390" s="2798"/>
      <c r="S390" s="2798"/>
      <c r="T390" s="2798"/>
      <c r="U390" s="2798"/>
      <c r="V390" s="2798"/>
      <c r="W390" s="2798"/>
      <c r="X390" s="2798"/>
      <c r="Y390" s="2798"/>
      <c r="Z390" s="2798"/>
      <c r="AA390" s="2798"/>
      <c r="AB390" s="2798"/>
      <c r="AC390" s="2798"/>
      <c r="AD390" s="2798"/>
      <c r="AE390" s="2798"/>
      <c r="AF390" s="2798"/>
      <c r="AG390" s="2798"/>
      <c r="AH390" s="2798"/>
      <c r="AI390" s="2798"/>
      <c r="AJ390" s="2798"/>
      <c r="AK390" s="2798"/>
      <c r="AL390" s="2798"/>
      <c r="AM390" s="2798"/>
      <c r="AN390" s="2798"/>
      <c r="AO390" s="2798"/>
      <c r="AP390" s="2798"/>
      <c r="AQ390" s="2798"/>
      <c r="AR390" s="2798"/>
      <c r="AS390" s="2798"/>
      <c r="AT390" s="2798"/>
      <c r="AU390" s="2798"/>
      <c r="AV390" s="2798"/>
      <c r="AW390" s="2798"/>
      <c r="AX390" s="2798"/>
      <c r="AY390" s="2798"/>
      <c r="AZ390" s="2798"/>
      <c r="BA390" s="2798"/>
      <c r="BB390" s="2798"/>
      <c r="BC390" s="2798"/>
      <c r="BD390" s="2798"/>
      <c r="BE390" s="2798"/>
      <c r="BF390" s="2798"/>
      <c r="BG390" s="2798"/>
      <c r="BH390" s="2798"/>
      <c r="BI390" s="2798"/>
      <c r="BJ390" s="2798"/>
      <c r="BK390" s="2798"/>
      <c r="BL390" s="2798"/>
      <c r="BM390" s="2798"/>
      <c r="BN390" s="2798"/>
      <c r="BO390" s="2798"/>
      <c r="BP390" s="2798"/>
    </row>
    <row r="391" spans="1:68">
      <c r="A391" s="2804"/>
      <c r="L391" s="2798"/>
      <c r="M391" s="2798"/>
      <c r="N391" s="2798"/>
      <c r="O391" s="2798"/>
      <c r="P391" s="2798"/>
      <c r="Q391" s="2798"/>
      <c r="R391" s="2798"/>
      <c r="S391" s="2798"/>
      <c r="T391" s="2798"/>
      <c r="U391" s="2798"/>
      <c r="V391" s="2798"/>
      <c r="W391" s="2798"/>
      <c r="X391" s="2798"/>
      <c r="Y391" s="2798"/>
      <c r="Z391" s="2798"/>
      <c r="AA391" s="2798"/>
      <c r="AB391" s="2798"/>
      <c r="AC391" s="2798"/>
      <c r="AD391" s="2798"/>
      <c r="AE391" s="2798"/>
      <c r="AF391" s="2798"/>
      <c r="AG391" s="2798"/>
      <c r="AH391" s="2798"/>
      <c r="AI391" s="2798"/>
      <c r="AJ391" s="2798"/>
      <c r="AK391" s="2798"/>
      <c r="AL391" s="2798"/>
      <c r="AM391" s="2798"/>
      <c r="AN391" s="2798"/>
      <c r="AO391" s="2798"/>
      <c r="AP391" s="2798"/>
      <c r="AQ391" s="2798"/>
      <c r="AR391" s="2798"/>
      <c r="AS391" s="2798"/>
      <c r="AT391" s="2798"/>
      <c r="AU391" s="2798"/>
      <c r="AV391" s="2798"/>
      <c r="AW391" s="2798"/>
      <c r="AX391" s="2798"/>
      <c r="AY391" s="2798"/>
      <c r="AZ391" s="2798"/>
      <c r="BA391" s="2798"/>
      <c r="BB391" s="2798"/>
      <c r="BC391" s="2798"/>
      <c r="BD391" s="2798"/>
      <c r="BE391" s="2798"/>
      <c r="BF391" s="2798"/>
      <c r="BG391" s="2798"/>
      <c r="BH391" s="2798"/>
      <c r="BI391" s="2798"/>
      <c r="BJ391" s="2798"/>
      <c r="BK391" s="2798"/>
      <c r="BL391" s="2798"/>
      <c r="BM391" s="2798"/>
      <c r="BN391" s="2798"/>
      <c r="BO391" s="2798"/>
      <c r="BP391" s="2798"/>
    </row>
    <row r="392" spans="1:68">
      <c r="A392" s="2804"/>
      <c r="L392" s="2798"/>
      <c r="M392" s="2798"/>
      <c r="N392" s="2798"/>
      <c r="O392" s="2798"/>
      <c r="P392" s="2798"/>
      <c r="Q392" s="2798"/>
      <c r="R392" s="2798"/>
      <c r="S392" s="2798"/>
      <c r="T392" s="2798"/>
      <c r="U392" s="2798"/>
      <c r="V392" s="2798"/>
      <c r="W392" s="2798"/>
      <c r="X392" s="2798"/>
      <c r="Y392" s="2798"/>
      <c r="Z392" s="2798"/>
      <c r="AA392" s="2798"/>
      <c r="AB392" s="2798"/>
      <c r="AC392" s="2798"/>
      <c r="AD392" s="2798"/>
      <c r="AE392" s="2798"/>
      <c r="AF392" s="2798"/>
      <c r="AG392" s="2798"/>
      <c r="AH392" s="2798"/>
      <c r="AI392" s="2798"/>
      <c r="AJ392" s="2798"/>
      <c r="AK392" s="2798"/>
      <c r="AL392" s="2798"/>
      <c r="AM392" s="2798"/>
      <c r="AN392" s="2798"/>
      <c r="AO392" s="2798"/>
      <c r="AP392" s="2798"/>
      <c r="AQ392" s="2798"/>
      <c r="AR392" s="2798"/>
      <c r="AS392" s="2798"/>
      <c r="AT392" s="2798"/>
      <c r="AU392" s="2798"/>
      <c r="AV392" s="2798"/>
      <c r="AW392" s="2798"/>
      <c r="AX392" s="2798"/>
      <c r="AY392" s="2798"/>
      <c r="AZ392" s="2798"/>
      <c r="BA392" s="2798"/>
      <c r="BB392" s="2798"/>
      <c r="BC392" s="2798"/>
      <c r="BD392" s="2798"/>
      <c r="BE392" s="2798"/>
      <c r="BF392" s="2798"/>
      <c r="BG392" s="2798"/>
      <c r="BH392" s="2798"/>
      <c r="BI392" s="2798"/>
      <c r="BJ392" s="2798"/>
      <c r="BK392" s="2798"/>
      <c r="BL392" s="2798"/>
      <c r="BM392" s="2798"/>
      <c r="BN392" s="2798"/>
      <c r="BO392" s="2798"/>
      <c r="BP392" s="2798"/>
    </row>
    <row r="393" spans="1:68">
      <c r="A393" s="2804"/>
      <c r="L393" s="2798"/>
      <c r="M393" s="2798"/>
      <c r="N393" s="2798"/>
      <c r="O393" s="2798"/>
      <c r="P393" s="2798"/>
      <c r="Q393" s="2798"/>
      <c r="R393" s="2798"/>
      <c r="S393" s="2798"/>
      <c r="T393" s="2798"/>
      <c r="U393" s="2798"/>
      <c r="V393" s="2798"/>
      <c r="W393" s="2798"/>
      <c r="X393" s="2798"/>
      <c r="Y393" s="2798"/>
      <c r="Z393" s="2798"/>
      <c r="AA393" s="2798"/>
      <c r="AB393" s="2798"/>
      <c r="AC393" s="2798"/>
      <c r="AD393" s="2798"/>
      <c r="AE393" s="2798"/>
      <c r="AF393" s="2798"/>
      <c r="AG393" s="2798"/>
      <c r="AH393" s="2798"/>
      <c r="AI393" s="2798"/>
      <c r="AJ393" s="2798"/>
      <c r="AK393" s="2798"/>
      <c r="AL393" s="2798"/>
      <c r="AM393" s="2798"/>
      <c r="AN393" s="2798"/>
      <c r="AO393" s="2798"/>
      <c r="AP393" s="2798"/>
      <c r="AQ393" s="2798"/>
      <c r="AR393" s="2798"/>
      <c r="AS393" s="2798"/>
      <c r="AT393" s="2798"/>
      <c r="AU393" s="2798"/>
      <c r="AV393" s="2798"/>
      <c r="AW393" s="2798"/>
      <c r="AX393" s="2798"/>
      <c r="AY393" s="2798"/>
      <c r="AZ393" s="2798"/>
      <c r="BA393" s="2798"/>
      <c r="BB393" s="2798"/>
      <c r="BC393" s="2798"/>
      <c r="BD393" s="2798"/>
      <c r="BE393" s="2798"/>
      <c r="BF393" s="2798"/>
      <c r="BG393" s="2798"/>
      <c r="BH393" s="2798"/>
      <c r="BI393" s="2798"/>
      <c r="BJ393" s="2798"/>
      <c r="BK393" s="2798"/>
      <c r="BL393" s="2798"/>
      <c r="BM393" s="2798"/>
      <c r="BN393" s="2798"/>
      <c r="BO393" s="2798"/>
      <c r="BP393" s="2798"/>
    </row>
    <row r="394" spans="1:68">
      <c r="A394" s="2804"/>
      <c r="L394" s="2798"/>
      <c r="M394" s="2798"/>
      <c r="N394" s="2798"/>
      <c r="O394" s="2798"/>
      <c r="P394" s="2798"/>
      <c r="Q394" s="2798"/>
      <c r="R394" s="2798"/>
      <c r="S394" s="2798"/>
      <c r="T394" s="2798"/>
      <c r="U394" s="2798"/>
      <c r="V394" s="2798"/>
      <c r="W394" s="2798"/>
      <c r="X394" s="2798"/>
      <c r="Y394" s="2798"/>
      <c r="Z394" s="2798"/>
      <c r="AA394" s="2798"/>
      <c r="AB394" s="2798"/>
      <c r="AC394" s="2798"/>
      <c r="AD394" s="2798"/>
      <c r="AE394" s="2798"/>
      <c r="AF394" s="2798"/>
      <c r="AG394" s="2798"/>
      <c r="AH394" s="2798"/>
      <c r="AI394" s="2798"/>
      <c r="AJ394" s="2798"/>
      <c r="AK394" s="2798"/>
      <c r="AL394" s="2798"/>
      <c r="AM394" s="2798"/>
      <c r="AN394" s="2798"/>
      <c r="AO394" s="2798"/>
      <c r="AP394" s="2798"/>
      <c r="AQ394" s="2798"/>
      <c r="AR394" s="2798"/>
      <c r="AS394" s="2798"/>
      <c r="AT394" s="2798"/>
      <c r="AU394" s="2798"/>
      <c r="AV394" s="2798"/>
      <c r="AW394" s="2798"/>
      <c r="AX394" s="2798"/>
      <c r="AY394" s="2798"/>
      <c r="AZ394" s="2798"/>
      <c r="BA394" s="2798"/>
      <c r="BB394" s="2798"/>
      <c r="BC394" s="2798"/>
      <c r="BD394" s="2798"/>
      <c r="BE394" s="2798"/>
      <c r="BF394" s="2798"/>
      <c r="BG394" s="2798"/>
      <c r="BH394" s="2798"/>
      <c r="BI394" s="2798"/>
      <c r="BJ394" s="2798"/>
      <c r="BK394" s="2798"/>
      <c r="BL394" s="2798"/>
      <c r="BM394" s="2798"/>
      <c r="BN394" s="2798"/>
      <c r="BO394" s="2798"/>
      <c r="BP394" s="2798"/>
    </row>
    <row r="395" spans="1:68">
      <c r="A395" s="2804"/>
      <c r="L395" s="2798"/>
      <c r="M395" s="2798"/>
      <c r="N395" s="2798"/>
      <c r="O395" s="2798"/>
      <c r="P395" s="2798"/>
      <c r="Q395" s="2798"/>
      <c r="R395" s="2798"/>
      <c r="S395" s="2798"/>
      <c r="T395" s="2798"/>
      <c r="U395" s="2798"/>
      <c r="V395" s="2798"/>
      <c r="W395" s="2798"/>
      <c r="X395" s="2798"/>
      <c r="Y395" s="2798"/>
      <c r="Z395" s="2798"/>
      <c r="AA395" s="2798"/>
      <c r="AB395" s="2798"/>
      <c r="AC395" s="2798"/>
      <c r="AD395" s="2798"/>
      <c r="AE395" s="2798"/>
      <c r="AF395" s="2798"/>
      <c r="AG395" s="2798"/>
      <c r="AH395" s="2798"/>
      <c r="AI395" s="2798"/>
      <c r="AJ395" s="2798"/>
      <c r="AK395" s="2798"/>
      <c r="AL395" s="2798"/>
      <c r="AM395" s="2798"/>
      <c r="AN395" s="2798"/>
      <c r="AO395" s="2798"/>
      <c r="AP395" s="2798"/>
      <c r="AQ395" s="2798"/>
      <c r="AR395" s="2798"/>
      <c r="AS395" s="2798"/>
      <c r="AT395" s="2798"/>
      <c r="AU395" s="2798"/>
      <c r="AV395" s="2798"/>
      <c r="AW395" s="2798"/>
      <c r="AX395" s="2798"/>
      <c r="AY395" s="2798"/>
      <c r="AZ395" s="2798"/>
      <c r="BA395" s="2798"/>
      <c r="BB395" s="2798"/>
      <c r="BC395" s="2798"/>
      <c r="BD395" s="2798"/>
      <c r="BE395" s="2798"/>
      <c r="BF395" s="2798"/>
      <c r="BG395" s="2798"/>
      <c r="BH395" s="2798"/>
      <c r="BI395" s="2798"/>
      <c r="BJ395" s="2798"/>
      <c r="BK395" s="2798"/>
      <c r="BL395" s="2798"/>
      <c r="BM395" s="2798"/>
      <c r="BN395" s="2798"/>
      <c r="BO395" s="2798"/>
      <c r="BP395" s="2798"/>
    </row>
    <row r="396" spans="1:68">
      <c r="A396" s="2804"/>
      <c r="L396" s="2798"/>
      <c r="M396" s="2798"/>
      <c r="N396" s="2798"/>
      <c r="O396" s="2798"/>
      <c r="P396" s="2798"/>
      <c r="Q396" s="2798"/>
      <c r="R396" s="2798"/>
      <c r="S396" s="2798"/>
      <c r="T396" s="2798"/>
      <c r="U396" s="2798"/>
      <c r="V396" s="2798"/>
      <c r="W396" s="2798"/>
      <c r="X396" s="2798"/>
      <c r="Y396" s="2798"/>
      <c r="Z396" s="2798"/>
      <c r="AA396" s="2798"/>
      <c r="AB396" s="2798"/>
      <c r="AC396" s="2798"/>
      <c r="AD396" s="2798"/>
      <c r="AE396" s="2798"/>
      <c r="AF396" s="2798"/>
      <c r="AG396" s="2798"/>
      <c r="AH396" s="2798"/>
      <c r="AI396" s="2798"/>
      <c r="AJ396" s="2798"/>
      <c r="AK396" s="2798"/>
      <c r="AL396" s="2798"/>
      <c r="AM396" s="2798"/>
      <c r="AN396" s="2798"/>
      <c r="AO396" s="2798"/>
      <c r="AP396" s="2798"/>
      <c r="AQ396" s="2798"/>
      <c r="AR396" s="2798"/>
      <c r="AS396" s="2798"/>
      <c r="AT396" s="2798"/>
      <c r="AU396" s="2798"/>
      <c r="AV396" s="2798"/>
      <c r="AW396" s="2798"/>
      <c r="AX396" s="2798"/>
      <c r="AY396" s="2798"/>
      <c r="AZ396" s="2798"/>
      <c r="BA396" s="2798"/>
      <c r="BB396" s="2798"/>
      <c r="BC396" s="2798"/>
      <c r="BD396" s="2798"/>
      <c r="BE396" s="2798"/>
      <c r="BF396" s="2798"/>
      <c r="BG396" s="2798"/>
      <c r="BH396" s="2798"/>
      <c r="BI396" s="2798"/>
      <c r="BJ396" s="2798"/>
      <c r="BK396" s="2798"/>
      <c r="BL396" s="2798"/>
      <c r="BM396" s="2798"/>
      <c r="BN396" s="2798"/>
      <c r="BO396" s="2798"/>
      <c r="BP396" s="2798"/>
    </row>
    <row r="397" spans="1:68">
      <c r="A397" s="2804"/>
      <c r="L397" s="2798"/>
      <c r="M397" s="2798"/>
      <c r="N397" s="2798"/>
      <c r="O397" s="2798"/>
      <c r="P397" s="2798"/>
      <c r="Q397" s="2798"/>
      <c r="R397" s="2798"/>
      <c r="S397" s="2798"/>
      <c r="T397" s="2798"/>
      <c r="U397" s="2798"/>
      <c r="V397" s="2798"/>
      <c r="W397" s="2798"/>
      <c r="X397" s="2798"/>
      <c r="Y397" s="2798"/>
      <c r="Z397" s="2798"/>
      <c r="AA397" s="2798"/>
      <c r="AB397" s="2798"/>
      <c r="AC397" s="2798"/>
      <c r="AD397" s="2798"/>
      <c r="AE397" s="2798"/>
      <c r="AF397" s="2798"/>
      <c r="AG397" s="2798"/>
      <c r="AH397" s="2798"/>
      <c r="AI397" s="2798"/>
      <c r="AJ397" s="2798"/>
      <c r="AK397" s="2798"/>
      <c r="AL397" s="2798"/>
      <c r="AM397" s="2798"/>
      <c r="AN397" s="2798"/>
      <c r="AO397" s="2798"/>
      <c r="AP397" s="2798"/>
      <c r="AQ397" s="2798"/>
      <c r="AR397" s="2798"/>
      <c r="AS397" s="2798"/>
      <c r="AT397" s="2798"/>
      <c r="AU397" s="2798"/>
      <c r="AV397" s="2798"/>
      <c r="AW397" s="2798"/>
      <c r="AX397" s="2798"/>
      <c r="AY397" s="2798"/>
      <c r="AZ397" s="2798"/>
      <c r="BA397" s="2798"/>
      <c r="BB397" s="2798"/>
      <c r="BC397" s="2798"/>
      <c r="BD397" s="2798"/>
      <c r="BE397" s="2798"/>
      <c r="BF397" s="2798"/>
      <c r="BG397" s="2798"/>
      <c r="BH397" s="2798"/>
      <c r="BI397" s="2798"/>
      <c r="BJ397" s="2798"/>
      <c r="BK397" s="2798"/>
      <c r="BL397" s="2798"/>
      <c r="BM397" s="2798"/>
      <c r="BN397" s="2798"/>
      <c r="BO397" s="2798"/>
      <c r="BP397" s="2798"/>
    </row>
    <row r="398" spans="1:68">
      <c r="A398" s="2804"/>
      <c r="L398" s="2798"/>
      <c r="M398" s="2798"/>
      <c r="N398" s="2798"/>
      <c r="O398" s="2798"/>
      <c r="P398" s="2798"/>
      <c r="Q398" s="2798"/>
      <c r="R398" s="2798"/>
      <c r="S398" s="2798"/>
      <c r="T398" s="2798"/>
      <c r="U398" s="2798"/>
      <c r="V398" s="2798"/>
      <c r="W398" s="2798"/>
      <c r="X398" s="2798"/>
      <c r="Y398" s="2798"/>
      <c r="Z398" s="2798"/>
      <c r="AA398" s="2798"/>
      <c r="AB398" s="2798"/>
      <c r="AC398" s="2798"/>
      <c r="AD398" s="2798"/>
      <c r="AE398" s="2798"/>
      <c r="AF398" s="2798"/>
      <c r="AG398" s="2798"/>
      <c r="AH398" s="2798"/>
      <c r="AI398" s="2798"/>
      <c r="AJ398" s="2798"/>
      <c r="AK398" s="2798"/>
      <c r="AL398" s="2798"/>
      <c r="AM398" s="2798"/>
      <c r="AN398" s="2798"/>
      <c r="AO398" s="2798"/>
      <c r="AP398" s="2798"/>
      <c r="AQ398" s="2798"/>
      <c r="AR398" s="2798"/>
      <c r="AS398" s="2798"/>
      <c r="AT398" s="2798"/>
      <c r="AU398" s="2798"/>
      <c r="AV398" s="2798"/>
      <c r="AW398" s="2798"/>
      <c r="AX398" s="2798"/>
      <c r="AY398" s="2798"/>
      <c r="AZ398" s="2798"/>
      <c r="BA398" s="2798"/>
      <c r="BB398" s="2798"/>
      <c r="BC398" s="2798"/>
      <c r="BD398" s="2798"/>
      <c r="BE398" s="2798"/>
      <c r="BF398" s="2798"/>
      <c r="BG398" s="2798"/>
      <c r="BH398" s="2798"/>
      <c r="BI398" s="2798"/>
      <c r="BJ398" s="2798"/>
      <c r="BK398" s="2798"/>
      <c r="BL398" s="2798"/>
      <c r="BM398" s="2798"/>
      <c r="BN398" s="2798"/>
      <c r="BO398" s="2798"/>
      <c r="BP398" s="2798"/>
    </row>
    <row r="399" spans="1:68">
      <c r="A399" s="2804"/>
      <c r="L399" s="2798"/>
      <c r="M399" s="2798"/>
      <c r="N399" s="2798"/>
      <c r="O399" s="2798"/>
      <c r="P399" s="2798"/>
      <c r="Q399" s="2798"/>
      <c r="R399" s="2798"/>
      <c r="S399" s="2798"/>
      <c r="T399" s="2798"/>
      <c r="U399" s="2798"/>
      <c r="V399" s="2798"/>
      <c r="W399" s="2798"/>
      <c r="X399" s="2798"/>
      <c r="Y399" s="2798"/>
      <c r="Z399" s="2798"/>
      <c r="AA399" s="2798"/>
      <c r="AB399" s="2798"/>
      <c r="AC399" s="2798"/>
      <c r="AD399" s="2798"/>
      <c r="AE399" s="2798"/>
      <c r="AF399" s="2798"/>
      <c r="AG399" s="2798"/>
      <c r="AH399" s="2798"/>
      <c r="AI399" s="2798"/>
      <c r="AJ399" s="2798"/>
      <c r="AK399" s="2798"/>
      <c r="AL399" s="2798"/>
      <c r="AM399" s="2798"/>
      <c r="AN399" s="2798"/>
      <c r="AO399" s="2798"/>
      <c r="AP399" s="2798"/>
      <c r="AQ399" s="2798"/>
      <c r="AR399" s="2798"/>
      <c r="AS399" s="2798"/>
      <c r="AT399" s="2798"/>
      <c r="AU399" s="2798"/>
      <c r="AV399" s="2798"/>
      <c r="AW399" s="2798"/>
      <c r="AX399" s="2798"/>
      <c r="AY399" s="2798"/>
      <c r="AZ399" s="2798"/>
      <c r="BA399" s="2798"/>
      <c r="BB399" s="2798"/>
      <c r="BC399" s="2798"/>
      <c r="BD399" s="2798"/>
      <c r="BE399" s="2798"/>
      <c r="BF399" s="2798"/>
      <c r="BG399" s="2798"/>
      <c r="BH399" s="2798"/>
      <c r="BI399" s="2798"/>
      <c r="BJ399" s="2798"/>
      <c r="BK399" s="2798"/>
      <c r="BL399" s="2798"/>
      <c r="BM399" s="2798"/>
      <c r="BN399" s="2798"/>
      <c r="BO399" s="2798"/>
      <c r="BP399" s="2798"/>
    </row>
    <row r="400" spans="1:68">
      <c r="A400" s="2804"/>
      <c r="L400" s="2798"/>
      <c r="M400" s="2798"/>
      <c r="N400" s="2798"/>
      <c r="O400" s="2798"/>
      <c r="P400" s="2798"/>
      <c r="Q400" s="2798"/>
      <c r="R400" s="2798"/>
      <c r="S400" s="2798"/>
      <c r="T400" s="2798"/>
      <c r="U400" s="2798"/>
      <c r="V400" s="2798"/>
      <c r="W400" s="2798"/>
      <c r="X400" s="2798"/>
      <c r="Y400" s="2798"/>
      <c r="Z400" s="2798"/>
      <c r="AA400" s="2798"/>
      <c r="AB400" s="2798"/>
      <c r="AC400" s="2798"/>
      <c r="AD400" s="2798"/>
      <c r="AE400" s="2798"/>
      <c r="AF400" s="2798"/>
      <c r="AG400" s="2798"/>
      <c r="AH400" s="2798"/>
      <c r="AI400" s="2798"/>
      <c r="AJ400" s="2798"/>
      <c r="AK400" s="2798"/>
      <c r="AL400" s="2798"/>
      <c r="AM400" s="2798"/>
      <c r="AN400" s="2798"/>
      <c r="AO400" s="2798"/>
      <c r="AP400" s="2798"/>
      <c r="AQ400" s="2798"/>
      <c r="AR400" s="2798"/>
      <c r="AS400" s="2798"/>
      <c r="AT400" s="2798"/>
      <c r="AU400" s="2798"/>
      <c r="AV400" s="2798"/>
      <c r="AW400" s="2798"/>
      <c r="AX400" s="2798"/>
      <c r="AY400" s="2798"/>
      <c r="AZ400" s="2798"/>
      <c r="BA400" s="2798"/>
      <c r="BB400" s="2798"/>
      <c r="BC400" s="2798"/>
      <c r="BD400" s="2798"/>
      <c r="BE400" s="2798"/>
      <c r="BF400" s="2798"/>
      <c r="BG400" s="2798"/>
      <c r="BH400" s="2798"/>
      <c r="BI400" s="2798"/>
      <c r="BJ400" s="2798"/>
      <c r="BK400" s="2798"/>
      <c r="BL400" s="2798"/>
      <c r="BM400" s="2798"/>
      <c r="BN400" s="2798"/>
      <c r="BO400" s="2798"/>
      <c r="BP400" s="2798"/>
    </row>
    <row r="401" spans="1:68">
      <c r="A401" s="2804"/>
      <c r="L401" s="2798"/>
      <c r="M401" s="2798"/>
      <c r="N401" s="2798"/>
      <c r="O401" s="2798"/>
      <c r="P401" s="2798"/>
      <c r="Q401" s="2798"/>
      <c r="R401" s="2798"/>
      <c r="S401" s="2798"/>
      <c r="T401" s="2798"/>
      <c r="U401" s="2798"/>
      <c r="V401" s="2798"/>
      <c r="W401" s="2798"/>
      <c r="X401" s="2798"/>
      <c r="Y401" s="2798"/>
      <c r="Z401" s="2798"/>
      <c r="AA401" s="2798"/>
      <c r="AB401" s="2798"/>
      <c r="AC401" s="2798"/>
      <c r="AD401" s="2798"/>
      <c r="AE401" s="2798"/>
      <c r="AF401" s="2798"/>
      <c r="AG401" s="2798"/>
      <c r="AH401" s="2798"/>
      <c r="AI401" s="2798"/>
      <c r="AJ401" s="2798"/>
      <c r="AK401" s="2798"/>
      <c r="AL401" s="2798"/>
      <c r="AM401" s="2798"/>
      <c r="AN401" s="2798"/>
      <c r="AO401" s="2798"/>
      <c r="AP401" s="2798"/>
      <c r="AQ401" s="2798"/>
      <c r="AR401" s="2798"/>
      <c r="AS401" s="2798"/>
      <c r="AT401" s="2798"/>
      <c r="AU401" s="2798"/>
      <c r="AV401" s="2798"/>
      <c r="AW401" s="2798"/>
      <c r="AX401" s="2798"/>
      <c r="AY401" s="2798"/>
      <c r="AZ401" s="2798"/>
      <c r="BA401" s="2798"/>
      <c r="BB401" s="2798"/>
      <c r="BC401" s="2798"/>
      <c r="BD401" s="2798"/>
      <c r="BE401" s="2798"/>
      <c r="BF401" s="2798"/>
      <c r="BG401" s="2798"/>
      <c r="BH401" s="2798"/>
      <c r="BI401" s="2798"/>
      <c r="BJ401" s="2798"/>
      <c r="BK401" s="2798"/>
      <c r="BL401" s="2798"/>
      <c r="BM401" s="2798"/>
      <c r="BN401" s="2798"/>
      <c r="BO401" s="2798"/>
      <c r="BP401" s="2798"/>
    </row>
    <row r="402" spans="1:68">
      <c r="L402" s="2798"/>
      <c r="M402" s="2798"/>
      <c r="N402" s="2798"/>
      <c r="O402" s="2798"/>
      <c r="P402" s="2798"/>
      <c r="Q402" s="2798"/>
      <c r="R402" s="2798"/>
      <c r="S402" s="2798"/>
      <c r="T402" s="2798"/>
      <c r="U402" s="2798"/>
      <c r="V402" s="2798"/>
      <c r="W402" s="2798"/>
      <c r="X402" s="2798"/>
      <c r="Y402" s="2798"/>
      <c r="Z402" s="2798"/>
      <c r="AA402" s="2798"/>
      <c r="AB402" s="2798"/>
      <c r="AC402" s="2798"/>
      <c r="AD402" s="2798"/>
      <c r="AE402" s="2798"/>
      <c r="AF402" s="2798"/>
      <c r="AG402" s="2798"/>
      <c r="AH402" s="2798"/>
      <c r="AI402" s="2798"/>
      <c r="AJ402" s="2798"/>
      <c r="AK402" s="2798"/>
      <c r="AL402" s="2798"/>
      <c r="AM402" s="2798"/>
      <c r="AN402" s="2798"/>
      <c r="AO402" s="2798"/>
      <c r="AP402" s="2798"/>
      <c r="AQ402" s="2798"/>
      <c r="AR402" s="2798"/>
      <c r="AS402" s="2798"/>
      <c r="AT402" s="2798"/>
      <c r="AU402" s="2798"/>
      <c r="AV402" s="2798"/>
      <c r="AW402" s="2798"/>
      <c r="AX402" s="2798"/>
      <c r="AY402" s="2798"/>
      <c r="AZ402" s="2798"/>
      <c r="BA402" s="2798"/>
      <c r="BB402" s="2798"/>
      <c r="BC402" s="2798"/>
      <c r="BD402" s="2798"/>
      <c r="BE402" s="2798"/>
      <c r="BF402" s="2798"/>
      <c r="BG402" s="2798"/>
      <c r="BH402" s="2798"/>
      <c r="BI402" s="2798"/>
      <c r="BJ402" s="2798"/>
      <c r="BK402" s="2798"/>
      <c r="BL402" s="2798"/>
      <c r="BM402" s="2798"/>
      <c r="BN402" s="2798"/>
      <c r="BO402" s="2798"/>
      <c r="BP402" s="2798"/>
    </row>
    <row r="403" spans="1:68">
      <c r="L403" s="2798"/>
      <c r="M403" s="2798"/>
      <c r="N403" s="2798"/>
      <c r="O403" s="2798"/>
      <c r="P403" s="2798"/>
      <c r="Q403" s="2798"/>
      <c r="R403" s="2798"/>
      <c r="S403" s="2798"/>
      <c r="T403" s="2798"/>
      <c r="U403" s="2798"/>
      <c r="V403" s="2798"/>
      <c r="W403" s="2798"/>
      <c r="X403" s="2798"/>
      <c r="Y403" s="2798"/>
      <c r="Z403" s="2798"/>
      <c r="AA403" s="2798"/>
      <c r="AB403" s="2798"/>
      <c r="AC403" s="2798"/>
      <c r="AD403" s="2798"/>
      <c r="AE403" s="2798"/>
      <c r="AF403" s="2798"/>
      <c r="AG403" s="2798"/>
      <c r="AH403" s="2798"/>
      <c r="AI403" s="2798"/>
      <c r="AJ403" s="2798"/>
      <c r="AK403" s="2798"/>
      <c r="AL403" s="2798"/>
      <c r="AM403" s="2798"/>
      <c r="AN403" s="2798"/>
      <c r="AO403" s="2798"/>
      <c r="AP403" s="2798"/>
      <c r="AQ403" s="2798"/>
      <c r="AR403" s="2798"/>
      <c r="AS403" s="2798"/>
      <c r="AT403" s="2798"/>
      <c r="AU403" s="2798"/>
      <c r="AV403" s="2798"/>
      <c r="AW403" s="2798"/>
      <c r="AX403" s="2798"/>
      <c r="AY403" s="2798"/>
      <c r="AZ403" s="2798"/>
      <c r="BA403" s="2798"/>
      <c r="BB403" s="2798"/>
      <c r="BC403" s="2798"/>
      <c r="BD403" s="2798"/>
      <c r="BE403" s="2798"/>
      <c r="BF403" s="2798"/>
      <c r="BG403" s="2798"/>
      <c r="BH403" s="2798"/>
      <c r="BI403" s="2798"/>
      <c r="BJ403" s="2798"/>
      <c r="BK403" s="2798"/>
      <c r="BL403" s="2798"/>
      <c r="BM403" s="2798"/>
      <c r="BN403" s="2798"/>
      <c r="BO403" s="2798"/>
      <c r="BP403" s="2798"/>
    </row>
    <row r="404" spans="1:68">
      <c r="L404" s="2798"/>
      <c r="M404" s="2798"/>
      <c r="N404" s="2798"/>
      <c r="O404" s="2798"/>
      <c r="P404" s="2798"/>
      <c r="Q404" s="2798"/>
      <c r="R404" s="2798"/>
      <c r="S404" s="2798"/>
      <c r="T404" s="2798"/>
      <c r="U404" s="2798"/>
      <c r="V404" s="2798"/>
      <c r="W404" s="2798"/>
      <c r="X404" s="2798"/>
      <c r="Y404" s="2798"/>
      <c r="Z404" s="2798"/>
      <c r="AA404" s="2798"/>
      <c r="AB404" s="2798"/>
      <c r="AC404" s="2798"/>
      <c r="AD404" s="2798"/>
      <c r="AE404" s="2798"/>
      <c r="AF404" s="2798"/>
      <c r="AG404" s="2798"/>
      <c r="AH404" s="2798"/>
      <c r="AI404" s="2798"/>
      <c r="AJ404" s="2798"/>
      <c r="AK404" s="2798"/>
      <c r="AL404" s="2798"/>
      <c r="AM404" s="2798"/>
      <c r="AN404" s="2798"/>
      <c r="AO404" s="2798"/>
      <c r="AP404" s="2798"/>
      <c r="AQ404" s="2798"/>
      <c r="AR404" s="2798"/>
      <c r="AS404" s="2798"/>
      <c r="AT404" s="2798"/>
      <c r="AU404" s="2798"/>
      <c r="AV404" s="2798"/>
      <c r="AW404" s="2798"/>
      <c r="AX404" s="2798"/>
      <c r="AY404" s="2798"/>
      <c r="AZ404" s="2798"/>
      <c r="BA404" s="2798"/>
      <c r="BB404" s="2798"/>
      <c r="BC404" s="2798"/>
      <c r="BD404" s="2798"/>
      <c r="BE404" s="2798"/>
      <c r="BF404" s="2798"/>
      <c r="BG404" s="2798"/>
      <c r="BH404" s="2798"/>
      <c r="BI404" s="2798"/>
      <c r="BJ404" s="2798"/>
      <c r="BK404" s="2798"/>
      <c r="BL404" s="2798"/>
      <c r="BM404" s="2798"/>
      <c r="BN404" s="2798"/>
      <c r="BO404" s="2798"/>
      <c r="BP404" s="2798"/>
    </row>
    <row r="405" spans="1:68">
      <c r="L405" s="2798"/>
      <c r="M405" s="2798"/>
      <c r="N405" s="2798"/>
      <c r="O405" s="2798"/>
      <c r="P405" s="2798"/>
      <c r="Q405" s="2798"/>
      <c r="R405" s="2798"/>
      <c r="S405" s="2798"/>
      <c r="T405" s="2798"/>
      <c r="U405" s="2798"/>
      <c r="V405" s="2798"/>
      <c r="W405" s="2798"/>
      <c r="X405" s="2798"/>
      <c r="Y405" s="2798"/>
      <c r="Z405" s="2798"/>
      <c r="AA405" s="2798"/>
      <c r="AB405" s="2798"/>
      <c r="AC405" s="2798"/>
      <c r="AD405" s="2798"/>
      <c r="AE405" s="2798"/>
      <c r="AF405" s="2798"/>
      <c r="AG405" s="2798"/>
      <c r="AH405" s="2798"/>
      <c r="AI405" s="2798"/>
      <c r="AJ405" s="2798"/>
      <c r="AK405" s="2798"/>
      <c r="AL405" s="2798"/>
      <c r="AM405" s="2798"/>
      <c r="AN405" s="2798"/>
      <c r="AO405" s="2798"/>
      <c r="AP405" s="2798"/>
      <c r="AQ405" s="2798"/>
      <c r="AR405" s="2798"/>
      <c r="AS405" s="2798"/>
      <c r="AT405" s="2798"/>
      <c r="AU405" s="2798"/>
      <c r="AV405" s="2798"/>
      <c r="AW405" s="2798"/>
      <c r="AX405" s="2798"/>
      <c r="AY405" s="2798"/>
      <c r="AZ405" s="2798"/>
      <c r="BA405" s="2798"/>
      <c r="BB405" s="2798"/>
      <c r="BC405" s="2798"/>
      <c r="BD405" s="2798"/>
      <c r="BE405" s="2798"/>
      <c r="BF405" s="2798"/>
      <c r="BG405" s="2798"/>
      <c r="BH405" s="2798"/>
      <c r="BI405" s="2798"/>
      <c r="BJ405" s="2798"/>
      <c r="BK405" s="2798"/>
      <c r="BL405" s="2798"/>
      <c r="BM405" s="2798"/>
      <c r="BN405" s="2798"/>
      <c r="BO405" s="2798"/>
      <c r="BP405" s="2798"/>
    </row>
    <row r="406" spans="1:68">
      <c r="L406" s="2798"/>
      <c r="M406" s="2798"/>
      <c r="N406" s="2798"/>
      <c r="O406" s="2798"/>
      <c r="P406" s="2798"/>
      <c r="Q406" s="2798"/>
      <c r="R406" s="2798"/>
      <c r="S406" s="2798"/>
      <c r="T406" s="2798"/>
      <c r="U406" s="2798"/>
      <c r="V406" s="2798"/>
      <c r="W406" s="2798"/>
      <c r="X406" s="2798"/>
      <c r="Y406" s="2798"/>
      <c r="Z406" s="2798"/>
      <c r="AA406" s="2798"/>
      <c r="AB406" s="2798"/>
      <c r="AC406" s="2798"/>
      <c r="AD406" s="2798"/>
      <c r="AE406" s="2798"/>
      <c r="AF406" s="2798"/>
      <c r="AG406" s="2798"/>
      <c r="AH406" s="2798"/>
      <c r="AI406" s="2798"/>
      <c r="AJ406" s="2798"/>
      <c r="AK406" s="2798"/>
      <c r="AL406" s="2798"/>
      <c r="AM406" s="2798"/>
      <c r="AN406" s="2798"/>
      <c r="AO406" s="2798"/>
      <c r="AP406" s="2798"/>
      <c r="AQ406" s="2798"/>
      <c r="AR406" s="2798"/>
      <c r="AS406" s="2798"/>
      <c r="AT406" s="2798"/>
      <c r="AU406" s="2798"/>
      <c r="AV406" s="2798"/>
      <c r="AW406" s="2798"/>
      <c r="AX406" s="2798"/>
      <c r="AY406" s="2798"/>
      <c r="AZ406" s="2798"/>
      <c r="BA406" s="2798"/>
      <c r="BB406" s="2798"/>
      <c r="BC406" s="2798"/>
      <c r="BD406" s="2798"/>
      <c r="BE406" s="2798"/>
      <c r="BF406" s="2798"/>
      <c r="BG406" s="2798"/>
      <c r="BH406" s="2798"/>
      <c r="BI406" s="2798"/>
      <c r="BJ406" s="2798"/>
      <c r="BK406" s="2798"/>
      <c r="BL406" s="2798"/>
      <c r="BM406" s="2798"/>
      <c r="BN406" s="2798"/>
      <c r="BO406" s="2798"/>
      <c r="BP406" s="2798"/>
    </row>
    <row r="407" spans="1:68">
      <c r="L407" s="2798"/>
      <c r="M407" s="2798"/>
      <c r="N407" s="2798"/>
      <c r="O407" s="2798"/>
      <c r="P407" s="2798"/>
      <c r="Q407" s="2798"/>
      <c r="R407" s="2798"/>
      <c r="S407" s="2798"/>
      <c r="T407" s="2798"/>
      <c r="U407" s="2798"/>
      <c r="V407" s="2798"/>
      <c r="W407" s="2798"/>
      <c r="X407" s="2798"/>
      <c r="Y407" s="2798"/>
      <c r="Z407" s="2798"/>
      <c r="AA407" s="2798"/>
      <c r="AB407" s="2798"/>
      <c r="AC407" s="2798"/>
      <c r="AD407" s="2798"/>
      <c r="AE407" s="2798"/>
      <c r="AF407" s="2798"/>
      <c r="AG407" s="2798"/>
      <c r="AH407" s="2798"/>
      <c r="AI407" s="2798"/>
      <c r="AJ407" s="2798"/>
      <c r="AK407" s="2798"/>
      <c r="AL407" s="2798"/>
      <c r="AM407" s="2798"/>
      <c r="AN407" s="2798"/>
      <c r="AO407" s="2798"/>
      <c r="AP407" s="2798"/>
      <c r="AQ407" s="2798"/>
      <c r="AR407" s="2798"/>
      <c r="AS407" s="2798"/>
      <c r="AT407" s="2798"/>
      <c r="AU407" s="2798"/>
      <c r="AV407" s="2798"/>
      <c r="AW407" s="2798"/>
      <c r="AX407" s="2798"/>
      <c r="AY407" s="2798"/>
      <c r="AZ407" s="2798"/>
      <c r="BA407" s="2798"/>
      <c r="BB407" s="2798"/>
      <c r="BC407" s="2798"/>
      <c r="BD407" s="2798"/>
      <c r="BE407" s="2798"/>
      <c r="BF407" s="2798"/>
      <c r="BG407" s="2798"/>
      <c r="BH407" s="2798"/>
      <c r="BI407" s="2798"/>
      <c r="BJ407" s="2798"/>
      <c r="BK407" s="2798"/>
      <c r="BL407" s="2798"/>
      <c r="BM407" s="2798"/>
      <c r="BN407" s="2798"/>
      <c r="BO407" s="2798"/>
      <c r="BP407" s="2798"/>
    </row>
    <row r="408" spans="1:68">
      <c r="L408" s="2798"/>
      <c r="M408" s="2798"/>
      <c r="N408" s="2798"/>
      <c r="O408" s="2798"/>
      <c r="P408" s="2798"/>
      <c r="Q408" s="2798"/>
      <c r="R408" s="2798"/>
      <c r="S408" s="2798"/>
      <c r="T408" s="2798"/>
      <c r="U408" s="2798"/>
      <c r="V408" s="2798"/>
      <c r="W408" s="2798"/>
      <c r="X408" s="2798"/>
      <c r="Y408" s="2798"/>
      <c r="Z408" s="2798"/>
      <c r="AA408" s="2798"/>
      <c r="AB408" s="2798"/>
      <c r="AC408" s="2798"/>
      <c r="AD408" s="2798"/>
      <c r="AE408" s="2798"/>
      <c r="AF408" s="2798"/>
      <c r="AG408" s="2798"/>
      <c r="AH408" s="2798"/>
      <c r="AI408" s="2798"/>
      <c r="AJ408" s="2798"/>
      <c r="AK408" s="2798"/>
      <c r="AL408" s="2798"/>
      <c r="AM408" s="2798"/>
      <c r="AN408" s="2798"/>
      <c r="AO408" s="2798"/>
      <c r="AP408" s="2798"/>
      <c r="AQ408" s="2798"/>
      <c r="AR408" s="2798"/>
      <c r="AS408" s="2798"/>
      <c r="AT408" s="2798"/>
      <c r="AU408" s="2798"/>
      <c r="AV408" s="2798"/>
      <c r="AW408" s="2798"/>
      <c r="AX408" s="2798"/>
      <c r="AY408" s="2798"/>
      <c r="AZ408" s="2798"/>
      <c r="BA408" s="2798"/>
      <c r="BB408" s="2798"/>
      <c r="BC408" s="2798"/>
      <c r="BD408" s="2798"/>
      <c r="BE408" s="2798"/>
      <c r="BF408" s="2798"/>
      <c r="BG408" s="2798"/>
      <c r="BH408" s="2798"/>
      <c r="BI408" s="2798"/>
      <c r="BJ408" s="2798"/>
      <c r="BK408" s="2798"/>
      <c r="BL408" s="2798"/>
      <c r="BM408" s="2798"/>
      <c r="BN408" s="2798"/>
      <c r="BO408" s="2798"/>
      <c r="BP408" s="2798"/>
    </row>
    <row r="409" spans="1:68">
      <c r="L409" s="2798"/>
      <c r="M409" s="2798"/>
      <c r="N409" s="2798"/>
      <c r="O409" s="2798"/>
      <c r="P409" s="2798"/>
      <c r="Q409" s="2798"/>
      <c r="R409" s="2798"/>
      <c r="S409" s="2798"/>
      <c r="T409" s="2798"/>
      <c r="U409" s="2798"/>
      <c r="V409" s="2798"/>
      <c r="W409" s="2798"/>
      <c r="X409" s="2798"/>
      <c r="Y409" s="2798"/>
      <c r="Z409" s="2798"/>
      <c r="AA409" s="2798"/>
      <c r="AB409" s="2798"/>
      <c r="AC409" s="2798"/>
      <c r="AD409" s="2798"/>
      <c r="AE409" s="2798"/>
      <c r="AF409" s="2798"/>
      <c r="AG409" s="2798"/>
      <c r="AH409" s="2798"/>
      <c r="AI409" s="2798"/>
      <c r="AJ409" s="2798"/>
      <c r="AK409" s="2798"/>
      <c r="AL409" s="2798"/>
      <c r="AM409" s="2798"/>
      <c r="AN409" s="2798"/>
      <c r="AO409" s="2798"/>
      <c r="AP409" s="2798"/>
      <c r="AQ409" s="2798"/>
      <c r="AR409" s="2798"/>
      <c r="AS409" s="2798"/>
      <c r="AT409" s="2798"/>
      <c r="AU409" s="2798"/>
      <c r="AV409" s="2798"/>
      <c r="AW409" s="2798"/>
      <c r="AX409" s="2798"/>
      <c r="AY409" s="2798"/>
      <c r="AZ409" s="2798"/>
      <c r="BA409" s="2798"/>
      <c r="BB409" s="2798"/>
      <c r="BC409" s="2798"/>
      <c r="BD409" s="2798"/>
      <c r="BE409" s="2798"/>
      <c r="BF409" s="2798"/>
      <c r="BG409" s="2798"/>
      <c r="BH409" s="2798"/>
      <c r="BI409" s="2798"/>
      <c r="BJ409" s="2798"/>
      <c r="BK409" s="2798"/>
      <c r="BL409" s="2798"/>
      <c r="BM409" s="2798"/>
      <c r="BN409" s="2798"/>
      <c r="BO409" s="2798"/>
      <c r="BP409" s="2798"/>
    </row>
    <row r="410" spans="1:68">
      <c r="L410" s="2798"/>
      <c r="M410" s="2798"/>
      <c r="N410" s="2798"/>
      <c r="O410" s="2798"/>
      <c r="P410" s="2798"/>
      <c r="Q410" s="2798"/>
      <c r="R410" s="2798"/>
      <c r="S410" s="2798"/>
      <c r="T410" s="2798"/>
      <c r="U410" s="2798"/>
      <c r="V410" s="2798"/>
      <c r="W410" s="2798"/>
      <c r="X410" s="2798"/>
      <c r="Y410" s="2798"/>
      <c r="Z410" s="2798"/>
      <c r="AA410" s="2798"/>
      <c r="AB410" s="2798"/>
      <c r="AC410" s="2798"/>
      <c r="AD410" s="2798"/>
      <c r="AE410" s="2798"/>
      <c r="AF410" s="2798"/>
      <c r="AG410" s="2798"/>
      <c r="AH410" s="2798"/>
      <c r="AI410" s="2798"/>
      <c r="AJ410" s="2798"/>
      <c r="AK410" s="2798"/>
      <c r="AL410" s="2798"/>
      <c r="AM410" s="2798"/>
      <c r="AN410" s="2798"/>
      <c r="AO410" s="2798"/>
      <c r="AP410" s="2798"/>
      <c r="AQ410" s="2798"/>
      <c r="AR410" s="2798"/>
      <c r="AS410" s="2798"/>
      <c r="AT410" s="2798"/>
      <c r="AU410" s="2798"/>
      <c r="AV410" s="2798"/>
      <c r="AW410" s="2798"/>
      <c r="AX410" s="2798"/>
      <c r="AY410" s="2798"/>
      <c r="AZ410" s="2798"/>
      <c r="BA410" s="2798"/>
      <c r="BB410" s="2798"/>
      <c r="BC410" s="2798"/>
      <c r="BD410" s="2798"/>
      <c r="BE410" s="2798"/>
      <c r="BF410" s="2798"/>
      <c r="BG410" s="2798"/>
      <c r="BH410" s="2798"/>
      <c r="BI410" s="2798"/>
      <c r="BJ410" s="2798"/>
      <c r="BK410" s="2798"/>
      <c r="BL410" s="2798"/>
      <c r="BM410" s="2798"/>
      <c r="BN410" s="2798"/>
      <c r="BO410" s="2798"/>
      <c r="BP410" s="2798"/>
    </row>
    <row r="411" spans="1:68">
      <c r="L411" s="2798"/>
      <c r="M411" s="2798"/>
      <c r="N411" s="2798"/>
      <c r="O411" s="2798"/>
      <c r="P411" s="2798"/>
      <c r="Q411" s="2798"/>
      <c r="R411" s="2798"/>
      <c r="S411" s="2798"/>
      <c r="T411" s="2798"/>
      <c r="U411" s="2798"/>
      <c r="V411" s="2798"/>
      <c r="W411" s="2798"/>
      <c r="X411" s="2798"/>
      <c r="Y411" s="2798"/>
      <c r="Z411" s="2798"/>
      <c r="AA411" s="2798"/>
      <c r="AB411" s="2798"/>
      <c r="AC411" s="2798"/>
      <c r="AD411" s="2798"/>
      <c r="AE411" s="2798"/>
      <c r="AF411" s="2798"/>
      <c r="AG411" s="2798"/>
      <c r="AH411" s="2798"/>
      <c r="AI411" s="2798"/>
      <c r="AJ411" s="2798"/>
      <c r="AK411" s="2798"/>
      <c r="AL411" s="2798"/>
      <c r="AM411" s="2798"/>
      <c r="AN411" s="2798"/>
      <c r="AO411" s="2798"/>
      <c r="AP411" s="2798"/>
      <c r="AQ411" s="2798"/>
      <c r="AR411" s="2798"/>
      <c r="AS411" s="2798"/>
      <c r="AT411" s="2798"/>
      <c r="AU411" s="2798"/>
      <c r="AV411" s="2798"/>
      <c r="AW411" s="2798"/>
      <c r="AX411" s="2798"/>
      <c r="AY411" s="2798"/>
      <c r="AZ411" s="2798"/>
      <c r="BA411" s="2798"/>
      <c r="BB411" s="2798"/>
      <c r="BC411" s="2798"/>
      <c r="BD411" s="2798"/>
      <c r="BE411" s="2798"/>
      <c r="BF411" s="2798"/>
      <c r="BG411" s="2798"/>
      <c r="BH411" s="2798"/>
      <c r="BI411" s="2798"/>
      <c r="BJ411" s="2798"/>
      <c r="BK411" s="2798"/>
      <c r="BL411" s="2798"/>
      <c r="BM411" s="2798"/>
      <c r="BN411" s="2798"/>
      <c r="BO411" s="2798"/>
      <c r="BP411" s="2798"/>
    </row>
    <row r="412" spans="1:68">
      <c r="L412" s="2798"/>
      <c r="M412" s="2798"/>
      <c r="N412" s="2798"/>
      <c r="O412" s="2798"/>
      <c r="P412" s="2798"/>
      <c r="Q412" s="2798"/>
      <c r="R412" s="2798"/>
      <c r="S412" s="2798"/>
      <c r="T412" s="2798"/>
      <c r="U412" s="2798"/>
      <c r="V412" s="2798"/>
      <c r="W412" s="2798"/>
      <c r="X412" s="2798"/>
      <c r="Y412" s="2798"/>
      <c r="Z412" s="2798"/>
      <c r="AA412" s="2798"/>
      <c r="AB412" s="2798"/>
      <c r="AC412" s="2798"/>
      <c r="AD412" s="2798"/>
      <c r="AE412" s="2798"/>
      <c r="AF412" s="2798"/>
      <c r="AG412" s="2798"/>
      <c r="AH412" s="2798"/>
      <c r="AI412" s="2798"/>
      <c r="AJ412" s="2798"/>
      <c r="AK412" s="2798"/>
      <c r="AL412" s="2798"/>
      <c r="AM412" s="2798"/>
      <c r="AN412" s="2798"/>
      <c r="AO412" s="2798"/>
      <c r="AP412" s="2798"/>
      <c r="AQ412" s="2798"/>
      <c r="AR412" s="2798"/>
      <c r="AS412" s="2798"/>
      <c r="AT412" s="2798"/>
      <c r="AU412" s="2798"/>
      <c r="AV412" s="2798"/>
      <c r="AW412" s="2798"/>
      <c r="AX412" s="2798"/>
      <c r="AY412" s="2798"/>
      <c r="AZ412" s="2798"/>
      <c r="BA412" s="2798"/>
      <c r="BB412" s="2798"/>
      <c r="BC412" s="2798"/>
      <c r="BD412" s="2798"/>
      <c r="BE412" s="2798"/>
      <c r="BF412" s="2798"/>
      <c r="BG412" s="2798"/>
      <c r="BH412" s="2798"/>
      <c r="BI412" s="2798"/>
      <c r="BJ412" s="2798"/>
      <c r="BK412" s="2798"/>
      <c r="BL412" s="2798"/>
      <c r="BM412" s="2798"/>
      <c r="BN412" s="2798"/>
      <c r="BO412" s="2798"/>
      <c r="BP412" s="2798"/>
    </row>
    <row r="413" spans="1:68">
      <c r="L413" s="2798"/>
      <c r="M413" s="2798"/>
      <c r="N413" s="2798"/>
      <c r="O413" s="2798"/>
      <c r="P413" s="2798"/>
      <c r="Q413" s="2798"/>
      <c r="R413" s="2798"/>
      <c r="S413" s="2798"/>
      <c r="T413" s="2798"/>
      <c r="U413" s="2798"/>
      <c r="V413" s="2798"/>
      <c r="W413" s="2798"/>
      <c r="X413" s="2798"/>
      <c r="Y413" s="2798"/>
      <c r="Z413" s="2798"/>
      <c r="AA413" s="2798"/>
      <c r="AB413" s="2798"/>
      <c r="AC413" s="2798"/>
      <c r="AD413" s="2798"/>
      <c r="AE413" s="2798"/>
      <c r="AF413" s="2798"/>
      <c r="AG413" s="2798"/>
      <c r="AH413" s="2798"/>
      <c r="AI413" s="2798"/>
      <c r="AJ413" s="2798"/>
      <c r="AK413" s="2798"/>
      <c r="AL413" s="2798"/>
      <c r="AM413" s="2798"/>
      <c r="AN413" s="2798"/>
      <c r="AO413" s="2798"/>
      <c r="AP413" s="2798"/>
      <c r="AQ413" s="2798"/>
      <c r="AR413" s="2798"/>
      <c r="AS413" s="2798"/>
      <c r="AT413" s="2798"/>
      <c r="AU413" s="2798"/>
      <c r="AV413" s="2798"/>
      <c r="AW413" s="2798"/>
      <c r="AX413" s="2798"/>
      <c r="AY413" s="2798"/>
      <c r="AZ413" s="2798"/>
      <c r="BA413" s="2798"/>
      <c r="BB413" s="2798"/>
      <c r="BC413" s="2798"/>
      <c r="BD413" s="2798"/>
      <c r="BE413" s="2798"/>
      <c r="BF413" s="2798"/>
      <c r="BG413" s="2798"/>
      <c r="BH413" s="2798"/>
      <c r="BI413" s="2798"/>
      <c r="BJ413" s="2798"/>
      <c r="BK413" s="2798"/>
      <c r="BL413" s="2798"/>
      <c r="BM413" s="2798"/>
      <c r="BN413" s="2798"/>
      <c r="BO413" s="2798"/>
      <c r="BP413" s="2798"/>
    </row>
    <row r="414" spans="1:68">
      <c r="L414" s="2798"/>
      <c r="M414" s="2798"/>
      <c r="N414" s="2798"/>
      <c r="O414" s="2798"/>
      <c r="P414" s="2798"/>
      <c r="Q414" s="2798"/>
      <c r="R414" s="2798"/>
      <c r="S414" s="2798"/>
      <c r="T414" s="2798"/>
      <c r="U414" s="2798"/>
      <c r="V414" s="2798"/>
      <c r="W414" s="2798"/>
      <c r="X414" s="2798"/>
      <c r="Y414" s="2798"/>
      <c r="Z414" s="2798"/>
      <c r="AA414" s="2798"/>
      <c r="AB414" s="2798"/>
      <c r="AC414" s="2798"/>
      <c r="AD414" s="2798"/>
      <c r="AE414" s="2798"/>
      <c r="AF414" s="2798"/>
      <c r="AG414" s="2798"/>
      <c r="AH414" s="2798"/>
      <c r="AI414" s="2798"/>
      <c r="AJ414" s="2798"/>
      <c r="AK414" s="2798"/>
      <c r="AL414" s="2798"/>
      <c r="AM414" s="2798"/>
      <c r="AN414" s="2798"/>
      <c r="AO414" s="2798"/>
      <c r="AP414" s="2798"/>
      <c r="AQ414" s="2798"/>
      <c r="AR414" s="2798"/>
      <c r="AS414" s="2798"/>
      <c r="AT414" s="2798"/>
      <c r="AU414" s="2798"/>
      <c r="AV414" s="2798"/>
      <c r="AW414" s="2798"/>
      <c r="AX414" s="2798"/>
      <c r="AY414" s="2798"/>
      <c r="AZ414" s="2798"/>
      <c r="BA414" s="2798"/>
      <c r="BB414" s="2798"/>
      <c r="BC414" s="2798"/>
      <c r="BD414" s="2798"/>
      <c r="BE414" s="2798"/>
      <c r="BF414" s="2798"/>
      <c r="BG414" s="2798"/>
      <c r="BH414" s="2798"/>
      <c r="BI414" s="2798"/>
      <c r="BJ414" s="2798"/>
      <c r="BK414" s="2798"/>
      <c r="BL414" s="2798"/>
      <c r="BM414" s="2798"/>
      <c r="BN414" s="2798"/>
      <c r="BO414" s="2798"/>
      <c r="BP414" s="2798"/>
    </row>
    <row r="415" spans="1:68">
      <c r="L415" s="2798"/>
      <c r="M415" s="2798"/>
      <c r="N415" s="2798"/>
      <c r="O415" s="2798"/>
      <c r="P415" s="2798"/>
      <c r="Q415" s="2798"/>
      <c r="R415" s="2798"/>
      <c r="S415" s="2798"/>
      <c r="T415" s="2798"/>
      <c r="U415" s="2798"/>
      <c r="V415" s="2798"/>
      <c r="W415" s="2798"/>
      <c r="X415" s="2798"/>
      <c r="Y415" s="2798"/>
      <c r="Z415" s="2798"/>
      <c r="AA415" s="2798"/>
      <c r="AB415" s="2798"/>
      <c r="AC415" s="2798"/>
      <c r="AD415" s="2798"/>
      <c r="AE415" s="2798"/>
      <c r="AF415" s="2798"/>
      <c r="AG415" s="2798"/>
      <c r="AH415" s="2798"/>
      <c r="AI415" s="2798"/>
      <c r="AJ415" s="2798"/>
      <c r="AK415" s="2798"/>
      <c r="AL415" s="2798"/>
      <c r="AM415" s="2798"/>
      <c r="AN415" s="2798"/>
      <c r="AO415" s="2798"/>
      <c r="AP415" s="2798"/>
      <c r="AQ415" s="2798"/>
      <c r="AR415" s="2798"/>
      <c r="AS415" s="2798"/>
      <c r="AT415" s="2798"/>
      <c r="AU415" s="2798"/>
      <c r="AV415" s="2798"/>
      <c r="AW415" s="2798"/>
      <c r="AX415" s="2798"/>
      <c r="AY415" s="2798"/>
      <c r="AZ415" s="2798"/>
      <c r="BA415" s="2798"/>
      <c r="BB415" s="2798"/>
      <c r="BC415" s="2798"/>
      <c r="BD415" s="2798"/>
      <c r="BE415" s="2798"/>
      <c r="BF415" s="2798"/>
      <c r="BG415" s="2798"/>
      <c r="BH415" s="2798"/>
      <c r="BI415" s="2798"/>
      <c r="BJ415" s="2798"/>
      <c r="BK415" s="2798"/>
      <c r="BL415" s="2798"/>
      <c r="BM415" s="2798"/>
      <c r="BN415" s="2798"/>
      <c r="BO415" s="2798"/>
      <c r="BP415" s="2798"/>
    </row>
    <row r="416" spans="1:68">
      <c r="L416" s="2798"/>
      <c r="M416" s="2798"/>
      <c r="N416" s="2798"/>
      <c r="O416" s="2798"/>
      <c r="P416" s="2798"/>
      <c r="Q416" s="2798"/>
      <c r="R416" s="2798"/>
      <c r="S416" s="2798"/>
      <c r="T416" s="2798"/>
      <c r="U416" s="2798"/>
      <c r="V416" s="2798"/>
      <c r="W416" s="2798"/>
      <c r="X416" s="2798"/>
      <c r="Y416" s="2798"/>
      <c r="Z416" s="2798"/>
      <c r="AA416" s="2798"/>
      <c r="AB416" s="2798"/>
      <c r="AC416" s="2798"/>
      <c r="AD416" s="2798"/>
      <c r="AE416" s="2798"/>
      <c r="AF416" s="2798"/>
      <c r="AG416" s="2798"/>
      <c r="AH416" s="2798"/>
      <c r="AI416" s="2798"/>
      <c r="AJ416" s="2798"/>
      <c r="AK416" s="2798"/>
      <c r="AL416" s="2798"/>
      <c r="AM416" s="2798"/>
      <c r="AN416" s="2798"/>
      <c r="AO416" s="2798"/>
      <c r="AP416" s="2798"/>
      <c r="AQ416" s="2798"/>
      <c r="AR416" s="2798"/>
      <c r="AS416" s="2798"/>
      <c r="AT416" s="2798"/>
      <c r="AU416" s="2798"/>
      <c r="AV416" s="2798"/>
      <c r="AW416" s="2798"/>
      <c r="AX416" s="2798"/>
      <c r="AY416" s="2798"/>
      <c r="AZ416" s="2798"/>
      <c r="BA416" s="2798"/>
      <c r="BB416" s="2798"/>
      <c r="BC416" s="2798"/>
      <c r="BD416" s="2798"/>
      <c r="BE416" s="2798"/>
      <c r="BF416" s="2798"/>
      <c r="BG416" s="2798"/>
      <c r="BH416" s="2798"/>
      <c r="BI416" s="2798"/>
      <c r="BJ416" s="2798"/>
      <c r="BK416" s="2798"/>
      <c r="BL416" s="2798"/>
      <c r="BM416" s="2798"/>
      <c r="BN416" s="2798"/>
      <c r="BO416" s="2798"/>
      <c r="BP416" s="2798"/>
    </row>
    <row r="417" spans="12:68">
      <c r="L417" s="2798"/>
      <c r="M417" s="2798"/>
      <c r="N417" s="2798"/>
      <c r="O417" s="2798"/>
      <c r="P417" s="2798"/>
      <c r="Q417" s="2798"/>
      <c r="R417" s="2798"/>
      <c r="S417" s="2798"/>
      <c r="T417" s="2798"/>
      <c r="U417" s="2798"/>
      <c r="V417" s="2798"/>
      <c r="W417" s="2798"/>
      <c r="X417" s="2798"/>
      <c r="Y417" s="2798"/>
      <c r="Z417" s="2798"/>
      <c r="AA417" s="2798"/>
      <c r="AB417" s="2798"/>
      <c r="AC417" s="2798"/>
      <c r="AD417" s="2798"/>
      <c r="AE417" s="2798"/>
      <c r="AF417" s="2798"/>
      <c r="AG417" s="2798"/>
      <c r="AH417" s="2798"/>
      <c r="AI417" s="2798"/>
      <c r="AJ417" s="2798"/>
      <c r="AK417" s="2798"/>
      <c r="AL417" s="2798"/>
      <c r="AM417" s="2798"/>
      <c r="AN417" s="2798"/>
      <c r="AO417" s="2798"/>
      <c r="AP417" s="2798"/>
      <c r="AQ417" s="2798"/>
      <c r="AR417" s="2798"/>
      <c r="AS417" s="2798"/>
      <c r="AT417" s="2798"/>
      <c r="AU417" s="2798"/>
      <c r="AV417" s="2798"/>
      <c r="AW417" s="2798"/>
      <c r="AX417" s="2798"/>
      <c r="AY417" s="2798"/>
      <c r="AZ417" s="2798"/>
      <c r="BA417" s="2798"/>
      <c r="BB417" s="2798"/>
      <c r="BC417" s="2798"/>
      <c r="BD417" s="2798"/>
      <c r="BE417" s="2798"/>
      <c r="BF417" s="2798"/>
      <c r="BG417" s="2798"/>
      <c r="BH417" s="2798"/>
      <c r="BI417" s="2798"/>
      <c r="BJ417" s="2798"/>
      <c r="BK417" s="2798"/>
      <c r="BL417" s="2798"/>
      <c r="BM417" s="2798"/>
      <c r="BN417" s="2798"/>
      <c r="BO417" s="2798"/>
      <c r="BP417" s="2798"/>
    </row>
    <row r="418" spans="12:68">
      <c r="L418" s="2798"/>
      <c r="M418" s="2798"/>
      <c r="N418" s="2798"/>
      <c r="O418" s="2798"/>
      <c r="P418" s="2798"/>
      <c r="Q418" s="2798"/>
      <c r="R418" s="2798"/>
      <c r="S418" s="2798"/>
      <c r="T418" s="2798"/>
      <c r="U418" s="2798"/>
      <c r="V418" s="2798"/>
      <c r="W418" s="2798"/>
      <c r="X418" s="2798"/>
      <c r="Y418" s="2798"/>
      <c r="Z418" s="2798"/>
      <c r="AA418" s="2798"/>
      <c r="AB418" s="2798"/>
      <c r="AC418" s="2798"/>
      <c r="AD418" s="2798"/>
      <c r="AE418" s="2798"/>
      <c r="AF418" s="2798"/>
      <c r="AG418" s="2798"/>
      <c r="AH418" s="2798"/>
      <c r="AI418" s="2798"/>
      <c r="AJ418" s="2798"/>
      <c r="AK418" s="2798"/>
      <c r="AL418" s="2798"/>
      <c r="AM418" s="2798"/>
      <c r="AN418" s="2798"/>
      <c r="AO418" s="2798"/>
      <c r="AP418" s="2798"/>
      <c r="AQ418" s="2798"/>
      <c r="AR418" s="2798"/>
      <c r="AS418" s="2798"/>
      <c r="AT418" s="2798"/>
      <c r="AU418" s="2798"/>
      <c r="AV418" s="2798"/>
      <c r="AW418" s="2798"/>
      <c r="AX418" s="2798"/>
      <c r="AY418" s="2798"/>
      <c r="AZ418" s="2798"/>
      <c r="BA418" s="2798"/>
      <c r="BB418" s="2798"/>
      <c r="BC418" s="2798"/>
      <c r="BD418" s="2798"/>
      <c r="BE418" s="2798"/>
      <c r="BF418" s="2798"/>
      <c r="BG418" s="2798"/>
      <c r="BH418" s="2798"/>
      <c r="BI418" s="2798"/>
      <c r="BJ418" s="2798"/>
      <c r="BK418" s="2798"/>
      <c r="BL418" s="2798"/>
      <c r="BM418" s="2798"/>
      <c r="BN418" s="2798"/>
      <c r="BO418" s="2798"/>
      <c r="BP418" s="2798"/>
    </row>
    <row r="419" spans="12:68">
      <c r="L419" s="2798"/>
      <c r="M419" s="2798"/>
      <c r="N419" s="2798"/>
      <c r="O419" s="2798"/>
      <c r="P419" s="2798"/>
      <c r="Q419" s="2798"/>
      <c r="R419" s="2798"/>
      <c r="S419" s="2798"/>
      <c r="T419" s="2798"/>
      <c r="U419" s="2798"/>
      <c r="V419" s="2798"/>
      <c r="W419" s="2798"/>
      <c r="X419" s="2798"/>
      <c r="Y419" s="2798"/>
      <c r="Z419" s="2798"/>
      <c r="AA419" s="2798"/>
      <c r="AB419" s="2798"/>
      <c r="AC419" s="2798"/>
      <c r="AD419" s="2798"/>
      <c r="AE419" s="2798"/>
      <c r="AF419" s="2798"/>
      <c r="AG419" s="2798"/>
      <c r="AH419" s="2798"/>
      <c r="AI419" s="2798"/>
      <c r="AJ419" s="2798"/>
      <c r="AK419" s="2798"/>
      <c r="AL419" s="2798"/>
      <c r="AM419" s="2798"/>
      <c r="AN419" s="2798"/>
      <c r="AO419" s="2798"/>
      <c r="AP419" s="2798"/>
      <c r="AQ419" s="2798"/>
      <c r="AR419" s="2798"/>
      <c r="AS419" s="2798"/>
      <c r="AT419" s="2798"/>
      <c r="AU419" s="2798"/>
      <c r="AV419" s="2798"/>
      <c r="AW419" s="2798"/>
      <c r="AX419" s="2798"/>
      <c r="AY419" s="2798"/>
      <c r="AZ419" s="2798"/>
      <c r="BA419" s="2798"/>
      <c r="BB419" s="2798"/>
      <c r="BC419" s="2798"/>
      <c r="BD419" s="2798"/>
      <c r="BE419" s="2798"/>
      <c r="BF419" s="2798"/>
      <c r="BG419" s="2798"/>
      <c r="BH419" s="2798"/>
      <c r="BI419" s="2798"/>
      <c r="BJ419" s="2798"/>
      <c r="BK419" s="2798"/>
      <c r="BL419" s="2798"/>
      <c r="BM419" s="2798"/>
      <c r="BN419" s="2798"/>
      <c r="BO419" s="2798"/>
      <c r="BP419" s="2798"/>
    </row>
    <row r="420" spans="12:68">
      <c r="L420" s="2798"/>
      <c r="M420" s="2798"/>
      <c r="N420" s="2798"/>
      <c r="O420" s="2798"/>
      <c r="P420" s="2798"/>
      <c r="Q420" s="2798"/>
      <c r="R420" s="2798"/>
      <c r="S420" s="2798"/>
      <c r="T420" s="2798"/>
      <c r="U420" s="2798"/>
      <c r="V420" s="2798"/>
      <c r="W420" s="2798"/>
      <c r="X420" s="2798"/>
      <c r="Y420" s="2798"/>
      <c r="Z420" s="2798"/>
      <c r="AA420" s="2798"/>
      <c r="AB420" s="2798"/>
      <c r="AC420" s="2798"/>
      <c r="AD420" s="2798"/>
      <c r="AE420" s="2798"/>
      <c r="AF420" s="2798"/>
      <c r="AG420" s="2798"/>
      <c r="AH420" s="2798"/>
      <c r="AI420" s="2798"/>
      <c r="AJ420" s="2798"/>
      <c r="AK420" s="2798"/>
      <c r="AL420" s="2798"/>
      <c r="AM420" s="2798"/>
      <c r="AN420" s="2798"/>
      <c r="AO420" s="2798"/>
      <c r="AP420" s="2798"/>
      <c r="AQ420" s="2798"/>
      <c r="AR420" s="2798"/>
      <c r="AS420" s="2798"/>
      <c r="AT420" s="2798"/>
      <c r="AU420" s="2798"/>
      <c r="AV420" s="2798"/>
      <c r="AW420" s="2798"/>
      <c r="AX420" s="2798"/>
      <c r="AY420" s="2798"/>
      <c r="AZ420" s="2798"/>
      <c r="BA420" s="2798"/>
      <c r="BB420" s="2798"/>
      <c r="BC420" s="2798"/>
      <c r="BD420" s="2798"/>
      <c r="BE420" s="2798"/>
      <c r="BF420" s="2798"/>
      <c r="BG420" s="2798"/>
      <c r="BH420" s="2798"/>
      <c r="BI420" s="2798"/>
      <c r="BJ420" s="2798"/>
      <c r="BK420" s="2798"/>
      <c r="BL420" s="2798"/>
      <c r="BM420" s="2798"/>
      <c r="BN420" s="2798"/>
      <c r="BO420" s="2798"/>
      <c r="BP420" s="2798"/>
    </row>
    <row r="421" spans="12:68">
      <c r="L421" s="2798"/>
      <c r="M421" s="2798"/>
      <c r="N421" s="2798"/>
      <c r="O421" s="2798"/>
      <c r="P421" s="2798"/>
      <c r="Q421" s="2798"/>
      <c r="R421" s="2798"/>
      <c r="S421" s="2798"/>
      <c r="T421" s="2798"/>
      <c r="U421" s="2798"/>
      <c r="V421" s="2798"/>
      <c r="W421" s="2798"/>
      <c r="X421" s="2798"/>
      <c r="Y421" s="2798"/>
      <c r="Z421" s="2798"/>
      <c r="AA421" s="2798"/>
      <c r="AB421" s="2798"/>
      <c r="AC421" s="2798"/>
      <c r="AD421" s="2798"/>
      <c r="AE421" s="2798"/>
      <c r="AF421" s="2798"/>
      <c r="AG421" s="2798"/>
      <c r="AH421" s="2798"/>
      <c r="AI421" s="2798"/>
      <c r="AJ421" s="2798"/>
      <c r="AK421" s="2798"/>
      <c r="AL421" s="2798"/>
      <c r="AM421" s="2798"/>
      <c r="AN421" s="2798"/>
      <c r="AO421" s="2798"/>
      <c r="AP421" s="2798"/>
      <c r="AQ421" s="2798"/>
      <c r="AR421" s="2798"/>
      <c r="AS421" s="2798"/>
      <c r="AT421" s="2798"/>
      <c r="AU421" s="2798"/>
      <c r="AV421" s="2798"/>
      <c r="AW421" s="2798"/>
      <c r="AX421" s="2798"/>
      <c r="AY421" s="2798"/>
      <c r="AZ421" s="2798"/>
      <c r="BA421" s="2798"/>
      <c r="BB421" s="2798"/>
      <c r="BC421" s="2798"/>
      <c r="BD421" s="2798"/>
      <c r="BE421" s="2798"/>
      <c r="BF421" s="2798"/>
      <c r="BG421" s="2798"/>
      <c r="BH421" s="2798"/>
      <c r="BI421" s="2798"/>
      <c r="BJ421" s="2798"/>
      <c r="BK421" s="2798"/>
      <c r="BL421" s="2798"/>
      <c r="BM421" s="2798"/>
      <c r="BN421" s="2798"/>
      <c r="BO421" s="2798"/>
      <c r="BP421" s="2798"/>
    </row>
    <row r="422" spans="12:68">
      <c r="L422" s="2798"/>
      <c r="M422" s="2798"/>
      <c r="N422" s="2798"/>
      <c r="O422" s="2798"/>
      <c r="P422" s="2798"/>
      <c r="Q422" s="2798"/>
      <c r="R422" s="2798"/>
      <c r="S422" s="2798"/>
      <c r="T422" s="2798"/>
      <c r="U422" s="2798"/>
      <c r="V422" s="2798"/>
      <c r="W422" s="2798"/>
      <c r="X422" s="2798"/>
      <c r="Y422" s="2798"/>
      <c r="Z422" s="2798"/>
      <c r="AA422" s="2798"/>
      <c r="AB422" s="2798"/>
      <c r="AC422" s="2798"/>
      <c r="AD422" s="2798"/>
      <c r="AE422" s="2798"/>
      <c r="AF422" s="2798"/>
      <c r="AG422" s="2798"/>
      <c r="AH422" s="2798"/>
      <c r="AI422" s="2798"/>
      <c r="AJ422" s="2798"/>
      <c r="AK422" s="2798"/>
      <c r="AL422" s="2798"/>
      <c r="AM422" s="2798"/>
      <c r="AN422" s="2798"/>
      <c r="AO422" s="2798"/>
      <c r="AP422" s="2798"/>
      <c r="AQ422" s="2798"/>
      <c r="AR422" s="2798"/>
      <c r="AS422" s="2798"/>
      <c r="AT422" s="2798"/>
      <c r="AU422" s="2798"/>
      <c r="AV422" s="2798"/>
      <c r="AW422" s="2798"/>
      <c r="AX422" s="2798"/>
      <c r="AY422" s="2798"/>
      <c r="AZ422" s="2798"/>
      <c r="BA422" s="2798"/>
      <c r="BB422" s="2798"/>
      <c r="BC422" s="2798"/>
      <c r="BD422" s="2798"/>
      <c r="BE422" s="2798"/>
      <c r="BF422" s="2798"/>
      <c r="BG422" s="2798"/>
      <c r="BH422" s="2798"/>
      <c r="BI422" s="2798"/>
      <c r="BJ422" s="2798"/>
      <c r="BK422" s="2798"/>
      <c r="BL422" s="2798"/>
      <c r="BM422" s="2798"/>
      <c r="BN422" s="2798"/>
      <c r="BO422" s="2798"/>
      <c r="BP422" s="2798"/>
    </row>
    <row r="423" spans="12:68">
      <c r="L423" s="2798"/>
      <c r="M423" s="2798"/>
      <c r="N423" s="2798"/>
      <c r="O423" s="2798"/>
      <c r="P423" s="2798"/>
      <c r="Q423" s="2798"/>
      <c r="R423" s="2798"/>
      <c r="S423" s="2798"/>
      <c r="T423" s="2798"/>
      <c r="U423" s="2798"/>
      <c r="V423" s="2798"/>
      <c r="W423" s="2798"/>
      <c r="X423" s="2798"/>
      <c r="Y423" s="2798"/>
      <c r="Z423" s="2798"/>
      <c r="AA423" s="2798"/>
      <c r="AB423" s="2798"/>
      <c r="AC423" s="2798"/>
      <c r="AD423" s="2798"/>
      <c r="AE423" s="2798"/>
      <c r="AF423" s="2798"/>
      <c r="AG423" s="2798"/>
      <c r="AH423" s="2798"/>
      <c r="AI423" s="2798"/>
      <c r="AJ423" s="2798"/>
      <c r="AK423" s="2798"/>
      <c r="AL423" s="2798"/>
      <c r="AM423" s="2798"/>
      <c r="AN423" s="2798"/>
      <c r="AO423" s="2798"/>
      <c r="AP423" s="2798"/>
      <c r="AQ423" s="2798"/>
      <c r="AR423" s="2798"/>
      <c r="AS423" s="2798"/>
      <c r="AT423" s="2798"/>
      <c r="AU423" s="2798"/>
      <c r="AV423" s="2798"/>
      <c r="AW423" s="2798"/>
      <c r="AX423" s="2798"/>
      <c r="AY423" s="2798"/>
      <c r="AZ423" s="2798"/>
      <c r="BA423" s="2798"/>
      <c r="BB423" s="2798"/>
      <c r="BC423" s="2798"/>
      <c r="BD423" s="2798"/>
      <c r="BE423" s="2798"/>
      <c r="BF423" s="2798"/>
      <c r="BG423" s="2798"/>
      <c r="BH423" s="2798"/>
      <c r="BI423" s="2798"/>
      <c r="BJ423" s="2798"/>
      <c r="BK423" s="2798"/>
      <c r="BL423" s="2798"/>
      <c r="BM423" s="2798"/>
      <c r="BN423" s="2798"/>
      <c r="BO423" s="2798"/>
      <c r="BP423" s="2798"/>
    </row>
    <row r="424" spans="12:68">
      <c r="L424" s="2798"/>
      <c r="M424" s="2798"/>
      <c r="N424" s="2798"/>
      <c r="O424" s="2798"/>
      <c r="P424" s="2798"/>
      <c r="Q424" s="2798"/>
      <c r="R424" s="2798"/>
      <c r="S424" s="2798"/>
      <c r="T424" s="2798"/>
      <c r="U424" s="2798"/>
      <c r="V424" s="2798"/>
      <c r="W424" s="2798"/>
      <c r="X424" s="2798"/>
      <c r="Y424" s="2798"/>
      <c r="Z424" s="2798"/>
      <c r="AA424" s="2798"/>
      <c r="AB424" s="2798"/>
      <c r="AC424" s="2798"/>
      <c r="AD424" s="2798"/>
      <c r="AE424" s="2798"/>
      <c r="AF424" s="2798"/>
      <c r="AG424" s="2798"/>
      <c r="AH424" s="2798"/>
      <c r="AI424" s="2798"/>
      <c r="AJ424" s="2798"/>
      <c r="AK424" s="2798"/>
      <c r="AL424" s="2798"/>
      <c r="AM424" s="2798"/>
      <c r="AN424" s="2798"/>
      <c r="AO424" s="2798"/>
      <c r="AP424" s="2798"/>
      <c r="AQ424" s="2798"/>
      <c r="AR424" s="2798"/>
      <c r="AS424" s="2798"/>
      <c r="AT424" s="2798"/>
      <c r="AU424" s="2798"/>
      <c r="AV424" s="2798"/>
      <c r="AW424" s="2798"/>
      <c r="AX424" s="2798"/>
      <c r="AY424" s="2798"/>
      <c r="AZ424" s="2798"/>
      <c r="BA424" s="2798"/>
      <c r="BB424" s="2798"/>
      <c r="BC424" s="2798"/>
      <c r="BD424" s="2798"/>
      <c r="BE424" s="2798"/>
      <c r="BF424" s="2798"/>
      <c r="BG424" s="2798"/>
      <c r="BH424" s="2798"/>
      <c r="BI424" s="2798"/>
      <c r="BJ424" s="2798"/>
      <c r="BK424" s="2798"/>
      <c r="BL424" s="2798"/>
      <c r="BM424" s="2798"/>
      <c r="BN424" s="2798"/>
      <c r="BO424" s="2798"/>
      <c r="BP424" s="2798"/>
    </row>
    <row r="425" spans="12:68">
      <c r="L425" s="2798"/>
      <c r="M425" s="2798"/>
      <c r="N425" s="2798"/>
      <c r="O425" s="2798"/>
      <c r="P425" s="2798"/>
      <c r="Q425" s="2798"/>
      <c r="R425" s="2798"/>
      <c r="S425" s="2798"/>
      <c r="T425" s="2798"/>
      <c r="U425" s="2798"/>
      <c r="V425" s="2798"/>
      <c r="W425" s="2798"/>
      <c r="X425" s="2798"/>
      <c r="Y425" s="2798"/>
      <c r="Z425" s="2798"/>
      <c r="AA425" s="2798"/>
      <c r="AB425" s="2798"/>
      <c r="AC425" s="2798"/>
      <c r="AD425" s="2798"/>
      <c r="AE425" s="2798"/>
      <c r="AF425" s="2798"/>
      <c r="AG425" s="2798"/>
      <c r="AH425" s="2798"/>
      <c r="AI425" s="2798"/>
      <c r="AJ425" s="2798"/>
      <c r="AK425" s="2798"/>
      <c r="AL425" s="2798"/>
      <c r="AM425" s="2798"/>
      <c r="AN425" s="2798"/>
      <c r="AO425" s="2798"/>
      <c r="AP425" s="2798"/>
      <c r="AQ425" s="2798"/>
      <c r="AR425" s="2798"/>
      <c r="AS425" s="2798"/>
      <c r="AT425" s="2798"/>
      <c r="AU425" s="2798"/>
      <c r="AV425" s="2798"/>
      <c r="AW425" s="2798"/>
      <c r="AX425" s="2798"/>
      <c r="AY425" s="2798"/>
      <c r="AZ425" s="2798"/>
      <c r="BA425" s="2798"/>
      <c r="BB425" s="2798"/>
      <c r="BC425" s="2798"/>
      <c r="BD425" s="2798"/>
      <c r="BE425" s="2798"/>
      <c r="BF425" s="2798"/>
      <c r="BG425" s="2798"/>
      <c r="BH425" s="2798"/>
      <c r="BI425" s="2798"/>
      <c r="BJ425" s="2798"/>
      <c r="BK425" s="2798"/>
      <c r="BL425" s="2798"/>
      <c r="BM425" s="2798"/>
      <c r="BN425" s="2798"/>
      <c r="BO425" s="2798"/>
      <c r="BP425" s="2798"/>
    </row>
    <row r="426" spans="12:68">
      <c r="L426" s="2798"/>
      <c r="M426" s="2798"/>
      <c r="N426" s="2798"/>
      <c r="O426" s="2798"/>
      <c r="P426" s="2798"/>
      <c r="Q426" s="2798"/>
      <c r="R426" s="2798"/>
      <c r="S426" s="2798"/>
      <c r="T426" s="2798"/>
      <c r="U426" s="2798"/>
      <c r="V426" s="2798"/>
      <c r="W426" s="2798"/>
      <c r="X426" s="2798"/>
      <c r="Y426" s="2798"/>
      <c r="Z426" s="2798"/>
      <c r="AA426" s="2798"/>
      <c r="AB426" s="2798"/>
      <c r="AC426" s="2798"/>
      <c r="AD426" s="2798"/>
      <c r="AE426" s="2798"/>
      <c r="AF426" s="2798"/>
      <c r="AG426" s="2798"/>
      <c r="AH426" s="2798"/>
      <c r="AI426" s="2798"/>
      <c r="AJ426" s="2798"/>
      <c r="AK426" s="2798"/>
      <c r="AL426" s="2798"/>
      <c r="AM426" s="2798"/>
      <c r="AN426" s="2798"/>
      <c r="AO426" s="2798"/>
      <c r="AP426" s="2798"/>
      <c r="AQ426" s="2798"/>
      <c r="AR426" s="2798"/>
      <c r="AS426" s="2798"/>
      <c r="AT426" s="2798"/>
      <c r="AU426" s="2798"/>
      <c r="AV426" s="2798"/>
      <c r="AW426" s="2798"/>
      <c r="AX426" s="2798"/>
      <c r="AY426" s="2798"/>
      <c r="AZ426" s="2798"/>
      <c r="BA426" s="2798"/>
      <c r="BB426" s="2798"/>
      <c r="BC426" s="2798"/>
      <c r="BD426" s="2798"/>
      <c r="BE426" s="2798"/>
      <c r="BF426" s="2798"/>
      <c r="BG426" s="2798"/>
      <c r="BH426" s="2798"/>
      <c r="BI426" s="2798"/>
      <c r="BJ426" s="2798"/>
      <c r="BK426" s="2798"/>
      <c r="BL426" s="2798"/>
      <c r="BM426" s="2798"/>
      <c r="BN426" s="2798"/>
      <c r="BO426" s="2798"/>
      <c r="BP426" s="2798"/>
    </row>
    <row r="427" spans="12:68">
      <c r="L427" s="2798"/>
      <c r="M427" s="2798"/>
      <c r="N427" s="2798"/>
      <c r="O427" s="2798"/>
      <c r="P427" s="2798"/>
      <c r="Q427" s="2798"/>
      <c r="R427" s="2798"/>
      <c r="S427" s="2798"/>
      <c r="T427" s="2798"/>
      <c r="U427" s="2798"/>
      <c r="V427" s="2798"/>
      <c r="W427" s="2798"/>
      <c r="X427" s="2798"/>
      <c r="Y427" s="2798"/>
      <c r="Z427" s="2798"/>
      <c r="AA427" s="2798"/>
      <c r="AB427" s="2798"/>
      <c r="AC427" s="2798"/>
      <c r="AD427" s="2798"/>
      <c r="AE427" s="2798"/>
      <c r="AF427" s="2798"/>
      <c r="AG427" s="2798"/>
      <c r="AH427" s="2798"/>
      <c r="AI427" s="2798"/>
      <c r="AJ427" s="2798"/>
      <c r="AK427" s="2798"/>
      <c r="AL427" s="2798"/>
      <c r="AM427" s="2798"/>
      <c r="AN427" s="2798"/>
      <c r="AO427" s="2798"/>
      <c r="AP427" s="2798"/>
      <c r="AQ427" s="2798"/>
      <c r="AR427" s="2798"/>
      <c r="AS427" s="2798"/>
      <c r="AT427" s="2798"/>
      <c r="AU427" s="2798"/>
      <c r="AV427" s="2798"/>
      <c r="AW427" s="2798"/>
      <c r="AX427" s="2798"/>
      <c r="AY427" s="2798"/>
      <c r="AZ427" s="2798"/>
      <c r="BA427" s="2798"/>
      <c r="BB427" s="2798"/>
      <c r="BC427" s="2798"/>
      <c r="BD427" s="2798"/>
      <c r="BE427" s="2798"/>
      <c r="BF427" s="2798"/>
      <c r="BG427" s="2798"/>
      <c r="BH427" s="2798"/>
      <c r="BI427" s="2798"/>
      <c r="BJ427" s="2798"/>
      <c r="BK427" s="2798"/>
      <c r="BL427" s="2798"/>
      <c r="BM427" s="2798"/>
      <c r="BN427" s="2798"/>
      <c r="BO427" s="2798"/>
      <c r="BP427" s="2798"/>
    </row>
    <row r="428" spans="12:68">
      <c r="L428" s="2798"/>
      <c r="M428" s="2798"/>
      <c r="N428" s="2798"/>
      <c r="O428" s="2798"/>
      <c r="P428" s="2798"/>
      <c r="Q428" s="2798"/>
      <c r="R428" s="2798"/>
      <c r="S428" s="2798"/>
      <c r="T428" s="2798"/>
      <c r="U428" s="2798"/>
      <c r="V428" s="2798"/>
      <c r="W428" s="2798"/>
      <c r="X428" s="2798"/>
      <c r="Y428" s="2798"/>
      <c r="Z428" s="2798"/>
      <c r="AA428" s="2798"/>
      <c r="AB428" s="2798"/>
      <c r="AC428" s="2798"/>
      <c r="AD428" s="2798"/>
      <c r="AE428" s="2798"/>
      <c r="AF428" s="2798"/>
      <c r="AG428" s="2798"/>
      <c r="AH428" s="2798"/>
      <c r="AI428" s="2798"/>
      <c r="AJ428" s="2798"/>
      <c r="AK428" s="2798"/>
      <c r="AL428" s="2798"/>
      <c r="AM428" s="2798"/>
      <c r="AN428" s="2798"/>
      <c r="AO428" s="2798"/>
      <c r="AP428" s="2798"/>
      <c r="AQ428" s="2798"/>
      <c r="AR428" s="2798"/>
      <c r="AS428" s="2798"/>
      <c r="AT428" s="2798"/>
      <c r="AU428" s="2798"/>
      <c r="AV428" s="2798"/>
      <c r="AW428" s="2798"/>
      <c r="AX428" s="2798"/>
      <c r="AY428" s="2798"/>
      <c r="AZ428" s="2798"/>
      <c r="BA428" s="2798"/>
      <c r="BB428" s="2798"/>
      <c r="BC428" s="2798"/>
      <c r="BD428" s="2798"/>
      <c r="BE428" s="2798"/>
      <c r="BF428" s="2798"/>
      <c r="BG428" s="2798"/>
      <c r="BH428" s="2798"/>
      <c r="BI428" s="2798"/>
      <c r="BJ428" s="2798"/>
      <c r="BK428" s="2798"/>
      <c r="BL428" s="2798"/>
      <c r="BM428" s="2798"/>
      <c r="BN428" s="2798"/>
      <c r="BO428" s="2798"/>
      <c r="BP428" s="2798"/>
    </row>
    <row r="429" spans="12:68">
      <c r="L429" s="2798"/>
      <c r="M429" s="2798"/>
      <c r="N429" s="2798"/>
      <c r="O429" s="2798"/>
      <c r="P429" s="2798"/>
      <c r="Q429" s="2798"/>
      <c r="R429" s="2798"/>
      <c r="S429" s="2798"/>
      <c r="T429" s="2798"/>
      <c r="U429" s="2798"/>
      <c r="V429" s="2798"/>
      <c r="W429" s="2798"/>
      <c r="X429" s="2798"/>
      <c r="Y429" s="2798"/>
      <c r="Z429" s="2798"/>
      <c r="AA429" s="2798"/>
      <c r="AB429" s="2798"/>
      <c r="AC429" s="2798"/>
      <c r="AD429" s="2798"/>
      <c r="AE429" s="2798"/>
      <c r="AF429" s="2798"/>
      <c r="AG429" s="2798"/>
      <c r="AH429" s="2798"/>
      <c r="AI429" s="2798"/>
      <c r="AJ429" s="2798"/>
      <c r="AK429" s="2798"/>
      <c r="AL429" s="2798"/>
      <c r="AM429" s="2798"/>
      <c r="AN429" s="2798"/>
      <c r="AO429" s="2798"/>
      <c r="AP429" s="2798"/>
      <c r="AQ429" s="2798"/>
      <c r="AR429" s="2798"/>
      <c r="AS429" s="2798"/>
      <c r="AT429" s="2798"/>
      <c r="AU429" s="2798"/>
      <c r="AV429" s="2798"/>
      <c r="AW429" s="2798"/>
      <c r="AX429" s="2798"/>
      <c r="AY429" s="2798"/>
      <c r="AZ429" s="2798"/>
      <c r="BA429" s="2798"/>
      <c r="BB429" s="2798"/>
      <c r="BC429" s="2798"/>
      <c r="BD429" s="2798"/>
      <c r="BE429" s="2798"/>
      <c r="BF429" s="2798"/>
      <c r="BG429" s="2798"/>
      <c r="BH429" s="2798"/>
      <c r="BI429" s="2798"/>
      <c r="BJ429" s="2798"/>
      <c r="BK429" s="2798"/>
      <c r="BL429" s="2798"/>
      <c r="BM429" s="2798"/>
      <c r="BN429" s="2798"/>
      <c r="BO429" s="2798"/>
      <c r="BP429" s="2798"/>
    </row>
    <row r="430" spans="12:68">
      <c r="L430" s="2798"/>
      <c r="M430" s="2798"/>
      <c r="N430" s="2798"/>
      <c r="O430" s="2798"/>
      <c r="P430" s="2798"/>
      <c r="Q430" s="2798"/>
      <c r="R430" s="2798"/>
      <c r="S430" s="2798"/>
      <c r="T430" s="2798"/>
      <c r="U430" s="2798"/>
      <c r="V430" s="2798"/>
      <c r="W430" s="2798"/>
      <c r="X430" s="2798"/>
      <c r="Y430" s="2798"/>
      <c r="Z430" s="2798"/>
      <c r="AA430" s="2798"/>
      <c r="AB430" s="2798"/>
      <c r="AC430" s="2798"/>
      <c r="AD430" s="2798"/>
      <c r="AE430" s="2798"/>
      <c r="AF430" s="2798"/>
      <c r="AG430" s="2798"/>
      <c r="AH430" s="2798"/>
      <c r="AI430" s="2798"/>
      <c r="AJ430" s="2798"/>
      <c r="AK430" s="2798"/>
      <c r="AL430" s="2798"/>
      <c r="AM430" s="2798"/>
      <c r="AN430" s="2798"/>
      <c r="AO430" s="2798"/>
      <c r="AP430" s="2798"/>
      <c r="AQ430" s="2798"/>
      <c r="AR430" s="2798"/>
      <c r="AS430" s="2798"/>
      <c r="AT430" s="2798"/>
      <c r="AU430" s="2798"/>
      <c r="AV430" s="2798"/>
      <c r="AW430" s="2798"/>
      <c r="AX430" s="2798"/>
      <c r="AY430" s="2798"/>
      <c r="AZ430" s="2798"/>
      <c r="BA430" s="2798"/>
      <c r="BB430" s="2798"/>
      <c r="BC430" s="2798"/>
      <c r="BD430" s="2798"/>
      <c r="BE430" s="2798"/>
      <c r="BF430" s="2798"/>
      <c r="BG430" s="2798"/>
      <c r="BH430" s="2798"/>
      <c r="BI430" s="2798"/>
      <c r="BJ430" s="2798"/>
      <c r="BK430" s="2798"/>
      <c r="BL430" s="2798"/>
      <c r="BM430" s="2798"/>
      <c r="BN430" s="2798"/>
      <c r="BO430" s="2798"/>
      <c r="BP430" s="2798"/>
    </row>
    <row r="431" spans="12:68">
      <c r="L431" s="2798"/>
      <c r="M431" s="2798"/>
      <c r="N431" s="2798"/>
      <c r="O431" s="2798"/>
      <c r="P431" s="2798"/>
      <c r="Q431" s="2798"/>
      <c r="R431" s="2798"/>
      <c r="S431" s="2798"/>
      <c r="T431" s="2798"/>
      <c r="U431" s="2798"/>
      <c r="V431" s="2798"/>
      <c r="W431" s="2798"/>
      <c r="X431" s="2798"/>
      <c r="Y431" s="2798"/>
      <c r="Z431" s="2798"/>
      <c r="AA431" s="2798"/>
      <c r="AB431" s="2798"/>
      <c r="AC431" s="2798"/>
      <c r="AD431" s="2798"/>
      <c r="AE431" s="2798"/>
      <c r="AF431" s="2798"/>
      <c r="AG431" s="2798"/>
      <c r="AH431" s="2798"/>
      <c r="AI431" s="2798"/>
      <c r="AJ431" s="2798"/>
      <c r="AK431" s="2798"/>
      <c r="AL431" s="2798"/>
      <c r="AM431" s="2798"/>
      <c r="AN431" s="2798"/>
      <c r="AO431" s="2798"/>
      <c r="AP431" s="2798"/>
      <c r="AQ431" s="2798"/>
      <c r="AR431" s="2798"/>
      <c r="AS431" s="2798"/>
      <c r="AT431" s="2798"/>
      <c r="AU431" s="2798"/>
      <c r="AV431" s="2798"/>
      <c r="AW431" s="2798"/>
      <c r="AX431" s="2798"/>
      <c r="AY431" s="2798"/>
      <c r="AZ431" s="2798"/>
      <c r="BA431" s="2798"/>
      <c r="BB431" s="2798"/>
      <c r="BC431" s="2798"/>
      <c r="BD431" s="2798"/>
      <c r="BE431" s="2798"/>
      <c r="BF431" s="2798"/>
      <c r="BG431" s="2798"/>
      <c r="BH431" s="2798"/>
      <c r="BI431" s="2798"/>
      <c r="BJ431" s="2798"/>
      <c r="BK431" s="2798"/>
      <c r="BL431" s="2798"/>
      <c r="BM431" s="2798"/>
      <c r="BN431" s="2798"/>
      <c r="BO431" s="2798"/>
      <c r="BP431" s="2798"/>
    </row>
    <row r="432" spans="12:68">
      <c r="L432" s="2798"/>
      <c r="M432" s="2798"/>
      <c r="N432" s="2798"/>
      <c r="O432" s="2798"/>
      <c r="P432" s="2798"/>
      <c r="Q432" s="2798"/>
      <c r="R432" s="2798"/>
      <c r="S432" s="2798"/>
      <c r="T432" s="2798"/>
      <c r="U432" s="2798"/>
      <c r="V432" s="2798"/>
      <c r="W432" s="2798"/>
      <c r="X432" s="2798"/>
      <c r="Y432" s="2798"/>
      <c r="Z432" s="2798"/>
      <c r="AA432" s="2798"/>
      <c r="AB432" s="2798"/>
      <c r="AC432" s="2798"/>
      <c r="AD432" s="2798"/>
      <c r="AE432" s="2798"/>
      <c r="AF432" s="2798"/>
      <c r="AG432" s="2798"/>
      <c r="AH432" s="2798"/>
      <c r="AI432" s="2798"/>
      <c r="AJ432" s="2798"/>
      <c r="AK432" s="2798"/>
      <c r="AL432" s="2798"/>
      <c r="AM432" s="2798"/>
      <c r="AN432" s="2798"/>
      <c r="AO432" s="2798"/>
      <c r="AP432" s="2798"/>
      <c r="AQ432" s="2798"/>
      <c r="AR432" s="2798"/>
      <c r="AS432" s="2798"/>
      <c r="AT432" s="2798"/>
      <c r="AU432" s="2798"/>
      <c r="AV432" s="2798"/>
      <c r="AW432" s="2798"/>
      <c r="AX432" s="2798"/>
      <c r="AY432" s="2798"/>
      <c r="AZ432" s="2798"/>
      <c r="BA432" s="2798"/>
      <c r="BB432" s="2798"/>
      <c r="BC432" s="2798"/>
      <c r="BD432" s="2798"/>
      <c r="BE432" s="2798"/>
      <c r="BF432" s="2798"/>
      <c r="BG432" s="2798"/>
      <c r="BH432" s="2798"/>
      <c r="BI432" s="2798"/>
      <c r="BJ432" s="2798"/>
      <c r="BK432" s="2798"/>
      <c r="BL432" s="2798"/>
      <c r="BM432" s="2798"/>
      <c r="BN432" s="2798"/>
      <c r="BO432" s="2798"/>
      <c r="BP432" s="2798"/>
    </row>
    <row r="433" spans="12:68">
      <c r="L433" s="2798"/>
      <c r="M433" s="2798"/>
      <c r="N433" s="2798"/>
      <c r="O433" s="2798"/>
      <c r="P433" s="2798"/>
      <c r="Q433" s="2798"/>
      <c r="R433" s="2798"/>
      <c r="S433" s="2798"/>
      <c r="T433" s="2798"/>
      <c r="U433" s="2798"/>
      <c r="V433" s="2798"/>
      <c r="W433" s="2798"/>
      <c r="X433" s="2798"/>
      <c r="Y433" s="2798"/>
      <c r="Z433" s="2798"/>
      <c r="AA433" s="2798"/>
      <c r="AB433" s="2798"/>
      <c r="AC433" s="2798"/>
      <c r="AD433" s="2798"/>
      <c r="AE433" s="2798"/>
      <c r="AF433" s="2798"/>
      <c r="AG433" s="2798"/>
      <c r="AH433" s="2798"/>
      <c r="AI433" s="2798"/>
      <c r="AJ433" s="2798"/>
      <c r="AK433" s="2798"/>
      <c r="AL433" s="2798"/>
      <c r="AM433" s="2798"/>
      <c r="AN433" s="2798"/>
      <c r="AO433" s="2798"/>
      <c r="AP433" s="2798"/>
      <c r="AQ433" s="2798"/>
      <c r="AR433" s="2798"/>
      <c r="AS433" s="2798"/>
      <c r="AT433" s="2798"/>
      <c r="AU433" s="2798"/>
      <c r="AV433" s="2798"/>
      <c r="AW433" s="2798"/>
      <c r="AX433" s="2798"/>
      <c r="AY433" s="2798"/>
      <c r="AZ433" s="2798"/>
      <c r="BA433" s="2798"/>
      <c r="BB433" s="2798"/>
      <c r="BC433" s="2798"/>
      <c r="BD433" s="2798"/>
      <c r="BE433" s="2798"/>
      <c r="BF433" s="2798"/>
      <c r="BG433" s="2798"/>
      <c r="BH433" s="2798"/>
      <c r="BI433" s="2798"/>
      <c r="BJ433" s="2798"/>
      <c r="BK433" s="2798"/>
      <c r="BL433" s="2798"/>
      <c r="BM433" s="2798"/>
      <c r="BN433" s="2798"/>
      <c r="BO433" s="2798"/>
      <c r="BP433" s="2798"/>
    </row>
    <row r="434" spans="12:68">
      <c r="L434" s="2798"/>
      <c r="M434" s="2798"/>
      <c r="N434" s="2798"/>
      <c r="O434" s="2798"/>
      <c r="P434" s="2798"/>
      <c r="Q434" s="2798"/>
      <c r="R434" s="2798"/>
      <c r="S434" s="2798"/>
      <c r="T434" s="2798"/>
      <c r="U434" s="2798"/>
      <c r="V434" s="2798"/>
      <c r="W434" s="2798"/>
      <c r="X434" s="2798"/>
      <c r="Y434" s="2798"/>
      <c r="Z434" s="2798"/>
      <c r="AA434" s="2798"/>
      <c r="AB434" s="2798"/>
      <c r="AC434" s="2798"/>
      <c r="AD434" s="2798"/>
      <c r="AE434" s="2798"/>
      <c r="AF434" s="2798"/>
      <c r="AG434" s="2798"/>
      <c r="AH434" s="2798"/>
      <c r="AI434" s="2798"/>
      <c r="AJ434" s="2798"/>
      <c r="AK434" s="2798"/>
      <c r="AL434" s="2798"/>
      <c r="AM434" s="2798"/>
      <c r="AN434" s="2798"/>
      <c r="AO434" s="2798"/>
      <c r="AP434" s="2798"/>
      <c r="AQ434" s="2798"/>
      <c r="AR434" s="2798"/>
      <c r="AS434" s="2798"/>
      <c r="AT434" s="2798"/>
      <c r="AU434" s="2798"/>
      <c r="AV434" s="2798"/>
      <c r="AW434" s="2798"/>
      <c r="AX434" s="2798"/>
      <c r="AY434" s="2798"/>
      <c r="AZ434" s="2798"/>
      <c r="BA434" s="2798"/>
      <c r="BB434" s="2798"/>
      <c r="BC434" s="2798"/>
      <c r="BD434" s="2798"/>
      <c r="BE434" s="2798"/>
      <c r="BF434" s="2798"/>
      <c r="BG434" s="2798"/>
      <c r="BH434" s="2798"/>
      <c r="BI434" s="2798"/>
      <c r="BJ434" s="2798"/>
      <c r="BK434" s="2798"/>
      <c r="BL434" s="2798"/>
      <c r="BM434" s="2798"/>
      <c r="BN434" s="2798"/>
      <c r="BO434" s="2798"/>
      <c r="BP434" s="2798"/>
    </row>
    <row r="435" spans="12:68">
      <c r="L435" s="2798"/>
      <c r="M435" s="2798"/>
      <c r="N435" s="2798"/>
      <c r="O435" s="2798"/>
      <c r="P435" s="2798"/>
      <c r="Q435" s="2798"/>
      <c r="R435" s="2798"/>
      <c r="S435" s="2798"/>
      <c r="T435" s="2798"/>
      <c r="U435" s="2798"/>
      <c r="V435" s="2798"/>
      <c r="W435" s="2798"/>
      <c r="X435" s="2798"/>
      <c r="Y435" s="2798"/>
      <c r="Z435" s="2798"/>
      <c r="AA435" s="2798"/>
      <c r="AB435" s="2798"/>
      <c r="AC435" s="2798"/>
      <c r="AD435" s="2798"/>
      <c r="AE435" s="2798"/>
      <c r="AF435" s="2798"/>
      <c r="AG435" s="2798"/>
      <c r="AH435" s="2798"/>
      <c r="AI435" s="2798"/>
      <c r="AJ435" s="2798"/>
      <c r="AK435" s="2798"/>
      <c r="AL435" s="2798"/>
      <c r="AM435" s="2798"/>
      <c r="AN435" s="2798"/>
      <c r="AO435" s="2798"/>
      <c r="AP435" s="2798"/>
      <c r="AQ435" s="2798"/>
      <c r="AR435" s="2798"/>
      <c r="AS435" s="2798"/>
      <c r="AT435" s="2798"/>
      <c r="AU435" s="2798"/>
      <c r="AV435" s="2798"/>
      <c r="AW435" s="2798"/>
      <c r="AX435" s="2798"/>
      <c r="AY435" s="2798"/>
      <c r="AZ435" s="2798"/>
      <c r="BA435" s="2798"/>
      <c r="BB435" s="2798"/>
      <c r="BC435" s="2798"/>
      <c r="BD435" s="2798"/>
      <c r="BE435" s="2798"/>
      <c r="BF435" s="2798"/>
      <c r="BG435" s="2798"/>
      <c r="BH435" s="2798"/>
      <c r="BI435" s="2798"/>
      <c r="BJ435" s="2798"/>
      <c r="BK435" s="2798"/>
      <c r="BL435" s="2798"/>
      <c r="BM435" s="2798"/>
      <c r="BN435" s="2798"/>
      <c r="BO435" s="2798"/>
      <c r="BP435" s="2798"/>
    </row>
    <row r="436" spans="12:68">
      <c r="L436" s="2798"/>
      <c r="M436" s="2798"/>
      <c r="N436" s="2798"/>
      <c r="O436" s="2798"/>
      <c r="P436" s="2798"/>
      <c r="Q436" s="2798"/>
      <c r="R436" s="2798"/>
      <c r="S436" s="2798"/>
      <c r="T436" s="2798"/>
      <c r="U436" s="2798"/>
      <c r="V436" s="2798"/>
      <c r="W436" s="2798"/>
      <c r="X436" s="2798"/>
      <c r="Y436" s="2798"/>
      <c r="Z436" s="2798"/>
      <c r="AA436" s="2798"/>
      <c r="AB436" s="2798"/>
      <c r="AC436" s="2798"/>
      <c r="AD436" s="2798"/>
      <c r="AE436" s="2798"/>
      <c r="AF436" s="2798"/>
      <c r="AG436" s="2798"/>
      <c r="AH436" s="2798"/>
      <c r="AI436" s="2798"/>
      <c r="AJ436" s="2798"/>
      <c r="AK436" s="2798"/>
      <c r="AL436" s="2798"/>
      <c r="AM436" s="2798"/>
      <c r="AN436" s="2798"/>
      <c r="AO436" s="2798"/>
      <c r="AP436" s="2798"/>
      <c r="AQ436" s="2798"/>
      <c r="AR436" s="2798"/>
      <c r="AS436" s="2798"/>
      <c r="AT436" s="2798"/>
      <c r="AU436" s="2798"/>
      <c r="AV436" s="2798"/>
      <c r="AW436" s="2798"/>
      <c r="AX436" s="2798"/>
      <c r="AY436" s="2798"/>
      <c r="AZ436" s="2798"/>
      <c r="BA436" s="2798"/>
      <c r="BB436" s="2798"/>
      <c r="BC436" s="2798"/>
      <c r="BD436" s="2798"/>
      <c r="BE436" s="2798"/>
      <c r="BF436" s="2798"/>
      <c r="BG436" s="2798"/>
      <c r="BH436" s="2798"/>
      <c r="BI436" s="2798"/>
      <c r="BJ436" s="2798"/>
      <c r="BK436" s="2798"/>
      <c r="BL436" s="2798"/>
      <c r="BM436" s="2798"/>
      <c r="BN436" s="2798"/>
      <c r="BO436" s="2798"/>
      <c r="BP436" s="2798"/>
    </row>
    <row r="437" spans="12:68">
      <c r="L437" s="2798"/>
      <c r="M437" s="2798"/>
      <c r="N437" s="2798"/>
      <c r="O437" s="2798"/>
      <c r="P437" s="2798"/>
      <c r="Q437" s="2798"/>
      <c r="R437" s="2798"/>
      <c r="S437" s="2798"/>
      <c r="T437" s="2798"/>
      <c r="U437" s="2798"/>
      <c r="V437" s="2798"/>
      <c r="W437" s="2798"/>
      <c r="X437" s="2798"/>
      <c r="Y437" s="2798"/>
      <c r="Z437" s="2798"/>
      <c r="AA437" s="2798"/>
      <c r="AB437" s="2798"/>
      <c r="AC437" s="2798"/>
      <c r="AD437" s="2798"/>
      <c r="AE437" s="2798"/>
      <c r="AF437" s="2798"/>
      <c r="AG437" s="2798"/>
      <c r="AH437" s="2798"/>
      <c r="AI437" s="2798"/>
      <c r="AJ437" s="2798"/>
      <c r="AK437" s="2798"/>
      <c r="AL437" s="2798"/>
      <c r="AM437" s="2798"/>
      <c r="AN437" s="2798"/>
      <c r="AO437" s="2798"/>
      <c r="AP437" s="2798"/>
      <c r="AQ437" s="2798"/>
      <c r="AR437" s="2798"/>
      <c r="AS437" s="2798"/>
      <c r="AT437" s="2798"/>
      <c r="AU437" s="2798"/>
      <c r="AV437" s="2798"/>
      <c r="AW437" s="2798"/>
      <c r="AX437" s="2798"/>
      <c r="AY437" s="2798"/>
      <c r="AZ437" s="2798"/>
      <c r="BA437" s="2798"/>
      <c r="BB437" s="2798"/>
      <c r="BC437" s="2798"/>
      <c r="BD437" s="2798"/>
      <c r="BE437" s="2798"/>
      <c r="BF437" s="2798"/>
      <c r="BG437" s="2798"/>
      <c r="BH437" s="2798"/>
      <c r="BI437" s="2798"/>
      <c r="BJ437" s="2798"/>
      <c r="BK437" s="2798"/>
      <c r="BL437" s="2798"/>
      <c r="BM437" s="2798"/>
      <c r="BN437" s="2798"/>
      <c r="BO437" s="2798"/>
      <c r="BP437" s="2798"/>
    </row>
    <row r="438" spans="12:68">
      <c r="L438" s="2798"/>
      <c r="M438" s="2798"/>
      <c r="N438" s="2798"/>
      <c r="O438" s="2798"/>
      <c r="P438" s="2798"/>
      <c r="Q438" s="2798"/>
      <c r="R438" s="2798"/>
      <c r="S438" s="2798"/>
      <c r="T438" s="2798"/>
      <c r="U438" s="2798"/>
      <c r="V438" s="2798"/>
      <c r="W438" s="2798"/>
      <c r="X438" s="2798"/>
      <c r="Y438" s="2798"/>
      <c r="Z438" s="2798"/>
      <c r="AA438" s="2798"/>
      <c r="AB438" s="2798"/>
      <c r="AC438" s="2798"/>
      <c r="AD438" s="2798"/>
      <c r="AE438" s="2798"/>
      <c r="AF438" s="2798"/>
      <c r="AG438" s="2798"/>
      <c r="AH438" s="2798"/>
      <c r="AI438" s="2798"/>
      <c r="AJ438" s="2798"/>
      <c r="AK438" s="2798"/>
      <c r="AL438" s="2798"/>
      <c r="AM438" s="2798"/>
      <c r="AN438" s="2798"/>
      <c r="AO438" s="2798"/>
      <c r="AP438" s="2798"/>
      <c r="AQ438" s="2798"/>
      <c r="AR438" s="2798"/>
      <c r="AS438" s="2798"/>
      <c r="AT438" s="2798"/>
      <c r="AU438" s="2798"/>
      <c r="AV438" s="2798"/>
      <c r="AW438" s="2798"/>
      <c r="AX438" s="2798"/>
      <c r="AY438" s="2798"/>
      <c r="AZ438" s="2798"/>
      <c r="BA438" s="2798"/>
      <c r="BB438" s="2798"/>
      <c r="BC438" s="2798"/>
      <c r="BD438" s="2798"/>
      <c r="BE438" s="2798"/>
      <c r="BF438" s="2798"/>
      <c r="BG438" s="2798"/>
      <c r="BH438" s="2798"/>
      <c r="BI438" s="2798"/>
      <c r="BJ438" s="2798"/>
      <c r="BK438" s="2798"/>
      <c r="BL438" s="2798"/>
      <c r="BM438" s="2798"/>
      <c r="BN438" s="2798"/>
      <c r="BO438" s="2798"/>
      <c r="BP438" s="2798"/>
    </row>
    <row r="439" spans="12:68">
      <c r="L439" s="2798"/>
      <c r="M439" s="2798"/>
      <c r="N439" s="2798"/>
      <c r="O439" s="2798"/>
      <c r="P439" s="2798"/>
      <c r="Q439" s="2798"/>
      <c r="R439" s="2798"/>
      <c r="S439" s="2798"/>
      <c r="T439" s="2798"/>
      <c r="U439" s="2798"/>
      <c r="V439" s="2798"/>
      <c r="W439" s="2798"/>
      <c r="X439" s="2798"/>
      <c r="Y439" s="2798"/>
      <c r="Z439" s="2798"/>
      <c r="AA439" s="2798"/>
      <c r="AB439" s="2798"/>
      <c r="AC439" s="2798"/>
      <c r="AD439" s="2798"/>
      <c r="AE439" s="2798"/>
      <c r="AF439" s="2798"/>
      <c r="AG439" s="2798"/>
      <c r="AH439" s="2798"/>
      <c r="AI439" s="2798"/>
      <c r="AJ439" s="2798"/>
      <c r="AK439" s="2798"/>
      <c r="AL439" s="2798"/>
      <c r="AM439" s="2798"/>
      <c r="AN439" s="2798"/>
      <c r="AO439" s="2798"/>
      <c r="AP439" s="2798"/>
      <c r="AQ439" s="2798"/>
      <c r="AR439" s="2798"/>
      <c r="AS439" s="2798"/>
      <c r="AT439" s="2798"/>
      <c r="AU439" s="2798"/>
      <c r="AV439" s="2798"/>
      <c r="AW439" s="2798"/>
      <c r="AX439" s="2798"/>
      <c r="AY439" s="2798"/>
      <c r="AZ439" s="2798"/>
      <c r="BA439" s="2798"/>
      <c r="BB439" s="2798"/>
      <c r="BC439" s="2798"/>
      <c r="BD439" s="2798"/>
      <c r="BE439" s="2798"/>
      <c r="BF439" s="2798"/>
      <c r="BG439" s="2798"/>
      <c r="BH439" s="2798"/>
      <c r="BI439" s="2798"/>
      <c r="BJ439" s="2798"/>
      <c r="BK439" s="2798"/>
      <c r="BL439" s="2798"/>
      <c r="BM439" s="2798"/>
      <c r="BN439" s="2798"/>
      <c r="BO439" s="2798"/>
      <c r="BP439" s="2798"/>
    </row>
    <row r="440" spans="12:68">
      <c r="L440" s="2798"/>
      <c r="M440" s="2798"/>
      <c r="N440" s="2798"/>
      <c r="O440" s="2798"/>
      <c r="P440" s="2798"/>
      <c r="Q440" s="2798"/>
      <c r="R440" s="2798"/>
      <c r="S440" s="2798"/>
      <c r="T440" s="2798"/>
      <c r="U440" s="2798"/>
      <c r="V440" s="2798"/>
      <c r="W440" s="2798"/>
      <c r="X440" s="2798"/>
      <c r="Y440" s="2798"/>
      <c r="Z440" s="2798"/>
      <c r="AA440" s="2798"/>
      <c r="AB440" s="2798"/>
      <c r="AC440" s="2798"/>
      <c r="AD440" s="2798"/>
      <c r="AE440" s="2798"/>
      <c r="AF440" s="2798"/>
      <c r="AG440" s="2798"/>
      <c r="AH440" s="2798"/>
      <c r="AI440" s="2798"/>
      <c r="AJ440" s="2798"/>
      <c r="AK440" s="2798"/>
      <c r="AL440" s="2798"/>
      <c r="AM440" s="2798"/>
      <c r="AN440" s="2798"/>
      <c r="AO440" s="2798"/>
      <c r="AP440" s="2798"/>
      <c r="AQ440" s="2798"/>
      <c r="AR440" s="2798"/>
      <c r="AS440" s="2798"/>
      <c r="AT440" s="2798"/>
      <c r="AU440" s="2798"/>
      <c r="AV440" s="2798"/>
      <c r="AW440" s="2798"/>
      <c r="AX440" s="2798"/>
      <c r="AY440" s="2798"/>
      <c r="AZ440" s="2798"/>
      <c r="BA440" s="2798"/>
      <c r="BB440" s="2798"/>
      <c r="BC440" s="2798"/>
      <c r="BD440" s="2798"/>
      <c r="BE440" s="2798"/>
      <c r="BF440" s="2798"/>
      <c r="BG440" s="2798"/>
      <c r="BH440" s="2798"/>
      <c r="BI440" s="2798"/>
      <c r="BJ440" s="2798"/>
      <c r="BK440" s="2798"/>
      <c r="BL440" s="2798"/>
      <c r="BM440" s="2798"/>
      <c r="BN440" s="2798"/>
      <c r="BO440" s="2798"/>
      <c r="BP440" s="2798"/>
    </row>
    <row r="441" spans="12:68">
      <c r="L441" s="2798"/>
      <c r="M441" s="2798"/>
      <c r="N441" s="2798"/>
      <c r="O441" s="2798"/>
      <c r="P441" s="2798"/>
      <c r="Q441" s="2798"/>
      <c r="R441" s="2798"/>
      <c r="S441" s="2798"/>
      <c r="T441" s="2798"/>
      <c r="U441" s="2798"/>
      <c r="V441" s="2798"/>
      <c r="W441" s="2798"/>
      <c r="X441" s="2798"/>
      <c r="Y441" s="2798"/>
      <c r="Z441" s="2798"/>
      <c r="AA441" s="2798"/>
      <c r="AB441" s="2798"/>
      <c r="AC441" s="2798"/>
      <c r="AD441" s="2798"/>
      <c r="AE441" s="2798"/>
      <c r="AF441" s="2798"/>
      <c r="AG441" s="2798"/>
      <c r="AH441" s="2798"/>
      <c r="AI441" s="2798"/>
      <c r="AJ441" s="2798"/>
      <c r="AK441" s="2798"/>
      <c r="AL441" s="2798"/>
      <c r="AM441" s="2798"/>
      <c r="AN441" s="2798"/>
      <c r="AO441" s="2798"/>
      <c r="AP441" s="2798"/>
      <c r="AQ441" s="2798"/>
      <c r="AR441" s="2798"/>
      <c r="AS441" s="2798"/>
      <c r="AT441" s="2798"/>
      <c r="AU441" s="2798"/>
      <c r="AV441" s="2798"/>
      <c r="AW441" s="2798"/>
      <c r="AX441" s="2798"/>
      <c r="AY441" s="2798"/>
      <c r="AZ441" s="2798"/>
      <c r="BA441" s="2798"/>
      <c r="BB441" s="2798"/>
      <c r="BC441" s="2798"/>
      <c r="BD441" s="2798"/>
      <c r="BE441" s="2798"/>
      <c r="BF441" s="2798"/>
      <c r="BG441" s="2798"/>
      <c r="BH441" s="2798"/>
      <c r="BI441" s="2798"/>
      <c r="BJ441" s="2798"/>
      <c r="BK441" s="2798"/>
      <c r="BL441" s="2798"/>
      <c r="BM441" s="2798"/>
      <c r="BN441" s="2798"/>
      <c r="BO441" s="2798"/>
      <c r="BP441" s="2798"/>
    </row>
    <row r="442" spans="12:68">
      <c r="L442" s="2798"/>
      <c r="M442" s="2798"/>
      <c r="N442" s="2798"/>
      <c r="O442" s="2798"/>
      <c r="P442" s="2798"/>
      <c r="Q442" s="2798"/>
      <c r="R442" s="2798"/>
      <c r="S442" s="2798"/>
      <c r="T442" s="2798"/>
      <c r="U442" s="2798"/>
      <c r="V442" s="2798"/>
      <c r="W442" s="2798"/>
      <c r="X442" s="2798"/>
      <c r="Y442" s="2798"/>
      <c r="Z442" s="2798"/>
      <c r="AA442" s="2798"/>
      <c r="AB442" s="2798"/>
      <c r="AC442" s="2798"/>
      <c r="AD442" s="2798"/>
      <c r="AE442" s="2798"/>
      <c r="AF442" s="2798"/>
      <c r="AG442" s="2798"/>
      <c r="AH442" s="2798"/>
      <c r="AI442" s="2798"/>
      <c r="AJ442" s="2798"/>
      <c r="AK442" s="2798"/>
      <c r="AL442" s="2798"/>
      <c r="AM442" s="2798"/>
      <c r="AN442" s="2798"/>
      <c r="AO442" s="2798"/>
      <c r="AP442" s="2798"/>
      <c r="AQ442" s="2798"/>
      <c r="AR442" s="2798"/>
      <c r="AS442" s="2798"/>
      <c r="AT442" s="2798"/>
      <c r="AU442" s="2798"/>
      <c r="AV442" s="2798"/>
      <c r="AW442" s="2798"/>
      <c r="AX442" s="2798"/>
      <c r="AY442" s="2798"/>
      <c r="AZ442" s="2798"/>
      <c r="BA442" s="2798"/>
      <c r="BB442" s="2798"/>
      <c r="BC442" s="2798"/>
      <c r="BD442" s="2798"/>
      <c r="BE442" s="2798"/>
      <c r="BF442" s="2798"/>
      <c r="BG442" s="2798"/>
      <c r="BH442" s="2798"/>
      <c r="BI442" s="2798"/>
      <c r="BJ442" s="2798"/>
      <c r="BK442" s="2798"/>
      <c r="BL442" s="2798"/>
      <c r="BM442" s="2798"/>
      <c r="BN442" s="2798"/>
      <c r="BO442" s="2798"/>
      <c r="BP442" s="2798"/>
    </row>
    <row r="443" spans="12:68">
      <c r="L443" s="2798"/>
      <c r="M443" s="2798"/>
      <c r="N443" s="2798"/>
      <c r="O443" s="2798"/>
      <c r="P443" s="2798"/>
      <c r="Q443" s="2798"/>
      <c r="R443" s="2798"/>
      <c r="S443" s="2798"/>
      <c r="T443" s="2798"/>
      <c r="U443" s="2798"/>
      <c r="V443" s="2798"/>
      <c r="W443" s="2798"/>
      <c r="X443" s="2798"/>
      <c r="Y443" s="2798"/>
      <c r="Z443" s="2798"/>
      <c r="AA443" s="2798"/>
      <c r="AB443" s="2798"/>
      <c r="AC443" s="2798"/>
      <c r="AD443" s="2798"/>
      <c r="AE443" s="2798"/>
      <c r="AF443" s="2798"/>
      <c r="AG443" s="2798"/>
      <c r="AH443" s="2798"/>
      <c r="AI443" s="2798"/>
      <c r="AJ443" s="2798"/>
      <c r="AK443" s="2798"/>
      <c r="AL443" s="2798"/>
      <c r="AM443" s="2798"/>
      <c r="AN443" s="2798"/>
      <c r="AO443" s="2798"/>
      <c r="AP443" s="2798"/>
      <c r="AQ443" s="2798"/>
      <c r="AR443" s="2798"/>
      <c r="AS443" s="2798"/>
      <c r="AT443" s="2798"/>
      <c r="AU443" s="2798"/>
      <c r="AV443" s="2798"/>
      <c r="AW443" s="2798"/>
      <c r="AX443" s="2798"/>
      <c r="AY443" s="2798"/>
      <c r="AZ443" s="2798"/>
      <c r="BA443" s="2798"/>
      <c r="BB443" s="2798"/>
      <c r="BC443" s="2798"/>
      <c r="BD443" s="2798"/>
      <c r="BE443" s="2798"/>
      <c r="BF443" s="2798"/>
      <c r="BG443" s="2798"/>
      <c r="BH443" s="2798"/>
      <c r="BI443" s="2798"/>
      <c r="BJ443" s="2798"/>
      <c r="BK443" s="2798"/>
      <c r="BL443" s="2798"/>
      <c r="BM443" s="2798"/>
      <c r="BN443" s="2798"/>
      <c r="BO443" s="2798"/>
      <c r="BP443" s="2798"/>
    </row>
    <row r="444" spans="12:68">
      <c r="L444" s="2798"/>
      <c r="M444" s="2798"/>
      <c r="N444" s="2798"/>
      <c r="O444" s="2798"/>
      <c r="P444" s="2798"/>
      <c r="Q444" s="2798"/>
      <c r="R444" s="2798"/>
      <c r="S444" s="2798"/>
      <c r="T444" s="2798"/>
      <c r="U444" s="2798"/>
      <c r="V444" s="2798"/>
      <c r="W444" s="2798"/>
      <c r="X444" s="2798"/>
      <c r="Y444" s="2798"/>
      <c r="Z444" s="2798"/>
      <c r="AA444" s="2798"/>
      <c r="AB444" s="2798"/>
      <c r="AC444" s="2798"/>
      <c r="AD444" s="2798"/>
      <c r="AE444" s="2798"/>
      <c r="AF444" s="2798"/>
      <c r="AG444" s="2798"/>
      <c r="AH444" s="2798"/>
      <c r="AI444" s="2798"/>
      <c r="AJ444" s="2798"/>
      <c r="AK444" s="2798"/>
      <c r="AL444" s="2798"/>
      <c r="AM444" s="2798"/>
      <c r="AN444" s="2798"/>
      <c r="AO444" s="2798"/>
      <c r="AP444" s="2798"/>
      <c r="AQ444" s="2798"/>
      <c r="AR444" s="2798"/>
      <c r="AS444" s="2798"/>
      <c r="AT444" s="2798"/>
      <c r="AU444" s="2798"/>
      <c r="AV444" s="2798"/>
      <c r="AW444" s="2798"/>
      <c r="AX444" s="2798"/>
      <c r="AY444" s="2798"/>
      <c r="AZ444" s="2798"/>
      <c r="BA444" s="2798"/>
      <c r="BB444" s="2798"/>
      <c r="BC444" s="2798"/>
      <c r="BD444" s="2798"/>
      <c r="BE444" s="2798"/>
      <c r="BF444" s="2798"/>
      <c r="BG444" s="2798"/>
      <c r="BH444" s="2798"/>
      <c r="BI444" s="2798"/>
      <c r="BJ444" s="2798"/>
      <c r="BK444" s="2798"/>
      <c r="BL444" s="2798"/>
      <c r="BM444" s="2798"/>
      <c r="BN444" s="2798"/>
      <c r="BO444" s="2798"/>
      <c r="BP444" s="2798"/>
    </row>
    <row r="445" spans="12:68">
      <c r="L445" s="2798"/>
      <c r="M445" s="2798"/>
      <c r="N445" s="2798"/>
      <c r="O445" s="2798"/>
      <c r="P445" s="2798"/>
      <c r="Q445" s="2798"/>
      <c r="R445" s="2798"/>
      <c r="S445" s="2798"/>
      <c r="T445" s="2798"/>
      <c r="U445" s="2798"/>
      <c r="V445" s="2798"/>
      <c r="W445" s="2798"/>
      <c r="X445" s="2798"/>
      <c r="Y445" s="2798"/>
      <c r="Z445" s="2798"/>
      <c r="AA445" s="2798"/>
      <c r="AB445" s="2798"/>
      <c r="AC445" s="2798"/>
      <c r="AD445" s="2798"/>
      <c r="AE445" s="2798"/>
      <c r="AF445" s="2798"/>
      <c r="AG445" s="2798"/>
      <c r="AH445" s="2798"/>
      <c r="AI445" s="2798"/>
      <c r="AJ445" s="2798"/>
      <c r="AK445" s="2798"/>
      <c r="AL445" s="2798"/>
      <c r="AM445" s="2798"/>
      <c r="AN445" s="2798"/>
      <c r="AO445" s="2798"/>
      <c r="AP445" s="2798"/>
      <c r="AQ445" s="2798"/>
      <c r="AR445" s="2798"/>
      <c r="AS445" s="2798"/>
      <c r="AT445" s="2798"/>
      <c r="AU445" s="2798"/>
      <c r="AV445" s="2798"/>
      <c r="AW445" s="2798"/>
      <c r="AX445" s="2798"/>
      <c r="AY445" s="2798"/>
      <c r="AZ445" s="2798"/>
      <c r="BA445" s="2798"/>
      <c r="BB445" s="2798"/>
      <c r="BC445" s="2798"/>
      <c r="BD445" s="2798"/>
      <c r="BE445" s="2798"/>
      <c r="BF445" s="2798"/>
      <c r="BG445" s="2798"/>
      <c r="BH445" s="2798"/>
      <c r="BI445" s="2798"/>
      <c r="BJ445" s="2798"/>
      <c r="BK445" s="2798"/>
      <c r="BL445" s="2798"/>
      <c r="BM445" s="2798"/>
      <c r="BN445" s="2798"/>
      <c r="BO445" s="2798"/>
      <c r="BP445" s="2798"/>
    </row>
    <row r="446" spans="12:68">
      <c r="L446" s="2798"/>
      <c r="M446" s="2798"/>
      <c r="N446" s="2798"/>
      <c r="O446" s="2798"/>
      <c r="P446" s="2798"/>
      <c r="Q446" s="2798"/>
      <c r="R446" s="2798"/>
      <c r="S446" s="2798"/>
      <c r="T446" s="2798"/>
      <c r="U446" s="2798"/>
      <c r="V446" s="2798"/>
      <c r="W446" s="2798"/>
      <c r="X446" s="2798"/>
      <c r="Y446" s="2798"/>
      <c r="Z446" s="2798"/>
      <c r="AA446" s="2798"/>
      <c r="AB446" s="2798"/>
      <c r="AC446" s="2798"/>
      <c r="AD446" s="2798"/>
      <c r="AE446" s="2798"/>
      <c r="AF446" s="2798"/>
      <c r="AG446" s="2798"/>
      <c r="AH446" s="2798"/>
      <c r="AI446" s="2798"/>
      <c r="AJ446" s="2798"/>
      <c r="AK446" s="2798"/>
      <c r="AL446" s="2798"/>
      <c r="AM446" s="2798"/>
      <c r="AN446" s="2798"/>
      <c r="AO446" s="2798"/>
      <c r="AP446" s="2798"/>
      <c r="AQ446" s="2798"/>
      <c r="AR446" s="2798"/>
      <c r="AS446" s="2798"/>
      <c r="AT446" s="2798"/>
      <c r="AU446" s="2798"/>
      <c r="AV446" s="2798"/>
      <c r="AW446" s="2798"/>
      <c r="AX446" s="2798"/>
      <c r="AY446" s="2798"/>
      <c r="AZ446" s="2798"/>
      <c r="BA446" s="2798"/>
      <c r="BB446" s="2798"/>
      <c r="BC446" s="2798"/>
      <c r="BD446" s="2798"/>
      <c r="BE446" s="2798"/>
      <c r="BF446" s="2798"/>
      <c r="BG446" s="2798"/>
      <c r="BH446" s="2798"/>
      <c r="BI446" s="2798"/>
      <c r="BJ446" s="2798"/>
      <c r="BK446" s="2798"/>
      <c r="BL446" s="2798"/>
      <c r="BM446" s="2798"/>
      <c r="BN446" s="2798"/>
      <c r="BO446" s="2798"/>
      <c r="BP446" s="2798"/>
    </row>
    <row r="447" spans="12:68">
      <c r="L447" s="2798"/>
      <c r="M447" s="2798"/>
      <c r="N447" s="2798"/>
      <c r="O447" s="2798"/>
      <c r="P447" s="2798"/>
      <c r="Q447" s="2798"/>
      <c r="R447" s="2798"/>
      <c r="S447" s="2798"/>
      <c r="T447" s="2798"/>
      <c r="U447" s="2798"/>
      <c r="V447" s="2798"/>
      <c r="W447" s="2798"/>
      <c r="X447" s="2798"/>
      <c r="Y447" s="2798"/>
      <c r="Z447" s="2798"/>
      <c r="AA447" s="2798"/>
      <c r="AB447" s="2798"/>
      <c r="AC447" s="2798"/>
      <c r="AD447" s="2798"/>
      <c r="AE447" s="2798"/>
      <c r="AF447" s="2798"/>
      <c r="AG447" s="2798"/>
      <c r="AH447" s="2798"/>
      <c r="AI447" s="2798"/>
      <c r="AJ447" s="2798"/>
      <c r="AK447" s="2798"/>
      <c r="AL447" s="2798"/>
      <c r="AM447" s="2798"/>
      <c r="AN447" s="2798"/>
      <c r="AO447" s="2798"/>
      <c r="AP447" s="2798"/>
      <c r="AQ447" s="2798"/>
      <c r="AR447" s="2798"/>
      <c r="AS447" s="2798"/>
      <c r="AT447" s="2798"/>
      <c r="AU447" s="2798"/>
      <c r="AV447" s="2798"/>
      <c r="AW447" s="2798"/>
      <c r="AX447" s="2798"/>
      <c r="AY447" s="2798"/>
      <c r="AZ447" s="2798"/>
      <c r="BA447" s="2798"/>
      <c r="BB447" s="2798"/>
      <c r="BC447" s="2798"/>
      <c r="BD447" s="2798"/>
      <c r="BE447" s="2798"/>
      <c r="BF447" s="2798"/>
      <c r="BG447" s="2798"/>
      <c r="BH447" s="2798"/>
      <c r="BI447" s="2798"/>
      <c r="BJ447" s="2798"/>
      <c r="BK447" s="2798"/>
      <c r="BL447" s="2798"/>
      <c r="BM447" s="2798"/>
      <c r="BN447" s="2798"/>
      <c r="BO447" s="2798"/>
      <c r="BP447" s="2798"/>
    </row>
    <row r="448" spans="12:68">
      <c r="L448" s="2798"/>
      <c r="M448" s="2798"/>
      <c r="N448" s="2798"/>
      <c r="O448" s="2798"/>
      <c r="P448" s="2798"/>
      <c r="Q448" s="2798"/>
      <c r="R448" s="2798"/>
      <c r="S448" s="2798"/>
      <c r="T448" s="2798"/>
      <c r="U448" s="2798"/>
      <c r="V448" s="2798"/>
      <c r="W448" s="2798"/>
      <c r="X448" s="2798"/>
      <c r="Y448" s="2798"/>
      <c r="Z448" s="2798"/>
      <c r="AA448" s="2798"/>
      <c r="AB448" s="2798"/>
      <c r="AC448" s="2798"/>
      <c r="AD448" s="2798"/>
      <c r="AE448" s="2798"/>
      <c r="AF448" s="2798"/>
      <c r="AG448" s="2798"/>
      <c r="AH448" s="2798"/>
      <c r="AI448" s="2798"/>
      <c r="AJ448" s="2798"/>
      <c r="AK448" s="2798"/>
      <c r="AL448" s="2798"/>
      <c r="AM448" s="2798"/>
      <c r="AN448" s="2798"/>
      <c r="AO448" s="2798"/>
      <c r="AP448" s="2798"/>
      <c r="AQ448" s="2798"/>
      <c r="AR448" s="2798"/>
      <c r="AS448" s="2798"/>
      <c r="AT448" s="2798"/>
      <c r="AU448" s="2798"/>
      <c r="AV448" s="2798"/>
      <c r="AW448" s="2798"/>
      <c r="AX448" s="2798"/>
      <c r="AY448" s="2798"/>
      <c r="AZ448" s="2798"/>
      <c r="BA448" s="2798"/>
      <c r="BB448" s="2798"/>
      <c r="BC448" s="2798"/>
      <c r="BD448" s="2798"/>
      <c r="BE448" s="2798"/>
      <c r="BF448" s="2798"/>
      <c r="BG448" s="2798"/>
      <c r="BH448" s="2798"/>
      <c r="BI448" s="2798"/>
      <c r="BJ448" s="2798"/>
      <c r="BK448" s="2798"/>
      <c r="BL448" s="2798"/>
      <c r="BM448" s="2798"/>
      <c r="BN448" s="2798"/>
      <c r="BO448" s="2798"/>
      <c r="BP448" s="2798"/>
    </row>
    <row r="449" spans="12:68">
      <c r="L449" s="2798"/>
      <c r="M449" s="2798"/>
      <c r="N449" s="2798"/>
      <c r="O449" s="2798"/>
      <c r="P449" s="2798"/>
      <c r="Q449" s="2798"/>
      <c r="R449" s="2798"/>
      <c r="S449" s="2798"/>
      <c r="T449" s="2798"/>
      <c r="U449" s="2798"/>
      <c r="V449" s="2798"/>
      <c r="W449" s="2798"/>
      <c r="X449" s="2798"/>
      <c r="Y449" s="2798"/>
      <c r="Z449" s="2798"/>
      <c r="AA449" s="2798"/>
      <c r="AB449" s="2798"/>
      <c r="AC449" s="2798"/>
      <c r="AD449" s="2798"/>
      <c r="AE449" s="2798"/>
      <c r="AF449" s="2798"/>
      <c r="AG449" s="2798"/>
      <c r="AH449" s="2798"/>
      <c r="AI449" s="2798"/>
      <c r="AJ449" s="2798"/>
      <c r="AK449" s="2798"/>
      <c r="AL449" s="2798"/>
      <c r="AM449" s="2798"/>
      <c r="AN449" s="2798"/>
      <c r="AO449" s="2798"/>
      <c r="AP449" s="2798"/>
      <c r="AQ449" s="2798"/>
      <c r="AR449" s="2798"/>
      <c r="AS449" s="2798"/>
      <c r="AT449" s="2798"/>
      <c r="AU449" s="2798"/>
      <c r="AV449" s="2798"/>
      <c r="AW449" s="2798"/>
      <c r="AX449" s="2798"/>
      <c r="AY449" s="2798"/>
      <c r="AZ449" s="2798"/>
      <c r="BA449" s="2798"/>
      <c r="BB449" s="2798"/>
      <c r="BC449" s="2798"/>
      <c r="BD449" s="2798"/>
      <c r="BE449" s="2798"/>
      <c r="BF449" s="2798"/>
      <c r="BG449" s="2798"/>
      <c r="BH449" s="2798"/>
      <c r="BI449" s="2798"/>
      <c r="BJ449" s="2798"/>
      <c r="BK449" s="2798"/>
      <c r="BL449" s="2798"/>
      <c r="BM449" s="2798"/>
      <c r="BN449" s="2798"/>
      <c r="BO449" s="2798"/>
      <c r="BP449" s="2798"/>
    </row>
    <row r="450" spans="12:68">
      <c r="L450" s="2798"/>
      <c r="M450" s="2798"/>
      <c r="N450" s="2798"/>
      <c r="O450" s="2798"/>
      <c r="P450" s="2798"/>
      <c r="Q450" s="2798"/>
      <c r="R450" s="2798"/>
      <c r="S450" s="2798"/>
      <c r="T450" s="2798"/>
      <c r="U450" s="2798"/>
      <c r="V450" s="2798"/>
      <c r="W450" s="2798"/>
      <c r="X450" s="2798"/>
      <c r="Y450" s="2798"/>
      <c r="Z450" s="2798"/>
      <c r="AA450" s="2798"/>
      <c r="AB450" s="2798"/>
      <c r="AC450" s="2798"/>
      <c r="AD450" s="2798"/>
      <c r="AE450" s="2798"/>
      <c r="AF450" s="2798"/>
      <c r="AG450" s="2798"/>
      <c r="AH450" s="2798"/>
      <c r="AI450" s="2798"/>
      <c r="AJ450" s="2798"/>
      <c r="AK450" s="2798"/>
      <c r="AL450" s="2798"/>
      <c r="AM450" s="2798"/>
      <c r="AN450" s="2798"/>
      <c r="AO450" s="2798"/>
      <c r="AP450" s="2798"/>
      <c r="AQ450" s="2798"/>
      <c r="AR450" s="2798"/>
      <c r="AS450" s="2798"/>
      <c r="AT450" s="2798"/>
      <c r="AU450" s="2798"/>
      <c r="AV450" s="2798"/>
      <c r="AW450" s="2798"/>
      <c r="AX450" s="2798"/>
      <c r="AY450" s="2798"/>
      <c r="AZ450" s="2798"/>
      <c r="BA450" s="2798"/>
      <c r="BB450" s="2798"/>
      <c r="BC450" s="2798"/>
      <c r="BD450" s="2798"/>
      <c r="BE450" s="2798"/>
      <c r="BF450" s="2798"/>
      <c r="BG450" s="2798"/>
      <c r="BH450" s="2798"/>
      <c r="BI450" s="2798"/>
      <c r="BJ450" s="2798"/>
      <c r="BK450" s="2798"/>
      <c r="BL450" s="2798"/>
      <c r="BM450" s="2798"/>
      <c r="BN450" s="2798"/>
      <c r="BO450" s="2798"/>
      <c r="BP450" s="2798"/>
    </row>
    <row r="451" spans="12:68">
      <c r="L451" s="2798"/>
      <c r="M451" s="2798"/>
      <c r="N451" s="2798"/>
      <c r="O451" s="2798"/>
      <c r="P451" s="2798"/>
      <c r="Q451" s="2798"/>
      <c r="R451" s="2798"/>
      <c r="S451" s="2798"/>
      <c r="T451" s="2798"/>
      <c r="U451" s="2798"/>
      <c r="V451" s="2798"/>
      <c r="W451" s="2798"/>
      <c r="X451" s="2798"/>
      <c r="Y451" s="2798"/>
      <c r="Z451" s="2798"/>
      <c r="AA451" s="2798"/>
      <c r="AB451" s="2798"/>
      <c r="AC451" s="2798"/>
      <c r="AD451" s="2798"/>
      <c r="AE451" s="2798"/>
      <c r="AF451" s="2798"/>
      <c r="AG451" s="2798"/>
      <c r="AH451" s="2798"/>
      <c r="AI451" s="2798"/>
      <c r="AJ451" s="2798"/>
      <c r="AK451" s="2798"/>
      <c r="AL451" s="2798"/>
      <c r="AM451" s="2798"/>
      <c r="AN451" s="2798"/>
      <c r="AO451" s="2798"/>
      <c r="AP451" s="2798"/>
      <c r="AQ451" s="2798"/>
      <c r="AR451" s="2798"/>
      <c r="AS451" s="2798"/>
      <c r="AT451" s="2798"/>
      <c r="AU451" s="2798"/>
      <c r="AV451" s="2798"/>
      <c r="AW451" s="2798"/>
      <c r="AX451" s="2798"/>
      <c r="AY451" s="2798"/>
      <c r="AZ451" s="2798"/>
      <c r="BA451" s="2798"/>
      <c r="BB451" s="2798"/>
      <c r="BC451" s="2798"/>
      <c r="BD451" s="2798"/>
      <c r="BE451" s="2798"/>
      <c r="BF451" s="2798"/>
      <c r="BG451" s="2798"/>
      <c r="BH451" s="2798"/>
      <c r="BI451" s="2798"/>
      <c r="BJ451" s="2798"/>
      <c r="BK451" s="2798"/>
      <c r="BL451" s="2798"/>
      <c r="BM451" s="2798"/>
      <c r="BN451" s="2798"/>
      <c r="BO451" s="2798"/>
      <c r="BP451" s="2798"/>
    </row>
    <row r="452" spans="12:68">
      <c r="L452" s="2798"/>
      <c r="M452" s="2798"/>
      <c r="N452" s="2798"/>
      <c r="O452" s="2798"/>
      <c r="P452" s="2798"/>
      <c r="Q452" s="2798"/>
      <c r="R452" s="2798"/>
      <c r="S452" s="2798"/>
      <c r="T452" s="2798"/>
      <c r="U452" s="2798"/>
      <c r="V452" s="2798"/>
      <c r="W452" s="2798"/>
      <c r="X452" s="2798"/>
      <c r="Y452" s="2798"/>
      <c r="Z452" s="2798"/>
      <c r="AA452" s="2798"/>
      <c r="AB452" s="2798"/>
      <c r="AC452" s="2798"/>
      <c r="AD452" s="2798"/>
      <c r="AE452" s="2798"/>
      <c r="AF452" s="2798"/>
      <c r="AG452" s="2798"/>
      <c r="AH452" s="2798"/>
      <c r="AI452" s="2798"/>
      <c r="AJ452" s="2798"/>
      <c r="AK452" s="2798"/>
      <c r="AL452" s="2798"/>
      <c r="AM452" s="2798"/>
      <c r="AN452" s="2798"/>
      <c r="AO452" s="2798"/>
      <c r="AP452" s="2798"/>
      <c r="AQ452" s="2798"/>
      <c r="AR452" s="2798"/>
      <c r="AS452" s="2798"/>
      <c r="AT452" s="2798"/>
      <c r="AU452" s="2798"/>
      <c r="AV452" s="2798"/>
      <c r="AW452" s="2798"/>
      <c r="AX452" s="2798"/>
      <c r="AY452" s="2798"/>
      <c r="AZ452" s="2798"/>
      <c r="BA452" s="2798"/>
      <c r="BB452" s="2798"/>
      <c r="BC452" s="2798"/>
      <c r="BD452" s="2798"/>
      <c r="BE452" s="2798"/>
      <c r="BF452" s="2798"/>
      <c r="BG452" s="2798"/>
      <c r="BH452" s="2798"/>
      <c r="BI452" s="2798"/>
      <c r="BJ452" s="2798"/>
      <c r="BK452" s="2798"/>
      <c r="BL452" s="2798"/>
      <c r="BM452" s="2798"/>
      <c r="BN452" s="2798"/>
      <c r="BO452" s="2798"/>
      <c r="BP452" s="2798"/>
    </row>
    <row r="453" spans="12:68">
      <c r="L453" s="2798"/>
      <c r="M453" s="2798"/>
      <c r="N453" s="2798"/>
      <c r="O453" s="2798"/>
      <c r="P453" s="2798"/>
      <c r="Q453" s="2798"/>
      <c r="R453" s="2798"/>
      <c r="S453" s="2798"/>
      <c r="T453" s="2798"/>
      <c r="U453" s="2798"/>
      <c r="V453" s="2798"/>
      <c r="W453" s="2798"/>
      <c r="X453" s="2798"/>
      <c r="Y453" s="2798"/>
      <c r="Z453" s="2798"/>
      <c r="AA453" s="2798"/>
      <c r="AB453" s="2798"/>
      <c r="AC453" s="2798"/>
      <c r="AD453" s="2798"/>
      <c r="AE453" s="2798"/>
      <c r="AF453" s="2798"/>
      <c r="AG453" s="2798"/>
      <c r="AH453" s="2798"/>
      <c r="AI453" s="2798"/>
      <c r="AJ453" s="2798"/>
      <c r="AK453" s="2798"/>
      <c r="AL453" s="2798"/>
      <c r="AM453" s="2798"/>
      <c r="AN453" s="2798"/>
      <c r="AO453" s="2798"/>
      <c r="AP453" s="2798"/>
      <c r="AQ453" s="2798"/>
      <c r="AR453" s="2798"/>
      <c r="AS453" s="2798"/>
      <c r="AT453" s="2798"/>
      <c r="AU453" s="2798"/>
      <c r="AV453" s="2798"/>
      <c r="AW453" s="2798"/>
      <c r="AX453" s="2798"/>
      <c r="AY453" s="2798"/>
      <c r="AZ453" s="2798"/>
      <c r="BA453" s="2798"/>
      <c r="BB453" s="2798"/>
      <c r="BC453" s="2798"/>
      <c r="BD453" s="2798"/>
      <c r="BE453" s="2798"/>
      <c r="BF453" s="2798"/>
      <c r="BG453" s="2798"/>
      <c r="BH453" s="2798"/>
      <c r="BI453" s="2798"/>
      <c r="BJ453" s="2798"/>
      <c r="BK453" s="2798"/>
      <c r="BL453" s="2798"/>
      <c r="BM453" s="2798"/>
      <c r="BN453" s="2798"/>
      <c r="BO453" s="2798"/>
      <c r="BP453" s="2798"/>
    </row>
    <row r="454" spans="12:68">
      <c r="L454" s="2798"/>
      <c r="M454" s="2798"/>
      <c r="N454" s="2798"/>
      <c r="O454" s="2798"/>
      <c r="P454" s="2798"/>
      <c r="Q454" s="2798"/>
      <c r="R454" s="2798"/>
      <c r="S454" s="2798"/>
      <c r="T454" s="2798"/>
      <c r="U454" s="2798"/>
      <c r="V454" s="2798"/>
      <c r="W454" s="2798"/>
      <c r="X454" s="2798"/>
      <c r="Y454" s="2798"/>
      <c r="Z454" s="2798"/>
      <c r="AA454" s="2798"/>
      <c r="AB454" s="2798"/>
      <c r="AC454" s="2798"/>
      <c r="AD454" s="2798"/>
      <c r="AE454" s="2798"/>
      <c r="AF454" s="2798"/>
      <c r="AG454" s="2798"/>
      <c r="AH454" s="2798"/>
      <c r="AI454" s="2798"/>
      <c r="AJ454" s="2798"/>
      <c r="AK454" s="2798"/>
      <c r="AL454" s="2798"/>
      <c r="AM454" s="2798"/>
      <c r="AN454" s="2798"/>
      <c r="AO454" s="2798"/>
      <c r="AP454" s="2798"/>
      <c r="AQ454" s="2798"/>
      <c r="AR454" s="2798"/>
      <c r="AS454" s="2798"/>
      <c r="AT454" s="2798"/>
      <c r="AU454" s="2798"/>
      <c r="AV454" s="2798"/>
      <c r="AW454" s="2798"/>
      <c r="AX454" s="2798"/>
      <c r="AY454" s="2798"/>
      <c r="AZ454" s="2798"/>
      <c r="BA454" s="2798"/>
      <c r="BB454" s="2798"/>
      <c r="BC454" s="2798"/>
      <c r="BD454" s="2798"/>
      <c r="BE454" s="2798"/>
      <c r="BF454" s="2798"/>
      <c r="BG454" s="2798"/>
      <c r="BH454" s="2798"/>
      <c r="BI454" s="2798"/>
      <c r="BJ454" s="2798"/>
      <c r="BK454" s="2798"/>
      <c r="BL454" s="2798"/>
      <c r="BM454" s="2798"/>
      <c r="BN454" s="2798"/>
      <c r="BO454" s="2798"/>
      <c r="BP454" s="2798"/>
    </row>
    <row r="455" spans="12:68">
      <c r="L455" s="2798"/>
      <c r="M455" s="2798"/>
      <c r="N455" s="2798"/>
      <c r="O455" s="2798"/>
      <c r="P455" s="2798"/>
      <c r="Q455" s="2798"/>
      <c r="R455" s="2798"/>
      <c r="S455" s="2798"/>
      <c r="T455" s="2798"/>
      <c r="U455" s="2798"/>
      <c r="V455" s="2798"/>
      <c r="W455" s="2798"/>
      <c r="X455" s="2798"/>
      <c r="Y455" s="2798"/>
      <c r="Z455" s="2798"/>
      <c r="AA455" s="2798"/>
      <c r="AB455" s="2798"/>
      <c r="AC455" s="2798"/>
      <c r="AD455" s="2798"/>
      <c r="AE455" s="2798"/>
      <c r="AF455" s="2798"/>
      <c r="AG455" s="2798"/>
      <c r="AH455" s="2798"/>
      <c r="AI455" s="2798"/>
      <c r="AJ455" s="2798"/>
      <c r="AK455" s="2798"/>
      <c r="AL455" s="2798"/>
      <c r="AM455" s="2798"/>
      <c r="AN455" s="2798"/>
      <c r="AO455" s="2798"/>
      <c r="AP455" s="2798"/>
      <c r="AQ455" s="2798"/>
      <c r="AR455" s="2798"/>
      <c r="AS455" s="2798"/>
      <c r="AT455" s="2798"/>
      <c r="AU455" s="2798"/>
      <c r="AV455" s="2798"/>
      <c r="AW455" s="2798"/>
      <c r="AX455" s="2798"/>
      <c r="AY455" s="2798"/>
      <c r="AZ455" s="2798"/>
      <c r="BA455" s="2798"/>
      <c r="BB455" s="2798"/>
      <c r="BC455" s="2798"/>
      <c r="BD455" s="2798"/>
      <c r="BE455" s="2798"/>
      <c r="BF455" s="2798"/>
      <c r="BG455" s="2798"/>
      <c r="BH455" s="2798"/>
      <c r="BI455" s="2798"/>
      <c r="BJ455" s="2798"/>
      <c r="BK455" s="2798"/>
      <c r="BL455" s="2798"/>
      <c r="BM455" s="2798"/>
      <c r="BN455" s="2798"/>
      <c r="BO455" s="2798"/>
      <c r="BP455" s="2798"/>
    </row>
    <row r="456" spans="12:68">
      <c r="L456" s="2798"/>
      <c r="M456" s="2798"/>
      <c r="N456" s="2798"/>
      <c r="O456" s="2798"/>
      <c r="P456" s="2798"/>
      <c r="Q456" s="2798"/>
      <c r="R456" s="2798"/>
      <c r="S456" s="2798"/>
      <c r="T456" s="2798"/>
      <c r="U456" s="2798"/>
      <c r="V456" s="2798"/>
      <c r="W456" s="2798"/>
      <c r="X456" s="2798"/>
      <c r="Y456" s="2798"/>
      <c r="Z456" s="2798"/>
      <c r="AA456" s="2798"/>
      <c r="AB456" s="2798"/>
      <c r="AC456" s="2798"/>
      <c r="AD456" s="2798"/>
      <c r="AE456" s="2798"/>
      <c r="AF456" s="2798"/>
      <c r="AG456" s="2798"/>
      <c r="AH456" s="2798"/>
      <c r="AI456" s="2798"/>
      <c r="AJ456" s="2798"/>
      <c r="AK456" s="2798"/>
      <c r="AL456" s="2798"/>
      <c r="AM456" s="2798"/>
      <c r="AN456" s="2798"/>
      <c r="AO456" s="2798"/>
      <c r="AP456" s="2798"/>
      <c r="AQ456" s="2798"/>
      <c r="AR456" s="2798"/>
      <c r="AS456" s="2798"/>
      <c r="AT456" s="2798"/>
      <c r="AU456" s="2798"/>
      <c r="AV456" s="2798"/>
      <c r="AW456" s="2798"/>
      <c r="AX456" s="2798"/>
      <c r="AY456" s="2798"/>
      <c r="AZ456" s="2798"/>
      <c r="BA456" s="2798"/>
      <c r="BB456" s="2798"/>
      <c r="BC456" s="2798"/>
      <c r="BD456" s="2798"/>
      <c r="BE456" s="2798"/>
      <c r="BF456" s="2798"/>
      <c r="BG456" s="2798"/>
      <c r="BH456" s="2798"/>
      <c r="BI456" s="2798"/>
      <c r="BJ456" s="2798"/>
      <c r="BK456" s="2798"/>
      <c r="BL456" s="2798"/>
      <c r="BM456" s="2798"/>
      <c r="BN456" s="2798"/>
      <c r="BO456" s="2798"/>
      <c r="BP456" s="2798"/>
    </row>
    <row r="457" spans="12:68">
      <c r="L457" s="2798"/>
      <c r="M457" s="2798"/>
      <c r="N457" s="2798"/>
      <c r="O457" s="2798"/>
      <c r="P457" s="2798"/>
      <c r="Q457" s="2798"/>
      <c r="R457" s="2798"/>
      <c r="S457" s="2798"/>
      <c r="T457" s="2798"/>
      <c r="U457" s="2798"/>
      <c r="V457" s="2798"/>
      <c r="W457" s="2798"/>
      <c r="X457" s="2798"/>
      <c r="Y457" s="2798"/>
      <c r="Z457" s="2798"/>
      <c r="AA457" s="2798"/>
      <c r="AB457" s="2798"/>
      <c r="AC457" s="2798"/>
      <c r="AD457" s="2798"/>
      <c r="AE457" s="2798"/>
      <c r="AF457" s="2798"/>
      <c r="AG457" s="2798"/>
      <c r="AH457" s="2798"/>
      <c r="AI457" s="2798"/>
      <c r="AJ457" s="2798"/>
      <c r="AK457" s="2798"/>
      <c r="AL457" s="2798"/>
      <c r="AM457" s="2798"/>
      <c r="AN457" s="2798"/>
      <c r="AO457" s="2798"/>
      <c r="AP457" s="2798"/>
      <c r="AQ457" s="2798"/>
      <c r="AR457" s="2798"/>
      <c r="AS457" s="2798"/>
      <c r="AT457" s="2798"/>
      <c r="AU457" s="2798"/>
      <c r="AV457" s="2798"/>
      <c r="AW457" s="2798"/>
      <c r="AX457" s="2798"/>
      <c r="AY457" s="2798"/>
      <c r="AZ457" s="2798"/>
      <c r="BA457" s="2798"/>
      <c r="BB457" s="2798"/>
      <c r="BC457" s="2798"/>
      <c r="BD457" s="2798"/>
      <c r="BE457" s="2798"/>
      <c r="BF457" s="2798"/>
      <c r="BG457" s="2798"/>
      <c r="BH457" s="2798"/>
      <c r="BI457" s="2798"/>
      <c r="BJ457" s="2798"/>
      <c r="BK457" s="2798"/>
      <c r="BL457" s="2798"/>
      <c r="BM457" s="2798"/>
      <c r="BN457" s="2798"/>
      <c r="BO457" s="2798"/>
      <c r="BP457" s="2798"/>
    </row>
    <row r="458" spans="12:68">
      <c r="L458" s="2798"/>
      <c r="M458" s="2798"/>
      <c r="N458" s="2798"/>
      <c r="O458" s="2798"/>
      <c r="P458" s="2798"/>
      <c r="Q458" s="2798"/>
      <c r="R458" s="2798"/>
      <c r="S458" s="2798"/>
      <c r="T458" s="2798"/>
      <c r="U458" s="2798"/>
      <c r="V458" s="2798"/>
      <c r="W458" s="2798"/>
      <c r="X458" s="2798"/>
      <c r="Y458" s="2798"/>
      <c r="Z458" s="2798"/>
      <c r="AA458" s="2798"/>
      <c r="AB458" s="2798"/>
      <c r="AC458" s="2798"/>
      <c r="AD458" s="2798"/>
      <c r="AE458" s="2798"/>
      <c r="AF458" s="2798"/>
      <c r="AG458" s="2798"/>
      <c r="AH458" s="2798"/>
      <c r="AI458" s="2798"/>
      <c r="AJ458" s="2798"/>
      <c r="AK458" s="2798"/>
      <c r="AL458" s="2798"/>
      <c r="AM458" s="2798"/>
      <c r="AN458" s="2798"/>
      <c r="AO458" s="2798"/>
      <c r="AP458" s="2798"/>
      <c r="AQ458" s="2798"/>
      <c r="AR458" s="2798"/>
      <c r="AS458" s="2798"/>
      <c r="AT458" s="2798"/>
      <c r="AU458" s="2798"/>
      <c r="AV458" s="2798"/>
      <c r="AW458" s="2798"/>
      <c r="AX458" s="2798"/>
      <c r="AY458" s="2798"/>
      <c r="AZ458" s="2798"/>
      <c r="BA458" s="2798"/>
      <c r="BB458" s="2798"/>
      <c r="BC458" s="2798"/>
      <c r="BD458" s="2798"/>
      <c r="BE458" s="2798"/>
      <c r="BF458" s="2798"/>
      <c r="BG458" s="2798"/>
      <c r="BH458" s="2798"/>
      <c r="BI458" s="2798"/>
      <c r="BJ458" s="2798"/>
      <c r="BK458" s="2798"/>
      <c r="BL458" s="2798"/>
      <c r="BM458" s="2798"/>
      <c r="BN458" s="2798"/>
      <c r="BO458" s="2798"/>
      <c r="BP458" s="2798"/>
    </row>
    <row r="459" spans="12:68">
      <c r="L459" s="2798"/>
      <c r="M459" s="2798"/>
      <c r="N459" s="2798"/>
      <c r="O459" s="2798"/>
      <c r="P459" s="2798"/>
      <c r="Q459" s="2798"/>
      <c r="R459" s="2798"/>
      <c r="S459" s="2798"/>
      <c r="T459" s="2798"/>
      <c r="U459" s="2798"/>
      <c r="V459" s="2798"/>
      <c r="W459" s="2798"/>
      <c r="X459" s="2798"/>
      <c r="Y459" s="2798"/>
      <c r="Z459" s="2798"/>
      <c r="AA459" s="2798"/>
      <c r="AB459" s="2798"/>
      <c r="AC459" s="2798"/>
      <c r="AD459" s="2798"/>
      <c r="AE459" s="2798"/>
      <c r="AF459" s="2798"/>
      <c r="AG459" s="2798"/>
      <c r="AH459" s="2798"/>
      <c r="AI459" s="2798"/>
      <c r="AJ459" s="2798"/>
      <c r="AK459" s="2798"/>
      <c r="AL459" s="2798"/>
      <c r="AM459" s="2798"/>
      <c r="AN459" s="2798"/>
      <c r="AO459" s="2798"/>
      <c r="AP459" s="2798"/>
      <c r="AQ459" s="2798"/>
      <c r="AR459" s="2798"/>
      <c r="AS459" s="2798"/>
      <c r="AT459" s="2798"/>
      <c r="AU459" s="2798"/>
      <c r="AV459" s="2798"/>
      <c r="AW459" s="2798"/>
      <c r="AX459" s="2798"/>
      <c r="AY459" s="2798"/>
      <c r="AZ459" s="2798"/>
      <c r="BA459" s="2798"/>
      <c r="BB459" s="2798"/>
      <c r="BC459" s="2798"/>
      <c r="BD459" s="2798"/>
      <c r="BE459" s="2798"/>
      <c r="BF459" s="2798"/>
      <c r="BG459" s="2798"/>
      <c r="BH459" s="2798"/>
      <c r="BI459" s="2798"/>
      <c r="BJ459" s="2798"/>
      <c r="BK459" s="2798"/>
      <c r="BL459" s="2798"/>
      <c r="BM459" s="2798"/>
      <c r="BN459" s="2798"/>
      <c r="BO459" s="2798"/>
      <c r="BP459" s="2798"/>
    </row>
    <row r="460" spans="12:68">
      <c r="L460" s="2798"/>
      <c r="M460" s="2798"/>
      <c r="N460" s="2798"/>
      <c r="O460" s="2798"/>
      <c r="P460" s="2798"/>
      <c r="Q460" s="2798"/>
      <c r="R460" s="2798"/>
      <c r="S460" s="2798"/>
      <c r="T460" s="2798"/>
      <c r="U460" s="2798"/>
      <c r="V460" s="2798"/>
      <c r="W460" s="2798"/>
      <c r="X460" s="2798"/>
      <c r="Y460" s="2798"/>
      <c r="Z460" s="2798"/>
      <c r="AA460" s="2798"/>
      <c r="AB460" s="2798"/>
      <c r="AC460" s="2798"/>
      <c r="AD460" s="2798"/>
      <c r="AE460" s="2798"/>
      <c r="AF460" s="2798"/>
      <c r="AG460" s="2798"/>
      <c r="AH460" s="2798"/>
      <c r="AI460" s="2798"/>
      <c r="AJ460" s="2798"/>
      <c r="AK460" s="2798"/>
      <c r="AL460" s="2798"/>
      <c r="AM460" s="2798"/>
      <c r="AN460" s="2798"/>
      <c r="AO460" s="2798"/>
      <c r="AP460" s="2798"/>
      <c r="AQ460" s="2798"/>
      <c r="AR460" s="2798"/>
      <c r="AS460" s="2798"/>
      <c r="AT460" s="2798"/>
      <c r="AU460" s="2798"/>
      <c r="AV460" s="2798"/>
      <c r="AW460" s="2798"/>
      <c r="AX460" s="2798"/>
      <c r="AY460" s="2798"/>
      <c r="AZ460" s="2798"/>
      <c r="BA460" s="2798"/>
      <c r="BB460" s="2798"/>
      <c r="BC460" s="2798"/>
      <c r="BD460" s="2798"/>
      <c r="BE460" s="2798"/>
      <c r="BF460" s="2798"/>
      <c r="BG460" s="2798"/>
      <c r="BH460" s="2798"/>
      <c r="BI460" s="2798"/>
      <c r="BJ460" s="2798"/>
      <c r="BK460" s="2798"/>
      <c r="BL460" s="2798"/>
      <c r="BM460" s="2798"/>
      <c r="BN460" s="2798"/>
      <c r="BO460" s="2798"/>
      <c r="BP460" s="2798"/>
    </row>
    <row r="461" spans="12:68">
      <c r="L461" s="2798"/>
      <c r="M461" s="2798"/>
      <c r="N461" s="2798"/>
      <c r="O461" s="2798"/>
      <c r="P461" s="2798"/>
      <c r="Q461" s="2798"/>
      <c r="R461" s="2798"/>
      <c r="S461" s="2798"/>
      <c r="T461" s="2798"/>
      <c r="U461" s="2798"/>
      <c r="V461" s="2798"/>
      <c r="W461" s="2798"/>
      <c r="X461" s="2798"/>
      <c r="Y461" s="2798"/>
      <c r="Z461" s="2798"/>
      <c r="AA461" s="2798"/>
      <c r="AB461" s="2798"/>
      <c r="AC461" s="2798"/>
      <c r="AD461" s="2798"/>
      <c r="AE461" s="2798"/>
      <c r="AF461" s="2798"/>
      <c r="AG461" s="2798"/>
      <c r="AH461" s="2798"/>
      <c r="AI461" s="2798"/>
      <c r="AJ461" s="2798"/>
      <c r="AK461" s="2798"/>
      <c r="AL461" s="2798"/>
      <c r="AM461" s="2798"/>
      <c r="AN461" s="2798"/>
      <c r="AO461" s="2798"/>
      <c r="AP461" s="2798"/>
      <c r="AQ461" s="2798"/>
      <c r="AR461" s="2798"/>
      <c r="AS461" s="2798"/>
      <c r="AT461" s="2798"/>
      <c r="AU461" s="2798"/>
      <c r="AV461" s="2798"/>
      <c r="AW461" s="2798"/>
      <c r="AX461" s="2798"/>
      <c r="AY461" s="2798"/>
      <c r="AZ461" s="2798"/>
      <c r="BA461" s="2798"/>
      <c r="BB461" s="2798"/>
      <c r="BC461" s="2798"/>
      <c r="BD461" s="2798"/>
      <c r="BE461" s="2798"/>
      <c r="BF461" s="2798"/>
      <c r="BG461" s="2798"/>
      <c r="BH461" s="2798"/>
      <c r="BI461" s="2798"/>
      <c r="BJ461" s="2798"/>
      <c r="BK461" s="2798"/>
      <c r="BL461" s="2798"/>
      <c r="BM461" s="2798"/>
      <c r="BN461" s="2798"/>
      <c r="BO461" s="2798"/>
      <c r="BP461" s="2798"/>
    </row>
    <row r="462" spans="12:68">
      <c r="L462" s="2798"/>
      <c r="M462" s="2798"/>
      <c r="N462" s="2798"/>
      <c r="O462" s="2798"/>
      <c r="P462" s="2798"/>
      <c r="Q462" s="2798"/>
      <c r="R462" s="2798"/>
      <c r="S462" s="2798"/>
      <c r="T462" s="2798"/>
      <c r="U462" s="2798"/>
      <c r="V462" s="2798"/>
      <c r="W462" s="2798"/>
      <c r="X462" s="2798"/>
      <c r="Y462" s="2798"/>
      <c r="Z462" s="2798"/>
      <c r="AA462" s="2798"/>
      <c r="AB462" s="2798"/>
      <c r="AC462" s="2798"/>
      <c r="AD462" s="2798"/>
      <c r="AE462" s="2798"/>
      <c r="AF462" s="2798"/>
      <c r="AG462" s="2798"/>
      <c r="AH462" s="2798"/>
      <c r="AI462" s="2798"/>
      <c r="AJ462" s="2798"/>
      <c r="AK462" s="2798"/>
      <c r="AL462" s="2798"/>
      <c r="AM462" s="2798"/>
      <c r="AN462" s="2798"/>
      <c r="AO462" s="2798"/>
      <c r="AP462" s="2798"/>
      <c r="AQ462" s="2798"/>
      <c r="AR462" s="2798"/>
      <c r="AS462" s="2798"/>
      <c r="AT462" s="2798"/>
      <c r="AU462" s="2798"/>
      <c r="AV462" s="2798"/>
      <c r="AW462" s="2798"/>
      <c r="AX462" s="2798"/>
      <c r="AY462" s="2798"/>
      <c r="AZ462" s="2798"/>
      <c r="BA462" s="2798"/>
      <c r="BB462" s="2798"/>
      <c r="BC462" s="2798"/>
      <c r="BD462" s="2798"/>
      <c r="BE462" s="2798"/>
      <c r="BF462" s="2798"/>
      <c r="BG462" s="2798"/>
      <c r="BH462" s="2798"/>
      <c r="BI462" s="2798"/>
      <c r="BJ462" s="2798"/>
      <c r="BK462" s="2798"/>
      <c r="BL462" s="2798"/>
      <c r="BM462" s="2798"/>
      <c r="BN462" s="2798"/>
      <c r="BO462" s="2798"/>
      <c r="BP462" s="2798"/>
    </row>
    <row r="463" spans="12:68">
      <c r="L463" s="2798"/>
      <c r="M463" s="2798"/>
      <c r="N463" s="2798"/>
      <c r="O463" s="2798"/>
      <c r="P463" s="2798"/>
      <c r="Q463" s="2798"/>
      <c r="R463" s="2798"/>
      <c r="S463" s="2798"/>
      <c r="T463" s="2798"/>
      <c r="U463" s="2798"/>
      <c r="V463" s="2798"/>
      <c r="W463" s="2798"/>
      <c r="X463" s="2798"/>
      <c r="Y463" s="2798"/>
      <c r="Z463" s="2798"/>
      <c r="AA463" s="2798"/>
      <c r="AB463" s="2798"/>
      <c r="AC463" s="2798"/>
      <c r="AD463" s="2798"/>
      <c r="AE463" s="2798"/>
      <c r="AF463" s="2798"/>
      <c r="AG463" s="2798"/>
      <c r="AH463" s="2798"/>
      <c r="AI463" s="2798"/>
      <c r="AJ463" s="2798"/>
      <c r="AK463" s="2798"/>
      <c r="AL463" s="2798"/>
      <c r="AM463" s="2798"/>
      <c r="AN463" s="2798"/>
      <c r="AO463" s="2798"/>
      <c r="AP463" s="2798"/>
      <c r="AQ463" s="2798"/>
      <c r="AR463" s="2798"/>
      <c r="AS463" s="2798"/>
      <c r="AT463" s="2798"/>
      <c r="AU463" s="2798"/>
      <c r="AV463" s="2798"/>
      <c r="AW463" s="2798"/>
      <c r="AX463" s="2798"/>
      <c r="AY463" s="2798"/>
      <c r="AZ463" s="2798"/>
      <c r="BA463" s="2798"/>
      <c r="BB463" s="2798"/>
      <c r="BC463" s="2798"/>
      <c r="BD463" s="2798"/>
      <c r="BE463" s="2798"/>
      <c r="BF463" s="2798"/>
      <c r="BG463" s="2798"/>
      <c r="BH463" s="2798"/>
      <c r="BI463" s="2798"/>
      <c r="BJ463" s="2798"/>
      <c r="BK463" s="2798"/>
      <c r="BL463" s="2798"/>
      <c r="BM463" s="2798"/>
      <c r="BN463" s="2798"/>
      <c r="BO463" s="2798"/>
      <c r="BP463" s="2798"/>
    </row>
    <row r="464" spans="12:68">
      <c r="L464" s="2798"/>
      <c r="M464" s="2798"/>
      <c r="N464" s="2798"/>
      <c r="O464" s="2798"/>
      <c r="P464" s="2798"/>
      <c r="Q464" s="2798"/>
      <c r="R464" s="2798"/>
      <c r="S464" s="2798"/>
      <c r="T464" s="2798"/>
      <c r="U464" s="2798"/>
      <c r="V464" s="2798"/>
      <c r="W464" s="2798"/>
      <c r="X464" s="2798"/>
      <c r="Y464" s="2798"/>
      <c r="Z464" s="2798"/>
      <c r="AA464" s="2798"/>
      <c r="AB464" s="2798"/>
      <c r="AC464" s="2798"/>
      <c r="AD464" s="2798"/>
      <c r="AE464" s="2798"/>
      <c r="AF464" s="2798"/>
      <c r="AG464" s="2798"/>
      <c r="AH464" s="2798"/>
      <c r="AI464" s="2798"/>
      <c r="AJ464" s="2798"/>
      <c r="AK464" s="2798"/>
      <c r="AL464" s="2798"/>
      <c r="AM464" s="2798"/>
      <c r="AN464" s="2798"/>
      <c r="AO464" s="2798"/>
      <c r="AP464" s="2798"/>
      <c r="AQ464" s="2798"/>
      <c r="AR464" s="2798"/>
      <c r="AS464" s="2798"/>
      <c r="AT464" s="2798"/>
      <c r="AU464" s="2798"/>
      <c r="AV464" s="2798"/>
      <c r="AW464" s="2798"/>
      <c r="AX464" s="2798"/>
      <c r="AY464" s="2798"/>
      <c r="AZ464" s="2798"/>
      <c r="BA464" s="2798"/>
      <c r="BB464" s="2798"/>
      <c r="BC464" s="2798"/>
      <c r="BD464" s="2798"/>
      <c r="BE464" s="2798"/>
      <c r="BF464" s="2798"/>
      <c r="BG464" s="2798"/>
      <c r="BH464" s="2798"/>
      <c r="BI464" s="2798"/>
      <c r="BJ464" s="2798"/>
      <c r="BK464" s="2798"/>
      <c r="BL464" s="2798"/>
      <c r="BM464" s="2798"/>
      <c r="BN464" s="2798"/>
      <c r="BO464" s="2798"/>
      <c r="BP464" s="2798"/>
    </row>
    <row r="465" spans="12:68">
      <c r="L465" s="2798"/>
      <c r="M465" s="2798"/>
      <c r="N465" s="2798"/>
      <c r="O465" s="2798"/>
      <c r="P465" s="2798"/>
      <c r="Q465" s="2798"/>
      <c r="R465" s="2798"/>
      <c r="S465" s="2798"/>
      <c r="T465" s="2798"/>
      <c r="U465" s="2798"/>
      <c r="V465" s="2798"/>
      <c r="W465" s="2798"/>
      <c r="X465" s="2798"/>
      <c r="Y465" s="2798"/>
      <c r="Z465" s="2798"/>
      <c r="AA465" s="2798"/>
      <c r="AB465" s="2798"/>
      <c r="AC465" s="2798"/>
      <c r="AD465" s="2798"/>
      <c r="AE465" s="2798"/>
      <c r="AF465" s="2798"/>
      <c r="AG465" s="2798"/>
      <c r="AH465" s="2798"/>
      <c r="AI465" s="2798"/>
      <c r="AJ465" s="2798"/>
      <c r="AK465" s="2798"/>
      <c r="AL465" s="2798"/>
      <c r="AM465" s="2798"/>
      <c r="AN465" s="2798"/>
      <c r="AO465" s="2798"/>
      <c r="AP465" s="2798"/>
      <c r="AQ465" s="2798"/>
      <c r="AR465" s="2798"/>
      <c r="AS465" s="2798"/>
      <c r="AT465" s="2798"/>
      <c r="AU465" s="2798"/>
      <c r="AV465" s="2798"/>
      <c r="AW465" s="2798"/>
      <c r="AX465" s="2798"/>
      <c r="AY465" s="2798"/>
      <c r="AZ465" s="2798"/>
      <c r="BA465" s="2798"/>
      <c r="BB465" s="2798"/>
      <c r="BC465" s="2798"/>
      <c r="BD465" s="2798"/>
      <c r="BE465" s="2798"/>
      <c r="BF465" s="2798"/>
      <c r="BG465" s="2798"/>
      <c r="BH465" s="2798"/>
      <c r="BI465" s="2798"/>
      <c r="BJ465" s="2798"/>
      <c r="BK465" s="2798"/>
      <c r="BL465" s="2798"/>
      <c r="BM465" s="2798"/>
      <c r="BN465" s="2798"/>
      <c r="BO465" s="2798"/>
      <c r="BP465" s="2798"/>
    </row>
    <row r="466" spans="12:68">
      <c r="L466" s="2798"/>
      <c r="M466" s="2798"/>
      <c r="N466" s="2798"/>
      <c r="O466" s="2798"/>
      <c r="P466" s="2798"/>
      <c r="Q466" s="2798"/>
      <c r="R466" s="2798"/>
      <c r="S466" s="2798"/>
      <c r="T466" s="2798"/>
      <c r="U466" s="2798"/>
      <c r="V466" s="2798"/>
      <c r="W466" s="2798"/>
      <c r="X466" s="2798"/>
      <c r="Y466" s="2798"/>
      <c r="Z466" s="2798"/>
      <c r="AA466" s="2798"/>
      <c r="AB466" s="2798"/>
      <c r="AC466" s="2798"/>
      <c r="AD466" s="2798"/>
      <c r="AE466" s="2798"/>
      <c r="AF466" s="2798"/>
      <c r="AG466" s="2798"/>
      <c r="AH466" s="2798"/>
      <c r="AI466" s="2798"/>
      <c r="AJ466" s="2798"/>
      <c r="AK466" s="2798"/>
      <c r="AL466" s="2798"/>
      <c r="AM466" s="2798"/>
      <c r="AN466" s="2798"/>
      <c r="AO466" s="2798"/>
      <c r="AP466" s="2798"/>
      <c r="AQ466" s="2798"/>
      <c r="AR466" s="2798"/>
      <c r="AS466" s="2798"/>
      <c r="AT466" s="2798"/>
      <c r="AU466" s="2798"/>
      <c r="AV466" s="2798"/>
      <c r="AW466" s="2798"/>
      <c r="AX466" s="2798"/>
      <c r="AY466" s="2798"/>
      <c r="AZ466" s="2798"/>
      <c r="BA466" s="2798"/>
      <c r="BB466" s="2798"/>
      <c r="BC466" s="2798"/>
      <c r="BD466" s="2798"/>
      <c r="BE466" s="2798"/>
      <c r="BF466" s="2798"/>
      <c r="BG466" s="2798"/>
      <c r="BH466" s="2798"/>
      <c r="BI466" s="2798"/>
      <c r="BJ466" s="2798"/>
      <c r="BK466" s="2798"/>
      <c r="BL466" s="2798"/>
      <c r="BM466" s="2798"/>
      <c r="BN466" s="2798"/>
      <c r="BO466" s="2798"/>
      <c r="BP466" s="2798"/>
    </row>
    <row r="467" spans="12:68">
      <c r="L467" s="2798"/>
      <c r="M467" s="2798"/>
      <c r="N467" s="2798"/>
      <c r="O467" s="2798"/>
      <c r="P467" s="2798"/>
      <c r="Q467" s="2798"/>
      <c r="R467" s="2798"/>
      <c r="S467" s="2798"/>
      <c r="T467" s="2798"/>
      <c r="U467" s="2798"/>
      <c r="V467" s="2798"/>
      <c r="W467" s="2798"/>
      <c r="X467" s="2798"/>
      <c r="Y467" s="2798"/>
      <c r="Z467" s="2798"/>
      <c r="AA467" s="2798"/>
      <c r="AB467" s="2798"/>
      <c r="AC467" s="2798"/>
      <c r="AD467" s="2798"/>
      <c r="AE467" s="2798"/>
      <c r="AF467" s="2798"/>
      <c r="AG467" s="2798"/>
      <c r="AH467" s="2798"/>
      <c r="AI467" s="2798"/>
      <c r="AJ467" s="2798"/>
      <c r="AK467" s="2798"/>
      <c r="AL467" s="2798"/>
      <c r="AM467" s="2798"/>
      <c r="AN467" s="2798"/>
      <c r="AO467" s="2798"/>
      <c r="AP467" s="2798"/>
      <c r="AQ467" s="2798"/>
      <c r="AR467" s="2798"/>
      <c r="AS467" s="2798"/>
      <c r="AT467" s="2798"/>
      <c r="AU467" s="2798"/>
      <c r="AV467" s="2798"/>
      <c r="AW467" s="2798"/>
      <c r="AX467" s="2798"/>
      <c r="AY467" s="2798"/>
      <c r="AZ467" s="2798"/>
      <c r="BA467" s="2798"/>
      <c r="BB467" s="2798"/>
      <c r="BC467" s="2798"/>
      <c r="BD467" s="2798"/>
      <c r="BE467" s="2798"/>
      <c r="BF467" s="2798"/>
      <c r="BG467" s="2798"/>
      <c r="BH467" s="2798"/>
      <c r="BI467" s="2798"/>
      <c r="BJ467" s="2798"/>
      <c r="BK467" s="2798"/>
      <c r="BL467" s="2798"/>
      <c r="BM467" s="2798"/>
      <c r="BN467" s="2798"/>
      <c r="BO467" s="2798"/>
      <c r="BP467" s="2798"/>
    </row>
    <row r="468" spans="12:68">
      <c r="L468" s="2798"/>
      <c r="M468" s="2798"/>
      <c r="N468" s="2798"/>
      <c r="O468" s="2798"/>
      <c r="P468" s="2798"/>
      <c r="Q468" s="2798"/>
      <c r="R468" s="2798"/>
      <c r="S468" s="2798"/>
      <c r="T468" s="2798"/>
      <c r="U468" s="2798"/>
      <c r="V468" s="2798"/>
      <c r="W468" s="2798"/>
      <c r="X468" s="2798"/>
      <c r="Y468" s="2798"/>
      <c r="Z468" s="2798"/>
      <c r="AA468" s="2798"/>
      <c r="AB468" s="2798"/>
      <c r="AC468" s="2798"/>
      <c r="AD468" s="2798"/>
      <c r="AE468" s="2798"/>
      <c r="AF468" s="2798"/>
      <c r="AG468" s="2798"/>
      <c r="AH468" s="2798"/>
      <c r="AI468" s="2798"/>
      <c r="AJ468" s="2798"/>
      <c r="AK468" s="2798"/>
      <c r="AL468" s="2798"/>
      <c r="AM468" s="2798"/>
      <c r="AN468" s="2798"/>
      <c r="AO468" s="2798"/>
      <c r="AP468" s="2798"/>
      <c r="AQ468" s="2798"/>
      <c r="AR468" s="2798"/>
      <c r="AS468" s="2798"/>
      <c r="AT468" s="2798"/>
      <c r="AU468" s="2798"/>
      <c r="AV468" s="2798"/>
      <c r="AW468" s="2798"/>
      <c r="AX468" s="2798"/>
      <c r="AY468" s="2798"/>
      <c r="AZ468" s="2798"/>
      <c r="BA468" s="2798"/>
      <c r="BB468" s="2798"/>
      <c r="BC468" s="2798"/>
      <c r="BD468" s="2798"/>
      <c r="BE468" s="2798"/>
      <c r="BF468" s="2798"/>
      <c r="BG468" s="2798"/>
      <c r="BH468" s="2798"/>
      <c r="BI468" s="2798"/>
      <c r="BJ468" s="2798"/>
      <c r="BK468" s="2798"/>
      <c r="BL468" s="2798"/>
      <c r="BM468" s="2798"/>
      <c r="BN468" s="2798"/>
      <c r="BO468" s="2798"/>
      <c r="BP468" s="2798"/>
    </row>
    <row r="469" spans="12:68">
      <c r="L469" s="2798"/>
      <c r="M469" s="2798"/>
      <c r="N469" s="2798"/>
      <c r="O469" s="2798"/>
      <c r="P469" s="2798"/>
      <c r="Q469" s="2798"/>
      <c r="R469" s="2798"/>
      <c r="S469" s="2798"/>
      <c r="T469" s="2798"/>
      <c r="U469" s="2798"/>
      <c r="V469" s="2798"/>
      <c r="W469" s="2798"/>
      <c r="X469" s="2798"/>
      <c r="Y469" s="2798"/>
      <c r="Z469" s="2798"/>
      <c r="AA469" s="2798"/>
      <c r="AB469" s="2798"/>
      <c r="AC469" s="2798"/>
      <c r="AD469" s="2798"/>
      <c r="AE469" s="2798"/>
      <c r="AF469" s="2798"/>
      <c r="AG469" s="2798"/>
      <c r="AH469" s="2798"/>
      <c r="AI469" s="2798"/>
      <c r="AJ469" s="2798"/>
      <c r="AK469" s="2798"/>
      <c r="AL469" s="2798"/>
      <c r="AM469" s="2798"/>
      <c r="AN469" s="2798"/>
      <c r="AO469" s="2798"/>
      <c r="AP469" s="2798"/>
      <c r="AQ469" s="2798"/>
      <c r="AR469" s="2798"/>
      <c r="AS469" s="2798"/>
      <c r="AT469" s="2798"/>
      <c r="AU469" s="2798"/>
      <c r="AV469" s="2798"/>
      <c r="AW469" s="2798"/>
      <c r="AX469" s="2798"/>
      <c r="AY469" s="2798"/>
      <c r="AZ469" s="2798"/>
      <c r="BA469" s="2798"/>
      <c r="BB469" s="2798"/>
      <c r="BC469" s="2798"/>
      <c r="BD469" s="2798"/>
      <c r="BE469" s="2798"/>
      <c r="BF469" s="2798"/>
      <c r="BG469" s="2798"/>
      <c r="BH469" s="2798"/>
      <c r="BI469" s="2798"/>
      <c r="BJ469" s="2798"/>
      <c r="BK469" s="2798"/>
      <c r="BL469" s="2798"/>
      <c r="BM469" s="2798"/>
      <c r="BN469" s="2798"/>
      <c r="BO469" s="2798"/>
      <c r="BP469" s="2798"/>
    </row>
    <row r="470" spans="12:68">
      <c r="L470" s="2798"/>
      <c r="M470" s="2798"/>
      <c r="N470" s="2798"/>
      <c r="O470" s="2798"/>
      <c r="P470" s="2798"/>
      <c r="Q470" s="2798"/>
      <c r="R470" s="2798"/>
      <c r="S470" s="2798"/>
      <c r="T470" s="2798"/>
      <c r="U470" s="2798"/>
      <c r="V470" s="2798"/>
      <c r="W470" s="2798"/>
      <c r="X470" s="2798"/>
      <c r="Y470" s="2798"/>
      <c r="Z470" s="2798"/>
      <c r="AA470" s="2798"/>
      <c r="AB470" s="2798"/>
      <c r="AC470" s="2798"/>
      <c r="AD470" s="2798"/>
      <c r="AE470" s="2798"/>
      <c r="AF470" s="2798"/>
      <c r="AG470" s="2798"/>
      <c r="AH470" s="2798"/>
      <c r="AI470" s="2798"/>
      <c r="AJ470" s="2798"/>
      <c r="AK470" s="2798"/>
      <c r="AL470" s="2798"/>
      <c r="AM470" s="2798"/>
      <c r="AN470" s="2798"/>
      <c r="AO470" s="2798"/>
      <c r="AP470" s="2798"/>
      <c r="AQ470" s="2798"/>
      <c r="AR470" s="2798"/>
      <c r="AS470" s="2798"/>
      <c r="AT470" s="2798"/>
      <c r="AU470" s="2798"/>
      <c r="AV470" s="2798"/>
      <c r="AW470" s="2798"/>
      <c r="AX470" s="2798"/>
      <c r="AY470" s="2798"/>
      <c r="AZ470" s="2798"/>
      <c r="BA470" s="2798"/>
      <c r="BB470" s="2798"/>
      <c r="BC470" s="2798"/>
      <c r="BD470" s="2798"/>
      <c r="BE470" s="2798"/>
      <c r="BF470" s="2798"/>
      <c r="BG470" s="2798"/>
      <c r="BH470" s="2798"/>
      <c r="BI470" s="2798"/>
      <c r="BJ470" s="2798"/>
      <c r="BK470" s="2798"/>
      <c r="BL470" s="2798"/>
      <c r="BM470" s="2798"/>
      <c r="BN470" s="2798"/>
      <c r="BO470" s="2798"/>
      <c r="BP470" s="2798"/>
    </row>
    <row r="471" spans="12:68">
      <c r="L471" s="2798"/>
      <c r="M471" s="2798"/>
      <c r="N471" s="2798"/>
      <c r="O471" s="2798"/>
      <c r="P471" s="2798"/>
      <c r="Q471" s="2798"/>
      <c r="R471" s="2798"/>
      <c r="S471" s="2798"/>
      <c r="T471" s="2798"/>
      <c r="U471" s="2798"/>
      <c r="V471" s="2798"/>
      <c r="W471" s="2798"/>
      <c r="X471" s="2798"/>
      <c r="Y471" s="2798"/>
      <c r="Z471" s="2798"/>
      <c r="AA471" s="2798"/>
      <c r="AB471" s="2798"/>
      <c r="AC471" s="2798"/>
      <c r="AD471" s="2798"/>
      <c r="AE471" s="2798"/>
      <c r="AF471" s="2798"/>
      <c r="AG471" s="2798"/>
      <c r="AH471" s="2798"/>
      <c r="AI471" s="2798"/>
      <c r="AJ471" s="2798"/>
      <c r="AK471" s="2798"/>
      <c r="AL471" s="2798"/>
      <c r="AM471" s="2798"/>
      <c r="AN471" s="2798"/>
      <c r="AO471" s="2798"/>
      <c r="AP471" s="2798"/>
      <c r="AQ471" s="2798"/>
      <c r="AR471" s="2798"/>
      <c r="AS471" s="2798"/>
      <c r="AT471" s="2798"/>
      <c r="AU471" s="2798"/>
      <c r="AV471" s="2798"/>
      <c r="AW471" s="2798"/>
      <c r="AX471" s="2798"/>
      <c r="AY471" s="2798"/>
      <c r="AZ471" s="2798"/>
      <c r="BA471" s="2798"/>
      <c r="BB471" s="2798"/>
      <c r="BC471" s="2798"/>
      <c r="BD471" s="2798"/>
      <c r="BE471" s="2798"/>
      <c r="BF471" s="2798"/>
      <c r="BG471" s="2798"/>
      <c r="BH471" s="2798"/>
      <c r="BI471" s="2798"/>
      <c r="BJ471" s="2798"/>
      <c r="BK471" s="2798"/>
      <c r="BL471" s="2798"/>
      <c r="BM471" s="2798"/>
      <c r="BN471" s="2798"/>
      <c r="BO471" s="2798"/>
      <c r="BP471" s="2798"/>
    </row>
    <row r="472" spans="12:68">
      <c r="L472" s="2798"/>
      <c r="M472" s="2798"/>
      <c r="N472" s="2798"/>
      <c r="O472" s="2798"/>
      <c r="P472" s="2798"/>
      <c r="Q472" s="2798"/>
      <c r="R472" s="2798"/>
      <c r="S472" s="2798"/>
      <c r="T472" s="2798"/>
      <c r="U472" s="2798"/>
      <c r="V472" s="2798"/>
      <c r="W472" s="2798"/>
      <c r="X472" s="2798"/>
      <c r="Y472" s="2798"/>
      <c r="Z472" s="2798"/>
      <c r="AA472" s="2798"/>
      <c r="AB472" s="2798"/>
      <c r="AC472" s="2798"/>
      <c r="AD472" s="2798"/>
      <c r="AE472" s="2798"/>
      <c r="AF472" s="2798"/>
      <c r="AG472" s="2798"/>
      <c r="AH472" s="2798"/>
      <c r="AI472" s="2798"/>
      <c r="AJ472" s="2798"/>
      <c r="AK472" s="2798"/>
      <c r="AL472" s="2798"/>
      <c r="AM472" s="2798"/>
      <c r="AN472" s="2798"/>
      <c r="AO472" s="2798"/>
      <c r="AP472" s="2798"/>
      <c r="AQ472" s="2798"/>
      <c r="AR472" s="2798"/>
      <c r="AS472" s="2798"/>
      <c r="AT472" s="2798"/>
      <c r="AU472" s="2798"/>
      <c r="AV472" s="2798"/>
      <c r="AW472" s="2798"/>
      <c r="AX472" s="2798"/>
      <c r="AY472" s="2798"/>
      <c r="AZ472" s="2798"/>
      <c r="BA472" s="2798"/>
      <c r="BB472" s="2798"/>
      <c r="BC472" s="2798"/>
      <c r="BD472" s="2798"/>
      <c r="BE472" s="2798"/>
      <c r="BF472" s="2798"/>
      <c r="BG472" s="2798"/>
      <c r="BH472" s="2798"/>
      <c r="BI472" s="2798"/>
      <c r="BJ472" s="2798"/>
      <c r="BK472" s="2798"/>
      <c r="BL472" s="2798"/>
      <c r="BM472" s="2798"/>
      <c r="BN472" s="2798"/>
      <c r="BO472" s="2798"/>
      <c r="BP472" s="2798"/>
    </row>
    <row r="473" spans="12:68">
      <c r="L473" s="2798"/>
      <c r="M473" s="2798"/>
      <c r="N473" s="2798"/>
      <c r="O473" s="2798"/>
      <c r="P473" s="2798"/>
      <c r="Q473" s="2798"/>
      <c r="R473" s="2798"/>
      <c r="S473" s="2798"/>
      <c r="T473" s="2798"/>
      <c r="U473" s="2798"/>
      <c r="V473" s="2798"/>
      <c r="W473" s="2798"/>
      <c r="X473" s="2798"/>
      <c r="Y473" s="2798"/>
      <c r="Z473" s="2798"/>
      <c r="AA473" s="2798"/>
      <c r="AB473" s="2798"/>
      <c r="AC473" s="2798"/>
      <c r="AD473" s="2798"/>
      <c r="AE473" s="2798"/>
      <c r="AF473" s="2798"/>
      <c r="AG473" s="2798"/>
      <c r="AH473" s="2798"/>
      <c r="AI473" s="2798"/>
      <c r="AJ473" s="2798"/>
      <c r="AK473" s="2798"/>
      <c r="AL473" s="2798"/>
      <c r="AM473" s="2798"/>
      <c r="AN473" s="2798"/>
      <c r="AO473" s="2798"/>
      <c r="AP473" s="2798"/>
      <c r="AQ473" s="2798"/>
      <c r="AR473" s="2798"/>
      <c r="AS473" s="2798"/>
      <c r="AT473" s="2798"/>
      <c r="AU473" s="2798"/>
      <c r="AV473" s="2798"/>
      <c r="AW473" s="2798"/>
      <c r="AX473" s="2798"/>
      <c r="AY473" s="2798"/>
      <c r="AZ473" s="2798"/>
      <c r="BA473" s="2798"/>
      <c r="BB473" s="2798"/>
      <c r="BC473" s="2798"/>
      <c r="BD473" s="2798"/>
      <c r="BE473" s="2798"/>
      <c r="BF473" s="2798"/>
      <c r="BG473" s="2798"/>
      <c r="BH473" s="2798"/>
      <c r="BI473" s="2798"/>
      <c r="BJ473" s="2798"/>
      <c r="BK473" s="2798"/>
      <c r="BL473" s="2798"/>
      <c r="BM473" s="2798"/>
      <c r="BN473" s="2798"/>
      <c r="BO473" s="2798"/>
      <c r="BP473" s="2798"/>
    </row>
    <row r="474" spans="12:68">
      <c r="L474" s="2798"/>
      <c r="M474" s="2798"/>
      <c r="N474" s="2798"/>
      <c r="O474" s="2798"/>
      <c r="P474" s="2798"/>
      <c r="Q474" s="2798"/>
      <c r="R474" s="2798"/>
      <c r="S474" s="2798"/>
      <c r="T474" s="2798"/>
      <c r="U474" s="2798"/>
      <c r="V474" s="2798"/>
      <c r="W474" s="2798"/>
      <c r="X474" s="2798"/>
      <c r="Y474" s="2798"/>
      <c r="Z474" s="2798"/>
      <c r="AA474" s="2798"/>
      <c r="AB474" s="2798"/>
      <c r="AC474" s="2798"/>
      <c r="AD474" s="2798"/>
      <c r="AE474" s="2798"/>
      <c r="AF474" s="2798"/>
      <c r="AG474" s="2798"/>
      <c r="AH474" s="2798"/>
      <c r="AI474" s="2798"/>
      <c r="AJ474" s="2798"/>
      <c r="AK474" s="2798"/>
      <c r="AL474" s="2798"/>
      <c r="AM474" s="2798"/>
      <c r="AN474" s="2798"/>
      <c r="AO474" s="2798"/>
      <c r="AP474" s="2798"/>
      <c r="AQ474" s="2798"/>
      <c r="AR474" s="2798"/>
      <c r="AS474" s="2798"/>
      <c r="AT474" s="2798"/>
      <c r="AU474" s="2798"/>
      <c r="AV474" s="2798"/>
      <c r="AW474" s="2798"/>
      <c r="AX474" s="2798"/>
      <c r="AY474" s="2798"/>
      <c r="AZ474" s="2798"/>
      <c r="BA474" s="2798"/>
      <c r="BB474" s="2798"/>
      <c r="BC474" s="2798"/>
      <c r="BD474" s="2798"/>
      <c r="BE474" s="2798"/>
      <c r="BF474" s="2798"/>
      <c r="BG474" s="2798"/>
      <c r="BH474" s="2798"/>
      <c r="BI474" s="2798"/>
      <c r="BJ474" s="2798"/>
      <c r="BK474" s="2798"/>
      <c r="BL474" s="2798"/>
      <c r="BM474" s="2798"/>
      <c r="BN474" s="2798"/>
      <c r="BO474" s="2798"/>
      <c r="BP474" s="2798"/>
    </row>
    <row r="475" spans="12:68">
      <c r="L475" s="2798"/>
      <c r="M475" s="2798"/>
      <c r="N475" s="2798"/>
      <c r="O475" s="2798"/>
      <c r="P475" s="2798"/>
      <c r="Q475" s="2798"/>
      <c r="R475" s="2798"/>
      <c r="S475" s="2798"/>
      <c r="T475" s="2798"/>
      <c r="U475" s="2798"/>
      <c r="V475" s="2798"/>
      <c r="W475" s="2798"/>
      <c r="X475" s="2798"/>
      <c r="Y475" s="2798"/>
      <c r="Z475" s="2798"/>
      <c r="AA475" s="2798"/>
      <c r="AB475" s="2798"/>
      <c r="AC475" s="2798"/>
      <c r="AD475" s="2798"/>
      <c r="AE475" s="2798"/>
      <c r="AF475" s="2798"/>
      <c r="AG475" s="2798"/>
      <c r="AH475" s="2798"/>
      <c r="AI475" s="2798"/>
      <c r="AJ475" s="2798"/>
      <c r="AK475" s="2798"/>
      <c r="AL475" s="2798"/>
      <c r="AM475" s="2798"/>
      <c r="AN475" s="2798"/>
      <c r="AO475" s="2798"/>
      <c r="AP475" s="2798"/>
      <c r="AQ475" s="2798"/>
      <c r="AR475" s="2798"/>
      <c r="AS475" s="2798"/>
      <c r="AT475" s="2798"/>
      <c r="AU475" s="2798"/>
      <c r="AV475" s="2798"/>
      <c r="AW475" s="2798"/>
      <c r="AX475" s="2798"/>
      <c r="AY475" s="2798"/>
      <c r="AZ475" s="2798"/>
      <c r="BA475" s="2798"/>
      <c r="BB475" s="2798"/>
      <c r="BC475" s="2798"/>
      <c r="BD475" s="2798"/>
      <c r="BE475" s="2798"/>
      <c r="BF475" s="2798"/>
      <c r="BG475" s="2798"/>
      <c r="BH475" s="2798"/>
      <c r="BI475" s="2798"/>
      <c r="BJ475" s="2798"/>
      <c r="BK475" s="2798"/>
      <c r="BL475" s="2798"/>
      <c r="BM475" s="2798"/>
      <c r="BN475" s="2798"/>
      <c r="BO475" s="2798"/>
      <c r="BP475" s="2798"/>
    </row>
    <row r="476" spans="12:68">
      <c r="L476" s="2798"/>
      <c r="M476" s="2798"/>
      <c r="N476" s="2798"/>
      <c r="O476" s="2798"/>
      <c r="P476" s="2798"/>
      <c r="Q476" s="2798"/>
      <c r="R476" s="2798"/>
      <c r="S476" s="2798"/>
      <c r="T476" s="2798"/>
      <c r="U476" s="2798"/>
      <c r="V476" s="2798"/>
      <c r="W476" s="2798"/>
      <c r="X476" s="2798"/>
      <c r="Y476" s="2798"/>
      <c r="Z476" s="2798"/>
      <c r="AA476" s="2798"/>
      <c r="AB476" s="2798"/>
      <c r="AC476" s="2798"/>
      <c r="AD476" s="2798"/>
      <c r="AE476" s="2798"/>
      <c r="AF476" s="2798"/>
      <c r="AG476" s="2798"/>
      <c r="AH476" s="2798"/>
      <c r="AI476" s="2798"/>
      <c r="AJ476" s="2798"/>
      <c r="AK476" s="2798"/>
      <c r="AL476" s="2798"/>
      <c r="AM476" s="2798"/>
      <c r="AN476" s="2798"/>
      <c r="AO476" s="2798"/>
      <c r="AP476" s="2798"/>
      <c r="AQ476" s="2798"/>
      <c r="AR476" s="2798"/>
      <c r="AS476" s="2798"/>
      <c r="AT476" s="2798"/>
      <c r="AU476" s="2798"/>
      <c r="AV476" s="2798"/>
      <c r="AW476" s="2798"/>
      <c r="AX476" s="2798"/>
      <c r="AY476" s="2798"/>
      <c r="AZ476" s="2798"/>
      <c r="BA476" s="2798"/>
      <c r="BB476" s="2798"/>
      <c r="BC476" s="2798"/>
      <c r="BD476" s="2798"/>
      <c r="BE476" s="2798"/>
      <c r="BF476" s="2798"/>
      <c r="BG476" s="2798"/>
      <c r="BH476" s="2798"/>
      <c r="BI476" s="2798"/>
      <c r="BJ476" s="2798"/>
      <c r="BK476" s="2798"/>
      <c r="BL476" s="2798"/>
      <c r="BM476" s="2798"/>
      <c r="BN476" s="2798"/>
      <c r="BO476" s="2798"/>
      <c r="BP476" s="2798"/>
    </row>
    <row r="477" spans="12:68">
      <c r="L477" s="2798"/>
      <c r="M477" s="2798"/>
      <c r="N477" s="2798"/>
      <c r="O477" s="2798"/>
      <c r="P477" s="2798"/>
      <c r="Q477" s="2798"/>
      <c r="R477" s="2798"/>
      <c r="S477" s="2798"/>
      <c r="T477" s="2798"/>
      <c r="U477" s="2798"/>
      <c r="V477" s="2798"/>
      <c r="W477" s="2798"/>
      <c r="X477" s="2798"/>
      <c r="Y477" s="2798"/>
      <c r="Z477" s="2798"/>
      <c r="AA477" s="2798"/>
      <c r="AB477" s="2798"/>
      <c r="AC477" s="2798"/>
      <c r="AD477" s="2798"/>
      <c r="AE477" s="2798"/>
      <c r="AF477" s="2798"/>
      <c r="AG477" s="2798"/>
      <c r="AH477" s="2798"/>
      <c r="AI477" s="2798"/>
      <c r="AJ477" s="2798"/>
      <c r="AK477" s="2798"/>
      <c r="AL477" s="2798"/>
      <c r="AM477" s="2798"/>
      <c r="AN477" s="2798"/>
      <c r="AO477" s="2798"/>
      <c r="AP477" s="2798"/>
      <c r="AQ477" s="2798"/>
      <c r="AR477" s="2798"/>
      <c r="AS477" s="2798"/>
      <c r="AT477" s="2798"/>
      <c r="AU477" s="2798"/>
      <c r="AV477" s="2798"/>
      <c r="AW477" s="2798"/>
      <c r="AX477" s="2798"/>
      <c r="AY477" s="2798"/>
      <c r="AZ477" s="2798"/>
      <c r="BA477" s="2798"/>
      <c r="BB477" s="2798"/>
      <c r="BC477" s="2798"/>
      <c r="BD477" s="2798"/>
      <c r="BE477" s="2798"/>
      <c r="BF477" s="2798"/>
      <c r="BG477" s="2798"/>
      <c r="BH477" s="2798"/>
      <c r="BI477" s="2798"/>
      <c r="BJ477" s="2798"/>
      <c r="BK477" s="2798"/>
      <c r="BL477" s="2798"/>
      <c r="BM477" s="2798"/>
      <c r="BN477" s="2798"/>
      <c r="BO477" s="2798"/>
      <c r="BP477" s="2798"/>
    </row>
    <row r="478" spans="12:68">
      <c r="L478" s="2798"/>
      <c r="M478" s="2798"/>
      <c r="N478" s="2798"/>
      <c r="O478" s="2798"/>
      <c r="P478" s="2798"/>
      <c r="Q478" s="2798"/>
      <c r="R478" s="2798"/>
      <c r="S478" s="2798"/>
      <c r="T478" s="2798"/>
      <c r="U478" s="2798"/>
      <c r="V478" s="2798"/>
      <c r="W478" s="2798"/>
      <c r="X478" s="2798"/>
      <c r="Y478" s="2798"/>
      <c r="Z478" s="2798"/>
      <c r="AA478" s="2798"/>
      <c r="AB478" s="2798"/>
      <c r="AC478" s="2798"/>
      <c r="AD478" s="2798"/>
      <c r="AE478" s="2798"/>
      <c r="AF478" s="2798"/>
      <c r="AG478" s="2798"/>
      <c r="AH478" s="2798"/>
      <c r="AI478" s="2798"/>
      <c r="AJ478" s="2798"/>
      <c r="AK478" s="2798"/>
      <c r="AL478" s="2798"/>
      <c r="AM478" s="2798"/>
      <c r="AN478" s="2798"/>
      <c r="AO478" s="2798"/>
      <c r="AP478" s="2798"/>
      <c r="AQ478" s="2798"/>
      <c r="AR478" s="2798"/>
      <c r="AS478" s="2798"/>
      <c r="AT478" s="2798"/>
      <c r="AU478" s="2798"/>
      <c r="AV478" s="2798"/>
      <c r="AW478" s="2798"/>
      <c r="AX478" s="2798"/>
      <c r="AY478" s="2798"/>
      <c r="AZ478" s="2798"/>
      <c r="BA478" s="2798"/>
      <c r="BB478" s="2798"/>
      <c r="BC478" s="2798"/>
      <c r="BD478" s="2798"/>
      <c r="BE478" s="2798"/>
      <c r="BF478" s="2798"/>
      <c r="BG478" s="2798"/>
      <c r="BH478" s="2798"/>
      <c r="BI478" s="2798"/>
      <c r="BJ478" s="2798"/>
      <c r="BK478" s="2798"/>
      <c r="BL478" s="2798"/>
      <c r="BM478" s="2798"/>
      <c r="BN478" s="2798"/>
      <c r="BO478" s="2798"/>
      <c r="BP478" s="2798"/>
    </row>
    <row r="479" spans="12:68">
      <c r="L479" s="2798"/>
      <c r="M479" s="2798"/>
      <c r="N479" s="2798"/>
      <c r="O479" s="2798"/>
      <c r="P479" s="2798"/>
      <c r="Q479" s="2798"/>
      <c r="R479" s="2798"/>
      <c r="S479" s="2798"/>
      <c r="T479" s="2798"/>
      <c r="U479" s="2798"/>
      <c r="V479" s="2798"/>
      <c r="W479" s="2798"/>
      <c r="X479" s="2798"/>
      <c r="Y479" s="2798"/>
      <c r="Z479" s="2798"/>
      <c r="AA479" s="2798"/>
      <c r="AB479" s="2798"/>
      <c r="AC479" s="2798"/>
      <c r="AD479" s="2798"/>
      <c r="AE479" s="2798"/>
      <c r="AF479" s="2798"/>
      <c r="AG479" s="2798"/>
      <c r="AH479" s="2798"/>
      <c r="AI479" s="2798"/>
      <c r="AJ479" s="2798"/>
      <c r="AK479" s="2798"/>
      <c r="AL479" s="2798"/>
      <c r="AM479" s="2798"/>
      <c r="AN479" s="2798"/>
      <c r="AO479" s="2798"/>
      <c r="AP479" s="2798"/>
      <c r="AQ479" s="2798"/>
      <c r="AR479" s="2798"/>
      <c r="AS479" s="2798"/>
      <c r="AT479" s="2798"/>
      <c r="AU479" s="2798"/>
      <c r="AV479" s="2798"/>
      <c r="AW479" s="2798"/>
      <c r="AX479" s="2798"/>
      <c r="AY479" s="2798"/>
      <c r="AZ479" s="2798"/>
      <c r="BA479" s="2798"/>
      <c r="BB479" s="2798"/>
      <c r="BC479" s="2798"/>
      <c r="BD479" s="2798"/>
      <c r="BE479" s="2798"/>
      <c r="BF479" s="2798"/>
      <c r="BG479" s="2798"/>
      <c r="BH479" s="2798"/>
      <c r="BI479" s="2798"/>
      <c r="BJ479" s="2798"/>
      <c r="BK479" s="2798"/>
      <c r="BL479" s="2798"/>
      <c r="BM479" s="2798"/>
      <c r="BN479" s="2798"/>
      <c r="BO479" s="2798"/>
      <c r="BP479" s="2798"/>
    </row>
    <row r="480" spans="12:68">
      <c r="L480" s="2798"/>
      <c r="M480" s="2798"/>
      <c r="N480" s="2798"/>
      <c r="O480" s="2798"/>
      <c r="P480" s="2798"/>
      <c r="Q480" s="2798"/>
      <c r="R480" s="2798"/>
      <c r="S480" s="2798"/>
      <c r="T480" s="2798"/>
      <c r="U480" s="2798"/>
      <c r="V480" s="2798"/>
      <c r="W480" s="2798"/>
      <c r="X480" s="2798"/>
      <c r="Y480" s="2798"/>
      <c r="Z480" s="2798"/>
      <c r="AA480" s="2798"/>
      <c r="AB480" s="2798"/>
      <c r="AC480" s="2798"/>
      <c r="AD480" s="2798"/>
      <c r="AE480" s="2798"/>
      <c r="AF480" s="2798"/>
      <c r="AG480" s="2798"/>
      <c r="AH480" s="2798"/>
      <c r="AI480" s="2798"/>
      <c r="AJ480" s="2798"/>
      <c r="AK480" s="2798"/>
      <c r="AL480" s="2798"/>
      <c r="AM480" s="2798"/>
      <c r="AN480" s="2798"/>
      <c r="AO480" s="2798"/>
      <c r="AP480" s="2798"/>
      <c r="AQ480" s="2798"/>
      <c r="AR480" s="2798"/>
      <c r="AS480" s="2798"/>
      <c r="AT480" s="2798"/>
      <c r="AU480" s="2798"/>
      <c r="AV480" s="2798"/>
      <c r="AW480" s="2798"/>
      <c r="AX480" s="2798"/>
      <c r="AY480" s="2798"/>
      <c r="AZ480" s="2798"/>
      <c r="BA480" s="2798"/>
      <c r="BB480" s="2798"/>
      <c r="BC480" s="2798"/>
      <c r="BD480" s="2798"/>
      <c r="BE480" s="2798"/>
      <c r="BF480" s="2798"/>
      <c r="BG480" s="2798"/>
      <c r="BH480" s="2798"/>
      <c r="BI480" s="2798"/>
      <c r="BJ480" s="2798"/>
      <c r="BK480" s="2798"/>
      <c r="BL480" s="2798"/>
      <c r="BM480" s="2798"/>
      <c r="BN480" s="2798"/>
      <c r="BO480" s="2798"/>
      <c r="BP480" s="2798"/>
    </row>
    <row r="481" spans="12:68">
      <c r="L481" s="2798"/>
      <c r="M481" s="2798"/>
      <c r="N481" s="2798"/>
      <c r="O481" s="2798"/>
      <c r="P481" s="2798"/>
      <c r="Q481" s="2798"/>
      <c r="R481" s="2798"/>
      <c r="S481" s="2798"/>
      <c r="T481" s="2798"/>
      <c r="U481" s="2798"/>
      <c r="V481" s="2798"/>
      <c r="W481" s="2798"/>
      <c r="X481" s="2798"/>
      <c r="Y481" s="2798"/>
      <c r="Z481" s="2798"/>
      <c r="AA481" s="2798"/>
      <c r="AB481" s="2798"/>
      <c r="AC481" s="2798"/>
      <c r="AD481" s="2798"/>
      <c r="AE481" s="2798"/>
      <c r="AF481" s="2798"/>
      <c r="AG481" s="2798"/>
      <c r="AH481" s="2798"/>
      <c r="AI481" s="2798"/>
      <c r="AJ481" s="2798"/>
      <c r="AK481" s="2798"/>
      <c r="AL481" s="2798"/>
      <c r="AM481" s="2798"/>
      <c r="AN481" s="2798"/>
      <c r="AO481" s="2798"/>
      <c r="AP481" s="2798"/>
      <c r="AQ481" s="2798"/>
      <c r="AR481" s="2798"/>
      <c r="AS481" s="2798"/>
      <c r="AT481" s="2798"/>
      <c r="AU481" s="2798"/>
      <c r="AV481" s="2798"/>
      <c r="AW481" s="2798"/>
      <c r="AX481" s="2798"/>
      <c r="AY481" s="2798"/>
      <c r="AZ481" s="2798"/>
      <c r="BA481" s="2798"/>
      <c r="BB481" s="2798"/>
      <c r="BC481" s="2798"/>
      <c r="BD481" s="2798"/>
      <c r="BE481" s="2798"/>
      <c r="BF481" s="2798"/>
      <c r="BG481" s="2798"/>
      <c r="BH481" s="2798"/>
      <c r="BI481" s="2798"/>
      <c r="BJ481" s="2798"/>
      <c r="BK481" s="2798"/>
      <c r="BL481" s="2798"/>
      <c r="BM481" s="2798"/>
      <c r="BN481" s="2798"/>
      <c r="BO481" s="2798"/>
      <c r="BP481" s="2798"/>
    </row>
    <row r="482" spans="12:68">
      <c r="L482" s="2798"/>
      <c r="M482" s="2798"/>
      <c r="N482" s="2798"/>
      <c r="O482" s="2798"/>
      <c r="P482" s="2798"/>
      <c r="Q482" s="2798"/>
      <c r="R482" s="2798"/>
      <c r="S482" s="2798"/>
      <c r="T482" s="2798"/>
      <c r="U482" s="2798"/>
      <c r="V482" s="2798"/>
      <c r="W482" s="2798"/>
      <c r="X482" s="2798"/>
      <c r="Y482" s="2798"/>
      <c r="Z482" s="2798"/>
      <c r="AA482" s="2798"/>
      <c r="AB482" s="2798"/>
      <c r="AC482" s="2798"/>
      <c r="AD482" s="2798"/>
      <c r="AE482" s="2798"/>
      <c r="AF482" s="2798"/>
      <c r="AG482" s="2798"/>
      <c r="AH482" s="2798"/>
      <c r="AI482" s="2798"/>
      <c r="AJ482" s="2798"/>
      <c r="AK482" s="2798"/>
      <c r="AL482" s="2798"/>
      <c r="AM482" s="2798"/>
      <c r="AN482" s="2798"/>
      <c r="AO482" s="2798"/>
      <c r="AP482" s="2798"/>
      <c r="AQ482" s="2798"/>
      <c r="AR482" s="2798"/>
      <c r="AS482" s="2798"/>
      <c r="AT482" s="2798"/>
      <c r="AU482" s="2798"/>
      <c r="AV482" s="2798"/>
      <c r="AW482" s="2798"/>
      <c r="AX482" s="2798"/>
      <c r="AY482" s="2798"/>
      <c r="AZ482" s="2798"/>
      <c r="BA482" s="2798"/>
      <c r="BB482" s="2798"/>
      <c r="BC482" s="2798"/>
      <c r="BD482" s="2798"/>
      <c r="BE482" s="2798"/>
      <c r="BF482" s="2798"/>
      <c r="BG482" s="2798"/>
      <c r="BH482" s="2798"/>
      <c r="BI482" s="2798"/>
      <c r="BJ482" s="2798"/>
      <c r="BK482" s="2798"/>
      <c r="BL482" s="2798"/>
      <c r="BM482" s="2798"/>
      <c r="BN482" s="2798"/>
      <c r="BO482" s="2798"/>
      <c r="BP482" s="2798"/>
    </row>
    <row r="483" spans="12:68">
      <c r="L483" s="2798"/>
      <c r="M483" s="2798"/>
      <c r="N483" s="2798"/>
      <c r="O483" s="2798"/>
      <c r="P483" s="2798"/>
      <c r="Q483" s="2798"/>
      <c r="R483" s="2798"/>
      <c r="S483" s="2798"/>
      <c r="T483" s="2798"/>
      <c r="U483" s="2798"/>
      <c r="V483" s="2798"/>
      <c r="W483" s="2798"/>
      <c r="X483" s="2798"/>
      <c r="Y483" s="2798"/>
      <c r="Z483" s="2798"/>
      <c r="AA483" s="2798"/>
      <c r="AB483" s="2798"/>
      <c r="AC483" s="2798"/>
      <c r="AD483" s="2798"/>
      <c r="AE483" s="2798"/>
      <c r="AF483" s="2798"/>
      <c r="AG483" s="2798"/>
      <c r="AH483" s="2798"/>
      <c r="AI483" s="2798"/>
      <c r="AJ483" s="2798"/>
      <c r="AK483" s="2798"/>
      <c r="AL483" s="2798"/>
      <c r="AM483" s="2798"/>
      <c r="AN483" s="2798"/>
      <c r="AO483" s="2798"/>
      <c r="AP483" s="2798"/>
      <c r="AQ483" s="2798"/>
      <c r="AR483" s="2798"/>
      <c r="AS483" s="2798"/>
      <c r="AT483" s="2798"/>
      <c r="AU483" s="2798"/>
      <c r="AV483" s="2798"/>
      <c r="AW483" s="2798"/>
      <c r="AX483" s="2798"/>
      <c r="AY483" s="2798"/>
      <c r="AZ483" s="2798"/>
      <c r="BA483" s="2798"/>
      <c r="BB483" s="2798"/>
      <c r="BC483" s="2798"/>
      <c r="BD483" s="2798"/>
      <c r="BE483" s="2798"/>
      <c r="BF483" s="2798"/>
      <c r="BG483" s="2798"/>
      <c r="BH483" s="2798"/>
      <c r="BI483" s="2798"/>
      <c r="BJ483" s="2798"/>
      <c r="BK483" s="2798"/>
      <c r="BL483" s="2798"/>
      <c r="BM483" s="2798"/>
      <c r="BN483" s="2798"/>
      <c r="BO483" s="2798"/>
      <c r="BP483" s="2798"/>
    </row>
    <row r="484" spans="12:68">
      <c r="L484" s="2798"/>
      <c r="M484" s="2798"/>
      <c r="N484" s="2798"/>
      <c r="O484" s="2798"/>
      <c r="P484" s="2798"/>
      <c r="Q484" s="2798"/>
      <c r="R484" s="2798"/>
      <c r="S484" s="2798"/>
      <c r="T484" s="2798"/>
      <c r="U484" s="2798"/>
      <c r="V484" s="2798"/>
      <c r="W484" s="2798"/>
      <c r="X484" s="2798"/>
      <c r="Y484" s="2798"/>
      <c r="Z484" s="2798"/>
      <c r="AA484" s="2798"/>
      <c r="AB484" s="2798"/>
      <c r="AC484" s="2798"/>
      <c r="AD484" s="2798"/>
      <c r="AE484" s="2798"/>
      <c r="AF484" s="2798"/>
      <c r="AG484" s="2798"/>
      <c r="AH484" s="2798"/>
      <c r="AI484" s="2798"/>
      <c r="AJ484" s="2798"/>
      <c r="AK484" s="2798"/>
      <c r="AL484" s="2798"/>
      <c r="AM484" s="2798"/>
      <c r="AN484" s="2798"/>
      <c r="AO484" s="2798"/>
      <c r="AP484" s="2798"/>
      <c r="AQ484" s="2798"/>
      <c r="AR484" s="2798"/>
      <c r="AS484" s="2798"/>
      <c r="AT484" s="2798"/>
      <c r="AU484" s="2798"/>
      <c r="AV484" s="2798"/>
      <c r="AW484" s="2798"/>
      <c r="AX484" s="2798"/>
      <c r="AY484" s="2798"/>
      <c r="AZ484" s="2798"/>
      <c r="BA484" s="2798"/>
      <c r="BB484" s="2798"/>
      <c r="BC484" s="2798"/>
      <c r="BD484" s="2798"/>
      <c r="BE484" s="2798"/>
      <c r="BF484" s="2798"/>
      <c r="BG484" s="2798"/>
      <c r="BH484" s="2798"/>
      <c r="BI484" s="2798"/>
      <c r="BJ484" s="2798"/>
      <c r="BK484" s="2798"/>
      <c r="BL484" s="2798"/>
      <c r="BM484" s="2798"/>
      <c r="BN484" s="2798"/>
      <c r="BO484" s="2798"/>
      <c r="BP484" s="2798"/>
    </row>
    <row r="485" spans="12:68">
      <c r="L485" s="2798"/>
      <c r="M485" s="2798"/>
      <c r="N485" s="2798"/>
      <c r="O485" s="2798"/>
      <c r="P485" s="2798"/>
      <c r="Q485" s="2798"/>
      <c r="R485" s="2798"/>
      <c r="S485" s="2798"/>
      <c r="T485" s="2798"/>
      <c r="U485" s="2798"/>
      <c r="V485" s="2798"/>
      <c r="W485" s="2798"/>
      <c r="X485" s="2798"/>
      <c r="Y485" s="2798"/>
      <c r="Z485" s="2798"/>
      <c r="AA485" s="2798"/>
      <c r="AB485" s="2798"/>
      <c r="AC485" s="2798"/>
      <c r="AD485" s="2798"/>
      <c r="AE485" s="2798"/>
      <c r="AF485" s="2798"/>
      <c r="AG485" s="2798"/>
      <c r="AH485" s="2798"/>
      <c r="AI485" s="2798"/>
      <c r="AJ485" s="2798"/>
      <c r="AK485" s="2798"/>
      <c r="AL485" s="2798"/>
      <c r="AM485" s="2798"/>
      <c r="AN485" s="2798"/>
      <c r="AO485" s="2798"/>
      <c r="AP485" s="2798"/>
      <c r="AQ485" s="2798"/>
      <c r="AR485" s="2798"/>
      <c r="AS485" s="2798"/>
      <c r="AT485" s="2798"/>
      <c r="AU485" s="2798"/>
      <c r="AV485" s="2798"/>
      <c r="AW485" s="2798"/>
      <c r="AX485" s="2798"/>
      <c r="AY485" s="2798"/>
      <c r="AZ485" s="2798"/>
      <c r="BA485" s="2798"/>
      <c r="BB485" s="2798"/>
      <c r="BC485" s="2798"/>
      <c r="BD485" s="2798"/>
      <c r="BE485" s="2798"/>
      <c r="BF485" s="2798"/>
      <c r="BG485" s="2798"/>
      <c r="BH485" s="2798"/>
      <c r="BI485" s="2798"/>
      <c r="BJ485" s="2798"/>
      <c r="BK485" s="2798"/>
      <c r="BL485" s="2798"/>
      <c r="BM485" s="2798"/>
      <c r="BN485" s="2798"/>
      <c r="BO485" s="2798"/>
      <c r="BP485" s="2798"/>
    </row>
    <row r="486" spans="12:68">
      <c r="L486" s="2798"/>
      <c r="M486" s="2798"/>
      <c r="N486" s="2798"/>
      <c r="O486" s="2798"/>
      <c r="P486" s="2798"/>
      <c r="Q486" s="2798"/>
      <c r="R486" s="2798"/>
      <c r="S486" s="2798"/>
      <c r="T486" s="2798"/>
      <c r="U486" s="2798"/>
      <c r="V486" s="2798"/>
      <c r="W486" s="2798"/>
      <c r="X486" s="2798"/>
      <c r="Y486" s="2798"/>
      <c r="Z486" s="2798"/>
      <c r="AA486" s="2798"/>
      <c r="AB486" s="2798"/>
      <c r="AC486" s="2798"/>
      <c r="AD486" s="2798"/>
      <c r="AE486" s="2798"/>
      <c r="AF486" s="2798"/>
      <c r="AG486" s="2798"/>
      <c r="AH486" s="2798"/>
      <c r="AI486" s="2798"/>
      <c r="AJ486" s="2798"/>
      <c r="AK486" s="2798"/>
      <c r="AL486" s="2798"/>
      <c r="AM486" s="2798"/>
      <c r="AN486" s="2798"/>
      <c r="AO486" s="2798"/>
      <c r="AP486" s="2798"/>
      <c r="AQ486" s="2798"/>
      <c r="AR486" s="2798"/>
      <c r="AS486" s="2798"/>
      <c r="AT486" s="2798"/>
      <c r="AU486" s="2798"/>
      <c r="AV486" s="2798"/>
      <c r="AW486" s="2798"/>
      <c r="AX486" s="2798"/>
      <c r="AY486" s="2798"/>
      <c r="AZ486" s="2798"/>
      <c r="BA486" s="2798"/>
      <c r="BB486" s="2798"/>
      <c r="BC486" s="2798"/>
      <c r="BD486" s="2798"/>
      <c r="BE486" s="2798"/>
      <c r="BF486" s="2798"/>
      <c r="BG486" s="2798"/>
      <c r="BH486" s="2798"/>
      <c r="BI486" s="2798"/>
      <c r="BJ486" s="2798"/>
      <c r="BK486" s="2798"/>
      <c r="BL486" s="2798"/>
      <c r="BM486" s="2798"/>
      <c r="BN486" s="2798"/>
      <c r="BO486" s="2798"/>
      <c r="BP486" s="2798"/>
    </row>
    <row r="487" spans="12:68">
      <c r="L487" s="2798"/>
      <c r="M487" s="2798"/>
      <c r="N487" s="2798"/>
      <c r="O487" s="2798"/>
      <c r="P487" s="2798"/>
      <c r="Q487" s="2798"/>
      <c r="R487" s="2798"/>
      <c r="S487" s="2798"/>
      <c r="T487" s="2798"/>
      <c r="U487" s="2798"/>
      <c r="V487" s="2798"/>
      <c r="W487" s="2798"/>
      <c r="X487" s="2798"/>
      <c r="Y487" s="2798"/>
      <c r="Z487" s="2798"/>
      <c r="AA487" s="2798"/>
      <c r="AB487" s="2798"/>
      <c r="AC487" s="2798"/>
      <c r="AD487" s="2798"/>
      <c r="AE487" s="2798"/>
      <c r="AF487" s="2798"/>
      <c r="AG487" s="2798"/>
      <c r="AH487" s="2798"/>
      <c r="AI487" s="2798"/>
      <c r="AJ487" s="2798"/>
      <c r="AK487" s="2798"/>
      <c r="AL487" s="2798"/>
      <c r="AM487" s="2798"/>
      <c r="AN487" s="2798"/>
      <c r="AO487" s="2798"/>
      <c r="AP487" s="2798"/>
      <c r="AQ487" s="2798"/>
      <c r="AR487" s="2798"/>
      <c r="AS487" s="2798"/>
      <c r="AT487" s="2798"/>
      <c r="AU487" s="2798"/>
      <c r="AV487" s="2798"/>
      <c r="AW487" s="2798"/>
      <c r="AX487" s="2798"/>
      <c r="AY487" s="2798"/>
      <c r="AZ487" s="2798"/>
      <c r="BA487" s="2798"/>
      <c r="BB487" s="2798"/>
      <c r="BC487" s="2798"/>
      <c r="BD487" s="2798"/>
      <c r="BE487" s="2798"/>
      <c r="BF487" s="2798"/>
      <c r="BG487" s="2798"/>
      <c r="BH487" s="2798"/>
      <c r="BI487" s="2798"/>
      <c r="BJ487" s="2798"/>
      <c r="BK487" s="2798"/>
      <c r="BL487" s="2798"/>
      <c r="BM487" s="2798"/>
      <c r="BN487" s="2798"/>
      <c r="BO487" s="2798"/>
      <c r="BP487" s="2798"/>
    </row>
    <row r="488" spans="12:68">
      <c r="L488" s="2798"/>
      <c r="M488" s="2798"/>
      <c r="N488" s="2798"/>
      <c r="O488" s="2798"/>
      <c r="P488" s="2798"/>
      <c r="Q488" s="2798"/>
      <c r="R488" s="2798"/>
      <c r="S488" s="2798"/>
      <c r="T488" s="2798"/>
      <c r="U488" s="2798"/>
      <c r="V488" s="2798"/>
      <c r="W488" s="2798"/>
      <c r="X488" s="2798"/>
      <c r="Y488" s="2798"/>
      <c r="Z488" s="2798"/>
      <c r="AA488" s="2798"/>
      <c r="AB488" s="2798"/>
      <c r="AC488" s="2798"/>
      <c r="AD488" s="2798"/>
      <c r="AE488" s="2798"/>
      <c r="AF488" s="2798"/>
      <c r="AG488" s="2798"/>
      <c r="AH488" s="2798"/>
      <c r="AI488" s="2798"/>
      <c r="AJ488" s="2798"/>
      <c r="AK488" s="2798"/>
      <c r="AL488" s="2798"/>
      <c r="AM488" s="2798"/>
      <c r="AN488" s="2798"/>
      <c r="AO488" s="2798"/>
      <c r="AP488" s="2798"/>
      <c r="AQ488" s="2798"/>
      <c r="AR488" s="2798"/>
      <c r="AS488" s="2798"/>
      <c r="AT488" s="2798"/>
      <c r="AU488" s="2798"/>
      <c r="AV488" s="2798"/>
      <c r="AW488" s="2798"/>
      <c r="AX488" s="2798"/>
      <c r="AY488" s="2798"/>
      <c r="AZ488" s="2798"/>
      <c r="BA488" s="2798"/>
      <c r="BB488" s="2798"/>
      <c r="BC488" s="2798"/>
      <c r="BD488" s="2798"/>
      <c r="BE488" s="2798"/>
      <c r="BF488" s="2798"/>
      <c r="BG488" s="2798"/>
      <c r="BH488" s="2798"/>
      <c r="BI488" s="2798"/>
      <c r="BJ488" s="2798"/>
      <c r="BK488" s="2798"/>
      <c r="BL488" s="2798"/>
      <c r="BM488" s="2798"/>
      <c r="BN488" s="2798"/>
      <c r="BO488" s="2798"/>
      <c r="BP488" s="2798"/>
    </row>
    <row r="489" spans="12:68">
      <c r="L489" s="2798"/>
      <c r="M489" s="2798"/>
      <c r="N489" s="2798"/>
      <c r="O489" s="2798"/>
      <c r="P489" s="2798"/>
      <c r="Q489" s="2798"/>
      <c r="R489" s="2798"/>
      <c r="S489" s="2798"/>
      <c r="T489" s="2798"/>
      <c r="U489" s="2798"/>
      <c r="V489" s="2798"/>
      <c r="W489" s="2798"/>
      <c r="X489" s="2798"/>
      <c r="Y489" s="2798"/>
      <c r="Z489" s="2798"/>
      <c r="AA489" s="2798"/>
      <c r="AB489" s="2798"/>
      <c r="AC489" s="2798"/>
      <c r="AD489" s="2798"/>
      <c r="AE489" s="2798"/>
      <c r="AF489" s="2798"/>
      <c r="AG489" s="2798"/>
      <c r="AH489" s="2798"/>
      <c r="AI489" s="2798"/>
      <c r="AJ489" s="2798"/>
      <c r="AK489" s="2798"/>
      <c r="AL489" s="2798"/>
      <c r="AM489" s="2798"/>
      <c r="AN489" s="2798"/>
      <c r="AO489" s="2798"/>
      <c r="AP489" s="2798"/>
      <c r="AQ489" s="2798"/>
      <c r="AR489" s="2798"/>
      <c r="AS489" s="2798"/>
      <c r="AT489" s="2798"/>
      <c r="AU489" s="2798"/>
      <c r="AV489" s="2798"/>
      <c r="AW489" s="2798"/>
      <c r="AX489" s="2798"/>
      <c r="AY489" s="2798"/>
      <c r="AZ489" s="2798"/>
      <c r="BA489" s="2798"/>
      <c r="BB489" s="2798"/>
      <c r="BC489" s="2798"/>
      <c r="BD489" s="2798"/>
      <c r="BE489" s="2798"/>
      <c r="BF489" s="2798"/>
      <c r="BG489" s="2798"/>
      <c r="BH489" s="2798"/>
      <c r="BI489" s="2798"/>
      <c r="BJ489" s="2798"/>
      <c r="BK489" s="2798"/>
      <c r="BL489" s="2798"/>
      <c r="BM489" s="2798"/>
      <c r="BN489" s="2798"/>
      <c r="BO489" s="2798"/>
      <c r="BP489" s="2798"/>
    </row>
    <row r="490" spans="12:68">
      <c r="L490" s="2798"/>
      <c r="M490" s="2798"/>
      <c r="N490" s="2798"/>
      <c r="O490" s="2798"/>
      <c r="P490" s="2798"/>
      <c r="Q490" s="2798"/>
      <c r="R490" s="2798"/>
      <c r="S490" s="2798"/>
      <c r="T490" s="2798"/>
      <c r="U490" s="2798"/>
      <c r="V490" s="2798"/>
      <c r="W490" s="2798"/>
      <c r="X490" s="2798"/>
      <c r="Y490" s="2798"/>
      <c r="Z490" s="2798"/>
      <c r="AA490" s="2798"/>
      <c r="AB490" s="2798"/>
      <c r="AC490" s="2798"/>
      <c r="AD490" s="2798"/>
      <c r="AE490" s="2798"/>
      <c r="AF490" s="2798"/>
      <c r="AG490" s="2798"/>
      <c r="AH490" s="2798"/>
      <c r="AI490" s="2798"/>
      <c r="AJ490" s="2798"/>
      <c r="AK490" s="2798"/>
      <c r="AL490" s="2798"/>
      <c r="AM490" s="2798"/>
      <c r="AN490" s="2798"/>
      <c r="AO490" s="2798"/>
      <c r="AP490" s="2798"/>
      <c r="AQ490" s="2798"/>
      <c r="AR490" s="2798"/>
      <c r="AS490" s="2798"/>
      <c r="AT490" s="2798"/>
      <c r="AU490" s="2798"/>
      <c r="AV490" s="2798"/>
      <c r="AW490" s="2798"/>
      <c r="AX490" s="2798"/>
      <c r="AY490" s="2798"/>
      <c r="AZ490" s="2798"/>
      <c r="BA490" s="2798"/>
      <c r="BB490" s="2798"/>
      <c r="BC490" s="2798"/>
      <c r="BD490" s="2798"/>
      <c r="BE490" s="2798"/>
      <c r="BF490" s="2798"/>
      <c r="BG490" s="2798"/>
      <c r="BH490" s="2798"/>
      <c r="BI490" s="2798"/>
      <c r="BJ490" s="2798"/>
      <c r="BK490" s="2798"/>
      <c r="BL490" s="2798"/>
      <c r="BM490" s="2798"/>
      <c r="BN490" s="2798"/>
      <c r="BO490" s="2798"/>
      <c r="BP490" s="2798"/>
    </row>
    <row r="491" spans="12:68">
      <c r="L491" s="2798"/>
      <c r="M491" s="2798"/>
      <c r="N491" s="2798"/>
      <c r="O491" s="2798"/>
      <c r="P491" s="2798"/>
      <c r="Q491" s="2798"/>
      <c r="R491" s="2798"/>
      <c r="S491" s="2798"/>
      <c r="T491" s="2798"/>
      <c r="U491" s="2798"/>
      <c r="V491" s="2798"/>
      <c r="W491" s="2798"/>
      <c r="X491" s="2798"/>
      <c r="Y491" s="2798"/>
      <c r="Z491" s="2798"/>
      <c r="AA491" s="2798"/>
      <c r="AB491" s="2798"/>
      <c r="AC491" s="2798"/>
      <c r="AD491" s="2798"/>
      <c r="AE491" s="2798"/>
      <c r="AF491" s="2798"/>
      <c r="AG491" s="2798"/>
      <c r="AH491" s="2798"/>
      <c r="AI491" s="2798"/>
      <c r="AJ491" s="2798"/>
      <c r="AK491" s="2798"/>
      <c r="AL491" s="2798"/>
      <c r="AM491" s="2798"/>
      <c r="AN491" s="2798"/>
      <c r="AO491" s="2798"/>
      <c r="AP491" s="2798"/>
      <c r="AQ491" s="2798"/>
      <c r="AR491" s="2798"/>
      <c r="AS491" s="2798"/>
      <c r="AT491" s="2798"/>
      <c r="AU491" s="2798"/>
      <c r="AV491" s="2798"/>
      <c r="AW491" s="2798"/>
      <c r="AX491" s="2798"/>
      <c r="AY491" s="2798"/>
      <c r="AZ491" s="2798"/>
      <c r="BA491" s="2798"/>
      <c r="BB491" s="2798"/>
      <c r="BC491" s="2798"/>
      <c r="BD491" s="2798"/>
      <c r="BE491" s="2798"/>
      <c r="BF491" s="2798"/>
      <c r="BG491" s="2798"/>
      <c r="BH491" s="2798"/>
      <c r="BI491" s="2798"/>
      <c r="BJ491" s="2798"/>
      <c r="BK491" s="2798"/>
      <c r="BL491" s="2798"/>
      <c r="BM491" s="2798"/>
      <c r="BN491" s="2798"/>
      <c r="BO491" s="2798"/>
      <c r="BP491" s="2798"/>
    </row>
    <row r="492" spans="12:68">
      <c r="L492" s="2798"/>
      <c r="M492" s="2798"/>
      <c r="N492" s="2798"/>
      <c r="O492" s="2798"/>
      <c r="P492" s="2798"/>
      <c r="Q492" s="2798"/>
      <c r="R492" s="2798"/>
      <c r="S492" s="2798"/>
      <c r="T492" s="2798"/>
      <c r="U492" s="2798"/>
      <c r="V492" s="2798"/>
      <c r="W492" s="2798"/>
      <c r="X492" s="2798"/>
      <c r="Y492" s="2798"/>
      <c r="Z492" s="2798"/>
      <c r="AA492" s="2798"/>
      <c r="AB492" s="2798"/>
      <c r="AC492" s="2798"/>
      <c r="AD492" s="2798"/>
      <c r="AE492" s="2798"/>
      <c r="AF492" s="2798"/>
      <c r="AG492" s="2798"/>
      <c r="AH492" s="2798"/>
      <c r="AI492" s="2798"/>
      <c r="AJ492" s="2798"/>
      <c r="AK492" s="2798"/>
      <c r="AL492" s="2798"/>
      <c r="AM492" s="2798"/>
      <c r="AN492" s="2798"/>
      <c r="AO492" s="2798"/>
      <c r="AP492" s="2798"/>
      <c r="AQ492" s="2798"/>
      <c r="AR492" s="2798"/>
      <c r="AS492" s="2798"/>
      <c r="AT492" s="2798"/>
      <c r="AU492" s="2798"/>
      <c r="AV492" s="2798"/>
      <c r="AW492" s="2798"/>
      <c r="AX492" s="2798"/>
      <c r="AY492" s="2798"/>
      <c r="AZ492" s="2798"/>
      <c r="BA492" s="2798"/>
      <c r="BB492" s="2798"/>
      <c r="BC492" s="2798"/>
      <c r="BD492" s="2798"/>
      <c r="BE492" s="2798"/>
      <c r="BF492" s="2798"/>
      <c r="BG492" s="2798"/>
      <c r="BH492" s="2798"/>
      <c r="BI492" s="2798"/>
      <c r="BJ492" s="2798"/>
      <c r="BK492" s="2798"/>
      <c r="BL492" s="2798"/>
      <c r="BM492" s="2798"/>
      <c r="BN492" s="2798"/>
      <c r="BO492" s="2798"/>
      <c r="BP492" s="2798"/>
    </row>
    <row r="493" spans="12:68">
      <c r="L493" s="2798"/>
      <c r="M493" s="2798"/>
      <c r="N493" s="2798"/>
      <c r="O493" s="2798"/>
      <c r="P493" s="2798"/>
      <c r="Q493" s="2798"/>
      <c r="R493" s="2798"/>
      <c r="S493" s="2798"/>
      <c r="T493" s="2798"/>
      <c r="U493" s="2798"/>
      <c r="V493" s="2798"/>
      <c r="W493" s="2798"/>
      <c r="X493" s="2798"/>
      <c r="Y493" s="2798"/>
      <c r="Z493" s="2798"/>
      <c r="AA493" s="2798"/>
      <c r="AB493" s="2798"/>
      <c r="AC493" s="2798"/>
      <c r="AD493" s="2798"/>
      <c r="AE493" s="2798"/>
      <c r="AF493" s="2798"/>
      <c r="AG493" s="2798"/>
      <c r="AH493" s="2798"/>
      <c r="AI493" s="2798"/>
      <c r="AJ493" s="2798"/>
      <c r="AK493" s="2798"/>
      <c r="AL493" s="2798"/>
      <c r="AM493" s="2798"/>
      <c r="AN493" s="2798"/>
      <c r="AO493" s="2798"/>
      <c r="AP493" s="2798"/>
      <c r="AQ493" s="2798"/>
      <c r="AR493" s="2798"/>
      <c r="AS493" s="2798"/>
      <c r="AT493" s="2798"/>
      <c r="AU493" s="2798"/>
      <c r="AV493" s="2798"/>
      <c r="AW493" s="2798"/>
      <c r="AX493" s="2798"/>
      <c r="AY493" s="2798"/>
      <c r="AZ493" s="2798"/>
      <c r="BA493" s="2798"/>
      <c r="BB493" s="2798"/>
      <c r="BC493" s="2798"/>
      <c r="BD493" s="2798"/>
      <c r="BE493" s="2798"/>
      <c r="BF493" s="2798"/>
      <c r="BG493" s="2798"/>
      <c r="BH493" s="2798"/>
      <c r="BI493" s="2798"/>
      <c r="BJ493" s="2798"/>
      <c r="BK493" s="2798"/>
      <c r="BL493" s="2798"/>
      <c r="BM493" s="2798"/>
      <c r="BN493" s="2798"/>
      <c r="BO493" s="2798"/>
      <c r="BP493" s="2798"/>
    </row>
    <row r="494" spans="12:68">
      <c r="L494" s="2798"/>
      <c r="M494" s="2798"/>
      <c r="N494" s="2798"/>
      <c r="O494" s="2798"/>
      <c r="P494" s="2798"/>
      <c r="Q494" s="2798"/>
      <c r="R494" s="2798"/>
      <c r="S494" s="2798"/>
      <c r="T494" s="2798"/>
      <c r="U494" s="2798"/>
      <c r="V494" s="2798"/>
      <c r="W494" s="2798"/>
      <c r="X494" s="2798"/>
      <c r="Y494" s="2798"/>
      <c r="Z494" s="2798"/>
      <c r="AA494" s="2798"/>
      <c r="AB494" s="2798"/>
      <c r="AC494" s="2798"/>
      <c r="AD494" s="2798"/>
      <c r="AE494" s="2798"/>
      <c r="AF494" s="2798"/>
      <c r="AG494" s="2798"/>
      <c r="AH494" s="2798"/>
      <c r="AI494" s="2798"/>
      <c r="AJ494" s="2798"/>
      <c r="AK494" s="2798"/>
      <c r="AL494" s="2798"/>
      <c r="AM494" s="2798"/>
      <c r="AN494" s="2798"/>
      <c r="AO494" s="2798"/>
      <c r="AP494" s="2798"/>
      <c r="AQ494" s="2798"/>
      <c r="AR494" s="2798"/>
      <c r="AS494" s="2798"/>
      <c r="AT494" s="2798"/>
      <c r="AU494" s="2798"/>
      <c r="AV494" s="2798"/>
      <c r="AW494" s="2798"/>
      <c r="AX494" s="2798"/>
      <c r="AY494" s="2798"/>
      <c r="AZ494" s="2798"/>
      <c r="BA494" s="2798"/>
      <c r="BB494" s="2798"/>
      <c r="BC494" s="2798"/>
      <c r="BD494" s="2798"/>
      <c r="BE494" s="2798"/>
      <c r="BF494" s="2798"/>
      <c r="BG494" s="2798"/>
      <c r="BH494" s="2798"/>
      <c r="BI494" s="2798"/>
      <c r="BJ494" s="2798"/>
      <c r="BK494" s="2798"/>
      <c r="BL494" s="2798"/>
      <c r="BM494" s="2798"/>
      <c r="BN494" s="2798"/>
      <c r="BO494" s="2798"/>
      <c r="BP494" s="2798"/>
    </row>
    <row r="495" spans="12:68">
      <c r="L495" s="2798"/>
      <c r="M495" s="2798"/>
      <c r="N495" s="2798"/>
      <c r="O495" s="2798"/>
      <c r="P495" s="2798"/>
      <c r="Q495" s="2798"/>
      <c r="R495" s="2798"/>
      <c r="S495" s="2798"/>
      <c r="T495" s="2798"/>
      <c r="U495" s="2798"/>
      <c r="V495" s="2798"/>
      <c r="W495" s="2798"/>
      <c r="X495" s="2798"/>
      <c r="Y495" s="2798"/>
      <c r="Z495" s="2798"/>
      <c r="AA495" s="2798"/>
      <c r="AB495" s="2798"/>
      <c r="AC495" s="2798"/>
      <c r="AD495" s="2798"/>
      <c r="AE495" s="2798"/>
      <c r="AF495" s="2798"/>
      <c r="AG495" s="2798"/>
      <c r="AH495" s="2798"/>
      <c r="AI495" s="2798"/>
      <c r="AJ495" s="2798"/>
      <c r="AK495" s="2798"/>
      <c r="AL495" s="2798"/>
      <c r="AM495" s="2798"/>
      <c r="AN495" s="2798"/>
      <c r="AO495" s="2798"/>
      <c r="AP495" s="2798"/>
      <c r="AQ495" s="2798"/>
      <c r="AR495" s="2798"/>
      <c r="AS495" s="2798"/>
      <c r="AT495" s="2798"/>
      <c r="AU495" s="2798"/>
      <c r="AV495" s="2798"/>
      <c r="AW495" s="2798"/>
      <c r="AX495" s="2798"/>
      <c r="AY495" s="2798"/>
      <c r="AZ495" s="2798"/>
      <c r="BA495" s="2798"/>
      <c r="BB495" s="2798"/>
      <c r="BC495" s="2798"/>
      <c r="BD495" s="2798"/>
      <c r="BE495" s="2798"/>
      <c r="BF495" s="2798"/>
      <c r="BG495" s="2798"/>
      <c r="BH495" s="2798"/>
      <c r="BI495" s="2798"/>
      <c r="BJ495" s="2798"/>
      <c r="BK495" s="2798"/>
      <c r="BL495" s="2798"/>
      <c r="BM495" s="2798"/>
      <c r="BN495" s="2798"/>
      <c r="BO495" s="2798"/>
      <c r="BP495" s="2798"/>
    </row>
    <row r="496" spans="12:68">
      <c r="L496" s="2798"/>
      <c r="M496" s="2798"/>
      <c r="N496" s="2798"/>
      <c r="O496" s="2798"/>
      <c r="P496" s="2798"/>
      <c r="Q496" s="2798"/>
      <c r="R496" s="2798"/>
      <c r="S496" s="2798"/>
      <c r="T496" s="2798"/>
      <c r="U496" s="2798"/>
      <c r="V496" s="2798"/>
      <c r="W496" s="2798"/>
      <c r="X496" s="2798"/>
      <c r="Y496" s="2798"/>
      <c r="Z496" s="2798"/>
      <c r="AA496" s="2798"/>
      <c r="AB496" s="2798"/>
      <c r="AC496" s="2798"/>
      <c r="AD496" s="2798"/>
      <c r="AE496" s="2798"/>
      <c r="AF496" s="2798"/>
      <c r="AG496" s="2798"/>
      <c r="AH496" s="2798"/>
      <c r="AI496" s="2798"/>
      <c r="AJ496" s="2798"/>
      <c r="AK496" s="2798"/>
      <c r="AL496" s="2798"/>
      <c r="AM496" s="2798"/>
      <c r="AN496" s="2798"/>
      <c r="AO496" s="2798"/>
      <c r="AP496" s="2798"/>
      <c r="AQ496" s="2798"/>
      <c r="AR496" s="2798"/>
      <c r="AS496" s="2798"/>
      <c r="AT496" s="2798"/>
      <c r="AU496" s="2798"/>
      <c r="AV496" s="2798"/>
      <c r="AW496" s="2798"/>
      <c r="AX496" s="2798"/>
      <c r="AY496" s="2798"/>
      <c r="AZ496" s="2798"/>
      <c r="BA496" s="2798"/>
      <c r="BB496" s="2798"/>
      <c r="BC496" s="2798"/>
      <c r="BD496" s="2798"/>
      <c r="BE496" s="2798"/>
      <c r="BF496" s="2798"/>
      <c r="BG496" s="2798"/>
      <c r="BH496" s="2798"/>
      <c r="BI496" s="2798"/>
      <c r="BJ496" s="2798"/>
      <c r="BK496" s="2798"/>
      <c r="BL496" s="2798"/>
      <c r="BM496" s="2798"/>
      <c r="BN496" s="2798"/>
      <c r="BO496" s="2798"/>
      <c r="BP496" s="2798"/>
    </row>
    <row r="497" spans="12:68">
      <c r="L497" s="2798"/>
      <c r="M497" s="2798"/>
      <c r="N497" s="2798"/>
      <c r="O497" s="2798"/>
      <c r="P497" s="2798"/>
      <c r="Q497" s="2798"/>
      <c r="R497" s="2798"/>
      <c r="S497" s="2798"/>
      <c r="T497" s="2798"/>
      <c r="U497" s="2798"/>
      <c r="V497" s="2798"/>
      <c r="W497" s="2798"/>
      <c r="X497" s="2798"/>
      <c r="Y497" s="2798"/>
      <c r="Z497" s="2798"/>
      <c r="AA497" s="2798"/>
      <c r="AB497" s="2798"/>
      <c r="AC497" s="2798"/>
      <c r="AD497" s="2798"/>
      <c r="AE497" s="2798"/>
      <c r="AF497" s="2798"/>
      <c r="AG497" s="2798"/>
      <c r="AH497" s="2798"/>
      <c r="AI497" s="2798"/>
      <c r="AJ497" s="2798"/>
      <c r="AK497" s="2798"/>
      <c r="AL497" s="2798"/>
      <c r="AM497" s="2798"/>
      <c r="AN497" s="2798"/>
      <c r="AO497" s="2798"/>
      <c r="AP497" s="2798"/>
      <c r="AQ497" s="2798"/>
      <c r="AR497" s="2798"/>
      <c r="AS497" s="2798"/>
      <c r="AT497" s="2798"/>
      <c r="AU497" s="2798"/>
      <c r="AV497" s="2798"/>
      <c r="AW497" s="2798"/>
      <c r="AX497" s="2798"/>
      <c r="AY497" s="2798"/>
      <c r="AZ497" s="2798"/>
      <c r="BA497" s="2798"/>
      <c r="BB497" s="2798"/>
      <c r="BC497" s="2798"/>
      <c r="BD497" s="2798"/>
      <c r="BE497" s="2798"/>
      <c r="BF497" s="2798"/>
      <c r="BG497" s="2798"/>
      <c r="BH497" s="2798"/>
      <c r="BI497" s="2798"/>
      <c r="BJ497" s="2798"/>
      <c r="BK497" s="2798"/>
      <c r="BL497" s="2798"/>
      <c r="BM497" s="2798"/>
      <c r="BN497" s="2798"/>
      <c r="BO497" s="2798"/>
      <c r="BP497" s="2798"/>
    </row>
    <row r="498" spans="12:68">
      <c r="L498" s="2798"/>
      <c r="M498" s="2798"/>
      <c r="N498" s="2798"/>
      <c r="O498" s="2798"/>
      <c r="P498" s="2798"/>
      <c r="Q498" s="2798"/>
      <c r="R498" s="2798"/>
      <c r="S498" s="2798"/>
      <c r="T498" s="2798"/>
      <c r="U498" s="2798"/>
      <c r="V498" s="2798"/>
      <c r="W498" s="2798"/>
      <c r="X498" s="2798"/>
      <c r="Y498" s="2798"/>
      <c r="Z498" s="2798"/>
      <c r="AA498" s="2798"/>
      <c r="AB498" s="2798"/>
      <c r="AC498" s="2798"/>
      <c r="AD498" s="2798"/>
      <c r="AE498" s="2798"/>
      <c r="AF498" s="2798"/>
      <c r="AG498" s="2798"/>
      <c r="AH498" s="2798"/>
      <c r="AI498" s="2798"/>
      <c r="AJ498" s="2798"/>
      <c r="AK498" s="2798"/>
      <c r="AL498" s="2798"/>
      <c r="AM498" s="2798"/>
      <c r="AN498" s="2798"/>
      <c r="AO498" s="2798"/>
      <c r="AP498" s="2798"/>
      <c r="AQ498" s="2798"/>
      <c r="AR498" s="2798"/>
      <c r="AS498" s="2798"/>
      <c r="AT498" s="2798"/>
      <c r="AU498" s="2798"/>
      <c r="AV498" s="2798"/>
      <c r="AW498" s="2798"/>
      <c r="AX498" s="2798"/>
      <c r="AY498" s="2798"/>
      <c r="AZ498" s="2798"/>
      <c r="BA498" s="2798"/>
      <c r="BB498" s="2798"/>
      <c r="BC498" s="2798"/>
      <c r="BD498" s="2798"/>
      <c r="BE498" s="2798"/>
      <c r="BF498" s="2798"/>
      <c r="BG498" s="2798"/>
      <c r="BH498" s="2798"/>
      <c r="BI498" s="2798"/>
      <c r="BJ498" s="2798"/>
      <c r="BK498" s="2798"/>
      <c r="BL498" s="2798"/>
      <c r="BM498" s="2798"/>
      <c r="BN498" s="2798"/>
      <c r="BO498" s="2798"/>
      <c r="BP498" s="2798"/>
    </row>
    <row r="499" spans="12:68">
      <c r="L499" s="2798"/>
      <c r="M499" s="2798"/>
      <c r="N499" s="2798"/>
      <c r="O499" s="2798"/>
      <c r="P499" s="2798"/>
      <c r="Q499" s="2798"/>
      <c r="R499" s="2798"/>
      <c r="S499" s="2798"/>
      <c r="T499" s="2798"/>
      <c r="U499" s="2798"/>
      <c r="V499" s="2798"/>
      <c r="W499" s="2798"/>
      <c r="X499" s="2798"/>
      <c r="Y499" s="2798"/>
      <c r="Z499" s="2798"/>
      <c r="AA499" s="2798"/>
      <c r="AB499" s="2798"/>
      <c r="AC499" s="2798"/>
      <c r="AD499" s="2798"/>
      <c r="AE499" s="2798"/>
      <c r="AF499" s="2798"/>
      <c r="AG499" s="2798"/>
      <c r="AH499" s="2798"/>
      <c r="AI499" s="2798"/>
      <c r="AJ499" s="2798"/>
      <c r="AK499" s="2798"/>
      <c r="AL499" s="2798"/>
      <c r="AM499" s="2798"/>
      <c r="AN499" s="2798"/>
      <c r="AO499" s="2798"/>
      <c r="AP499" s="2798"/>
      <c r="AQ499" s="2798"/>
      <c r="AR499" s="2798"/>
      <c r="AS499" s="2798"/>
      <c r="AT499" s="2798"/>
      <c r="AU499" s="2798"/>
      <c r="AV499" s="2798"/>
      <c r="AW499" s="2798"/>
      <c r="AX499" s="2798"/>
      <c r="AY499" s="2798"/>
      <c r="AZ499" s="2798"/>
      <c r="BA499" s="2798"/>
      <c r="BB499" s="2798"/>
      <c r="BC499" s="2798"/>
      <c r="BD499" s="2798"/>
      <c r="BE499" s="2798"/>
      <c r="BF499" s="2798"/>
      <c r="BG499" s="2798"/>
      <c r="BH499" s="2798"/>
      <c r="BI499" s="2798"/>
      <c r="BJ499" s="2798"/>
      <c r="BK499" s="2798"/>
      <c r="BL499" s="2798"/>
      <c r="BM499" s="2798"/>
      <c r="BN499" s="2798"/>
      <c r="BO499" s="2798"/>
      <c r="BP499" s="2798"/>
    </row>
    <row r="500" spans="12:68">
      <c r="L500" s="2798"/>
      <c r="M500" s="2798"/>
      <c r="N500" s="2798"/>
      <c r="O500" s="2798"/>
      <c r="P500" s="2798"/>
      <c r="Q500" s="2798"/>
      <c r="R500" s="2798"/>
      <c r="S500" s="2798"/>
      <c r="T500" s="2798"/>
      <c r="U500" s="2798"/>
      <c r="V500" s="2798"/>
      <c r="W500" s="2798"/>
      <c r="X500" s="2798"/>
      <c r="Y500" s="2798"/>
      <c r="Z500" s="2798"/>
      <c r="AA500" s="2798"/>
      <c r="AB500" s="2798"/>
      <c r="AC500" s="2798"/>
      <c r="AD500" s="2798"/>
      <c r="AE500" s="2798"/>
      <c r="AF500" s="2798"/>
      <c r="AG500" s="2798"/>
      <c r="AH500" s="2798"/>
      <c r="AI500" s="2798"/>
      <c r="AJ500" s="2798"/>
      <c r="AK500" s="2798"/>
      <c r="AL500" s="2798"/>
      <c r="AM500" s="2798"/>
      <c r="AN500" s="2798"/>
      <c r="AO500" s="2798"/>
      <c r="AP500" s="2798"/>
      <c r="AQ500" s="2798"/>
      <c r="AR500" s="2798"/>
      <c r="AS500" s="2798"/>
      <c r="AT500" s="2798"/>
      <c r="AU500" s="2798"/>
      <c r="AV500" s="2798"/>
      <c r="AW500" s="2798"/>
      <c r="AX500" s="2798"/>
      <c r="AY500" s="2798"/>
      <c r="AZ500" s="2798"/>
      <c r="BA500" s="2798"/>
      <c r="BB500" s="2798"/>
      <c r="BC500" s="2798"/>
      <c r="BD500" s="2798"/>
      <c r="BE500" s="2798"/>
      <c r="BF500" s="2798"/>
      <c r="BG500" s="2798"/>
      <c r="BH500" s="2798"/>
      <c r="BI500" s="2798"/>
      <c r="BJ500" s="2798"/>
      <c r="BK500" s="2798"/>
      <c r="BL500" s="2798"/>
      <c r="BM500" s="2798"/>
      <c r="BN500" s="2798"/>
      <c r="BO500" s="2798"/>
      <c r="BP500" s="2798"/>
    </row>
    <row r="501" spans="12:68">
      <c r="L501" s="2798"/>
      <c r="M501" s="2798"/>
      <c r="N501" s="2798"/>
      <c r="O501" s="2798"/>
      <c r="P501" s="2798"/>
      <c r="Q501" s="2798"/>
      <c r="R501" s="2798"/>
      <c r="S501" s="2798"/>
      <c r="T501" s="2798"/>
      <c r="U501" s="2798"/>
      <c r="V501" s="2798"/>
      <c r="W501" s="2798"/>
      <c r="X501" s="2798"/>
      <c r="Y501" s="2798"/>
      <c r="Z501" s="2798"/>
      <c r="AA501" s="2798"/>
      <c r="AB501" s="2798"/>
      <c r="AC501" s="2798"/>
      <c r="AD501" s="2798"/>
      <c r="AE501" s="2798"/>
      <c r="AF501" s="2798"/>
      <c r="AG501" s="2798"/>
      <c r="AH501" s="2798"/>
      <c r="AI501" s="2798"/>
      <c r="AJ501" s="2798"/>
      <c r="AK501" s="2798"/>
      <c r="AL501" s="2798"/>
      <c r="AM501" s="2798"/>
      <c r="AN501" s="2798"/>
      <c r="AO501" s="2798"/>
      <c r="AP501" s="2798"/>
      <c r="AQ501" s="2798"/>
      <c r="AR501" s="2798"/>
      <c r="AS501" s="2798"/>
      <c r="AT501" s="2798"/>
      <c r="AU501" s="2798"/>
      <c r="AV501" s="2798"/>
      <c r="AW501" s="2798"/>
      <c r="AX501" s="2798"/>
      <c r="AY501" s="2798"/>
      <c r="AZ501" s="2798"/>
      <c r="BA501" s="2798"/>
      <c r="BB501" s="2798"/>
      <c r="BC501" s="2798"/>
      <c r="BD501" s="2798"/>
      <c r="BE501" s="2798"/>
      <c r="BF501" s="2798"/>
      <c r="BG501" s="2798"/>
      <c r="BH501" s="2798"/>
      <c r="BI501" s="2798"/>
      <c r="BJ501" s="2798"/>
      <c r="BK501" s="2798"/>
      <c r="BL501" s="2798"/>
      <c r="BM501" s="2798"/>
      <c r="BN501" s="2798"/>
      <c r="BO501" s="2798"/>
      <c r="BP501" s="2798"/>
    </row>
    <row r="502" spans="12:68">
      <c r="L502" s="2798"/>
      <c r="M502" s="2798"/>
      <c r="N502" s="2798"/>
      <c r="O502" s="2798"/>
      <c r="P502" s="2798"/>
      <c r="Q502" s="2798"/>
      <c r="R502" s="2798"/>
      <c r="S502" s="2798"/>
      <c r="T502" s="2798"/>
      <c r="U502" s="2798"/>
      <c r="V502" s="2798"/>
      <c r="W502" s="2798"/>
      <c r="X502" s="2798"/>
      <c r="Y502" s="2798"/>
      <c r="Z502" s="2798"/>
      <c r="AA502" s="2798"/>
      <c r="AB502" s="2798"/>
      <c r="AC502" s="2798"/>
      <c r="AD502" s="2798"/>
      <c r="AE502" s="2798"/>
      <c r="AF502" s="2798"/>
      <c r="AG502" s="2798"/>
      <c r="AH502" s="2798"/>
      <c r="AI502" s="2798"/>
      <c r="AJ502" s="2798"/>
      <c r="AK502" s="2798"/>
      <c r="AL502" s="2798"/>
      <c r="AM502" s="2798"/>
      <c r="AN502" s="2798"/>
      <c r="AO502" s="2798"/>
      <c r="AP502" s="2798"/>
      <c r="AQ502" s="2798"/>
      <c r="AR502" s="2798"/>
      <c r="AS502" s="2798"/>
      <c r="AT502" s="2798"/>
      <c r="AU502" s="2798"/>
      <c r="AV502" s="2798"/>
      <c r="AW502" s="2798"/>
      <c r="AX502" s="2798"/>
      <c r="AY502" s="2798"/>
      <c r="AZ502" s="2798"/>
      <c r="BA502" s="2798"/>
      <c r="BB502" s="2798"/>
      <c r="BC502" s="2798"/>
      <c r="BD502" s="2798"/>
      <c r="BE502" s="2798"/>
      <c r="BF502" s="2798"/>
      <c r="BG502" s="2798"/>
      <c r="BH502" s="2798"/>
      <c r="BI502" s="2798"/>
      <c r="BJ502" s="2798"/>
      <c r="BK502" s="2798"/>
      <c r="BL502" s="2798"/>
      <c r="BM502" s="2798"/>
      <c r="BN502" s="2798"/>
      <c r="BO502" s="2798"/>
      <c r="BP502" s="2798"/>
    </row>
    <row r="503" spans="12:68">
      <c r="L503" s="2798"/>
      <c r="M503" s="2798"/>
      <c r="N503" s="2798"/>
      <c r="O503" s="2798"/>
      <c r="P503" s="2798"/>
      <c r="Q503" s="2798"/>
      <c r="R503" s="2798"/>
      <c r="S503" s="2798"/>
      <c r="T503" s="2798"/>
      <c r="U503" s="2798"/>
      <c r="V503" s="2798"/>
      <c r="W503" s="2798"/>
      <c r="X503" s="2798"/>
      <c r="Y503" s="2798"/>
      <c r="Z503" s="2798"/>
      <c r="AA503" s="2798"/>
      <c r="AB503" s="2798"/>
      <c r="AC503" s="2798"/>
      <c r="AD503" s="2798"/>
      <c r="AE503" s="2798"/>
      <c r="AF503" s="2798"/>
      <c r="AG503" s="2798"/>
      <c r="AH503" s="2798"/>
      <c r="AI503" s="2798"/>
      <c r="AJ503" s="2798"/>
      <c r="AK503" s="2798"/>
      <c r="AL503" s="2798"/>
      <c r="AM503" s="2798"/>
      <c r="AN503" s="2798"/>
      <c r="AO503" s="2798"/>
      <c r="AP503" s="2798"/>
      <c r="AQ503" s="2798"/>
      <c r="AR503" s="2798"/>
      <c r="AS503" s="2798"/>
      <c r="AT503" s="2798"/>
      <c r="AU503" s="2798"/>
      <c r="AV503" s="2798"/>
      <c r="AW503" s="2798"/>
      <c r="AX503" s="2798"/>
      <c r="AY503" s="2798"/>
      <c r="AZ503" s="2798"/>
      <c r="BA503" s="2798"/>
      <c r="BB503" s="2798"/>
      <c r="BC503" s="2798"/>
      <c r="BD503" s="2798"/>
      <c r="BE503" s="2798"/>
      <c r="BF503" s="2798"/>
      <c r="BG503" s="2798"/>
      <c r="BH503" s="2798"/>
      <c r="BI503" s="2798"/>
      <c r="BJ503" s="2798"/>
      <c r="BK503" s="2798"/>
      <c r="BL503" s="2798"/>
      <c r="BM503" s="2798"/>
      <c r="BN503" s="2798"/>
      <c r="BO503" s="2798"/>
      <c r="BP503" s="2798"/>
    </row>
    <row r="504" spans="12:68">
      <c r="L504" s="2798"/>
      <c r="M504" s="2798"/>
      <c r="N504" s="2798"/>
      <c r="O504" s="2798"/>
      <c r="P504" s="2798"/>
      <c r="Q504" s="2798"/>
      <c r="R504" s="2798"/>
      <c r="S504" s="2798"/>
      <c r="T504" s="2798"/>
      <c r="U504" s="2798"/>
      <c r="V504" s="2798"/>
      <c r="W504" s="2798"/>
      <c r="X504" s="2798"/>
      <c r="Y504" s="2798"/>
      <c r="Z504" s="2798"/>
      <c r="AA504" s="2798"/>
      <c r="AB504" s="2798"/>
      <c r="AC504" s="2798"/>
      <c r="AD504" s="2798"/>
      <c r="AE504" s="2798"/>
      <c r="AF504" s="2798"/>
      <c r="AG504" s="2798"/>
      <c r="AH504" s="2798"/>
      <c r="AI504" s="2798"/>
      <c r="AJ504" s="2798"/>
      <c r="AK504" s="2798"/>
      <c r="AL504" s="2798"/>
      <c r="AM504" s="2798"/>
      <c r="AN504" s="2798"/>
      <c r="AO504" s="2798"/>
      <c r="AP504" s="2798"/>
      <c r="AQ504" s="2798"/>
      <c r="AR504" s="2798"/>
      <c r="AS504" s="2798"/>
      <c r="AT504" s="2798"/>
      <c r="AU504" s="2798"/>
      <c r="AV504" s="2798"/>
      <c r="AW504" s="2798"/>
      <c r="AX504" s="2798"/>
      <c r="AY504" s="2798"/>
      <c r="AZ504" s="2798"/>
      <c r="BA504" s="2798"/>
      <c r="BB504" s="2798"/>
      <c r="BC504" s="2798"/>
      <c r="BD504" s="2798"/>
      <c r="BE504" s="2798"/>
      <c r="BF504" s="2798"/>
      <c r="BG504" s="2798"/>
      <c r="BH504" s="2798"/>
      <c r="BI504" s="2798"/>
      <c r="BJ504" s="2798"/>
      <c r="BK504" s="2798"/>
      <c r="BL504" s="2798"/>
      <c r="BM504" s="2798"/>
      <c r="BN504" s="2798"/>
      <c r="BO504" s="2798"/>
      <c r="BP504" s="2798"/>
    </row>
    <row r="505" spans="12:68">
      <c r="L505" s="2798"/>
      <c r="M505" s="2798"/>
      <c r="N505" s="2798"/>
      <c r="O505" s="2798"/>
      <c r="P505" s="2798"/>
      <c r="Q505" s="2798"/>
      <c r="R505" s="2798"/>
      <c r="S505" s="2798"/>
      <c r="T505" s="2798"/>
      <c r="U505" s="2798"/>
      <c r="V505" s="2798"/>
      <c r="W505" s="2798"/>
      <c r="X505" s="2798"/>
      <c r="Y505" s="2798"/>
      <c r="Z505" s="2798"/>
      <c r="AA505" s="2798"/>
      <c r="AB505" s="2798"/>
      <c r="AC505" s="2798"/>
      <c r="AD505" s="2798"/>
      <c r="AE505" s="2798"/>
      <c r="AF505" s="2798"/>
      <c r="AG505" s="2798"/>
      <c r="AH505" s="2798"/>
      <c r="AI505" s="2798"/>
      <c r="AJ505" s="2798"/>
      <c r="AK505" s="2798"/>
      <c r="AL505" s="2798"/>
      <c r="AM505" s="2798"/>
      <c r="AN505" s="2798"/>
      <c r="AO505" s="2798"/>
      <c r="AP505" s="2798"/>
      <c r="AQ505" s="2798"/>
      <c r="AR505" s="2798"/>
      <c r="AS505" s="2798"/>
      <c r="AT505" s="2798"/>
      <c r="AU505" s="2798"/>
      <c r="AV505" s="2798"/>
      <c r="AW505" s="2798"/>
      <c r="AX505" s="2798"/>
      <c r="AY505" s="2798"/>
      <c r="AZ505" s="2798"/>
      <c r="BA505" s="2798"/>
      <c r="BB505" s="2798"/>
      <c r="BC505" s="2798"/>
      <c r="BD505" s="2798"/>
      <c r="BE505" s="2798"/>
      <c r="BF505" s="2798"/>
      <c r="BG505" s="2798"/>
      <c r="BH505" s="2798"/>
      <c r="BI505" s="2798"/>
      <c r="BJ505" s="2798"/>
      <c r="BK505" s="2798"/>
      <c r="BL505" s="2798"/>
      <c r="BM505" s="2798"/>
      <c r="BN505" s="2798"/>
      <c r="BO505" s="2798"/>
      <c r="BP505" s="2798"/>
    </row>
    <row r="506" spans="12:68">
      <c r="L506" s="2798"/>
      <c r="M506" s="2798"/>
      <c r="N506" s="2798"/>
      <c r="O506" s="2798"/>
      <c r="P506" s="2798"/>
      <c r="Q506" s="2798"/>
      <c r="R506" s="2798"/>
      <c r="S506" s="2798"/>
      <c r="T506" s="2798"/>
      <c r="U506" s="2798"/>
      <c r="V506" s="2798"/>
      <c r="W506" s="2798"/>
      <c r="X506" s="2798"/>
      <c r="Y506" s="2798"/>
      <c r="Z506" s="2798"/>
      <c r="AA506" s="2798"/>
      <c r="AB506" s="2798"/>
      <c r="AC506" s="2798"/>
      <c r="AD506" s="2798"/>
      <c r="AE506" s="2798"/>
      <c r="AF506" s="2798"/>
      <c r="AG506" s="2798"/>
      <c r="AH506" s="2798"/>
      <c r="AI506" s="2798"/>
      <c r="AJ506" s="2798"/>
      <c r="AK506" s="2798"/>
      <c r="AL506" s="2798"/>
      <c r="AM506" s="2798"/>
      <c r="AN506" s="2798"/>
      <c r="AO506" s="2798"/>
      <c r="AP506" s="2798"/>
      <c r="AQ506" s="2798"/>
      <c r="AR506" s="2798"/>
      <c r="AS506" s="2798"/>
      <c r="AT506" s="2798"/>
      <c r="AU506" s="2798"/>
      <c r="AV506" s="2798"/>
      <c r="AW506" s="2798"/>
      <c r="AX506" s="2798"/>
      <c r="AY506" s="2798"/>
      <c r="AZ506" s="2798"/>
      <c r="BA506" s="2798"/>
      <c r="BB506" s="2798"/>
      <c r="BC506" s="2798"/>
      <c r="BD506" s="2798"/>
      <c r="BE506" s="2798"/>
      <c r="BF506" s="2798"/>
      <c r="BG506" s="2798"/>
      <c r="BH506" s="2798"/>
      <c r="BI506" s="2798"/>
      <c r="BJ506" s="2798"/>
      <c r="BK506" s="2798"/>
      <c r="BL506" s="2798"/>
      <c r="BM506" s="2798"/>
      <c r="BN506" s="2798"/>
      <c r="BO506" s="2798"/>
      <c r="BP506" s="2798"/>
    </row>
    <row r="507" spans="12:68">
      <c r="L507" s="2798"/>
      <c r="M507" s="2798"/>
      <c r="N507" s="2798"/>
      <c r="O507" s="2798"/>
      <c r="P507" s="2798"/>
      <c r="Q507" s="2798"/>
      <c r="R507" s="2798"/>
      <c r="S507" s="2798"/>
      <c r="T507" s="2798"/>
      <c r="U507" s="2798"/>
      <c r="V507" s="2798"/>
      <c r="W507" s="2798"/>
      <c r="X507" s="2798"/>
      <c r="Y507" s="2798"/>
      <c r="Z507" s="2798"/>
      <c r="AA507" s="2798"/>
      <c r="AB507" s="2798"/>
      <c r="AC507" s="2798"/>
      <c r="AD507" s="2798"/>
      <c r="AE507" s="2798"/>
      <c r="AF507" s="2798"/>
      <c r="AG507" s="2798"/>
      <c r="AH507" s="2798"/>
      <c r="AI507" s="2798"/>
      <c r="AJ507" s="2798"/>
      <c r="AK507" s="2798"/>
      <c r="AL507" s="2798"/>
      <c r="AM507" s="2798"/>
      <c r="AN507" s="2798"/>
      <c r="AO507" s="2798"/>
      <c r="AP507" s="2798"/>
      <c r="AQ507" s="2798"/>
      <c r="AR507" s="2798"/>
      <c r="AS507" s="2798"/>
      <c r="AT507" s="2798"/>
      <c r="AU507" s="2798"/>
      <c r="AV507" s="2798"/>
      <c r="AW507" s="2798"/>
      <c r="AX507" s="2798"/>
      <c r="AY507" s="2798"/>
      <c r="AZ507" s="2798"/>
      <c r="BA507" s="2798"/>
      <c r="BB507" s="2798"/>
      <c r="BC507" s="2798"/>
      <c r="BD507" s="2798"/>
      <c r="BE507" s="2798"/>
      <c r="BF507" s="2798"/>
      <c r="BG507" s="2798"/>
      <c r="BH507" s="2798"/>
      <c r="BI507" s="2798"/>
      <c r="BJ507" s="2798"/>
      <c r="BK507" s="2798"/>
      <c r="BL507" s="2798"/>
      <c r="BM507" s="2798"/>
      <c r="BN507" s="2798"/>
      <c r="BO507" s="2798"/>
      <c r="BP507" s="2798"/>
    </row>
    <row r="508" spans="12:68">
      <c r="L508" s="2798"/>
      <c r="M508" s="2798"/>
      <c r="N508" s="2798"/>
      <c r="O508" s="2798"/>
      <c r="P508" s="2798"/>
      <c r="Q508" s="2798"/>
      <c r="R508" s="2798"/>
      <c r="S508" s="2798"/>
      <c r="T508" s="2798"/>
      <c r="U508" s="2798"/>
      <c r="V508" s="2798"/>
      <c r="W508" s="2798"/>
      <c r="X508" s="2798"/>
      <c r="Y508" s="2798"/>
      <c r="Z508" s="2798"/>
      <c r="AA508" s="2798"/>
      <c r="AB508" s="2798"/>
      <c r="AC508" s="2798"/>
      <c r="AD508" s="2798"/>
      <c r="AE508" s="2798"/>
      <c r="AF508" s="2798"/>
      <c r="AG508" s="2798"/>
      <c r="AH508" s="2798"/>
      <c r="AI508" s="2798"/>
      <c r="AJ508" s="2798"/>
      <c r="AK508" s="2798"/>
      <c r="AL508" s="2798"/>
      <c r="AM508" s="2798"/>
      <c r="AN508" s="2798"/>
      <c r="AO508" s="2798"/>
      <c r="AP508" s="2798"/>
      <c r="AQ508" s="2798"/>
      <c r="AR508" s="2798"/>
      <c r="AS508" s="2798"/>
      <c r="AT508" s="2798"/>
      <c r="AU508" s="2798"/>
      <c r="AV508" s="2798"/>
      <c r="AW508" s="2798"/>
      <c r="AX508" s="2798"/>
      <c r="AY508" s="2798"/>
      <c r="AZ508" s="2798"/>
      <c r="BA508" s="2798"/>
      <c r="BB508" s="2798"/>
      <c r="BC508" s="2798"/>
      <c r="BD508" s="2798"/>
      <c r="BE508" s="2798"/>
      <c r="BF508" s="2798"/>
      <c r="BG508" s="2798"/>
      <c r="BH508" s="2798"/>
      <c r="BI508" s="2798"/>
      <c r="BJ508" s="2798"/>
      <c r="BK508" s="2798"/>
      <c r="BL508" s="2798"/>
      <c r="BM508" s="2798"/>
      <c r="BN508" s="2798"/>
      <c r="BO508" s="2798"/>
      <c r="BP508" s="2798"/>
    </row>
    <row r="509" spans="12:68">
      <c r="L509" s="2798"/>
      <c r="M509" s="2798"/>
      <c r="N509" s="2798"/>
      <c r="O509" s="2798"/>
      <c r="P509" s="2798"/>
      <c r="Q509" s="2798"/>
      <c r="R509" s="2798"/>
      <c r="S509" s="2798"/>
      <c r="T509" s="2798"/>
      <c r="U509" s="2798"/>
      <c r="V509" s="2798"/>
      <c r="W509" s="2798"/>
      <c r="X509" s="2798"/>
      <c r="Y509" s="2798"/>
      <c r="Z509" s="2798"/>
      <c r="AA509" s="2798"/>
      <c r="AB509" s="2798"/>
      <c r="AC509" s="2798"/>
      <c r="AD509" s="2798"/>
      <c r="AE509" s="2798"/>
      <c r="AF509" s="2798"/>
      <c r="AG509" s="2798"/>
      <c r="AH509" s="2798"/>
      <c r="AI509" s="2798"/>
      <c r="AJ509" s="2798"/>
      <c r="AK509" s="2798"/>
      <c r="AL509" s="2798"/>
      <c r="AM509" s="2798"/>
      <c r="AN509" s="2798"/>
      <c r="AO509" s="2798"/>
      <c r="AP509" s="2798"/>
      <c r="AQ509" s="2798"/>
      <c r="AR509" s="2798"/>
      <c r="AS509" s="2798"/>
      <c r="AT509" s="2798"/>
      <c r="AU509" s="2798"/>
      <c r="AV509" s="2798"/>
      <c r="AW509" s="2798"/>
      <c r="AX509" s="2798"/>
      <c r="AY509" s="2798"/>
      <c r="AZ509" s="2798"/>
      <c r="BA509" s="2798"/>
      <c r="BB509" s="2798"/>
      <c r="BC509" s="2798"/>
      <c r="BD509" s="2798"/>
      <c r="BE509" s="2798"/>
      <c r="BF509" s="2798"/>
      <c r="BG509" s="2798"/>
      <c r="BH509" s="2798"/>
      <c r="BI509" s="2798"/>
      <c r="BJ509" s="2798"/>
      <c r="BK509" s="2798"/>
      <c r="BL509" s="2798"/>
      <c r="BM509" s="2798"/>
      <c r="BN509" s="2798"/>
      <c r="BO509" s="2798"/>
      <c r="BP509" s="2798"/>
    </row>
    <row r="510" spans="12:68">
      <c r="L510" s="2798"/>
      <c r="M510" s="2798"/>
      <c r="N510" s="2798"/>
      <c r="O510" s="2798"/>
      <c r="P510" s="2798"/>
      <c r="Q510" s="2798"/>
      <c r="R510" s="2798"/>
      <c r="S510" s="2798"/>
      <c r="T510" s="2798"/>
      <c r="U510" s="2798"/>
      <c r="V510" s="2798"/>
      <c r="W510" s="2798"/>
      <c r="X510" s="2798"/>
      <c r="Y510" s="2798"/>
      <c r="Z510" s="2798"/>
      <c r="AA510" s="2798"/>
      <c r="AB510" s="2798"/>
      <c r="AC510" s="2798"/>
      <c r="AD510" s="2798"/>
      <c r="AE510" s="2798"/>
      <c r="AF510" s="2798"/>
      <c r="AG510" s="2798"/>
      <c r="AH510" s="2798"/>
      <c r="AI510" s="2798"/>
      <c r="AJ510" s="2798"/>
      <c r="AK510" s="2798"/>
      <c r="AL510" s="2798"/>
      <c r="AM510" s="2798"/>
      <c r="AN510" s="2798"/>
      <c r="AO510" s="2798"/>
      <c r="AP510" s="2798"/>
      <c r="AQ510" s="2798"/>
      <c r="AR510" s="2798"/>
      <c r="AS510" s="2798"/>
      <c r="AT510" s="2798"/>
      <c r="AU510" s="2798"/>
      <c r="AV510" s="2798"/>
      <c r="AW510" s="2798"/>
      <c r="AX510" s="2798"/>
      <c r="AY510" s="2798"/>
      <c r="AZ510" s="2798"/>
      <c r="BA510" s="2798"/>
      <c r="BB510" s="2798"/>
      <c r="BC510" s="2798"/>
      <c r="BD510" s="2798"/>
      <c r="BE510" s="2798"/>
      <c r="BF510" s="2798"/>
      <c r="BG510" s="2798"/>
      <c r="BH510" s="2798"/>
      <c r="BI510" s="2798"/>
      <c r="BJ510" s="2798"/>
      <c r="BK510" s="2798"/>
      <c r="BL510" s="2798"/>
      <c r="BM510" s="2798"/>
      <c r="BN510" s="2798"/>
      <c r="BO510" s="2798"/>
      <c r="BP510" s="2798"/>
    </row>
    <row r="511" spans="12:68">
      <c r="L511" s="2798"/>
      <c r="M511" s="2798"/>
      <c r="N511" s="2798"/>
      <c r="O511" s="2798"/>
      <c r="P511" s="2798"/>
      <c r="Q511" s="2798"/>
      <c r="R511" s="2798"/>
      <c r="S511" s="2798"/>
      <c r="T511" s="2798"/>
      <c r="U511" s="2798"/>
      <c r="V511" s="2798"/>
      <c r="W511" s="2798"/>
      <c r="X511" s="2798"/>
      <c r="Y511" s="2798"/>
      <c r="Z511" s="2798"/>
      <c r="AA511" s="2798"/>
      <c r="AB511" s="2798"/>
      <c r="AC511" s="2798"/>
      <c r="AD511" s="2798"/>
      <c r="AE511" s="2798"/>
      <c r="AF511" s="2798"/>
      <c r="AG511" s="2798"/>
      <c r="AH511" s="2798"/>
      <c r="AI511" s="2798"/>
      <c r="AJ511" s="2798"/>
      <c r="AK511" s="2798"/>
      <c r="AL511" s="2798"/>
      <c r="AM511" s="2798"/>
      <c r="AN511" s="2798"/>
      <c r="AO511" s="2798"/>
      <c r="AP511" s="2798"/>
      <c r="AQ511" s="2798"/>
      <c r="AR511" s="2798"/>
      <c r="AS511" s="2798"/>
      <c r="AT511" s="2798"/>
      <c r="AU511" s="2798"/>
      <c r="AV511" s="2798"/>
      <c r="AW511" s="2798"/>
      <c r="AX511" s="2798"/>
      <c r="AY511" s="2798"/>
      <c r="AZ511" s="2798"/>
      <c r="BA511" s="2798"/>
      <c r="BB511" s="2798"/>
      <c r="BC511" s="2798"/>
      <c r="BD511" s="2798"/>
      <c r="BE511" s="2798"/>
      <c r="BF511" s="2798"/>
      <c r="BG511" s="2798"/>
      <c r="BH511" s="2798"/>
      <c r="BI511" s="2798"/>
      <c r="BJ511" s="2798"/>
      <c r="BK511" s="2798"/>
      <c r="BL511" s="2798"/>
      <c r="BM511" s="2798"/>
      <c r="BN511" s="2798"/>
      <c r="BO511" s="2798"/>
      <c r="BP511" s="2798"/>
    </row>
    <row r="512" spans="12:68">
      <c r="L512" s="2798"/>
      <c r="M512" s="2798"/>
      <c r="N512" s="2798"/>
      <c r="O512" s="2798"/>
      <c r="P512" s="2798"/>
      <c r="Q512" s="2798"/>
      <c r="R512" s="2798"/>
      <c r="S512" s="2798"/>
      <c r="T512" s="2798"/>
      <c r="U512" s="2798"/>
      <c r="V512" s="2798"/>
      <c r="W512" s="2798"/>
      <c r="X512" s="2798"/>
      <c r="Y512" s="2798"/>
      <c r="Z512" s="2798"/>
      <c r="AA512" s="2798"/>
      <c r="AB512" s="2798"/>
      <c r="AC512" s="2798"/>
      <c r="AD512" s="2798"/>
      <c r="AE512" s="2798"/>
      <c r="AF512" s="2798"/>
      <c r="AG512" s="2798"/>
      <c r="AH512" s="2798"/>
      <c r="AI512" s="2798"/>
      <c r="AJ512" s="2798"/>
      <c r="AK512" s="2798"/>
      <c r="AL512" s="2798"/>
      <c r="AM512" s="2798"/>
      <c r="AN512" s="2798"/>
      <c r="AO512" s="2798"/>
      <c r="AP512" s="2798"/>
      <c r="AQ512" s="2798"/>
      <c r="AR512" s="2798"/>
      <c r="AS512" s="2798"/>
      <c r="AT512" s="2798"/>
      <c r="AU512" s="2798"/>
      <c r="AV512" s="2798"/>
      <c r="AW512" s="2798"/>
      <c r="AX512" s="2798"/>
      <c r="AY512" s="2798"/>
      <c r="AZ512" s="2798"/>
      <c r="BA512" s="2798"/>
      <c r="BB512" s="2798"/>
      <c r="BC512" s="2798"/>
      <c r="BD512" s="2798"/>
      <c r="BE512" s="2798"/>
      <c r="BF512" s="2798"/>
      <c r="BG512" s="2798"/>
      <c r="BH512" s="2798"/>
      <c r="BI512" s="2798"/>
      <c r="BJ512" s="2798"/>
      <c r="BK512" s="2798"/>
      <c r="BL512" s="2798"/>
      <c r="BM512" s="2798"/>
      <c r="BN512" s="2798"/>
      <c r="BO512" s="2798"/>
      <c r="BP512" s="2798"/>
    </row>
    <row r="513" spans="12:68">
      <c r="L513" s="2798"/>
      <c r="M513" s="2798"/>
      <c r="N513" s="2798"/>
      <c r="O513" s="2798"/>
      <c r="P513" s="2798"/>
      <c r="Q513" s="2798"/>
      <c r="R513" s="2798"/>
      <c r="S513" s="2798"/>
      <c r="T513" s="2798"/>
      <c r="U513" s="2798"/>
      <c r="V513" s="2798"/>
      <c r="W513" s="2798"/>
      <c r="X513" s="2798"/>
      <c r="Y513" s="2798"/>
      <c r="Z513" s="2798"/>
      <c r="AA513" s="2798"/>
      <c r="AB513" s="2798"/>
      <c r="AC513" s="2798"/>
      <c r="AD513" s="2798"/>
      <c r="AE513" s="2798"/>
      <c r="AF513" s="2798"/>
      <c r="AG513" s="2798"/>
      <c r="AH513" s="2798"/>
      <c r="AI513" s="2798"/>
      <c r="AJ513" s="2798"/>
      <c r="AK513" s="2798"/>
      <c r="AL513" s="2798"/>
      <c r="AM513" s="2798"/>
      <c r="AN513" s="2798"/>
      <c r="AO513" s="2798"/>
      <c r="AP513" s="2798"/>
      <c r="AQ513" s="2798"/>
      <c r="AR513" s="2798"/>
      <c r="AS513" s="2798"/>
      <c r="AT513" s="2798"/>
      <c r="AU513" s="2798"/>
      <c r="AV513" s="2798"/>
      <c r="AW513" s="2798"/>
      <c r="AX513" s="2798"/>
      <c r="AY513" s="2798"/>
      <c r="AZ513" s="2798"/>
      <c r="BA513" s="2798"/>
      <c r="BB513" s="2798"/>
      <c r="BC513" s="2798"/>
      <c r="BD513" s="2798"/>
      <c r="BE513" s="2798"/>
      <c r="BF513" s="2798"/>
      <c r="BG513" s="2798"/>
      <c r="BH513" s="2798"/>
      <c r="BI513" s="2798"/>
      <c r="BJ513" s="2798"/>
      <c r="BK513" s="2798"/>
      <c r="BL513" s="2798"/>
      <c r="BM513" s="2798"/>
      <c r="BN513" s="2798"/>
      <c r="BO513" s="2798"/>
      <c r="BP513" s="2798"/>
    </row>
    <row r="514" spans="12:68">
      <c r="L514" s="2798"/>
      <c r="M514" s="2798"/>
      <c r="N514" s="2798"/>
      <c r="O514" s="2798"/>
      <c r="P514" s="2798"/>
      <c r="Q514" s="2798"/>
      <c r="R514" s="2798"/>
      <c r="S514" s="2798"/>
      <c r="T514" s="2798"/>
      <c r="U514" s="2798"/>
      <c r="V514" s="2798"/>
      <c r="W514" s="2798"/>
      <c r="X514" s="2798"/>
      <c r="Y514" s="2798"/>
      <c r="Z514" s="2798"/>
      <c r="AA514" s="2798"/>
      <c r="AB514" s="2798"/>
      <c r="AC514" s="2798"/>
      <c r="AD514" s="2798"/>
      <c r="AE514" s="2798"/>
      <c r="AF514" s="2798"/>
      <c r="AG514" s="2798"/>
      <c r="AH514" s="2798"/>
      <c r="AI514" s="2798"/>
      <c r="AJ514" s="2798"/>
      <c r="AK514" s="2798"/>
      <c r="AL514" s="2798"/>
      <c r="AM514" s="2798"/>
      <c r="AN514" s="2798"/>
      <c r="AO514" s="2798"/>
      <c r="AP514" s="2798"/>
      <c r="AQ514" s="2798"/>
      <c r="AR514" s="2798"/>
      <c r="AS514" s="2798"/>
      <c r="AT514" s="2798"/>
      <c r="AU514" s="2798"/>
      <c r="AV514" s="2798"/>
      <c r="AW514" s="2798"/>
      <c r="AX514" s="2798"/>
      <c r="AY514" s="2798"/>
      <c r="AZ514" s="2798"/>
      <c r="BA514" s="2798"/>
      <c r="BB514" s="2798"/>
      <c r="BC514" s="2798"/>
      <c r="BD514" s="2798"/>
      <c r="BE514" s="2798"/>
      <c r="BF514" s="2798"/>
      <c r="BG514" s="2798"/>
      <c r="BH514" s="2798"/>
      <c r="BI514" s="2798"/>
      <c r="BJ514" s="2798"/>
      <c r="BK514" s="2798"/>
      <c r="BL514" s="2798"/>
      <c r="BM514" s="2798"/>
      <c r="BN514" s="2798"/>
      <c r="BO514" s="2798"/>
      <c r="BP514" s="2798"/>
    </row>
    <row r="515" spans="12:68">
      <c r="L515" s="2798"/>
      <c r="M515" s="2798"/>
      <c r="N515" s="2798"/>
      <c r="O515" s="2798"/>
      <c r="P515" s="2798"/>
      <c r="Q515" s="2798"/>
      <c r="R515" s="2798"/>
      <c r="S515" s="2798"/>
      <c r="T515" s="2798"/>
      <c r="U515" s="2798"/>
      <c r="V515" s="2798"/>
      <c r="W515" s="2798"/>
      <c r="X515" s="2798"/>
      <c r="Y515" s="2798"/>
      <c r="Z515" s="2798"/>
      <c r="AA515" s="2798"/>
      <c r="AB515" s="2798"/>
      <c r="AC515" s="2798"/>
      <c r="AD515" s="2798"/>
      <c r="AE515" s="2798"/>
      <c r="AF515" s="2798"/>
      <c r="AG515" s="2798"/>
      <c r="AH515" s="2798"/>
      <c r="AI515" s="2798"/>
      <c r="AJ515" s="2798"/>
      <c r="AK515" s="2798"/>
      <c r="AL515" s="2798"/>
      <c r="AM515" s="2798"/>
      <c r="AN515" s="2798"/>
      <c r="AO515" s="2798"/>
      <c r="AP515" s="2798"/>
      <c r="AQ515" s="2798"/>
      <c r="AR515" s="2798"/>
      <c r="AS515" s="2798"/>
      <c r="AT515" s="2798"/>
      <c r="AU515" s="2798"/>
      <c r="AV515" s="2798"/>
      <c r="AW515" s="2798"/>
      <c r="AX515" s="2798"/>
      <c r="AY515" s="2798"/>
      <c r="AZ515" s="2798"/>
      <c r="BA515" s="2798"/>
      <c r="BB515" s="2798"/>
      <c r="BC515" s="2798"/>
      <c r="BD515" s="2798"/>
      <c r="BE515" s="2798"/>
      <c r="BF515" s="2798"/>
      <c r="BG515" s="2798"/>
      <c r="BH515" s="2798"/>
      <c r="BI515" s="2798"/>
      <c r="BJ515" s="2798"/>
      <c r="BK515" s="2798"/>
      <c r="BL515" s="2798"/>
      <c r="BM515" s="2798"/>
      <c r="BN515" s="2798"/>
      <c r="BO515" s="2798"/>
      <c r="BP515" s="2798"/>
    </row>
    <row r="516" spans="12:68">
      <c r="L516" s="2798"/>
      <c r="M516" s="2798"/>
      <c r="N516" s="2798"/>
      <c r="O516" s="2798"/>
      <c r="P516" s="2798"/>
      <c r="Q516" s="2798"/>
      <c r="R516" s="2798"/>
      <c r="S516" s="2798"/>
      <c r="T516" s="2798"/>
      <c r="U516" s="2798"/>
      <c r="V516" s="2798"/>
      <c r="W516" s="2798"/>
      <c r="X516" s="2798"/>
      <c r="Y516" s="2798"/>
      <c r="Z516" s="2798"/>
      <c r="AA516" s="2798"/>
      <c r="AB516" s="2798"/>
      <c r="AC516" s="2798"/>
      <c r="AD516" s="2798"/>
      <c r="AE516" s="2798"/>
      <c r="AF516" s="2798"/>
      <c r="AG516" s="2798"/>
      <c r="AH516" s="2798"/>
      <c r="AI516" s="2798"/>
      <c r="AJ516" s="2798"/>
      <c r="AK516" s="2798"/>
      <c r="AL516" s="2798"/>
      <c r="AM516" s="2798"/>
      <c r="AN516" s="2798"/>
      <c r="AO516" s="2798"/>
      <c r="AP516" s="2798"/>
      <c r="AQ516" s="2798"/>
      <c r="AR516" s="2798"/>
      <c r="AS516" s="2798"/>
      <c r="AT516" s="2798"/>
      <c r="AU516" s="2798"/>
      <c r="AV516" s="2798"/>
      <c r="AW516" s="2798"/>
      <c r="AX516" s="2798"/>
      <c r="AY516" s="2798"/>
      <c r="AZ516" s="2798"/>
      <c r="BA516" s="2798"/>
      <c r="BB516" s="2798"/>
      <c r="BC516" s="2798"/>
      <c r="BD516" s="2798"/>
      <c r="BE516" s="2798"/>
      <c r="BF516" s="2798"/>
      <c r="BG516" s="2798"/>
      <c r="BH516" s="2798"/>
      <c r="BI516" s="2798"/>
      <c r="BJ516" s="2798"/>
      <c r="BK516" s="2798"/>
      <c r="BL516" s="2798"/>
      <c r="BM516" s="2798"/>
      <c r="BN516" s="2798"/>
      <c r="BO516" s="2798"/>
      <c r="BP516" s="2798"/>
    </row>
    <row r="517" spans="12:68">
      <c r="L517" s="2798"/>
      <c r="M517" s="2798"/>
      <c r="N517" s="2798"/>
      <c r="O517" s="2798"/>
      <c r="P517" s="2798"/>
      <c r="Q517" s="2798"/>
      <c r="R517" s="2798"/>
      <c r="S517" s="2798"/>
      <c r="T517" s="2798"/>
      <c r="U517" s="2798"/>
      <c r="V517" s="2798"/>
      <c r="W517" s="2798"/>
      <c r="X517" s="2798"/>
      <c r="Y517" s="2798"/>
      <c r="Z517" s="2798"/>
      <c r="AA517" s="2798"/>
      <c r="AB517" s="2798"/>
      <c r="AC517" s="2798"/>
      <c r="AD517" s="2798"/>
      <c r="AE517" s="2798"/>
      <c r="AF517" s="2798"/>
      <c r="AG517" s="2798"/>
      <c r="AH517" s="2798"/>
      <c r="AI517" s="2798"/>
      <c r="AJ517" s="2798"/>
      <c r="AK517" s="2798"/>
      <c r="AL517" s="2798"/>
      <c r="AM517" s="2798"/>
      <c r="AN517" s="2798"/>
      <c r="AO517" s="2798"/>
      <c r="AP517" s="2798"/>
      <c r="AQ517" s="2798"/>
      <c r="AR517" s="2798"/>
      <c r="AS517" s="2798"/>
      <c r="AT517" s="2798"/>
      <c r="AU517" s="2798"/>
      <c r="AV517" s="2798"/>
      <c r="AW517" s="2798"/>
      <c r="AX517" s="2798"/>
      <c r="AY517" s="2798"/>
      <c r="AZ517" s="2798"/>
      <c r="BA517" s="2798"/>
      <c r="BB517" s="2798"/>
      <c r="BC517" s="2798"/>
      <c r="BD517" s="2798"/>
      <c r="BE517" s="2798"/>
      <c r="BF517" s="2798"/>
      <c r="BG517" s="2798"/>
      <c r="BH517" s="2798"/>
      <c r="BI517" s="2798"/>
      <c r="BJ517" s="2798"/>
      <c r="BK517" s="2798"/>
      <c r="BL517" s="2798"/>
      <c r="BM517" s="2798"/>
      <c r="BN517" s="2798"/>
      <c r="BO517" s="2798"/>
      <c r="BP517" s="2798"/>
    </row>
    <row r="518" spans="12:68">
      <c r="L518" s="2798"/>
      <c r="M518" s="2798"/>
      <c r="N518" s="2798"/>
      <c r="O518" s="2798"/>
      <c r="P518" s="2798"/>
      <c r="Q518" s="2798"/>
      <c r="R518" s="2798"/>
      <c r="S518" s="2798"/>
      <c r="T518" s="2798"/>
      <c r="U518" s="2798"/>
      <c r="V518" s="2798"/>
      <c r="W518" s="2798"/>
      <c r="X518" s="2798"/>
      <c r="Y518" s="2798"/>
      <c r="Z518" s="2798"/>
      <c r="AA518" s="2798"/>
      <c r="AB518" s="2798"/>
      <c r="AC518" s="2798"/>
      <c r="AD518" s="2798"/>
      <c r="AE518" s="2798"/>
      <c r="AF518" s="2798"/>
      <c r="AG518" s="2798"/>
      <c r="AH518" s="2798"/>
      <c r="AI518" s="2798"/>
      <c r="AJ518" s="2798"/>
      <c r="AK518" s="2798"/>
      <c r="AL518" s="2798"/>
      <c r="AM518" s="2798"/>
      <c r="AN518" s="2798"/>
      <c r="AO518" s="2798"/>
      <c r="AP518" s="2798"/>
      <c r="AQ518" s="2798"/>
      <c r="AR518" s="2798"/>
      <c r="AS518" s="2798"/>
      <c r="AT518" s="2798"/>
      <c r="AU518" s="2798"/>
      <c r="AV518" s="2798"/>
      <c r="AW518" s="2798"/>
      <c r="AX518" s="2798"/>
      <c r="AY518" s="2798"/>
      <c r="AZ518" s="2798"/>
      <c r="BA518" s="2798"/>
      <c r="BB518" s="2798"/>
      <c r="BC518" s="2798"/>
      <c r="BD518" s="2798"/>
      <c r="BE518" s="2798"/>
      <c r="BF518" s="2798"/>
      <c r="BG518" s="2798"/>
      <c r="BH518" s="2798"/>
      <c r="BI518" s="2798"/>
      <c r="BJ518" s="2798"/>
      <c r="BK518" s="2798"/>
      <c r="BL518" s="2798"/>
      <c r="BM518" s="2798"/>
      <c r="BN518" s="2798"/>
      <c r="BO518" s="2798"/>
      <c r="BP518" s="2798"/>
    </row>
    <row r="519" spans="12:68">
      <c r="L519" s="2798"/>
      <c r="M519" s="2798"/>
      <c r="N519" s="2798"/>
      <c r="O519" s="2798"/>
      <c r="P519" s="2798"/>
      <c r="Q519" s="2798"/>
      <c r="R519" s="2798"/>
      <c r="S519" s="2798"/>
      <c r="T519" s="2798"/>
      <c r="U519" s="2798"/>
      <c r="V519" s="2798"/>
      <c r="W519" s="2798"/>
      <c r="X519" s="2798"/>
      <c r="Y519" s="2798"/>
      <c r="Z519" s="2798"/>
      <c r="AA519" s="2798"/>
      <c r="AB519" s="2798"/>
      <c r="AC519" s="2798"/>
      <c r="AD519" s="2798"/>
      <c r="AE519" s="2798"/>
      <c r="AF519" s="2798"/>
      <c r="AG519" s="2798"/>
      <c r="AH519" s="2798"/>
      <c r="AI519" s="2798"/>
      <c r="AJ519" s="2798"/>
      <c r="AK519" s="2798"/>
      <c r="AL519" s="2798"/>
      <c r="AM519" s="2798"/>
      <c r="AN519" s="2798"/>
      <c r="AO519" s="2798"/>
      <c r="AP519" s="2798"/>
      <c r="AQ519" s="2798"/>
      <c r="AR519" s="2798"/>
      <c r="AS519" s="2798"/>
      <c r="AT519" s="2798"/>
      <c r="AU519" s="2798"/>
      <c r="AV519" s="2798"/>
      <c r="AW519" s="2798"/>
      <c r="AX519" s="2798"/>
      <c r="AY519" s="2798"/>
      <c r="AZ519" s="2798"/>
      <c r="BA519" s="2798"/>
      <c r="BB519" s="2798"/>
      <c r="BC519" s="2798"/>
      <c r="BD519" s="2798"/>
      <c r="BE519" s="2798"/>
      <c r="BF519" s="2798"/>
      <c r="BG519" s="2798"/>
      <c r="BH519" s="2798"/>
      <c r="BI519" s="2798"/>
      <c r="BJ519" s="2798"/>
      <c r="BK519" s="2798"/>
      <c r="BL519" s="2798"/>
      <c r="BM519" s="2798"/>
      <c r="BN519" s="2798"/>
      <c r="BO519" s="2798"/>
      <c r="BP519" s="2798"/>
    </row>
    <row r="520" spans="12:68">
      <c r="L520" s="2798"/>
      <c r="M520" s="2798"/>
      <c r="N520" s="2798"/>
      <c r="O520" s="2798"/>
      <c r="P520" s="2798"/>
      <c r="Q520" s="2798"/>
      <c r="R520" s="2798"/>
      <c r="S520" s="2798"/>
      <c r="T520" s="2798"/>
      <c r="U520" s="2798"/>
      <c r="V520" s="2798"/>
      <c r="W520" s="2798"/>
      <c r="X520" s="2798"/>
      <c r="Y520" s="2798"/>
      <c r="Z520" s="2798"/>
      <c r="AA520" s="2798"/>
      <c r="AB520" s="2798"/>
      <c r="AC520" s="2798"/>
      <c r="AD520" s="2798"/>
      <c r="AE520" s="2798"/>
      <c r="AF520" s="2798"/>
      <c r="AG520" s="2798"/>
      <c r="AH520" s="2798"/>
      <c r="AI520" s="2798"/>
      <c r="AJ520" s="2798"/>
      <c r="AK520" s="2798"/>
      <c r="AL520" s="2798"/>
      <c r="AM520" s="2798"/>
      <c r="AN520" s="2798"/>
      <c r="AO520" s="2798"/>
      <c r="AP520" s="2798"/>
      <c r="AQ520" s="2798"/>
      <c r="AR520" s="2798"/>
      <c r="AS520" s="2798"/>
      <c r="AT520" s="2798"/>
      <c r="AU520" s="2798"/>
      <c r="AV520" s="2798"/>
      <c r="AW520" s="2798"/>
      <c r="AX520" s="2798"/>
      <c r="AY520" s="2798"/>
      <c r="AZ520" s="2798"/>
      <c r="BA520" s="2798"/>
      <c r="BB520" s="2798"/>
      <c r="BC520" s="2798"/>
      <c r="BD520" s="2798"/>
      <c r="BE520" s="2798"/>
      <c r="BF520" s="2798"/>
      <c r="BG520" s="2798"/>
      <c r="BH520" s="2798"/>
      <c r="BI520" s="2798"/>
      <c r="BJ520" s="2798"/>
      <c r="BK520" s="2798"/>
      <c r="BL520" s="2798"/>
      <c r="BM520" s="2798"/>
      <c r="BN520" s="2798"/>
      <c r="BO520" s="2798"/>
      <c r="BP520" s="2798"/>
    </row>
    <row r="521" spans="12:68">
      <c r="L521" s="2798"/>
      <c r="M521" s="2798"/>
      <c r="N521" s="2798"/>
      <c r="O521" s="2798"/>
      <c r="P521" s="2798"/>
      <c r="Q521" s="2798"/>
      <c r="R521" s="2798"/>
      <c r="S521" s="2798"/>
      <c r="T521" s="2798"/>
      <c r="U521" s="2798"/>
      <c r="V521" s="2798"/>
      <c r="W521" s="2798"/>
      <c r="X521" s="2798"/>
      <c r="Y521" s="2798"/>
      <c r="Z521" s="2798"/>
      <c r="AA521" s="2798"/>
      <c r="AB521" s="2798"/>
      <c r="AC521" s="2798"/>
      <c r="AD521" s="2798"/>
      <c r="AE521" s="2798"/>
      <c r="AF521" s="2798"/>
      <c r="AG521" s="2798"/>
      <c r="AH521" s="2798"/>
      <c r="AI521" s="2798"/>
      <c r="AJ521" s="2798"/>
      <c r="AK521" s="2798"/>
      <c r="AL521" s="2798"/>
      <c r="AM521" s="2798"/>
      <c r="AN521" s="2798"/>
      <c r="AO521" s="2798"/>
      <c r="AP521" s="2798"/>
      <c r="AQ521" s="2798"/>
      <c r="AR521" s="2798"/>
      <c r="AS521" s="2798"/>
      <c r="AT521" s="2798"/>
      <c r="AU521" s="2798"/>
      <c r="AV521" s="2798"/>
      <c r="AW521" s="2798"/>
      <c r="AX521" s="2798"/>
      <c r="AY521" s="2798"/>
      <c r="AZ521" s="2798"/>
      <c r="BA521" s="2798"/>
      <c r="BB521" s="2798"/>
      <c r="BC521" s="2798"/>
      <c r="BD521" s="2798"/>
      <c r="BE521" s="2798"/>
      <c r="BF521" s="2798"/>
      <c r="BG521" s="2798"/>
      <c r="BH521" s="2798"/>
      <c r="BI521" s="2798"/>
      <c r="BJ521" s="2798"/>
      <c r="BK521" s="2798"/>
      <c r="BL521" s="2798"/>
      <c r="BM521" s="2798"/>
      <c r="BN521" s="2798"/>
      <c r="BO521" s="2798"/>
      <c r="BP521" s="2798"/>
    </row>
    <row r="522" spans="12:68">
      <c r="L522" s="2798"/>
      <c r="M522" s="2798"/>
      <c r="N522" s="2798"/>
      <c r="O522" s="2798"/>
      <c r="P522" s="2798"/>
      <c r="Q522" s="2798"/>
      <c r="R522" s="2798"/>
      <c r="S522" s="2798"/>
      <c r="T522" s="2798"/>
      <c r="U522" s="2798"/>
      <c r="V522" s="2798"/>
      <c r="W522" s="2798"/>
      <c r="X522" s="2798"/>
      <c r="Y522" s="2798"/>
      <c r="Z522" s="2798"/>
      <c r="AA522" s="2798"/>
      <c r="AB522" s="2798"/>
      <c r="AC522" s="2798"/>
      <c r="AD522" s="2798"/>
      <c r="AE522" s="2798"/>
      <c r="AF522" s="2798"/>
      <c r="AG522" s="2798"/>
      <c r="AH522" s="2798"/>
      <c r="AI522" s="2798"/>
      <c r="AJ522" s="2798"/>
      <c r="AK522" s="2798"/>
      <c r="AL522" s="2798"/>
      <c r="AM522" s="2798"/>
      <c r="AN522" s="2798"/>
      <c r="AO522" s="2798"/>
      <c r="AP522" s="2798"/>
      <c r="AQ522" s="2798"/>
      <c r="AR522" s="2798"/>
      <c r="AS522" s="2798"/>
      <c r="AT522" s="2798"/>
      <c r="AU522" s="2798"/>
      <c r="AV522" s="2798"/>
      <c r="AW522" s="2798"/>
      <c r="AX522" s="2798"/>
      <c r="AY522" s="2798"/>
      <c r="AZ522" s="2798"/>
      <c r="BA522" s="2798"/>
      <c r="BB522" s="2798"/>
      <c r="BC522" s="2798"/>
      <c r="BD522" s="2798"/>
      <c r="BE522" s="2798"/>
      <c r="BF522" s="2798"/>
      <c r="BG522" s="2798"/>
      <c r="BH522" s="2798"/>
      <c r="BI522" s="2798"/>
      <c r="BJ522" s="2798"/>
      <c r="BK522" s="2798"/>
      <c r="BL522" s="2798"/>
      <c r="BM522" s="2798"/>
      <c r="BN522" s="2798"/>
      <c r="BO522" s="2798"/>
      <c r="BP522" s="2798"/>
    </row>
    <row r="523" spans="12:68">
      <c r="L523" s="2798"/>
      <c r="M523" s="2798"/>
      <c r="N523" s="2798"/>
      <c r="O523" s="2798"/>
      <c r="P523" s="2798"/>
      <c r="Q523" s="2798"/>
      <c r="R523" s="2798"/>
      <c r="S523" s="2798"/>
      <c r="T523" s="2798"/>
      <c r="U523" s="2798"/>
      <c r="V523" s="2798"/>
      <c r="W523" s="2798"/>
      <c r="X523" s="2798"/>
      <c r="Y523" s="2798"/>
      <c r="Z523" s="2798"/>
      <c r="AA523" s="2798"/>
      <c r="AB523" s="2798"/>
      <c r="AC523" s="2798"/>
      <c r="AD523" s="2798"/>
      <c r="AE523" s="2798"/>
      <c r="AF523" s="2798"/>
      <c r="AG523" s="2798"/>
      <c r="AH523" s="2798"/>
      <c r="AI523" s="2798"/>
      <c r="AJ523" s="2798"/>
      <c r="AK523" s="2798"/>
      <c r="AL523" s="2798"/>
      <c r="AM523" s="2798"/>
      <c r="AN523" s="2798"/>
      <c r="AO523" s="2798"/>
      <c r="AP523" s="2798"/>
      <c r="AQ523" s="2798"/>
      <c r="AR523" s="2798"/>
      <c r="AS523" s="2798"/>
      <c r="AT523" s="2798"/>
      <c r="AU523" s="2798"/>
      <c r="AV523" s="2798"/>
      <c r="AW523" s="2798"/>
      <c r="AX523" s="2798"/>
      <c r="AY523" s="2798"/>
      <c r="AZ523" s="2798"/>
      <c r="BA523" s="2798"/>
      <c r="BB523" s="2798"/>
      <c r="BC523" s="2798"/>
      <c r="BD523" s="2798"/>
      <c r="BE523" s="2798"/>
      <c r="BF523" s="2798"/>
      <c r="BG523" s="2798"/>
      <c r="BH523" s="2798"/>
      <c r="BI523" s="2798"/>
      <c r="BJ523" s="2798"/>
      <c r="BK523" s="2798"/>
      <c r="BL523" s="2798"/>
      <c r="BM523" s="2798"/>
      <c r="BN523" s="2798"/>
      <c r="BO523" s="2798"/>
      <c r="BP523" s="2798"/>
    </row>
    <row r="524" spans="12:68">
      <c r="L524" s="2798"/>
      <c r="M524" s="2798"/>
      <c r="N524" s="2798"/>
      <c r="O524" s="2798"/>
      <c r="P524" s="2798"/>
      <c r="Q524" s="2798"/>
      <c r="R524" s="2798"/>
      <c r="S524" s="2798"/>
      <c r="T524" s="2798"/>
      <c r="U524" s="2798"/>
      <c r="V524" s="2798"/>
      <c r="W524" s="2798"/>
      <c r="X524" s="2798"/>
      <c r="Y524" s="2798"/>
      <c r="Z524" s="2798"/>
      <c r="AA524" s="2798"/>
      <c r="AB524" s="2798"/>
      <c r="AC524" s="2798"/>
      <c r="AD524" s="2798"/>
      <c r="AE524" s="2798"/>
      <c r="AF524" s="2798"/>
      <c r="AG524" s="2798"/>
      <c r="AH524" s="2798"/>
      <c r="AI524" s="2798"/>
      <c r="AJ524" s="2798"/>
      <c r="AK524" s="2798"/>
      <c r="AL524" s="2798"/>
      <c r="AM524" s="2798"/>
      <c r="AN524" s="2798"/>
      <c r="AO524" s="2798"/>
      <c r="AP524" s="2798"/>
      <c r="AQ524" s="2798"/>
      <c r="AR524" s="2798"/>
      <c r="AS524" s="2798"/>
      <c r="AT524" s="2798"/>
      <c r="AU524" s="2798"/>
      <c r="AV524" s="2798"/>
      <c r="AW524" s="2798"/>
      <c r="AX524" s="2798"/>
      <c r="AY524" s="2798"/>
      <c r="AZ524" s="2798"/>
      <c r="BA524" s="2798"/>
      <c r="BB524" s="2798"/>
      <c r="BC524" s="2798"/>
      <c r="BD524" s="2798"/>
      <c r="BE524" s="2798"/>
      <c r="BF524" s="2798"/>
      <c r="BG524" s="2798"/>
      <c r="BH524" s="2798"/>
      <c r="BI524" s="2798"/>
      <c r="BJ524" s="2798"/>
      <c r="BK524" s="2798"/>
      <c r="BL524" s="2798"/>
      <c r="BM524" s="2798"/>
      <c r="BN524" s="2798"/>
      <c r="BO524" s="2798"/>
      <c r="BP524" s="2798"/>
    </row>
    <row r="525" spans="12:68">
      <c r="L525" s="2798"/>
      <c r="M525" s="2798"/>
      <c r="N525" s="2798"/>
      <c r="O525" s="2798"/>
      <c r="P525" s="2798"/>
      <c r="Q525" s="2798"/>
      <c r="R525" s="2798"/>
      <c r="S525" s="2798"/>
      <c r="T525" s="2798"/>
      <c r="U525" s="2798"/>
      <c r="V525" s="2798"/>
      <c r="W525" s="2798"/>
      <c r="X525" s="2798"/>
      <c r="Y525" s="2798"/>
      <c r="Z525" s="2798"/>
      <c r="AA525" s="2798"/>
      <c r="AB525" s="2798"/>
      <c r="AC525" s="2798"/>
      <c r="AD525" s="2798"/>
      <c r="AE525" s="2798"/>
      <c r="AF525" s="2798"/>
      <c r="AG525" s="2798"/>
      <c r="AH525" s="2798"/>
      <c r="AI525" s="2798"/>
      <c r="AJ525" s="2798"/>
      <c r="AK525" s="2798"/>
      <c r="AL525" s="2798"/>
      <c r="AM525" s="2798"/>
      <c r="AN525" s="2798"/>
      <c r="AO525" s="2798"/>
      <c r="AP525" s="2798"/>
      <c r="AQ525" s="2798"/>
      <c r="AR525" s="2798"/>
      <c r="AS525" s="2798"/>
      <c r="AT525" s="2798"/>
      <c r="AU525" s="2798"/>
      <c r="AV525" s="2798"/>
      <c r="AW525" s="2798"/>
      <c r="AX525" s="2798"/>
      <c r="AY525" s="2798"/>
      <c r="AZ525" s="2798"/>
      <c r="BA525" s="2798"/>
      <c r="BB525" s="2798"/>
      <c r="BC525" s="2798"/>
      <c r="BD525" s="2798"/>
      <c r="BE525" s="2798"/>
      <c r="BF525" s="2798"/>
      <c r="BG525" s="2798"/>
      <c r="BH525" s="2798"/>
      <c r="BI525" s="2798"/>
      <c r="BJ525" s="2798"/>
      <c r="BK525" s="2798"/>
      <c r="BL525" s="2798"/>
      <c r="BM525" s="2798"/>
      <c r="BN525" s="2798"/>
      <c r="BO525" s="2798"/>
      <c r="BP525" s="2798"/>
    </row>
    <row r="526" spans="12:68">
      <c r="L526" s="2798"/>
      <c r="M526" s="2798"/>
      <c r="N526" s="2798"/>
      <c r="O526" s="2798"/>
      <c r="P526" s="2798"/>
      <c r="Q526" s="2798"/>
      <c r="R526" s="2798"/>
      <c r="S526" s="2798"/>
      <c r="T526" s="2798"/>
      <c r="U526" s="2798"/>
      <c r="V526" s="2798"/>
      <c r="W526" s="2798"/>
      <c r="X526" s="2798"/>
      <c r="Y526" s="2798"/>
      <c r="Z526" s="2798"/>
      <c r="AA526" s="2798"/>
      <c r="AB526" s="2798"/>
      <c r="AC526" s="2798"/>
      <c r="AD526" s="2798"/>
      <c r="AE526" s="2798"/>
      <c r="AF526" s="2798"/>
      <c r="AG526" s="2798"/>
      <c r="AH526" s="2798"/>
      <c r="AI526" s="2798"/>
      <c r="AJ526" s="2798"/>
      <c r="AK526" s="2798"/>
      <c r="AL526" s="2798"/>
      <c r="AM526" s="2798"/>
      <c r="AN526" s="2798"/>
      <c r="AO526" s="2798"/>
      <c r="AP526" s="2798"/>
      <c r="AQ526" s="2798"/>
      <c r="AR526" s="2798"/>
      <c r="AS526" s="2798"/>
      <c r="AT526" s="2798"/>
      <c r="AU526" s="2798"/>
      <c r="AV526" s="2798"/>
      <c r="AW526" s="2798"/>
      <c r="AX526" s="2798"/>
      <c r="AY526" s="2798"/>
      <c r="AZ526" s="2798"/>
      <c r="BA526" s="2798"/>
      <c r="BB526" s="2798"/>
      <c r="BC526" s="2798"/>
      <c r="BD526" s="2798"/>
      <c r="BE526" s="2798"/>
      <c r="BF526" s="2798"/>
      <c r="BG526" s="2798"/>
      <c r="BH526" s="2798"/>
      <c r="BI526" s="2798"/>
      <c r="BJ526" s="2798"/>
      <c r="BK526" s="2798"/>
      <c r="BL526" s="2798"/>
      <c r="BM526" s="2798"/>
      <c r="BN526" s="2798"/>
      <c r="BO526" s="2798"/>
      <c r="BP526" s="2798"/>
    </row>
    <row r="527" spans="12:68">
      <c r="L527" s="2798"/>
      <c r="M527" s="2798"/>
      <c r="N527" s="2798"/>
      <c r="O527" s="2798"/>
      <c r="P527" s="2798"/>
      <c r="Q527" s="2798"/>
      <c r="R527" s="2798"/>
      <c r="S527" s="2798"/>
      <c r="T527" s="2798"/>
      <c r="U527" s="2798"/>
      <c r="V527" s="2798"/>
      <c r="W527" s="2798"/>
      <c r="X527" s="2798"/>
      <c r="Y527" s="2798"/>
      <c r="Z527" s="2798"/>
      <c r="AA527" s="2798"/>
      <c r="AB527" s="2798"/>
      <c r="AC527" s="2798"/>
      <c r="AD527" s="2798"/>
      <c r="AE527" s="2798"/>
      <c r="AF527" s="2798"/>
      <c r="AG527" s="2798"/>
      <c r="AH527" s="2798"/>
      <c r="AI527" s="2798"/>
      <c r="AJ527" s="2798"/>
      <c r="AK527" s="2798"/>
      <c r="AL527" s="2798"/>
      <c r="AM527" s="2798"/>
      <c r="AN527" s="2798"/>
      <c r="AO527" s="2798"/>
      <c r="AP527" s="2798"/>
      <c r="AQ527" s="2798"/>
      <c r="AR527" s="2798"/>
      <c r="AS527" s="2798"/>
      <c r="AT527" s="2798"/>
      <c r="AU527" s="2798"/>
      <c r="AV527" s="2798"/>
      <c r="AW527" s="2798"/>
      <c r="AX527" s="2798"/>
      <c r="AY527" s="2798"/>
      <c r="AZ527" s="2798"/>
      <c r="BA527" s="2798"/>
      <c r="BB527" s="2798"/>
      <c r="BC527" s="2798"/>
      <c r="BD527" s="2798"/>
      <c r="BE527" s="2798"/>
      <c r="BF527" s="2798"/>
      <c r="BG527" s="2798"/>
      <c r="BH527" s="2798"/>
      <c r="BI527" s="2798"/>
      <c r="BJ527" s="2798"/>
      <c r="BK527" s="2798"/>
      <c r="BL527" s="2798"/>
      <c r="BM527" s="2798"/>
      <c r="BN527" s="2798"/>
      <c r="BO527" s="2798"/>
      <c r="BP527" s="2798"/>
    </row>
    <row r="528" spans="12:68">
      <c r="L528" s="2798"/>
      <c r="M528" s="2798"/>
      <c r="N528" s="2798"/>
      <c r="O528" s="2798"/>
      <c r="P528" s="2798"/>
      <c r="Q528" s="2798"/>
      <c r="R528" s="2798"/>
      <c r="S528" s="2798"/>
      <c r="T528" s="2798"/>
      <c r="U528" s="2798"/>
      <c r="V528" s="2798"/>
      <c r="W528" s="2798"/>
      <c r="X528" s="2798"/>
      <c r="Y528" s="2798"/>
      <c r="Z528" s="2798"/>
      <c r="AA528" s="2798"/>
      <c r="AB528" s="2798"/>
      <c r="AC528" s="2798"/>
      <c r="AD528" s="2798"/>
      <c r="AE528" s="2798"/>
      <c r="AF528" s="2798"/>
      <c r="AG528" s="2798"/>
      <c r="AH528" s="2798"/>
      <c r="AI528" s="2798"/>
      <c r="AJ528" s="2798"/>
      <c r="AK528" s="2798"/>
      <c r="AL528" s="2798"/>
      <c r="AM528" s="2798"/>
      <c r="AN528" s="2798"/>
      <c r="AO528" s="2798"/>
      <c r="AP528" s="2798"/>
      <c r="AQ528" s="2798"/>
      <c r="AR528" s="2798"/>
      <c r="AS528" s="2798"/>
      <c r="AT528" s="2798"/>
      <c r="AU528" s="2798"/>
      <c r="AV528" s="2798"/>
      <c r="AW528" s="2798"/>
      <c r="AX528" s="2798"/>
      <c r="AY528" s="2798"/>
      <c r="AZ528" s="2798"/>
      <c r="BA528" s="2798"/>
      <c r="BB528" s="2798"/>
      <c r="BC528" s="2798"/>
      <c r="BD528" s="2798"/>
      <c r="BE528" s="2798"/>
      <c r="BF528" s="2798"/>
      <c r="BG528" s="2798"/>
      <c r="BH528" s="2798"/>
      <c r="BI528" s="2798"/>
      <c r="BJ528" s="2798"/>
      <c r="BK528" s="2798"/>
      <c r="BL528" s="2798"/>
      <c r="BM528" s="2798"/>
      <c r="BN528" s="2798"/>
      <c r="BO528" s="2798"/>
      <c r="BP528" s="2798"/>
    </row>
  </sheetData>
  <phoneticPr fontId="4" type="noConversion"/>
  <pageMargins left="1" right="0.75" top="0.98425196850393704" bottom="0" header="0" footer="0"/>
  <pageSetup scale="80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5">
    <tabColor theme="7" tint="0.39997558519241921"/>
    <pageSetUpPr fitToPage="1"/>
  </sheetPr>
  <dimension ref="A1:AF100"/>
  <sheetViews>
    <sheetView zoomScale="75" zoomScaleNormal="75" workbookViewId="0"/>
  </sheetViews>
  <sheetFormatPr defaultColWidth="8" defaultRowHeight="15"/>
  <cols>
    <col min="1" max="7" width="10.6640625" style="266" customWidth="1"/>
    <col min="8" max="8" width="14.5546875" style="266" customWidth="1"/>
    <col min="9" max="9" width="17.5546875" style="266" customWidth="1"/>
    <col min="10" max="10" width="17" style="266" customWidth="1"/>
    <col min="11" max="11" width="3.5546875" style="266" customWidth="1"/>
    <col min="12" max="12" width="11" style="266" customWidth="1"/>
    <col min="13" max="19" width="11.109375" style="266" customWidth="1"/>
    <col min="20" max="20" width="17.5546875" style="266" customWidth="1"/>
    <col min="21" max="21" width="17.109375" style="266" customWidth="1"/>
    <col min="22" max="22" width="6.5546875" style="266" customWidth="1"/>
    <col min="23" max="23" width="18.5546875" style="266" customWidth="1"/>
    <col min="24" max="24" width="7.6640625" style="266" customWidth="1"/>
    <col min="25" max="25" width="1.5546875" style="266" customWidth="1"/>
    <col min="26" max="26" width="47.6640625" style="266" customWidth="1"/>
    <col min="27" max="27" width="1.5546875" style="266" customWidth="1"/>
    <col min="28" max="28" width="23.88671875" style="266" customWidth="1"/>
    <col min="29" max="29" width="15.44140625" style="266" customWidth="1"/>
    <col min="30" max="30" width="16.6640625" style="266" customWidth="1"/>
    <col min="31" max="31" width="1.88671875" style="266" customWidth="1"/>
    <col min="32" max="32" width="17.44140625" style="266" customWidth="1"/>
    <col min="33" max="34" width="8" style="266" customWidth="1"/>
    <col min="35" max="35" width="2.6640625" style="266" customWidth="1"/>
    <col min="36" max="36" width="59.6640625" style="266" customWidth="1"/>
    <col min="37" max="37" width="2.33203125" style="266" customWidth="1"/>
    <col min="38" max="38" width="14.88671875" style="266" customWidth="1"/>
    <col min="39" max="39" width="2.33203125" style="266" customWidth="1"/>
    <col min="40" max="40" width="14.6640625" style="266" customWidth="1"/>
    <col min="41" max="41" width="1.33203125" style="266" customWidth="1"/>
    <col min="42" max="42" width="16.6640625" style="266" customWidth="1"/>
    <col min="43" max="16384" width="8" style="266"/>
  </cols>
  <sheetData>
    <row r="1" spans="1:11">
      <c r="A1" s="835" t="str">
        <f>COMPANY</f>
        <v>DUKE ENERGY KENTUCKY, INC.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</row>
    <row r="2" spans="1:11">
      <c r="A2" s="835" t="str">
        <f>CASE</f>
        <v>CASE NO. 2018-00261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</row>
    <row r="3" spans="1:11">
      <c r="A3" s="836" t="s">
        <v>1560</v>
      </c>
      <c r="B3" s="265"/>
      <c r="C3" s="265"/>
      <c r="D3" s="265"/>
      <c r="E3" s="265"/>
      <c r="F3" s="265"/>
      <c r="G3" s="265"/>
      <c r="H3" s="265"/>
      <c r="I3" s="265"/>
      <c r="J3" s="265"/>
      <c r="K3" s="265"/>
    </row>
    <row r="4" spans="1:11">
      <c r="A4" s="835" t="str">
        <f>PeriodF</f>
        <v>FOR THE TWELVE MONTHS ENDED MARCH 31, 2020</v>
      </c>
      <c r="B4" s="265"/>
      <c r="C4" s="265"/>
      <c r="D4" s="265"/>
      <c r="E4" s="265"/>
      <c r="F4" s="265"/>
      <c r="G4" s="265"/>
      <c r="H4" s="265"/>
      <c r="I4" s="265"/>
      <c r="J4" s="265"/>
      <c r="K4" s="265"/>
    </row>
    <row r="6" spans="1:11">
      <c r="A6" s="267" t="str">
        <f>DataF</f>
        <v>DATA:  BASE PERIOD  "X" FORECASTED PERIOD</v>
      </c>
      <c r="I6" s="268" t="s">
        <v>1561</v>
      </c>
    </row>
    <row r="7" spans="1:11">
      <c r="A7" s="267" t="str">
        <f>Type</f>
        <v xml:space="preserve">TYPE OF FILING:  "X" ORIGINAL   UPDATED    REVISED  </v>
      </c>
      <c r="I7" s="268" t="s">
        <v>1562</v>
      </c>
    </row>
    <row r="8" spans="1:11">
      <c r="A8" s="269" t="s">
        <v>428</v>
      </c>
      <c r="I8" s="268" t="s">
        <v>1571</v>
      </c>
    </row>
    <row r="9" spans="1:11">
      <c r="I9" s="837" t="str">
        <f>"          "&amp;_WIT1</f>
        <v xml:space="preserve">          S. E. LAWLER</v>
      </c>
    </row>
    <row r="10" spans="1:11">
      <c r="A10" s="838"/>
      <c r="B10" s="838"/>
      <c r="C10" s="838"/>
      <c r="D10" s="838"/>
      <c r="E10" s="838"/>
      <c r="F10" s="838"/>
      <c r="G10" s="838"/>
      <c r="H10" s="838"/>
      <c r="I10" s="838"/>
      <c r="J10" s="838"/>
      <c r="K10" s="839"/>
    </row>
    <row r="11" spans="1:11">
      <c r="K11" s="270"/>
    </row>
    <row r="12" spans="1:11">
      <c r="A12" s="269" t="s">
        <v>1942</v>
      </c>
      <c r="J12" s="840" t="s">
        <v>2098</v>
      </c>
      <c r="K12" s="270"/>
    </row>
    <row r="13" spans="1:11">
      <c r="A13" s="838"/>
      <c r="B13" s="838"/>
      <c r="C13" s="838"/>
      <c r="D13" s="838"/>
      <c r="E13" s="838"/>
      <c r="F13" s="838"/>
      <c r="G13" s="838"/>
      <c r="H13" s="838"/>
      <c r="I13" s="838"/>
      <c r="J13" s="838"/>
      <c r="K13" s="839"/>
    </row>
    <row r="14" spans="1:11">
      <c r="J14" s="271"/>
      <c r="K14" s="270"/>
    </row>
    <row r="15" spans="1:11">
      <c r="A15" s="269" t="s">
        <v>1563</v>
      </c>
    </row>
    <row r="16" spans="1:11">
      <c r="A16" s="841" t="str">
        <f>TEXT(LOGO!C23,"##%")&amp;" due to interest deductible for tax purposes being based"</f>
        <v>21% due to interest deductible for tax purposes being based</v>
      </c>
    </row>
    <row r="17" spans="1:10">
      <c r="A17" s="268" t="s">
        <v>1564</v>
      </c>
    </row>
    <row r="18" spans="1:10">
      <c r="A18" s="267" t="s">
        <v>1565</v>
      </c>
      <c r="D18" s="842"/>
    </row>
    <row r="22" spans="1:10">
      <c r="A22" s="269" t="s">
        <v>2153</v>
      </c>
      <c r="I22" s="272"/>
      <c r="J22" s="172">
        <f ca="1">AF97</f>
        <v>64943</v>
      </c>
    </row>
    <row r="23" spans="1:10">
      <c r="J23" s="272"/>
    </row>
    <row r="25" spans="1:10">
      <c r="A25" s="269" t="s">
        <v>349</v>
      </c>
      <c r="J25" s="843">
        <f>VLOOKUP(D31,ALLOCTABLE,2)/100</f>
        <v>1</v>
      </c>
    </row>
    <row r="26" spans="1:10">
      <c r="J26" s="272"/>
    </row>
    <row r="28" spans="1:10" ht="16.8">
      <c r="A28" s="269" t="s">
        <v>1934</v>
      </c>
      <c r="H28" s="269" t="s">
        <v>383</v>
      </c>
      <c r="I28" s="272"/>
      <c r="J28" s="210">
        <f ca="1">ROUND(+J22*J25,0)</f>
        <v>64943</v>
      </c>
    </row>
    <row r="29" spans="1:10">
      <c r="J29" s="272"/>
    </row>
    <row r="30" spans="1:10">
      <c r="J30" s="272"/>
    </row>
    <row r="31" spans="1:10">
      <c r="A31" s="266" t="s">
        <v>1935</v>
      </c>
      <c r="D31" s="844" t="s">
        <v>591</v>
      </c>
      <c r="J31" s="272"/>
    </row>
    <row r="32" spans="1:10">
      <c r="J32" s="272"/>
    </row>
    <row r="33" spans="1:21">
      <c r="A33" s="269"/>
    </row>
    <row r="34" spans="1:21">
      <c r="L34" s="835" t="str">
        <f>COMPANY</f>
        <v>DUKE ENERGY KENTUCKY, INC.</v>
      </c>
      <c r="M34" s="265"/>
      <c r="N34" s="265"/>
      <c r="O34" s="265"/>
      <c r="P34" s="265"/>
      <c r="Q34" s="265"/>
      <c r="R34" s="265"/>
      <c r="S34" s="265"/>
      <c r="T34" s="265"/>
      <c r="U34" s="265"/>
    </row>
    <row r="35" spans="1:21">
      <c r="L35" s="835" t="str">
        <f>CASE</f>
        <v>CASE NO. 2018-00261</v>
      </c>
      <c r="M35" s="265"/>
      <c r="N35" s="265"/>
      <c r="O35" s="265"/>
      <c r="P35" s="265"/>
      <c r="Q35" s="265"/>
      <c r="R35" s="265"/>
      <c r="S35" s="265"/>
      <c r="T35" s="265"/>
      <c r="U35" s="265"/>
    </row>
    <row r="36" spans="1:21">
      <c r="L36" s="836" t="s">
        <v>1560</v>
      </c>
      <c r="M36" s="265"/>
      <c r="N36" s="265"/>
      <c r="O36" s="265"/>
      <c r="P36" s="265"/>
      <c r="Q36" s="265"/>
      <c r="R36" s="265"/>
      <c r="S36" s="265"/>
      <c r="T36" s="265"/>
      <c r="U36" s="265"/>
    </row>
    <row r="37" spans="1:21">
      <c r="L37" s="835" t="str">
        <f>PeriodF</f>
        <v>FOR THE TWELVE MONTHS ENDED MARCH 31, 2020</v>
      </c>
      <c r="M37" s="265"/>
      <c r="N37" s="265"/>
      <c r="O37" s="265"/>
      <c r="P37" s="265"/>
      <c r="Q37" s="265"/>
      <c r="R37" s="265"/>
      <c r="S37" s="265"/>
      <c r="T37" s="265"/>
      <c r="U37" s="265"/>
    </row>
    <row r="39" spans="1:21">
      <c r="L39" s="267" t="str">
        <f>DataF</f>
        <v>DATA:  BASE PERIOD  "X" FORECASTED PERIOD</v>
      </c>
      <c r="T39" s="268" t="s">
        <v>1561</v>
      </c>
    </row>
    <row r="40" spans="1:21">
      <c r="L40" s="267" t="str">
        <f>Type</f>
        <v xml:space="preserve">TYPE OF FILING:  "X" ORIGINAL   UPDATED    REVISED  </v>
      </c>
      <c r="T40" s="268" t="s">
        <v>1566</v>
      </c>
    </row>
    <row r="41" spans="1:21">
      <c r="L41" s="269" t="str">
        <f>A8</f>
        <v>WORK PAPER REFERENCE NO(S).: WPD-2.18a, WPD-2.18b</v>
      </c>
      <c r="T41" s="268" t="s">
        <v>1571</v>
      </c>
    </row>
    <row r="42" spans="1:21">
      <c r="T42" s="837" t="str">
        <f>"          "&amp;_WIT1</f>
        <v xml:space="preserve">          S. E. LAWLER</v>
      </c>
    </row>
    <row r="43" spans="1:21">
      <c r="L43" s="838"/>
      <c r="M43" s="838"/>
      <c r="N43" s="838"/>
      <c r="O43" s="838"/>
      <c r="P43" s="838"/>
      <c r="Q43" s="838"/>
      <c r="R43" s="838"/>
      <c r="S43" s="838"/>
      <c r="T43" s="838"/>
      <c r="U43" s="838"/>
    </row>
    <row r="45" spans="1:21">
      <c r="L45" s="269" t="s">
        <v>1942</v>
      </c>
      <c r="U45" s="840" t="s">
        <v>2098</v>
      </c>
    </row>
    <row r="46" spans="1:21">
      <c r="L46" s="838"/>
      <c r="M46" s="838"/>
      <c r="N46" s="838"/>
      <c r="O46" s="838"/>
      <c r="P46" s="838"/>
      <c r="Q46" s="838"/>
      <c r="R46" s="838"/>
      <c r="S46" s="838"/>
      <c r="T46" s="838"/>
      <c r="U46" s="838"/>
    </row>
    <row r="47" spans="1:21">
      <c r="U47" s="271"/>
    </row>
    <row r="48" spans="1:21">
      <c r="L48" s="269" t="s">
        <v>1567</v>
      </c>
    </row>
    <row r="49" spans="12:22">
      <c r="L49" s="841" t="str">
        <f>TEXT(LOGO!C22,"##.00%")&amp;" due to interest deductible for tax purposes being based"</f>
        <v>5.00% due to interest deductible for tax purposes being based</v>
      </c>
    </row>
    <row r="50" spans="12:22">
      <c r="L50" s="268" t="s">
        <v>1564</v>
      </c>
    </row>
    <row r="51" spans="12:22">
      <c r="L51" s="267" t="s">
        <v>1565</v>
      </c>
      <c r="O51" s="842"/>
      <c r="P51" s="842"/>
      <c r="Q51" s="842"/>
    </row>
    <row r="55" spans="12:22">
      <c r="L55" s="269" t="s">
        <v>2153</v>
      </c>
      <c r="U55" s="172">
        <f ca="1">AF95</f>
        <v>16168</v>
      </c>
      <c r="V55" s="272"/>
    </row>
    <row r="56" spans="12:22">
      <c r="U56" s="272"/>
    </row>
    <row r="58" spans="12:22">
      <c r="L58" s="269" t="s">
        <v>349</v>
      </c>
      <c r="U58" s="843">
        <v>1</v>
      </c>
    </row>
    <row r="59" spans="12:22">
      <c r="U59" s="272"/>
    </row>
    <row r="61" spans="12:22" ht="16.8">
      <c r="L61" s="269" t="s">
        <v>1934</v>
      </c>
      <c r="S61" s="269" t="s">
        <v>383</v>
      </c>
      <c r="U61" s="210">
        <f ca="1">ROUND(+U55*U58,0)</f>
        <v>16168</v>
      </c>
      <c r="V61" s="272"/>
    </row>
    <row r="62" spans="12:22">
      <c r="U62" s="272"/>
    </row>
    <row r="64" spans="12:22">
      <c r="L64" s="266" t="s">
        <v>1935</v>
      </c>
      <c r="O64" s="844" t="s">
        <v>591</v>
      </c>
      <c r="P64" s="844"/>
      <c r="Q64" s="844"/>
    </row>
    <row r="66" spans="12:32">
      <c r="L66" s="269"/>
    </row>
    <row r="68" spans="12:32">
      <c r="W68" s="270"/>
    </row>
    <row r="69" spans="12:32">
      <c r="W69" s="270"/>
    </row>
    <row r="70" spans="12:32">
      <c r="W70" s="270"/>
    </row>
    <row r="71" spans="12:32">
      <c r="W71" s="270"/>
      <c r="X71" s="267" t="str">
        <f>COMPANY</f>
        <v>DUKE ENERGY KENTUCKY, INC.</v>
      </c>
      <c r="AD71" s="268" t="s">
        <v>1643</v>
      </c>
    </row>
    <row r="72" spans="12:32">
      <c r="X72" s="267" t="str">
        <f>DEPT</f>
        <v>GAS DEPARTMENT</v>
      </c>
      <c r="AD72" s="268" t="s">
        <v>729</v>
      </c>
    </row>
    <row r="73" spans="12:32">
      <c r="X73" s="267" t="str">
        <f>CASE</f>
        <v>CASE NO. 2018-00261</v>
      </c>
      <c r="AD73" s="277" t="str">
        <f>"              "&amp;_WIT1</f>
        <v xml:space="preserve">              S. E. LAWLER</v>
      </c>
    </row>
    <row r="74" spans="12:32">
      <c r="X74" s="278" t="s">
        <v>1585</v>
      </c>
    </row>
    <row r="77" spans="12:32">
      <c r="X77" s="271" t="s">
        <v>1938</v>
      </c>
      <c r="AC77" s="271" t="s">
        <v>2133</v>
      </c>
      <c r="AD77" s="271" t="s">
        <v>1586</v>
      </c>
      <c r="AF77" s="271" t="s">
        <v>1587</v>
      </c>
    </row>
    <row r="78" spans="12:32">
      <c r="X78" s="279" t="s">
        <v>1588</v>
      </c>
      <c r="Z78" s="279" t="s">
        <v>1988</v>
      </c>
      <c r="AC78" s="279" t="s">
        <v>2136</v>
      </c>
      <c r="AD78" s="279" t="s">
        <v>1589</v>
      </c>
      <c r="AF78" s="279" t="s">
        <v>1589</v>
      </c>
    </row>
    <row r="80" spans="12:32">
      <c r="X80" s="271">
        <v>1</v>
      </c>
      <c r="Z80" s="266" t="s">
        <v>1590</v>
      </c>
      <c r="AC80" s="271" t="s">
        <v>767</v>
      </c>
      <c r="AD80" s="280">
        <f>'SCH_J1 - Forecast'!I18</f>
        <v>0.42338999999999999</v>
      </c>
      <c r="AF80" s="280">
        <f>'SCH_J1 - Forecast'!I19</f>
        <v>6.9059999999999996E-2</v>
      </c>
    </row>
    <row r="81" spans="20:32">
      <c r="X81" s="271">
        <v>2</v>
      </c>
    </row>
    <row r="82" spans="20:32">
      <c r="X82" s="271">
        <v>3</v>
      </c>
      <c r="Z82" s="266" t="str">
        <f ca="1">"Debt Portion of "&amp;TEXT(SCH_A!I17,"$##,###,###") &amp;" Gas Rate Base"</f>
        <v>Debt Portion of $313,675,239 Gas Rate Base</v>
      </c>
      <c r="AC82" s="2734" t="s">
        <v>2987</v>
      </c>
      <c r="AD82" s="596">
        <f ca="1">ROUND(SCH_A!I17*AD80,0)</f>
        <v>132806959</v>
      </c>
      <c r="AE82" s="597"/>
      <c r="AF82" s="596">
        <f ca="1">ROUND(SCH_A!I17*AF80,0)</f>
        <v>21662412</v>
      </c>
    </row>
    <row r="83" spans="20:32">
      <c r="X83" s="271">
        <v>4</v>
      </c>
    </row>
    <row r="84" spans="20:32">
      <c r="X84" s="271">
        <v>5</v>
      </c>
      <c r="Z84" s="266" t="s">
        <v>1591</v>
      </c>
      <c r="AC84" s="271" t="s">
        <v>767</v>
      </c>
      <c r="AD84" s="1576">
        <f>'SCH_J1 - Forecast'!K18</f>
        <v>4.3979999999999998E-2</v>
      </c>
      <c r="AE84" s="280"/>
      <c r="AF84" s="1576">
        <f>'SCH_J1 - Forecast'!K19</f>
        <v>4.2500000000000003E-2</v>
      </c>
    </row>
    <row r="85" spans="20:32">
      <c r="X85" s="271">
        <v>6</v>
      </c>
    </row>
    <row r="86" spans="20:32">
      <c r="X86" s="271">
        <v>7</v>
      </c>
      <c r="Z86" s="266" t="s">
        <v>2131</v>
      </c>
    </row>
    <row r="87" spans="20:32" ht="15.6" thickBot="1">
      <c r="X87" s="271">
        <v>8</v>
      </c>
      <c r="Z87" s="266" t="s">
        <v>1592</v>
      </c>
      <c r="AD87" s="282">
        <f ca="1">ROUND(AD82*AD84,0)</f>
        <v>5840850</v>
      </c>
      <c r="AF87" s="282">
        <f ca="1">ROUND(AF82*AF84,0)</f>
        <v>920653</v>
      </c>
    </row>
    <row r="88" spans="20:32" ht="15.6" thickTop="1">
      <c r="X88" s="271">
        <v>9</v>
      </c>
    </row>
    <row r="89" spans="20:32">
      <c r="X89" s="271">
        <v>10</v>
      </c>
      <c r="Z89" s="266" t="s">
        <v>2132</v>
      </c>
      <c r="AF89" s="281">
        <f ca="1">AD87+AF87</f>
        <v>6761503</v>
      </c>
    </row>
    <row r="90" spans="20:32">
      <c r="X90" s="271">
        <v>11</v>
      </c>
    </row>
    <row r="91" spans="20:32">
      <c r="X91" s="271">
        <v>12</v>
      </c>
      <c r="Z91" s="266" t="s">
        <v>1644</v>
      </c>
      <c r="AC91" s="2734" t="s">
        <v>2640</v>
      </c>
      <c r="AF91" s="845">
        <f>-SCH_E1!K21</f>
        <v>7086922</v>
      </c>
    </row>
    <row r="92" spans="20:32">
      <c r="T92" s="3142"/>
      <c r="X92" s="271">
        <v>13</v>
      </c>
    </row>
    <row r="93" spans="20:32" ht="15.6" thickBot="1">
      <c r="X93" s="271">
        <v>14</v>
      </c>
      <c r="Z93" s="273" t="str">
        <f ca="1">IF(AF93&lt;0,"Decrease","Increase")&amp;" in Gas Interest Expense"</f>
        <v>Decrease in Gas Interest Expense</v>
      </c>
      <c r="AF93" s="282">
        <f ca="1">AF89-AF91</f>
        <v>-325419</v>
      </c>
    </row>
    <row r="94" spans="20:32" ht="15.6" thickTop="1">
      <c r="X94" s="271">
        <v>15</v>
      </c>
      <c r="AD94" s="846"/>
    </row>
    <row r="95" spans="20:32">
      <c r="X95" s="271">
        <v>16</v>
      </c>
      <c r="Z95" s="837" t="str">
        <f>"State Income Tax Effect @ "&amp; TEXT(SIT,"##.00%")&amp;" (A)"</f>
        <v>State Income Tax Effect @ 5.00% (A)</v>
      </c>
      <c r="AB95" s="268" t="str">
        <f>"(Line 14 * "&amp;TEXT(APPORT,"0.000%")&amp;" * "&amp;TEXT(SIT,"#.00%")&amp;")"</f>
        <v>(Line 14 * 99.370% * 5.00%)</v>
      </c>
      <c r="AD95" s="272" t="s">
        <v>1645</v>
      </c>
      <c r="AF95" s="847">
        <f ca="1">-ROUND((AF93)*SIT*APPORT,0)</f>
        <v>16168</v>
      </c>
    </row>
    <row r="96" spans="20:32">
      <c r="X96" s="271">
        <v>17</v>
      </c>
      <c r="Z96" s="848"/>
      <c r="AF96" s="849"/>
    </row>
    <row r="97" spans="24:32">
      <c r="X97" s="271">
        <v>18</v>
      </c>
      <c r="Z97" s="837" t="str">
        <f>"Federal Income Tax Effect @ "&amp; TEXT(FIT,"##.#00%")&amp;" (A)"</f>
        <v>Federal Income Tax Effect @ 21.00% (A)</v>
      </c>
      <c r="AB97" s="3150" t="s">
        <v>2922</v>
      </c>
      <c r="AD97" s="272" t="s">
        <v>1646</v>
      </c>
      <c r="AF97" s="847">
        <f ca="1">-ROUND((AF93+AF95)*FIT,0)</f>
        <v>64943</v>
      </c>
    </row>
    <row r="100" spans="24:32">
      <c r="Z100" s="266" t="s">
        <v>1647</v>
      </c>
    </row>
  </sheetData>
  <phoneticPr fontId="52" type="noConversion"/>
  <pageMargins left="1" right="0.75" top="1" bottom="1" header="0.5" footer="0.5"/>
  <pageSetup scale="89" orientation="landscape" r:id="rId1"/>
  <headerFooter alignWithMargins="0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3">
    <tabColor theme="7" tint="0.39997558519241921"/>
    <pageSetUpPr fitToPage="1"/>
  </sheetPr>
  <dimension ref="A1:CY392"/>
  <sheetViews>
    <sheetView topLeftCell="BF260" zoomScale="73" zoomScaleNormal="73" workbookViewId="0"/>
  </sheetViews>
  <sheetFormatPr defaultColWidth="8" defaultRowHeight="15"/>
  <cols>
    <col min="1" max="5" width="13" style="154" customWidth="1"/>
    <col min="6" max="6" width="14.33203125" style="154" customWidth="1"/>
    <col min="7" max="7" width="13" style="154" customWidth="1"/>
    <col min="8" max="8" width="16.5546875" style="154" customWidth="1"/>
    <col min="9" max="16" width="13.33203125" style="154" customWidth="1"/>
    <col min="17" max="17" width="2.88671875" style="154" customWidth="1"/>
    <col min="18" max="18" width="19" style="154" customWidth="1"/>
    <col min="19" max="19" width="8" style="154" customWidth="1"/>
    <col min="20" max="28" width="13.33203125" style="154" customWidth="1"/>
    <col min="29" max="29" width="3.6640625" style="154" customWidth="1"/>
    <col min="30" max="30" width="17.44140625" style="154" customWidth="1"/>
    <col min="31" max="31" width="2" style="154" customWidth="1"/>
    <col min="32" max="32" width="8" style="154" customWidth="1"/>
    <col min="33" max="39" width="13.33203125" style="154" customWidth="1"/>
    <col min="40" max="40" width="4" style="154" customWidth="1"/>
    <col min="41" max="41" width="17.109375" style="154" customWidth="1"/>
    <col min="42" max="42" width="9.33203125" style="154" bestFit="1" customWidth="1"/>
    <col min="43" max="43" width="5.33203125" style="154" customWidth="1"/>
    <col min="44" max="44" width="2.109375" style="154" customWidth="1"/>
    <col min="45" max="45" width="13.33203125" style="154" customWidth="1"/>
    <col min="46" max="46" width="17.6640625" style="154" customWidth="1"/>
    <col min="47" max="47" width="15" style="154" customWidth="1"/>
    <col min="48" max="48" width="24" style="154" customWidth="1"/>
    <col min="49" max="49" width="20" style="154" customWidth="1"/>
    <col min="50" max="50" width="18.44140625" style="154" customWidth="1"/>
    <col min="51" max="51" width="18.109375" style="154" customWidth="1"/>
    <col min="52" max="52" width="6.88671875" style="154" customWidth="1"/>
    <col min="53" max="53" width="1.6640625" style="154" customWidth="1"/>
    <col min="54" max="54" width="40.88671875" style="154" customWidth="1"/>
    <col min="55" max="55" width="15.33203125" style="154" customWidth="1"/>
    <col min="56" max="58" width="14.109375" style="154" customWidth="1"/>
    <col min="59" max="59" width="19.44140625" style="154" customWidth="1"/>
    <col min="60" max="60" width="3.44140625" style="154" customWidth="1"/>
    <col min="61" max="61" width="8" style="154" customWidth="1"/>
    <col min="62" max="62" width="2.109375" style="154" customWidth="1"/>
    <col min="63" max="63" width="44.109375" style="154" customWidth="1"/>
    <col min="64" max="65" width="13.109375" style="154" customWidth="1"/>
    <col min="66" max="66" width="16" style="154" customWidth="1"/>
    <col min="67" max="67" width="17.6640625" style="154" customWidth="1"/>
    <col min="68" max="68" width="17.5546875" style="154" customWidth="1"/>
    <col min="69" max="69" width="16.6640625" style="154" customWidth="1"/>
    <col min="70" max="70" width="6.5546875" style="154" customWidth="1"/>
    <col min="71" max="71" width="1.88671875" style="154" customWidth="1"/>
    <col min="72" max="72" width="16.44140625" style="154" customWidth="1"/>
    <col min="73" max="73" width="1.109375" style="154" customWidth="1"/>
    <col min="74" max="78" width="13.5546875" style="154" customWidth="1"/>
    <col min="79" max="79" width="12.5546875" style="154" customWidth="1"/>
    <col min="80" max="80" width="17.88671875" style="154" customWidth="1"/>
    <col min="81" max="82" width="8" style="154" customWidth="1"/>
    <col min="83" max="83" width="1.6640625" style="154" customWidth="1"/>
    <col min="84" max="84" width="24" style="154" customWidth="1"/>
    <col min="85" max="85" width="8.6640625" style="154" customWidth="1"/>
    <col min="86" max="86" width="8.88671875" style="154" customWidth="1"/>
    <col min="87" max="87" width="13.33203125" style="154" customWidth="1"/>
    <col min="88" max="88" width="1.5546875" style="154" customWidth="1"/>
    <col min="89" max="89" width="13.109375" style="154" customWidth="1"/>
    <col min="90" max="90" width="2.109375" style="154" customWidth="1"/>
    <col min="91" max="91" width="13.5546875" style="154" customWidth="1"/>
    <col min="92" max="93" width="8" style="154" customWidth="1"/>
    <col min="94" max="94" width="1" style="154" customWidth="1"/>
    <col min="95" max="95" width="20.44140625" style="154" customWidth="1"/>
    <col min="96" max="96" width="1.88671875" style="154" customWidth="1"/>
    <col min="97" max="97" width="13.5546875" style="154" customWidth="1"/>
    <col min="98" max="98" width="3.44140625" style="154" customWidth="1"/>
    <col min="99" max="99" width="13.33203125" style="154" customWidth="1"/>
    <col min="100" max="100" width="4.44140625" style="154" customWidth="1"/>
    <col min="101" max="101" width="13.33203125" style="154" customWidth="1"/>
    <col min="102" max="102" width="13.5546875" style="154" customWidth="1"/>
    <col min="103" max="103" width="8" style="154" customWidth="1"/>
    <col min="104" max="104" width="11.33203125" style="154" customWidth="1"/>
    <col min="105" max="16384" width="8" style="154"/>
  </cols>
  <sheetData>
    <row r="1" spans="1:8">
      <c r="A1" s="859" t="str">
        <f>COMPANY</f>
        <v>DUKE ENERGY KENTUCKY, INC.</v>
      </c>
      <c r="B1" s="862"/>
      <c r="C1" s="862"/>
      <c r="D1" s="862"/>
      <c r="E1" s="862"/>
      <c r="F1" s="862"/>
      <c r="G1" s="862"/>
      <c r="H1" s="862"/>
    </row>
    <row r="2" spans="1:8">
      <c r="A2" s="859" t="str">
        <f>CASE</f>
        <v>CASE NO. 2018-00261</v>
      </c>
      <c r="B2" s="862"/>
      <c r="C2" s="862"/>
      <c r="D2" s="862"/>
      <c r="E2" s="862"/>
      <c r="F2" s="862"/>
      <c r="G2" s="862"/>
      <c r="H2" s="862"/>
    </row>
    <row r="3" spans="1:8">
      <c r="A3" s="863" t="s">
        <v>1648</v>
      </c>
      <c r="B3" s="862"/>
      <c r="C3" s="862"/>
      <c r="D3" s="862"/>
      <c r="E3" s="862"/>
      <c r="F3" s="862"/>
      <c r="G3" s="862"/>
      <c r="H3" s="862"/>
    </row>
    <row r="4" spans="1:8">
      <c r="A4" s="863" t="s">
        <v>2335</v>
      </c>
      <c r="B4" s="862"/>
      <c r="C4" s="862"/>
      <c r="D4" s="862"/>
      <c r="E4" s="862"/>
      <c r="F4" s="862"/>
      <c r="G4" s="862"/>
      <c r="H4" s="862"/>
    </row>
    <row r="5" spans="1:8">
      <c r="A5" s="859" t="str">
        <f>PeriodF</f>
        <v>FOR THE TWELVE MONTHS ENDED MARCH 31, 2020</v>
      </c>
      <c r="B5" s="862"/>
      <c r="C5" s="862"/>
      <c r="D5" s="862"/>
      <c r="E5" s="862"/>
      <c r="F5" s="862"/>
      <c r="G5" s="862"/>
      <c r="H5" s="862"/>
    </row>
    <row r="6" spans="1:8">
      <c r="A6" s="859"/>
      <c r="B6" s="862"/>
      <c r="C6" s="862"/>
      <c r="D6" s="862"/>
      <c r="E6" s="862"/>
      <c r="F6" s="862"/>
      <c r="G6" s="862"/>
      <c r="H6" s="862"/>
    </row>
    <row r="7" spans="1:8">
      <c r="A7" s="859"/>
      <c r="B7" s="862"/>
      <c r="C7" s="862"/>
      <c r="D7" s="862"/>
      <c r="E7" s="862"/>
      <c r="F7" s="862"/>
      <c r="G7" s="862"/>
      <c r="H7" s="862"/>
    </row>
    <row r="9" spans="1:8">
      <c r="A9" s="851" t="str">
        <f>DataF</f>
        <v>DATA:  BASE PERIOD  "X" FORECASTED PERIOD</v>
      </c>
      <c r="G9" s="72" t="s">
        <v>1555</v>
      </c>
    </row>
    <row r="10" spans="1:8">
      <c r="A10" s="851" t="str">
        <f>LOGO!B15</f>
        <v xml:space="preserve">TYPE OF FILING:  "X" ORIGINAL   UPDATED    REVISED  </v>
      </c>
      <c r="G10" s="1201" t="s">
        <v>1149</v>
      </c>
    </row>
    <row r="11" spans="1:8">
      <c r="A11" s="1201" t="s">
        <v>2923</v>
      </c>
      <c r="G11" s="72" t="s">
        <v>566</v>
      </c>
    </row>
    <row r="12" spans="1:8">
      <c r="G12" s="72" t="str">
        <f>LOGO!G6</f>
        <v>S. E. LAWLER</v>
      </c>
    </row>
    <row r="13" spans="1:8">
      <c r="A13" s="854"/>
      <c r="B13" s="854"/>
      <c r="C13" s="854"/>
      <c r="D13" s="854"/>
      <c r="E13" s="854"/>
      <c r="F13" s="854"/>
      <c r="G13" s="854"/>
      <c r="H13" s="854"/>
    </row>
    <row r="14" spans="1:8">
      <c r="A14" s="864"/>
      <c r="B14" s="864"/>
      <c r="C14" s="864"/>
      <c r="D14" s="864"/>
      <c r="E14" s="864"/>
      <c r="F14" s="864"/>
      <c r="G14" s="864"/>
      <c r="H14" s="864"/>
    </row>
    <row r="15" spans="1:8">
      <c r="A15" s="72" t="s">
        <v>1942</v>
      </c>
      <c r="H15" s="565" t="s">
        <v>2098</v>
      </c>
    </row>
    <row r="16" spans="1:8">
      <c r="A16" s="854"/>
      <c r="B16" s="854"/>
      <c r="C16" s="854"/>
      <c r="D16" s="854"/>
      <c r="E16" s="854"/>
      <c r="F16" s="854"/>
      <c r="G16" s="854"/>
      <c r="H16" s="854"/>
    </row>
    <row r="17" spans="1:8">
      <c r="A17" s="864"/>
      <c r="B17" s="864"/>
      <c r="C17" s="864"/>
      <c r="D17" s="864"/>
      <c r="E17" s="864"/>
      <c r="F17" s="864"/>
      <c r="G17" s="864"/>
      <c r="H17" s="864"/>
    </row>
    <row r="18" spans="1:8">
      <c r="A18" s="865" t="s">
        <v>384</v>
      </c>
    </row>
    <row r="19" spans="1:8">
      <c r="A19" s="1513" t="s">
        <v>2336</v>
      </c>
    </row>
    <row r="20" spans="1:8">
      <c r="A20" s="866"/>
    </row>
    <row r="21" spans="1:8">
      <c r="A21" s="866"/>
    </row>
    <row r="22" spans="1:8">
      <c r="A22" s="866"/>
    </row>
    <row r="23" spans="1:8">
      <c r="A23" s="866"/>
    </row>
    <row r="24" spans="1:8">
      <c r="A24" s="866"/>
    </row>
    <row r="25" spans="1:8">
      <c r="A25" s="865" t="s">
        <v>1260</v>
      </c>
      <c r="G25" s="861"/>
      <c r="H25" s="867">
        <f>AX164</f>
        <v>-514092</v>
      </c>
    </row>
    <row r="26" spans="1:8">
      <c r="A26" s="866"/>
      <c r="H26" s="868"/>
    </row>
    <row r="27" spans="1:8">
      <c r="A27" s="866"/>
      <c r="H27" s="869"/>
    </row>
    <row r="28" spans="1:8">
      <c r="A28" s="865" t="s">
        <v>349</v>
      </c>
      <c r="H28" s="870">
        <f>VLOOKUP(C36,ALLOCTABLE,2)/100</f>
        <v>1</v>
      </c>
    </row>
    <row r="29" spans="1:8">
      <c r="A29" s="866"/>
      <c r="H29" s="868"/>
    </row>
    <row r="30" spans="1:8">
      <c r="A30" s="866"/>
      <c r="H30" s="871"/>
    </row>
    <row r="31" spans="1:8" ht="15.6" thickBot="1">
      <c r="A31" s="865" t="s">
        <v>1934</v>
      </c>
      <c r="E31" s="72" t="s">
        <v>385</v>
      </c>
      <c r="G31" s="861"/>
      <c r="H31" s="872">
        <f>H25*H28</f>
        <v>-514092</v>
      </c>
    </row>
    <row r="32" spans="1:8" ht="15.6" thickTop="1">
      <c r="A32" s="866"/>
      <c r="H32" s="854"/>
    </row>
    <row r="33" spans="1:19">
      <c r="A33" s="865"/>
    </row>
    <row r="34" spans="1:19">
      <c r="A34" s="866"/>
      <c r="J34" s="859" t="str">
        <f>COMPANY</f>
        <v>DUKE ENERGY KENTUCKY, INC.</v>
      </c>
      <c r="K34" s="862"/>
      <c r="L34" s="862"/>
      <c r="M34" s="862"/>
      <c r="N34" s="862"/>
      <c r="O34" s="862"/>
      <c r="P34" s="862"/>
      <c r="Q34" s="862"/>
      <c r="R34" s="862"/>
    </row>
    <row r="35" spans="1:19">
      <c r="A35" s="866"/>
      <c r="J35" s="859" t="str">
        <f>CASE</f>
        <v>CASE NO. 2018-00261</v>
      </c>
      <c r="K35" s="862"/>
      <c r="L35" s="862"/>
      <c r="M35" s="862"/>
      <c r="N35" s="862"/>
      <c r="O35" s="862"/>
      <c r="P35" s="862"/>
      <c r="Q35" s="862"/>
      <c r="R35" s="862"/>
    </row>
    <row r="36" spans="1:19">
      <c r="A36" s="873" t="s">
        <v>1935</v>
      </c>
      <c r="B36" s="874"/>
      <c r="C36" s="3439" t="s">
        <v>591</v>
      </c>
      <c r="J36" s="863" t="s">
        <v>386</v>
      </c>
      <c r="K36" s="862"/>
      <c r="L36" s="862"/>
      <c r="M36" s="862"/>
      <c r="N36" s="862"/>
      <c r="O36" s="862"/>
      <c r="P36" s="862"/>
      <c r="Q36" s="862"/>
      <c r="R36" s="862"/>
    </row>
    <row r="37" spans="1:19">
      <c r="A37" s="866"/>
      <c r="J37" s="863" t="str">
        <f>A4</f>
        <v>TO OTHER THAN DUKE ENERGY KENTUCKY CUSTOMERS</v>
      </c>
      <c r="K37" s="862"/>
      <c r="L37" s="862"/>
      <c r="M37" s="862"/>
      <c r="N37" s="862"/>
      <c r="O37" s="862"/>
      <c r="P37" s="862"/>
      <c r="Q37" s="862"/>
      <c r="R37" s="862"/>
    </row>
    <row r="38" spans="1:19">
      <c r="A38" s="866"/>
      <c r="J38" s="859" t="str">
        <f>PeriodF</f>
        <v>FOR THE TWELVE MONTHS ENDED MARCH 31, 2020</v>
      </c>
      <c r="K38" s="862"/>
      <c r="L38" s="862"/>
      <c r="M38" s="862"/>
      <c r="N38" s="862"/>
      <c r="O38" s="862"/>
      <c r="P38" s="862"/>
      <c r="Q38" s="862"/>
      <c r="R38" s="862"/>
    </row>
    <row r="39" spans="1:19">
      <c r="A39" s="866"/>
      <c r="J39" s="859"/>
      <c r="K39" s="862"/>
      <c r="L39" s="862"/>
      <c r="M39" s="862"/>
      <c r="N39" s="862"/>
      <c r="O39" s="862"/>
      <c r="P39" s="862"/>
      <c r="Q39" s="862"/>
      <c r="R39" s="862"/>
    </row>
    <row r="40" spans="1:19">
      <c r="A40" s="866"/>
      <c r="J40" s="859"/>
      <c r="K40" s="862"/>
      <c r="L40" s="862"/>
      <c r="M40" s="862"/>
      <c r="N40" s="862"/>
      <c r="O40" s="862"/>
      <c r="P40" s="862"/>
      <c r="Q40" s="862"/>
      <c r="R40" s="862"/>
    </row>
    <row r="41" spans="1:19">
      <c r="A41" s="866"/>
      <c r="J41" s="862"/>
      <c r="K41" s="862"/>
      <c r="L41" s="862"/>
      <c r="M41" s="862"/>
      <c r="N41" s="862"/>
      <c r="O41" s="862"/>
      <c r="P41" s="862"/>
      <c r="Q41" s="862"/>
      <c r="R41" s="862"/>
    </row>
    <row r="42" spans="1:19">
      <c r="A42" s="866"/>
      <c r="J42" s="851" t="str">
        <f>DataF</f>
        <v>DATA:  BASE PERIOD  "X" FORECASTED PERIOD</v>
      </c>
      <c r="P42" s="876" t="s">
        <v>1444</v>
      </c>
      <c r="Q42" s="72"/>
    </row>
    <row r="43" spans="1:19">
      <c r="A43" s="866"/>
      <c r="J43" s="851" t="str">
        <f>LOGO!B15</f>
        <v xml:space="preserve">TYPE OF FILING:  "X" ORIGINAL   UPDATED    REVISED  </v>
      </c>
      <c r="P43" s="3154" t="s">
        <v>2926</v>
      </c>
      <c r="Q43" s="72"/>
    </row>
    <row r="44" spans="1:19">
      <c r="A44" s="866"/>
      <c r="J44" s="72" t="str">
        <f>A11</f>
        <v>WORK PAPER REFERENCE NO(S).: WPD-2.19a through WPD-2.19f</v>
      </c>
      <c r="P44" s="876" t="s">
        <v>387</v>
      </c>
      <c r="Q44" s="72"/>
    </row>
    <row r="45" spans="1:19">
      <c r="A45" s="866"/>
      <c r="P45" s="876" t="str">
        <f>"     "&amp;_WIT1</f>
        <v xml:space="preserve">     S. E. LAWLER</v>
      </c>
      <c r="Q45" s="72"/>
    </row>
    <row r="46" spans="1:19">
      <c r="A46" s="866"/>
      <c r="J46" s="877"/>
      <c r="K46" s="877"/>
      <c r="L46" s="877"/>
      <c r="M46" s="877"/>
      <c r="N46" s="877"/>
      <c r="O46" s="877"/>
      <c r="P46" s="877"/>
      <c r="Q46" s="877"/>
      <c r="R46" s="877"/>
      <c r="S46" s="72"/>
    </row>
    <row r="47" spans="1:19">
      <c r="A47" s="866"/>
    </row>
    <row r="48" spans="1:19">
      <c r="A48" s="866"/>
      <c r="J48" s="72" t="s">
        <v>1942</v>
      </c>
      <c r="R48" s="565" t="s">
        <v>2098</v>
      </c>
    </row>
    <row r="49" spans="1:19">
      <c r="A49" s="866"/>
      <c r="J49" s="877"/>
      <c r="K49" s="877"/>
      <c r="L49" s="877"/>
      <c r="M49" s="877"/>
      <c r="N49" s="877"/>
      <c r="O49" s="877"/>
      <c r="P49" s="877"/>
      <c r="Q49" s="877"/>
      <c r="R49" s="877"/>
      <c r="S49" s="72"/>
    </row>
    <row r="50" spans="1:19">
      <c r="A50" s="866"/>
    </row>
    <row r="51" spans="1:19">
      <c r="A51" s="866"/>
      <c r="J51" s="72" t="s">
        <v>388</v>
      </c>
    </row>
    <row r="52" spans="1:19">
      <c r="A52" s="866"/>
      <c r="J52" s="1201" t="s">
        <v>2337</v>
      </c>
    </row>
    <row r="53" spans="1:19">
      <c r="A53" s="866"/>
      <c r="J53" s="878"/>
    </row>
    <row r="54" spans="1:19">
      <c r="J54" s="878"/>
    </row>
    <row r="55" spans="1:19">
      <c r="J55" s="72" t="s">
        <v>1264</v>
      </c>
      <c r="N55" s="72" t="s">
        <v>389</v>
      </c>
      <c r="R55" s="867">
        <f>AX170</f>
        <v>-382795</v>
      </c>
    </row>
    <row r="56" spans="1:19">
      <c r="J56" s="72" t="s">
        <v>445</v>
      </c>
      <c r="N56" s="72" t="s">
        <v>389</v>
      </c>
      <c r="R56" s="879">
        <f>AX169</f>
        <v>-102870</v>
      </c>
    </row>
    <row r="57" spans="1:19">
      <c r="J57" s="72" t="s">
        <v>2153</v>
      </c>
      <c r="P57" s="95"/>
      <c r="Q57" s="861"/>
      <c r="R57" s="880">
        <f>SUM(R54:R56)</f>
        <v>-485665</v>
      </c>
    </row>
    <row r="58" spans="1:19">
      <c r="J58" s="878"/>
      <c r="P58" s="95"/>
      <c r="R58" s="881"/>
    </row>
    <row r="59" spans="1:19">
      <c r="J59" s="878"/>
    </row>
    <row r="60" spans="1:19">
      <c r="J60" s="72" t="s">
        <v>349</v>
      </c>
      <c r="P60" s="95"/>
      <c r="R60" s="882">
        <f>VLOOKUP(L67,ALLOCTABLE,2)/100</f>
        <v>1</v>
      </c>
    </row>
    <row r="61" spans="1:19">
      <c r="J61" s="878"/>
      <c r="R61" s="854"/>
    </row>
    <row r="62" spans="1:19">
      <c r="J62" s="878"/>
    </row>
    <row r="63" spans="1:19" ht="15.6" thickBot="1">
      <c r="J63" s="72" t="s">
        <v>1934</v>
      </c>
      <c r="Q63" s="861"/>
      <c r="R63" s="872">
        <f>R57*R60</f>
        <v>-485665</v>
      </c>
    </row>
    <row r="64" spans="1:19" ht="15.6" thickTop="1">
      <c r="J64" s="878"/>
      <c r="R64" s="854"/>
    </row>
    <row r="65" spans="10:30">
      <c r="J65" s="72"/>
    </row>
    <row r="66" spans="10:30">
      <c r="J66" s="878"/>
    </row>
    <row r="67" spans="10:30">
      <c r="J67" s="873" t="s">
        <v>1935</v>
      </c>
      <c r="K67" s="874"/>
      <c r="L67" s="3439" t="s">
        <v>591</v>
      </c>
    </row>
    <row r="68" spans="10:30">
      <c r="J68" s="878"/>
    </row>
    <row r="71" spans="10:30">
      <c r="V71" s="859" t="str">
        <f>COMPANY</f>
        <v>DUKE ENERGY KENTUCKY, INC.</v>
      </c>
      <c r="W71" s="862"/>
      <c r="X71" s="862"/>
      <c r="Y71" s="859"/>
      <c r="Z71" s="862"/>
      <c r="AA71" s="862"/>
      <c r="AB71" s="862"/>
      <c r="AC71" s="862"/>
      <c r="AD71" s="862"/>
    </row>
    <row r="72" spans="10:30">
      <c r="V72" s="859" t="str">
        <f>CASE</f>
        <v>CASE NO. 2018-00261</v>
      </c>
      <c r="W72" s="862"/>
      <c r="X72" s="862"/>
      <c r="Y72" s="859"/>
      <c r="Z72" s="862"/>
      <c r="AA72" s="862"/>
      <c r="AB72" s="862"/>
      <c r="AC72" s="862"/>
      <c r="AD72" s="862"/>
    </row>
    <row r="73" spans="10:30">
      <c r="V73" s="863" t="s">
        <v>127</v>
      </c>
      <c r="W73" s="859"/>
      <c r="X73" s="862"/>
      <c r="Y73" s="862"/>
      <c r="Z73" s="862"/>
      <c r="AA73" s="862"/>
      <c r="AB73" s="862"/>
      <c r="AC73" s="862"/>
      <c r="AD73" s="862"/>
    </row>
    <row r="74" spans="10:30">
      <c r="V74" s="863" t="str">
        <f>J37</f>
        <v>TO OTHER THAN DUKE ENERGY KENTUCKY CUSTOMERS</v>
      </c>
      <c r="W74" s="862"/>
      <c r="X74" s="862"/>
      <c r="Y74" s="859"/>
      <c r="Z74" s="862"/>
      <c r="AA74" s="862"/>
      <c r="AB74" s="862"/>
      <c r="AC74" s="862"/>
      <c r="AD74" s="862"/>
    </row>
    <row r="75" spans="10:30">
      <c r="V75" s="859" t="str">
        <f>PeriodF</f>
        <v>FOR THE TWELVE MONTHS ENDED MARCH 31, 2020</v>
      </c>
      <c r="W75" s="862"/>
      <c r="X75" s="862"/>
      <c r="Y75" s="859"/>
      <c r="Z75" s="862"/>
      <c r="AA75" s="862"/>
      <c r="AB75" s="862"/>
      <c r="AC75" s="862"/>
      <c r="AD75" s="862"/>
    </row>
    <row r="76" spans="10:30">
      <c r="V76" s="859"/>
      <c r="Y76" s="851"/>
    </row>
    <row r="77" spans="10:30">
      <c r="V77" s="859"/>
    </row>
    <row r="78" spans="10:30">
      <c r="V78" s="862"/>
    </row>
    <row r="79" spans="10:30">
      <c r="V79" s="851" t="str">
        <f>DataF</f>
        <v>DATA:  BASE PERIOD  "X" FORECASTED PERIOD</v>
      </c>
      <c r="AB79" s="876" t="s">
        <v>1444</v>
      </c>
    </row>
    <row r="80" spans="10:30">
      <c r="V80" s="851" t="str">
        <f>LOGO!$B$15</f>
        <v xml:space="preserve">TYPE OF FILING:  "X" ORIGINAL   UPDATED    REVISED  </v>
      </c>
      <c r="AB80" s="3154" t="s">
        <v>2925</v>
      </c>
    </row>
    <row r="81" spans="22:32">
      <c r="V81" s="72" t="str">
        <f>A11</f>
        <v>WORK PAPER REFERENCE NO(S).: WPD-2.19a through WPD-2.19f</v>
      </c>
      <c r="AB81" s="876" t="s">
        <v>387</v>
      </c>
    </row>
    <row r="82" spans="22:32">
      <c r="V82" s="854"/>
      <c r="W82" s="854"/>
      <c r="X82" s="854"/>
      <c r="Y82" s="854"/>
      <c r="Z82" s="854"/>
      <c r="AA82" s="854"/>
      <c r="AB82" s="876" t="str">
        <f>"     "&amp;_WIT1</f>
        <v xml:space="preserve">     S. E. LAWLER</v>
      </c>
      <c r="AD82" s="854"/>
      <c r="AE82" s="854"/>
      <c r="AF82" s="72"/>
    </row>
    <row r="83" spans="22:32">
      <c r="V83" s="854"/>
      <c r="W83" s="854"/>
      <c r="X83" s="854"/>
      <c r="Y83" s="854"/>
      <c r="Z83" s="854"/>
      <c r="AA83" s="854"/>
      <c r="AB83" s="854"/>
      <c r="AC83" s="72"/>
      <c r="AD83" s="854"/>
      <c r="AE83" s="854"/>
    </row>
    <row r="84" spans="22:32">
      <c r="V84" s="864"/>
      <c r="W84" s="864"/>
      <c r="X84" s="864"/>
      <c r="Y84" s="864"/>
      <c r="Z84" s="864"/>
      <c r="AA84" s="864"/>
      <c r="AB84" s="864"/>
      <c r="AC84" s="864"/>
      <c r="AD84" s="864"/>
      <c r="AE84" s="824"/>
    </row>
    <row r="85" spans="22:32">
      <c r="V85" s="72" t="s">
        <v>1942</v>
      </c>
      <c r="AD85" s="565" t="s">
        <v>2098</v>
      </c>
      <c r="AE85" s="565"/>
      <c r="AF85" s="72"/>
    </row>
    <row r="86" spans="22:32">
      <c r="V86" s="877"/>
      <c r="W86" s="877"/>
      <c r="X86" s="877"/>
      <c r="Y86" s="877"/>
      <c r="Z86" s="877"/>
      <c r="AA86" s="877"/>
      <c r="AB86" s="877"/>
      <c r="AC86" s="877"/>
      <c r="AD86" s="877"/>
      <c r="AE86" s="883"/>
    </row>
    <row r="87" spans="22:32">
      <c r="V87" s="883"/>
      <c r="W87" s="883"/>
      <c r="X87" s="883"/>
      <c r="Y87" s="883"/>
      <c r="Z87" s="883"/>
      <c r="AA87" s="883"/>
      <c r="AB87" s="883"/>
      <c r="AC87" s="883"/>
      <c r="AD87" s="883"/>
      <c r="AE87" s="883"/>
    </row>
    <row r="88" spans="22:32">
      <c r="V88" s="72" t="s">
        <v>860</v>
      </c>
    </row>
    <row r="89" spans="22:32">
      <c r="V89" s="1201" t="s">
        <v>2336</v>
      </c>
      <c r="W89" s="884"/>
      <c r="X89" s="565"/>
    </row>
    <row r="93" spans="22:32">
      <c r="V93" s="72" t="s">
        <v>1639</v>
      </c>
      <c r="AC93" s="861"/>
      <c r="AD93" s="867">
        <f>AX174</f>
        <v>-44738</v>
      </c>
      <c r="AE93" s="867"/>
    </row>
    <row r="94" spans="22:32">
      <c r="AD94" s="868"/>
      <c r="AE94" s="868"/>
    </row>
    <row r="95" spans="22:32">
      <c r="AD95" s="869"/>
      <c r="AE95" s="869"/>
    </row>
    <row r="96" spans="22:32">
      <c r="V96" s="72" t="s">
        <v>349</v>
      </c>
      <c r="AD96" s="870">
        <f>VLOOKUP(X103,ALLOCTABLE,2)/100</f>
        <v>1</v>
      </c>
      <c r="AE96" s="1025"/>
    </row>
    <row r="97" spans="22:41">
      <c r="AD97" s="868"/>
      <c r="AE97" s="868"/>
    </row>
    <row r="98" spans="22:41">
      <c r="AD98" s="871"/>
      <c r="AE98" s="871"/>
    </row>
    <row r="99" spans="22:41" ht="15.6" thickBot="1">
      <c r="V99" s="72" t="s">
        <v>1934</v>
      </c>
      <c r="Z99" s="72" t="s">
        <v>389</v>
      </c>
      <c r="AC99" s="861"/>
      <c r="AD99" s="872">
        <f>AD93*AD96</f>
        <v>-44738</v>
      </c>
      <c r="AE99" s="1026"/>
    </row>
    <row r="100" spans="22:41" ht="15.6" thickTop="1">
      <c r="AD100" s="854"/>
      <c r="AE100" s="854"/>
    </row>
    <row r="101" spans="22:41">
      <c r="AD101" s="854"/>
      <c r="AE101" s="854"/>
    </row>
    <row r="102" spans="22:41">
      <c r="AD102" s="854"/>
      <c r="AE102" s="854"/>
    </row>
    <row r="103" spans="22:41">
      <c r="V103" s="873" t="s">
        <v>1935</v>
      </c>
      <c r="W103" s="874"/>
      <c r="X103" s="3439" t="s">
        <v>591</v>
      </c>
    </row>
    <row r="104" spans="22:41">
      <c r="V104" s="873"/>
      <c r="W104" s="874"/>
      <c r="X104" s="875"/>
    </row>
    <row r="105" spans="22:41">
      <c r="V105" s="873"/>
      <c r="W105" s="874"/>
      <c r="X105" s="875"/>
    </row>
    <row r="106" spans="22:41">
      <c r="AG106" s="859" t="str">
        <f>COMPANY</f>
        <v>DUKE ENERGY KENTUCKY, INC.</v>
      </c>
      <c r="AH106" s="862"/>
      <c r="AI106" s="862"/>
      <c r="AJ106" s="859"/>
      <c r="AK106" s="862"/>
      <c r="AL106" s="862"/>
      <c r="AM106" s="862"/>
      <c r="AN106" s="862"/>
      <c r="AO106" s="862"/>
    </row>
    <row r="107" spans="22:41">
      <c r="AG107" s="859" t="str">
        <f>CASE</f>
        <v>CASE NO. 2018-00261</v>
      </c>
      <c r="AH107" s="862"/>
      <c r="AI107" s="862"/>
      <c r="AJ107" s="859"/>
      <c r="AK107" s="862"/>
      <c r="AL107" s="862"/>
      <c r="AM107" s="862"/>
      <c r="AN107" s="862"/>
      <c r="AO107" s="862"/>
    </row>
    <row r="108" spans="22:41">
      <c r="AG108" s="863" t="s">
        <v>599</v>
      </c>
      <c r="AH108" s="859"/>
      <c r="AI108" s="862"/>
      <c r="AJ108" s="862"/>
      <c r="AK108" s="862"/>
      <c r="AL108" s="862"/>
      <c r="AM108" s="862"/>
      <c r="AN108" s="862"/>
      <c r="AO108" s="862"/>
    </row>
    <row r="109" spans="22:41">
      <c r="AG109" s="863" t="str">
        <f>J37</f>
        <v>TO OTHER THAN DUKE ENERGY KENTUCKY CUSTOMERS</v>
      </c>
      <c r="AH109" s="862"/>
      <c r="AI109" s="862"/>
      <c r="AJ109" s="859"/>
      <c r="AK109" s="862"/>
      <c r="AL109" s="862"/>
      <c r="AM109" s="862"/>
      <c r="AN109" s="862"/>
      <c r="AO109" s="862"/>
    </row>
    <row r="110" spans="22:41">
      <c r="AG110" s="859" t="str">
        <f>PeriodF</f>
        <v>FOR THE TWELVE MONTHS ENDED MARCH 31, 2020</v>
      </c>
      <c r="AH110" s="862"/>
      <c r="AI110" s="862"/>
      <c r="AJ110" s="859"/>
      <c r="AK110" s="862"/>
      <c r="AL110" s="862"/>
      <c r="AM110" s="862"/>
      <c r="AN110" s="862"/>
      <c r="AO110" s="862"/>
    </row>
    <row r="111" spans="22:41">
      <c r="AG111" s="859"/>
      <c r="AJ111" s="851"/>
    </row>
    <row r="112" spans="22:41">
      <c r="AG112" s="859"/>
    </row>
    <row r="113" spans="33:42">
      <c r="AG113" s="862"/>
    </row>
    <row r="114" spans="33:42">
      <c r="AG114" s="851" t="str">
        <f>DataF</f>
        <v>DATA:  BASE PERIOD  "X" FORECASTED PERIOD</v>
      </c>
      <c r="AM114" s="876" t="s">
        <v>1444</v>
      </c>
    </row>
    <row r="115" spans="33:42">
      <c r="AG115" s="851" t="str">
        <f>LOGO!$B$15</f>
        <v xml:space="preserve">TYPE OF FILING:  "X" ORIGINAL   UPDATED    REVISED  </v>
      </c>
      <c r="AM115" s="3154" t="s">
        <v>2924</v>
      </c>
    </row>
    <row r="116" spans="33:42">
      <c r="AG116" s="72" t="str">
        <f>A11</f>
        <v>WORK PAPER REFERENCE NO(S).: WPD-2.19a through WPD-2.19f</v>
      </c>
      <c r="AM116" s="876" t="s">
        <v>387</v>
      </c>
    </row>
    <row r="117" spans="33:42">
      <c r="AG117" s="854"/>
      <c r="AH117" s="854"/>
      <c r="AI117" s="854"/>
      <c r="AJ117" s="854"/>
      <c r="AK117" s="854"/>
      <c r="AL117" s="854"/>
      <c r="AM117" s="876" t="str">
        <f>"     "&amp;_WIT1</f>
        <v xml:space="preserve">     S. E. LAWLER</v>
      </c>
      <c r="AO117" s="854"/>
      <c r="AP117" s="72"/>
    </row>
    <row r="118" spans="33:42">
      <c r="AG118" s="854"/>
      <c r="AH118" s="854"/>
      <c r="AI118" s="854"/>
      <c r="AJ118" s="854"/>
      <c r="AK118" s="854"/>
      <c r="AL118" s="854"/>
      <c r="AM118" s="854"/>
      <c r="AN118" s="72"/>
      <c r="AO118" s="854"/>
    </row>
    <row r="119" spans="33:42">
      <c r="AG119" s="864"/>
      <c r="AH119" s="864"/>
      <c r="AI119" s="864"/>
      <c r="AJ119" s="864"/>
      <c r="AK119" s="864"/>
      <c r="AL119" s="864"/>
      <c r="AM119" s="864"/>
      <c r="AN119" s="864"/>
      <c r="AO119" s="864"/>
    </row>
    <row r="120" spans="33:42">
      <c r="AG120" s="72" t="s">
        <v>1942</v>
      </c>
      <c r="AO120" s="565" t="s">
        <v>2098</v>
      </c>
      <c r="AP120" s="72"/>
    </row>
    <row r="121" spans="33:42">
      <c r="AG121" s="877"/>
      <c r="AH121" s="877"/>
      <c r="AI121" s="877"/>
      <c r="AJ121" s="877"/>
      <c r="AK121" s="877"/>
      <c r="AL121" s="877"/>
      <c r="AM121" s="877"/>
      <c r="AN121" s="877"/>
      <c r="AO121" s="877"/>
    </row>
    <row r="122" spans="33:42">
      <c r="AG122" s="883"/>
      <c r="AH122" s="883"/>
      <c r="AI122" s="883"/>
      <c r="AJ122" s="883"/>
      <c r="AK122" s="883"/>
      <c r="AL122" s="883"/>
      <c r="AM122" s="883"/>
      <c r="AN122" s="883"/>
      <c r="AO122" s="883"/>
    </row>
    <row r="123" spans="33:42">
      <c r="AG123" s="72" t="s">
        <v>1882</v>
      </c>
      <c r="AH123" s="884"/>
    </row>
    <row r="124" spans="33:42">
      <c r="AG124" s="1201" t="s">
        <v>3038</v>
      </c>
      <c r="AK124" s="885"/>
    </row>
    <row r="125" spans="33:42">
      <c r="AG125" s="1201" t="s">
        <v>3039</v>
      </c>
    </row>
    <row r="126" spans="33:42">
      <c r="AG126" s="878"/>
    </row>
    <row r="128" spans="33:42" ht="15.6">
      <c r="AG128" s="886" t="s">
        <v>2176</v>
      </c>
      <c r="AH128" s="95"/>
      <c r="AI128" s="95"/>
      <c r="AJ128" s="95"/>
      <c r="AK128" s="95"/>
      <c r="AL128" s="95"/>
      <c r="AM128" s="95"/>
    </row>
    <row r="129" spans="33:41">
      <c r="AG129" s="858" t="s">
        <v>2177</v>
      </c>
      <c r="AH129" s="95"/>
      <c r="AI129" s="95"/>
      <c r="AJ129" s="95"/>
      <c r="AK129" s="95"/>
      <c r="AL129" s="95"/>
      <c r="AM129" s="95"/>
      <c r="AO129" s="95"/>
    </row>
    <row r="130" spans="33:41">
      <c r="AG130" s="1201" t="s">
        <v>3040</v>
      </c>
      <c r="AH130" s="95"/>
      <c r="AI130" s="95"/>
      <c r="AJ130" s="95"/>
      <c r="AK130" s="95"/>
      <c r="AL130" s="95"/>
      <c r="AM130" s="95"/>
      <c r="AO130" s="95">
        <f ca="1">-SCH_D2.19!AX226</f>
        <v>11312</v>
      </c>
    </row>
    <row r="131" spans="33:41">
      <c r="AG131" s="878"/>
      <c r="AH131" s="95"/>
      <c r="AI131" s="95"/>
      <c r="AJ131" s="95"/>
      <c r="AK131" s="72" t="s">
        <v>389</v>
      </c>
      <c r="AM131" s="95"/>
      <c r="AO131" s="276">
        <f ca="1">SUM(AO130:AO130)</f>
        <v>11312</v>
      </c>
    </row>
    <row r="132" spans="33:41">
      <c r="AG132" s="878"/>
      <c r="AH132" s="95"/>
      <c r="AI132" s="95"/>
      <c r="AJ132" s="95"/>
      <c r="AK132" s="95"/>
      <c r="AL132" s="95"/>
      <c r="AM132" s="95"/>
      <c r="AO132" s="95"/>
    </row>
    <row r="133" spans="33:41">
      <c r="AH133" s="95"/>
      <c r="AI133" s="95"/>
      <c r="AJ133" s="95"/>
      <c r="AK133" s="95"/>
      <c r="AL133" s="95"/>
      <c r="AM133" s="95"/>
      <c r="AO133" s="95"/>
    </row>
    <row r="134" spans="33:41" ht="15.6">
      <c r="AG134" s="886" t="s">
        <v>2178</v>
      </c>
      <c r="AH134" s="95"/>
      <c r="AI134" s="95"/>
      <c r="AJ134" s="95"/>
      <c r="AK134" s="95"/>
      <c r="AL134" s="95"/>
      <c r="AM134" s="95"/>
      <c r="AO134" s="95"/>
    </row>
    <row r="135" spans="33:41">
      <c r="AG135" s="858" t="s">
        <v>2177</v>
      </c>
      <c r="AO135" s="95"/>
    </row>
    <row r="136" spans="33:41">
      <c r="AG136" s="1201" t="s">
        <v>3040</v>
      </c>
      <c r="AO136" s="95">
        <f ca="1">-SCH_D2.19!AX234</f>
        <v>45422</v>
      </c>
    </row>
    <row r="137" spans="33:41">
      <c r="AG137" s="878"/>
      <c r="AK137" s="72" t="s">
        <v>389</v>
      </c>
      <c r="AL137" s="565"/>
      <c r="AO137" s="276">
        <f ca="1">SUM(AO136:AO136)</f>
        <v>45422</v>
      </c>
    </row>
    <row r="138" spans="33:41">
      <c r="AG138" s="878"/>
    </row>
    <row r="139" spans="33:41">
      <c r="AG139" s="72" t="s">
        <v>2179</v>
      </c>
      <c r="AO139" s="860">
        <f ca="1">AO137+AO131</f>
        <v>56734</v>
      </c>
    </row>
    <row r="140" spans="33:41">
      <c r="AG140" s="878"/>
      <c r="AO140" s="881"/>
    </row>
    <row r="141" spans="33:41">
      <c r="AG141" s="878"/>
      <c r="AO141" s="95"/>
    </row>
    <row r="142" spans="33:41">
      <c r="AG142" s="72" t="s">
        <v>349</v>
      </c>
      <c r="AM142" s="95"/>
      <c r="AO142" s="882">
        <f>VLOOKUP(AI149,ALLOCTABLE,2)/100</f>
        <v>1</v>
      </c>
    </row>
    <row r="143" spans="33:41">
      <c r="AG143" s="878"/>
      <c r="AO143" s="854"/>
    </row>
    <row r="144" spans="33:41">
      <c r="AG144" s="878"/>
    </row>
    <row r="145" spans="33:51" ht="15.6" thickBot="1">
      <c r="AG145" s="72" t="s">
        <v>1934</v>
      </c>
      <c r="AO145" s="857">
        <f ca="1">AO139*AO142</f>
        <v>56734</v>
      </c>
    </row>
    <row r="146" spans="33:51" ht="15.6" thickTop="1">
      <c r="AG146" s="878"/>
      <c r="AO146" s="854"/>
    </row>
    <row r="147" spans="33:51">
      <c r="AG147" s="72"/>
    </row>
    <row r="148" spans="33:51">
      <c r="AG148" s="72"/>
    </row>
    <row r="149" spans="33:51">
      <c r="AG149" s="873" t="s">
        <v>1935</v>
      </c>
      <c r="AH149" s="874"/>
      <c r="AI149" s="3439" t="s">
        <v>591</v>
      </c>
    </row>
    <row r="150" spans="33:51">
      <c r="AG150" s="878"/>
      <c r="AQ150" s="851" t="str">
        <f>COMPANY</f>
        <v>DUKE ENERGY KENTUCKY, INC.</v>
      </c>
      <c r="AX150" s="69" t="s">
        <v>1556</v>
      </c>
    </row>
    <row r="151" spans="33:51">
      <c r="AG151" s="878"/>
      <c r="AQ151" s="851" t="str">
        <f>DEPT</f>
        <v>GAS DEPARTMENT</v>
      </c>
      <c r="AX151" s="72" t="s">
        <v>2181</v>
      </c>
    </row>
    <row r="152" spans="33:51">
      <c r="AG152" s="878"/>
      <c r="AQ152" s="851" t="str">
        <f>CASE</f>
        <v>CASE NO. 2018-00261</v>
      </c>
      <c r="AX152" s="72" t="s">
        <v>566</v>
      </c>
    </row>
    <row r="153" spans="33:51">
      <c r="AG153" s="878"/>
      <c r="AQ153" s="852" t="s">
        <v>2124</v>
      </c>
      <c r="AX153" s="154" t="str">
        <f>LOGO!G6</f>
        <v>S. E. LAWLER</v>
      </c>
    </row>
    <row r="154" spans="33:51">
      <c r="AG154" s="878"/>
      <c r="AQ154" s="852" t="str">
        <f>J37</f>
        <v>TO OTHER THAN DUKE ENERGY KENTUCKY CUSTOMERS</v>
      </c>
    </row>
    <row r="155" spans="33:51">
      <c r="AG155" s="878"/>
      <c r="AQ155" s="851" t="str">
        <f>PeriodF</f>
        <v>FOR THE TWELVE MONTHS ENDED MARCH 31, 2020</v>
      </c>
    </row>
    <row r="156" spans="33:51">
      <c r="AG156" s="878"/>
    </row>
    <row r="157" spans="33:51">
      <c r="AG157" s="878"/>
    </row>
    <row r="158" spans="33:51">
      <c r="AG158" s="878"/>
      <c r="AQ158" s="3559" t="s">
        <v>1938</v>
      </c>
      <c r="AW158" s="884"/>
      <c r="AX158" s="274"/>
    </row>
    <row r="159" spans="33:51">
      <c r="AG159" s="878"/>
      <c r="AQ159" s="3440" t="s">
        <v>1939</v>
      </c>
      <c r="AR159" s="888"/>
      <c r="AS159" s="888"/>
      <c r="AT159" s="283" t="s">
        <v>1988</v>
      </c>
      <c r="AU159" s="888"/>
      <c r="AV159" s="888"/>
      <c r="AW159" s="888"/>
      <c r="AX159" s="887" t="s">
        <v>2125</v>
      </c>
      <c r="AY159" s="889"/>
    </row>
    <row r="160" spans="33:51">
      <c r="AG160" s="878"/>
      <c r="AQ160" s="825"/>
      <c r="AR160" s="824"/>
      <c r="AS160" s="824"/>
      <c r="AT160" s="284"/>
      <c r="AU160" s="824"/>
      <c r="AV160" s="824"/>
      <c r="AW160" s="824"/>
      <c r="AX160" s="825" t="s">
        <v>2126</v>
      </c>
      <c r="AY160" s="890"/>
    </row>
    <row r="161" spans="33:51">
      <c r="AG161" s="878"/>
      <c r="AQ161" s="1292">
        <v>1</v>
      </c>
      <c r="AS161" s="891" t="s">
        <v>2127</v>
      </c>
      <c r="AT161" s="95"/>
      <c r="AU161" s="95"/>
      <c r="AV161" s="95"/>
      <c r="AW161" s="95"/>
      <c r="AX161" s="95"/>
      <c r="AY161" s="95"/>
    </row>
    <row r="162" spans="33:51">
      <c r="AG162" s="878"/>
      <c r="AQ162" s="1292">
        <v>2</v>
      </c>
      <c r="AS162" s="858"/>
      <c r="AT162" s="881"/>
      <c r="AU162" s="881"/>
      <c r="AV162" s="95"/>
      <c r="AW162" s="95"/>
      <c r="AX162" s="95"/>
      <c r="AY162" s="95"/>
    </row>
    <row r="163" spans="33:51">
      <c r="AG163" s="878"/>
      <c r="AP163" s="154">
        <v>488100</v>
      </c>
      <c r="AQ163" s="1292">
        <v>3</v>
      </c>
      <c r="AS163" s="3162" t="s">
        <v>2951</v>
      </c>
      <c r="AT163" s="95"/>
      <c r="AU163" s="95"/>
      <c r="AV163" s="95"/>
      <c r="AW163" s="95"/>
      <c r="AX163" s="95">
        <f>-VLOOKUP(AP163,FPERIOD,5,FALSE)</f>
        <v>-514092</v>
      </c>
      <c r="AY163" s="95"/>
    </row>
    <row r="164" spans="33:51">
      <c r="AQ164" s="1292">
        <v>4</v>
      </c>
      <c r="AS164" s="858" t="s">
        <v>2031</v>
      </c>
      <c r="AT164" s="95"/>
      <c r="AU164" s="95"/>
      <c r="AV164" s="95"/>
      <c r="AW164" s="95"/>
      <c r="AX164" s="276">
        <f>SUM(AX163:AX163)</f>
        <v>-514092</v>
      </c>
      <c r="AY164" s="858" t="s">
        <v>2032</v>
      </c>
    </row>
    <row r="165" spans="33:51">
      <c r="AQ165" s="1292">
        <v>5</v>
      </c>
      <c r="AS165" s="858"/>
      <c r="AT165" s="95"/>
      <c r="AU165" s="95"/>
      <c r="AV165" s="95"/>
      <c r="AW165" s="95"/>
      <c r="AX165" s="881"/>
      <c r="AY165" s="858" t="s">
        <v>1445</v>
      </c>
    </row>
    <row r="166" spans="33:51">
      <c r="AQ166" s="1292">
        <v>6</v>
      </c>
      <c r="AS166" s="891" t="s">
        <v>2033</v>
      </c>
      <c r="AT166" s="95"/>
      <c r="AU166" s="95"/>
      <c r="AV166" s="95"/>
      <c r="AW166" s="95"/>
      <c r="AX166" s="95"/>
      <c r="AY166" s="95"/>
    </row>
    <row r="167" spans="33:51">
      <c r="AQ167" s="1292">
        <v>7</v>
      </c>
      <c r="AS167" s="858"/>
      <c r="AT167" s="881"/>
      <c r="AU167" s="881"/>
      <c r="AV167" s="95"/>
      <c r="AW167" s="95"/>
      <c r="AX167" s="95"/>
      <c r="AY167" s="95"/>
    </row>
    <row r="168" spans="33:51">
      <c r="AQ168" s="1292">
        <v>8</v>
      </c>
      <c r="AS168" s="858" t="s">
        <v>1954</v>
      </c>
      <c r="AT168" s="95"/>
      <c r="AU168" s="95"/>
      <c r="AV168" s="95"/>
      <c r="AW168" s="95"/>
      <c r="AX168" s="95"/>
      <c r="AY168" s="95"/>
    </row>
    <row r="169" spans="33:51">
      <c r="AQ169" s="1292">
        <v>9</v>
      </c>
      <c r="AS169" s="72" t="s">
        <v>1446</v>
      </c>
      <c r="AT169" s="95"/>
      <c r="AU169" s="95"/>
      <c r="AV169" s="95"/>
      <c r="AW169" s="95"/>
      <c r="AX169" s="95">
        <f>-BF260</f>
        <v>-102870</v>
      </c>
      <c r="AY169" s="95"/>
    </row>
    <row r="170" spans="33:51">
      <c r="AQ170" s="1292">
        <v>10</v>
      </c>
      <c r="AS170" s="72" t="s">
        <v>1490</v>
      </c>
      <c r="AT170" s="95"/>
      <c r="AU170" s="95"/>
      <c r="AV170" s="95"/>
      <c r="AW170" s="95"/>
      <c r="AX170" s="94">
        <f>-CB313</f>
        <v>-382795</v>
      </c>
      <c r="AY170" s="95"/>
    </row>
    <row r="171" spans="33:51">
      <c r="AQ171" s="1292">
        <v>11</v>
      </c>
      <c r="AS171" s="72" t="s">
        <v>469</v>
      </c>
      <c r="AU171" s="95"/>
      <c r="AV171" s="95"/>
      <c r="AW171" s="95"/>
      <c r="AX171" s="276">
        <f>SUM(AX168:AX170)</f>
        <v>-485665</v>
      </c>
      <c r="AY171" s="858" t="s">
        <v>2032</v>
      </c>
    </row>
    <row r="172" spans="33:51">
      <c r="AQ172" s="1292">
        <v>12</v>
      </c>
      <c r="AS172" s="878"/>
      <c r="AU172" s="95"/>
      <c r="AV172" s="95"/>
      <c r="AW172" s="95"/>
      <c r="AX172" s="881"/>
      <c r="AY172" s="858" t="s">
        <v>1491</v>
      </c>
    </row>
    <row r="173" spans="33:51">
      <c r="AQ173" s="1292">
        <v>13</v>
      </c>
      <c r="AS173" s="858" t="s">
        <v>859</v>
      </c>
      <c r="AT173" s="95"/>
    </row>
    <row r="174" spans="33:51">
      <c r="AQ174" s="1292">
        <v>14</v>
      </c>
      <c r="AS174" s="878"/>
      <c r="AT174" s="855">
        <f>'SCH_C2.1 - Forecasted Period'!J283</f>
        <v>4142425</v>
      </c>
      <c r="AU174" s="945" t="str">
        <f>"@ "&amp;TEXT(BO289,"#.00%")</f>
        <v>@ 1.08%</v>
      </c>
      <c r="AV174" s="72"/>
      <c r="AX174" s="95">
        <f>-ROUND(AT174*BO289,0)</f>
        <v>-44738</v>
      </c>
      <c r="AY174" s="858" t="s">
        <v>2032</v>
      </c>
    </row>
    <row r="175" spans="33:51">
      <c r="AQ175" s="1292">
        <v>15</v>
      </c>
      <c r="AS175" s="878"/>
      <c r="AT175" s="95"/>
      <c r="AX175" s="854"/>
      <c r="AY175" s="3162" t="s">
        <v>1492</v>
      </c>
    </row>
    <row r="176" spans="33:51">
      <c r="AQ176" s="1292">
        <v>16</v>
      </c>
      <c r="AS176" s="878"/>
      <c r="AT176" s="858" t="s">
        <v>470</v>
      </c>
      <c r="AX176" s="276">
        <f>SUM(AX171:AX175)</f>
        <v>-530403</v>
      </c>
    </row>
    <row r="177" spans="43:51">
      <c r="AQ177" s="1292">
        <v>17</v>
      </c>
      <c r="AS177" s="878"/>
      <c r="AX177" s="854"/>
      <c r="AY177" s="95"/>
    </row>
    <row r="178" spans="43:51">
      <c r="AQ178" s="1292">
        <v>18</v>
      </c>
      <c r="AS178" s="878"/>
    </row>
    <row r="179" spans="43:51" ht="15.6" thickBot="1">
      <c r="AQ179" s="1292">
        <v>19</v>
      </c>
      <c r="AS179" s="858" t="s">
        <v>471</v>
      </c>
      <c r="AX179" s="857">
        <f>AX164-AX176</f>
        <v>16311</v>
      </c>
    </row>
    <row r="180" spans="43:51" ht="15.6" thickTop="1">
      <c r="AQ180" s="1292">
        <v>20</v>
      </c>
      <c r="AS180" s="858"/>
      <c r="AX180" s="854"/>
    </row>
    <row r="181" spans="43:51" ht="15.6">
      <c r="AQ181" s="1292">
        <v>21</v>
      </c>
      <c r="AS181" s="892" t="s">
        <v>472</v>
      </c>
    </row>
    <row r="182" spans="43:51">
      <c r="AQ182" s="1292">
        <v>22</v>
      </c>
    </row>
    <row r="183" spans="43:51">
      <c r="AQ183" s="1292">
        <v>23</v>
      </c>
      <c r="AS183" s="72" t="s">
        <v>473</v>
      </c>
    </row>
    <row r="184" spans="43:51">
      <c r="AQ184" s="1292">
        <v>24</v>
      </c>
      <c r="AS184" s="1201" t="s">
        <v>2340</v>
      </c>
    </row>
    <row r="185" spans="43:51">
      <c r="AQ185" s="1292">
        <v>25</v>
      </c>
      <c r="AS185" s="878"/>
    </row>
    <row r="186" spans="43:51">
      <c r="AQ186" s="1292">
        <v>26</v>
      </c>
      <c r="AS186" s="878"/>
      <c r="AV186" s="565" t="s">
        <v>474</v>
      </c>
    </row>
    <row r="187" spans="43:51">
      <c r="AQ187" s="1292">
        <v>27</v>
      </c>
      <c r="AS187" s="878"/>
      <c r="AV187" s="565" t="s">
        <v>475</v>
      </c>
      <c r="AW187" s="565" t="s">
        <v>645</v>
      </c>
    </row>
    <row r="188" spans="43:51">
      <c r="AQ188" s="1292">
        <v>28</v>
      </c>
      <c r="AS188" s="878"/>
      <c r="AV188" s="565" t="s">
        <v>310</v>
      </c>
      <c r="AW188" s="565" t="s">
        <v>476</v>
      </c>
    </row>
    <row r="189" spans="43:51">
      <c r="AQ189" s="1292">
        <v>29</v>
      </c>
      <c r="AS189" s="878"/>
      <c r="AU189" s="887" t="s">
        <v>477</v>
      </c>
      <c r="AV189" s="3440" t="s">
        <v>2989</v>
      </c>
      <c r="AW189" s="887" t="s">
        <v>478</v>
      </c>
    </row>
    <row r="190" spans="43:51">
      <c r="AQ190" s="1292">
        <v>30</v>
      </c>
      <c r="AS190" s="878"/>
      <c r="AU190" s="565" t="s">
        <v>2099</v>
      </c>
      <c r="AV190" s="565" t="s">
        <v>678</v>
      </c>
      <c r="AW190" s="893" t="s">
        <v>679</v>
      </c>
    </row>
    <row r="191" spans="43:51">
      <c r="AQ191" s="1292">
        <v>31</v>
      </c>
      <c r="AS191" s="878"/>
    </row>
    <row r="192" spans="43:51">
      <c r="AQ192" s="1292">
        <v>32</v>
      </c>
      <c r="AS192" s="72" t="s">
        <v>479</v>
      </c>
      <c r="AU192" s="95">
        <f ca="1">SCH_E1!Q26</f>
        <v>-21081322</v>
      </c>
      <c r="AV192" s="894">
        <f>SCH_D2.19!$BO$289</f>
        <v>1.0800000000000001E-2</v>
      </c>
      <c r="AW192" s="95">
        <f ca="1">ROUND(AV192*AU192,0)</f>
        <v>-227678</v>
      </c>
      <c r="AX192" s="565" t="s">
        <v>480</v>
      </c>
    </row>
    <row r="193" spans="43:51">
      <c r="AQ193" s="1292">
        <v>33</v>
      </c>
      <c r="AS193" s="72" t="s">
        <v>481</v>
      </c>
      <c r="AU193" s="95">
        <v>0</v>
      </c>
      <c r="AV193" s="894">
        <f>SCH_D2.19!$BO$289</f>
        <v>1.0800000000000001E-2</v>
      </c>
      <c r="AW193" s="827">
        <f>ROUND(AV193*AU193,0)</f>
        <v>0</v>
      </c>
      <c r="AX193" s="565" t="s">
        <v>480</v>
      </c>
    </row>
    <row r="194" spans="43:51">
      <c r="AQ194" s="1292">
        <v>34</v>
      </c>
      <c r="AS194" s="72"/>
      <c r="AU194" s="95"/>
      <c r="AV194" s="894"/>
      <c r="AW194" s="860"/>
      <c r="AX194" s="565"/>
    </row>
    <row r="195" spans="43:51">
      <c r="AQ195" s="1292">
        <v>35</v>
      </c>
      <c r="AS195" s="72" t="s">
        <v>482</v>
      </c>
      <c r="AU195" s="95"/>
      <c r="AW195" s="95"/>
      <c r="AX195" s="827">
        <f ca="1">SUM(AW192:AW193)</f>
        <v>-227678</v>
      </c>
    </row>
    <row r="196" spans="43:51">
      <c r="AQ196" s="1292">
        <v>36</v>
      </c>
      <c r="AS196" s="878"/>
    </row>
    <row r="197" spans="43:51" ht="15.6" thickBot="1">
      <c r="AQ197" s="1292">
        <v>37</v>
      </c>
      <c r="AS197" s="1201" t="s">
        <v>3041</v>
      </c>
      <c r="AW197" s="95"/>
      <c r="AX197" s="857">
        <f ca="1">AX179-AX195</f>
        <v>243989</v>
      </c>
    </row>
    <row r="198" spans="43:51" ht="15.6" thickTop="1">
      <c r="AQ198" s="1292">
        <v>38</v>
      </c>
      <c r="AS198" s="878"/>
      <c r="AW198" s="95"/>
      <c r="AX198" s="881"/>
    </row>
    <row r="199" spans="43:51" ht="15.6" thickBot="1">
      <c r="AQ199" s="1292">
        <v>39</v>
      </c>
      <c r="AS199" s="72" t="str">
        <f>"State Income Tax Expense @ "&amp;TEXT(SIT,"#.#00%")&amp;" * "&amp;TEXT(APPORT,"##.####%")&amp;" (A)"</f>
        <v>State Income Tax Expense @ 5.00% * 99.37% (A)</v>
      </c>
      <c r="AV199" s="884"/>
      <c r="AW199" s="858"/>
      <c r="AX199" s="857">
        <f ca="1">ROUND(AX197*SIT*APPORT,0)</f>
        <v>12123</v>
      </c>
      <c r="AY199" s="72" t="s">
        <v>483</v>
      </c>
    </row>
    <row r="200" spans="43:51" ht="15.6" thickTop="1">
      <c r="AQ200" s="1292">
        <v>40</v>
      </c>
      <c r="AS200" s="878"/>
      <c r="AW200" s="95"/>
      <c r="AX200" s="881"/>
    </row>
    <row r="201" spans="43:51" ht="15.6" thickBot="1">
      <c r="AQ201" s="1292">
        <v>41</v>
      </c>
      <c r="AS201" s="1201" t="s">
        <v>2988</v>
      </c>
      <c r="AW201" s="95"/>
      <c r="AX201" s="857">
        <f ca="1">AX197-AX199</f>
        <v>231866</v>
      </c>
    </row>
    <row r="202" spans="43:51" ht="15.6" thickTop="1">
      <c r="AQ202" s="1292">
        <v>42</v>
      </c>
      <c r="AS202" s="878"/>
      <c r="AW202" s="95"/>
      <c r="AX202" s="881"/>
    </row>
    <row r="203" spans="43:51" ht="15.6" thickBot="1">
      <c r="AQ203" s="1292">
        <v>43</v>
      </c>
      <c r="AS203" s="72" t="str">
        <f>"Federal Income Tax Expense @ "&amp;TEXT(FIT,"##.000%")&amp;" (A)"</f>
        <v>Federal Income Tax Expense @ 21.000% (A)</v>
      </c>
      <c r="AV203" s="884"/>
      <c r="AW203" s="858"/>
      <c r="AX203" s="857">
        <f ca="1">ROUND(AX201*FIT,0)</f>
        <v>48692</v>
      </c>
      <c r="AY203" s="72" t="s">
        <v>483</v>
      </c>
    </row>
    <row r="204" spans="43:51" ht="15.6" thickTop="1">
      <c r="AQ204" s="851"/>
      <c r="AS204" s="878"/>
      <c r="AW204" s="95"/>
      <c r="AX204" s="881"/>
    </row>
    <row r="205" spans="43:51">
      <c r="AQ205" s="851"/>
      <c r="AS205" s="72"/>
    </row>
    <row r="206" spans="43:51">
      <c r="AQ206" s="851"/>
      <c r="AS206" s="72" t="s">
        <v>437</v>
      </c>
    </row>
    <row r="207" spans="43:51">
      <c r="AQ207" s="72"/>
      <c r="AW207" s="95"/>
      <c r="AX207" s="95"/>
    </row>
    <row r="208" spans="43:51">
      <c r="AQ208" s="72"/>
      <c r="AS208" s="878"/>
      <c r="AW208" s="95"/>
      <c r="AX208" s="95"/>
    </row>
    <row r="209" spans="43:51">
      <c r="AQ209" s="851" t="str">
        <f>COMPANY</f>
        <v>DUKE ENERGY KENTUCKY, INC.</v>
      </c>
      <c r="AX209" s="69" t="s">
        <v>1556</v>
      </c>
    </row>
    <row r="210" spans="43:51">
      <c r="AQ210" s="851" t="str">
        <f>DEPT</f>
        <v>GAS DEPARTMENT</v>
      </c>
      <c r="AX210" s="72" t="s">
        <v>762</v>
      </c>
    </row>
    <row r="211" spans="43:51">
      <c r="AQ211" s="851" t="str">
        <f>CASE</f>
        <v>CASE NO. 2018-00261</v>
      </c>
      <c r="AX211" s="72" t="s">
        <v>566</v>
      </c>
    </row>
    <row r="212" spans="43:51">
      <c r="AQ212" s="852" t="s">
        <v>2124</v>
      </c>
      <c r="AX212" s="154" t="str">
        <f>LOGO!G6</f>
        <v>S. E. LAWLER</v>
      </c>
    </row>
    <row r="213" spans="43:51">
      <c r="AQ213" s="852" t="str">
        <f>J37</f>
        <v>TO OTHER THAN DUKE ENERGY KENTUCKY CUSTOMERS</v>
      </c>
    </row>
    <row r="214" spans="43:51">
      <c r="AQ214" s="851" t="str">
        <f>PeriodF</f>
        <v>FOR THE TWELVE MONTHS ENDED MARCH 31, 2020</v>
      </c>
    </row>
    <row r="215" spans="43:51">
      <c r="AS215" s="878"/>
    </row>
    <row r="216" spans="43:51">
      <c r="AS216" s="878"/>
    </row>
    <row r="217" spans="43:51">
      <c r="AS217" s="878"/>
      <c r="AV217" s="830"/>
      <c r="AW217" s="565" t="s">
        <v>484</v>
      </c>
      <c r="AX217" s="830"/>
    </row>
    <row r="218" spans="43:51">
      <c r="AS218" s="878"/>
      <c r="AV218" s="830"/>
      <c r="AW218" s="565" t="s">
        <v>485</v>
      </c>
      <c r="AX218" s="565" t="s">
        <v>645</v>
      </c>
    </row>
    <row r="219" spans="43:51">
      <c r="AQ219" s="3559" t="s">
        <v>1938</v>
      </c>
      <c r="AS219" s="878"/>
      <c r="AV219" s="830"/>
      <c r="AW219" s="565" t="s">
        <v>310</v>
      </c>
      <c r="AX219" s="565" t="s">
        <v>476</v>
      </c>
      <c r="AY219" s="70"/>
    </row>
    <row r="220" spans="43:51">
      <c r="AQ220" s="3440" t="s">
        <v>1939</v>
      </c>
      <c r="AR220" s="888"/>
      <c r="AS220" s="895"/>
      <c r="AT220" s="283" t="s">
        <v>1988</v>
      </c>
      <c r="AU220" s="888"/>
      <c r="AV220" s="887" t="s">
        <v>477</v>
      </c>
      <c r="AW220" s="3440" t="s">
        <v>2989</v>
      </c>
      <c r="AX220" s="887" t="s">
        <v>478</v>
      </c>
      <c r="AY220" s="888"/>
    </row>
    <row r="221" spans="43:51">
      <c r="AQ221" s="565"/>
      <c r="AS221" s="72"/>
      <c r="AT221" s="854"/>
      <c r="AU221" s="854"/>
      <c r="AV221" s="565" t="s">
        <v>2099</v>
      </c>
      <c r="AW221" s="565" t="s">
        <v>678</v>
      </c>
      <c r="AX221" s="854"/>
      <c r="AY221" s="854"/>
    </row>
    <row r="222" spans="43:51">
      <c r="AQ222" s="1292">
        <v>1</v>
      </c>
      <c r="AS222" s="858"/>
      <c r="AT222" s="95"/>
      <c r="AX222" s="95"/>
      <c r="AY222" s="95"/>
    </row>
    <row r="223" spans="43:51">
      <c r="AQ223" s="1292">
        <f t="shared" ref="AQ223:AQ235" si="0">1+AQ222</f>
        <v>2</v>
      </c>
      <c r="AS223" s="72" t="s">
        <v>486</v>
      </c>
    </row>
    <row r="224" spans="43:51">
      <c r="AQ224" s="1292">
        <f t="shared" si="0"/>
        <v>3</v>
      </c>
      <c r="AS224" s="1201" t="s">
        <v>2340</v>
      </c>
    </row>
    <row r="225" spans="43:51">
      <c r="AQ225" s="1292">
        <f t="shared" si="0"/>
        <v>4</v>
      </c>
      <c r="AS225" s="878"/>
    </row>
    <row r="226" spans="43:51" ht="15.6" thickBot="1">
      <c r="AQ226" s="1292">
        <f t="shared" si="0"/>
        <v>5</v>
      </c>
      <c r="AS226" s="1201" t="s">
        <v>2282</v>
      </c>
      <c r="AV226" s="95">
        <f ca="1">ROUND((AU192+AU193)*SIT,0)</f>
        <v>-1054066</v>
      </c>
      <c r="AW226" s="896">
        <f>BO$289</f>
        <v>1.0800000000000001E-2</v>
      </c>
      <c r="AX226" s="857">
        <f ca="1">ROUND(AW226*AV226*APPORT,0)</f>
        <v>-11312</v>
      </c>
      <c r="AY226" s="865" t="s">
        <v>487</v>
      </c>
    </row>
    <row r="227" spans="43:51" ht="15.6" thickTop="1">
      <c r="AQ227" s="1292">
        <f t="shared" si="0"/>
        <v>6</v>
      </c>
      <c r="AS227" s="72" t="str">
        <f ca="1">"    "&amp;TEXT(AU192,"$##,###,###;($##,###,###)")&amp;" * "&amp;TEXT(SIT,"#.00%")&amp;" * "&amp;TEXT(APPORT,"0.000%")</f>
        <v xml:space="preserve">    ($21,081,322) * 5.00% * 99.370%</v>
      </c>
      <c r="AV227" s="95"/>
      <c r="AW227" s="896"/>
      <c r="AX227" s="95"/>
      <c r="AY227" s="865" t="s">
        <v>438</v>
      </c>
    </row>
    <row r="228" spans="43:51">
      <c r="AQ228" s="1292">
        <f t="shared" si="0"/>
        <v>7</v>
      </c>
      <c r="AS228" s="72"/>
      <c r="AV228" s="95"/>
      <c r="AW228" s="896"/>
      <c r="AX228" s="95"/>
      <c r="AY228" s="865"/>
    </row>
    <row r="229" spans="43:51">
      <c r="AQ229" s="1292">
        <f t="shared" si="0"/>
        <v>8</v>
      </c>
      <c r="AS229" s="72"/>
      <c r="AV229" s="95"/>
      <c r="AW229" s="896"/>
      <c r="AX229" s="95"/>
      <c r="AY229" s="865"/>
    </row>
    <row r="230" spans="43:51">
      <c r="AQ230" s="1292">
        <f t="shared" si="0"/>
        <v>9</v>
      </c>
      <c r="AS230" s="72"/>
      <c r="AV230" s="95"/>
      <c r="AW230" s="896"/>
      <c r="AX230" s="95"/>
      <c r="AY230" s="865"/>
    </row>
    <row r="231" spans="43:51">
      <c r="AQ231" s="1292">
        <f t="shared" si="0"/>
        <v>10</v>
      </c>
      <c r="AS231" s="72" t="s">
        <v>488</v>
      </c>
      <c r="AV231" s="95"/>
      <c r="AW231" s="896"/>
      <c r="AX231" s="95"/>
    </row>
    <row r="232" spans="43:51">
      <c r="AQ232" s="1292">
        <f t="shared" si="0"/>
        <v>11</v>
      </c>
      <c r="AS232" s="1201" t="s">
        <v>2340</v>
      </c>
      <c r="AV232" s="95"/>
      <c r="AW232" s="896"/>
      <c r="AX232" s="95"/>
      <c r="AY232" s="865"/>
    </row>
    <row r="233" spans="43:51">
      <c r="AQ233" s="1292">
        <f t="shared" si="0"/>
        <v>12</v>
      </c>
      <c r="AS233" s="878"/>
      <c r="AW233" s="830"/>
    </row>
    <row r="234" spans="43:51" ht="15.6" thickBot="1">
      <c r="AQ234" s="1292">
        <f t="shared" si="0"/>
        <v>13</v>
      </c>
      <c r="AS234" s="1201" t="s">
        <v>2282</v>
      </c>
      <c r="AV234" s="95">
        <f ca="1">ROUND((AU192+AU193)*0.1995,0)</f>
        <v>-4205724</v>
      </c>
      <c r="AW234" s="896">
        <f>$BO$289</f>
        <v>1.0800000000000001E-2</v>
      </c>
      <c r="AX234" s="857">
        <f ca="1">ROUND(AW234*AV234,0)</f>
        <v>-45422</v>
      </c>
      <c r="AY234" s="865" t="s">
        <v>487</v>
      </c>
    </row>
    <row r="235" spans="43:51" ht="15.6" thickTop="1">
      <c r="AQ235" s="1292">
        <f t="shared" si="0"/>
        <v>14</v>
      </c>
      <c r="AS235" s="72" t="str">
        <f ca="1">"    "&amp;TEXT(AU192,"$##,###,###;($##,###,###)")&amp;" * "&amp;TEXT(0.1995,"#.00%")</f>
        <v xml:space="preserve">    ($21,081,322) * 19.95%</v>
      </c>
      <c r="AY235" s="865" t="s">
        <v>438</v>
      </c>
    </row>
    <row r="236" spans="43:51">
      <c r="AQ236" s="851"/>
      <c r="AS236" s="878"/>
      <c r="AY236" s="866"/>
    </row>
    <row r="237" spans="43:51">
      <c r="AQ237" s="851"/>
      <c r="AS237" s="878"/>
      <c r="AY237" s="866"/>
    </row>
    <row r="238" spans="43:51">
      <c r="AQ238" s="851"/>
      <c r="AS238" s="72" t="s">
        <v>1925</v>
      </c>
      <c r="AT238" s="1201" t="s">
        <v>2339</v>
      </c>
      <c r="AY238" s="866"/>
    </row>
    <row r="239" spans="43:51">
      <c r="AQ239" s="851"/>
      <c r="AS239" s="878"/>
      <c r="AT239" s="1201" t="s">
        <v>3042</v>
      </c>
      <c r="AY239" s="866"/>
    </row>
    <row r="240" spans="43:51">
      <c r="AQ240" s="851"/>
      <c r="AS240" s="878"/>
      <c r="AT240" s="1201" t="s">
        <v>3047</v>
      </c>
      <c r="AY240" s="866"/>
    </row>
    <row r="241" spans="43:59">
      <c r="AQ241" s="72"/>
      <c r="AS241" s="878"/>
      <c r="AT241" s="154" t="s">
        <v>3048</v>
      </c>
      <c r="AY241" s="866"/>
    </row>
    <row r="242" spans="43:59">
      <c r="AQ242" s="72"/>
      <c r="AS242" s="878"/>
      <c r="AT242" s="154" t="s">
        <v>3049</v>
      </c>
      <c r="AY242" s="866"/>
    </row>
    <row r="243" spans="43:59">
      <c r="AQ243" s="72"/>
      <c r="AS243" s="878"/>
      <c r="AY243" s="866"/>
    </row>
    <row r="244" spans="43:59">
      <c r="AY244" s="866"/>
      <c r="AZ244" s="851" t="str">
        <f>COMPANY</f>
        <v>DUKE ENERGY KENTUCKY, INC.</v>
      </c>
      <c r="BF244" s="69" t="s">
        <v>1493</v>
      </c>
    </row>
    <row r="245" spans="43:59">
      <c r="AY245" s="866"/>
      <c r="AZ245" s="851" t="str">
        <f>DEPT</f>
        <v>GAS DEPARTMENT</v>
      </c>
      <c r="BF245" s="72" t="s">
        <v>566</v>
      </c>
    </row>
    <row r="246" spans="43:59">
      <c r="AY246" s="866"/>
      <c r="AZ246" s="851" t="str">
        <f>CASE</f>
        <v>CASE NO. 2018-00261</v>
      </c>
      <c r="BF246" s="154" t="str">
        <f>LOGO!G6</f>
        <v>S. E. LAWLER</v>
      </c>
    </row>
    <row r="247" spans="43:59">
      <c r="AY247" s="866"/>
      <c r="AZ247" s="852" t="s">
        <v>459</v>
      </c>
    </row>
    <row r="248" spans="43:59">
      <c r="AY248" s="866"/>
      <c r="AZ248" s="852" t="str">
        <f>J37</f>
        <v>TO OTHER THAN DUKE ENERGY KENTUCKY CUSTOMERS</v>
      </c>
    </row>
    <row r="249" spans="43:59">
      <c r="AY249" s="866"/>
      <c r="AZ249" s="851" t="str">
        <f>PeriodF</f>
        <v>FOR THE TWELVE MONTHS ENDED MARCH 31, 2020</v>
      </c>
    </row>
    <row r="250" spans="43:59">
      <c r="AY250" s="866"/>
    </row>
    <row r="251" spans="43:59">
      <c r="AY251" s="866"/>
    </row>
    <row r="252" spans="43:59">
      <c r="AY252" s="866"/>
      <c r="AZ252" s="3559" t="s">
        <v>1938</v>
      </c>
      <c r="BD252" s="830"/>
      <c r="BE252" s="897" t="s">
        <v>2010</v>
      </c>
      <c r="BF252" s="565" t="s">
        <v>2011</v>
      </c>
      <c r="BG252" s="830"/>
    </row>
    <row r="253" spans="43:59">
      <c r="AY253" s="866"/>
      <c r="AZ253" s="3440" t="s">
        <v>1939</v>
      </c>
      <c r="BA253" s="888"/>
      <c r="BB253" s="283" t="s">
        <v>1988</v>
      </c>
      <c r="BC253" s="888"/>
      <c r="BD253" s="887" t="s">
        <v>2125</v>
      </c>
      <c r="BE253" s="887" t="s">
        <v>2012</v>
      </c>
      <c r="BF253" s="71" t="s">
        <v>2125</v>
      </c>
      <c r="BG253" s="898"/>
    </row>
    <row r="254" spans="43:59">
      <c r="AY254" s="866"/>
      <c r="AZ254" s="565"/>
      <c r="BB254" s="854"/>
      <c r="BC254" s="854"/>
      <c r="BD254" s="854"/>
      <c r="BE254" s="854"/>
      <c r="BF254" s="854"/>
      <c r="BG254" s="854"/>
    </row>
    <row r="255" spans="43:59">
      <c r="AY255" s="866"/>
      <c r="AZ255" s="1292">
        <v>1</v>
      </c>
      <c r="BB255" s="95"/>
      <c r="BC255" s="95"/>
      <c r="BD255" s="95"/>
      <c r="BE255" s="95"/>
      <c r="BF255" s="95"/>
      <c r="BG255" s="95"/>
    </row>
    <row r="256" spans="43:59">
      <c r="AY256" s="866"/>
      <c r="AZ256" s="1292">
        <v>2</v>
      </c>
      <c r="BB256" s="899" t="s">
        <v>1494</v>
      </c>
    </row>
    <row r="257" spans="51:67">
      <c r="AY257" s="866"/>
      <c r="AZ257" s="1292">
        <v>3</v>
      </c>
      <c r="BB257" s="1191"/>
      <c r="BD257" s="1193"/>
      <c r="BE257" s="1192"/>
      <c r="BF257" s="95"/>
      <c r="BG257" s="72"/>
    </row>
    <row r="258" spans="51:67">
      <c r="AY258" s="866"/>
      <c r="AZ258" s="1292">
        <v>4</v>
      </c>
      <c r="BB258" s="72" t="s">
        <v>2013</v>
      </c>
      <c r="BD258" s="94">
        <f>CM338</f>
        <v>209440.85200000001</v>
      </c>
      <c r="BE258" s="1192">
        <v>0.49116599999999999</v>
      </c>
      <c r="BF258" s="95">
        <f>ROUND(BE258*BD258,0)</f>
        <v>102870</v>
      </c>
      <c r="BG258" s="865"/>
    </row>
    <row r="259" spans="51:67">
      <c r="AY259" s="866"/>
      <c r="AZ259" s="1292">
        <v>7</v>
      </c>
    </row>
    <row r="260" spans="51:67" ht="15.6" thickBot="1">
      <c r="AY260" s="866"/>
      <c r="AZ260" s="1292">
        <v>8</v>
      </c>
      <c r="BB260" s="878"/>
      <c r="BD260" s="856">
        <f>SUM(BD257:BD258)</f>
        <v>209440.85200000001</v>
      </c>
      <c r="BE260" s="900"/>
      <c r="BF260" s="856">
        <f>SUM(BF257:BF258)</f>
        <v>102870</v>
      </c>
      <c r="BG260" s="901" t="s">
        <v>2129</v>
      </c>
    </row>
    <row r="261" spans="51:67" ht="15.6" thickTop="1">
      <c r="AY261" s="866"/>
      <c r="AZ261" s="1292">
        <v>9</v>
      </c>
      <c r="BB261" s="878"/>
      <c r="BD261" s="881"/>
      <c r="BE261" s="900"/>
      <c r="BF261" s="881"/>
      <c r="BG261" s="901" t="s">
        <v>1495</v>
      </c>
    </row>
    <row r="262" spans="51:67">
      <c r="AY262" s="866"/>
      <c r="AZ262" s="1292">
        <v>10</v>
      </c>
      <c r="BB262" s="1201" t="s">
        <v>3004</v>
      </c>
      <c r="BD262" s="95"/>
      <c r="BE262" s="900"/>
      <c r="BF262" s="95"/>
      <c r="BG262" s="285"/>
    </row>
    <row r="263" spans="51:67">
      <c r="AY263" s="866"/>
      <c r="AZ263" s="851"/>
      <c r="BC263" s="95"/>
      <c r="BG263" s="866"/>
    </row>
    <row r="264" spans="51:67">
      <c r="AY264" s="866"/>
      <c r="AZ264" s="72"/>
      <c r="BD264" s="95"/>
      <c r="BE264" s="900"/>
      <c r="BF264" s="95"/>
      <c r="BG264" s="866"/>
    </row>
    <row r="265" spans="51:67">
      <c r="AY265" s="866"/>
      <c r="BG265" s="866"/>
    </row>
    <row r="266" spans="51:67">
      <c r="AY266" s="866"/>
      <c r="BG266" s="866"/>
    </row>
    <row r="267" spans="51:67">
      <c r="AY267" s="866"/>
      <c r="BG267" s="866"/>
      <c r="BI267" s="851" t="str">
        <f>COMPANY</f>
        <v>DUKE ENERGY KENTUCKY, INC.</v>
      </c>
      <c r="BO267" s="69" t="s">
        <v>1245</v>
      </c>
    </row>
    <row r="268" spans="51:67">
      <c r="AY268" s="866"/>
      <c r="BG268" s="866"/>
      <c r="BI268" s="851" t="str">
        <f>DEPT</f>
        <v>GAS DEPARTMENT</v>
      </c>
      <c r="BO268" s="72" t="s">
        <v>1937</v>
      </c>
    </row>
    <row r="269" spans="51:67">
      <c r="AY269" s="866"/>
      <c r="BG269" s="866"/>
      <c r="BI269" s="851" t="str">
        <f>CASE</f>
        <v>CASE NO. 2018-00261</v>
      </c>
      <c r="BO269" s="876" t="str">
        <f>_WIT1</f>
        <v>S. E. LAWLER</v>
      </c>
    </row>
    <row r="270" spans="51:67">
      <c r="AY270" s="866"/>
      <c r="BG270" s="866"/>
      <c r="BI270" s="852" t="s">
        <v>360</v>
      </c>
    </row>
    <row r="271" spans="51:67">
      <c r="AY271" s="866"/>
      <c r="BG271" s="866"/>
      <c r="BI271" s="852" t="s">
        <v>1791</v>
      </c>
    </row>
    <row r="272" spans="51:67">
      <c r="AY272" s="866"/>
      <c r="BG272" s="866"/>
      <c r="BI272" s="537" t="str">
        <f>"AS OF " &amp;RIGHT(Forecast,(LEN(Forecast)-16))</f>
        <v>AS OF MARCH 31, 2020</v>
      </c>
    </row>
    <row r="273" spans="51:69">
      <c r="AY273" s="866"/>
      <c r="BG273" s="866"/>
    </row>
    <row r="274" spans="51:69">
      <c r="AY274" s="866"/>
      <c r="BG274" s="866"/>
      <c r="BQ274" s="902" t="s">
        <v>361</v>
      </c>
    </row>
    <row r="275" spans="51:69">
      <c r="AY275" s="866"/>
      <c r="BG275" s="866"/>
      <c r="BI275" s="3559" t="s">
        <v>1938</v>
      </c>
      <c r="BN275" s="884"/>
    </row>
    <row r="276" spans="51:69">
      <c r="AY276" s="866"/>
      <c r="BG276" s="866"/>
      <c r="BI276" s="3440" t="s">
        <v>1939</v>
      </c>
      <c r="BJ276" s="888"/>
      <c r="BK276" s="71" t="s">
        <v>1988</v>
      </c>
      <c r="BL276" s="71" t="s">
        <v>2133</v>
      </c>
      <c r="BM276" s="888"/>
      <c r="BN276" s="888"/>
      <c r="BO276" s="286" t="s">
        <v>2125</v>
      </c>
      <c r="BQ276" s="898" t="s">
        <v>2097</v>
      </c>
    </row>
    <row r="277" spans="51:69">
      <c r="AY277" s="866"/>
      <c r="BG277" s="866"/>
      <c r="BK277" s="95"/>
      <c r="BL277" s="95"/>
      <c r="BM277" s="95"/>
      <c r="BN277" s="95"/>
      <c r="BO277" s="95"/>
      <c r="BQ277" s="95"/>
    </row>
    <row r="278" spans="51:69">
      <c r="AY278" s="866"/>
      <c r="BG278" s="866"/>
      <c r="BI278" s="1292">
        <v>1</v>
      </c>
      <c r="BK278" s="72" t="s">
        <v>362</v>
      </c>
    </row>
    <row r="279" spans="51:69">
      <c r="AY279" s="866"/>
      <c r="BG279" s="866"/>
      <c r="BI279" s="1292">
        <f t="shared" ref="BI279:BI289" si="1">BI278+1</f>
        <v>2</v>
      </c>
      <c r="BK279" s="72" t="s">
        <v>363</v>
      </c>
      <c r="BL279" s="72" t="s">
        <v>364</v>
      </c>
      <c r="BN279" s="154" t="s">
        <v>365</v>
      </c>
      <c r="BO279" s="1185">
        <f>ROUND('SCH B-2'!C86,0)</f>
        <v>600958381</v>
      </c>
      <c r="BQ279" s="94">
        <f>BO279</f>
        <v>600958381</v>
      </c>
    </row>
    <row r="280" spans="51:69">
      <c r="AY280" s="866"/>
      <c r="BG280" s="866"/>
      <c r="BI280" s="1292">
        <f t="shared" si="1"/>
        <v>3</v>
      </c>
      <c r="BK280" s="1201" t="s">
        <v>2341</v>
      </c>
      <c r="BL280" s="72" t="s">
        <v>366</v>
      </c>
      <c r="BN280" s="154" t="s">
        <v>367</v>
      </c>
      <c r="BO280" s="1020">
        <f>ROUND('SCH B-3'!G389,0)</f>
        <v>196575802</v>
      </c>
      <c r="BQ280" s="1020">
        <f>BO280</f>
        <v>196575802</v>
      </c>
    </row>
    <row r="281" spans="51:69">
      <c r="AY281" s="866"/>
      <c r="BG281" s="866"/>
      <c r="BI281" s="1292">
        <f t="shared" si="1"/>
        <v>4</v>
      </c>
      <c r="BK281" s="878"/>
      <c r="BL281" s="878"/>
      <c r="BN281" s="154" t="s">
        <v>368</v>
      </c>
      <c r="BO281" s="903">
        <f>BO279-BO280</f>
        <v>404382579</v>
      </c>
      <c r="BQ281" s="904">
        <f>BQ279-BQ280</f>
        <v>404382579</v>
      </c>
    </row>
    <row r="282" spans="51:69">
      <c r="AY282" s="866"/>
      <c r="BG282" s="866"/>
      <c r="BI282" s="1292">
        <f t="shared" si="1"/>
        <v>5</v>
      </c>
      <c r="BK282" s="878"/>
      <c r="BL282" s="878"/>
      <c r="BO282" s="1186"/>
    </row>
    <row r="283" spans="51:69">
      <c r="AY283" s="866"/>
      <c r="BG283" s="866"/>
      <c r="BI283" s="1292">
        <f t="shared" si="1"/>
        <v>6</v>
      </c>
      <c r="BK283" s="72" t="s">
        <v>369</v>
      </c>
      <c r="BL283" s="72" t="s">
        <v>370</v>
      </c>
      <c r="BN283" s="154" t="s">
        <v>365</v>
      </c>
      <c r="BO283" s="1185">
        <f>ROUND('SCH B-2.2'!E106,0)</f>
        <v>12331190</v>
      </c>
      <c r="BQ283" s="94">
        <f>BO283</f>
        <v>12331190</v>
      </c>
    </row>
    <row r="284" spans="51:69">
      <c r="AY284" s="866"/>
      <c r="BG284" s="866"/>
      <c r="BI284" s="1292">
        <f t="shared" si="1"/>
        <v>7</v>
      </c>
      <c r="BK284" s="1201" t="s">
        <v>2341</v>
      </c>
      <c r="BL284" s="72" t="s">
        <v>371</v>
      </c>
      <c r="BN284" s="154" t="s">
        <v>367</v>
      </c>
      <c r="BO284" s="1020">
        <f>ROUND('SCH B-3.1'!E103,0)</f>
        <v>7949669</v>
      </c>
      <c r="BQ284" s="1020">
        <f>BO284</f>
        <v>7949669</v>
      </c>
    </row>
    <row r="285" spans="51:69">
      <c r="AY285" s="866"/>
      <c r="BG285" s="866"/>
      <c r="BI285" s="1292">
        <f t="shared" si="1"/>
        <v>8</v>
      </c>
      <c r="BK285" s="878"/>
      <c r="BN285" s="154" t="s">
        <v>368</v>
      </c>
      <c r="BO285" s="903">
        <f>BO283-BO284</f>
        <v>4381521</v>
      </c>
      <c r="BQ285" s="904">
        <f>BQ283-BQ284</f>
        <v>4381521</v>
      </c>
    </row>
    <row r="286" spans="51:69">
      <c r="AY286" s="866"/>
      <c r="BG286" s="866"/>
      <c r="BI286" s="1292">
        <f t="shared" si="1"/>
        <v>9</v>
      </c>
      <c r="BK286" s="878"/>
    </row>
    <row r="287" spans="51:69">
      <c r="AY287" s="866"/>
      <c r="BG287" s="866"/>
      <c r="BI287" s="1292">
        <f t="shared" si="1"/>
        <v>10</v>
      </c>
      <c r="BK287" s="878"/>
    </row>
    <row r="288" spans="51:69">
      <c r="AY288" s="866"/>
      <c r="BG288" s="866"/>
      <c r="BI288" s="1292">
        <f t="shared" si="1"/>
        <v>11</v>
      </c>
      <c r="BK288" s="72" t="s">
        <v>372</v>
      </c>
    </row>
    <row r="289" spans="51:80">
      <c r="AY289" s="866"/>
      <c r="BG289" s="866"/>
      <c r="BI289" s="1292">
        <f t="shared" si="1"/>
        <v>12</v>
      </c>
      <c r="BK289" s="1201" t="s">
        <v>2342</v>
      </c>
      <c r="BO289" s="905">
        <f>ROUND(BO285/BO281,4)</f>
        <v>1.0800000000000001E-2</v>
      </c>
      <c r="BQ289" s="905">
        <f>ROUND(BQ285/BQ281,4)</f>
        <v>1.0800000000000001E-2</v>
      </c>
    </row>
    <row r="290" spans="51:80">
      <c r="AY290" s="866"/>
      <c r="BG290" s="866"/>
      <c r="BI290" s="851"/>
      <c r="BK290" s="878"/>
      <c r="BO290" s="854"/>
    </row>
    <row r="291" spans="51:80">
      <c r="AY291" s="866"/>
      <c r="BG291" s="866"/>
      <c r="BI291" s="72"/>
      <c r="BK291" s="878"/>
    </row>
    <row r="292" spans="51:80">
      <c r="AY292" s="866"/>
      <c r="BG292" s="866"/>
      <c r="BK292" s="878"/>
    </row>
    <row r="293" spans="51:80">
      <c r="AY293" s="866"/>
      <c r="BG293" s="866"/>
      <c r="BK293" s="878"/>
      <c r="BR293" s="851" t="str">
        <f>COMPANY</f>
        <v>DUKE ENERGY KENTUCKY, INC.</v>
      </c>
      <c r="CA293" s="69" t="s">
        <v>1496</v>
      </c>
    </row>
    <row r="294" spans="51:80">
      <c r="BG294" s="866"/>
      <c r="BK294" s="878"/>
      <c r="BR294" s="851" t="str">
        <f>DEPT</f>
        <v>GAS DEPARTMENT</v>
      </c>
      <c r="CA294" s="72" t="s">
        <v>373</v>
      </c>
    </row>
    <row r="295" spans="51:80">
      <c r="BG295" s="866"/>
      <c r="BK295" s="878"/>
      <c r="BR295" s="851" t="str">
        <f>CASE</f>
        <v>CASE NO. 2018-00261</v>
      </c>
      <c r="CA295" s="72" t="str">
        <f>LOGO!$G$6</f>
        <v>S. E. LAWLER</v>
      </c>
    </row>
    <row r="296" spans="51:80">
      <c r="BG296" s="866"/>
      <c r="BK296" s="878"/>
      <c r="BR296" s="852" t="s">
        <v>374</v>
      </c>
    </row>
    <row r="297" spans="51:80">
      <c r="BK297" s="878"/>
      <c r="BR297" s="852" t="s">
        <v>3055</v>
      </c>
    </row>
    <row r="298" spans="51:80">
      <c r="BK298" s="878"/>
      <c r="BR298" s="275" t="s">
        <v>2825</v>
      </c>
    </row>
    <row r="299" spans="51:80">
      <c r="BK299" s="878"/>
    </row>
    <row r="300" spans="51:80">
      <c r="BK300" s="878"/>
    </row>
    <row r="301" spans="51:80">
      <c r="BK301" s="878"/>
    </row>
    <row r="303" spans="51:80">
      <c r="BR303" s="565" t="s">
        <v>1938</v>
      </c>
      <c r="BV303" s="906" t="s">
        <v>1421</v>
      </c>
      <c r="BW303" s="907"/>
      <c r="BX303" s="907"/>
      <c r="BY303" s="907"/>
      <c r="BZ303" s="884"/>
      <c r="CA303" s="830" t="s">
        <v>375</v>
      </c>
      <c r="CB303" s="3155" t="s">
        <v>3053</v>
      </c>
    </row>
    <row r="304" spans="51:80">
      <c r="BR304" s="887" t="s">
        <v>1939</v>
      </c>
      <c r="BS304" s="888"/>
      <c r="BT304" s="71" t="s">
        <v>1987</v>
      </c>
      <c r="BU304" s="888"/>
      <c r="BV304" s="789" t="s">
        <v>1246</v>
      </c>
      <c r="BW304" s="908" t="s">
        <v>1247</v>
      </c>
      <c r="BX304" s="287" t="s">
        <v>1248</v>
      </c>
      <c r="BY304" s="909" t="s">
        <v>1249</v>
      </c>
      <c r="BZ304" s="898" t="s">
        <v>2153</v>
      </c>
      <c r="CA304" s="286" t="s">
        <v>376</v>
      </c>
      <c r="CB304" s="286" t="s">
        <v>3054</v>
      </c>
    </row>
    <row r="306" spans="70:80">
      <c r="BR306" s="830">
        <v>1</v>
      </c>
      <c r="BT306" s="830">
        <v>711000</v>
      </c>
      <c r="BV306" s="3157">
        <v>150</v>
      </c>
      <c r="BW306" s="3157">
        <v>607</v>
      </c>
      <c r="BX306" s="3157">
        <v>1267</v>
      </c>
      <c r="BY306" s="3157">
        <v>2467</v>
      </c>
      <c r="BZ306" s="813">
        <f t="shared" ref="BZ306:BZ311" si="2">SUM(BV306:BY306)</f>
        <v>4491</v>
      </c>
      <c r="CA306" s="911">
        <f>CX385</f>
        <v>0.45469999999999999</v>
      </c>
      <c r="CB306" s="813">
        <f t="shared" ref="CB306:CB311" si="3">ROUND(BZ306*CA306,0)</f>
        <v>2042</v>
      </c>
    </row>
    <row r="307" spans="70:80">
      <c r="BR307" s="830">
        <v>2</v>
      </c>
      <c r="BT307" s="830">
        <v>712000</v>
      </c>
      <c r="BV307" s="3157">
        <v>218</v>
      </c>
      <c r="BW307" s="3157">
        <v>2334</v>
      </c>
      <c r="BX307" s="3157">
        <v>2669</v>
      </c>
      <c r="BY307" s="3157">
        <v>2786</v>
      </c>
      <c r="BZ307" s="813">
        <f t="shared" si="2"/>
        <v>8007</v>
      </c>
      <c r="CA307" s="911">
        <f>$CA$306</f>
        <v>0.45469999999999999</v>
      </c>
      <c r="CB307" s="813">
        <f t="shared" si="3"/>
        <v>3641</v>
      </c>
    </row>
    <row r="308" spans="70:80">
      <c r="BR308" s="830">
        <v>3</v>
      </c>
      <c r="BT308" s="830">
        <v>717000</v>
      </c>
      <c r="BV308" s="3157">
        <v>7388</v>
      </c>
      <c r="BW308" s="3157">
        <v>5034</v>
      </c>
      <c r="BX308" s="3157">
        <v>2429</v>
      </c>
      <c r="BY308" s="3157">
        <v>3156</v>
      </c>
      <c r="BZ308" s="813">
        <f t="shared" si="2"/>
        <v>18007</v>
      </c>
      <c r="CA308" s="911">
        <f>$CA$306</f>
        <v>0.45469999999999999</v>
      </c>
      <c r="CB308" s="813">
        <f t="shared" si="3"/>
        <v>8188</v>
      </c>
    </row>
    <row r="309" spans="70:80">
      <c r="BR309" s="830">
        <v>4</v>
      </c>
      <c r="BT309" s="830">
        <v>728000</v>
      </c>
      <c r="BV309" s="3157">
        <v>17482</v>
      </c>
      <c r="BW309" s="3157">
        <v>110976</v>
      </c>
      <c r="BX309" s="3157">
        <v>500920</v>
      </c>
      <c r="BY309" s="3157">
        <v>155278</v>
      </c>
      <c r="BZ309" s="813">
        <f t="shared" si="2"/>
        <v>784656</v>
      </c>
      <c r="CA309" s="911">
        <f>$CA$306</f>
        <v>0.45469999999999999</v>
      </c>
      <c r="CB309" s="813">
        <f t="shared" si="3"/>
        <v>356783</v>
      </c>
    </row>
    <row r="310" spans="70:80">
      <c r="BR310" s="830">
        <v>5</v>
      </c>
      <c r="BT310" s="830">
        <v>728001</v>
      </c>
      <c r="BV310" s="3157">
        <v>0</v>
      </c>
      <c r="BW310" s="3157">
        <v>0</v>
      </c>
      <c r="BX310" s="3157">
        <v>0</v>
      </c>
      <c r="BY310" s="3157">
        <v>0</v>
      </c>
      <c r="BZ310" s="813">
        <f t="shared" si="2"/>
        <v>0</v>
      </c>
      <c r="CA310" s="911">
        <f>$CA$306</f>
        <v>0.45469999999999999</v>
      </c>
      <c r="CB310" s="813">
        <f t="shared" si="3"/>
        <v>0</v>
      </c>
    </row>
    <row r="311" spans="70:80">
      <c r="BR311" s="830">
        <v>6</v>
      </c>
      <c r="BT311" s="830">
        <v>735000</v>
      </c>
      <c r="BV311" s="3157">
        <v>644</v>
      </c>
      <c r="BW311" s="3157">
        <v>2266</v>
      </c>
      <c r="BX311" s="3157">
        <v>12051</v>
      </c>
      <c r="BY311" s="3157">
        <v>11741</v>
      </c>
      <c r="BZ311" s="912">
        <f t="shared" si="2"/>
        <v>26702</v>
      </c>
      <c r="CA311" s="911">
        <f>$CA$306</f>
        <v>0.45469999999999999</v>
      </c>
      <c r="CB311" s="912">
        <f t="shared" si="3"/>
        <v>12141</v>
      </c>
    </row>
    <row r="312" spans="70:80">
      <c r="BR312" s="830">
        <v>7</v>
      </c>
      <c r="BV312" s="813"/>
      <c r="BW312" s="813"/>
      <c r="BX312" s="813"/>
      <c r="BY312" s="813"/>
      <c r="BZ312" s="813"/>
      <c r="CB312" s="813"/>
    </row>
    <row r="313" spans="70:80">
      <c r="BR313" s="830">
        <v>8</v>
      </c>
      <c r="BT313" s="830" t="s">
        <v>2153</v>
      </c>
      <c r="BV313" s="913">
        <f>SUM(BV306:BV311)</f>
        <v>25882</v>
      </c>
      <c r="BW313" s="913">
        <f>SUM(BW306:BW311)</f>
        <v>121217</v>
      </c>
      <c r="BX313" s="913">
        <f>SUM(BX306:BX311)</f>
        <v>519336</v>
      </c>
      <c r="BY313" s="913">
        <f>SUM(BY306:BY311)</f>
        <v>175428</v>
      </c>
      <c r="BZ313" s="913">
        <f>SUM(BZ306:BZ311)</f>
        <v>841863</v>
      </c>
      <c r="CB313" s="913">
        <f>SUM(CB306:CB311)</f>
        <v>382795</v>
      </c>
    </row>
    <row r="316" spans="70:80">
      <c r="BT316" s="1251" t="s">
        <v>2990</v>
      </c>
    </row>
    <row r="317" spans="70:80">
      <c r="BT317" s="914" t="s">
        <v>1250</v>
      </c>
    </row>
    <row r="318" spans="70:80">
      <c r="BT318" s="154" t="s">
        <v>1251</v>
      </c>
    </row>
    <row r="322" spans="82:91">
      <c r="CD322" s="851" t="str">
        <f>COMPANY</f>
        <v>DUKE ENERGY KENTUCKY, INC.</v>
      </c>
      <c r="CK322" s="69" t="s">
        <v>1497</v>
      </c>
    </row>
    <row r="323" spans="82:91">
      <c r="CD323" s="851" t="str">
        <f>DEPT</f>
        <v>GAS DEPARTMENT</v>
      </c>
      <c r="CK323" s="72" t="s">
        <v>1937</v>
      </c>
    </row>
    <row r="324" spans="82:91">
      <c r="CD324" s="851" t="str">
        <f>CASE</f>
        <v>CASE NO. 2018-00261</v>
      </c>
      <c r="CK324" s="72" t="str">
        <f>LOGO!$G$6</f>
        <v>S. E. LAWLER</v>
      </c>
    </row>
    <row r="325" spans="82:91">
      <c r="CD325" s="852" t="s">
        <v>377</v>
      </c>
    </row>
    <row r="326" spans="82:91">
      <c r="CD326" s="72" t="str">
        <f>PeriodF</f>
        <v>FOR THE TWELVE MONTHS ENDED MARCH 31, 2020</v>
      </c>
    </row>
    <row r="331" spans="82:91">
      <c r="CD331" s="830" t="s">
        <v>1938</v>
      </c>
      <c r="CE331" s="853"/>
      <c r="CF331" s="853"/>
      <c r="CG331" s="853"/>
      <c r="CH331" s="853"/>
      <c r="CI331" s="853"/>
      <c r="CJ331" s="853"/>
      <c r="CK331" s="3155" t="s">
        <v>2011</v>
      </c>
      <c r="CL331" s="853"/>
      <c r="CM331" s="853" t="s">
        <v>2011</v>
      </c>
    </row>
    <row r="332" spans="82:91">
      <c r="CD332" s="853" t="s">
        <v>1939</v>
      </c>
      <c r="CE332" s="853"/>
      <c r="CF332" s="853" t="s">
        <v>1987</v>
      </c>
      <c r="CG332" s="853"/>
      <c r="CH332" s="853"/>
      <c r="CI332" s="853" t="s">
        <v>2125</v>
      </c>
      <c r="CJ332" s="853"/>
      <c r="CK332" s="3156" t="s">
        <v>376</v>
      </c>
      <c r="CL332" s="853"/>
      <c r="CM332" s="853" t="s">
        <v>2125</v>
      </c>
    </row>
    <row r="334" spans="82:91">
      <c r="CD334" s="830">
        <v>1</v>
      </c>
      <c r="CF334" s="829" t="s">
        <v>2927</v>
      </c>
      <c r="CI334" s="813"/>
      <c r="CJ334" s="813"/>
      <c r="CK334" s="813"/>
      <c r="CL334" s="813"/>
      <c r="CM334" s="813"/>
    </row>
    <row r="335" spans="82:91">
      <c r="CD335" s="830">
        <v>2</v>
      </c>
      <c r="CF335" s="830">
        <v>874000</v>
      </c>
      <c r="CI335" s="1156">
        <f>ROUND(VLOOKUP($CF$335,FPERIOD,5,FALSE),0)</f>
        <v>2548186</v>
      </c>
      <c r="CJ335" s="3157">
        <v>138230</v>
      </c>
      <c r="CK335" s="3158">
        <v>4.4499999999999998E-2</v>
      </c>
      <c r="CL335" s="813"/>
      <c r="CM335" s="1156">
        <f>CI335*CK335</f>
        <v>113394.277</v>
      </c>
    </row>
    <row r="336" spans="82:91">
      <c r="CD336" s="830">
        <v>3</v>
      </c>
      <c r="CF336" s="830">
        <v>887000</v>
      </c>
      <c r="CI336" s="3159">
        <f>ROUND(VLOOKUP($CF$336,FPERIOD,5,FALSE),0)</f>
        <v>2158350</v>
      </c>
      <c r="CJ336" s="3157"/>
      <c r="CK336" s="3160">
        <f>CK335</f>
        <v>4.4499999999999998E-2</v>
      </c>
      <c r="CL336" s="813"/>
      <c r="CM336" s="3159">
        <f>CI336*CK336</f>
        <v>96046.574999999997</v>
      </c>
    </row>
    <row r="337" spans="82:102">
      <c r="CD337" s="830">
        <v>4</v>
      </c>
      <c r="CF337" s="830"/>
      <c r="CI337" s="813"/>
      <c r="CJ337" s="813"/>
      <c r="CK337" s="813"/>
      <c r="CL337" s="813"/>
      <c r="CM337" s="813"/>
    </row>
    <row r="338" spans="82:102" ht="15.6" thickBot="1">
      <c r="CD338" s="830">
        <v>5</v>
      </c>
      <c r="CF338" s="154" t="s">
        <v>616</v>
      </c>
      <c r="CI338" s="3161">
        <f>SUM(CI334:CI336)</f>
        <v>4706536</v>
      </c>
      <c r="CJ338" s="813"/>
      <c r="CK338" s="912"/>
      <c r="CL338" s="813"/>
      <c r="CM338" s="3161">
        <f>SUM(CM334:CM336)</f>
        <v>209440.85200000001</v>
      </c>
    </row>
    <row r="339" spans="82:102" ht="15.6" thickTop="1">
      <c r="CI339" s="813"/>
      <c r="CK339" s="813"/>
      <c r="CM339" s="813"/>
    </row>
    <row r="340" spans="82:102">
      <c r="CF340" s="1251" t="s">
        <v>3005</v>
      </c>
      <c r="CI340" s="813"/>
      <c r="CK340" s="813"/>
      <c r="CM340" s="813"/>
    </row>
    <row r="341" spans="82:102">
      <c r="CF341" s="1251" t="s">
        <v>2928</v>
      </c>
    </row>
    <row r="344" spans="82:102">
      <c r="CI344" s="813"/>
      <c r="CK344" s="813"/>
      <c r="CM344" s="813"/>
    </row>
    <row r="352" spans="82:102">
      <c r="CO352" s="851" t="str">
        <f>COMPANY</f>
        <v>DUKE ENERGY KENTUCKY, INC.</v>
      </c>
      <c r="CX352" s="69" t="s">
        <v>2972</v>
      </c>
    </row>
    <row r="353" spans="93:102">
      <c r="CO353" s="851" t="str">
        <f>DEPT</f>
        <v>GAS DEPARTMENT</v>
      </c>
      <c r="CX353" s="72" t="s">
        <v>1937</v>
      </c>
    </row>
    <row r="354" spans="93:102">
      <c r="CO354" s="851" t="str">
        <f>CASE</f>
        <v>CASE NO. 2018-00261</v>
      </c>
      <c r="CX354" s="72" t="str">
        <f>LOGO!$G$6</f>
        <v>S. E. LAWLER</v>
      </c>
    </row>
    <row r="355" spans="93:102">
      <c r="CO355" s="915" t="s">
        <v>282</v>
      </c>
    </row>
    <row r="356" spans="93:102">
      <c r="CO356" s="852" t="s">
        <v>1792</v>
      </c>
    </row>
    <row r="357" spans="93:102">
      <c r="CO357" s="852" t="s">
        <v>2826</v>
      </c>
    </row>
    <row r="361" spans="93:102">
      <c r="CO361" s="830" t="s">
        <v>1938</v>
      </c>
      <c r="CP361" s="830"/>
      <c r="CQ361" s="830"/>
      <c r="CR361" s="830"/>
      <c r="CS361" s="830"/>
      <c r="CT361" s="830"/>
      <c r="CU361" s="830"/>
      <c r="CV361" s="830"/>
      <c r="CW361" s="830"/>
    </row>
    <row r="362" spans="93:102">
      <c r="CO362" s="853" t="s">
        <v>1939</v>
      </c>
      <c r="CP362" s="853"/>
      <c r="CQ362" s="853" t="s">
        <v>283</v>
      </c>
      <c r="CR362" s="853"/>
      <c r="CS362" s="853" t="s">
        <v>1793</v>
      </c>
      <c r="CT362" s="853"/>
      <c r="CU362" s="853" t="s">
        <v>1794</v>
      </c>
      <c r="CV362" s="853"/>
      <c r="CW362" s="853" t="s">
        <v>2153</v>
      </c>
    </row>
    <row r="364" spans="93:102">
      <c r="CO364" s="830">
        <v>1</v>
      </c>
      <c r="CQ364" s="916" t="s">
        <v>1550</v>
      </c>
      <c r="CS364" s="3157">
        <v>372751</v>
      </c>
      <c r="CT364" s="3157"/>
      <c r="CU364" s="3157">
        <v>373276</v>
      </c>
      <c r="CV364" s="813"/>
      <c r="CW364" s="813">
        <f t="shared" ref="CW364:CW376" si="4">CS364+CU364</f>
        <v>746027</v>
      </c>
    </row>
    <row r="365" spans="93:102">
      <c r="CO365" s="830">
        <v>2</v>
      </c>
      <c r="CQ365" s="916" t="s">
        <v>891</v>
      </c>
      <c r="CS365" s="3157">
        <v>138920</v>
      </c>
      <c r="CT365" s="3157"/>
      <c r="CU365" s="3157">
        <v>172091</v>
      </c>
      <c r="CV365" s="813"/>
      <c r="CW365" s="813">
        <f t="shared" si="4"/>
        <v>311011</v>
      </c>
    </row>
    <row r="366" spans="93:102">
      <c r="CO366" s="830">
        <v>3</v>
      </c>
      <c r="CQ366" s="916" t="s">
        <v>892</v>
      </c>
      <c r="CS366" s="3157">
        <v>5686</v>
      </c>
      <c r="CT366" s="3157"/>
      <c r="CU366" s="3157">
        <v>5691</v>
      </c>
      <c r="CV366" s="813"/>
      <c r="CW366" s="813">
        <f t="shared" si="4"/>
        <v>11377</v>
      </c>
    </row>
    <row r="367" spans="93:102">
      <c r="CO367" s="830">
        <v>4</v>
      </c>
      <c r="CQ367" s="916" t="s">
        <v>893</v>
      </c>
      <c r="CS367" s="3157">
        <v>0</v>
      </c>
      <c r="CT367" s="3157"/>
      <c r="CU367" s="3157">
        <v>0</v>
      </c>
      <c r="CV367" s="813"/>
      <c r="CW367" s="813">
        <f t="shared" si="4"/>
        <v>0</v>
      </c>
    </row>
    <row r="368" spans="93:102">
      <c r="CO368" s="830">
        <v>5</v>
      </c>
      <c r="CQ368" s="916" t="s">
        <v>894</v>
      </c>
      <c r="CS368" s="3157">
        <v>0</v>
      </c>
      <c r="CT368" s="3157"/>
      <c r="CU368" s="3157">
        <v>3825</v>
      </c>
      <c r="CV368" s="813"/>
      <c r="CW368" s="813">
        <f t="shared" si="4"/>
        <v>3825</v>
      </c>
    </row>
    <row r="369" spans="93:102">
      <c r="CO369" s="830">
        <v>6</v>
      </c>
      <c r="CQ369" s="916" t="s">
        <v>895</v>
      </c>
      <c r="CS369" s="3157">
        <v>0</v>
      </c>
      <c r="CT369" s="3157"/>
      <c r="CU369" s="3157">
        <v>0</v>
      </c>
      <c r="CV369" s="813"/>
      <c r="CW369" s="813">
        <f t="shared" si="4"/>
        <v>0</v>
      </c>
    </row>
    <row r="370" spans="93:102">
      <c r="CO370" s="830">
        <v>7</v>
      </c>
      <c r="CQ370" s="916" t="s">
        <v>896</v>
      </c>
      <c r="CS370" s="3157">
        <v>0</v>
      </c>
      <c r="CT370" s="3157"/>
      <c r="CU370" s="3157">
        <v>0</v>
      </c>
      <c r="CV370" s="813"/>
      <c r="CW370" s="813">
        <f t="shared" si="4"/>
        <v>0</v>
      </c>
    </row>
    <row r="371" spans="93:102">
      <c r="CO371" s="830">
        <v>8</v>
      </c>
      <c r="CQ371" s="916" t="s">
        <v>897</v>
      </c>
      <c r="CS371" s="3157">
        <v>0</v>
      </c>
      <c r="CT371" s="3157"/>
      <c r="CU371" s="3157">
        <v>0</v>
      </c>
      <c r="CV371" s="813"/>
      <c r="CW371" s="813">
        <f t="shared" si="4"/>
        <v>0</v>
      </c>
    </row>
    <row r="372" spans="93:102">
      <c r="CO372" s="830">
        <v>9</v>
      </c>
      <c r="CQ372" s="916" t="s">
        <v>898</v>
      </c>
      <c r="CS372" s="3157">
        <v>0</v>
      </c>
      <c r="CT372" s="3157"/>
      <c r="CU372" s="3157">
        <v>0</v>
      </c>
      <c r="CV372" s="813"/>
      <c r="CW372" s="813">
        <f t="shared" si="4"/>
        <v>0</v>
      </c>
    </row>
    <row r="373" spans="93:102">
      <c r="CO373" s="830">
        <v>10</v>
      </c>
      <c r="CQ373" s="916" t="s">
        <v>1014</v>
      </c>
      <c r="CS373" s="3157">
        <v>0</v>
      </c>
      <c r="CT373" s="3157"/>
      <c r="CU373" s="3157">
        <v>0</v>
      </c>
      <c r="CV373" s="813"/>
      <c r="CW373" s="813">
        <f t="shared" si="4"/>
        <v>0</v>
      </c>
    </row>
    <row r="374" spans="93:102">
      <c r="CO374" s="830">
        <v>11</v>
      </c>
      <c r="CQ374" s="916" t="s">
        <v>889</v>
      </c>
      <c r="CS374" s="3157">
        <v>17880</v>
      </c>
      <c r="CT374" s="3157"/>
      <c r="CU374" s="3157">
        <v>6385</v>
      </c>
      <c r="CV374" s="813"/>
      <c r="CW374" s="813">
        <f t="shared" si="4"/>
        <v>24265</v>
      </c>
    </row>
    <row r="375" spans="93:102">
      <c r="CO375" s="830">
        <v>12</v>
      </c>
      <c r="CQ375" s="916" t="s">
        <v>890</v>
      </c>
      <c r="CS375" s="3157">
        <v>112778</v>
      </c>
      <c r="CT375" s="3157"/>
      <c r="CU375" s="3157">
        <v>142871</v>
      </c>
      <c r="CV375" s="813"/>
      <c r="CW375" s="813">
        <f t="shared" si="4"/>
        <v>255649</v>
      </c>
    </row>
    <row r="376" spans="93:102">
      <c r="CO376" s="830">
        <v>13</v>
      </c>
      <c r="CQ376" s="154" t="s">
        <v>284</v>
      </c>
      <c r="CS376" s="3157">
        <v>0</v>
      </c>
      <c r="CT376" s="3157"/>
      <c r="CU376" s="3157">
        <v>0</v>
      </c>
      <c r="CV376" s="813"/>
      <c r="CW376" s="813">
        <f t="shared" si="4"/>
        <v>0</v>
      </c>
    </row>
    <row r="377" spans="93:102" ht="15.6" thickBot="1">
      <c r="CO377" s="830">
        <v>14</v>
      </c>
      <c r="CQ377" s="830" t="s">
        <v>2153</v>
      </c>
      <c r="CS377" s="917">
        <f>SUM(CS364:CS376)</f>
        <v>648015</v>
      </c>
      <c r="CT377" s="813"/>
      <c r="CU377" s="917">
        <f>SUM(CU364:CU376)</f>
        <v>704139</v>
      </c>
      <c r="CV377" s="813"/>
      <c r="CW377" s="917">
        <f>SUM(CW364:CW376)</f>
        <v>1352154</v>
      </c>
    </row>
    <row r="378" spans="93:102" ht="15.6" thickTop="1">
      <c r="CO378" s="830">
        <v>15</v>
      </c>
    </row>
    <row r="379" spans="93:102">
      <c r="CO379" s="830">
        <v>16</v>
      </c>
      <c r="CQ379" s="154" t="s">
        <v>1836</v>
      </c>
      <c r="CS379" s="911">
        <f>ROUND(CS377/$CW$377,4)</f>
        <v>0.47920000000000001</v>
      </c>
      <c r="CT379" s="911"/>
      <c r="CU379" s="911">
        <f>ROUND(CU377/$CW$377,4)</f>
        <v>0.52080000000000004</v>
      </c>
      <c r="CV379" s="911"/>
      <c r="CW379" s="911">
        <f>ROUND(CW377/$CW$377,4)</f>
        <v>1</v>
      </c>
    </row>
    <row r="380" spans="93:102">
      <c r="CO380" s="830">
        <v>17</v>
      </c>
    </row>
    <row r="381" spans="93:102">
      <c r="CO381" s="830">
        <v>18</v>
      </c>
      <c r="CX381" s="830" t="s">
        <v>1837</v>
      </c>
    </row>
    <row r="382" spans="93:102">
      <c r="CO382" s="830">
        <v>19</v>
      </c>
      <c r="CX382" s="830" t="s">
        <v>1838</v>
      </c>
    </row>
    <row r="383" spans="93:102">
      <c r="CO383" s="830">
        <v>20</v>
      </c>
      <c r="CS383" s="853" t="s">
        <v>1839</v>
      </c>
      <c r="CT383" s="829"/>
      <c r="CU383" s="853" t="s">
        <v>1840</v>
      </c>
      <c r="CV383" s="829"/>
      <c r="CW383" s="853" t="s">
        <v>1841</v>
      </c>
      <c r="CX383" s="853" t="s">
        <v>1836</v>
      </c>
    </row>
    <row r="384" spans="93:102">
      <c r="CO384" s="830">
        <v>21</v>
      </c>
      <c r="CQ384" s="154" t="s">
        <v>1793</v>
      </c>
      <c r="CS384" s="910">
        <v>0.64200000000000002</v>
      </c>
      <c r="CU384" s="911">
        <f>CS379</f>
        <v>0.47920000000000001</v>
      </c>
    </row>
    <row r="385" spans="93:103">
      <c r="CO385" s="830">
        <v>22</v>
      </c>
      <c r="CQ385" s="154" t="s">
        <v>1794</v>
      </c>
      <c r="CS385" s="910">
        <v>0.35799999999999998</v>
      </c>
      <c r="CU385" s="911">
        <f>CU379</f>
        <v>0.52080000000000004</v>
      </c>
      <c r="CV385" s="914" t="s">
        <v>678</v>
      </c>
      <c r="CW385" s="911">
        <f>ABS(CS385-CU385)</f>
        <v>0.16280000000000006</v>
      </c>
      <c r="CX385" s="911">
        <f>ROUND(CW385/CS385,4)</f>
        <v>0.45469999999999999</v>
      </c>
      <c r="CY385" s="914" t="s">
        <v>679</v>
      </c>
    </row>
    <row r="386" spans="93:103">
      <c r="CO386" s="830">
        <v>23</v>
      </c>
      <c r="CS386" s="3141"/>
    </row>
    <row r="387" spans="93:103">
      <c r="CO387" s="830">
        <v>24</v>
      </c>
      <c r="CX387" s="154" t="s">
        <v>1498</v>
      </c>
    </row>
    <row r="389" spans="93:103">
      <c r="CQ389" s="1251" t="s">
        <v>2965</v>
      </c>
    </row>
    <row r="390" spans="93:103">
      <c r="CQ390" s="914" t="s">
        <v>1842</v>
      </c>
    </row>
    <row r="391" spans="93:103">
      <c r="CQ391" s="914" t="s">
        <v>1843</v>
      </c>
    </row>
    <row r="392" spans="93:103">
      <c r="CQ392" s="154" t="s">
        <v>1795</v>
      </c>
    </row>
  </sheetData>
  <phoneticPr fontId="4" type="noConversion"/>
  <pageMargins left="1" right="0.75" top="1" bottom="1" header="0.5" footer="0.5"/>
  <pageSetup scale="65" orientation="portrait" horizontalDpi="300" verticalDpi="300" r:id="rId1"/>
  <headerFooter alignWithMargins="0"/>
  <drawing r:id="rId2"/>
  <legacyDrawing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tabColor theme="7" tint="0.39997558519241921"/>
    <pageSetUpPr fitToPage="1"/>
  </sheetPr>
  <dimension ref="A1:W90"/>
  <sheetViews>
    <sheetView zoomScale="90" zoomScaleNormal="90" workbookViewId="0"/>
  </sheetViews>
  <sheetFormatPr defaultColWidth="8" defaultRowHeight="13.2"/>
  <cols>
    <col min="1" max="5" width="10.44140625" style="3198" customWidth="1"/>
    <col min="6" max="6" width="13.44140625" style="3198" customWidth="1"/>
    <col min="7" max="7" width="17.88671875" style="3198" customWidth="1"/>
    <col min="8" max="8" width="9.109375" style="3198" customWidth="1"/>
    <col min="9" max="9" width="10.44140625" style="3198" customWidth="1"/>
    <col min="10" max="10" width="18.6640625" style="3198" customWidth="1"/>
    <col min="11" max="11" width="4.44140625" style="3198" customWidth="1"/>
    <col min="12" max="12" width="7.5546875" style="3198" customWidth="1"/>
    <col min="13" max="13" width="2" style="3198" customWidth="1"/>
    <col min="14" max="14" width="5.88671875" style="3198" customWidth="1"/>
    <col min="15" max="15" width="1.6640625" style="3198" customWidth="1"/>
    <col min="16" max="16" width="11" style="3198" customWidth="1"/>
    <col min="17" max="17" width="1.6640625" style="3198" customWidth="1"/>
    <col min="18" max="18" width="53.109375" style="3198" customWidth="1"/>
    <col min="19" max="19" width="1.5546875" style="3198" customWidth="1"/>
    <col min="20" max="20" width="16.109375" style="3198" customWidth="1"/>
    <col min="21" max="21" width="16.88671875" style="3198" customWidth="1"/>
    <col min="22" max="22" width="8" style="3198" customWidth="1"/>
    <col min="23" max="16384" width="8" style="3198"/>
  </cols>
  <sheetData>
    <row r="1" spans="1:11">
      <c r="A1" s="3196" t="str">
        <f>LOGO!B5</f>
        <v>DUKE ENERGY KENTUCKY, INC.</v>
      </c>
      <c r="B1" s="3197"/>
      <c r="C1" s="3197"/>
      <c r="D1" s="3197"/>
      <c r="E1" s="3197"/>
      <c r="F1" s="3197"/>
      <c r="G1" s="3197"/>
      <c r="H1" s="3197"/>
      <c r="I1" s="3197"/>
      <c r="J1" s="3197"/>
    </row>
    <row r="2" spans="1:11">
      <c r="A2" s="3196" t="str">
        <f>LOGO!B6</f>
        <v>CASE NO. 2018-00261</v>
      </c>
      <c r="B2" s="3197"/>
      <c r="C2" s="3197"/>
      <c r="D2" s="3197"/>
      <c r="E2" s="3197"/>
      <c r="F2" s="3197"/>
      <c r="G2" s="3197"/>
      <c r="H2" s="3197"/>
      <c r="I2" s="3197"/>
      <c r="J2" s="3197"/>
    </row>
    <row r="3" spans="1:11">
      <c r="A3" s="3199" t="s">
        <v>2957</v>
      </c>
      <c r="B3" s="3197"/>
      <c r="C3" s="3197"/>
      <c r="D3" s="3197"/>
      <c r="E3" s="3200"/>
      <c r="F3" s="3197"/>
      <c r="G3" s="3197"/>
      <c r="H3" s="3197"/>
      <c r="I3" s="3197"/>
      <c r="J3" s="3197"/>
    </row>
    <row r="4" spans="1:11">
      <c r="A4" s="1946" t="str">
        <f>PeriodF</f>
        <v>FOR THE TWELVE MONTHS ENDED MARCH 31, 2020</v>
      </c>
      <c r="B4" s="3197"/>
      <c r="C4" s="3197"/>
      <c r="D4" s="3197"/>
      <c r="E4" s="3197"/>
      <c r="F4" s="3197"/>
      <c r="G4" s="3197"/>
      <c r="H4" s="3197"/>
      <c r="I4" s="3197"/>
      <c r="J4" s="3197"/>
    </row>
    <row r="6" spans="1:11">
      <c r="A6" s="3201" t="str">
        <f>DataF</f>
        <v>DATA:  BASE PERIOD  "X" FORECASTED PERIOD</v>
      </c>
      <c r="I6" s="3202" t="s">
        <v>1442</v>
      </c>
    </row>
    <row r="7" spans="1:11">
      <c r="A7" s="3201" t="str">
        <f>LOGO!B15</f>
        <v xml:space="preserve">TYPE OF FILING:  "X" ORIGINAL   UPDATED    REVISED  </v>
      </c>
      <c r="I7" s="3202" t="s">
        <v>564</v>
      </c>
    </row>
    <row r="8" spans="1:11">
      <c r="A8" s="3202" t="s">
        <v>2959</v>
      </c>
      <c r="I8" s="3202" t="s">
        <v>566</v>
      </c>
    </row>
    <row r="9" spans="1:11">
      <c r="I9" s="3198" t="str">
        <f>LOGO!G6</f>
        <v>S. E. LAWLER</v>
      </c>
    </row>
    <row r="10" spans="1:11">
      <c r="A10" s="3203"/>
      <c r="B10" s="3203"/>
      <c r="C10" s="3203"/>
      <c r="D10" s="3203"/>
      <c r="E10" s="3203"/>
      <c r="F10" s="3203"/>
      <c r="G10" s="3203"/>
      <c r="H10" s="3203"/>
      <c r="I10" s="3203"/>
      <c r="J10" s="3203"/>
      <c r="K10" s="3202"/>
    </row>
    <row r="12" spans="1:11">
      <c r="A12" s="3202" t="s">
        <v>1942</v>
      </c>
      <c r="J12" s="3204" t="s">
        <v>2098</v>
      </c>
    </row>
    <row r="13" spans="1:11">
      <c r="A13" s="3203"/>
      <c r="B13" s="3203"/>
      <c r="C13" s="3203"/>
      <c r="D13" s="3203"/>
      <c r="E13" s="3203"/>
      <c r="F13" s="3203"/>
      <c r="G13" s="3203"/>
      <c r="H13" s="3203"/>
      <c r="I13" s="3203"/>
      <c r="J13" s="3203"/>
      <c r="K13" s="3202"/>
    </row>
    <row r="14" spans="1:11">
      <c r="J14" s="3205"/>
    </row>
    <row r="15" spans="1:11">
      <c r="A15" s="1616" t="s">
        <v>3029</v>
      </c>
      <c r="B15" s="1965"/>
      <c r="C15" s="1965"/>
      <c r="D15" s="1965"/>
      <c r="E15" s="1965"/>
      <c r="F15" s="1965"/>
      <c r="G15" s="1965"/>
      <c r="H15" s="1965"/>
      <c r="I15" s="1965"/>
    </row>
    <row r="16" spans="1:11">
      <c r="A16" s="1628" t="s">
        <v>3030</v>
      </c>
      <c r="B16" s="1965"/>
      <c r="C16" s="1965"/>
      <c r="D16" s="1965"/>
      <c r="E16" s="1965"/>
      <c r="F16" s="1965"/>
      <c r="G16" s="1965"/>
      <c r="H16" s="1965"/>
      <c r="I16" s="1965"/>
    </row>
    <row r="17" spans="1:23">
      <c r="A17" s="1628"/>
      <c r="B17" s="1965"/>
      <c r="C17" s="1965"/>
      <c r="D17" s="1965"/>
      <c r="E17" s="1965"/>
      <c r="F17" s="1965"/>
      <c r="G17" s="1965"/>
      <c r="H17" s="1965"/>
      <c r="I17" s="1965"/>
    </row>
    <row r="18" spans="1:23">
      <c r="A18" s="1628"/>
      <c r="B18" s="1965"/>
      <c r="C18" s="1965"/>
      <c r="D18" s="1965"/>
      <c r="E18" s="1965"/>
      <c r="F18" s="1965"/>
      <c r="G18" s="1965"/>
      <c r="H18" s="1965"/>
      <c r="I18" s="1965"/>
    </row>
    <row r="19" spans="1:23">
      <c r="A19" s="1963" t="s">
        <v>2153</v>
      </c>
      <c r="B19" s="1964"/>
      <c r="C19" s="1964"/>
      <c r="D19" s="1964"/>
      <c r="E19" s="1964"/>
      <c r="F19" s="1964"/>
      <c r="G19" s="1964"/>
      <c r="H19" s="2780"/>
      <c r="J19" s="2781">
        <f>T47</f>
        <v>1065488</v>
      </c>
    </row>
    <row r="20" spans="1:23">
      <c r="A20" s="1964"/>
      <c r="B20" s="1964"/>
      <c r="C20" s="1964"/>
      <c r="D20" s="1964"/>
      <c r="E20" s="1964"/>
      <c r="F20" s="1964"/>
      <c r="G20" s="1964"/>
      <c r="H20" s="1964"/>
      <c r="J20" s="2782"/>
    </row>
    <row r="21" spans="1:23">
      <c r="A21" s="1964"/>
      <c r="B21" s="1964"/>
      <c r="C21" s="1964"/>
      <c r="D21" s="1964"/>
      <c r="E21" s="1964"/>
      <c r="F21" s="1964"/>
      <c r="G21" s="1964"/>
      <c r="H21" s="1964"/>
      <c r="J21" s="2783"/>
    </row>
    <row r="22" spans="1:23">
      <c r="A22" s="1963" t="s">
        <v>349</v>
      </c>
      <c r="B22" s="1964"/>
      <c r="C22" s="1964"/>
      <c r="D22" s="1964"/>
      <c r="E22" s="1964"/>
      <c r="F22" s="1964"/>
      <c r="G22" s="1964"/>
      <c r="H22" s="1964"/>
      <c r="J22" s="2784">
        <f>VLOOKUP(C29,ALLOCTABLE,2)/100</f>
        <v>1</v>
      </c>
    </row>
    <row r="23" spans="1:23">
      <c r="A23" s="1964"/>
      <c r="B23" s="1964"/>
      <c r="C23" s="1964"/>
      <c r="D23" s="1964"/>
      <c r="E23" s="1964"/>
      <c r="F23" s="1964"/>
      <c r="G23" s="1964"/>
      <c r="H23" s="1964"/>
      <c r="J23" s="2782"/>
    </row>
    <row r="24" spans="1:23">
      <c r="A24" s="1964"/>
      <c r="B24" s="1964"/>
      <c r="C24" s="1964"/>
      <c r="D24" s="1964"/>
      <c r="E24" s="1964"/>
      <c r="F24" s="1964"/>
      <c r="G24" s="1964"/>
      <c r="H24" s="1964"/>
      <c r="J24" s="2785"/>
    </row>
    <row r="25" spans="1:23" ht="15">
      <c r="A25" s="1963" t="s">
        <v>1934</v>
      </c>
      <c r="B25" s="1964"/>
      <c r="C25" s="1964"/>
      <c r="D25" s="1964"/>
      <c r="E25" s="1964"/>
      <c r="G25" s="1963" t="s">
        <v>352</v>
      </c>
      <c r="H25" s="2780"/>
      <c r="J25" s="2786">
        <f>ROUND(+J19*J22,0)</f>
        <v>1065488</v>
      </c>
    </row>
    <row r="26" spans="1:23">
      <c r="A26" s="1964"/>
      <c r="B26" s="1964"/>
      <c r="C26" s="1964"/>
      <c r="D26" s="1964"/>
      <c r="E26" s="1964"/>
      <c r="F26" s="1964"/>
      <c r="G26" s="1964"/>
      <c r="H26" s="1964"/>
      <c r="I26" s="1964"/>
      <c r="J26" s="3206"/>
    </row>
    <row r="27" spans="1:23">
      <c r="A27" s="1964"/>
      <c r="B27" s="1964"/>
      <c r="C27" s="1964"/>
      <c r="D27" s="1964"/>
      <c r="E27" s="1964"/>
      <c r="F27" s="1964"/>
      <c r="G27" s="1964"/>
      <c r="H27" s="1964"/>
      <c r="I27" s="1964"/>
    </row>
    <row r="28" spans="1:23">
      <c r="A28" s="1964"/>
      <c r="B28" s="1964"/>
      <c r="C28" s="1964"/>
      <c r="D28" s="1964"/>
      <c r="E28" s="1964"/>
      <c r="F28" s="1964"/>
      <c r="G28" s="1964"/>
      <c r="H28" s="1964"/>
      <c r="I28" s="1964"/>
    </row>
    <row r="29" spans="1:23">
      <c r="A29" s="1964" t="s">
        <v>1935</v>
      </c>
      <c r="B29" s="1964"/>
      <c r="C29" s="2788" t="s">
        <v>591</v>
      </c>
      <c r="D29" s="2788"/>
      <c r="E29" s="2788"/>
      <c r="F29" s="1965"/>
      <c r="G29" s="1964"/>
      <c r="H29" s="1964"/>
      <c r="I29" s="1964"/>
    </row>
    <row r="30" spans="1:23">
      <c r="A30" s="3207"/>
      <c r="D30" s="3208"/>
    </row>
    <row r="31" spans="1:23">
      <c r="A31" s="3207"/>
    </row>
    <row r="32" spans="1:23">
      <c r="A32" s="3209"/>
      <c r="L32" s="3202"/>
      <c r="M32" s="3210"/>
      <c r="N32" s="3211" t="str">
        <f>COMPANY</f>
        <v>DUKE ENERGY KENTUCKY, INC.</v>
      </c>
      <c r="O32" s="3212"/>
      <c r="Q32" s="3212"/>
      <c r="R32" s="3212"/>
      <c r="S32" s="3212"/>
      <c r="T32" s="3213" t="s">
        <v>2958</v>
      </c>
      <c r="V32" s="3197"/>
      <c r="W32" s="3197"/>
    </row>
    <row r="33" spans="1:23">
      <c r="A33" s="3209"/>
      <c r="L33" s="3202"/>
      <c r="M33" s="3210"/>
      <c r="N33" s="3211" t="str">
        <f>DEPT</f>
        <v>GAS DEPARTMENT</v>
      </c>
      <c r="O33" s="3212"/>
      <c r="Q33" s="3212"/>
      <c r="R33" s="3212"/>
      <c r="S33" s="3212"/>
      <c r="T33" s="3213" t="s">
        <v>566</v>
      </c>
      <c r="V33" s="3197"/>
      <c r="W33" s="3197"/>
    </row>
    <row r="34" spans="1:23">
      <c r="A34" s="3209"/>
      <c r="L34" s="3202"/>
      <c r="M34" s="3210"/>
      <c r="N34" s="3211" t="str">
        <f>CASE</f>
        <v>CASE NO. 2018-00261</v>
      </c>
      <c r="O34" s="3212"/>
      <c r="Q34" s="3212"/>
      <c r="R34" s="3212"/>
      <c r="S34" s="3212"/>
      <c r="T34" s="3221" t="str">
        <f>_WIT1</f>
        <v>S. E. LAWLER</v>
      </c>
      <c r="V34" s="3197"/>
      <c r="W34" s="3197"/>
    </row>
    <row r="35" spans="1:23">
      <c r="A35" s="3209"/>
      <c r="L35" s="3202"/>
      <c r="M35" s="3210"/>
      <c r="N35" s="3213" t="str">
        <f>A3</f>
        <v>INTEGRITY MANAGEMENT</v>
      </c>
      <c r="O35" s="3212"/>
      <c r="Q35" s="3212"/>
      <c r="R35" s="3212"/>
      <c r="S35" s="3212"/>
      <c r="T35" s="3212"/>
      <c r="U35" s="3212"/>
      <c r="V35" s="3197"/>
      <c r="W35" s="3197"/>
    </row>
    <row r="36" spans="1:23">
      <c r="A36" s="3209"/>
      <c r="L36" s="3202"/>
      <c r="M36" s="3210"/>
      <c r="N36" s="3211"/>
      <c r="O36" s="3212"/>
      <c r="Q36" s="3212"/>
      <c r="R36" s="3212"/>
      <c r="S36" s="3212"/>
      <c r="T36" s="3212"/>
      <c r="U36" s="3212"/>
    </row>
    <row r="37" spans="1:23">
      <c r="A37" s="3209"/>
      <c r="L37" s="3210"/>
      <c r="M37" s="3210"/>
      <c r="N37" s="3212"/>
      <c r="O37" s="3212"/>
      <c r="Q37" s="3212"/>
      <c r="R37" s="3212"/>
      <c r="S37" s="3212"/>
      <c r="T37" s="3214"/>
      <c r="U37" s="3212"/>
    </row>
    <row r="38" spans="1:23">
      <c r="A38" s="3209"/>
      <c r="L38" s="3210"/>
      <c r="M38" s="3210"/>
      <c r="N38" s="3212"/>
      <c r="O38" s="3212"/>
      <c r="Q38" s="3212"/>
      <c r="R38" s="3212"/>
      <c r="S38" s="3212"/>
      <c r="T38" s="3212"/>
      <c r="U38" s="3212"/>
    </row>
    <row r="39" spans="1:23">
      <c r="A39" s="3209"/>
      <c r="L39" s="3204"/>
      <c r="M39" s="3210"/>
      <c r="N39" s="3215" t="s">
        <v>1938</v>
      </c>
      <c r="O39" s="3212"/>
      <c r="Q39" s="3212"/>
      <c r="R39" s="3212"/>
      <c r="S39" s="3212"/>
      <c r="T39" s="3212"/>
      <c r="U39" s="3212"/>
    </row>
    <row r="40" spans="1:23">
      <c r="A40" s="3209"/>
      <c r="L40" s="3216"/>
      <c r="M40" s="3217"/>
      <c r="N40" s="3218" t="s">
        <v>1939</v>
      </c>
      <c r="O40" s="3212"/>
      <c r="P40" s="3272" t="s">
        <v>1987</v>
      </c>
      <c r="Q40" s="3212"/>
      <c r="R40" s="3236" t="s">
        <v>1988</v>
      </c>
      <c r="S40" s="3212"/>
      <c r="T40" s="3218" t="s">
        <v>2125</v>
      </c>
      <c r="U40" s="3212"/>
    </row>
    <row r="41" spans="1:23">
      <c r="A41" s="3209"/>
      <c r="L41" s="3210"/>
      <c r="M41" s="3210"/>
      <c r="N41" s="3215"/>
      <c r="O41" s="3212"/>
      <c r="Q41" s="3212"/>
      <c r="R41" s="3215"/>
      <c r="S41" s="3213"/>
      <c r="T41" s="3215"/>
      <c r="U41" s="3212"/>
    </row>
    <row r="42" spans="1:23">
      <c r="A42" s="3209"/>
      <c r="L42" s="3204"/>
      <c r="M42" s="3210"/>
      <c r="N42" s="3215">
        <v>1</v>
      </c>
      <c r="O42" s="3212"/>
      <c r="P42" s="3205">
        <v>874000</v>
      </c>
      <c r="Q42" s="3212"/>
      <c r="R42" s="3212" t="s">
        <v>2960</v>
      </c>
      <c r="S42" s="3212"/>
      <c r="T42" s="3235">
        <v>15025</v>
      </c>
      <c r="U42" s="3212"/>
    </row>
    <row r="43" spans="1:23">
      <c r="A43" s="3209"/>
      <c r="L43" s="3205"/>
      <c r="M43" s="3210"/>
      <c r="N43" s="3219">
        <v>2</v>
      </c>
      <c r="O43" s="3220"/>
      <c r="P43" s="3205">
        <v>880000</v>
      </c>
      <c r="Q43" s="3220"/>
      <c r="R43" s="3221" t="s">
        <v>2961</v>
      </c>
      <c r="S43" s="3222"/>
      <c r="T43" s="3235">
        <v>530305</v>
      </c>
      <c r="U43" s="3212"/>
    </row>
    <row r="44" spans="1:23">
      <c r="A44" s="3209"/>
      <c r="L44" s="3204"/>
      <c r="M44" s="3210"/>
      <c r="N44" s="3215">
        <v>3</v>
      </c>
      <c r="O44" s="3223"/>
      <c r="P44" s="3205">
        <v>930000</v>
      </c>
      <c r="Q44" s="3223"/>
      <c r="R44" s="3223" t="s">
        <v>2962</v>
      </c>
      <c r="S44" s="3212"/>
      <c r="T44" s="3235">
        <v>25000</v>
      </c>
      <c r="U44" s="3212"/>
    </row>
    <row r="45" spans="1:23">
      <c r="A45" s="3209"/>
      <c r="L45" s="3205"/>
      <c r="M45" s="3210"/>
      <c r="N45" s="3215">
        <v>4</v>
      </c>
      <c r="O45" s="3223"/>
      <c r="P45" s="3205">
        <v>874000</v>
      </c>
      <c r="Q45" s="3223"/>
      <c r="R45" s="3223" t="s">
        <v>2969</v>
      </c>
      <c r="S45" s="3212"/>
      <c r="T45" s="3235">
        <v>354035</v>
      </c>
      <c r="U45" s="3212"/>
    </row>
    <row r="46" spans="1:23">
      <c r="A46" s="3209"/>
      <c r="L46" s="3204"/>
      <c r="M46" s="3210"/>
      <c r="N46" s="3215">
        <v>5</v>
      </c>
      <c r="O46" s="3223"/>
      <c r="P46" s="3466">
        <v>863000</v>
      </c>
      <c r="Q46" s="3223"/>
      <c r="R46" s="3213" t="s">
        <v>3033</v>
      </c>
      <c r="S46" s="3212"/>
      <c r="T46" s="3235">
        <f>48000+93123</f>
        <v>141123</v>
      </c>
      <c r="U46" s="3224"/>
    </row>
    <row r="47" spans="1:23" ht="13.8" thickBot="1">
      <c r="A47" s="3209"/>
      <c r="L47" s="3210"/>
      <c r="M47" s="3210"/>
      <c r="N47" s="3215">
        <v>6</v>
      </c>
      <c r="O47" s="3223"/>
      <c r="P47" s="3205"/>
      <c r="Q47" s="3223"/>
      <c r="R47" s="3223" t="s">
        <v>2964</v>
      </c>
      <c r="S47" s="3212"/>
      <c r="T47" s="3234">
        <f>SUM(T42:T46)</f>
        <v>1065488</v>
      </c>
      <c r="U47" s="3213" t="s">
        <v>2963</v>
      </c>
    </row>
    <row r="48" spans="1:23" ht="13.8" thickTop="1">
      <c r="A48" s="3209"/>
      <c r="L48" s="3210"/>
      <c r="M48" s="3210"/>
      <c r="N48" s="3215"/>
      <c r="O48" s="3223"/>
      <c r="Q48" s="3223"/>
      <c r="R48" s="3223"/>
      <c r="S48" s="3212"/>
      <c r="T48" s="3212"/>
      <c r="U48" s="3212"/>
    </row>
    <row r="49" spans="1:21">
      <c r="A49" s="3209"/>
      <c r="L49" s="3210"/>
      <c r="M49" s="3210"/>
      <c r="N49" s="3215"/>
      <c r="O49" s="3223"/>
      <c r="Q49" s="3223"/>
      <c r="R49" s="3213"/>
      <c r="S49" s="3212"/>
      <c r="T49" s="3226"/>
    </row>
    <row r="50" spans="1:21">
      <c r="A50" s="3209"/>
      <c r="L50" s="3210"/>
      <c r="M50" s="3210"/>
      <c r="N50" s="3215"/>
      <c r="O50" s="3223"/>
      <c r="Q50" s="3223"/>
      <c r="R50" s="3213"/>
      <c r="S50" s="3212"/>
      <c r="T50" s="3226"/>
      <c r="U50" s="3227"/>
    </row>
    <row r="51" spans="1:21">
      <c r="A51" s="3209"/>
      <c r="L51" s="3210"/>
      <c r="M51" s="3210"/>
      <c r="N51" s="3211"/>
      <c r="O51" s="3223"/>
      <c r="Q51" s="3223"/>
      <c r="R51" s="3223"/>
      <c r="S51" s="3212"/>
      <c r="T51" s="3225"/>
      <c r="U51" s="3227"/>
    </row>
    <row r="52" spans="1:21">
      <c r="A52" s="3209"/>
      <c r="L52" s="3210"/>
      <c r="M52" s="3210"/>
      <c r="N52" s="3213"/>
      <c r="O52" s="3212"/>
      <c r="Q52" s="3212"/>
      <c r="R52" s="3212"/>
      <c r="S52" s="3212"/>
      <c r="T52" s="3224"/>
      <c r="U52" s="3212"/>
    </row>
    <row r="53" spans="1:21">
      <c r="A53" s="3209"/>
      <c r="L53" s="3210"/>
      <c r="M53" s="3210"/>
      <c r="N53" s="3212"/>
      <c r="O53" s="3212"/>
      <c r="Q53" s="3212"/>
      <c r="R53" s="3212"/>
      <c r="S53" s="3212"/>
      <c r="T53" s="3212"/>
      <c r="U53" s="3212"/>
    </row>
    <row r="54" spans="1:21">
      <c r="A54" s="3209"/>
      <c r="L54" s="3210"/>
      <c r="M54" s="3210"/>
      <c r="N54" s="3210"/>
      <c r="O54" s="3210"/>
      <c r="Q54" s="3210"/>
      <c r="R54" s="3210"/>
      <c r="S54" s="3210"/>
      <c r="T54" s="3210"/>
      <c r="U54" s="3210"/>
    </row>
    <row r="55" spans="1:21">
      <c r="A55" s="3209"/>
      <c r="L55" s="3210"/>
      <c r="M55" s="3210"/>
      <c r="N55" s="3210"/>
      <c r="O55" s="3210"/>
      <c r="Q55" s="3210"/>
      <c r="R55" s="3210"/>
      <c r="S55" s="3210"/>
      <c r="T55" s="3210"/>
      <c r="U55" s="3210"/>
    </row>
    <row r="56" spans="1:21">
      <c r="A56" s="3209"/>
      <c r="L56" s="3210"/>
      <c r="M56" s="3210"/>
      <c r="N56" s="3210"/>
      <c r="O56" s="3210"/>
      <c r="Q56" s="3210"/>
      <c r="R56" s="3210"/>
      <c r="S56" s="3210"/>
      <c r="T56" s="3210"/>
      <c r="U56" s="3210"/>
    </row>
    <row r="57" spans="1:21">
      <c r="A57" s="3209"/>
      <c r="L57" s="3210"/>
      <c r="M57" s="3210"/>
      <c r="N57" s="3210"/>
      <c r="O57" s="3210"/>
      <c r="Q57" s="3210"/>
      <c r="R57" s="3210"/>
      <c r="S57" s="3210"/>
      <c r="T57" s="3210"/>
      <c r="U57" s="3210"/>
    </row>
    <row r="58" spans="1:21">
      <c r="A58" s="3209"/>
      <c r="L58" s="3210"/>
      <c r="M58" s="3210"/>
      <c r="N58" s="3210"/>
      <c r="O58" s="3210"/>
      <c r="Q58" s="3210"/>
      <c r="R58" s="3210"/>
      <c r="S58" s="3210"/>
      <c r="T58" s="3210"/>
      <c r="U58" s="3210"/>
    </row>
    <row r="59" spans="1:21">
      <c r="A59" s="3209"/>
      <c r="L59" s="3202"/>
      <c r="M59" s="3210"/>
      <c r="N59" s="3210"/>
      <c r="O59" s="3210"/>
      <c r="Q59" s="3210"/>
      <c r="R59" s="3210"/>
      <c r="S59" s="3210"/>
      <c r="T59" s="3202"/>
    </row>
    <row r="60" spans="1:21">
      <c r="A60" s="3209"/>
      <c r="L60" s="3202"/>
      <c r="M60" s="3210"/>
      <c r="N60" s="3210"/>
      <c r="O60" s="3210"/>
      <c r="Q60" s="3210"/>
      <c r="R60" s="3210"/>
      <c r="S60" s="3210"/>
      <c r="T60" s="3210"/>
      <c r="U60" s="3210"/>
    </row>
    <row r="61" spans="1:21">
      <c r="A61" s="3209"/>
      <c r="L61" s="3202"/>
      <c r="M61" s="3210"/>
      <c r="N61" s="3210"/>
      <c r="O61" s="3210"/>
      <c r="Q61" s="3210"/>
      <c r="R61" s="3210"/>
      <c r="S61" s="3210"/>
      <c r="T61" s="3202"/>
      <c r="U61" s="3210"/>
    </row>
    <row r="62" spans="1:21">
      <c r="A62" s="3209"/>
      <c r="L62" s="3202"/>
      <c r="M62" s="3210"/>
      <c r="N62" s="3210"/>
      <c r="O62" s="3210"/>
      <c r="Q62" s="3210"/>
      <c r="R62" s="3210"/>
      <c r="S62" s="3210"/>
      <c r="T62" s="3210"/>
      <c r="U62" s="3210"/>
    </row>
    <row r="63" spans="1:21">
      <c r="A63" s="3209"/>
      <c r="L63" s="3202"/>
      <c r="M63" s="3210"/>
      <c r="N63" s="3210"/>
      <c r="O63" s="3210"/>
      <c r="Q63" s="3210"/>
      <c r="R63" s="3210"/>
      <c r="S63" s="3210"/>
      <c r="T63" s="3210"/>
    </row>
    <row r="64" spans="1:21">
      <c r="A64" s="3209"/>
      <c r="L64" s="3210"/>
      <c r="M64" s="3210"/>
      <c r="N64" s="3210"/>
      <c r="O64" s="3210"/>
      <c r="Q64" s="3210"/>
      <c r="R64" s="3210"/>
      <c r="S64" s="3210"/>
      <c r="T64" s="3210"/>
    </row>
    <row r="65" spans="1:21">
      <c r="A65" s="3209"/>
      <c r="L65" s="3210"/>
      <c r="M65" s="3210"/>
      <c r="N65" s="3210"/>
      <c r="O65" s="3210"/>
      <c r="Q65" s="3210"/>
      <c r="R65" s="3210"/>
      <c r="S65" s="3210"/>
      <c r="T65" s="3210"/>
      <c r="U65" s="3210"/>
    </row>
    <row r="66" spans="1:21">
      <c r="A66" s="3209"/>
      <c r="L66" s="3210"/>
      <c r="M66" s="3210"/>
      <c r="N66" s="3210"/>
      <c r="O66" s="3210"/>
      <c r="Q66" s="3210"/>
      <c r="R66" s="3210"/>
      <c r="S66" s="3210"/>
      <c r="T66" s="3210"/>
      <c r="U66" s="3210"/>
    </row>
    <row r="67" spans="1:21">
      <c r="A67" s="3209"/>
      <c r="L67" s="3204"/>
      <c r="M67" s="3210"/>
      <c r="N67" s="3210"/>
      <c r="O67" s="3210"/>
      <c r="Q67" s="3210"/>
      <c r="R67" s="3210"/>
      <c r="S67" s="3210"/>
      <c r="T67" s="3210"/>
      <c r="U67" s="3204"/>
    </row>
    <row r="68" spans="1:21">
      <c r="A68" s="3209"/>
      <c r="L68" s="3216"/>
      <c r="M68" s="3217"/>
      <c r="N68" s="3228"/>
      <c r="R68" s="3217"/>
      <c r="S68" s="3217"/>
      <c r="T68" s="3217"/>
      <c r="U68" s="3216"/>
    </row>
    <row r="69" spans="1:21">
      <c r="A69" s="3209"/>
      <c r="L69" s="3210"/>
      <c r="M69" s="3210"/>
      <c r="N69" s="3210"/>
      <c r="O69" s="3210"/>
      <c r="Q69" s="3210"/>
      <c r="R69" s="3210"/>
      <c r="S69" s="3210"/>
      <c r="T69" s="3210"/>
      <c r="U69" s="3210"/>
    </row>
    <row r="70" spans="1:21">
      <c r="A70" s="3209"/>
      <c r="L70" s="3202"/>
      <c r="M70" s="3210"/>
      <c r="N70" s="3202"/>
      <c r="O70" s="3210"/>
      <c r="Q70" s="3210"/>
      <c r="R70" s="3210"/>
      <c r="S70" s="3210"/>
      <c r="T70" s="3210"/>
      <c r="U70" s="3229"/>
    </row>
    <row r="71" spans="1:21">
      <c r="A71" s="3209"/>
      <c r="L71" s="3210"/>
      <c r="M71" s="3210"/>
      <c r="N71" s="3210"/>
      <c r="O71" s="3210"/>
      <c r="Q71" s="3210"/>
      <c r="R71" s="3210"/>
      <c r="S71" s="3210"/>
      <c r="T71" s="3210"/>
      <c r="U71" s="3230"/>
    </row>
    <row r="72" spans="1:21">
      <c r="A72" s="3209"/>
      <c r="L72" s="3202"/>
      <c r="M72" s="3210"/>
      <c r="N72" s="3202"/>
      <c r="O72" s="3210"/>
      <c r="Q72" s="3210"/>
      <c r="R72" s="3210"/>
      <c r="S72" s="3210"/>
      <c r="T72" s="3210"/>
      <c r="U72" s="3231"/>
    </row>
    <row r="73" spans="1:21">
      <c r="A73" s="3209"/>
      <c r="L73" s="3210"/>
      <c r="M73" s="3210"/>
      <c r="N73" s="3210"/>
      <c r="O73" s="3210"/>
      <c r="Q73" s="3210"/>
      <c r="R73" s="3210"/>
      <c r="S73" s="3210"/>
      <c r="T73" s="3210"/>
      <c r="U73" s="3232"/>
    </row>
    <row r="74" spans="1:21">
      <c r="A74" s="3209"/>
      <c r="L74" s="3202"/>
      <c r="M74" s="3210"/>
      <c r="N74" s="3202"/>
      <c r="O74" s="3210"/>
      <c r="Q74" s="3210"/>
      <c r="R74" s="3210"/>
      <c r="S74" s="3210"/>
      <c r="T74" s="3210"/>
      <c r="U74" s="3233"/>
    </row>
    <row r="75" spans="1:21">
      <c r="A75" s="3209"/>
    </row>
    <row r="76" spans="1:21">
      <c r="A76" s="3209"/>
    </row>
    <row r="77" spans="1:21">
      <c r="A77" s="3209"/>
    </row>
    <row r="78" spans="1:21">
      <c r="A78" s="3209"/>
    </row>
    <row r="79" spans="1:21">
      <c r="A79" s="3209"/>
    </row>
    <row r="80" spans="1:21">
      <c r="A80" s="3209"/>
    </row>
    <row r="81" spans="1:1">
      <c r="A81" s="3209"/>
    </row>
    <row r="82" spans="1:1">
      <c r="A82" s="3209"/>
    </row>
    <row r="83" spans="1:1">
      <c r="A83" s="3209"/>
    </row>
    <row r="84" spans="1:1">
      <c r="A84" s="3209"/>
    </row>
    <row r="85" spans="1:1">
      <c r="A85" s="3209"/>
    </row>
    <row r="86" spans="1:1">
      <c r="A86" s="3209"/>
    </row>
    <row r="87" spans="1:1">
      <c r="A87" s="3209"/>
    </row>
    <row r="88" spans="1:1">
      <c r="A88" s="3209"/>
    </row>
    <row r="89" spans="1:1">
      <c r="A89" s="3209"/>
    </row>
    <row r="90" spans="1:1">
      <c r="A90" s="3209"/>
    </row>
  </sheetData>
  <phoneticPr fontId="4" type="noConversion"/>
  <pageMargins left="1" right="0.75" top="0.78740157480314998" bottom="0" header="0" footer="0"/>
  <pageSetup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tabColor theme="2" tint="-0.499984740745262"/>
  </sheetPr>
  <dimension ref="A1:T63"/>
  <sheetViews>
    <sheetView zoomScale="80" zoomScaleNormal="80" workbookViewId="0"/>
  </sheetViews>
  <sheetFormatPr defaultRowHeight="13.2"/>
  <cols>
    <col min="1" max="1" width="12.33203125" customWidth="1"/>
    <col min="2" max="2" width="30.5546875" customWidth="1"/>
    <col min="3" max="3" width="8.88671875" customWidth="1"/>
    <col min="4" max="4" width="10" customWidth="1"/>
    <col min="5" max="5" width="27.6640625" customWidth="1"/>
    <col min="6" max="19" width="13.88671875" customWidth="1"/>
  </cols>
  <sheetData>
    <row r="1" spans="1:20">
      <c r="A1" s="576" t="str">
        <f>COMPANY</f>
        <v>DUKE ENERGY KENTUCKY, INC.</v>
      </c>
    </row>
    <row r="2" spans="1:20">
      <c r="A2" s="576" t="str">
        <f>CASE</f>
        <v>CASE NO. 2018-00261</v>
      </c>
    </row>
    <row r="3" spans="1:20">
      <c r="A3" s="578" t="s">
        <v>2487</v>
      </c>
    </row>
    <row r="4" spans="1:20">
      <c r="A4" s="578" t="s">
        <v>1231</v>
      </c>
    </row>
    <row r="5" spans="1:20">
      <c r="A5" s="576"/>
    </row>
    <row r="6" spans="1:20">
      <c r="A6" s="576" t="str">
        <f>Data</f>
        <v>DATA: "X" BASE PERIOD   FORECASTED PERIOD</v>
      </c>
    </row>
    <row r="7" spans="1:20">
      <c r="A7" s="576" t="str">
        <f>Type</f>
        <v xml:space="preserve">TYPE OF FILING:  "X" ORIGINAL   UPDATED    REVISED  </v>
      </c>
    </row>
    <row r="10" spans="1:20" ht="13.8" thickBot="1"/>
    <row r="11" spans="1:20" ht="14.4" thickTop="1" thickBot="1">
      <c r="A11" s="1926" t="s">
        <v>1987</v>
      </c>
      <c r="B11" s="1926" t="s">
        <v>1988</v>
      </c>
      <c r="C11" s="1926" t="s">
        <v>573</v>
      </c>
      <c r="D11" s="1926" t="s">
        <v>2485</v>
      </c>
      <c r="E11" s="1926" t="s">
        <v>2486</v>
      </c>
      <c r="F11" s="1926" t="s">
        <v>2153</v>
      </c>
      <c r="G11" s="1928">
        <f>LOGO!J7</f>
        <v>43585</v>
      </c>
      <c r="H11" s="1928">
        <f>LOGO!J8</f>
        <v>43616</v>
      </c>
      <c r="I11" s="1928">
        <f>LOGO!J9</f>
        <v>43646</v>
      </c>
      <c r="J11" s="1928">
        <f>LOGO!J10</f>
        <v>43677</v>
      </c>
      <c r="K11" s="1928">
        <f>LOGO!J11</f>
        <v>43708</v>
      </c>
      <c r="L11" s="1928">
        <f>LOGO!J12</f>
        <v>43738</v>
      </c>
      <c r="M11" s="1928">
        <f>LOGO!J13</f>
        <v>43769</v>
      </c>
      <c r="N11" s="1928">
        <f>LOGO!J14</f>
        <v>43799</v>
      </c>
      <c r="O11" s="1928">
        <f>LOGO!J15</f>
        <v>43830</v>
      </c>
      <c r="P11" s="1928">
        <f>LOGO!J16</f>
        <v>43861</v>
      </c>
      <c r="Q11" s="1928">
        <f>LOGO!J17</f>
        <v>43890</v>
      </c>
      <c r="R11" s="1928">
        <f>LOGO!J18</f>
        <v>43921</v>
      </c>
      <c r="S11" s="1594"/>
      <c r="T11" s="1594"/>
    </row>
    <row r="12" spans="1:20" ht="13.8" thickTop="1">
      <c r="A12" s="1927">
        <v>480000</v>
      </c>
      <c r="B12" t="s">
        <v>2400</v>
      </c>
      <c r="D12" t="s">
        <v>2467</v>
      </c>
      <c r="E12" t="s">
        <v>2468</v>
      </c>
      <c r="F12" s="1178">
        <f t="shared" ref="F12:F44" si="0">SUM(G12:R12)</f>
        <v>21554001</v>
      </c>
      <c r="G12" s="1593">
        <v>1646826</v>
      </c>
      <c r="H12" s="1593">
        <v>852594</v>
      </c>
      <c r="I12" s="1593">
        <v>518587</v>
      </c>
      <c r="J12" s="1593">
        <v>301960</v>
      </c>
      <c r="K12" s="1593">
        <v>202820</v>
      </c>
      <c r="L12" s="1593">
        <v>211103</v>
      </c>
      <c r="M12" s="1593">
        <v>410041</v>
      </c>
      <c r="N12" s="1593">
        <v>1262287</v>
      </c>
      <c r="O12" s="1593">
        <v>3319001</v>
      </c>
      <c r="P12" s="1593">
        <v>4807904</v>
      </c>
      <c r="Q12" s="1593">
        <v>4581106</v>
      </c>
      <c r="R12" s="1593">
        <v>3439772</v>
      </c>
    </row>
    <row r="13" spans="1:20">
      <c r="A13" s="1927">
        <v>480000</v>
      </c>
      <c r="B13" t="s">
        <v>2400</v>
      </c>
      <c r="D13" t="s">
        <v>2469</v>
      </c>
      <c r="E13" t="s">
        <v>2470</v>
      </c>
      <c r="F13" s="1178">
        <f t="shared" si="0"/>
        <v>17646388</v>
      </c>
      <c r="G13" s="1593">
        <v>1477639</v>
      </c>
      <c r="H13" s="1593">
        <v>1467949</v>
      </c>
      <c r="I13" s="1593">
        <v>1460339</v>
      </c>
      <c r="J13" s="1593">
        <v>1453953</v>
      </c>
      <c r="K13" s="1593">
        <v>1450328</v>
      </c>
      <c r="L13" s="1593">
        <v>1451919</v>
      </c>
      <c r="M13" s="1593">
        <v>1458137</v>
      </c>
      <c r="N13" s="1593">
        <v>1471691</v>
      </c>
      <c r="O13" s="1593">
        <v>1483777</v>
      </c>
      <c r="P13" s="1593">
        <v>1489044</v>
      </c>
      <c r="Q13" s="1593">
        <v>1490614</v>
      </c>
      <c r="R13" s="1593">
        <v>1490998</v>
      </c>
    </row>
    <row r="14" spans="1:20">
      <c r="A14" s="1927">
        <v>480000</v>
      </c>
      <c r="B14" t="s">
        <v>2400</v>
      </c>
      <c r="D14" t="s">
        <v>2471</v>
      </c>
      <c r="E14" t="s">
        <v>2472</v>
      </c>
      <c r="F14" s="1178">
        <f t="shared" si="0"/>
        <v>0</v>
      </c>
      <c r="G14" s="1593">
        <v>0</v>
      </c>
      <c r="H14" s="1593">
        <v>0</v>
      </c>
      <c r="I14" s="1593">
        <v>0</v>
      </c>
      <c r="J14" s="1593">
        <v>0</v>
      </c>
      <c r="K14" s="1593">
        <v>0</v>
      </c>
      <c r="L14" s="1593">
        <v>0</v>
      </c>
      <c r="M14" s="1593">
        <v>0</v>
      </c>
      <c r="N14" s="1593">
        <v>0</v>
      </c>
      <c r="O14" s="1593">
        <v>0</v>
      </c>
      <c r="P14" s="1593">
        <v>0</v>
      </c>
      <c r="Q14" s="1593">
        <v>0</v>
      </c>
      <c r="R14" s="1593">
        <v>0</v>
      </c>
    </row>
    <row r="15" spans="1:20">
      <c r="A15" s="1927">
        <v>480000</v>
      </c>
      <c r="B15" t="s">
        <v>2400</v>
      </c>
      <c r="D15" t="s">
        <v>2473</v>
      </c>
      <c r="E15" t="s">
        <v>2474</v>
      </c>
      <c r="F15" s="1178">
        <f t="shared" si="0"/>
        <v>22913266</v>
      </c>
      <c r="G15" s="1593">
        <v>1171760</v>
      </c>
      <c r="H15" s="1593">
        <v>768538</v>
      </c>
      <c r="I15" s="1593">
        <v>576847</v>
      </c>
      <c r="J15" s="1593">
        <v>466893</v>
      </c>
      <c r="K15" s="1593">
        <v>326766</v>
      </c>
      <c r="L15" s="1593">
        <v>397467</v>
      </c>
      <c r="M15" s="1593">
        <v>754072</v>
      </c>
      <c r="N15" s="1593">
        <v>2027317</v>
      </c>
      <c r="O15" s="1593">
        <v>3813124</v>
      </c>
      <c r="P15" s="1593">
        <v>4953011</v>
      </c>
      <c r="Q15" s="1593">
        <v>4518499</v>
      </c>
      <c r="R15" s="1593">
        <v>3138972</v>
      </c>
    </row>
    <row r="16" spans="1:20">
      <c r="A16" s="1927">
        <v>480000</v>
      </c>
      <c r="B16" t="s">
        <v>2400</v>
      </c>
      <c r="D16" t="s">
        <v>2475</v>
      </c>
      <c r="E16" t="s">
        <v>2476</v>
      </c>
      <c r="F16" s="1178">
        <f t="shared" si="0"/>
        <v>0</v>
      </c>
      <c r="G16" s="1593">
        <v>0</v>
      </c>
      <c r="H16" s="1593">
        <v>0</v>
      </c>
      <c r="I16" s="1593">
        <v>0</v>
      </c>
      <c r="J16" s="1593">
        <v>0</v>
      </c>
      <c r="K16" s="1593">
        <v>0</v>
      </c>
      <c r="L16" s="1593">
        <v>0</v>
      </c>
      <c r="M16" s="1593">
        <v>0</v>
      </c>
      <c r="N16" s="1593">
        <v>0</v>
      </c>
      <c r="O16" s="1593">
        <v>0</v>
      </c>
      <c r="P16" s="1593">
        <v>0</v>
      </c>
      <c r="Q16" s="1593">
        <v>0</v>
      </c>
      <c r="R16" s="1593">
        <v>0</v>
      </c>
    </row>
    <row r="17" spans="1:18">
      <c r="A17" s="1927">
        <v>480990</v>
      </c>
      <c r="B17" t="s">
        <v>2401</v>
      </c>
      <c r="D17" t="s">
        <v>2477</v>
      </c>
      <c r="E17" t="s">
        <v>2478</v>
      </c>
      <c r="F17" s="1178">
        <f t="shared" si="0"/>
        <v>290323</v>
      </c>
      <c r="G17" s="1593">
        <v>-1510009</v>
      </c>
      <c r="H17" s="1593">
        <v>-226167</v>
      </c>
      <c r="I17" s="1593">
        <v>131201</v>
      </c>
      <c r="J17" s="1593">
        <v>615799</v>
      </c>
      <c r="K17" s="1593">
        <v>159399</v>
      </c>
      <c r="L17" s="1593">
        <v>495758</v>
      </c>
      <c r="M17" s="1593">
        <v>774603</v>
      </c>
      <c r="N17" s="1593">
        <v>1445742</v>
      </c>
      <c r="O17" s="1593">
        <v>32238</v>
      </c>
      <c r="P17" s="1593">
        <v>-118934</v>
      </c>
      <c r="Q17" s="1593">
        <v>-415334</v>
      </c>
      <c r="R17" s="1593">
        <v>-1093973</v>
      </c>
    </row>
    <row r="18" spans="1:18">
      <c r="A18" s="1927">
        <v>481000</v>
      </c>
      <c r="B18" t="s">
        <v>2402</v>
      </c>
      <c r="D18" t="s">
        <v>2467</v>
      </c>
      <c r="E18" t="s">
        <v>2468</v>
      </c>
      <c r="F18" s="1178">
        <f t="shared" si="0"/>
        <v>352536</v>
      </c>
      <c r="G18" s="1593">
        <v>33767</v>
      </c>
      <c r="H18" s="1593">
        <v>13120</v>
      </c>
      <c r="I18" s="1593">
        <v>12249</v>
      </c>
      <c r="J18" s="1593">
        <v>4842</v>
      </c>
      <c r="K18" s="1593">
        <v>6810</v>
      </c>
      <c r="L18" s="1593">
        <v>7097</v>
      </c>
      <c r="M18" s="1593">
        <v>7650</v>
      </c>
      <c r="N18" s="1593">
        <v>13855</v>
      </c>
      <c r="O18" s="1593">
        <v>57365</v>
      </c>
      <c r="P18" s="1593">
        <v>84936</v>
      </c>
      <c r="Q18" s="1593">
        <v>65400</v>
      </c>
      <c r="R18" s="1593">
        <v>45445</v>
      </c>
    </row>
    <row r="19" spans="1:18">
      <c r="A19" s="1927">
        <v>481000</v>
      </c>
      <c r="B19" t="s">
        <v>2402</v>
      </c>
      <c r="D19" t="s">
        <v>2469</v>
      </c>
      <c r="E19" t="s">
        <v>2470</v>
      </c>
      <c r="F19" s="1178">
        <f t="shared" si="0"/>
        <v>119383</v>
      </c>
      <c r="G19" s="1593">
        <v>9997</v>
      </c>
      <c r="H19" s="1593">
        <v>9931</v>
      </c>
      <c r="I19" s="1593">
        <v>9880</v>
      </c>
      <c r="J19" s="1593">
        <v>9837</v>
      </c>
      <c r="K19" s="1593">
        <v>9812</v>
      </c>
      <c r="L19" s="1593">
        <v>9823</v>
      </c>
      <c r="M19" s="1593">
        <v>9864</v>
      </c>
      <c r="N19" s="1593">
        <v>9956</v>
      </c>
      <c r="O19" s="1593">
        <v>10038</v>
      </c>
      <c r="P19" s="1593">
        <v>10074</v>
      </c>
      <c r="Q19" s="1593">
        <v>10084</v>
      </c>
      <c r="R19" s="1593">
        <v>10087</v>
      </c>
    </row>
    <row r="20" spans="1:18">
      <c r="A20" s="1927">
        <v>481000</v>
      </c>
      <c r="B20" t="s">
        <v>2402</v>
      </c>
      <c r="D20" t="s">
        <v>2473</v>
      </c>
      <c r="E20" t="s">
        <v>2474</v>
      </c>
      <c r="F20" s="1178">
        <f t="shared" si="0"/>
        <v>683363</v>
      </c>
      <c r="G20" s="1593">
        <v>43550</v>
      </c>
      <c r="H20" s="1593">
        <v>21437</v>
      </c>
      <c r="I20" s="1593">
        <v>24698</v>
      </c>
      <c r="J20" s="1593">
        <v>13571</v>
      </c>
      <c r="K20" s="1593">
        <v>19887</v>
      </c>
      <c r="L20" s="1593">
        <v>24222</v>
      </c>
      <c r="M20" s="1593">
        <v>25501</v>
      </c>
      <c r="N20" s="1593">
        <v>40336</v>
      </c>
      <c r="O20" s="1593">
        <v>119461</v>
      </c>
      <c r="P20" s="1593">
        <v>158604</v>
      </c>
      <c r="Q20" s="1593">
        <v>116925</v>
      </c>
      <c r="R20" s="1593">
        <v>75171</v>
      </c>
    </row>
    <row r="21" spans="1:18">
      <c r="A21" s="1927">
        <v>481000</v>
      </c>
      <c r="B21" t="s">
        <v>2402</v>
      </c>
      <c r="D21" t="s">
        <v>2475</v>
      </c>
      <c r="E21" t="s">
        <v>2476</v>
      </c>
      <c r="F21" s="1178">
        <f t="shared" si="0"/>
        <v>0</v>
      </c>
      <c r="G21" s="1593">
        <v>0</v>
      </c>
      <c r="H21" s="1593">
        <v>0</v>
      </c>
      <c r="I21" s="1593">
        <v>0</v>
      </c>
      <c r="J21" s="1593">
        <v>0</v>
      </c>
      <c r="K21" s="1593">
        <v>0</v>
      </c>
      <c r="L21" s="1593">
        <v>0</v>
      </c>
      <c r="M21" s="1593">
        <v>0</v>
      </c>
      <c r="N21" s="1593">
        <v>0</v>
      </c>
      <c r="O21" s="1593">
        <v>0</v>
      </c>
      <c r="P21" s="1593">
        <v>0</v>
      </c>
      <c r="Q21" s="1593">
        <v>0</v>
      </c>
      <c r="R21" s="1593">
        <v>0</v>
      </c>
    </row>
    <row r="22" spans="1:18">
      <c r="A22" s="1927">
        <v>481090</v>
      </c>
      <c r="B22" t="s">
        <v>2403</v>
      </c>
      <c r="D22" t="s">
        <v>2477</v>
      </c>
      <c r="E22" t="s">
        <v>2478</v>
      </c>
      <c r="F22" s="1178">
        <f t="shared" si="0"/>
        <v>-27452</v>
      </c>
      <c r="G22" s="1593">
        <v>-23297</v>
      </c>
      <c r="H22" s="1593">
        <v>2470</v>
      </c>
      <c r="I22" s="1593">
        <v>3172</v>
      </c>
      <c r="J22" s="1593">
        <v>8250</v>
      </c>
      <c r="K22" s="1593">
        <v>3022</v>
      </c>
      <c r="L22" s="1593">
        <v>6060</v>
      </c>
      <c r="M22" s="1593">
        <v>5311</v>
      </c>
      <c r="N22" s="1593">
        <v>12667</v>
      </c>
      <c r="O22" s="1593">
        <v>-22670</v>
      </c>
      <c r="P22" s="1593">
        <v>-3804</v>
      </c>
      <c r="Q22" s="1593">
        <v>-17465</v>
      </c>
      <c r="R22" s="1593">
        <v>-1168</v>
      </c>
    </row>
    <row r="23" spans="1:18">
      <c r="A23" s="1927">
        <v>481200</v>
      </c>
      <c r="B23" t="s">
        <v>2404</v>
      </c>
      <c r="D23" t="s">
        <v>2467</v>
      </c>
      <c r="E23" t="s">
        <v>2468</v>
      </c>
      <c r="F23" s="1178">
        <f t="shared" si="0"/>
        <v>6583424</v>
      </c>
      <c r="G23" s="1593">
        <v>538587</v>
      </c>
      <c r="H23" s="1593">
        <v>244585</v>
      </c>
      <c r="I23" s="1593">
        <v>234174</v>
      </c>
      <c r="J23" s="1593">
        <v>170591</v>
      </c>
      <c r="K23" s="1593">
        <v>199370</v>
      </c>
      <c r="L23" s="1593">
        <v>139902</v>
      </c>
      <c r="M23" s="1593">
        <v>251356</v>
      </c>
      <c r="N23" s="1593">
        <v>455459</v>
      </c>
      <c r="O23" s="1593">
        <v>970573</v>
      </c>
      <c r="P23" s="1593">
        <v>1333565</v>
      </c>
      <c r="Q23" s="1593">
        <v>1168827</v>
      </c>
      <c r="R23" s="1593">
        <v>876435</v>
      </c>
    </row>
    <row r="24" spans="1:18">
      <c r="A24" s="1927">
        <v>481200</v>
      </c>
      <c r="B24" t="s">
        <v>2404</v>
      </c>
      <c r="D24" t="s">
        <v>2469</v>
      </c>
      <c r="E24" t="s">
        <v>2470</v>
      </c>
      <c r="F24" s="1178">
        <f t="shared" si="0"/>
        <v>3468537</v>
      </c>
      <c r="G24" s="1593">
        <v>296932</v>
      </c>
      <c r="H24" s="1593">
        <v>286056</v>
      </c>
      <c r="I24" s="1593">
        <v>282341</v>
      </c>
      <c r="J24" s="1593">
        <v>278885</v>
      </c>
      <c r="K24" s="1593">
        <v>278190</v>
      </c>
      <c r="L24" s="1593">
        <v>276276</v>
      </c>
      <c r="M24" s="1593">
        <v>279687</v>
      </c>
      <c r="N24" s="1593">
        <v>286786</v>
      </c>
      <c r="O24" s="1593">
        <v>295920</v>
      </c>
      <c r="P24" s="1593">
        <v>303752</v>
      </c>
      <c r="Q24" s="1593">
        <v>301817</v>
      </c>
      <c r="R24" s="1593">
        <v>301895</v>
      </c>
    </row>
    <row r="25" spans="1:18">
      <c r="A25" s="1927">
        <v>481200</v>
      </c>
      <c r="B25" t="s">
        <v>2404</v>
      </c>
      <c r="D25" t="s">
        <v>2471</v>
      </c>
      <c r="E25" t="s">
        <v>2472</v>
      </c>
      <c r="F25" s="1178">
        <f t="shared" si="0"/>
        <v>0</v>
      </c>
      <c r="G25" s="1593">
        <v>0</v>
      </c>
      <c r="H25" s="1593">
        <v>0</v>
      </c>
      <c r="I25" s="1593">
        <v>0</v>
      </c>
      <c r="J25" s="1593">
        <v>0</v>
      </c>
      <c r="K25" s="1593">
        <v>0</v>
      </c>
      <c r="L25" s="1593">
        <v>0</v>
      </c>
      <c r="M25" s="1593">
        <v>0</v>
      </c>
      <c r="N25" s="1593">
        <v>0</v>
      </c>
      <c r="O25" s="1593">
        <v>0</v>
      </c>
      <c r="P25" s="1593">
        <v>0</v>
      </c>
      <c r="Q25" s="1593">
        <v>0</v>
      </c>
      <c r="R25" s="1593">
        <v>0</v>
      </c>
    </row>
    <row r="26" spans="1:18">
      <c r="A26" s="1927">
        <v>481200</v>
      </c>
      <c r="B26" t="s">
        <v>2404</v>
      </c>
      <c r="D26" t="s">
        <v>2473</v>
      </c>
      <c r="E26" t="s">
        <v>2474</v>
      </c>
      <c r="F26" s="1178">
        <f t="shared" si="0"/>
        <v>11404329</v>
      </c>
      <c r="G26" s="1593">
        <v>594075</v>
      </c>
      <c r="H26" s="1593">
        <v>330644</v>
      </c>
      <c r="I26" s="1593">
        <v>398522</v>
      </c>
      <c r="J26" s="1593">
        <v>410313</v>
      </c>
      <c r="K26" s="1593">
        <v>492872</v>
      </c>
      <c r="L26" s="1593">
        <v>404891</v>
      </c>
      <c r="M26" s="1593">
        <v>704539</v>
      </c>
      <c r="N26" s="1593">
        <v>1097034</v>
      </c>
      <c r="O26" s="1593">
        <v>1683420</v>
      </c>
      <c r="P26" s="1593">
        <v>2190923</v>
      </c>
      <c r="Q26" s="1593">
        <v>1838541</v>
      </c>
      <c r="R26" s="1593">
        <v>1258555</v>
      </c>
    </row>
    <row r="27" spans="1:18">
      <c r="A27" s="1927">
        <v>481200</v>
      </c>
      <c r="B27" t="s">
        <v>2404</v>
      </c>
      <c r="D27" t="s">
        <v>2475</v>
      </c>
      <c r="E27" t="s">
        <v>2476</v>
      </c>
      <c r="F27" s="1178">
        <f t="shared" si="0"/>
        <v>0</v>
      </c>
      <c r="G27" s="1593">
        <v>0</v>
      </c>
      <c r="H27" s="1593">
        <v>0</v>
      </c>
      <c r="I27" s="1593">
        <v>0</v>
      </c>
      <c r="J27" s="1593">
        <v>0</v>
      </c>
      <c r="K27" s="1593">
        <v>0</v>
      </c>
      <c r="L27" s="1593">
        <v>0</v>
      </c>
      <c r="M27" s="1593">
        <v>0</v>
      </c>
      <c r="N27" s="1593">
        <v>0</v>
      </c>
      <c r="O27" s="1593">
        <v>0</v>
      </c>
      <c r="P27" s="1593">
        <v>0</v>
      </c>
      <c r="Q27" s="1593">
        <v>0</v>
      </c>
      <c r="R27" s="1593">
        <v>0</v>
      </c>
    </row>
    <row r="28" spans="1:18">
      <c r="A28" s="1927">
        <v>481290</v>
      </c>
      <c r="B28" t="s">
        <v>2405</v>
      </c>
      <c r="D28" t="s">
        <v>2477</v>
      </c>
      <c r="E28" t="s">
        <v>2478</v>
      </c>
      <c r="F28" s="1178">
        <f t="shared" si="0"/>
        <v>75382</v>
      </c>
      <c r="G28" s="1593">
        <v>-553941</v>
      </c>
      <c r="H28" s="1593">
        <v>54499</v>
      </c>
      <c r="I28" s="1593">
        <v>42951</v>
      </c>
      <c r="J28" s="1593">
        <v>318887</v>
      </c>
      <c r="K28" s="1593">
        <v>-26764</v>
      </c>
      <c r="L28" s="1593">
        <v>270992</v>
      </c>
      <c r="M28" s="1593">
        <v>144687</v>
      </c>
      <c r="N28" s="1593">
        <v>550510</v>
      </c>
      <c r="O28" s="1593">
        <v>-28900</v>
      </c>
      <c r="P28" s="1593">
        <v>-301228</v>
      </c>
      <c r="Q28" s="1593">
        <v>-129947</v>
      </c>
      <c r="R28" s="1593">
        <v>-266364</v>
      </c>
    </row>
    <row r="29" spans="1:18">
      <c r="A29" s="1927">
        <v>482000</v>
      </c>
      <c r="B29" t="s">
        <v>2406</v>
      </c>
      <c r="D29" t="s">
        <v>2467</v>
      </c>
      <c r="E29" t="s">
        <v>2468</v>
      </c>
      <c r="F29" s="1178">
        <f t="shared" si="0"/>
        <v>675350</v>
      </c>
      <c r="G29" s="1593">
        <v>59514</v>
      </c>
      <c r="H29" s="1593">
        <v>7746</v>
      </c>
      <c r="I29" s="1593">
        <v>19888</v>
      </c>
      <c r="J29" s="1593">
        <v>8444</v>
      </c>
      <c r="K29" s="1593">
        <v>5627</v>
      </c>
      <c r="L29" s="1593">
        <v>8328</v>
      </c>
      <c r="M29" s="1593">
        <v>20370</v>
      </c>
      <c r="N29" s="1593">
        <v>37296</v>
      </c>
      <c r="O29" s="1593">
        <v>108466</v>
      </c>
      <c r="P29" s="1593">
        <v>155552</v>
      </c>
      <c r="Q29" s="1593">
        <v>147599</v>
      </c>
      <c r="R29" s="1593">
        <v>96520</v>
      </c>
    </row>
    <row r="30" spans="1:18">
      <c r="A30" s="1927">
        <v>482000</v>
      </c>
      <c r="B30" t="s">
        <v>2406</v>
      </c>
      <c r="D30" t="s">
        <v>2469</v>
      </c>
      <c r="E30" t="s">
        <v>2470</v>
      </c>
      <c r="F30" s="1178">
        <f t="shared" si="0"/>
        <v>212952</v>
      </c>
      <c r="G30" s="1593">
        <v>17832</v>
      </c>
      <c r="H30" s="1593">
        <v>17715</v>
      </c>
      <c r="I30" s="1593">
        <v>17623</v>
      </c>
      <c r="J30" s="1593">
        <v>17546</v>
      </c>
      <c r="K30" s="1593">
        <v>17502</v>
      </c>
      <c r="L30" s="1593">
        <v>17521</v>
      </c>
      <c r="M30" s="1593">
        <v>17597</v>
      </c>
      <c r="N30" s="1593">
        <v>17760</v>
      </c>
      <c r="O30" s="1593">
        <v>17906</v>
      </c>
      <c r="P30" s="1593">
        <v>17969</v>
      </c>
      <c r="Q30" s="1593">
        <v>17988</v>
      </c>
      <c r="R30" s="1593">
        <v>17993</v>
      </c>
    </row>
    <row r="31" spans="1:18">
      <c r="A31" s="1927">
        <v>482000</v>
      </c>
      <c r="B31" t="s">
        <v>2406</v>
      </c>
      <c r="D31" t="s">
        <v>2471</v>
      </c>
      <c r="E31" t="s">
        <v>2472</v>
      </c>
      <c r="F31" s="1178">
        <f t="shared" si="0"/>
        <v>0</v>
      </c>
      <c r="G31" s="1593">
        <v>0</v>
      </c>
      <c r="H31" s="1593">
        <v>0</v>
      </c>
      <c r="I31" s="1593">
        <v>0</v>
      </c>
      <c r="J31" s="1593">
        <v>0</v>
      </c>
      <c r="K31" s="1593">
        <v>0</v>
      </c>
      <c r="L31" s="1593">
        <v>0</v>
      </c>
      <c r="M31" s="1593">
        <v>0</v>
      </c>
      <c r="N31" s="1593">
        <v>0</v>
      </c>
      <c r="O31" s="1593">
        <v>0</v>
      </c>
      <c r="P31" s="1593">
        <v>0</v>
      </c>
      <c r="Q31" s="1593">
        <v>0</v>
      </c>
      <c r="R31" s="1593">
        <v>0</v>
      </c>
    </row>
    <row r="32" spans="1:18">
      <c r="A32" s="1927">
        <v>482000</v>
      </c>
      <c r="B32" t="s">
        <v>2406</v>
      </c>
      <c r="D32" t="s">
        <v>2473</v>
      </c>
      <c r="E32" t="s">
        <v>2474</v>
      </c>
      <c r="F32" s="1178">
        <f t="shared" si="0"/>
        <v>1314393</v>
      </c>
      <c r="G32" s="1593">
        <v>76757</v>
      </c>
      <c r="H32" s="1593">
        <v>12656</v>
      </c>
      <c r="I32" s="1593">
        <v>40100</v>
      </c>
      <c r="J32" s="1593">
        <v>23667</v>
      </c>
      <c r="K32" s="1593">
        <v>16433</v>
      </c>
      <c r="L32" s="1593">
        <v>28422</v>
      </c>
      <c r="M32" s="1593">
        <v>67901</v>
      </c>
      <c r="N32" s="1593">
        <v>108574</v>
      </c>
      <c r="O32" s="1593">
        <v>225878</v>
      </c>
      <c r="P32" s="1593">
        <v>290466</v>
      </c>
      <c r="Q32" s="1593">
        <v>263885</v>
      </c>
      <c r="R32" s="1593">
        <v>159654</v>
      </c>
    </row>
    <row r="33" spans="1:18">
      <c r="A33" s="1927">
        <v>482000</v>
      </c>
      <c r="B33" t="s">
        <v>2406</v>
      </c>
      <c r="D33" t="s">
        <v>2475</v>
      </c>
      <c r="E33" t="s">
        <v>2476</v>
      </c>
      <c r="F33" s="1178">
        <f t="shared" si="0"/>
        <v>0</v>
      </c>
      <c r="G33" s="1593">
        <v>0</v>
      </c>
      <c r="H33" s="1593">
        <v>0</v>
      </c>
      <c r="I33" s="1593">
        <v>0</v>
      </c>
      <c r="J33" s="1593">
        <v>0</v>
      </c>
      <c r="K33" s="1593">
        <v>0</v>
      </c>
      <c r="L33" s="1593">
        <v>0</v>
      </c>
      <c r="M33" s="1593">
        <v>0</v>
      </c>
      <c r="N33" s="1593">
        <v>0</v>
      </c>
      <c r="O33" s="1593">
        <v>0</v>
      </c>
      <c r="P33" s="1593">
        <v>0</v>
      </c>
      <c r="Q33" s="1593">
        <v>0</v>
      </c>
      <c r="R33" s="1593">
        <v>0</v>
      </c>
    </row>
    <row r="34" spans="1:18">
      <c r="A34" s="1927">
        <v>482090</v>
      </c>
      <c r="B34" t="s">
        <v>2407</v>
      </c>
      <c r="D34" t="s">
        <v>2477</v>
      </c>
      <c r="E34" t="s">
        <v>2478</v>
      </c>
      <c r="F34" s="1178">
        <f t="shared" si="0"/>
        <v>-9239</v>
      </c>
      <c r="G34" s="1593">
        <v>-131283</v>
      </c>
      <c r="H34" s="1593">
        <v>11578</v>
      </c>
      <c r="I34" s="1593">
        <v>-4044</v>
      </c>
      <c r="J34" s="1593">
        <v>41483</v>
      </c>
      <c r="K34" s="1593">
        <v>16768</v>
      </c>
      <c r="L34" s="1593">
        <v>38454</v>
      </c>
      <c r="M34" s="1593">
        <v>35800</v>
      </c>
      <c r="N34" s="1593">
        <v>89375</v>
      </c>
      <c r="O34" s="1593">
        <v>-67270</v>
      </c>
      <c r="P34" s="1593">
        <v>-2014</v>
      </c>
      <c r="Q34" s="1593">
        <v>-21780</v>
      </c>
      <c r="R34" s="1593">
        <v>-16306</v>
      </c>
    </row>
    <row r="35" spans="1:18">
      <c r="A35" s="1927">
        <v>482200</v>
      </c>
      <c r="B35" t="s">
        <v>2408</v>
      </c>
      <c r="D35" t="s">
        <v>2467</v>
      </c>
      <c r="E35" t="s">
        <v>2468</v>
      </c>
      <c r="F35" s="1178">
        <f t="shared" si="0"/>
        <v>132</v>
      </c>
      <c r="G35" s="1593">
        <v>11</v>
      </c>
      <c r="H35" s="1593">
        <v>11</v>
      </c>
      <c r="I35" s="1593">
        <v>11</v>
      </c>
      <c r="J35" s="1593">
        <v>11</v>
      </c>
      <c r="K35" s="1593">
        <v>11</v>
      </c>
      <c r="L35" s="1593">
        <v>11</v>
      </c>
      <c r="M35" s="1593">
        <v>10</v>
      </c>
      <c r="N35" s="1593">
        <v>11</v>
      </c>
      <c r="O35" s="1593">
        <v>12</v>
      </c>
      <c r="P35" s="1593">
        <v>11</v>
      </c>
      <c r="Q35" s="1593">
        <v>11</v>
      </c>
      <c r="R35" s="1593">
        <v>11</v>
      </c>
    </row>
    <row r="36" spans="1:18">
      <c r="A36" s="1927">
        <v>482200</v>
      </c>
      <c r="B36" t="s">
        <v>2408</v>
      </c>
      <c r="D36" t="s">
        <v>2469</v>
      </c>
      <c r="E36" t="s">
        <v>2470</v>
      </c>
      <c r="F36" s="1178">
        <f t="shared" si="0"/>
        <v>5355</v>
      </c>
      <c r="G36" s="1593">
        <v>447</v>
      </c>
      <c r="H36" s="1593">
        <v>443</v>
      </c>
      <c r="I36" s="1593">
        <v>443</v>
      </c>
      <c r="J36" s="1593">
        <v>439</v>
      </c>
      <c r="K36" s="1593">
        <v>439</v>
      </c>
      <c r="L36" s="1593">
        <v>439</v>
      </c>
      <c r="M36" s="1593">
        <v>443</v>
      </c>
      <c r="N36" s="1593">
        <v>447</v>
      </c>
      <c r="O36" s="1593">
        <v>447</v>
      </c>
      <c r="P36" s="1593">
        <v>456</v>
      </c>
      <c r="Q36" s="1593">
        <v>456</v>
      </c>
      <c r="R36" s="1593">
        <v>456</v>
      </c>
    </row>
    <row r="37" spans="1:18">
      <c r="A37" s="1927">
        <v>482200</v>
      </c>
      <c r="B37" t="s">
        <v>2408</v>
      </c>
      <c r="D37" t="s">
        <v>2473</v>
      </c>
      <c r="E37" t="s">
        <v>2474</v>
      </c>
      <c r="F37" s="1178">
        <f t="shared" si="0"/>
        <v>302</v>
      </c>
      <c r="G37" s="1593">
        <v>14</v>
      </c>
      <c r="H37" s="1593">
        <v>17</v>
      </c>
      <c r="I37" s="1593">
        <v>22</v>
      </c>
      <c r="J37" s="1593">
        <v>31</v>
      </c>
      <c r="K37" s="1593">
        <v>31</v>
      </c>
      <c r="L37" s="1593">
        <v>38</v>
      </c>
      <c r="M37" s="1593">
        <v>35</v>
      </c>
      <c r="N37" s="1593">
        <v>31</v>
      </c>
      <c r="O37" s="1593">
        <v>25</v>
      </c>
      <c r="P37" s="1593">
        <v>21</v>
      </c>
      <c r="Q37" s="1593">
        <v>19</v>
      </c>
      <c r="R37" s="1593">
        <v>18</v>
      </c>
    </row>
    <row r="38" spans="1:18">
      <c r="A38" s="1927">
        <v>482200</v>
      </c>
      <c r="B38" t="s">
        <v>2408</v>
      </c>
      <c r="D38" t="s">
        <v>2475</v>
      </c>
      <c r="E38" t="s">
        <v>2476</v>
      </c>
      <c r="F38" s="1178">
        <f t="shared" si="0"/>
        <v>0</v>
      </c>
      <c r="G38" s="1593">
        <v>0</v>
      </c>
      <c r="H38" s="1593">
        <v>0</v>
      </c>
      <c r="I38" s="1593">
        <v>0</v>
      </c>
      <c r="J38" s="1593">
        <v>0</v>
      </c>
      <c r="K38" s="1593">
        <v>0</v>
      </c>
      <c r="L38" s="1593">
        <v>0</v>
      </c>
      <c r="M38" s="1593">
        <v>0</v>
      </c>
      <c r="N38" s="1593">
        <v>0</v>
      </c>
      <c r="O38" s="1593">
        <v>0</v>
      </c>
      <c r="P38" s="1593">
        <v>0</v>
      </c>
      <c r="Q38" s="1593">
        <v>0</v>
      </c>
      <c r="R38" s="1593">
        <v>0</v>
      </c>
    </row>
    <row r="39" spans="1:18">
      <c r="A39" s="1927">
        <v>484000</v>
      </c>
      <c r="B39" t="s">
        <v>1279</v>
      </c>
      <c r="E39" t="s">
        <v>2466</v>
      </c>
      <c r="F39" s="1178">
        <f t="shared" si="0"/>
        <v>27765</v>
      </c>
      <c r="G39" s="1593">
        <v>1551</v>
      </c>
      <c r="H39" s="1593">
        <v>910</v>
      </c>
      <c r="I39" s="1593">
        <v>542</v>
      </c>
      <c r="J39" s="1593">
        <v>577</v>
      </c>
      <c r="K39" s="1593">
        <v>597</v>
      </c>
      <c r="L39" s="1593">
        <v>704</v>
      </c>
      <c r="M39" s="1593">
        <v>1274</v>
      </c>
      <c r="N39" s="1593">
        <v>2632</v>
      </c>
      <c r="O39" s="1593">
        <v>4073</v>
      </c>
      <c r="P39" s="1593">
        <v>5127</v>
      </c>
      <c r="Q39" s="1593">
        <v>5634</v>
      </c>
      <c r="R39" s="1593">
        <v>4144</v>
      </c>
    </row>
    <row r="40" spans="1:18">
      <c r="A40" s="1927">
        <v>487001</v>
      </c>
      <c r="B40" t="s">
        <v>2409</v>
      </c>
      <c r="E40" t="s">
        <v>2466</v>
      </c>
      <c r="F40" s="1178">
        <f t="shared" si="0"/>
        <v>0</v>
      </c>
      <c r="G40" s="1593">
        <v>0</v>
      </c>
      <c r="H40" s="1593">
        <v>0</v>
      </c>
      <c r="I40" s="1593">
        <v>0</v>
      </c>
      <c r="J40" s="1593">
        <v>0</v>
      </c>
      <c r="K40" s="1593">
        <v>0</v>
      </c>
      <c r="L40" s="1593">
        <v>0</v>
      </c>
      <c r="M40" s="1593">
        <v>0</v>
      </c>
      <c r="N40" s="1593">
        <v>0</v>
      </c>
      <c r="O40" s="1593">
        <v>0</v>
      </c>
      <c r="P40" s="1593">
        <v>0</v>
      </c>
      <c r="Q40" s="1593">
        <v>0</v>
      </c>
      <c r="R40" s="1593">
        <v>0</v>
      </c>
    </row>
    <row r="41" spans="1:18">
      <c r="A41" s="1927">
        <v>488000</v>
      </c>
      <c r="B41" t="s">
        <v>2410</v>
      </c>
      <c r="E41" t="s">
        <v>2466</v>
      </c>
      <c r="F41" s="1178">
        <f t="shared" si="0"/>
        <v>51996</v>
      </c>
      <c r="G41" s="1593">
        <v>4333</v>
      </c>
      <c r="H41" s="1593">
        <v>4333</v>
      </c>
      <c r="I41" s="1593">
        <v>4333</v>
      </c>
      <c r="J41" s="1593">
        <v>4333</v>
      </c>
      <c r="K41" s="1593">
        <v>4333</v>
      </c>
      <c r="L41" s="1593">
        <v>4333</v>
      </c>
      <c r="M41" s="1593">
        <v>4333</v>
      </c>
      <c r="N41" s="1593">
        <v>4333</v>
      </c>
      <c r="O41" s="1593">
        <v>4333</v>
      </c>
      <c r="P41" s="1593">
        <v>4333</v>
      </c>
      <c r="Q41" s="1593">
        <v>4333</v>
      </c>
      <c r="R41" s="1593">
        <v>4333</v>
      </c>
    </row>
    <row r="42" spans="1:18">
      <c r="A42" s="1927">
        <v>488100</v>
      </c>
      <c r="B42" t="s">
        <v>2411</v>
      </c>
      <c r="E42" t="s">
        <v>2466</v>
      </c>
      <c r="F42" s="1178">
        <f t="shared" si="0"/>
        <v>514092</v>
      </c>
      <c r="G42" s="1593">
        <v>42841</v>
      </c>
      <c r="H42" s="1593">
        <v>42841</v>
      </c>
      <c r="I42" s="1593">
        <v>42841</v>
      </c>
      <c r="J42" s="1593">
        <v>42841</v>
      </c>
      <c r="K42" s="1593">
        <v>42841</v>
      </c>
      <c r="L42" s="1593">
        <v>42841</v>
      </c>
      <c r="M42" s="1593">
        <v>42841</v>
      </c>
      <c r="N42" s="1593">
        <v>42841</v>
      </c>
      <c r="O42" s="1593">
        <v>42841</v>
      </c>
      <c r="P42" s="1593">
        <v>42841</v>
      </c>
      <c r="Q42" s="1593">
        <v>42841</v>
      </c>
      <c r="R42" s="1593">
        <v>42841</v>
      </c>
    </row>
    <row r="43" spans="1:18">
      <c r="A43" s="1927">
        <v>489000</v>
      </c>
      <c r="B43" t="s">
        <v>2412</v>
      </c>
      <c r="D43" t="s">
        <v>2467</v>
      </c>
      <c r="E43" t="s">
        <v>2468</v>
      </c>
      <c r="F43" s="1178">
        <f t="shared" si="0"/>
        <v>1404958</v>
      </c>
      <c r="G43" s="1593">
        <v>108193</v>
      </c>
      <c r="H43" s="1593">
        <v>112973</v>
      </c>
      <c r="I43" s="1593">
        <v>109117</v>
      </c>
      <c r="J43" s="1593">
        <v>108417</v>
      </c>
      <c r="K43" s="1593">
        <v>115593</v>
      </c>
      <c r="L43" s="1593">
        <v>110457</v>
      </c>
      <c r="M43" s="1593">
        <v>127247</v>
      </c>
      <c r="N43" s="1593">
        <v>129403</v>
      </c>
      <c r="O43" s="1593">
        <v>115324</v>
      </c>
      <c r="P43" s="1593">
        <v>131227</v>
      </c>
      <c r="Q43" s="1593">
        <v>115964</v>
      </c>
      <c r="R43" s="1593">
        <v>121043</v>
      </c>
    </row>
    <row r="44" spans="1:18">
      <c r="A44" s="1927">
        <v>489000</v>
      </c>
      <c r="B44" t="s">
        <v>2412</v>
      </c>
      <c r="D44" t="s">
        <v>2469</v>
      </c>
      <c r="E44" t="s">
        <v>2470</v>
      </c>
      <c r="F44" s="1178">
        <f t="shared" si="0"/>
        <v>0</v>
      </c>
      <c r="G44" s="1593">
        <v>0</v>
      </c>
      <c r="H44" s="1593">
        <v>0</v>
      </c>
      <c r="I44" s="1593">
        <v>0</v>
      </c>
      <c r="J44" s="1593">
        <v>0</v>
      </c>
      <c r="K44" s="1593">
        <v>0</v>
      </c>
      <c r="L44" s="1593">
        <v>0</v>
      </c>
      <c r="M44" s="1593">
        <v>0</v>
      </c>
      <c r="N44" s="1593">
        <v>0</v>
      </c>
      <c r="O44" s="1593">
        <v>0</v>
      </c>
      <c r="P44" s="1593">
        <v>0</v>
      </c>
      <c r="Q44" s="1593">
        <v>0</v>
      </c>
      <c r="R44" s="1593">
        <v>0</v>
      </c>
    </row>
    <row r="45" spans="1:18">
      <c r="A45" s="1927">
        <v>489010</v>
      </c>
      <c r="B45" t="s">
        <v>2413</v>
      </c>
      <c r="E45" t="s">
        <v>2466</v>
      </c>
      <c r="F45" s="1178">
        <f t="shared" ref="F45:F63" si="1">SUM(G45:R45)</f>
        <v>0</v>
      </c>
      <c r="G45" s="1593">
        <v>0</v>
      </c>
      <c r="H45" s="1593">
        <v>0</v>
      </c>
      <c r="I45" s="1593">
        <v>0</v>
      </c>
      <c r="J45" s="1593">
        <v>0</v>
      </c>
      <c r="K45" s="1593">
        <v>0</v>
      </c>
      <c r="L45" s="1593">
        <v>0</v>
      </c>
      <c r="M45" s="1593">
        <v>0</v>
      </c>
      <c r="N45" s="1593">
        <v>0</v>
      </c>
      <c r="O45" s="1593">
        <v>0</v>
      </c>
      <c r="P45" s="1593">
        <v>0</v>
      </c>
      <c r="Q45" s="1593">
        <v>0</v>
      </c>
      <c r="R45" s="1593">
        <v>0</v>
      </c>
    </row>
    <row r="46" spans="1:18">
      <c r="A46" s="1927">
        <v>489020</v>
      </c>
      <c r="B46" t="s">
        <v>2414</v>
      </c>
      <c r="D46" t="s">
        <v>2479</v>
      </c>
      <c r="E46" t="s">
        <v>2480</v>
      </c>
      <c r="F46" s="1178">
        <f t="shared" si="1"/>
        <v>1186694</v>
      </c>
      <c r="G46" s="1593">
        <v>85544</v>
      </c>
      <c r="H46" s="1593">
        <v>51139</v>
      </c>
      <c r="I46" s="1593">
        <v>52807</v>
      </c>
      <c r="J46" s="1593">
        <v>41286</v>
      </c>
      <c r="K46" s="1593">
        <v>58321</v>
      </c>
      <c r="L46" s="1593">
        <v>39034</v>
      </c>
      <c r="M46" s="1593">
        <v>80336</v>
      </c>
      <c r="N46" s="1593">
        <v>112016</v>
      </c>
      <c r="O46" s="1593">
        <v>160423</v>
      </c>
      <c r="P46" s="1593">
        <v>189075</v>
      </c>
      <c r="Q46" s="1593">
        <v>165718</v>
      </c>
      <c r="R46" s="1593">
        <v>150995</v>
      </c>
    </row>
    <row r="47" spans="1:18">
      <c r="A47" s="1927">
        <v>489020</v>
      </c>
      <c r="B47" t="s">
        <v>2414</v>
      </c>
      <c r="D47" t="s">
        <v>2469</v>
      </c>
      <c r="E47" t="s">
        <v>2470</v>
      </c>
      <c r="F47" s="1178">
        <f t="shared" si="1"/>
        <v>371854</v>
      </c>
      <c r="G47" s="1593">
        <v>31138</v>
      </c>
      <c r="H47" s="1593">
        <v>30933</v>
      </c>
      <c r="I47" s="1593">
        <v>30773</v>
      </c>
      <c r="J47" s="1593">
        <v>30638</v>
      </c>
      <c r="K47" s="1593">
        <v>30562</v>
      </c>
      <c r="L47" s="1593">
        <v>30596</v>
      </c>
      <c r="M47" s="1593">
        <v>30727</v>
      </c>
      <c r="N47" s="1593">
        <v>31012</v>
      </c>
      <c r="O47" s="1593">
        <v>31267</v>
      </c>
      <c r="P47" s="1593">
        <v>31378</v>
      </c>
      <c r="Q47" s="1593">
        <v>31411</v>
      </c>
      <c r="R47" s="1593">
        <v>31419</v>
      </c>
    </row>
    <row r="48" spans="1:18">
      <c r="A48" s="1927">
        <v>489020</v>
      </c>
      <c r="B48" t="s">
        <v>2414</v>
      </c>
      <c r="D48" t="s">
        <v>2473</v>
      </c>
      <c r="E48" t="s">
        <v>2474</v>
      </c>
      <c r="F48" s="1178">
        <f t="shared" si="1"/>
        <v>0</v>
      </c>
      <c r="G48" s="1593">
        <v>0</v>
      </c>
      <c r="H48" s="1593">
        <v>0</v>
      </c>
      <c r="I48" s="1593">
        <v>0</v>
      </c>
      <c r="J48" s="1593">
        <v>0</v>
      </c>
      <c r="K48" s="1593">
        <v>0</v>
      </c>
      <c r="L48" s="1593">
        <v>0</v>
      </c>
      <c r="M48" s="1593">
        <v>0</v>
      </c>
      <c r="N48" s="1593">
        <v>0</v>
      </c>
      <c r="O48" s="1593">
        <v>0</v>
      </c>
      <c r="P48" s="1593">
        <v>0</v>
      </c>
      <c r="Q48" s="1593">
        <v>0</v>
      </c>
      <c r="R48" s="1593">
        <v>0</v>
      </c>
    </row>
    <row r="49" spans="1:18">
      <c r="A49" s="1927">
        <v>489020</v>
      </c>
      <c r="B49" t="s">
        <v>2414</v>
      </c>
      <c r="D49" t="s">
        <v>2475</v>
      </c>
      <c r="E49" t="s">
        <v>2476</v>
      </c>
      <c r="F49" s="1178">
        <f t="shared" si="1"/>
        <v>0</v>
      </c>
      <c r="G49" s="1593">
        <v>0</v>
      </c>
      <c r="H49" s="1593">
        <v>0</v>
      </c>
      <c r="I49" s="1593">
        <v>0</v>
      </c>
      <c r="J49" s="1593">
        <v>0</v>
      </c>
      <c r="K49" s="1593">
        <v>0</v>
      </c>
      <c r="L49" s="1593">
        <v>0</v>
      </c>
      <c r="M49" s="1593">
        <v>0</v>
      </c>
      <c r="N49" s="1593">
        <v>0</v>
      </c>
      <c r="O49" s="1593">
        <v>0</v>
      </c>
      <c r="P49" s="1593">
        <v>0</v>
      </c>
      <c r="Q49" s="1593">
        <v>0</v>
      </c>
      <c r="R49" s="1593">
        <v>0</v>
      </c>
    </row>
    <row r="50" spans="1:18">
      <c r="A50" s="1927">
        <v>489025</v>
      </c>
      <c r="B50" t="s">
        <v>2415</v>
      </c>
      <c r="D50" t="s">
        <v>2477</v>
      </c>
      <c r="E50" t="s">
        <v>2478</v>
      </c>
      <c r="F50" s="1178">
        <f t="shared" si="1"/>
        <v>37583</v>
      </c>
      <c r="G50" s="1593">
        <v>-25936</v>
      </c>
      <c r="H50" s="1593">
        <v>-7343</v>
      </c>
      <c r="I50" s="1593">
        <v>-8105</v>
      </c>
      <c r="J50" s="1593">
        <v>4909</v>
      </c>
      <c r="K50" s="1593">
        <v>-5872</v>
      </c>
      <c r="L50" s="1593">
        <v>8391</v>
      </c>
      <c r="M50" s="1593">
        <v>15108</v>
      </c>
      <c r="N50" s="1593">
        <v>54259</v>
      </c>
      <c r="O50" s="1593">
        <v>28525</v>
      </c>
      <c r="P50" s="1593">
        <v>-8305</v>
      </c>
      <c r="Q50" s="1593">
        <v>-4471</v>
      </c>
      <c r="R50" s="1593">
        <v>-13577</v>
      </c>
    </row>
    <row r="51" spans="1:18">
      <c r="A51" s="1927">
        <v>489030</v>
      </c>
      <c r="B51" t="s">
        <v>2416</v>
      </c>
      <c r="D51" t="s">
        <v>2479</v>
      </c>
      <c r="E51" t="s">
        <v>2480</v>
      </c>
      <c r="F51" s="1178">
        <f t="shared" si="1"/>
        <v>3033058</v>
      </c>
      <c r="G51" s="1593">
        <v>257112</v>
      </c>
      <c r="H51" s="1593">
        <v>210896</v>
      </c>
      <c r="I51" s="1593">
        <v>196904</v>
      </c>
      <c r="J51" s="1593">
        <v>200729</v>
      </c>
      <c r="K51" s="1593">
        <v>186283</v>
      </c>
      <c r="L51" s="1593">
        <v>194146</v>
      </c>
      <c r="M51" s="1593">
        <v>209269</v>
      </c>
      <c r="N51" s="1593">
        <v>222720</v>
      </c>
      <c r="O51" s="1593">
        <v>355904</v>
      </c>
      <c r="P51" s="1593">
        <v>377258</v>
      </c>
      <c r="Q51" s="1593">
        <v>339887</v>
      </c>
      <c r="R51" s="1593">
        <v>281950</v>
      </c>
    </row>
    <row r="52" spans="1:18">
      <c r="A52" s="1927">
        <v>489030</v>
      </c>
      <c r="B52" t="s">
        <v>2416</v>
      </c>
      <c r="D52" t="s">
        <v>2469</v>
      </c>
      <c r="E52" t="s">
        <v>2470</v>
      </c>
      <c r="F52" s="1178">
        <f t="shared" si="1"/>
        <v>205853</v>
      </c>
      <c r="G52" s="1593">
        <v>17237</v>
      </c>
      <c r="H52" s="1593">
        <v>17124</v>
      </c>
      <c r="I52" s="1593">
        <v>17036</v>
      </c>
      <c r="J52" s="1593">
        <v>16961</v>
      </c>
      <c r="K52" s="1593">
        <v>16919</v>
      </c>
      <c r="L52" s="1593">
        <v>16937</v>
      </c>
      <c r="M52" s="1593">
        <v>17009</v>
      </c>
      <c r="N52" s="1593">
        <v>17168</v>
      </c>
      <c r="O52" s="1593">
        <v>17309</v>
      </c>
      <c r="P52" s="1593">
        <v>17371</v>
      </c>
      <c r="Q52" s="1593">
        <v>17389</v>
      </c>
      <c r="R52" s="1593">
        <v>17393</v>
      </c>
    </row>
    <row r="53" spans="1:18">
      <c r="A53" s="1927">
        <v>489030</v>
      </c>
      <c r="B53" t="s">
        <v>2416</v>
      </c>
      <c r="D53" t="s">
        <v>2475</v>
      </c>
      <c r="E53" t="s">
        <v>2476</v>
      </c>
      <c r="F53" s="1178">
        <f t="shared" si="1"/>
        <v>0</v>
      </c>
      <c r="G53" s="1593">
        <v>0</v>
      </c>
      <c r="H53" s="1593">
        <v>0</v>
      </c>
      <c r="I53" s="1593">
        <v>0</v>
      </c>
      <c r="J53" s="1593">
        <v>0</v>
      </c>
      <c r="K53" s="1593">
        <v>0</v>
      </c>
      <c r="L53" s="1593">
        <v>0</v>
      </c>
      <c r="M53" s="1593">
        <v>0</v>
      </c>
      <c r="N53" s="1593">
        <v>0</v>
      </c>
      <c r="O53" s="1593">
        <v>0</v>
      </c>
      <c r="P53" s="1593">
        <v>0</v>
      </c>
      <c r="Q53" s="1593">
        <v>0</v>
      </c>
      <c r="R53" s="1593">
        <v>0</v>
      </c>
    </row>
    <row r="54" spans="1:18">
      <c r="A54" s="1927">
        <v>489035</v>
      </c>
      <c r="B54" t="s">
        <v>2417</v>
      </c>
      <c r="D54" t="s">
        <v>2477</v>
      </c>
      <c r="E54" t="s">
        <v>2478</v>
      </c>
      <c r="F54" s="1178">
        <f t="shared" si="1"/>
        <v>11691</v>
      </c>
      <c r="G54" s="1593">
        <v>-49886</v>
      </c>
      <c r="H54" s="1593">
        <v>-9886</v>
      </c>
      <c r="I54" s="1593">
        <v>-6056</v>
      </c>
      <c r="J54" s="1593">
        <v>-3449</v>
      </c>
      <c r="K54" s="1593">
        <v>12211</v>
      </c>
      <c r="L54" s="1593">
        <v>3203</v>
      </c>
      <c r="M54" s="1593">
        <v>39223</v>
      </c>
      <c r="N54" s="1593">
        <v>74285</v>
      </c>
      <c r="O54" s="1593">
        <v>-16561</v>
      </c>
      <c r="P54" s="1593">
        <v>-974</v>
      </c>
      <c r="Q54" s="1593">
        <v>-30405</v>
      </c>
      <c r="R54" s="1593">
        <v>-14</v>
      </c>
    </row>
    <row r="55" spans="1:18">
      <c r="A55" s="1927">
        <v>489040</v>
      </c>
      <c r="B55" t="s">
        <v>2418</v>
      </c>
      <c r="D55" t="s">
        <v>2479</v>
      </c>
      <c r="E55" t="s">
        <v>2480</v>
      </c>
      <c r="F55" s="1178">
        <f t="shared" si="1"/>
        <v>326113</v>
      </c>
      <c r="G55" s="1593">
        <v>33567</v>
      </c>
      <c r="H55" s="1593">
        <v>1342</v>
      </c>
      <c r="I55" s="1593">
        <v>4746</v>
      </c>
      <c r="J55" s="1593">
        <v>2381</v>
      </c>
      <c r="K55" s="1593">
        <v>2240</v>
      </c>
      <c r="L55" s="1593">
        <v>2878</v>
      </c>
      <c r="M55" s="1593">
        <v>14100</v>
      </c>
      <c r="N55" s="1593">
        <v>31553</v>
      </c>
      <c r="O55" s="1593">
        <v>66451</v>
      </c>
      <c r="P55" s="1593">
        <v>64819</v>
      </c>
      <c r="Q55" s="1593">
        <v>56103</v>
      </c>
      <c r="R55" s="1593">
        <v>45933</v>
      </c>
    </row>
    <row r="56" spans="1:18">
      <c r="A56" s="1927">
        <v>489040</v>
      </c>
      <c r="B56" t="s">
        <v>2418</v>
      </c>
      <c r="D56" t="s">
        <v>2469</v>
      </c>
      <c r="E56" t="s">
        <v>2470</v>
      </c>
      <c r="F56" s="1178">
        <f t="shared" si="1"/>
        <v>59622</v>
      </c>
      <c r="G56" s="1593">
        <v>4993</v>
      </c>
      <c r="H56" s="1593">
        <v>4960</v>
      </c>
      <c r="I56" s="1593">
        <v>4934</v>
      </c>
      <c r="J56" s="1593">
        <v>4912</v>
      </c>
      <c r="K56" s="1593">
        <v>4900</v>
      </c>
      <c r="L56" s="1593">
        <v>4906</v>
      </c>
      <c r="M56" s="1593">
        <v>4927</v>
      </c>
      <c r="N56" s="1593">
        <v>4972</v>
      </c>
      <c r="O56" s="1593">
        <v>5013</v>
      </c>
      <c r="P56" s="1593">
        <v>5031</v>
      </c>
      <c r="Q56" s="1593">
        <v>5036</v>
      </c>
      <c r="R56" s="1593">
        <v>5038</v>
      </c>
    </row>
    <row r="57" spans="1:18">
      <c r="A57" s="1927">
        <v>489040</v>
      </c>
      <c r="B57" t="s">
        <v>2418</v>
      </c>
      <c r="D57" t="s">
        <v>2475</v>
      </c>
      <c r="E57" t="s">
        <v>2476</v>
      </c>
      <c r="F57" s="1178">
        <f t="shared" si="1"/>
        <v>0</v>
      </c>
      <c r="G57" s="1593">
        <v>0</v>
      </c>
      <c r="H57" s="1593">
        <v>0</v>
      </c>
      <c r="I57" s="1593">
        <v>0</v>
      </c>
      <c r="J57" s="1593">
        <v>0</v>
      </c>
      <c r="K57" s="1593">
        <v>0</v>
      </c>
      <c r="L57" s="1593">
        <v>0</v>
      </c>
      <c r="M57" s="1593">
        <v>0</v>
      </c>
      <c r="N57" s="1593">
        <v>0</v>
      </c>
      <c r="O57" s="1593">
        <v>0</v>
      </c>
      <c r="P57" s="1593">
        <v>0</v>
      </c>
      <c r="Q57" s="1593">
        <v>0</v>
      </c>
      <c r="R57" s="1593">
        <v>0</v>
      </c>
    </row>
    <row r="58" spans="1:18">
      <c r="A58" s="1927">
        <v>489045</v>
      </c>
      <c r="B58" t="s">
        <v>2419</v>
      </c>
      <c r="D58" t="s">
        <v>2477</v>
      </c>
      <c r="E58" t="s">
        <v>2478</v>
      </c>
      <c r="F58" s="1178">
        <f t="shared" si="1"/>
        <v>11790</v>
      </c>
      <c r="G58" s="1593">
        <v>-21756</v>
      </c>
      <c r="H58" s="1593">
        <v>-527</v>
      </c>
      <c r="I58" s="1593">
        <v>-1949</v>
      </c>
      <c r="J58" s="1593">
        <v>411</v>
      </c>
      <c r="K58" s="1593">
        <v>1140</v>
      </c>
      <c r="L58" s="1593">
        <v>1083</v>
      </c>
      <c r="M58" s="1593">
        <v>6392</v>
      </c>
      <c r="N58" s="1593">
        <v>25030</v>
      </c>
      <c r="O58" s="1593">
        <v>1778</v>
      </c>
      <c r="P58" s="1593">
        <v>2673</v>
      </c>
      <c r="Q58" s="1593">
        <v>-1872</v>
      </c>
      <c r="R58" s="1593">
        <v>-613</v>
      </c>
    </row>
    <row r="59" spans="1:18">
      <c r="A59" s="1927">
        <v>489200</v>
      </c>
      <c r="B59" t="s">
        <v>2420</v>
      </c>
      <c r="E59" t="s">
        <v>2466</v>
      </c>
      <c r="F59" s="1178">
        <f t="shared" si="1"/>
        <v>0</v>
      </c>
      <c r="G59" s="1593">
        <v>0</v>
      </c>
      <c r="H59" s="1593">
        <v>0</v>
      </c>
      <c r="I59" s="1593">
        <v>0</v>
      </c>
      <c r="J59" s="1593">
        <v>0</v>
      </c>
      <c r="K59" s="1593">
        <v>0</v>
      </c>
      <c r="L59" s="1593">
        <v>0</v>
      </c>
      <c r="M59" s="1593">
        <v>0</v>
      </c>
      <c r="N59" s="1593">
        <v>0</v>
      </c>
      <c r="O59" s="1593">
        <v>0</v>
      </c>
      <c r="P59" s="1593">
        <v>0</v>
      </c>
      <c r="Q59" s="1593">
        <v>0</v>
      </c>
      <c r="R59" s="1593">
        <v>0</v>
      </c>
    </row>
    <row r="60" spans="1:18">
      <c r="A60" s="1927">
        <v>493010</v>
      </c>
      <c r="B60" t="s">
        <v>2671</v>
      </c>
      <c r="E60" t="s">
        <v>2466</v>
      </c>
      <c r="F60" s="1178">
        <f t="shared" si="1"/>
        <v>14496</v>
      </c>
      <c r="G60" s="1593">
        <v>1208</v>
      </c>
      <c r="H60" s="1593">
        <v>1208</v>
      </c>
      <c r="I60" s="1593">
        <v>1208</v>
      </c>
      <c r="J60" s="1593">
        <v>1208</v>
      </c>
      <c r="K60" s="1593">
        <v>1208</v>
      </c>
      <c r="L60" s="1593">
        <v>1208</v>
      </c>
      <c r="M60" s="1593">
        <v>1208</v>
      </c>
      <c r="N60" s="1593">
        <v>1208</v>
      </c>
      <c r="O60" s="1593">
        <v>1208</v>
      </c>
      <c r="P60" s="1593">
        <v>1208</v>
      </c>
      <c r="Q60" s="1593">
        <v>1208</v>
      </c>
      <c r="R60" s="1593">
        <v>1208</v>
      </c>
    </row>
    <row r="61" spans="1:18">
      <c r="A61" s="1927">
        <v>495031</v>
      </c>
      <c r="B61" t="s">
        <v>207</v>
      </c>
      <c r="E61" t="s">
        <v>2466</v>
      </c>
      <c r="F61" s="1178">
        <f t="shared" si="1"/>
        <v>0</v>
      </c>
      <c r="G61" s="1593">
        <v>0</v>
      </c>
      <c r="H61" s="1593">
        <v>0</v>
      </c>
      <c r="I61" s="1593">
        <v>0</v>
      </c>
      <c r="J61" s="1593">
        <v>0</v>
      </c>
      <c r="K61" s="1593">
        <v>0</v>
      </c>
      <c r="L61" s="1593">
        <v>0</v>
      </c>
      <c r="M61" s="1593">
        <v>0</v>
      </c>
      <c r="N61" s="1593">
        <v>0</v>
      </c>
      <c r="O61" s="1593">
        <v>0</v>
      </c>
      <c r="P61" s="1593">
        <v>0</v>
      </c>
      <c r="Q61" s="1593">
        <v>0</v>
      </c>
      <c r="R61" s="1593">
        <v>0</v>
      </c>
    </row>
    <row r="62" spans="1:18">
      <c r="A62" s="1927">
        <v>495031</v>
      </c>
      <c r="B62" t="s">
        <v>207</v>
      </c>
      <c r="D62" t="s">
        <v>2481</v>
      </c>
      <c r="E62" t="s">
        <v>2482</v>
      </c>
      <c r="F62" s="1178">
        <f t="shared" si="1"/>
        <v>0</v>
      </c>
      <c r="G62" s="1593">
        <v>0</v>
      </c>
      <c r="H62" s="1593">
        <v>0</v>
      </c>
      <c r="I62" s="1593">
        <v>0</v>
      </c>
      <c r="J62" s="1593">
        <v>0</v>
      </c>
      <c r="K62" s="1593">
        <v>0</v>
      </c>
      <c r="L62" s="1593">
        <v>0</v>
      </c>
      <c r="M62" s="1593">
        <v>0</v>
      </c>
      <c r="N62" s="1593">
        <v>0</v>
      </c>
      <c r="O62" s="1593">
        <v>0</v>
      </c>
      <c r="P62" s="1593">
        <v>0</v>
      </c>
      <c r="Q62" s="1593">
        <v>0</v>
      </c>
      <c r="R62" s="1593">
        <v>0</v>
      </c>
    </row>
    <row r="63" spans="1:18">
      <c r="A63" s="1927">
        <v>496020</v>
      </c>
      <c r="B63" t="s">
        <v>2483</v>
      </c>
      <c r="E63" t="s">
        <v>2466</v>
      </c>
      <c r="F63" s="1178">
        <f t="shared" si="1"/>
        <v>0</v>
      </c>
      <c r="G63" s="1593">
        <v>0</v>
      </c>
      <c r="H63" s="1593">
        <v>0</v>
      </c>
      <c r="I63" s="1593">
        <v>0</v>
      </c>
      <c r="J63" s="1593">
        <v>0</v>
      </c>
      <c r="K63" s="1593">
        <v>0</v>
      </c>
      <c r="L63" s="1593">
        <v>0</v>
      </c>
      <c r="M63" s="1593">
        <v>0</v>
      </c>
      <c r="N63" s="1593">
        <v>0</v>
      </c>
      <c r="O63" s="1593">
        <v>0</v>
      </c>
      <c r="P63" s="1593">
        <v>0</v>
      </c>
      <c r="Q63" s="1593">
        <v>0</v>
      </c>
      <c r="R63" s="1593">
        <v>0</v>
      </c>
    </row>
  </sheetData>
  <pageMargins left="0.16" right="0.23" top="0.75" bottom="0.75" header="0.3" footer="0.3"/>
  <pageSetup scale="50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tabColor theme="7" tint="0.39997558519241921"/>
    <pageSetUpPr fitToPage="1"/>
  </sheetPr>
  <dimension ref="A1:U63"/>
  <sheetViews>
    <sheetView zoomScale="90" zoomScaleNormal="90" workbookViewId="0"/>
  </sheetViews>
  <sheetFormatPr defaultColWidth="8" defaultRowHeight="13.2"/>
  <cols>
    <col min="1" max="1" width="21.109375" style="1627" customWidth="1"/>
    <col min="2" max="2" width="6.6640625" style="1627" customWidth="1"/>
    <col min="3" max="5" width="12.109375" style="1627" customWidth="1"/>
    <col min="6" max="6" width="15" style="1627" customWidth="1"/>
    <col min="7" max="7" width="11.109375" style="1627" customWidth="1"/>
    <col min="8" max="8" width="11.6640625" style="1627" customWidth="1"/>
    <col min="9" max="9" width="16.33203125" style="1627" customWidth="1"/>
    <col min="10" max="10" width="3.5546875" style="1627" customWidth="1"/>
    <col min="11" max="11" width="2" style="1627" customWidth="1"/>
    <col min="12" max="12" width="7.88671875" style="1627" customWidth="1"/>
    <col min="13" max="13" width="1.88671875" style="1627" customWidth="1"/>
    <col min="14" max="14" width="6.6640625" style="1627" customWidth="1"/>
    <col min="15" max="15" width="2.109375" style="1627" customWidth="1"/>
    <col min="16" max="16" width="29.6640625" style="1627" customWidth="1"/>
    <col min="17" max="17" width="1.88671875" style="1627" customWidth="1"/>
    <col min="18" max="18" width="10.44140625" style="1627" customWidth="1"/>
    <col min="19" max="19" width="15.109375" style="1627" customWidth="1"/>
    <col min="20" max="20" width="11.44140625" style="1627" customWidth="1"/>
    <col min="21" max="21" width="15.6640625" style="1627" customWidth="1"/>
    <col min="22" max="16384" width="8" style="1627"/>
  </cols>
  <sheetData>
    <row r="1" spans="1:9">
      <c r="A1" s="1732" t="str">
        <f>COMPANY</f>
        <v>DUKE ENERGY KENTUCKY, INC.</v>
      </c>
      <c r="B1" s="1734"/>
      <c r="C1" s="1734"/>
      <c r="D1" s="1734"/>
      <c r="E1" s="1734"/>
      <c r="F1" s="1734"/>
      <c r="G1" s="1734"/>
      <c r="H1" s="1734"/>
    </row>
    <row r="2" spans="1:9">
      <c r="A2" s="1732" t="str">
        <f>CASE</f>
        <v>CASE NO. 2018-00261</v>
      </c>
      <c r="B2" s="1734"/>
      <c r="C2" s="1734"/>
      <c r="D2" s="1734"/>
      <c r="E2" s="1734"/>
      <c r="F2" s="1734"/>
      <c r="G2" s="1734"/>
      <c r="H2" s="1734"/>
    </row>
    <row r="3" spans="1:9">
      <c r="A3" s="3497" t="s">
        <v>3000</v>
      </c>
      <c r="B3" s="1734"/>
      <c r="C3" s="1734"/>
      <c r="D3" s="1734"/>
      <c r="E3" s="1734"/>
      <c r="F3" s="1734"/>
      <c r="G3" s="1734"/>
      <c r="H3" s="1734"/>
    </row>
    <row r="4" spans="1:9">
      <c r="A4" s="1732" t="str">
        <f>PeriodF</f>
        <v>FOR THE TWELVE MONTHS ENDED MARCH 31, 2020</v>
      </c>
      <c r="B4" s="1734"/>
      <c r="C4" s="1734"/>
      <c r="D4" s="1734"/>
      <c r="E4" s="1734"/>
      <c r="F4" s="1734"/>
      <c r="G4" s="1734"/>
      <c r="H4" s="1734"/>
    </row>
    <row r="5" spans="1:9">
      <c r="A5" s="1603"/>
      <c r="B5" s="1603"/>
      <c r="C5" s="1603"/>
      <c r="D5" s="1603"/>
      <c r="E5" s="1603"/>
      <c r="F5" s="1603"/>
      <c r="G5" s="1603"/>
      <c r="H5" s="1603"/>
    </row>
    <row r="6" spans="1:9">
      <c r="A6" s="1898" t="str">
        <f>DataF</f>
        <v>DATA:  BASE PERIOD  "X" FORECASTED PERIOD</v>
      </c>
      <c r="B6" s="1603"/>
      <c r="C6" s="1603"/>
      <c r="D6" s="1603"/>
      <c r="E6" s="1603"/>
      <c r="G6" s="1886"/>
      <c r="H6" s="1886" t="s">
        <v>2161</v>
      </c>
    </row>
    <row r="7" spans="1:9">
      <c r="A7" s="1898" t="str">
        <f>LOGO!B15</f>
        <v xml:space="preserve">TYPE OF FILING:  "X" ORIGINAL   UPDATED    REVISED  </v>
      </c>
      <c r="B7" s="1603"/>
      <c r="C7" s="1603"/>
      <c r="D7" s="1603"/>
      <c r="E7" s="1603"/>
      <c r="G7" s="1886"/>
      <c r="H7" s="1886" t="s">
        <v>564</v>
      </c>
    </row>
    <row r="8" spans="1:9">
      <c r="A8" s="1616" t="s">
        <v>655</v>
      </c>
      <c r="B8" s="1603"/>
      <c r="C8" s="1603"/>
      <c r="D8" s="1603"/>
      <c r="E8" s="1603"/>
      <c r="G8" s="1886"/>
      <c r="H8" s="1886" t="s">
        <v>566</v>
      </c>
    </row>
    <row r="9" spans="1:9">
      <c r="A9" s="1603"/>
      <c r="B9" s="1603"/>
      <c r="C9" s="1603"/>
      <c r="D9" s="1603"/>
      <c r="E9" s="1603"/>
      <c r="G9" s="1886"/>
      <c r="H9" s="3501" t="str">
        <f>_WIT1</f>
        <v>S. E. LAWLER</v>
      </c>
    </row>
    <row r="10" spans="1:9">
      <c r="A10" s="1607"/>
      <c r="B10" s="1607"/>
      <c r="C10" s="1607"/>
      <c r="D10" s="1607"/>
      <c r="E10" s="1607"/>
      <c r="F10" s="1607"/>
      <c r="G10" s="1607"/>
      <c r="H10" s="1607"/>
      <c r="I10" s="1628"/>
    </row>
    <row r="11" spans="1:9">
      <c r="A11" s="1945"/>
      <c r="B11" s="1945"/>
      <c r="C11" s="1945"/>
      <c r="D11" s="1945"/>
      <c r="E11" s="1945"/>
      <c r="F11" s="1945"/>
      <c r="G11" s="1945"/>
      <c r="H11" s="1945"/>
      <c r="I11" s="1945"/>
    </row>
    <row r="12" spans="1:9">
      <c r="A12" s="1949" t="s">
        <v>1942</v>
      </c>
      <c r="B12" s="1945"/>
      <c r="C12" s="1945"/>
      <c r="D12" s="1945"/>
      <c r="E12" s="1945"/>
      <c r="F12" s="1945"/>
      <c r="G12" s="1945"/>
      <c r="H12" s="1945"/>
      <c r="I12" s="1951" t="s">
        <v>2098</v>
      </c>
    </row>
    <row r="13" spans="1:9">
      <c r="A13" s="1950"/>
      <c r="B13" s="1950"/>
      <c r="C13" s="1950"/>
      <c r="D13" s="1950"/>
      <c r="E13" s="1950"/>
      <c r="F13" s="1950"/>
      <c r="G13" s="1950"/>
      <c r="H13" s="1950"/>
      <c r="I13" s="1950"/>
    </row>
    <row r="14" spans="1:9">
      <c r="A14" s="1945"/>
      <c r="B14" s="1945"/>
      <c r="C14" s="1945"/>
      <c r="D14" s="1945"/>
      <c r="E14" s="1945"/>
      <c r="F14" s="1945"/>
      <c r="G14" s="1945"/>
      <c r="H14" s="1945"/>
      <c r="I14" s="1952"/>
    </row>
    <row r="15" spans="1:9">
      <c r="A15" s="1628" t="s">
        <v>3009</v>
      </c>
      <c r="B15" s="1945"/>
      <c r="C15" s="1945"/>
      <c r="D15" s="1945"/>
      <c r="E15" s="1945"/>
      <c r="F15" s="1945"/>
      <c r="G15" s="1945"/>
      <c r="H15" s="1945"/>
      <c r="I15" s="1945"/>
    </row>
    <row r="16" spans="1:9">
      <c r="A16" s="1628" t="s">
        <v>3008</v>
      </c>
      <c r="B16" s="1945"/>
      <c r="C16" s="1945"/>
      <c r="D16" s="1945"/>
      <c r="E16" s="1945"/>
      <c r="F16" s="1945"/>
      <c r="G16" s="1945"/>
      <c r="H16" s="1945"/>
      <c r="I16" s="1945"/>
    </row>
    <row r="17" spans="1:9">
      <c r="A17" s="1949"/>
      <c r="B17" s="1945"/>
      <c r="C17" s="1945"/>
      <c r="D17" s="1945"/>
      <c r="E17" s="1945"/>
      <c r="F17" s="1945"/>
      <c r="G17" s="1945"/>
      <c r="H17" s="1945"/>
      <c r="I17" s="1945"/>
    </row>
    <row r="18" spans="1:9">
      <c r="A18" s="1949"/>
      <c r="B18" s="1945"/>
      <c r="C18" s="1945"/>
      <c r="D18" s="1945"/>
      <c r="E18" s="1945"/>
      <c r="F18" s="1945"/>
      <c r="G18" s="1945"/>
      <c r="H18" s="1945"/>
      <c r="I18" s="1945"/>
    </row>
    <row r="19" spans="1:9">
      <c r="A19" s="1945"/>
      <c r="B19" s="1945"/>
      <c r="C19" s="1945"/>
      <c r="D19" s="1945"/>
      <c r="E19" s="1945"/>
      <c r="F19" s="1945"/>
      <c r="G19" s="1945"/>
      <c r="H19" s="1945"/>
      <c r="I19" s="1945"/>
    </row>
    <row r="20" spans="1:9">
      <c r="A20" s="1945" t="s">
        <v>2153</v>
      </c>
      <c r="B20" s="1945"/>
      <c r="C20" s="1945"/>
      <c r="D20" s="1945"/>
      <c r="E20" s="1945"/>
      <c r="F20" s="1945"/>
      <c r="G20" s="1945"/>
      <c r="H20" s="1945"/>
      <c r="I20" s="3498">
        <f>U52</f>
        <v>-34380</v>
      </c>
    </row>
    <row r="21" spans="1:9">
      <c r="A21" s="1949"/>
      <c r="B21" s="1945"/>
      <c r="C21" s="1945"/>
      <c r="D21" s="1945"/>
      <c r="E21" s="1945"/>
      <c r="F21" s="1945"/>
      <c r="G21" s="1945"/>
      <c r="H21" s="1945"/>
      <c r="I21" s="3499"/>
    </row>
    <row r="22" spans="1:9">
      <c r="A22" s="1945"/>
      <c r="B22" s="1945"/>
      <c r="C22" s="1945"/>
      <c r="D22" s="1945"/>
      <c r="E22" s="1945"/>
      <c r="F22" s="1945"/>
      <c r="G22" s="1945"/>
      <c r="H22" s="1945"/>
      <c r="I22" s="1945"/>
    </row>
    <row r="23" spans="1:9">
      <c r="A23" s="1949" t="s">
        <v>349</v>
      </c>
      <c r="B23" s="1945"/>
      <c r="C23" s="1945"/>
      <c r="D23" s="1945"/>
      <c r="E23" s="1945"/>
      <c r="F23" s="1945"/>
      <c r="G23" s="1945"/>
      <c r="H23" s="1945"/>
      <c r="I23" s="3500">
        <f>VLOOKUP(C30,ALLOCTABLE,2)/100</f>
        <v>1</v>
      </c>
    </row>
    <row r="24" spans="1:9">
      <c r="A24" s="1945"/>
      <c r="B24" s="1945"/>
      <c r="C24" s="1945"/>
      <c r="D24" s="1945"/>
      <c r="E24" s="1945"/>
      <c r="F24" s="1945"/>
      <c r="G24" s="1945"/>
      <c r="H24" s="1945"/>
      <c r="I24" s="1959"/>
    </row>
    <row r="25" spans="1:9">
      <c r="A25" s="1945"/>
      <c r="B25" s="1945"/>
      <c r="C25" s="1945"/>
      <c r="D25" s="1945"/>
      <c r="E25" s="1945"/>
      <c r="F25" s="1945"/>
      <c r="G25" s="1945"/>
      <c r="H25" s="1945"/>
      <c r="I25" s="1945"/>
    </row>
    <row r="26" spans="1:9" ht="15">
      <c r="A26" s="1949" t="s">
        <v>1934</v>
      </c>
      <c r="B26" s="1945"/>
      <c r="C26" s="1945"/>
      <c r="E26" s="1949"/>
      <c r="F26" s="1959"/>
      <c r="G26" s="1949" t="s">
        <v>383</v>
      </c>
      <c r="H26" s="1959"/>
      <c r="I26" s="2786">
        <f>ROUND(I20*I23,0)</f>
        <v>-34380</v>
      </c>
    </row>
    <row r="27" spans="1:9">
      <c r="A27" s="1945"/>
      <c r="B27" s="1945"/>
      <c r="C27" s="1945"/>
      <c r="D27" s="1945"/>
      <c r="E27" s="1945"/>
      <c r="F27" s="1945"/>
      <c r="G27" s="1945"/>
      <c r="H27" s="1945"/>
      <c r="I27" s="1959"/>
    </row>
    <row r="28" spans="1:9">
      <c r="A28" s="1945"/>
      <c r="B28" s="1945"/>
      <c r="C28" s="1945"/>
      <c r="D28" s="1945"/>
      <c r="E28" s="1945"/>
      <c r="F28" s="1945"/>
      <c r="G28" s="1945"/>
      <c r="H28" s="1945"/>
      <c r="I28" s="1945"/>
    </row>
    <row r="29" spans="1:9">
      <c r="A29" s="1945"/>
      <c r="B29" s="1945"/>
      <c r="C29" s="1945"/>
      <c r="D29" s="1945"/>
      <c r="E29" s="1945"/>
      <c r="F29" s="1945"/>
      <c r="G29" s="1945"/>
      <c r="H29" s="1945"/>
      <c r="I29" s="1945"/>
    </row>
    <row r="30" spans="1:9">
      <c r="A30" s="1949" t="s">
        <v>1935</v>
      </c>
      <c r="B30" s="1945"/>
      <c r="C30" s="1962" t="s">
        <v>591</v>
      </c>
      <c r="D30" s="1945"/>
      <c r="E30" s="1945"/>
      <c r="F30" s="1945"/>
      <c r="G30" s="1945"/>
      <c r="H30" s="1945"/>
      <c r="I30" s="1945"/>
    </row>
    <row r="40" spans="14:21">
      <c r="N40" s="2792" t="str">
        <f>COMPANY</f>
        <v>DUKE ENERGY KENTUCKY, INC.</v>
      </c>
      <c r="O40" s="2793"/>
      <c r="P40" s="2793"/>
      <c r="Q40" s="2793"/>
      <c r="R40" s="1965"/>
      <c r="S40" s="2793"/>
      <c r="T40" s="2794" t="s">
        <v>3007</v>
      </c>
      <c r="U40" s="1965"/>
    </row>
    <row r="41" spans="14:21">
      <c r="N41" s="2792" t="str">
        <f>DEPT</f>
        <v>GAS DEPARTMENT</v>
      </c>
      <c r="O41" s="2793"/>
      <c r="P41" s="2793"/>
      <c r="Q41" s="2793"/>
      <c r="R41" s="1965"/>
      <c r="S41" s="2793"/>
      <c r="T41" s="2795" t="s">
        <v>566</v>
      </c>
      <c r="U41" s="1965"/>
    </row>
    <row r="42" spans="14:21">
      <c r="N42" s="2792" t="str">
        <f>CASE</f>
        <v>CASE NO. 2018-00261</v>
      </c>
      <c r="O42" s="2793"/>
      <c r="P42" s="2793"/>
      <c r="Q42" s="2793"/>
      <c r="R42" s="1965"/>
      <c r="S42" s="2793"/>
      <c r="T42" s="2795" t="str">
        <f>_WIT1</f>
        <v>S. E. LAWLER</v>
      </c>
      <c r="U42" s="1965"/>
    </row>
    <row r="43" spans="14:21">
      <c r="N43" s="2796" t="str">
        <f>A3</f>
        <v>AMORTIZATION OF ASRP 2018 FIT CHANGE</v>
      </c>
      <c r="O43" s="2793"/>
      <c r="P43" s="2793"/>
      <c r="Q43" s="2793"/>
      <c r="R43" s="2795"/>
      <c r="S43" s="2793"/>
      <c r="T43" s="1965"/>
      <c r="U43" s="1965"/>
    </row>
    <row r="44" spans="14:21">
      <c r="N44" s="2776" t="str">
        <f>PeriodF</f>
        <v>FOR THE TWELVE MONTHS ENDED MARCH 31, 2020</v>
      </c>
      <c r="O44" s="2793"/>
      <c r="P44" s="2793"/>
      <c r="Q44" s="2793"/>
      <c r="R44" s="2793"/>
      <c r="S44" s="2793"/>
      <c r="T44" s="1965"/>
      <c r="U44" s="1965"/>
    </row>
    <row r="45" spans="14:21">
      <c r="N45" s="2793"/>
      <c r="O45" s="2793"/>
      <c r="P45" s="2793"/>
      <c r="Q45" s="2793"/>
      <c r="R45" s="2793"/>
      <c r="S45" s="2793"/>
      <c r="T45" s="2797"/>
      <c r="U45" s="2798"/>
    </row>
    <row r="46" spans="14:21">
      <c r="N46" s="2793"/>
      <c r="O46" s="2793"/>
      <c r="P46" s="2799"/>
      <c r="Q46" s="2799"/>
      <c r="R46" s="2793"/>
      <c r="S46" s="2793"/>
      <c r="T46" s="2797"/>
      <c r="U46" s="2798"/>
    </row>
    <row r="47" spans="14:21">
      <c r="N47" s="2800"/>
      <c r="O47" s="2800"/>
      <c r="P47" s="2801"/>
      <c r="Q47" s="2801"/>
      <c r="R47" s="2800"/>
      <c r="S47" s="2800"/>
      <c r="T47" s="2802"/>
      <c r="U47" s="2798"/>
    </row>
    <row r="48" spans="14:21">
      <c r="N48" s="2805" t="s">
        <v>2654</v>
      </c>
      <c r="O48" s="2805"/>
      <c r="P48" s="2736"/>
      <c r="Q48" s="2806"/>
      <c r="R48" s="2807"/>
      <c r="S48" s="2736"/>
      <c r="T48" s="2738" t="s">
        <v>1606</v>
      </c>
      <c r="U48" s="2738" t="s">
        <v>1897</v>
      </c>
    </row>
    <row r="49" spans="14:21">
      <c r="N49" s="2808" t="s">
        <v>1939</v>
      </c>
      <c r="O49" s="2808"/>
      <c r="P49" s="2808" t="s">
        <v>1988</v>
      </c>
      <c r="Q49" s="2810"/>
      <c r="R49" s="2808"/>
      <c r="S49" s="2808" t="s">
        <v>2655</v>
      </c>
      <c r="T49" s="2808" t="s">
        <v>1989</v>
      </c>
      <c r="U49" s="2811" t="s">
        <v>2656</v>
      </c>
    </row>
    <row r="50" spans="14:21">
      <c r="N50" s="2736"/>
      <c r="O50" s="2736"/>
      <c r="P50" s="2736"/>
      <c r="Q50" s="2806"/>
      <c r="R50" s="2806"/>
      <c r="S50" s="2812" t="s">
        <v>1134</v>
      </c>
      <c r="T50" s="2812"/>
      <c r="U50" s="2812" t="s">
        <v>1134</v>
      </c>
    </row>
    <row r="51" spans="14:21">
      <c r="N51" s="2736"/>
      <c r="O51" s="2736"/>
      <c r="P51" s="2736"/>
      <c r="Q51" s="2736"/>
      <c r="R51" s="2736"/>
      <c r="S51" s="2736"/>
      <c r="T51" s="2736"/>
      <c r="U51" s="2736"/>
    </row>
    <row r="52" spans="14:21">
      <c r="N52" s="2805">
        <v>1</v>
      </c>
      <c r="O52" s="2738"/>
      <c r="P52" s="2813" t="s">
        <v>3006</v>
      </c>
      <c r="Q52" s="2736"/>
      <c r="R52" s="2805"/>
      <c r="S52" s="2814">
        <v>-171902</v>
      </c>
      <c r="T52" s="2815">
        <v>5</v>
      </c>
      <c r="U52" s="2816">
        <f>ROUND(S52/T52,0)</f>
        <v>-34380</v>
      </c>
    </row>
    <row r="53" spans="14:21">
      <c r="N53" s="2817"/>
      <c r="O53" s="2736"/>
      <c r="P53" s="2813"/>
      <c r="Q53" s="2736"/>
      <c r="R53" s="2813"/>
      <c r="S53" s="2816"/>
      <c r="T53" s="2816"/>
      <c r="U53" s="2736"/>
    </row>
    <row r="54" spans="14:21">
      <c r="N54" s="2817"/>
      <c r="O54" s="2736"/>
      <c r="P54" s="2813"/>
      <c r="Q54" s="2736"/>
      <c r="R54" s="2813"/>
      <c r="S54" s="2816"/>
      <c r="T54" s="2816"/>
      <c r="U54" s="2736"/>
    </row>
    <row r="55" spans="14:21">
      <c r="N55" s="2817"/>
      <c r="O55" s="2813"/>
      <c r="P55" s="2813" t="s">
        <v>2657</v>
      </c>
      <c r="Q55" s="2736"/>
      <c r="R55" s="2813"/>
      <c r="S55" s="2736"/>
      <c r="T55" s="2736"/>
      <c r="U55" s="2736"/>
    </row>
    <row r="56" spans="14:21">
      <c r="N56" s="2817"/>
      <c r="O56" s="2736"/>
      <c r="P56" s="2736" t="s">
        <v>3003</v>
      </c>
      <c r="Q56" s="2736"/>
      <c r="R56" s="2813"/>
      <c r="S56" s="2816"/>
      <c r="T56" s="2816"/>
      <c r="U56" s="2736"/>
    </row>
    <row r="57" spans="14:21">
      <c r="N57" s="2817"/>
      <c r="O57" s="2736"/>
      <c r="P57" s="2818"/>
      <c r="Q57" s="2736"/>
      <c r="R57" s="2736"/>
      <c r="S57" s="2819"/>
      <c r="T57" s="2819"/>
      <c r="U57" s="2736"/>
    </row>
    <row r="58" spans="14:21">
      <c r="N58" s="1965"/>
      <c r="O58" s="1965"/>
      <c r="P58" s="1965"/>
      <c r="Q58" s="1965"/>
      <c r="R58" s="1965"/>
      <c r="S58" s="1965"/>
      <c r="T58" s="1965"/>
      <c r="U58" s="1965"/>
    </row>
    <row r="59" spans="14:21">
      <c r="N59" s="1965"/>
      <c r="O59" s="1965"/>
      <c r="P59" s="1965"/>
      <c r="Q59" s="1965"/>
      <c r="R59" s="1965"/>
      <c r="S59" s="1965"/>
      <c r="T59" s="1965"/>
      <c r="U59" s="1965"/>
    </row>
    <row r="60" spans="14:21">
      <c r="N60" s="1965"/>
      <c r="O60" s="1965"/>
      <c r="P60" s="1965"/>
      <c r="Q60" s="1965"/>
      <c r="R60" s="1965"/>
      <c r="S60" s="1965"/>
      <c r="T60" s="1965"/>
      <c r="U60" s="1965"/>
    </row>
    <row r="61" spans="14:21">
      <c r="N61" s="1965"/>
      <c r="O61" s="1965"/>
      <c r="P61" s="1965"/>
      <c r="Q61" s="1965"/>
      <c r="R61" s="1965"/>
      <c r="S61" s="1965"/>
      <c r="T61" s="1965"/>
      <c r="U61" s="1965"/>
    </row>
    <row r="62" spans="14:21">
      <c r="N62" s="1965"/>
      <c r="O62" s="1965"/>
      <c r="P62" s="1965"/>
      <c r="Q62" s="1965"/>
      <c r="R62" s="1965"/>
      <c r="S62" s="1965"/>
      <c r="T62" s="1965"/>
      <c r="U62" s="1965"/>
    </row>
    <row r="63" spans="14:21">
      <c r="N63" s="1965"/>
      <c r="O63" s="1965"/>
      <c r="P63" s="1965"/>
      <c r="Q63" s="1965"/>
      <c r="R63" s="1965"/>
      <c r="S63" s="1965"/>
      <c r="T63" s="1965"/>
      <c r="U63" s="1965"/>
    </row>
  </sheetData>
  <phoneticPr fontId="4" type="noConversion"/>
  <pageMargins left="1" right="0.75" top="1" bottom="1" header="0.5" footer="0.5"/>
  <pageSetup scale="94" orientation="portrait" verticalDpi="300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9">
    <tabColor theme="7" tint="0.39997558519241921"/>
    <pageSetUpPr fitToPage="1"/>
  </sheetPr>
  <dimension ref="A1:BQ585"/>
  <sheetViews>
    <sheetView zoomScale="80" zoomScaleNormal="80" workbookViewId="0"/>
  </sheetViews>
  <sheetFormatPr defaultColWidth="8" defaultRowHeight="15"/>
  <cols>
    <col min="1" max="2" width="16.109375" style="165" customWidth="1"/>
    <col min="3" max="3" width="12.33203125" style="165" customWidth="1"/>
    <col min="4" max="4" width="14.88671875" style="165" customWidth="1"/>
    <col min="5" max="5" width="19.109375" style="165" customWidth="1"/>
    <col min="6" max="6" width="6.6640625" style="165" customWidth="1"/>
    <col min="7" max="7" width="4.44140625" style="165" customWidth="1"/>
    <col min="8" max="8" width="8" style="165" customWidth="1"/>
    <col min="9" max="9" width="17.44140625" style="165" customWidth="1"/>
    <col min="10" max="10" width="17.6640625" style="165" customWidth="1"/>
    <col min="11" max="11" width="5.33203125" style="165" customWidth="1"/>
    <col min="12" max="12" width="8" style="165" customWidth="1"/>
    <col min="13" max="13" width="1.5546875" style="165" customWidth="1"/>
    <col min="14" max="14" width="31.6640625" style="165" customWidth="1"/>
    <col min="15" max="15" width="12.33203125" style="165" customWidth="1"/>
    <col min="16" max="16" width="45.33203125" style="165" customWidth="1"/>
    <col min="17" max="17" width="2.6640625" style="165" customWidth="1"/>
    <col min="18" max="18" width="18.33203125" style="165" customWidth="1"/>
    <col min="19" max="19" width="2.88671875" style="165" customWidth="1"/>
    <col min="20" max="20" width="17.88671875" style="165" customWidth="1"/>
    <col min="21" max="21" width="5.6640625" style="165" customWidth="1"/>
    <col min="22" max="22" width="8" style="165" customWidth="1"/>
    <col min="23" max="23" width="14.5546875" style="165" customWidth="1"/>
    <col min="24" max="16384" width="8" style="165"/>
  </cols>
  <sheetData>
    <row r="1" spans="1:10">
      <c r="A1" s="163" t="str">
        <f>LOGO!B5</f>
        <v>DUKE ENERGY KENTUCKY, INC.</v>
      </c>
      <c r="B1" s="164"/>
      <c r="C1" s="164"/>
      <c r="D1" s="164"/>
      <c r="E1" s="164"/>
      <c r="F1" s="164"/>
      <c r="G1" s="164"/>
      <c r="H1" s="164"/>
      <c r="I1" s="164"/>
      <c r="J1" s="164"/>
    </row>
    <row r="2" spans="1:10">
      <c r="A2" s="163" t="str">
        <f>LOGO!B6</f>
        <v>CASE NO. 2018-00261</v>
      </c>
      <c r="B2" s="164"/>
      <c r="C2" s="164"/>
      <c r="D2" s="164"/>
      <c r="E2" s="164"/>
      <c r="F2" s="164"/>
      <c r="G2" s="164"/>
      <c r="H2" s="164"/>
      <c r="I2" s="164"/>
      <c r="J2" s="164"/>
    </row>
    <row r="3" spans="1:10">
      <c r="A3" s="163" t="s">
        <v>780</v>
      </c>
      <c r="B3" s="164"/>
      <c r="C3" s="164"/>
      <c r="D3" s="164"/>
      <c r="E3" s="164"/>
      <c r="F3" s="164"/>
      <c r="G3" s="164"/>
      <c r="H3" s="164"/>
      <c r="I3" s="164"/>
      <c r="J3" s="164"/>
    </row>
    <row r="4" spans="1:10">
      <c r="A4" s="163" t="str">
        <f>PeriodF</f>
        <v>FOR THE TWELVE MONTHS ENDED MARCH 31, 2020</v>
      </c>
      <c r="B4" s="164"/>
      <c r="C4" s="164"/>
      <c r="D4" s="164"/>
      <c r="E4" s="164"/>
      <c r="F4" s="164"/>
      <c r="G4" s="164"/>
      <c r="H4" s="164"/>
      <c r="I4" s="164"/>
      <c r="J4" s="164"/>
    </row>
    <row r="6" spans="1:10">
      <c r="A6" s="166" t="str">
        <f>DataF</f>
        <v>DATA:  BASE PERIOD  "X" FORECASTED PERIOD</v>
      </c>
      <c r="I6" s="167" t="s">
        <v>782</v>
      </c>
    </row>
    <row r="7" spans="1:10">
      <c r="A7" s="166" t="str">
        <f>LOGO!B15</f>
        <v xml:space="preserve">TYPE OF FILING:  "X" ORIGINAL   UPDATED    REVISED  </v>
      </c>
      <c r="I7" s="167" t="s">
        <v>489</v>
      </c>
    </row>
    <row r="8" spans="1:10">
      <c r="A8" s="168" t="s">
        <v>781</v>
      </c>
      <c r="I8" s="167" t="s">
        <v>1571</v>
      </c>
    </row>
    <row r="9" spans="1:10">
      <c r="I9" s="168" t="str">
        <f>"          "&amp;_WIT1</f>
        <v xml:space="preserve">          S. E. LAWLER</v>
      </c>
    </row>
    <row r="10" spans="1:10">
      <c r="A10" s="169"/>
      <c r="B10" s="169"/>
      <c r="C10" s="169"/>
      <c r="D10" s="169"/>
      <c r="E10" s="169"/>
      <c r="F10" s="169"/>
      <c r="G10" s="169"/>
      <c r="H10" s="169"/>
      <c r="I10" s="169"/>
      <c r="J10" s="169"/>
    </row>
    <row r="12" spans="1:10">
      <c r="A12" s="168" t="s">
        <v>1942</v>
      </c>
      <c r="J12" s="170" t="s">
        <v>2098</v>
      </c>
    </row>
    <row r="13" spans="1:10">
      <c r="A13" s="169"/>
      <c r="B13" s="169"/>
      <c r="C13" s="169"/>
      <c r="D13" s="169"/>
      <c r="E13" s="169"/>
      <c r="F13" s="169"/>
      <c r="G13" s="169"/>
      <c r="H13" s="169"/>
      <c r="I13" s="169"/>
      <c r="J13" s="169"/>
    </row>
    <row r="15" spans="1:10">
      <c r="A15" s="66" t="s">
        <v>783</v>
      </c>
    </row>
    <row r="16" spans="1:10">
      <c r="A16" s="66" t="s">
        <v>819</v>
      </c>
    </row>
    <row r="17" spans="1:10">
      <c r="A17" s="66"/>
    </row>
    <row r="18" spans="1:10">
      <c r="A18" s="66"/>
    </row>
    <row r="19" spans="1:10">
      <c r="A19" s="168"/>
      <c r="G19" s="168"/>
      <c r="J19" s="173"/>
    </row>
    <row r="20" spans="1:10">
      <c r="A20" s="3133" t="s">
        <v>1275</v>
      </c>
      <c r="G20" s="168"/>
      <c r="J20" s="172">
        <f>T112</f>
        <v>-19734</v>
      </c>
    </row>
    <row r="21" spans="1:10">
      <c r="A21" s="168" t="s">
        <v>1276</v>
      </c>
      <c r="G21" s="168"/>
      <c r="J21" s="171">
        <f>T113</f>
        <v>-20595</v>
      </c>
    </row>
    <row r="22" spans="1:10">
      <c r="A22" s="168" t="s">
        <v>1278</v>
      </c>
      <c r="G22" s="168"/>
      <c r="J22" s="171">
        <f>T114</f>
        <v>-6339</v>
      </c>
    </row>
    <row r="23" spans="1:10">
      <c r="A23" s="168" t="s">
        <v>215</v>
      </c>
      <c r="G23" s="168"/>
      <c r="J23" s="173">
        <f>T115</f>
        <v>-322075</v>
      </c>
    </row>
    <row r="24" spans="1:10">
      <c r="A24" s="168" t="s">
        <v>836</v>
      </c>
      <c r="G24" s="168" t="s">
        <v>347</v>
      </c>
      <c r="J24" s="172">
        <f>SUM(J20:J23)</f>
        <v>-368743</v>
      </c>
    </row>
    <row r="25" spans="1:10">
      <c r="J25" s="171"/>
    </row>
    <row r="26" spans="1:10">
      <c r="A26" s="168" t="s">
        <v>349</v>
      </c>
      <c r="J26" s="733">
        <f>VLOOKUP(C31,ALLOCTABLE,2)/100</f>
        <v>1</v>
      </c>
    </row>
    <row r="28" spans="1:10" ht="16.8">
      <c r="A28" s="168" t="s">
        <v>1934</v>
      </c>
      <c r="J28" s="175">
        <f>ROUND(+J24*J26,0)</f>
        <v>-368743</v>
      </c>
    </row>
    <row r="29" spans="1:10">
      <c r="J29" s="176"/>
    </row>
    <row r="31" spans="1:10">
      <c r="A31" s="168" t="s">
        <v>1935</v>
      </c>
      <c r="C31" s="177" t="s">
        <v>591</v>
      </c>
    </row>
    <row r="32" spans="1:10">
      <c r="A32" s="168"/>
    </row>
    <row r="33" spans="10:30">
      <c r="J33" s="178"/>
    </row>
    <row r="34" spans="10:30">
      <c r="J34" s="179"/>
    </row>
    <row r="35" spans="10:30">
      <c r="J35" s="180"/>
    </row>
    <row r="37" spans="10:30">
      <c r="L37" s="181" t="str">
        <f>COMPANY</f>
        <v>DUKE ENERGY KENTUCKY, INC.</v>
      </c>
      <c r="M37" s="182"/>
      <c r="N37" s="182"/>
      <c r="O37" s="182"/>
      <c r="P37" s="182"/>
      <c r="Q37" s="182"/>
      <c r="R37" s="181" t="s">
        <v>835</v>
      </c>
      <c r="S37" s="182"/>
    </row>
    <row r="38" spans="10:30">
      <c r="L38" s="181" t="str">
        <f>DEPT</f>
        <v>GAS DEPARTMENT</v>
      </c>
      <c r="M38" s="182"/>
      <c r="N38" s="182"/>
      <c r="O38" s="182"/>
      <c r="P38" s="182"/>
      <c r="Q38" s="182"/>
      <c r="R38" s="181" t="s">
        <v>1937</v>
      </c>
      <c r="S38" s="182"/>
    </row>
    <row r="39" spans="10:30">
      <c r="L39" s="181" t="str">
        <f>CASE</f>
        <v>CASE NO. 2018-00261</v>
      </c>
      <c r="M39" s="182"/>
      <c r="N39" s="182"/>
      <c r="O39" s="182"/>
      <c r="P39" s="182"/>
      <c r="Q39" s="182"/>
      <c r="R39" s="182" t="str">
        <f>_WIT1</f>
        <v>S. E. LAWLER</v>
      </c>
      <c r="S39" s="182"/>
    </row>
    <row r="40" spans="10:30">
      <c r="L40" s="181" t="str">
        <f>A3</f>
        <v>ELIMINATE MISCELLANEOUS EXPENSES</v>
      </c>
      <c r="M40" s="182"/>
      <c r="N40" s="182"/>
      <c r="O40" s="182"/>
      <c r="P40" s="182"/>
      <c r="Q40" s="182"/>
      <c r="R40" s="183"/>
      <c r="S40" s="182"/>
    </row>
    <row r="41" spans="10:30">
      <c r="L41" s="181"/>
      <c r="M41" s="182"/>
      <c r="N41" s="182"/>
      <c r="O41" s="182"/>
      <c r="P41" s="182"/>
      <c r="Q41" s="182"/>
      <c r="R41" s="182"/>
      <c r="S41" s="182"/>
    </row>
    <row r="44" spans="10:30">
      <c r="L44" s="184" t="s">
        <v>1938</v>
      </c>
      <c r="M44" s="184"/>
      <c r="N44" s="1222" t="s">
        <v>2794</v>
      </c>
      <c r="O44" s="184"/>
      <c r="P44" s="184"/>
      <c r="Q44" s="184"/>
      <c r="R44" s="1222" t="s">
        <v>1232</v>
      </c>
      <c r="S44" s="184"/>
      <c r="T44" s="184"/>
      <c r="U44" s="184"/>
      <c r="V44" s="184"/>
      <c r="W44" s="184"/>
      <c r="X44" s="184"/>
    </row>
    <row r="45" spans="10:30">
      <c r="L45" s="185" t="s">
        <v>1939</v>
      </c>
      <c r="M45" s="185"/>
      <c r="N45" s="3079" t="s">
        <v>2795</v>
      </c>
      <c r="O45" s="727" t="s">
        <v>1987</v>
      </c>
      <c r="P45" s="728" t="s">
        <v>1988</v>
      </c>
      <c r="Q45" s="185"/>
      <c r="R45" s="185" t="s">
        <v>1989</v>
      </c>
      <c r="S45" s="185"/>
      <c r="T45" s="185" t="s">
        <v>1940</v>
      </c>
      <c r="U45" s="185"/>
      <c r="V45" s="185"/>
      <c r="W45" s="185"/>
      <c r="X45" s="185"/>
      <c r="Y45" s="186"/>
      <c r="Z45" s="186"/>
      <c r="AA45" s="186"/>
      <c r="AB45" s="186"/>
      <c r="AC45" s="186"/>
      <c r="AD45" s="186"/>
    </row>
    <row r="46" spans="10:30">
      <c r="L46" s="185"/>
      <c r="M46" s="185"/>
      <c r="N46" s="726"/>
      <c r="O46" s="727"/>
      <c r="P46" s="728"/>
      <c r="Q46" s="185"/>
      <c r="R46" s="185"/>
      <c r="S46" s="185"/>
      <c r="T46" s="185"/>
      <c r="U46" s="185"/>
      <c r="V46" s="185"/>
      <c r="W46" s="185"/>
      <c r="X46" s="185"/>
      <c r="Y46" s="186"/>
      <c r="Z46" s="186"/>
      <c r="AA46" s="186"/>
      <c r="AB46" s="186"/>
      <c r="AC46" s="186"/>
      <c r="AD46" s="186"/>
    </row>
    <row r="47" spans="10:30">
      <c r="L47" s="184">
        <v>1</v>
      </c>
      <c r="N47" s="598" t="s">
        <v>2899</v>
      </c>
      <c r="O47" s="729" t="s">
        <v>2900</v>
      </c>
      <c r="P47" s="730" t="s">
        <v>2380</v>
      </c>
      <c r="R47" s="3078">
        <f>2703+14</f>
        <v>2717</v>
      </c>
      <c r="T47" s="178">
        <f t="shared" ref="T47:T78" si="0">-R47</f>
        <v>-2717</v>
      </c>
      <c r="U47" s="178"/>
      <c r="V47" s="1493" t="s">
        <v>396</v>
      </c>
      <c r="W47" s="178"/>
    </row>
    <row r="48" spans="10:30">
      <c r="L48" s="184">
        <v>2</v>
      </c>
      <c r="N48" s="598" t="s">
        <v>2899</v>
      </c>
      <c r="O48" s="729" t="s">
        <v>2352</v>
      </c>
      <c r="P48" s="730" t="s">
        <v>2071</v>
      </c>
      <c r="R48" s="3135">
        <v>3924</v>
      </c>
      <c r="S48" s="3136"/>
      <c r="T48" s="3136">
        <f t="shared" si="0"/>
        <v>-3924</v>
      </c>
      <c r="U48" s="178"/>
      <c r="V48" s="1493" t="s">
        <v>393</v>
      </c>
      <c r="W48" s="178"/>
    </row>
    <row r="49" spans="12:23">
      <c r="L49" s="184">
        <v>3</v>
      </c>
      <c r="N49" s="598" t="s">
        <v>2899</v>
      </c>
      <c r="O49" s="729" t="s">
        <v>2353</v>
      </c>
      <c r="P49" s="730" t="s">
        <v>2072</v>
      </c>
      <c r="R49" s="3135">
        <v>256</v>
      </c>
      <c r="S49" s="3136"/>
      <c r="T49" s="3136">
        <f t="shared" si="0"/>
        <v>-256</v>
      </c>
      <c r="U49" s="178"/>
      <c r="V49" s="1493" t="s">
        <v>393</v>
      </c>
      <c r="W49" s="178"/>
    </row>
    <row r="50" spans="12:23">
      <c r="L50" s="184">
        <v>4</v>
      </c>
      <c r="N50" s="598" t="s">
        <v>2899</v>
      </c>
      <c r="O50" s="729" t="s">
        <v>2354</v>
      </c>
      <c r="P50" s="730" t="s">
        <v>2073</v>
      </c>
      <c r="R50" s="3135">
        <v>333</v>
      </c>
      <c r="S50" s="3136"/>
      <c r="T50" s="3136">
        <f t="shared" si="0"/>
        <v>-333</v>
      </c>
      <c r="U50" s="178"/>
      <c r="V50" s="1493" t="s">
        <v>393</v>
      </c>
      <c r="W50" s="178"/>
    </row>
    <row r="51" spans="12:23">
      <c r="L51" s="184">
        <v>5</v>
      </c>
      <c r="N51" s="598" t="s">
        <v>2899</v>
      </c>
      <c r="O51" s="729" t="s">
        <v>2355</v>
      </c>
      <c r="P51" s="730" t="s">
        <v>2074</v>
      </c>
      <c r="R51" s="3135">
        <v>298</v>
      </c>
      <c r="S51" s="3136"/>
      <c r="T51" s="3136">
        <f t="shared" si="0"/>
        <v>-298</v>
      </c>
      <c r="U51" s="178"/>
      <c r="V51" s="1493" t="s">
        <v>393</v>
      </c>
      <c r="W51" s="178"/>
    </row>
    <row r="52" spans="12:23">
      <c r="L52" s="184">
        <v>6</v>
      </c>
      <c r="N52" s="598" t="s">
        <v>2899</v>
      </c>
      <c r="O52" s="729" t="s">
        <v>2356</v>
      </c>
      <c r="P52" s="730" t="s">
        <v>208</v>
      </c>
      <c r="R52" s="3135">
        <v>2128</v>
      </c>
      <c r="S52" s="3136"/>
      <c r="T52" s="3136">
        <f t="shared" si="0"/>
        <v>-2128</v>
      </c>
      <c r="U52" s="178"/>
      <c r="V52" s="1493" t="s">
        <v>393</v>
      </c>
      <c r="W52" s="178"/>
    </row>
    <row r="53" spans="12:23">
      <c r="L53" s="184">
        <v>7</v>
      </c>
      <c r="N53" s="598" t="s">
        <v>2899</v>
      </c>
      <c r="O53" s="729" t="s">
        <v>2357</v>
      </c>
      <c r="P53" s="730" t="s">
        <v>2079</v>
      </c>
      <c r="R53" s="3139">
        <v>1570</v>
      </c>
      <c r="S53" s="3136"/>
      <c r="T53" s="3136">
        <f t="shared" si="0"/>
        <v>-1570</v>
      </c>
      <c r="U53" s="178"/>
      <c r="V53" s="1493" t="s">
        <v>393</v>
      </c>
      <c r="W53" s="178"/>
    </row>
    <row r="54" spans="12:23">
      <c r="L54" s="184">
        <v>8</v>
      </c>
      <c r="N54" s="598" t="s">
        <v>2899</v>
      </c>
      <c r="O54" s="729" t="s">
        <v>2901</v>
      </c>
      <c r="P54" s="730" t="s">
        <v>2395</v>
      </c>
      <c r="R54" s="3139">
        <f>36059+97</f>
        <v>36156</v>
      </c>
      <c r="S54" s="3136"/>
      <c r="T54" s="3136">
        <f t="shared" si="0"/>
        <v>-36156</v>
      </c>
      <c r="U54" s="178"/>
      <c r="V54" s="1493" t="s">
        <v>393</v>
      </c>
      <c r="W54" s="178"/>
    </row>
    <row r="55" spans="12:23">
      <c r="L55" s="184">
        <v>9</v>
      </c>
      <c r="N55" s="598" t="s">
        <v>2902</v>
      </c>
      <c r="O55" s="729" t="s">
        <v>2903</v>
      </c>
      <c r="P55" s="730" t="s">
        <v>2064</v>
      </c>
      <c r="R55" s="3139">
        <v>19615</v>
      </c>
      <c r="S55" s="3136"/>
      <c r="T55" s="3136">
        <f t="shared" si="0"/>
        <v>-19615</v>
      </c>
      <c r="U55" s="178"/>
      <c r="V55" s="1493" t="s">
        <v>2422</v>
      </c>
      <c r="W55" s="178"/>
    </row>
    <row r="56" spans="12:23">
      <c r="L56" s="184">
        <v>10</v>
      </c>
      <c r="N56" s="598" t="s">
        <v>2902</v>
      </c>
      <c r="O56" s="729" t="s">
        <v>2904</v>
      </c>
      <c r="P56" s="730" t="s">
        <v>2065</v>
      </c>
      <c r="R56" s="3139">
        <v>44</v>
      </c>
      <c r="S56" s="3136"/>
      <c r="T56" s="3136">
        <f t="shared" si="0"/>
        <v>-44</v>
      </c>
      <c r="U56" s="178"/>
      <c r="V56" s="1493" t="s">
        <v>2422</v>
      </c>
      <c r="W56" s="178"/>
    </row>
    <row r="57" spans="12:23">
      <c r="L57" s="184">
        <v>11</v>
      </c>
      <c r="N57" s="598" t="s">
        <v>2902</v>
      </c>
      <c r="O57" s="729" t="s">
        <v>2905</v>
      </c>
      <c r="P57" s="730" t="s">
        <v>2066</v>
      </c>
      <c r="R57" s="3139">
        <v>42</v>
      </c>
      <c r="S57" s="3136"/>
      <c r="T57" s="3136">
        <f t="shared" si="0"/>
        <v>-42</v>
      </c>
      <c r="U57" s="178"/>
      <c r="V57" s="1493" t="s">
        <v>2422</v>
      </c>
      <c r="W57" s="178"/>
    </row>
    <row r="58" spans="12:23">
      <c r="L58" s="184">
        <v>12</v>
      </c>
      <c r="N58" s="598" t="s">
        <v>2902</v>
      </c>
      <c r="O58" s="729" t="s">
        <v>2906</v>
      </c>
      <c r="P58" s="730" t="s">
        <v>2067</v>
      </c>
      <c r="R58" s="3139">
        <v>33</v>
      </c>
      <c r="S58" s="3136"/>
      <c r="T58" s="3136">
        <f t="shared" si="0"/>
        <v>-33</v>
      </c>
      <c r="U58" s="178"/>
      <c r="V58" s="1493" t="s">
        <v>2422</v>
      </c>
      <c r="W58" s="178"/>
    </row>
    <row r="59" spans="12:23">
      <c r="L59" s="184">
        <v>13</v>
      </c>
      <c r="N59" s="598" t="s">
        <v>2902</v>
      </c>
      <c r="O59" s="729" t="s">
        <v>2357</v>
      </c>
      <c r="P59" s="730" t="s">
        <v>2079</v>
      </c>
      <c r="R59" s="3139">
        <v>4026</v>
      </c>
      <c r="S59" s="3136"/>
      <c r="T59" s="3136">
        <f t="shared" si="0"/>
        <v>-4026</v>
      </c>
      <c r="U59" s="178"/>
      <c r="V59" s="1493" t="s">
        <v>393</v>
      </c>
      <c r="W59" s="178"/>
    </row>
    <row r="60" spans="12:23">
      <c r="L60" s="184">
        <v>14</v>
      </c>
      <c r="N60" s="598" t="s">
        <v>2907</v>
      </c>
      <c r="O60" s="729" t="s">
        <v>2352</v>
      </c>
      <c r="P60" s="730" t="s">
        <v>2071</v>
      </c>
      <c r="R60" s="3139">
        <v>6350</v>
      </c>
      <c r="S60" s="3136"/>
      <c r="T60" s="3136">
        <f t="shared" si="0"/>
        <v>-6350</v>
      </c>
      <c r="U60" s="178"/>
      <c r="V60" s="1493" t="s">
        <v>393</v>
      </c>
      <c r="W60" s="178"/>
    </row>
    <row r="61" spans="12:23">
      <c r="L61" s="184">
        <v>15</v>
      </c>
      <c r="N61" s="598" t="s">
        <v>2907</v>
      </c>
      <c r="O61" s="729" t="s">
        <v>2353</v>
      </c>
      <c r="P61" s="730" t="s">
        <v>2072</v>
      </c>
      <c r="R61" s="3139">
        <v>228</v>
      </c>
      <c r="S61" s="3136"/>
      <c r="T61" s="3136">
        <f t="shared" si="0"/>
        <v>-228</v>
      </c>
      <c r="U61" s="178"/>
      <c r="V61" s="1493" t="s">
        <v>393</v>
      </c>
      <c r="W61" s="178"/>
    </row>
    <row r="62" spans="12:23">
      <c r="L62" s="184">
        <v>16</v>
      </c>
      <c r="N62" s="598" t="s">
        <v>2907</v>
      </c>
      <c r="O62" s="729" t="s">
        <v>2354</v>
      </c>
      <c r="P62" s="730" t="s">
        <v>2073</v>
      </c>
      <c r="R62" s="3139">
        <v>3736</v>
      </c>
      <c r="S62" s="3136"/>
      <c r="T62" s="3136">
        <f t="shared" si="0"/>
        <v>-3736</v>
      </c>
      <c r="U62" s="178"/>
      <c r="V62" s="1493" t="s">
        <v>393</v>
      </c>
      <c r="W62" s="178"/>
    </row>
    <row r="63" spans="12:23">
      <c r="L63" s="184">
        <v>17</v>
      </c>
      <c r="N63" s="598" t="s">
        <v>2907</v>
      </c>
      <c r="O63" s="729" t="s">
        <v>2356</v>
      </c>
      <c r="P63" s="730" t="s">
        <v>208</v>
      </c>
      <c r="R63" s="3139">
        <v>175</v>
      </c>
      <c r="S63" s="3136"/>
      <c r="T63" s="3136">
        <f t="shared" si="0"/>
        <v>-175</v>
      </c>
      <c r="U63" s="178"/>
      <c r="V63" s="1493" t="s">
        <v>393</v>
      </c>
      <c r="W63" s="178"/>
    </row>
    <row r="64" spans="12:23">
      <c r="L64" s="184">
        <v>18</v>
      </c>
      <c r="N64" s="598" t="s">
        <v>2907</v>
      </c>
      <c r="O64" s="729" t="s">
        <v>2357</v>
      </c>
      <c r="P64" s="730" t="s">
        <v>2079</v>
      </c>
      <c r="R64" s="3139">
        <v>1337</v>
      </c>
      <c r="S64" s="3136"/>
      <c r="T64" s="3136">
        <f t="shared" si="0"/>
        <v>-1337</v>
      </c>
      <c r="U64" s="178"/>
      <c r="V64" s="1493" t="s">
        <v>393</v>
      </c>
      <c r="W64" s="178"/>
    </row>
    <row r="65" spans="12:23">
      <c r="L65" s="184">
        <v>19</v>
      </c>
      <c r="N65" s="598" t="s">
        <v>2907</v>
      </c>
      <c r="O65" s="729" t="s">
        <v>2901</v>
      </c>
      <c r="P65" s="730" t="s">
        <v>2395</v>
      </c>
      <c r="R65" s="3139">
        <v>188</v>
      </c>
      <c r="S65" s="3136"/>
      <c r="T65" s="3136">
        <f t="shared" si="0"/>
        <v>-188</v>
      </c>
      <c r="U65" s="178"/>
      <c r="V65" s="1493" t="s">
        <v>393</v>
      </c>
      <c r="W65" s="178"/>
    </row>
    <row r="66" spans="12:23">
      <c r="L66" s="184">
        <v>20</v>
      </c>
      <c r="N66" s="598" t="s">
        <v>2908</v>
      </c>
      <c r="O66" s="729" t="s">
        <v>2900</v>
      </c>
      <c r="P66" s="730" t="s">
        <v>2380</v>
      </c>
      <c r="R66" s="3139">
        <v>1941</v>
      </c>
      <c r="S66" s="3136"/>
      <c r="T66" s="3136">
        <f t="shared" si="0"/>
        <v>-1941</v>
      </c>
      <c r="U66" s="178"/>
      <c r="V66" s="1493" t="s">
        <v>396</v>
      </c>
      <c r="W66" s="178"/>
    </row>
    <row r="67" spans="12:23">
      <c r="L67" s="184">
        <v>21</v>
      </c>
      <c r="N67" s="598" t="s">
        <v>2908</v>
      </c>
      <c r="O67" s="729" t="s">
        <v>2352</v>
      </c>
      <c r="P67" s="730" t="s">
        <v>2071</v>
      </c>
      <c r="R67" s="3139">
        <v>1630</v>
      </c>
      <c r="S67" s="3136"/>
      <c r="T67" s="3136">
        <f t="shared" si="0"/>
        <v>-1630</v>
      </c>
      <c r="U67" s="178"/>
      <c r="V67" s="1493" t="s">
        <v>393</v>
      </c>
      <c r="W67" s="178"/>
    </row>
    <row r="68" spans="12:23">
      <c r="L68" s="184">
        <v>22</v>
      </c>
      <c r="N68" s="598" t="s">
        <v>2908</v>
      </c>
      <c r="O68" s="729" t="s">
        <v>2353</v>
      </c>
      <c r="P68" s="730" t="s">
        <v>2072</v>
      </c>
      <c r="R68" s="3139">
        <v>240</v>
      </c>
      <c r="S68" s="3136"/>
      <c r="T68" s="3136">
        <f t="shared" si="0"/>
        <v>-240</v>
      </c>
      <c r="U68" s="178"/>
      <c r="V68" s="1493" t="s">
        <v>393</v>
      </c>
      <c r="W68" s="178"/>
    </row>
    <row r="69" spans="12:23">
      <c r="L69" s="184">
        <v>23</v>
      </c>
      <c r="N69" s="598" t="s">
        <v>2908</v>
      </c>
      <c r="O69" s="729" t="s">
        <v>2357</v>
      </c>
      <c r="P69" s="730" t="s">
        <v>2079</v>
      </c>
      <c r="R69" s="3139">
        <v>1128</v>
      </c>
      <c r="S69" s="3136"/>
      <c r="T69" s="3136">
        <f t="shared" si="0"/>
        <v>-1128</v>
      </c>
      <c r="U69" s="178"/>
      <c r="V69" s="1493" t="s">
        <v>393</v>
      </c>
      <c r="W69" s="178"/>
    </row>
    <row r="70" spans="12:23">
      <c r="L70" s="184">
        <v>24</v>
      </c>
      <c r="N70" s="598" t="s">
        <v>2908</v>
      </c>
      <c r="O70" s="729" t="s">
        <v>2901</v>
      </c>
      <c r="P70" s="730" t="s">
        <v>2395</v>
      </c>
      <c r="R70" s="3139">
        <v>1576</v>
      </c>
      <c r="S70" s="3136"/>
      <c r="T70" s="3136">
        <f t="shared" si="0"/>
        <v>-1576</v>
      </c>
      <c r="U70" s="178"/>
      <c r="V70" s="1493" t="s">
        <v>393</v>
      </c>
      <c r="W70" s="178"/>
    </row>
    <row r="71" spans="12:23">
      <c r="L71" s="184">
        <v>25</v>
      </c>
      <c r="N71" s="598" t="s">
        <v>2909</v>
      </c>
      <c r="O71" s="729" t="s">
        <v>2900</v>
      </c>
      <c r="P71" s="730" t="s">
        <v>2380</v>
      </c>
      <c r="R71" s="3139">
        <v>1681</v>
      </c>
      <c r="S71" s="3136"/>
      <c r="T71" s="3136">
        <f t="shared" si="0"/>
        <v>-1681</v>
      </c>
      <c r="U71" s="178"/>
      <c r="V71" s="1493" t="s">
        <v>396</v>
      </c>
      <c r="W71" s="178"/>
    </row>
    <row r="72" spans="12:23">
      <c r="L72" s="184">
        <v>26</v>
      </c>
      <c r="N72" s="598" t="s">
        <v>2909</v>
      </c>
      <c r="O72" s="729" t="s">
        <v>2352</v>
      </c>
      <c r="P72" s="730" t="s">
        <v>2071</v>
      </c>
      <c r="R72" s="3139">
        <v>1853</v>
      </c>
      <c r="S72" s="3136"/>
      <c r="T72" s="3136">
        <f t="shared" si="0"/>
        <v>-1853</v>
      </c>
      <c r="U72" s="178"/>
      <c r="V72" s="1493" t="s">
        <v>393</v>
      </c>
      <c r="W72" s="178"/>
    </row>
    <row r="73" spans="12:23">
      <c r="L73" s="184">
        <v>27</v>
      </c>
      <c r="N73" s="598" t="s">
        <v>2909</v>
      </c>
      <c r="O73" s="729" t="s">
        <v>2353</v>
      </c>
      <c r="P73" s="730" t="s">
        <v>2072</v>
      </c>
      <c r="R73" s="3139">
        <v>169</v>
      </c>
      <c r="S73" s="3136"/>
      <c r="T73" s="3136">
        <f t="shared" si="0"/>
        <v>-169</v>
      </c>
      <c r="U73" s="178"/>
      <c r="V73" s="1493" t="s">
        <v>393</v>
      </c>
      <c r="W73" s="178"/>
    </row>
    <row r="74" spans="12:23">
      <c r="L74" s="184">
        <v>28</v>
      </c>
      <c r="N74" s="598" t="s">
        <v>2909</v>
      </c>
      <c r="O74" s="729" t="s">
        <v>2356</v>
      </c>
      <c r="P74" s="730" t="s">
        <v>208</v>
      </c>
      <c r="R74" s="3139">
        <v>1264</v>
      </c>
      <c r="S74" s="3136"/>
      <c r="T74" s="3136">
        <f t="shared" si="0"/>
        <v>-1264</v>
      </c>
      <c r="U74" s="178"/>
      <c r="V74" s="1493" t="s">
        <v>393</v>
      </c>
      <c r="W74" s="178"/>
    </row>
    <row r="75" spans="12:23">
      <c r="L75" s="184">
        <v>29</v>
      </c>
      <c r="N75" s="598" t="s">
        <v>2909</v>
      </c>
      <c r="O75" s="729" t="s">
        <v>2357</v>
      </c>
      <c r="P75" s="730" t="s">
        <v>2079</v>
      </c>
      <c r="R75" s="3139">
        <v>977</v>
      </c>
      <c r="S75" s="3136"/>
      <c r="T75" s="3136">
        <f t="shared" si="0"/>
        <v>-977</v>
      </c>
      <c r="U75" s="178"/>
      <c r="V75" s="1493" t="s">
        <v>393</v>
      </c>
      <c r="W75" s="178"/>
    </row>
    <row r="76" spans="12:23">
      <c r="L76" s="184">
        <v>30</v>
      </c>
      <c r="N76" s="598" t="s">
        <v>2909</v>
      </c>
      <c r="O76" s="729" t="s">
        <v>2901</v>
      </c>
      <c r="P76" s="730" t="s">
        <v>2395</v>
      </c>
      <c r="R76" s="3139">
        <v>924</v>
      </c>
      <c r="S76" s="3136"/>
      <c r="T76" s="3136">
        <f t="shared" si="0"/>
        <v>-924</v>
      </c>
      <c r="U76" s="178"/>
      <c r="V76" s="1493" t="s">
        <v>393</v>
      </c>
      <c r="W76" s="178"/>
    </row>
    <row r="77" spans="12:23">
      <c r="L77" s="184">
        <v>31</v>
      </c>
      <c r="N77" s="598" t="s">
        <v>2911</v>
      </c>
      <c r="O77" s="729" t="s">
        <v>2352</v>
      </c>
      <c r="P77" s="730" t="s">
        <v>2071</v>
      </c>
      <c r="R77" s="3135">
        <v>897</v>
      </c>
      <c r="S77" s="3136"/>
      <c r="T77" s="3136">
        <f t="shared" si="0"/>
        <v>-897</v>
      </c>
      <c r="U77" s="178"/>
      <c r="V77" s="1493" t="s">
        <v>393</v>
      </c>
      <c r="W77" s="178"/>
    </row>
    <row r="78" spans="12:23">
      <c r="L78" s="184">
        <v>32</v>
      </c>
      <c r="N78" s="598" t="s">
        <v>2911</v>
      </c>
      <c r="O78" s="729" t="s">
        <v>2353</v>
      </c>
      <c r="P78" s="730" t="s">
        <v>2072</v>
      </c>
      <c r="R78" s="3135">
        <v>175</v>
      </c>
      <c r="S78" s="3136"/>
      <c r="T78" s="3136">
        <f t="shared" si="0"/>
        <v>-175</v>
      </c>
      <c r="U78" s="178"/>
      <c r="V78" s="1493" t="s">
        <v>393</v>
      </c>
      <c r="W78" s="178"/>
    </row>
    <row r="79" spans="12:23">
      <c r="L79" s="184">
        <v>33</v>
      </c>
      <c r="N79" s="598" t="s">
        <v>2911</v>
      </c>
      <c r="O79" s="729" t="s">
        <v>2354</v>
      </c>
      <c r="P79" s="730" t="s">
        <v>2073</v>
      </c>
      <c r="R79" s="3135">
        <v>53</v>
      </c>
      <c r="S79" s="3136"/>
      <c r="T79" s="3136">
        <f t="shared" ref="T79:T100" si="1">-R79</f>
        <v>-53</v>
      </c>
      <c r="U79" s="178"/>
      <c r="V79" s="1493" t="s">
        <v>393</v>
      </c>
      <c r="W79" s="178"/>
    </row>
    <row r="80" spans="12:23">
      <c r="L80" s="184">
        <v>34</v>
      </c>
      <c r="N80" s="598" t="s">
        <v>2911</v>
      </c>
      <c r="O80" s="729" t="s">
        <v>2356</v>
      </c>
      <c r="P80" s="730" t="s">
        <v>208</v>
      </c>
      <c r="R80" s="3135">
        <v>1260</v>
      </c>
      <c r="S80" s="3136"/>
      <c r="T80" s="3136">
        <f t="shared" si="1"/>
        <v>-1260</v>
      </c>
      <c r="U80" s="178"/>
      <c r="V80" s="1493" t="s">
        <v>393</v>
      </c>
      <c r="W80" s="178"/>
    </row>
    <row r="81" spans="12:23">
      <c r="L81" s="184">
        <v>35</v>
      </c>
      <c r="N81" s="598" t="s">
        <v>2911</v>
      </c>
      <c r="O81" s="729" t="s">
        <v>2357</v>
      </c>
      <c r="P81" s="730" t="s">
        <v>2079</v>
      </c>
      <c r="R81" s="3135">
        <v>183</v>
      </c>
      <c r="S81" s="3136"/>
      <c r="T81" s="3136">
        <f t="shared" si="1"/>
        <v>-183</v>
      </c>
      <c r="U81" s="178"/>
      <c r="V81" s="1493" t="s">
        <v>393</v>
      </c>
      <c r="W81" s="178"/>
    </row>
    <row r="82" spans="12:23">
      <c r="L82" s="184">
        <v>36</v>
      </c>
      <c r="N82" s="598" t="s">
        <v>2912</v>
      </c>
      <c r="O82" s="729" t="s">
        <v>2352</v>
      </c>
      <c r="P82" s="730" t="s">
        <v>2071</v>
      </c>
      <c r="R82" s="3135">
        <v>1675</v>
      </c>
      <c r="S82" s="3136"/>
      <c r="T82" s="3136">
        <f t="shared" si="1"/>
        <v>-1675</v>
      </c>
      <c r="U82" s="178"/>
      <c r="V82" s="1493" t="s">
        <v>393</v>
      </c>
      <c r="W82" s="178"/>
    </row>
    <row r="83" spans="12:23">
      <c r="L83" s="184">
        <v>37</v>
      </c>
      <c r="N83" s="598" t="s">
        <v>2912</v>
      </c>
      <c r="O83" s="729" t="s">
        <v>2353</v>
      </c>
      <c r="P83" s="730" t="s">
        <v>2072</v>
      </c>
      <c r="R83" s="3135">
        <v>412</v>
      </c>
      <c r="S83" s="3136"/>
      <c r="T83" s="3136">
        <f t="shared" si="1"/>
        <v>-412</v>
      </c>
      <c r="U83" s="178"/>
      <c r="V83" s="1493" t="s">
        <v>393</v>
      </c>
      <c r="W83" s="178"/>
    </row>
    <row r="84" spans="12:23">
      <c r="L84" s="184">
        <v>38</v>
      </c>
      <c r="N84" s="598" t="s">
        <v>2912</v>
      </c>
      <c r="O84" s="729" t="s">
        <v>2354</v>
      </c>
      <c r="P84" s="730" t="s">
        <v>2073</v>
      </c>
      <c r="R84" s="3135">
        <v>504</v>
      </c>
      <c r="S84" s="3136"/>
      <c r="T84" s="3136">
        <f t="shared" si="1"/>
        <v>-504</v>
      </c>
      <c r="U84" s="178"/>
      <c r="V84" s="1493" t="s">
        <v>393</v>
      </c>
      <c r="W84" s="178"/>
    </row>
    <row r="85" spans="12:23">
      <c r="L85" s="184">
        <v>39</v>
      </c>
      <c r="N85" s="598" t="s">
        <v>2912</v>
      </c>
      <c r="O85" s="729" t="s">
        <v>2357</v>
      </c>
      <c r="P85" s="730" t="s">
        <v>2079</v>
      </c>
      <c r="R85" s="3135">
        <v>343</v>
      </c>
      <c r="S85" s="3136"/>
      <c r="T85" s="3136">
        <f t="shared" si="1"/>
        <v>-343</v>
      </c>
      <c r="U85" s="178"/>
      <c r="V85" s="1493" t="s">
        <v>393</v>
      </c>
      <c r="W85" s="178"/>
    </row>
    <row r="86" spans="12:23">
      <c r="L86" s="184">
        <v>40</v>
      </c>
      <c r="N86" s="598" t="s">
        <v>2913</v>
      </c>
      <c r="O86" s="729" t="s">
        <v>2352</v>
      </c>
      <c r="P86" s="730" t="s">
        <v>2071</v>
      </c>
      <c r="R86" s="3135">
        <v>3849</v>
      </c>
      <c r="S86" s="3136"/>
      <c r="T86" s="3136">
        <f t="shared" si="1"/>
        <v>-3849</v>
      </c>
      <c r="U86" s="178"/>
      <c r="V86" s="1493" t="s">
        <v>393</v>
      </c>
      <c r="W86" s="178"/>
    </row>
    <row r="87" spans="12:23">
      <c r="L87" s="184">
        <v>41</v>
      </c>
      <c r="N87" s="598" t="s">
        <v>2913</v>
      </c>
      <c r="O87" s="729" t="s">
        <v>2353</v>
      </c>
      <c r="P87" s="730" t="s">
        <v>2072</v>
      </c>
      <c r="R87" s="3135">
        <v>700</v>
      </c>
      <c r="S87" s="3136"/>
      <c r="T87" s="3136">
        <f t="shared" si="1"/>
        <v>-700</v>
      </c>
      <c r="U87" s="178"/>
      <c r="V87" s="1493" t="s">
        <v>393</v>
      </c>
      <c r="W87" s="178"/>
    </row>
    <row r="88" spans="12:23">
      <c r="L88" s="184">
        <v>42</v>
      </c>
      <c r="N88" s="598" t="s">
        <v>2913</v>
      </c>
      <c r="O88" s="729" t="s">
        <v>2354</v>
      </c>
      <c r="P88" s="730" t="s">
        <v>2073</v>
      </c>
      <c r="R88" s="3135">
        <v>521</v>
      </c>
      <c r="S88" s="3136"/>
      <c r="T88" s="3136">
        <f t="shared" si="1"/>
        <v>-521</v>
      </c>
      <c r="U88" s="178"/>
      <c r="V88" s="1493" t="s">
        <v>393</v>
      </c>
      <c r="W88" s="178"/>
    </row>
    <row r="89" spans="12:23">
      <c r="L89" s="184">
        <v>43</v>
      </c>
      <c r="N89" s="598" t="s">
        <v>2913</v>
      </c>
      <c r="O89" s="729" t="s">
        <v>2356</v>
      </c>
      <c r="P89" s="730" t="s">
        <v>208</v>
      </c>
      <c r="R89" s="3135">
        <v>179</v>
      </c>
      <c r="S89" s="3136"/>
      <c r="T89" s="3136">
        <f t="shared" si="1"/>
        <v>-179</v>
      </c>
      <c r="U89" s="178"/>
      <c r="V89" s="1493" t="s">
        <v>393</v>
      </c>
      <c r="W89" s="178"/>
    </row>
    <row r="90" spans="12:23">
      <c r="L90" s="184">
        <v>44</v>
      </c>
      <c r="N90" s="598" t="s">
        <v>2913</v>
      </c>
      <c r="O90" s="729" t="s">
        <v>2357</v>
      </c>
      <c r="P90" s="730" t="s">
        <v>2079</v>
      </c>
      <c r="R90" s="3135">
        <v>787</v>
      </c>
      <c r="S90" s="3136"/>
      <c r="T90" s="3136">
        <f t="shared" si="1"/>
        <v>-787</v>
      </c>
      <c r="U90" s="178"/>
      <c r="V90" s="1493" t="s">
        <v>393</v>
      </c>
      <c r="W90" s="178"/>
    </row>
    <row r="91" spans="12:23">
      <c r="L91" s="184">
        <v>45</v>
      </c>
      <c r="N91" s="598" t="s">
        <v>2913</v>
      </c>
      <c r="O91" s="729" t="s">
        <v>2910</v>
      </c>
      <c r="P91" s="730" t="s">
        <v>2396</v>
      </c>
      <c r="R91" s="3135">
        <v>1669</v>
      </c>
      <c r="S91" s="3136"/>
      <c r="T91" s="3136">
        <f t="shared" si="1"/>
        <v>-1669</v>
      </c>
      <c r="U91" s="178"/>
      <c r="V91" s="1493" t="s">
        <v>393</v>
      </c>
      <c r="W91" s="178"/>
    </row>
    <row r="92" spans="12:23">
      <c r="L92" s="184">
        <v>46</v>
      </c>
      <c r="N92" s="598" t="s">
        <v>2914</v>
      </c>
      <c r="O92" s="729" t="s">
        <v>2915</v>
      </c>
      <c r="P92" s="730" t="s">
        <v>1615</v>
      </c>
      <c r="R92" s="3135">
        <v>20595</v>
      </c>
      <c r="S92" s="3136"/>
      <c r="T92" s="3136">
        <f t="shared" si="1"/>
        <v>-20595</v>
      </c>
      <c r="U92" s="178"/>
      <c r="V92" s="1493" t="s">
        <v>395</v>
      </c>
      <c r="W92" s="178"/>
    </row>
    <row r="93" spans="12:23">
      <c r="L93" s="184">
        <v>47</v>
      </c>
      <c r="N93" s="598" t="s">
        <v>2914</v>
      </c>
      <c r="O93" s="729" t="s">
        <v>2352</v>
      </c>
      <c r="P93" s="730" t="s">
        <v>2071</v>
      </c>
      <c r="R93" s="3135">
        <v>140210</v>
      </c>
      <c r="S93" s="3136"/>
      <c r="T93" s="3136">
        <f t="shared" si="1"/>
        <v>-140210</v>
      </c>
      <c r="U93" s="178"/>
      <c r="V93" s="1493" t="s">
        <v>393</v>
      </c>
      <c r="W93" s="178"/>
    </row>
    <row r="94" spans="12:23">
      <c r="L94" s="184">
        <v>48</v>
      </c>
      <c r="N94" s="598" t="s">
        <v>2914</v>
      </c>
      <c r="O94" s="729" t="s">
        <v>2353</v>
      </c>
      <c r="P94" s="730" t="s">
        <v>2072</v>
      </c>
      <c r="R94" s="3135">
        <v>1236</v>
      </c>
      <c r="S94" s="3136"/>
      <c r="T94" s="3136">
        <f t="shared" si="1"/>
        <v>-1236</v>
      </c>
      <c r="U94" s="178"/>
      <c r="V94" s="1493" t="s">
        <v>393</v>
      </c>
      <c r="W94" s="178"/>
    </row>
    <row r="95" spans="12:23">
      <c r="L95" s="184">
        <v>49</v>
      </c>
      <c r="N95" s="598" t="s">
        <v>2914</v>
      </c>
      <c r="O95" s="729" t="s">
        <v>2354</v>
      </c>
      <c r="P95" s="730" t="s">
        <v>2073</v>
      </c>
      <c r="R95" s="3135">
        <v>34214</v>
      </c>
      <c r="S95" s="3136"/>
      <c r="T95" s="3136">
        <f t="shared" si="1"/>
        <v>-34214</v>
      </c>
      <c r="U95" s="178"/>
      <c r="V95" s="1493" t="s">
        <v>393</v>
      </c>
      <c r="W95" s="178"/>
    </row>
    <row r="96" spans="12:23">
      <c r="L96" s="184">
        <v>50</v>
      </c>
      <c r="N96" s="598" t="s">
        <v>2914</v>
      </c>
      <c r="O96" s="729" t="s">
        <v>2916</v>
      </c>
      <c r="P96" s="730" t="s">
        <v>2075</v>
      </c>
      <c r="R96" s="3135">
        <v>1236</v>
      </c>
      <c r="S96" s="3136"/>
      <c r="T96" s="3136">
        <f t="shared" si="1"/>
        <v>-1236</v>
      </c>
      <c r="U96" s="178"/>
      <c r="V96" s="1493" t="s">
        <v>393</v>
      </c>
      <c r="W96" s="178"/>
    </row>
    <row r="97" spans="12:23">
      <c r="L97" s="184">
        <v>51</v>
      </c>
      <c r="N97" s="598" t="s">
        <v>2914</v>
      </c>
      <c r="O97" s="729" t="s">
        <v>2357</v>
      </c>
      <c r="P97" s="730" t="s">
        <v>2079</v>
      </c>
      <c r="R97" s="3135">
        <v>28671</v>
      </c>
      <c r="S97" s="3136"/>
      <c r="T97" s="3136">
        <f t="shared" si="1"/>
        <v>-28671</v>
      </c>
      <c r="U97" s="178"/>
      <c r="V97" s="1493" t="s">
        <v>393</v>
      </c>
      <c r="W97" s="178"/>
    </row>
    <row r="98" spans="12:23">
      <c r="L98" s="184">
        <v>52</v>
      </c>
      <c r="N98" s="598" t="s">
        <v>2914</v>
      </c>
      <c r="O98" s="729" t="s">
        <v>2910</v>
      </c>
      <c r="P98" s="730" t="s">
        <v>2396</v>
      </c>
      <c r="R98" s="3135">
        <v>4119</v>
      </c>
      <c r="S98" s="3136"/>
      <c r="T98" s="3136">
        <f t="shared" si="1"/>
        <v>-4119</v>
      </c>
      <c r="U98" s="178"/>
      <c r="V98" s="1493" t="s">
        <v>393</v>
      </c>
      <c r="W98" s="178"/>
    </row>
    <row r="99" spans="12:23">
      <c r="L99" s="184">
        <v>53</v>
      </c>
      <c r="N99" s="598" t="s">
        <v>2914</v>
      </c>
      <c r="O99" s="729" t="s">
        <v>2917</v>
      </c>
      <c r="P99" s="730" t="s">
        <v>2085</v>
      </c>
      <c r="R99" s="3436">
        <v>4119</v>
      </c>
      <c r="S99" s="3437"/>
      <c r="T99" s="3437">
        <f t="shared" si="1"/>
        <v>-4119</v>
      </c>
      <c r="U99" s="178"/>
      <c r="V99" s="1493" t="s">
        <v>393</v>
      </c>
      <c r="W99" s="178"/>
    </row>
    <row r="100" spans="12:23">
      <c r="L100" s="184">
        <v>54</v>
      </c>
      <c r="N100" s="598" t="s">
        <v>2982</v>
      </c>
      <c r="O100" s="729" t="s">
        <v>1932</v>
      </c>
      <c r="P100" s="730"/>
      <c r="R100" s="3137">
        <v>24597</v>
      </c>
      <c r="S100" s="3136"/>
      <c r="T100" s="3138">
        <f t="shared" si="1"/>
        <v>-24597</v>
      </c>
      <c r="U100" s="178"/>
      <c r="V100" s="1493" t="s">
        <v>393</v>
      </c>
      <c r="W100" s="178"/>
    </row>
    <row r="101" spans="12:23">
      <c r="L101" s="184">
        <v>55</v>
      </c>
      <c r="P101" s="93"/>
    </row>
    <row r="102" spans="12:23" ht="15.6" thickBot="1">
      <c r="L102" s="184">
        <v>56</v>
      </c>
      <c r="P102" s="189" t="s">
        <v>820</v>
      </c>
      <c r="R102" s="190">
        <f>SUM(R47:R100)</f>
        <v>368743</v>
      </c>
      <c r="T102" s="190">
        <f>SUM(T47:T100)</f>
        <v>-368743</v>
      </c>
      <c r="U102" s="264"/>
    </row>
    <row r="103" spans="12:23" ht="15.6" thickTop="1">
      <c r="L103" s="184"/>
    </row>
    <row r="105" spans="12:23">
      <c r="O105" s="3140"/>
      <c r="P105" s="3140"/>
    </row>
    <row r="106" spans="12:23">
      <c r="O106" s="3140"/>
      <c r="P106" s="3140"/>
      <c r="T106" s="184" t="s">
        <v>379</v>
      </c>
      <c r="U106" s="184"/>
    </row>
    <row r="111" spans="12:23">
      <c r="R111" s="165" t="s">
        <v>394</v>
      </c>
      <c r="T111" s="187">
        <f>SUMIF($V$47:$V$99,R111,$T$47:$T$99)</f>
        <v>0</v>
      </c>
      <c r="U111" s="187"/>
    </row>
    <row r="112" spans="12:23">
      <c r="R112" s="1493" t="s">
        <v>2422</v>
      </c>
      <c r="T112" s="187">
        <f>SUMIF($V$47:$V$99,R112,$T$47:$T$99)</f>
        <v>-19734</v>
      </c>
      <c r="U112" s="187"/>
    </row>
    <row r="113" spans="11:69">
      <c r="R113" s="165" t="s">
        <v>395</v>
      </c>
      <c r="T113" s="187">
        <f>SUMIF($V$47:$V$99,R113,$T$47:$T$99)</f>
        <v>-20595</v>
      </c>
      <c r="U113" s="187"/>
    </row>
    <row r="114" spans="11:69">
      <c r="R114" s="165" t="s">
        <v>396</v>
      </c>
      <c r="T114" s="187">
        <f>SUMIF($V$47:$V$99,R114,$T$47:$T$99)</f>
        <v>-6339</v>
      </c>
      <c r="U114" s="187"/>
    </row>
    <row r="115" spans="11:69">
      <c r="R115" s="165" t="s">
        <v>393</v>
      </c>
      <c r="T115" s="187">
        <f>SUMIF($V$47:$V$100,R115,$T$47:$T$100)</f>
        <v>-322075</v>
      </c>
      <c r="U115" s="187"/>
    </row>
    <row r="116" spans="11:69">
      <c r="T116" s="187">
        <f>SUM(T111:T115)</f>
        <v>-368743</v>
      </c>
      <c r="U116" s="187"/>
    </row>
    <row r="123" spans="11:69">
      <c r="K123" s="191"/>
      <c r="L123" s="191"/>
      <c r="M123" s="191"/>
      <c r="N123" s="191"/>
      <c r="O123" s="191"/>
      <c r="P123" s="191"/>
      <c r="Q123" s="191"/>
      <c r="R123" s="191"/>
      <c r="S123" s="191"/>
      <c r="T123" s="191"/>
      <c r="U123" s="191"/>
      <c r="V123" s="191"/>
      <c r="W123" s="191"/>
      <c r="X123" s="191"/>
      <c r="Y123" s="191"/>
      <c r="Z123" s="191"/>
      <c r="AA123" s="191"/>
      <c r="AB123" s="191"/>
      <c r="AC123" s="191"/>
      <c r="AD123" s="191"/>
      <c r="AE123" s="191"/>
      <c r="AF123" s="191"/>
      <c r="AG123" s="191"/>
      <c r="AH123" s="191"/>
      <c r="AI123" s="191"/>
      <c r="AJ123" s="191"/>
      <c r="AK123" s="191"/>
      <c r="AL123" s="191"/>
      <c r="AM123" s="191"/>
      <c r="AN123" s="191"/>
      <c r="AO123" s="191"/>
      <c r="AP123" s="191"/>
      <c r="AQ123" s="191"/>
      <c r="AR123" s="191"/>
      <c r="AS123" s="191"/>
      <c r="AT123" s="191"/>
      <c r="AU123" s="191"/>
      <c r="AV123" s="191"/>
      <c r="AW123" s="191"/>
      <c r="AX123" s="191"/>
      <c r="AY123" s="191"/>
      <c r="AZ123" s="191"/>
      <c r="BA123" s="191"/>
      <c r="BB123" s="191"/>
      <c r="BC123" s="191"/>
      <c r="BD123" s="191"/>
      <c r="BE123" s="191"/>
      <c r="BF123" s="191"/>
      <c r="BG123" s="191"/>
      <c r="BH123" s="191"/>
      <c r="BI123" s="191"/>
      <c r="BJ123" s="191"/>
      <c r="BK123" s="191"/>
      <c r="BL123" s="191"/>
      <c r="BM123" s="191"/>
      <c r="BN123" s="191"/>
      <c r="BO123" s="191"/>
      <c r="BP123" s="191"/>
      <c r="BQ123" s="191"/>
    </row>
    <row r="124" spans="11:69">
      <c r="K124" s="191"/>
      <c r="L124" s="191"/>
      <c r="M124" s="191"/>
      <c r="N124" s="191"/>
      <c r="O124" s="191"/>
      <c r="P124" s="191"/>
      <c r="Q124" s="191"/>
      <c r="R124" s="191"/>
      <c r="S124" s="191"/>
      <c r="T124" s="191"/>
      <c r="U124" s="191"/>
      <c r="V124" s="191"/>
      <c r="W124" s="191"/>
      <c r="X124" s="191"/>
      <c r="Y124" s="191"/>
      <c r="Z124" s="191"/>
      <c r="AA124" s="191"/>
      <c r="AB124" s="191"/>
      <c r="AC124" s="191"/>
      <c r="AD124" s="191"/>
      <c r="AE124" s="191"/>
      <c r="AF124" s="191"/>
      <c r="AG124" s="191"/>
      <c r="AH124" s="191"/>
      <c r="AI124" s="191"/>
      <c r="AJ124" s="191"/>
      <c r="AK124" s="191"/>
      <c r="AL124" s="191"/>
      <c r="AM124" s="191"/>
      <c r="AN124" s="191"/>
      <c r="AO124" s="191"/>
      <c r="AP124" s="191"/>
      <c r="AQ124" s="191"/>
      <c r="AR124" s="191"/>
      <c r="AS124" s="191"/>
      <c r="AT124" s="191"/>
      <c r="AU124" s="191"/>
      <c r="AV124" s="191"/>
      <c r="AW124" s="191"/>
      <c r="AX124" s="191"/>
      <c r="AY124" s="191"/>
      <c r="AZ124" s="191"/>
      <c r="BA124" s="191"/>
      <c r="BB124" s="191"/>
      <c r="BC124" s="191"/>
      <c r="BD124" s="191"/>
      <c r="BE124" s="191"/>
      <c r="BF124" s="191"/>
      <c r="BG124" s="191"/>
      <c r="BH124" s="191"/>
      <c r="BI124" s="191"/>
      <c r="BJ124" s="191"/>
      <c r="BK124" s="191"/>
      <c r="BL124" s="191"/>
      <c r="BM124" s="191"/>
      <c r="BN124" s="191"/>
      <c r="BO124" s="191"/>
      <c r="BP124" s="191"/>
      <c r="BQ124" s="191"/>
    </row>
    <row r="125" spans="11:69">
      <c r="K125" s="191"/>
      <c r="L125" s="191"/>
      <c r="M125" s="191"/>
      <c r="N125" s="191"/>
      <c r="O125" s="191"/>
      <c r="P125" s="191"/>
      <c r="Q125" s="191"/>
      <c r="R125" s="191"/>
      <c r="S125" s="191"/>
      <c r="T125" s="191"/>
      <c r="U125" s="191"/>
      <c r="V125" s="191"/>
      <c r="W125" s="191"/>
      <c r="X125" s="191"/>
      <c r="Y125" s="191"/>
      <c r="Z125" s="191"/>
      <c r="AA125" s="191"/>
      <c r="AB125" s="191"/>
      <c r="AC125" s="191"/>
      <c r="AD125" s="191"/>
      <c r="AE125" s="191"/>
      <c r="AF125" s="191"/>
      <c r="AG125" s="191"/>
      <c r="AH125" s="191"/>
      <c r="AI125" s="191"/>
      <c r="AJ125" s="191"/>
      <c r="AK125" s="191"/>
      <c r="AL125" s="191"/>
      <c r="AM125" s="191"/>
      <c r="AN125" s="191"/>
      <c r="AO125" s="191"/>
      <c r="AP125" s="191"/>
      <c r="AQ125" s="191"/>
      <c r="AR125" s="191"/>
      <c r="AS125" s="191"/>
      <c r="AT125" s="191"/>
      <c r="AU125" s="191"/>
      <c r="AV125" s="191"/>
      <c r="AW125" s="191"/>
      <c r="AX125" s="191"/>
      <c r="AY125" s="191"/>
      <c r="AZ125" s="191"/>
      <c r="BA125" s="191"/>
      <c r="BB125" s="191"/>
      <c r="BC125" s="191"/>
      <c r="BD125" s="191"/>
      <c r="BE125" s="191"/>
      <c r="BF125" s="191"/>
      <c r="BG125" s="191"/>
      <c r="BH125" s="191"/>
      <c r="BI125" s="191"/>
      <c r="BJ125" s="191"/>
      <c r="BK125" s="191"/>
      <c r="BL125" s="191"/>
      <c r="BM125" s="191"/>
      <c r="BN125" s="191"/>
      <c r="BO125" s="191"/>
      <c r="BP125" s="191"/>
      <c r="BQ125" s="191"/>
    </row>
    <row r="126" spans="11:69">
      <c r="K126" s="191"/>
      <c r="L126" s="191"/>
      <c r="M126" s="191"/>
      <c r="N126" s="191"/>
      <c r="O126" s="191"/>
      <c r="P126" s="191"/>
      <c r="Q126" s="191"/>
      <c r="R126" s="191"/>
      <c r="S126" s="191"/>
      <c r="T126" s="191"/>
      <c r="U126" s="191"/>
      <c r="V126" s="191"/>
      <c r="W126" s="191"/>
      <c r="X126" s="191"/>
      <c r="Y126" s="191"/>
      <c r="Z126" s="191"/>
      <c r="AA126" s="191"/>
      <c r="AB126" s="191"/>
      <c r="AC126" s="191"/>
      <c r="AD126" s="191"/>
      <c r="AE126" s="191"/>
      <c r="AF126" s="191"/>
      <c r="AG126" s="191"/>
      <c r="AH126" s="191"/>
      <c r="AI126" s="191"/>
      <c r="AJ126" s="191"/>
      <c r="AK126" s="191"/>
      <c r="AL126" s="191"/>
      <c r="AM126" s="191"/>
      <c r="AN126" s="191"/>
      <c r="AO126" s="191"/>
      <c r="AP126" s="191"/>
      <c r="AQ126" s="191"/>
      <c r="AR126" s="191"/>
      <c r="AS126" s="191"/>
      <c r="AT126" s="191"/>
      <c r="AU126" s="191"/>
      <c r="AV126" s="191"/>
      <c r="AW126" s="191"/>
      <c r="AX126" s="191"/>
      <c r="AY126" s="191"/>
      <c r="AZ126" s="191"/>
      <c r="BA126" s="191"/>
      <c r="BB126" s="191"/>
      <c r="BC126" s="191"/>
      <c r="BD126" s="191"/>
      <c r="BE126" s="191"/>
      <c r="BF126" s="191"/>
      <c r="BG126" s="191"/>
      <c r="BH126" s="191"/>
      <c r="BI126" s="191"/>
      <c r="BJ126" s="191"/>
      <c r="BK126" s="191"/>
      <c r="BL126" s="191"/>
      <c r="BM126" s="191"/>
      <c r="BN126" s="191"/>
      <c r="BO126" s="191"/>
      <c r="BP126" s="191"/>
      <c r="BQ126" s="191"/>
    </row>
    <row r="127" spans="11:69">
      <c r="K127" s="191"/>
      <c r="L127" s="191"/>
      <c r="M127" s="191"/>
      <c r="N127" s="191"/>
      <c r="O127" s="191"/>
      <c r="P127" s="191"/>
      <c r="Q127" s="191"/>
      <c r="R127" s="191"/>
      <c r="S127" s="191"/>
      <c r="T127" s="191"/>
      <c r="U127" s="191"/>
      <c r="V127" s="191"/>
      <c r="W127" s="191"/>
      <c r="X127" s="191"/>
      <c r="Y127" s="191"/>
      <c r="Z127" s="191"/>
      <c r="AA127" s="191"/>
      <c r="AB127" s="191"/>
      <c r="AC127" s="191"/>
      <c r="AD127" s="191"/>
      <c r="AE127" s="191"/>
      <c r="AF127" s="191"/>
      <c r="AG127" s="191"/>
      <c r="AH127" s="191"/>
      <c r="AI127" s="191"/>
      <c r="AJ127" s="191"/>
      <c r="AK127" s="191"/>
      <c r="AL127" s="191"/>
      <c r="AM127" s="191"/>
      <c r="AN127" s="191"/>
      <c r="AO127" s="191"/>
      <c r="AP127" s="191"/>
      <c r="AQ127" s="191"/>
      <c r="AR127" s="191"/>
      <c r="AS127" s="191"/>
      <c r="AT127" s="191"/>
      <c r="AU127" s="191"/>
      <c r="AV127" s="191"/>
      <c r="AW127" s="191"/>
      <c r="AX127" s="191"/>
      <c r="AY127" s="191"/>
      <c r="AZ127" s="191"/>
      <c r="BA127" s="191"/>
      <c r="BB127" s="191"/>
      <c r="BC127" s="191"/>
      <c r="BD127" s="191"/>
      <c r="BE127" s="191"/>
      <c r="BF127" s="191"/>
      <c r="BG127" s="191"/>
      <c r="BH127" s="191"/>
      <c r="BI127" s="191"/>
      <c r="BJ127" s="191"/>
      <c r="BK127" s="191"/>
      <c r="BL127" s="191"/>
      <c r="BM127" s="191"/>
      <c r="BN127" s="191"/>
      <c r="BO127" s="191"/>
      <c r="BP127" s="191"/>
      <c r="BQ127" s="191"/>
    </row>
    <row r="128" spans="11:69">
      <c r="K128" s="191"/>
      <c r="L128" s="191"/>
      <c r="M128" s="191"/>
      <c r="N128" s="191"/>
      <c r="O128" s="191"/>
      <c r="P128" s="191"/>
      <c r="Q128" s="191"/>
      <c r="R128" s="191"/>
      <c r="S128" s="191"/>
      <c r="T128" s="191"/>
      <c r="U128" s="191"/>
      <c r="V128" s="191"/>
      <c r="W128" s="191"/>
      <c r="X128" s="191"/>
      <c r="Y128" s="191"/>
      <c r="Z128" s="191"/>
      <c r="AA128" s="191"/>
      <c r="AB128" s="191"/>
      <c r="AC128" s="191"/>
      <c r="AD128" s="191"/>
      <c r="AE128" s="191"/>
      <c r="AF128" s="191"/>
      <c r="AG128" s="191"/>
      <c r="AH128" s="191"/>
      <c r="AI128" s="191"/>
      <c r="AJ128" s="191"/>
      <c r="AK128" s="191"/>
      <c r="AL128" s="191"/>
      <c r="AM128" s="191"/>
      <c r="AN128" s="191"/>
      <c r="AO128" s="191"/>
      <c r="AP128" s="191"/>
      <c r="AQ128" s="191"/>
      <c r="AR128" s="191"/>
      <c r="AS128" s="191"/>
      <c r="AT128" s="191"/>
      <c r="AU128" s="191"/>
      <c r="AV128" s="191"/>
      <c r="AW128" s="191"/>
      <c r="AX128" s="191"/>
      <c r="AY128" s="191"/>
      <c r="AZ128" s="191"/>
      <c r="BA128" s="191"/>
      <c r="BB128" s="191"/>
      <c r="BC128" s="191"/>
      <c r="BD128" s="191"/>
      <c r="BE128" s="191"/>
      <c r="BF128" s="191"/>
      <c r="BG128" s="191"/>
      <c r="BH128" s="191"/>
      <c r="BI128" s="191"/>
      <c r="BJ128" s="191"/>
      <c r="BK128" s="191"/>
      <c r="BL128" s="191"/>
      <c r="BM128" s="191"/>
      <c r="BN128" s="191"/>
      <c r="BO128" s="191"/>
      <c r="BP128" s="191"/>
      <c r="BQ128" s="191"/>
    </row>
    <row r="129" spans="11:69">
      <c r="K129" s="191"/>
      <c r="L129" s="191"/>
      <c r="M129" s="191"/>
      <c r="N129" s="191"/>
      <c r="O129" s="191"/>
      <c r="P129" s="191"/>
      <c r="Q129" s="191"/>
      <c r="R129" s="191"/>
      <c r="S129" s="191"/>
      <c r="T129" s="191"/>
      <c r="U129" s="191"/>
      <c r="V129" s="191"/>
      <c r="W129" s="191"/>
      <c r="X129" s="191"/>
      <c r="Y129" s="191"/>
      <c r="Z129" s="191"/>
      <c r="AA129" s="191"/>
      <c r="AB129" s="191"/>
      <c r="AC129" s="191"/>
      <c r="AD129" s="191"/>
      <c r="AE129" s="191"/>
      <c r="AF129" s="191"/>
      <c r="AG129" s="191"/>
      <c r="AH129" s="191"/>
      <c r="AI129" s="191"/>
      <c r="AJ129" s="191"/>
      <c r="AK129" s="191"/>
      <c r="AL129" s="191"/>
      <c r="AM129" s="191"/>
      <c r="AN129" s="191"/>
      <c r="AO129" s="191"/>
      <c r="AP129" s="191"/>
      <c r="AQ129" s="191"/>
      <c r="AR129" s="191"/>
      <c r="AS129" s="191"/>
      <c r="AT129" s="191"/>
      <c r="AU129" s="191"/>
      <c r="AV129" s="191"/>
      <c r="AW129" s="191"/>
      <c r="AX129" s="191"/>
      <c r="AY129" s="191"/>
      <c r="AZ129" s="191"/>
      <c r="BA129" s="191"/>
      <c r="BB129" s="191"/>
      <c r="BC129" s="191"/>
      <c r="BD129" s="191"/>
      <c r="BE129" s="191"/>
      <c r="BF129" s="191"/>
      <c r="BG129" s="191"/>
      <c r="BH129" s="191"/>
      <c r="BI129" s="191"/>
      <c r="BJ129" s="191"/>
      <c r="BK129" s="191"/>
      <c r="BL129" s="191"/>
      <c r="BM129" s="191"/>
      <c r="BN129" s="191"/>
      <c r="BO129" s="191"/>
      <c r="BP129" s="191"/>
      <c r="BQ129" s="191"/>
    </row>
    <row r="130" spans="11:69">
      <c r="K130" s="191"/>
      <c r="L130" s="191"/>
      <c r="M130" s="191"/>
      <c r="N130" s="191"/>
      <c r="O130" s="191"/>
      <c r="P130" s="191"/>
      <c r="Q130" s="191"/>
      <c r="R130" s="191"/>
      <c r="S130" s="191"/>
      <c r="T130" s="191"/>
      <c r="U130" s="191"/>
      <c r="V130" s="191"/>
      <c r="W130" s="191"/>
      <c r="X130" s="191"/>
      <c r="Y130" s="191"/>
      <c r="Z130" s="191"/>
      <c r="AA130" s="191"/>
      <c r="AB130" s="191"/>
      <c r="AC130" s="191"/>
      <c r="AD130" s="191"/>
      <c r="AE130" s="191"/>
      <c r="AF130" s="191"/>
      <c r="AG130" s="191"/>
      <c r="AH130" s="191"/>
      <c r="AI130" s="191"/>
      <c r="AJ130" s="191"/>
      <c r="AK130" s="191"/>
      <c r="AL130" s="191"/>
      <c r="AM130" s="191"/>
      <c r="AN130" s="191"/>
      <c r="AO130" s="191"/>
      <c r="AP130" s="191"/>
      <c r="AQ130" s="191"/>
      <c r="AR130" s="191"/>
      <c r="AS130" s="191"/>
      <c r="AT130" s="191"/>
      <c r="AU130" s="191"/>
      <c r="AV130" s="191"/>
      <c r="AW130" s="191"/>
      <c r="AX130" s="191"/>
      <c r="AY130" s="191"/>
      <c r="AZ130" s="191"/>
      <c r="BA130" s="191"/>
      <c r="BB130" s="191"/>
      <c r="BC130" s="191"/>
      <c r="BD130" s="191"/>
      <c r="BE130" s="191"/>
      <c r="BF130" s="191"/>
      <c r="BG130" s="191"/>
      <c r="BH130" s="191"/>
      <c r="BI130" s="191"/>
      <c r="BJ130" s="191"/>
      <c r="BK130" s="191"/>
      <c r="BL130" s="191"/>
      <c r="BM130" s="191"/>
      <c r="BN130" s="191"/>
      <c r="BO130" s="191"/>
      <c r="BP130" s="191"/>
      <c r="BQ130" s="191"/>
    </row>
    <row r="131" spans="11:69">
      <c r="K131" s="191"/>
      <c r="L131" s="191"/>
      <c r="M131" s="191"/>
      <c r="N131" s="191"/>
      <c r="O131" s="191"/>
      <c r="P131" s="191"/>
      <c r="Q131" s="191"/>
      <c r="R131" s="191"/>
      <c r="S131" s="191"/>
      <c r="T131" s="191"/>
      <c r="U131" s="191"/>
      <c r="V131" s="191"/>
      <c r="W131" s="191"/>
      <c r="X131" s="191"/>
      <c r="Y131" s="191"/>
      <c r="Z131" s="191"/>
      <c r="AA131" s="191"/>
      <c r="AB131" s="191"/>
      <c r="AC131" s="191"/>
      <c r="AD131" s="191"/>
      <c r="AE131" s="191"/>
      <c r="AF131" s="191"/>
      <c r="AG131" s="191"/>
      <c r="AH131" s="191"/>
      <c r="AI131" s="191"/>
      <c r="AJ131" s="191"/>
      <c r="AK131" s="191"/>
      <c r="AL131" s="191"/>
      <c r="AM131" s="191"/>
      <c r="AN131" s="191"/>
      <c r="AO131" s="191"/>
      <c r="AP131" s="191"/>
      <c r="AQ131" s="191"/>
      <c r="AR131" s="191"/>
      <c r="AS131" s="191"/>
      <c r="AT131" s="191"/>
      <c r="AU131" s="191"/>
      <c r="AV131" s="191"/>
      <c r="AW131" s="191"/>
      <c r="AX131" s="191"/>
      <c r="AY131" s="191"/>
      <c r="AZ131" s="191"/>
      <c r="BA131" s="191"/>
      <c r="BB131" s="191"/>
      <c r="BC131" s="191"/>
      <c r="BD131" s="191"/>
      <c r="BE131" s="191"/>
      <c r="BF131" s="191"/>
      <c r="BG131" s="191"/>
      <c r="BH131" s="191"/>
      <c r="BI131" s="191"/>
      <c r="BJ131" s="191"/>
      <c r="BK131" s="191"/>
      <c r="BL131" s="191"/>
      <c r="BM131" s="191"/>
      <c r="BN131" s="191"/>
      <c r="BO131" s="191"/>
      <c r="BP131" s="191"/>
      <c r="BQ131" s="191"/>
    </row>
    <row r="132" spans="11:69">
      <c r="K132" s="191"/>
      <c r="L132" s="191"/>
      <c r="M132" s="191"/>
      <c r="N132" s="191"/>
      <c r="O132" s="191"/>
      <c r="P132" s="191"/>
      <c r="Q132" s="191"/>
      <c r="R132" s="191"/>
      <c r="S132" s="191"/>
      <c r="T132" s="191"/>
      <c r="U132" s="191"/>
      <c r="V132" s="191"/>
      <c r="W132" s="191"/>
      <c r="X132" s="191"/>
      <c r="Y132" s="191"/>
      <c r="Z132" s="191"/>
      <c r="AA132" s="191"/>
      <c r="AB132" s="191"/>
      <c r="AC132" s="191"/>
      <c r="AD132" s="191"/>
      <c r="AE132" s="191"/>
      <c r="AF132" s="191"/>
      <c r="AG132" s="191"/>
      <c r="AH132" s="191"/>
      <c r="AI132" s="191"/>
      <c r="AJ132" s="191"/>
      <c r="AK132" s="191"/>
      <c r="AL132" s="191"/>
      <c r="AM132" s="191"/>
      <c r="AN132" s="191"/>
      <c r="AO132" s="191"/>
      <c r="AP132" s="191"/>
      <c r="AQ132" s="191"/>
      <c r="AR132" s="191"/>
      <c r="AS132" s="191"/>
      <c r="AT132" s="191"/>
      <c r="AU132" s="191"/>
      <c r="AV132" s="191"/>
      <c r="AW132" s="191"/>
      <c r="AX132" s="191"/>
      <c r="AY132" s="191"/>
      <c r="AZ132" s="191"/>
      <c r="BA132" s="191"/>
      <c r="BB132" s="191"/>
      <c r="BC132" s="191"/>
      <c r="BD132" s="191"/>
      <c r="BE132" s="191"/>
      <c r="BF132" s="191"/>
      <c r="BG132" s="191"/>
      <c r="BH132" s="191"/>
      <c r="BI132" s="191"/>
      <c r="BJ132" s="191"/>
      <c r="BK132" s="191"/>
      <c r="BL132" s="191"/>
      <c r="BM132" s="191"/>
      <c r="BN132" s="191"/>
      <c r="BO132" s="191"/>
      <c r="BP132" s="191"/>
      <c r="BQ132" s="191"/>
    </row>
    <row r="133" spans="11:69">
      <c r="K133" s="191"/>
      <c r="L133" s="191"/>
      <c r="M133" s="191"/>
      <c r="N133" s="191"/>
      <c r="O133" s="191"/>
      <c r="P133" s="191"/>
      <c r="Q133" s="191"/>
      <c r="R133" s="191"/>
      <c r="S133" s="191"/>
      <c r="T133" s="191"/>
      <c r="U133" s="191"/>
      <c r="V133" s="191"/>
      <c r="W133" s="191"/>
      <c r="X133" s="191"/>
      <c r="Y133" s="191"/>
      <c r="Z133" s="191"/>
      <c r="AA133" s="191"/>
      <c r="AB133" s="191"/>
      <c r="AC133" s="191"/>
      <c r="AD133" s="191"/>
      <c r="AE133" s="191"/>
      <c r="AF133" s="191"/>
      <c r="AG133" s="191"/>
      <c r="AH133" s="191"/>
      <c r="AI133" s="191"/>
      <c r="AJ133" s="191"/>
      <c r="AK133" s="191"/>
      <c r="AL133" s="191"/>
      <c r="AM133" s="191"/>
      <c r="AN133" s="191"/>
      <c r="AO133" s="191"/>
      <c r="AP133" s="191"/>
      <c r="AQ133" s="191"/>
      <c r="AR133" s="191"/>
      <c r="AS133" s="191"/>
      <c r="AT133" s="191"/>
      <c r="AU133" s="191"/>
      <c r="AV133" s="191"/>
      <c r="AW133" s="191"/>
      <c r="AX133" s="191"/>
      <c r="AY133" s="191"/>
      <c r="AZ133" s="191"/>
      <c r="BA133" s="191"/>
      <c r="BB133" s="191"/>
      <c r="BC133" s="191"/>
      <c r="BD133" s="191"/>
      <c r="BE133" s="191"/>
      <c r="BF133" s="191"/>
      <c r="BG133" s="191"/>
      <c r="BH133" s="191"/>
      <c r="BI133" s="191"/>
      <c r="BJ133" s="191"/>
      <c r="BK133" s="191"/>
      <c r="BL133" s="191"/>
      <c r="BM133" s="191"/>
      <c r="BN133" s="191"/>
      <c r="BO133" s="191"/>
      <c r="BP133" s="191"/>
      <c r="BQ133" s="191"/>
    </row>
    <row r="134" spans="11:69">
      <c r="K134" s="191"/>
      <c r="L134" s="191"/>
      <c r="M134" s="191"/>
      <c r="N134" s="191"/>
      <c r="O134" s="191"/>
      <c r="P134" s="191"/>
      <c r="Q134" s="191"/>
      <c r="R134" s="191"/>
      <c r="S134" s="191"/>
      <c r="T134" s="191"/>
      <c r="U134" s="191"/>
      <c r="V134" s="191"/>
      <c r="W134" s="191"/>
      <c r="X134" s="191"/>
      <c r="Y134" s="191"/>
      <c r="Z134" s="191"/>
      <c r="AA134" s="191"/>
      <c r="AB134" s="191"/>
      <c r="AC134" s="191"/>
      <c r="AD134" s="191"/>
      <c r="AE134" s="191"/>
      <c r="AF134" s="191"/>
      <c r="AG134" s="191"/>
      <c r="AH134" s="191"/>
      <c r="AI134" s="191"/>
      <c r="AJ134" s="191"/>
      <c r="AK134" s="191"/>
      <c r="AL134" s="191"/>
      <c r="AM134" s="191"/>
      <c r="AN134" s="191"/>
      <c r="AO134" s="191"/>
      <c r="AP134" s="191"/>
      <c r="AQ134" s="191"/>
      <c r="AR134" s="191"/>
      <c r="AS134" s="191"/>
      <c r="AT134" s="191"/>
      <c r="AU134" s="191"/>
      <c r="AV134" s="191"/>
      <c r="AW134" s="191"/>
      <c r="AX134" s="191"/>
      <c r="AY134" s="191"/>
      <c r="AZ134" s="191"/>
      <c r="BA134" s="191"/>
      <c r="BB134" s="191"/>
      <c r="BC134" s="191"/>
      <c r="BD134" s="191"/>
      <c r="BE134" s="191"/>
      <c r="BF134" s="191"/>
      <c r="BG134" s="191"/>
      <c r="BH134" s="191"/>
      <c r="BI134" s="191"/>
      <c r="BJ134" s="191"/>
      <c r="BK134" s="191"/>
      <c r="BL134" s="191"/>
      <c r="BM134" s="191"/>
      <c r="BN134" s="191"/>
      <c r="BO134" s="191"/>
      <c r="BP134" s="191"/>
      <c r="BQ134" s="191"/>
    </row>
    <row r="135" spans="11:69">
      <c r="K135" s="191"/>
      <c r="L135" s="191"/>
      <c r="M135" s="191"/>
      <c r="N135" s="191"/>
      <c r="O135" s="191"/>
      <c r="P135" s="191"/>
      <c r="Q135" s="191"/>
      <c r="R135" s="191"/>
      <c r="S135" s="191"/>
      <c r="T135" s="191"/>
      <c r="U135" s="191"/>
      <c r="V135" s="191"/>
      <c r="W135" s="191"/>
      <c r="X135" s="191"/>
      <c r="Y135" s="191"/>
      <c r="Z135" s="191"/>
      <c r="AA135" s="191"/>
      <c r="AB135" s="191"/>
      <c r="AC135" s="191"/>
      <c r="AD135" s="191"/>
      <c r="AE135" s="191"/>
      <c r="AF135" s="191"/>
      <c r="AG135" s="191"/>
      <c r="AH135" s="191"/>
      <c r="AI135" s="191"/>
      <c r="AJ135" s="191"/>
      <c r="AK135" s="191"/>
      <c r="AL135" s="191"/>
      <c r="AM135" s="191"/>
      <c r="AN135" s="191"/>
      <c r="AO135" s="191"/>
      <c r="AP135" s="191"/>
      <c r="AQ135" s="191"/>
      <c r="AR135" s="191"/>
      <c r="AS135" s="191"/>
      <c r="AT135" s="191"/>
      <c r="AU135" s="191"/>
      <c r="AV135" s="191"/>
      <c r="AW135" s="191"/>
      <c r="AX135" s="191"/>
      <c r="AY135" s="191"/>
      <c r="AZ135" s="191"/>
      <c r="BA135" s="191"/>
      <c r="BB135" s="191"/>
      <c r="BC135" s="191"/>
      <c r="BD135" s="191"/>
      <c r="BE135" s="191"/>
      <c r="BF135" s="191"/>
      <c r="BG135" s="191"/>
      <c r="BH135" s="191"/>
      <c r="BI135" s="191"/>
      <c r="BJ135" s="191"/>
      <c r="BK135" s="191"/>
      <c r="BL135" s="191"/>
      <c r="BM135" s="191"/>
      <c r="BN135" s="191"/>
      <c r="BO135" s="191"/>
      <c r="BP135" s="191"/>
      <c r="BQ135" s="191"/>
    </row>
    <row r="136" spans="11:69">
      <c r="K136" s="191"/>
      <c r="L136" s="191"/>
      <c r="M136" s="191"/>
      <c r="N136" s="191"/>
      <c r="O136" s="191"/>
      <c r="P136" s="191"/>
      <c r="Q136" s="191"/>
      <c r="R136" s="191"/>
      <c r="S136" s="191"/>
      <c r="T136" s="191"/>
      <c r="U136" s="191"/>
      <c r="V136" s="191"/>
      <c r="W136" s="191"/>
      <c r="X136" s="191"/>
      <c r="Y136" s="191"/>
      <c r="Z136" s="191"/>
      <c r="AA136" s="191"/>
      <c r="AB136" s="191"/>
      <c r="AC136" s="191"/>
      <c r="AD136" s="191"/>
      <c r="AE136" s="191"/>
      <c r="AF136" s="191"/>
      <c r="AG136" s="191"/>
      <c r="AH136" s="191"/>
      <c r="AI136" s="191"/>
      <c r="AJ136" s="191"/>
      <c r="AK136" s="191"/>
      <c r="AL136" s="191"/>
      <c r="AM136" s="191"/>
      <c r="AN136" s="191"/>
      <c r="AO136" s="191"/>
      <c r="AP136" s="191"/>
      <c r="AQ136" s="191"/>
      <c r="AR136" s="191"/>
      <c r="AS136" s="191"/>
      <c r="AT136" s="191"/>
      <c r="AU136" s="191"/>
      <c r="AV136" s="191"/>
      <c r="AW136" s="191"/>
      <c r="AX136" s="191"/>
      <c r="AY136" s="191"/>
      <c r="AZ136" s="191"/>
      <c r="BA136" s="191"/>
      <c r="BB136" s="191"/>
      <c r="BC136" s="191"/>
      <c r="BD136" s="191"/>
      <c r="BE136" s="191"/>
      <c r="BF136" s="191"/>
      <c r="BG136" s="191"/>
      <c r="BH136" s="191"/>
      <c r="BI136" s="191"/>
      <c r="BJ136" s="191"/>
      <c r="BK136" s="191"/>
      <c r="BL136" s="191"/>
      <c r="BM136" s="191"/>
      <c r="BN136" s="191"/>
      <c r="BO136" s="191"/>
      <c r="BP136" s="191"/>
      <c r="BQ136" s="191"/>
    </row>
    <row r="137" spans="11:69">
      <c r="K137" s="191"/>
      <c r="L137" s="191"/>
      <c r="M137" s="191"/>
      <c r="N137" s="191"/>
      <c r="O137" s="191"/>
      <c r="P137" s="191"/>
      <c r="Q137" s="191"/>
      <c r="R137" s="191"/>
      <c r="S137" s="191"/>
      <c r="T137" s="191"/>
      <c r="U137" s="191"/>
      <c r="V137" s="191"/>
      <c r="W137" s="191"/>
      <c r="X137" s="191"/>
      <c r="Y137" s="191"/>
      <c r="Z137" s="191"/>
      <c r="AA137" s="191"/>
      <c r="AB137" s="191"/>
      <c r="AC137" s="191"/>
      <c r="AD137" s="191"/>
      <c r="AE137" s="191"/>
      <c r="AF137" s="191"/>
      <c r="AG137" s="191"/>
      <c r="AH137" s="191"/>
      <c r="AI137" s="191"/>
      <c r="AJ137" s="191"/>
      <c r="AK137" s="191"/>
      <c r="AL137" s="191"/>
      <c r="AM137" s="191"/>
      <c r="AN137" s="191"/>
      <c r="AO137" s="191"/>
      <c r="AP137" s="191"/>
      <c r="AQ137" s="191"/>
      <c r="AR137" s="191"/>
      <c r="AS137" s="191"/>
      <c r="AT137" s="191"/>
      <c r="AU137" s="191"/>
      <c r="AV137" s="191"/>
      <c r="AW137" s="191"/>
      <c r="AX137" s="191"/>
      <c r="AY137" s="191"/>
      <c r="AZ137" s="191"/>
      <c r="BA137" s="191"/>
      <c r="BB137" s="191"/>
      <c r="BC137" s="191"/>
      <c r="BD137" s="191"/>
      <c r="BE137" s="191"/>
      <c r="BF137" s="191"/>
      <c r="BG137" s="191"/>
      <c r="BH137" s="191"/>
      <c r="BI137" s="191"/>
      <c r="BJ137" s="191"/>
      <c r="BK137" s="191"/>
      <c r="BL137" s="191"/>
      <c r="BM137" s="191"/>
      <c r="BN137" s="191"/>
      <c r="BO137" s="191"/>
      <c r="BP137" s="191"/>
      <c r="BQ137" s="191"/>
    </row>
    <row r="138" spans="11:69">
      <c r="K138" s="192"/>
      <c r="L138" s="191"/>
      <c r="M138" s="191"/>
      <c r="N138" s="191"/>
      <c r="O138" s="191"/>
      <c r="P138" s="191"/>
      <c r="Q138" s="191"/>
      <c r="R138" s="191"/>
      <c r="S138" s="191"/>
      <c r="T138" s="191"/>
      <c r="U138" s="191"/>
      <c r="V138" s="191"/>
      <c r="W138" s="191"/>
      <c r="X138" s="191"/>
      <c r="Y138" s="191"/>
      <c r="Z138" s="191"/>
      <c r="AA138" s="191"/>
      <c r="AB138" s="191"/>
      <c r="AC138" s="191"/>
      <c r="AD138" s="191"/>
      <c r="AE138" s="191"/>
      <c r="AF138" s="191"/>
      <c r="AG138" s="191"/>
      <c r="AH138" s="191"/>
      <c r="AI138" s="191"/>
      <c r="AJ138" s="191"/>
      <c r="AK138" s="191"/>
      <c r="AL138" s="191"/>
      <c r="AM138" s="191"/>
      <c r="AN138" s="191"/>
      <c r="AO138" s="191"/>
      <c r="AP138" s="191"/>
      <c r="AQ138" s="191"/>
      <c r="AR138" s="191"/>
      <c r="AS138" s="191"/>
      <c r="AT138" s="191"/>
      <c r="AU138" s="191"/>
      <c r="AV138" s="191"/>
      <c r="AW138" s="191"/>
      <c r="AX138" s="191"/>
      <c r="AY138" s="191"/>
      <c r="AZ138" s="191"/>
      <c r="BA138" s="191"/>
      <c r="BB138" s="191"/>
      <c r="BC138" s="191"/>
      <c r="BD138" s="191"/>
      <c r="BE138" s="191"/>
      <c r="BF138" s="191"/>
      <c r="BG138" s="191"/>
      <c r="BH138" s="191"/>
      <c r="BI138" s="191"/>
      <c r="BJ138" s="191"/>
      <c r="BK138" s="191"/>
      <c r="BL138" s="191"/>
      <c r="BM138" s="191"/>
      <c r="BN138" s="191"/>
      <c r="BO138" s="191"/>
      <c r="BP138" s="191"/>
      <c r="BQ138" s="191"/>
    </row>
    <row r="139" spans="11:69">
      <c r="K139" s="192"/>
      <c r="L139" s="191"/>
      <c r="M139" s="191"/>
      <c r="N139" s="191"/>
      <c r="O139" s="191"/>
      <c r="P139" s="191"/>
      <c r="Q139" s="191"/>
      <c r="R139" s="191"/>
      <c r="S139" s="191"/>
      <c r="T139" s="191"/>
      <c r="U139" s="191"/>
      <c r="V139" s="191"/>
      <c r="W139" s="191"/>
      <c r="X139" s="191"/>
      <c r="Y139" s="191"/>
      <c r="Z139" s="191"/>
      <c r="AA139" s="191"/>
      <c r="AB139" s="191"/>
      <c r="AC139" s="191"/>
      <c r="AD139" s="191"/>
      <c r="AE139" s="191"/>
      <c r="AF139" s="191"/>
      <c r="AG139" s="191"/>
      <c r="AH139" s="191"/>
      <c r="AI139" s="191"/>
      <c r="AJ139" s="191"/>
      <c r="AK139" s="191"/>
      <c r="AL139" s="191"/>
      <c r="AM139" s="191"/>
      <c r="AN139" s="191"/>
      <c r="AO139" s="191"/>
      <c r="AP139" s="191"/>
      <c r="AQ139" s="191"/>
      <c r="AR139" s="191"/>
      <c r="AS139" s="191"/>
      <c r="AT139" s="191"/>
      <c r="AU139" s="191"/>
      <c r="AV139" s="191"/>
      <c r="AW139" s="191"/>
      <c r="AX139" s="191"/>
      <c r="AY139" s="191"/>
      <c r="AZ139" s="191"/>
      <c r="BA139" s="191"/>
      <c r="BB139" s="191"/>
      <c r="BC139" s="191"/>
      <c r="BD139" s="191"/>
      <c r="BE139" s="191"/>
      <c r="BF139" s="191"/>
      <c r="BG139" s="191"/>
      <c r="BH139" s="191"/>
      <c r="BI139" s="191"/>
      <c r="BJ139" s="191"/>
      <c r="BK139" s="191"/>
      <c r="BL139" s="191"/>
      <c r="BM139" s="191"/>
      <c r="BN139" s="191"/>
      <c r="BO139" s="191"/>
      <c r="BP139" s="191"/>
      <c r="BQ139" s="191"/>
    </row>
    <row r="140" spans="11:69">
      <c r="K140" s="192"/>
      <c r="L140" s="191"/>
      <c r="M140" s="191"/>
      <c r="N140" s="191"/>
      <c r="O140" s="191"/>
      <c r="P140" s="191"/>
      <c r="Q140" s="191"/>
      <c r="R140" s="191"/>
      <c r="S140" s="191"/>
      <c r="T140" s="191"/>
      <c r="U140" s="191"/>
      <c r="V140" s="191"/>
      <c r="W140" s="191"/>
      <c r="X140" s="191"/>
      <c r="Y140" s="191"/>
      <c r="Z140" s="191"/>
      <c r="AA140" s="191"/>
      <c r="AB140" s="191"/>
      <c r="AC140" s="191"/>
      <c r="AD140" s="191"/>
      <c r="AE140" s="191"/>
      <c r="AF140" s="191"/>
      <c r="AG140" s="191"/>
      <c r="AH140" s="191"/>
      <c r="AI140" s="191"/>
      <c r="AJ140" s="191"/>
      <c r="AK140" s="191"/>
      <c r="AL140" s="191"/>
      <c r="AM140" s="191"/>
      <c r="AN140" s="191"/>
      <c r="AO140" s="191"/>
      <c r="AP140" s="191"/>
      <c r="AQ140" s="191"/>
      <c r="AR140" s="191"/>
      <c r="AS140" s="191"/>
      <c r="AT140" s="191"/>
      <c r="AU140" s="191"/>
      <c r="AV140" s="191"/>
      <c r="AW140" s="191"/>
      <c r="AX140" s="191"/>
      <c r="AY140" s="191"/>
      <c r="AZ140" s="191"/>
      <c r="BA140" s="191"/>
      <c r="BB140" s="191"/>
      <c r="BC140" s="191"/>
      <c r="BD140" s="191"/>
      <c r="BE140" s="191"/>
      <c r="BF140" s="191"/>
      <c r="BG140" s="191"/>
      <c r="BH140" s="191"/>
      <c r="BI140" s="191"/>
      <c r="BJ140" s="191"/>
      <c r="BK140" s="191"/>
      <c r="BL140" s="191"/>
      <c r="BM140" s="191"/>
      <c r="BN140" s="191"/>
      <c r="BO140" s="191"/>
      <c r="BP140" s="191"/>
      <c r="BQ140" s="191"/>
    </row>
    <row r="141" spans="11:69">
      <c r="K141" s="192"/>
      <c r="L141" s="191"/>
      <c r="M141" s="191"/>
      <c r="N141" s="191"/>
      <c r="O141" s="191"/>
      <c r="P141" s="191"/>
      <c r="Q141" s="191"/>
      <c r="R141" s="191"/>
      <c r="S141" s="191"/>
      <c r="T141" s="191"/>
      <c r="U141" s="191"/>
      <c r="V141" s="191"/>
      <c r="W141" s="191"/>
      <c r="X141" s="191"/>
      <c r="Y141" s="191"/>
      <c r="Z141" s="191"/>
      <c r="AA141" s="191"/>
      <c r="AB141" s="191"/>
      <c r="AC141" s="191"/>
      <c r="AD141" s="191"/>
      <c r="AE141" s="191"/>
      <c r="AF141" s="191"/>
      <c r="AG141" s="191"/>
      <c r="AH141" s="191"/>
      <c r="AI141" s="191"/>
      <c r="AJ141" s="191"/>
      <c r="AK141" s="191"/>
      <c r="AL141" s="191"/>
      <c r="AM141" s="191"/>
      <c r="AN141" s="191"/>
      <c r="AO141" s="191"/>
      <c r="AP141" s="191"/>
      <c r="AQ141" s="191"/>
      <c r="AR141" s="191"/>
      <c r="AS141" s="191"/>
      <c r="AT141" s="191"/>
      <c r="AU141" s="191"/>
      <c r="AV141" s="191"/>
      <c r="AW141" s="191"/>
      <c r="AX141" s="191"/>
      <c r="AY141" s="191"/>
      <c r="AZ141" s="191"/>
      <c r="BA141" s="191"/>
      <c r="BB141" s="191"/>
      <c r="BC141" s="191"/>
      <c r="BD141" s="191"/>
      <c r="BE141" s="191"/>
      <c r="BF141" s="191"/>
      <c r="BG141" s="191"/>
      <c r="BH141" s="191"/>
      <c r="BI141" s="191"/>
      <c r="BJ141" s="191"/>
      <c r="BK141" s="191"/>
      <c r="BL141" s="191"/>
      <c r="BM141" s="191"/>
      <c r="BN141" s="191"/>
      <c r="BO141" s="191"/>
      <c r="BP141" s="191"/>
      <c r="BQ141" s="191"/>
    </row>
    <row r="142" spans="11:69">
      <c r="K142" s="192"/>
      <c r="L142" s="191"/>
      <c r="M142" s="191"/>
      <c r="N142" s="191"/>
      <c r="O142" s="191"/>
      <c r="P142" s="191"/>
      <c r="Q142" s="191"/>
      <c r="R142" s="191"/>
      <c r="S142" s="191"/>
      <c r="T142" s="191"/>
      <c r="U142" s="191"/>
      <c r="V142" s="191"/>
      <c r="W142" s="191"/>
      <c r="X142" s="191"/>
      <c r="Y142" s="191"/>
      <c r="Z142" s="191"/>
      <c r="AA142" s="191"/>
      <c r="AB142" s="191"/>
      <c r="AC142" s="191"/>
      <c r="AD142" s="191"/>
      <c r="AE142" s="191"/>
      <c r="AF142" s="191"/>
      <c r="AG142" s="191"/>
      <c r="AH142" s="191"/>
      <c r="AI142" s="191"/>
      <c r="AJ142" s="191"/>
      <c r="AK142" s="191"/>
      <c r="AL142" s="191"/>
      <c r="AM142" s="191"/>
      <c r="AN142" s="191"/>
      <c r="AO142" s="191"/>
      <c r="AP142" s="191"/>
      <c r="AQ142" s="191"/>
      <c r="AR142" s="191"/>
      <c r="AS142" s="191"/>
      <c r="AT142" s="191"/>
      <c r="AU142" s="191"/>
      <c r="AV142" s="191"/>
      <c r="AW142" s="191"/>
      <c r="AX142" s="191"/>
      <c r="AY142" s="191"/>
      <c r="AZ142" s="191"/>
      <c r="BA142" s="191"/>
      <c r="BB142" s="191"/>
      <c r="BC142" s="191"/>
      <c r="BD142" s="191"/>
      <c r="BE142" s="191"/>
      <c r="BF142" s="191"/>
      <c r="BG142" s="191"/>
      <c r="BH142" s="191"/>
      <c r="BI142" s="191"/>
      <c r="BJ142" s="191"/>
      <c r="BK142" s="191"/>
      <c r="BL142" s="191"/>
      <c r="BM142" s="191"/>
      <c r="BN142" s="191"/>
      <c r="BO142" s="191"/>
      <c r="BP142" s="191"/>
      <c r="BQ142" s="191"/>
    </row>
    <row r="143" spans="11:69">
      <c r="K143" s="192"/>
      <c r="L143" s="191"/>
      <c r="M143" s="191"/>
      <c r="N143" s="191"/>
      <c r="O143" s="191"/>
      <c r="P143" s="191"/>
      <c r="Q143" s="191"/>
      <c r="R143" s="191"/>
      <c r="S143" s="191"/>
      <c r="T143" s="191"/>
      <c r="U143" s="191"/>
      <c r="V143" s="191"/>
      <c r="W143" s="191"/>
      <c r="X143" s="191"/>
      <c r="Y143" s="191"/>
      <c r="Z143" s="191"/>
      <c r="AA143" s="191"/>
      <c r="AB143" s="191"/>
      <c r="AC143" s="191"/>
      <c r="AD143" s="191"/>
      <c r="AE143" s="191"/>
      <c r="AF143" s="191"/>
      <c r="AG143" s="191"/>
      <c r="AH143" s="191"/>
      <c r="AI143" s="191"/>
      <c r="AJ143" s="191"/>
      <c r="AK143" s="191"/>
      <c r="AL143" s="191"/>
      <c r="AM143" s="191"/>
      <c r="AN143" s="191"/>
      <c r="AO143" s="191"/>
      <c r="AP143" s="191"/>
      <c r="AQ143" s="191"/>
      <c r="AR143" s="191"/>
      <c r="AS143" s="191"/>
      <c r="AT143" s="191"/>
      <c r="AU143" s="191"/>
      <c r="AV143" s="191"/>
      <c r="AW143" s="191"/>
      <c r="AX143" s="191"/>
      <c r="AY143" s="191"/>
      <c r="AZ143" s="191"/>
      <c r="BA143" s="191"/>
      <c r="BB143" s="191"/>
      <c r="BC143" s="191"/>
      <c r="BD143" s="191"/>
      <c r="BE143" s="191"/>
      <c r="BF143" s="191"/>
      <c r="BG143" s="191"/>
      <c r="BH143" s="191"/>
      <c r="BI143" s="191"/>
      <c r="BJ143" s="191"/>
      <c r="BK143" s="191"/>
      <c r="BL143" s="191"/>
      <c r="BM143" s="191"/>
      <c r="BN143" s="191"/>
      <c r="BO143" s="191"/>
      <c r="BP143" s="191"/>
      <c r="BQ143" s="191"/>
    </row>
    <row r="144" spans="11:69">
      <c r="K144" s="192"/>
      <c r="L144" s="191"/>
      <c r="M144" s="191"/>
      <c r="N144" s="191"/>
      <c r="O144" s="191"/>
      <c r="P144" s="191"/>
      <c r="Q144" s="191"/>
      <c r="R144" s="191"/>
      <c r="S144" s="191"/>
      <c r="T144" s="191"/>
      <c r="U144" s="191"/>
      <c r="V144" s="191"/>
      <c r="W144" s="191"/>
      <c r="X144" s="191"/>
      <c r="Y144" s="191"/>
      <c r="Z144" s="191"/>
      <c r="AA144" s="191"/>
      <c r="AB144" s="191"/>
      <c r="AC144" s="191"/>
      <c r="AD144" s="191"/>
      <c r="AE144" s="191"/>
      <c r="AF144" s="191"/>
      <c r="AG144" s="191"/>
      <c r="AH144" s="191"/>
      <c r="AI144" s="191"/>
      <c r="AJ144" s="191"/>
      <c r="AK144" s="191"/>
      <c r="AL144" s="191"/>
      <c r="AM144" s="191"/>
      <c r="AN144" s="191"/>
      <c r="AO144" s="191"/>
      <c r="AP144" s="191"/>
      <c r="AQ144" s="191"/>
      <c r="AR144" s="191"/>
      <c r="AS144" s="191"/>
      <c r="AT144" s="191"/>
      <c r="AU144" s="191"/>
      <c r="AV144" s="191"/>
      <c r="AW144" s="191"/>
      <c r="AX144" s="191"/>
      <c r="AY144" s="191"/>
      <c r="AZ144" s="191"/>
      <c r="BA144" s="191"/>
      <c r="BB144" s="191"/>
      <c r="BC144" s="191"/>
      <c r="BD144" s="191"/>
      <c r="BE144" s="191"/>
      <c r="BF144" s="191"/>
      <c r="BG144" s="191"/>
      <c r="BH144" s="191"/>
      <c r="BI144" s="191"/>
      <c r="BJ144" s="191"/>
      <c r="BK144" s="191"/>
      <c r="BL144" s="191"/>
      <c r="BM144" s="191"/>
      <c r="BN144" s="191"/>
      <c r="BO144" s="191"/>
      <c r="BP144" s="191"/>
      <c r="BQ144" s="191"/>
    </row>
    <row r="145" spans="11:69">
      <c r="K145" s="192"/>
      <c r="L145" s="191"/>
      <c r="M145" s="191"/>
      <c r="N145" s="191"/>
      <c r="O145" s="191"/>
      <c r="P145" s="191"/>
      <c r="Q145" s="191"/>
      <c r="R145" s="191"/>
      <c r="S145" s="191"/>
      <c r="T145" s="191"/>
      <c r="U145" s="191"/>
      <c r="V145" s="191"/>
      <c r="W145" s="191"/>
      <c r="X145" s="191"/>
      <c r="Y145" s="191"/>
      <c r="Z145" s="191"/>
      <c r="AA145" s="191"/>
      <c r="AB145" s="191"/>
      <c r="AC145" s="191"/>
      <c r="AD145" s="191"/>
      <c r="AE145" s="191"/>
      <c r="AF145" s="191"/>
      <c r="AG145" s="191"/>
      <c r="AH145" s="191"/>
      <c r="AI145" s="191"/>
      <c r="AJ145" s="191"/>
      <c r="AK145" s="191"/>
      <c r="AL145" s="191"/>
      <c r="AM145" s="191"/>
      <c r="AN145" s="191"/>
      <c r="AO145" s="191"/>
      <c r="AP145" s="191"/>
      <c r="AQ145" s="191"/>
      <c r="AR145" s="191"/>
      <c r="AS145" s="191"/>
      <c r="AT145" s="191"/>
      <c r="AU145" s="191"/>
      <c r="AV145" s="191"/>
      <c r="AW145" s="191"/>
      <c r="AX145" s="191"/>
      <c r="AY145" s="191"/>
      <c r="AZ145" s="191"/>
      <c r="BA145" s="191"/>
      <c r="BB145" s="191"/>
      <c r="BC145" s="191"/>
      <c r="BD145" s="191"/>
      <c r="BE145" s="191"/>
      <c r="BF145" s="191"/>
      <c r="BG145" s="191"/>
      <c r="BH145" s="191"/>
      <c r="BI145" s="191"/>
      <c r="BJ145" s="191"/>
      <c r="BK145" s="191"/>
      <c r="BL145" s="191"/>
      <c r="BM145" s="191"/>
      <c r="BN145" s="191"/>
      <c r="BO145" s="191"/>
      <c r="BP145" s="191"/>
      <c r="BQ145" s="191"/>
    </row>
    <row r="146" spans="11:69">
      <c r="K146" s="191"/>
      <c r="L146" s="191"/>
      <c r="M146" s="191"/>
      <c r="N146" s="191"/>
      <c r="O146" s="191"/>
      <c r="P146" s="191"/>
      <c r="Q146" s="191"/>
      <c r="R146" s="191"/>
      <c r="S146" s="191"/>
      <c r="T146" s="191"/>
      <c r="U146" s="191"/>
      <c r="V146" s="191"/>
      <c r="W146" s="191"/>
      <c r="X146" s="191"/>
      <c r="Y146" s="191"/>
      <c r="Z146" s="191"/>
      <c r="AA146" s="191"/>
      <c r="AB146" s="191"/>
      <c r="AC146" s="191"/>
      <c r="AD146" s="191"/>
      <c r="AE146" s="191"/>
      <c r="AF146" s="191"/>
      <c r="AG146" s="191"/>
      <c r="AH146" s="191"/>
      <c r="AI146" s="191"/>
      <c r="AJ146" s="191"/>
      <c r="AK146" s="191"/>
      <c r="AL146" s="191"/>
      <c r="AM146" s="191"/>
      <c r="AN146" s="191"/>
      <c r="AO146" s="191"/>
      <c r="AP146" s="191"/>
      <c r="AQ146" s="191"/>
      <c r="AR146" s="191"/>
      <c r="AS146" s="191"/>
      <c r="AT146" s="191"/>
      <c r="AU146" s="191"/>
      <c r="AV146" s="191"/>
      <c r="AW146" s="191"/>
      <c r="AX146" s="191"/>
      <c r="AY146" s="191"/>
      <c r="AZ146" s="191"/>
      <c r="BA146" s="191"/>
      <c r="BB146" s="191"/>
      <c r="BC146" s="191"/>
      <c r="BD146" s="191"/>
      <c r="BE146" s="191"/>
      <c r="BF146" s="191"/>
      <c r="BG146" s="191"/>
      <c r="BH146" s="191"/>
      <c r="BI146" s="191"/>
      <c r="BJ146" s="191"/>
      <c r="BK146" s="191"/>
      <c r="BL146" s="191"/>
      <c r="BM146" s="191"/>
      <c r="BN146" s="191"/>
      <c r="BO146" s="191"/>
      <c r="BP146" s="191"/>
      <c r="BQ146" s="191"/>
    </row>
    <row r="147" spans="11:69">
      <c r="K147" s="191"/>
      <c r="L147" s="191"/>
      <c r="M147" s="191"/>
      <c r="N147" s="191"/>
      <c r="O147" s="191"/>
      <c r="P147" s="191"/>
      <c r="Q147" s="191"/>
      <c r="R147" s="191"/>
      <c r="S147" s="191"/>
      <c r="T147" s="191"/>
      <c r="U147" s="191"/>
      <c r="V147" s="191"/>
      <c r="W147" s="191"/>
      <c r="X147" s="191"/>
      <c r="Y147" s="191"/>
      <c r="Z147" s="191"/>
      <c r="AA147" s="191"/>
      <c r="AB147" s="191"/>
      <c r="AC147" s="191"/>
      <c r="AD147" s="191"/>
      <c r="AE147" s="191"/>
      <c r="AF147" s="191"/>
      <c r="AG147" s="191"/>
      <c r="AH147" s="191"/>
      <c r="AI147" s="191"/>
      <c r="AJ147" s="191"/>
      <c r="AK147" s="191"/>
      <c r="AL147" s="191"/>
      <c r="AM147" s="191"/>
      <c r="AN147" s="191"/>
      <c r="AO147" s="191"/>
      <c r="AP147" s="191"/>
      <c r="AQ147" s="191"/>
      <c r="AR147" s="191"/>
      <c r="AS147" s="191"/>
      <c r="AT147" s="191"/>
      <c r="AU147" s="191"/>
      <c r="AV147" s="191"/>
      <c r="AW147" s="191"/>
      <c r="AX147" s="191"/>
      <c r="AY147" s="191"/>
      <c r="AZ147" s="191"/>
      <c r="BA147" s="191"/>
      <c r="BB147" s="191"/>
      <c r="BC147" s="191"/>
      <c r="BD147" s="191"/>
      <c r="BE147" s="191"/>
      <c r="BF147" s="191"/>
      <c r="BG147" s="191"/>
      <c r="BH147" s="191"/>
      <c r="BI147" s="191"/>
      <c r="BJ147" s="191"/>
      <c r="BK147" s="191"/>
      <c r="BL147" s="191"/>
      <c r="BM147" s="191"/>
      <c r="BN147" s="191"/>
      <c r="BO147" s="191"/>
      <c r="BP147" s="191"/>
      <c r="BQ147" s="191"/>
    </row>
    <row r="148" spans="11:69">
      <c r="K148" s="191"/>
      <c r="L148" s="191"/>
      <c r="M148" s="191"/>
      <c r="N148" s="191"/>
      <c r="O148" s="191"/>
      <c r="P148" s="191"/>
      <c r="Q148" s="191"/>
      <c r="R148" s="191"/>
      <c r="S148" s="191"/>
      <c r="T148" s="191"/>
      <c r="U148" s="191"/>
      <c r="V148" s="191"/>
      <c r="W148" s="191"/>
      <c r="X148" s="191"/>
      <c r="Y148" s="191"/>
      <c r="Z148" s="191"/>
      <c r="AA148" s="191"/>
      <c r="AB148" s="191"/>
      <c r="AC148" s="191"/>
      <c r="AD148" s="191"/>
      <c r="AE148" s="191"/>
      <c r="AF148" s="191"/>
      <c r="AG148" s="191"/>
      <c r="AH148" s="191"/>
      <c r="AI148" s="191"/>
      <c r="AJ148" s="191"/>
      <c r="AK148" s="191"/>
      <c r="AL148" s="191"/>
      <c r="AM148" s="191"/>
      <c r="AN148" s="191"/>
      <c r="AO148" s="191"/>
      <c r="AP148" s="191"/>
      <c r="AQ148" s="191"/>
      <c r="AR148" s="191"/>
      <c r="AS148" s="191"/>
      <c r="AT148" s="191"/>
      <c r="AU148" s="191"/>
      <c r="AV148" s="191"/>
      <c r="AW148" s="191"/>
      <c r="AX148" s="191"/>
      <c r="AY148" s="191"/>
      <c r="AZ148" s="191"/>
      <c r="BA148" s="191"/>
      <c r="BB148" s="191"/>
      <c r="BC148" s="191"/>
      <c r="BD148" s="191"/>
      <c r="BE148" s="191"/>
      <c r="BF148" s="191"/>
      <c r="BG148" s="191"/>
      <c r="BH148" s="191"/>
      <c r="BI148" s="191"/>
      <c r="BJ148" s="191"/>
      <c r="BK148" s="191"/>
      <c r="BL148" s="191"/>
      <c r="BM148" s="191"/>
      <c r="BN148" s="191"/>
      <c r="BO148" s="191"/>
      <c r="BP148" s="191"/>
      <c r="BQ148" s="191"/>
    </row>
    <row r="149" spans="11:69">
      <c r="K149" s="191"/>
      <c r="L149" s="191"/>
      <c r="M149" s="191"/>
      <c r="N149" s="191"/>
      <c r="O149" s="191"/>
      <c r="P149" s="191"/>
      <c r="Q149" s="191"/>
      <c r="R149" s="191"/>
      <c r="S149" s="191"/>
      <c r="T149" s="191"/>
      <c r="U149" s="191"/>
      <c r="V149" s="191"/>
      <c r="W149" s="191"/>
      <c r="X149" s="191"/>
      <c r="Y149" s="191"/>
      <c r="Z149" s="191"/>
      <c r="AA149" s="191"/>
      <c r="AB149" s="191"/>
      <c r="AC149" s="191"/>
      <c r="AD149" s="191"/>
      <c r="AE149" s="191"/>
      <c r="AF149" s="191"/>
      <c r="AG149" s="191"/>
      <c r="AH149" s="191"/>
      <c r="AI149" s="191"/>
      <c r="AJ149" s="191"/>
      <c r="AK149" s="191"/>
      <c r="AL149" s="191"/>
      <c r="AM149" s="191"/>
      <c r="AN149" s="191"/>
      <c r="AO149" s="191"/>
      <c r="AP149" s="191"/>
      <c r="AQ149" s="191"/>
      <c r="AR149" s="191"/>
      <c r="AS149" s="191"/>
      <c r="AT149" s="191"/>
      <c r="AU149" s="191"/>
      <c r="AV149" s="191"/>
      <c r="AW149" s="191"/>
      <c r="AX149" s="191"/>
      <c r="AY149" s="191"/>
      <c r="AZ149" s="191"/>
      <c r="BA149" s="191"/>
      <c r="BB149" s="191"/>
      <c r="BC149" s="191"/>
      <c r="BD149" s="191"/>
      <c r="BE149" s="191"/>
      <c r="BF149" s="191"/>
      <c r="BG149" s="191"/>
      <c r="BH149" s="191"/>
      <c r="BI149" s="191"/>
      <c r="BJ149" s="191"/>
      <c r="BK149" s="191"/>
      <c r="BL149" s="191"/>
      <c r="BM149" s="191"/>
      <c r="BN149" s="191"/>
      <c r="BO149" s="191"/>
      <c r="BP149" s="191"/>
      <c r="BQ149" s="191"/>
    </row>
    <row r="150" spans="11:69">
      <c r="K150" s="191"/>
      <c r="L150" s="191"/>
      <c r="M150" s="191"/>
      <c r="N150" s="191"/>
      <c r="O150" s="191"/>
      <c r="P150" s="191"/>
      <c r="Q150" s="191"/>
      <c r="R150" s="191"/>
      <c r="S150" s="191"/>
      <c r="T150" s="191"/>
      <c r="U150" s="191"/>
      <c r="V150" s="191"/>
      <c r="W150" s="191"/>
      <c r="X150" s="191"/>
      <c r="Y150" s="191"/>
      <c r="Z150" s="191"/>
      <c r="AA150" s="191"/>
      <c r="AB150" s="191"/>
      <c r="AC150" s="191"/>
      <c r="AD150" s="191"/>
      <c r="AE150" s="191"/>
      <c r="AF150" s="191"/>
      <c r="AG150" s="191"/>
      <c r="AH150" s="191"/>
      <c r="AI150" s="191"/>
      <c r="AJ150" s="191"/>
      <c r="AK150" s="191"/>
      <c r="AL150" s="191"/>
      <c r="AM150" s="191"/>
      <c r="AN150" s="191"/>
      <c r="AO150" s="191"/>
      <c r="AP150" s="191"/>
      <c r="AQ150" s="191"/>
      <c r="AR150" s="191"/>
      <c r="AS150" s="191"/>
      <c r="AT150" s="191"/>
      <c r="AU150" s="191"/>
      <c r="AV150" s="191"/>
      <c r="AW150" s="191"/>
      <c r="AX150" s="191"/>
      <c r="AY150" s="191"/>
      <c r="AZ150" s="191"/>
      <c r="BA150" s="191"/>
      <c r="BB150" s="191"/>
      <c r="BC150" s="191"/>
      <c r="BD150" s="191"/>
      <c r="BE150" s="191"/>
      <c r="BF150" s="191"/>
      <c r="BG150" s="191"/>
      <c r="BH150" s="191"/>
      <c r="BI150" s="191"/>
      <c r="BJ150" s="191"/>
      <c r="BK150" s="191"/>
      <c r="BL150" s="191"/>
      <c r="BM150" s="191"/>
      <c r="BN150" s="191"/>
      <c r="BO150" s="191"/>
      <c r="BP150" s="191"/>
      <c r="BQ150" s="191"/>
    </row>
    <row r="151" spans="11:69">
      <c r="K151" s="191"/>
      <c r="L151" s="191"/>
      <c r="M151" s="191"/>
      <c r="N151" s="191"/>
      <c r="O151" s="191"/>
      <c r="P151" s="191"/>
      <c r="Q151" s="191"/>
      <c r="R151" s="191"/>
      <c r="S151" s="191"/>
      <c r="T151" s="191"/>
      <c r="U151" s="191"/>
      <c r="V151" s="191"/>
      <c r="W151" s="191"/>
      <c r="X151" s="191"/>
      <c r="Y151" s="191"/>
      <c r="Z151" s="191"/>
      <c r="AA151" s="191"/>
      <c r="AB151" s="191"/>
      <c r="AC151" s="191"/>
      <c r="AD151" s="191"/>
      <c r="AE151" s="191"/>
      <c r="AF151" s="191"/>
      <c r="AG151" s="191"/>
      <c r="AH151" s="191"/>
      <c r="AI151" s="191"/>
      <c r="AJ151" s="191"/>
      <c r="AK151" s="191"/>
      <c r="AL151" s="191"/>
      <c r="AM151" s="191"/>
      <c r="AN151" s="191"/>
      <c r="AO151" s="191"/>
      <c r="AP151" s="191"/>
      <c r="AQ151" s="191"/>
      <c r="AR151" s="191"/>
      <c r="AS151" s="191"/>
      <c r="AT151" s="191"/>
      <c r="AU151" s="191"/>
      <c r="AV151" s="191"/>
      <c r="AW151" s="191"/>
      <c r="AX151" s="191"/>
      <c r="AY151" s="191"/>
      <c r="AZ151" s="191"/>
      <c r="BA151" s="191"/>
      <c r="BB151" s="191"/>
      <c r="BC151" s="191"/>
      <c r="BD151" s="191"/>
      <c r="BE151" s="191"/>
      <c r="BF151" s="191"/>
      <c r="BG151" s="191"/>
      <c r="BH151" s="191"/>
      <c r="BI151" s="191"/>
      <c r="BJ151" s="191"/>
      <c r="BK151" s="191"/>
      <c r="BL151" s="191"/>
      <c r="BM151" s="191"/>
      <c r="BN151" s="191"/>
      <c r="BO151" s="191"/>
      <c r="BP151" s="191"/>
      <c r="BQ151" s="191"/>
    </row>
    <row r="152" spans="11:69">
      <c r="K152" s="191"/>
      <c r="L152" s="191"/>
      <c r="M152" s="191"/>
      <c r="N152" s="191"/>
      <c r="O152" s="191"/>
      <c r="P152" s="191"/>
      <c r="Q152" s="191"/>
      <c r="R152" s="191"/>
      <c r="S152" s="191"/>
      <c r="T152" s="191"/>
      <c r="U152" s="191"/>
      <c r="V152" s="191"/>
      <c r="W152" s="191"/>
      <c r="X152" s="191"/>
      <c r="Y152" s="191"/>
      <c r="Z152" s="191"/>
      <c r="AA152" s="191"/>
      <c r="AB152" s="191"/>
      <c r="AC152" s="191"/>
      <c r="AD152" s="191"/>
      <c r="AE152" s="191"/>
      <c r="AF152" s="191"/>
      <c r="AG152" s="191"/>
      <c r="AH152" s="191"/>
      <c r="AI152" s="191"/>
      <c r="AJ152" s="191"/>
      <c r="AK152" s="191"/>
      <c r="AL152" s="191"/>
      <c r="AM152" s="191"/>
      <c r="AN152" s="191"/>
      <c r="AO152" s="191"/>
      <c r="AP152" s="191"/>
      <c r="AQ152" s="191"/>
      <c r="AR152" s="191"/>
      <c r="AS152" s="191"/>
      <c r="AT152" s="191"/>
      <c r="AU152" s="191"/>
      <c r="AV152" s="191"/>
      <c r="AW152" s="191"/>
      <c r="AX152" s="191"/>
      <c r="AY152" s="191"/>
      <c r="AZ152" s="191"/>
      <c r="BA152" s="191"/>
      <c r="BB152" s="191"/>
      <c r="BC152" s="191"/>
      <c r="BD152" s="191"/>
      <c r="BE152" s="191"/>
      <c r="BF152" s="191"/>
      <c r="BG152" s="191"/>
      <c r="BH152" s="191"/>
      <c r="BI152" s="191"/>
      <c r="BJ152" s="191"/>
      <c r="BK152" s="191"/>
      <c r="BL152" s="191"/>
      <c r="BM152" s="191"/>
      <c r="BN152" s="191"/>
      <c r="BO152" s="191"/>
      <c r="BP152" s="191"/>
      <c r="BQ152" s="191"/>
    </row>
    <row r="153" spans="11:69">
      <c r="K153" s="191"/>
      <c r="L153" s="191"/>
      <c r="M153" s="191"/>
      <c r="N153" s="191"/>
      <c r="O153" s="191"/>
      <c r="P153" s="191"/>
      <c r="Q153" s="191"/>
      <c r="R153" s="191"/>
      <c r="S153" s="191"/>
      <c r="T153" s="191"/>
      <c r="U153" s="191"/>
      <c r="V153" s="191"/>
      <c r="W153" s="191"/>
      <c r="X153" s="191"/>
      <c r="Y153" s="191"/>
      <c r="Z153" s="191"/>
      <c r="AA153" s="191"/>
      <c r="AB153" s="191"/>
      <c r="AC153" s="191"/>
      <c r="AD153" s="191"/>
      <c r="AE153" s="191"/>
      <c r="AF153" s="191"/>
      <c r="AG153" s="191"/>
      <c r="AH153" s="191"/>
      <c r="AI153" s="191"/>
      <c r="AJ153" s="191"/>
      <c r="AK153" s="191"/>
      <c r="AL153" s="191"/>
      <c r="AM153" s="191"/>
      <c r="AN153" s="191"/>
      <c r="AO153" s="191"/>
      <c r="AP153" s="191"/>
      <c r="AQ153" s="191"/>
      <c r="AR153" s="191"/>
      <c r="AS153" s="191"/>
      <c r="AT153" s="191"/>
      <c r="AU153" s="191"/>
      <c r="AV153" s="191"/>
      <c r="AW153" s="191"/>
      <c r="AX153" s="191"/>
      <c r="AY153" s="191"/>
      <c r="AZ153" s="191"/>
      <c r="BA153" s="191"/>
      <c r="BB153" s="191"/>
      <c r="BC153" s="191"/>
      <c r="BD153" s="191"/>
      <c r="BE153" s="191"/>
      <c r="BF153" s="191"/>
      <c r="BG153" s="191"/>
      <c r="BH153" s="191"/>
      <c r="BI153" s="191"/>
      <c r="BJ153" s="191"/>
      <c r="BK153" s="191"/>
      <c r="BL153" s="191"/>
      <c r="BM153" s="191"/>
      <c r="BN153" s="191"/>
      <c r="BO153" s="191"/>
      <c r="BP153" s="191"/>
      <c r="BQ153" s="191"/>
    </row>
    <row r="154" spans="11:69">
      <c r="K154" s="191"/>
      <c r="L154" s="191"/>
      <c r="M154" s="191"/>
      <c r="N154" s="191"/>
      <c r="O154" s="191"/>
      <c r="P154" s="191"/>
      <c r="Q154" s="191"/>
      <c r="R154" s="191"/>
      <c r="S154" s="191"/>
      <c r="T154" s="191"/>
      <c r="U154" s="191"/>
      <c r="V154" s="191"/>
      <c r="W154" s="191"/>
      <c r="X154" s="191"/>
      <c r="Y154" s="191"/>
      <c r="Z154" s="191"/>
      <c r="AA154" s="191"/>
      <c r="AB154" s="191"/>
      <c r="AC154" s="191"/>
      <c r="AD154" s="191"/>
      <c r="AE154" s="191"/>
      <c r="AF154" s="191"/>
      <c r="AG154" s="191"/>
      <c r="AH154" s="191"/>
      <c r="AI154" s="191"/>
      <c r="AJ154" s="191"/>
      <c r="AK154" s="191"/>
      <c r="AL154" s="191"/>
      <c r="AM154" s="191"/>
      <c r="AN154" s="191"/>
      <c r="AO154" s="191"/>
      <c r="AP154" s="191"/>
      <c r="AQ154" s="191"/>
      <c r="AR154" s="191"/>
      <c r="AS154" s="191"/>
      <c r="AT154" s="191"/>
      <c r="AU154" s="191"/>
      <c r="AV154" s="191"/>
      <c r="AW154" s="191"/>
      <c r="AX154" s="191"/>
      <c r="AY154" s="191"/>
      <c r="AZ154" s="191"/>
      <c r="BA154" s="191"/>
      <c r="BB154" s="191"/>
      <c r="BC154" s="191"/>
      <c r="BD154" s="191"/>
      <c r="BE154" s="191"/>
      <c r="BF154" s="191"/>
      <c r="BG154" s="191"/>
      <c r="BH154" s="191"/>
      <c r="BI154" s="191"/>
      <c r="BJ154" s="191"/>
      <c r="BK154" s="191"/>
      <c r="BL154" s="191"/>
      <c r="BM154" s="191"/>
      <c r="BN154" s="191"/>
      <c r="BO154" s="191"/>
      <c r="BP154" s="191"/>
      <c r="BQ154" s="191"/>
    </row>
    <row r="155" spans="11:69">
      <c r="K155" s="191"/>
      <c r="L155" s="191"/>
      <c r="M155" s="191"/>
      <c r="N155" s="191"/>
      <c r="O155" s="191"/>
      <c r="P155" s="191"/>
      <c r="Q155" s="191"/>
      <c r="R155" s="191"/>
      <c r="S155" s="191"/>
      <c r="T155" s="191"/>
      <c r="U155" s="191"/>
      <c r="V155" s="191"/>
      <c r="W155" s="191"/>
      <c r="X155" s="191"/>
      <c r="Y155" s="191"/>
      <c r="Z155" s="191"/>
      <c r="AA155" s="191"/>
      <c r="AB155" s="191"/>
      <c r="AC155" s="191"/>
      <c r="AD155" s="191"/>
      <c r="AE155" s="191"/>
      <c r="AF155" s="191"/>
      <c r="AG155" s="191"/>
      <c r="AH155" s="191"/>
      <c r="AI155" s="191"/>
      <c r="AJ155" s="191"/>
      <c r="AK155" s="191"/>
      <c r="AL155" s="191"/>
      <c r="AM155" s="191"/>
      <c r="AN155" s="191"/>
      <c r="AO155" s="191"/>
      <c r="AP155" s="191"/>
      <c r="AQ155" s="191"/>
      <c r="AR155" s="191"/>
      <c r="AS155" s="191"/>
      <c r="AT155" s="191"/>
      <c r="AU155" s="191"/>
      <c r="AV155" s="191"/>
      <c r="AW155" s="191"/>
      <c r="AX155" s="191"/>
      <c r="AY155" s="191"/>
      <c r="AZ155" s="191"/>
      <c r="BA155" s="191"/>
      <c r="BB155" s="191"/>
      <c r="BC155" s="191"/>
      <c r="BD155" s="191"/>
      <c r="BE155" s="191"/>
      <c r="BF155" s="191"/>
      <c r="BG155" s="191"/>
      <c r="BH155" s="191"/>
      <c r="BI155" s="191"/>
      <c r="BJ155" s="191"/>
      <c r="BK155" s="191"/>
      <c r="BL155" s="191"/>
      <c r="BM155" s="191"/>
      <c r="BN155" s="191"/>
      <c r="BO155" s="191"/>
      <c r="BP155" s="191"/>
      <c r="BQ155" s="191"/>
    </row>
    <row r="156" spans="11:69">
      <c r="K156" s="191"/>
      <c r="L156" s="191"/>
      <c r="M156" s="191"/>
      <c r="N156" s="191"/>
      <c r="O156" s="191"/>
      <c r="P156" s="191"/>
      <c r="Q156" s="191"/>
      <c r="R156" s="191"/>
      <c r="S156" s="191"/>
      <c r="T156" s="191"/>
      <c r="U156" s="191"/>
      <c r="V156" s="191"/>
      <c r="W156" s="191"/>
      <c r="X156" s="191"/>
      <c r="Y156" s="191"/>
      <c r="Z156" s="191"/>
      <c r="AA156" s="191"/>
      <c r="AB156" s="191"/>
      <c r="AC156" s="191"/>
      <c r="AD156" s="191"/>
      <c r="AE156" s="191"/>
      <c r="AF156" s="191"/>
      <c r="AG156" s="191"/>
      <c r="AH156" s="191"/>
      <c r="AI156" s="191"/>
      <c r="AJ156" s="191"/>
      <c r="AK156" s="191"/>
      <c r="AL156" s="191"/>
      <c r="AM156" s="191"/>
      <c r="AN156" s="191"/>
      <c r="AO156" s="191"/>
      <c r="AP156" s="191"/>
      <c r="AQ156" s="191"/>
      <c r="AR156" s="191"/>
      <c r="AS156" s="191"/>
      <c r="AT156" s="191"/>
      <c r="AU156" s="191"/>
      <c r="AV156" s="191"/>
      <c r="AW156" s="191"/>
      <c r="AX156" s="191"/>
      <c r="AY156" s="191"/>
      <c r="AZ156" s="191"/>
      <c r="BA156" s="191"/>
      <c r="BB156" s="191"/>
      <c r="BC156" s="191"/>
      <c r="BD156" s="191"/>
      <c r="BE156" s="191"/>
      <c r="BF156" s="191"/>
      <c r="BG156" s="191"/>
      <c r="BH156" s="191"/>
      <c r="BI156" s="191"/>
      <c r="BJ156" s="191"/>
      <c r="BK156" s="191"/>
      <c r="BL156" s="191"/>
      <c r="BM156" s="191"/>
      <c r="BN156" s="191"/>
      <c r="BO156" s="191"/>
      <c r="BP156" s="191"/>
      <c r="BQ156" s="191"/>
    </row>
    <row r="157" spans="11:69">
      <c r="K157" s="191"/>
      <c r="L157" s="191"/>
      <c r="M157" s="191"/>
      <c r="N157" s="191"/>
      <c r="O157" s="191"/>
      <c r="P157" s="191"/>
      <c r="Q157" s="191"/>
      <c r="R157" s="191"/>
      <c r="S157" s="191"/>
      <c r="T157" s="191"/>
      <c r="U157" s="191"/>
      <c r="V157" s="191"/>
      <c r="W157" s="191"/>
      <c r="X157" s="191"/>
      <c r="Y157" s="191"/>
      <c r="Z157" s="191"/>
      <c r="AA157" s="191"/>
      <c r="AB157" s="191"/>
      <c r="AC157" s="191"/>
      <c r="AD157" s="191"/>
      <c r="AE157" s="191"/>
      <c r="AF157" s="191"/>
      <c r="AG157" s="191"/>
      <c r="AH157" s="191"/>
      <c r="AI157" s="191"/>
      <c r="AJ157" s="191"/>
      <c r="AK157" s="191"/>
      <c r="AL157" s="191"/>
      <c r="AM157" s="191"/>
      <c r="AN157" s="191"/>
      <c r="AO157" s="191"/>
      <c r="AP157" s="191"/>
      <c r="AQ157" s="191"/>
      <c r="AR157" s="191"/>
      <c r="AS157" s="191"/>
      <c r="AT157" s="191"/>
      <c r="AU157" s="191"/>
      <c r="AV157" s="191"/>
      <c r="AW157" s="191"/>
      <c r="AX157" s="191"/>
      <c r="AY157" s="191"/>
      <c r="AZ157" s="191"/>
      <c r="BA157" s="191"/>
      <c r="BB157" s="191"/>
      <c r="BC157" s="191"/>
      <c r="BD157" s="191"/>
      <c r="BE157" s="191"/>
      <c r="BF157" s="191"/>
      <c r="BG157" s="191"/>
      <c r="BH157" s="191"/>
      <c r="BI157" s="191"/>
      <c r="BJ157" s="191"/>
      <c r="BK157" s="191"/>
      <c r="BL157" s="191"/>
      <c r="BM157" s="191"/>
      <c r="BN157" s="191"/>
      <c r="BO157" s="191"/>
      <c r="BP157" s="191"/>
      <c r="BQ157" s="191"/>
    </row>
    <row r="158" spans="11:69">
      <c r="K158" s="191"/>
      <c r="L158" s="191"/>
      <c r="M158" s="191"/>
      <c r="N158" s="191"/>
      <c r="O158" s="191"/>
      <c r="P158" s="191"/>
      <c r="Q158" s="191"/>
      <c r="R158" s="191"/>
      <c r="S158" s="191"/>
      <c r="T158" s="191"/>
      <c r="U158" s="191"/>
      <c r="V158" s="191"/>
      <c r="W158" s="191"/>
      <c r="X158" s="191"/>
      <c r="Y158" s="191"/>
      <c r="Z158" s="191"/>
      <c r="AA158" s="191"/>
      <c r="AB158" s="191"/>
      <c r="AC158" s="191"/>
      <c r="AD158" s="191"/>
      <c r="AE158" s="191"/>
      <c r="AF158" s="191"/>
      <c r="AG158" s="191"/>
      <c r="AH158" s="191"/>
      <c r="AI158" s="191"/>
      <c r="AJ158" s="191"/>
      <c r="AK158" s="191"/>
      <c r="AL158" s="191"/>
      <c r="AM158" s="191"/>
      <c r="AN158" s="191"/>
      <c r="AO158" s="191"/>
      <c r="AP158" s="191"/>
      <c r="AQ158" s="191"/>
      <c r="AR158" s="191"/>
      <c r="AS158" s="191"/>
      <c r="AT158" s="191"/>
      <c r="AU158" s="191"/>
      <c r="AV158" s="191"/>
      <c r="AW158" s="191"/>
      <c r="AX158" s="191"/>
      <c r="AY158" s="191"/>
      <c r="AZ158" s="191"/>
      <c r="BA158" s="191"/>
      <c r="BB158" s="191"/>
      <c r="BC158" s="191"/>
      <c r="BD158" s="191"/>
      <c r="BE158" s="191"/>
      <c r="BF158" s="191"/>
      <c r="BG158" s="191"/>
      <c r="BH158" s="191"/>
      <c r="BI158" s="191"/>
      <c r="BJ158" s="191"/>
      <c r="BK158" s="191"/>
      <c r="BL158" s="191"/>
      <c r="BM158" s="191"/>
      <c r="BN158" s="191"/>
      <c r="BO158" s="191"/>
      <c r="BP158" s="191"/>
      <c r="BQ158" s="191"/>
    </row>
    <row r="159" spans="11:69">
      <c r="K159" s="191"/>
      <c r="L159" s="191"/>
      <c r="M159" s="191"/>
      <c r="N159" s="191"/>
      <c r="O159" s="191"/>
      <c r="P159" s="191"/>
      <c r="Q159" s="191"/>
      <c r="R159" s="191"/>
      <c r="S159" s="191"/>
      <c r="T159" s="191"/>
      <c r="U159" s="191"/>
      <c r="V159" s="191"/>
      <c r="W159" s="191"/>
      <c r="X159" s="191"/>
      <c r="Y159" s="191"/>
      <c r="Z159" s="191"/>
      <c r="AA159" s="191"/>
      <c r="AB159" s="191"/>
      <c r="AC159" s="191"/>
      <c r="AD159" s="191"/>
      <c r="AE159" s="191"/>
      <c r="AF159" s="191"/>
      <c r="AG159" s="191"/>
      <c r="AH159" s="191"/>
      <c r="AI159" s="191"/>
      <c r="AJ159" s="191"/>
      <c r="AK159" s="191"/>
      <c r="AL159" s="191"/>
      <c r="AM159" s="191"/>
      <c r="AN159" s="191"/>
      <c r="AO159" s="191"/>
      <c r="AP159" s="191"/>
      <c r="AQ159" s="191"/>
      <c r="AR159" s="191"/>
      <c r="AS159" s="191"/>
      <c r="AT159" s="191"/>
      <c r="AU159" s="191"/>
      <c r="AV159" s="191"/>
      <c r="AW159" s="191"/>
      <c r="AX159" s="191"/>
      <c r="AY159" s="191"/>
      <c r="AZ159" s="191"/>
      <c r="BA159" s="191"/>
      <c r="BB159" s="191"/>
      <c r="BC159" s="191"/>
      <c r="BD159" s="191"/>
      <c r="BE159" s="191"/>
      <c r="BF159" s="191"/>
      <c r="BG159" s="191"/>
      <c r="BH159" s="191"/>
      <c r="BI159" s="191"/>
      <c r="BJ159" s="191"/>
      <c r="BK159" s="191"/>
      <c r="BL159" s="191"/>
      <c r="BM159" s="191"/>
      <c r="BN159" s="191"/>
      <c r="BO159" s="191"/>
      <c r="BP159" s="191"/>
      <c r="BQ159" s="191"/>
    </row>
    <row r="160" spans="11:69">
      <c r="K160" s="191"/>
      <c r="L160" s="191"/>
      <c r="M160" s="191"/>
      <c r="N160" s="191"/>
      <c r="O160" s="191"/>
      <c r="P160" s="191"/>
      <c r="Q160" s="191"/>
      <c r="R160" s="191"/>
      <c r="S160" s="191"/>
      <c r="T160" s="191"/>
      <c r="U160" s="191"/>
      <c r="V160" s="191"/>
      <c r="W160" s="191"/>
      <c r="X160" s="191"/>
      <c r="Y160" s="191"/>
      <c r="Z160" s="191"/>
      <c r="AA160" s="191"/>
      <c r="AB160" s="191"/>
      <c r="AC160" s="191"/>
      <c r="AD160" s="191"/>
      <c r="AE160" s="191"/>
      <c r="AF160" s="191"/>
      <c r="AG160" s="191"/>
      <c r="AH160" s="191"/>
      <c r="AI160" s="191"/>
      <c r="AJ160" s="191"/>
      <c r="AK160" s="191"/>
      <c r="AL160" s="191"/>
      <c r="AM160" s="191"/>
      <c r="AN160" s="191"/>
      <c r="AO160" s="191"/>
      <c r="AP160" s="191"/>
      <c r="AQ160" s="191"/>
      <c r="AR160" s="191"/>
      <c r="AS160" s="191"/>
      <c r="AT160" s="191"/>
      <c r="AU160" s="191"/>
      <c r="AV160" s="191"/>
      <c r="AW160" s="191"/>
      <c r="AX160" s="191"/>
      <c r="AY160" s="191"/>
      <c r="AZ160" s="191"/>
      <c r="BA160" s="191"/>
      <c r="BB160" s="191"/>
      <c r="BC160" s="191"/>
      <c r="BD160" s="191"/>
      <c r="BE160" s="191"/>
      <c r="BF160" s="191"/>
      <c r="BG160" s="191"/>
      <c r="BH160" s="191"/>
      <c r="BI160" s="191"/>
      <c r="BJ160" s="191"/>
      <c r="BK160" s="191"/>
      <c r="BL160" s="191"/>
      <c r="BM160" s="191"/>
      <c r="BN160" s="191"/>
      <c r="BO160" s="191"/>
      <c r="BP160" s="191"/>
      <c r="BQ160" s="191"/>
    </row>
    <row r="161" spans="11:69">
      <c r="K161" s="191"/>
      <c r="L161" s="191"/>
      <c r="M161" s="191"/>
      <c r="N161" s="191"/>
      <c r="O161" s="191"/>
      <c r="P161" s="191"/>
      <c r="Q161" s="191"/>
      <c r="R161" s="191"/>
      <c r="S161" s="191"/>
      <c r="T161" s="191"/>
      <c r="U161" s="191"/>
      <c r="V161" s="191"/>
      <c r="W161" s="191"/>
      <c r="X161" s="191"/>
      <c r="Y161" s="191"/>
      <c r="Z161" s="191"/>
      <c r="AA161" s="191"/>
      <c r="AB161" s="191"/>
      <c r="AC161" s="191"/>
      <c r="AD161" s="191"/>
      <c r="AE161" s="191"/>
      <c r="AF161" s="191"/>
      <c r="AG161" s="191"/>
      <c r="AH161" s="191"/>
      <c r="AI161" s="191"/>
      <c r="AJ161" s="191"/>
      <c r="AK161" s="191"/>
      <c r="AL161" s="191"/>
      <c r="AM161" s="191"/>
      <c r="AN161" s="191"/>
      <c r="AO161" s="191"/>
      <c r="AP161" s="191"/>
      <c r="AQ161" s="191"/>
      <c r="AR161" s="191"/>
      <c r="AS161" s="191"/>
      <c r="AT161" s="191"/>
      <c r="AU161" s="191"/>
      <c r="AV161" s="191"/>
      <c r="AW161" s="191"/>
      <c r="AX161" s="191"/>
      <c r="AY161" s="191"/>
      <c r="AZ161" s="191"/>
      <c r="BA161" s="191"/>
      <c r="BB161" s="191"/>
      <c r="BC161" s="191"/>
      <c r="BD161" s="191"/>
      <c r="BE161" s="191"/>
      <c r="BF161" s="191"/>
      <c r="BG161" s="191"/>
      <c r="BH161" s="191"/>
      <c r="BI161" s="191"/>
      <c r="BJ161" s="191"/>
      <c r="BK161" s="191"/>
      <c r="BL161" s="191"/>
      <c r="BM161" s="191"/>
      <c r="BN161" s="191"/>
      <c r="BO161" s="191"/>
      <c r="BP161" s="191"/>
      <c r="BQ161" s="191"/>
    </row>
    <row r="162" spans="11:69">
      <c r="K162" s="191"/>
      <c r="L162" s="191"/>
      <c r="M162" s="191"/>
      <c r="N162" s="191"/>
      <c r="O162" s="191"/>
      <c r="P162" s="191"/>
      <c r="Q162" s="191"/>
      <c r="R162" s="191"/>
      <c r="S162" s="191"/>
      <c r="T162" s="191"/>
      <c r="U162" s="191"/>
      <c r="V162" s="191"/>
      <c r="W162" s="191"/>
      <c r="X162" s="191"/>
      <c r="Y162" s="191"/>
      <c r="Z162" s="191"/>
      <c r="AA162" s="191"/>
      <c r="AB162" s="191"/>
      <c r="AC162" s="191"/>
      <c r="AD162" s="191"/>
      <c r="AE162" s="191"/>
      <c r="AF162" s="191"/>
      <c r="AG162" s="191"/>
      <c r="AH162" s="191"/>
      <c r="AI162" s="191"/>
      <c r="AJ162" s="191"/>
      <c r="AK162" s="191"/>
      <c r="AL162" s="191"/>
      <c r="AM162" s="191"/>
      <c r="AN162" s="191"/>
      <c r="AO162" s="191"/>
      <c r="AP162" s="191"/>
      <c r="AQ162" s="191"/>
      <c r="AR162" s="191"/>
      <c r="AS162" s="191"/>
      <c r="AT162" s="191"/>
      <c r="AU162" s="191"/>
      <c r="AV162" s="191"/>
      <c r="AW162" s="191"/>
      <c r="AX162" s="191"/>
      <c r="AY162" s="191"/>
      <c r="AZ162" s="191"/>
      <c r="BA162" s="191"/>
      <c r="BB162" s="191"/>
      <c r="BC162" s="191"/>
      <c r="BD162" s="191"/>
      <c r="BE162" s="191"/>
      <c r="BF162" s="191"/>
      <c r="BG162" s="191"/>
      <c r="BH162" s="191"/>
      <c r="BI162" s="191"/>
      <c r="BJ162" s="191"/>
      <c r="BK162" s="191"/>
      <c r="BL162" s="191"/>
      <c r="BM162" s="191"/>
      <c r="BN162" s="191"/>
      <c r="BO162" s="191"/>
      <c r="BP162" s="191"/>
      <c r="BQ162" s="191"/>
    </row>
    <row r="163" spans="11:69">
      <c r="K163" s="191"/>
      <c r="L163" s="191"/>
      <c r="M163" s="191"/>
      <c r="N163" s="191"/>
      <c r="O163" s="191"/>
      <c r="P163" s="191"/>
      <c r="Q163" s="191"/>
      <c r="R163" s="191"/>
      <c r="S163" s="191"/>
      <c r="T163" s="191"/>
      <c r="U163" s="191"/>
      <c r="V163" s="191"/>
      <c r="W163" s="191"/>
      <c r="X163" s="191"/>
      <c r="Y163" s="191"/>
      <c r="Z163" s="191"/>
      <c r="AA163" s="191"/>
      <c r="AB163" s="191"/>
      <c r="AC163" s="191"/>
      <c r="AD163" s="191"/>
      <c r="AE163" s="191"/>
      <c r="AF163" s="191"/>
      <c r="AG163" s="191"/>
      <c r="AH163" s="191"/>
      <c r="AI163" s="191"/>
      <c r="AJ163" s="191"/>
      <c r="AK163" s="191"/>
      <c r="AL163" s="191"/>
      <c r="AM163" s="191"/>
      <c r="AN163" s="191"/>
      <c r="AO163" s="191"/>
      <c r="AP163" s="191"/>
      <c r="AQ163" s="191"/>
      <c r="AR163" s="191"/>
      <c r="AS163" s="191"/>
      <c r="AT163" s="191"/>
      <c r="AU163" s="191"/>
      <c r="AV163" s="191"/>
      <c r="AW163" s="191"/>
      <c r="AX163" s="191"/>
      <c r="AY163" s="191"/>
      <c r="AZ163" s="191"/>
      <c r="BA163" s="191"/>
      <c r="BB163" s="191"/>
      <c r="BC163" s="191"/>
      <c r="BD163" s="191"/>
      <c r="BE163" s="191"/>
      <c r="BF163" s="191"/>
      <c r="BG163" s="191"/>
      <c r="BH163" s="191"/>
      <c r="BI163" s="191"/>
      <c r="BJ163" s="191"/>
      <c r="BK163" s="191"/>
      <c r="BL163" s="191"/>
      <c r="BM163" s="191"/>
      <c r="BN163" s="191"/>
      <c r="BO163" s="191"/>
      <c r="BP163" s="191"/>
      <c r="BQ163" s="191"/>
    </row>
    <row r="164" spans="11:69">
      <c r="K164" s="191"/>
      <c r="L164" s="191"/>
      <c r="M164" s="191"/>
      <c r="N164" s="191"/>
      <c r="O164" s="191"/>
      <c r="P164" s="191"/>
      <c r="Q164" s="191"/>
      <c r="R164" s="191"/>
      <c r="S164" s="191"/>
      <c r="T164" s="191"/>
      <c r="U164" s="191"/>
      <c r="V164" s="191"/>
      <c r="W164" s="191"/>
      <c r="X164" s="191"/>
      <c r="Y164" s="191"/>
      <c r="Z164" s="191"/>
      <c r="AA164" s="191"/>
      <c r="AB164" s="191"/>
      <c r="AC164" s="191"/>
      <c r="AD164" s="191"/>
      <c r="AE164" s="191"/>
      <c r="AF164" s="191"/>
      <c r="AG164" s="191"/>
      <c r="AH164" s="191"/>
      <c r="AI164" s="191"/>
      <c r="AJ164" s="191"/>
      <c r="AK164" s="191"/>
      <c r="AL164" s="191"/>
      <c r="AM164" s="191"/>
      <c r="AN164" s="191"/>
      <c r="AO164" s="191"/>
      <c r="AP164" s="191"/>
      <c r="AQ164" s="191"/>
      <c r="AR164" s="191"/>
      <c r="AS164" s="191"/>
      <c r="AT164" s="191"/>
      <c r="AU164" s="191"/>
      <c r="AV164" s="191"/>
      <c r="AW164" s="191"/>
      <c r="AX164" s="191"/>
      <c r="AY164" s="191"/>
      <c r="AZ164" s="191"/>
      <c r="BA164" s="191"/>
      <c r="BB164" s="191"/>
      <c r="BC164" s="191"/>
      <c r="BD164" s="191"/>
      <c r="BE164" s="191"/>
      <c r="BF164" s="191"/>
      <c r="BG164" s="191"/>
      <c r="BH164" s="191"/>
      <c r="BI164" s="191"/>
      <c r="BJ164" s="191"/>
      <c r="BK164" s="191"/>
      <c r="BL164" s="191"/>
      <c r="BM164" s="191"/>
      <c r="BN164" s="191"/>
      <c r="BO164" s="191"/>
      <c r="BP164" s="191"/>
      <c r="BQ164" s="191"/>
    </row>
    <row r="165" spans="11:69">
      <c r="K165" s="191"/>
      <c r="L165" s="191"/>
      <c r="M165" s="191"/>
      <c r="N165" s="191"/>
      <c r="O165" s="191"/>
      <c r="P165" s="191"/>
      <c r="Q165" s="191"/>
      <c r="R165" s="191"/>
      <c r="S165" s="191"/>
      <c r="T165" s="191"/>
      <c r="U165" s="191"/>
      <c r="V165" s="191"/>
      <c r="W165" s="191"/>
      <c r="X165" s="191"/>
      <c r="Y165" s="191"/>
      <c r="Z165" s="191"/>
      <c r="AA165" s="191"/>
      <c r="AB165" s="191"/>
      <c r="AC165" s="191"/>
      <c r="AD165" s="191"/>
      <c r="AE165" s="191"/>
      <c r="AF165" s="191"/>
      <c r="AG165" s="191"/>
      <c r="AH165" s="191"/>
      <c r="AI165" s="191"/>
      <c r="AJ165" s="191"/>
      <c r="AK165" s="191"/>
      <c r="AL165" s="191"/>
      <c r="AM165" s="191"/>
      <c r="AN165" s="191"/>
      <c r="AO165" s="191"/>
      <c r="AP165" s="191"/>
      <c r="AQ165" s="191"/>
      <c r="AR165" s="191"/>
      <c r="AS165" s="191"/>
      <c r="AT165" s="191"/>
      <c r="AU165" s="191"/>
      <c r="AV165" s="191"/>
      <c r="AW165" s="191"/>
      <c r="AX165" s="191"/>
      <c r="AY165" s="191"/>
      <c r="AZ165" s="191"/>
      <c r="BA165" s="191"/>
      <c r="BB165" s="191"/>
      <c r="BC165" s="191"/>
      <c r="BD165" s="191"/>
      <c r="BE165" s="191"/>
      <c r="BF165" s="191"/>
      <c r="BG165" s="191"/>
      <c r="BH165" s="191"/>
      <c r="BI165" s="191"/>
      <c r="BJ165" s="191"/>
      <c r="BK165" s="191"/>
      <c r="BL165" s="191"/>
      <c r="BM165" s="191"/>
      <c r="BN165" s="191"/>
      <c r="BO165" s="191"/>
      <c r="BP165" s="191"/>
      <c r="BQ165" s="191"/>
    </row>
    <row r="166" spans="11:69">
      <c r="K166" s="191"/>
      <c r="L166" s="191"/>
      <c r="M166" s="191"/>
      <c r="N166" s="191"/>
      <c r="O166" s="191"/>
      <c r="P166" s="191"/>
      <c r="Q166" s="191"/>
      <c r="R166" s="191"/>
      <c r="S166" s="191"/>
      <c r="T166" s="191"/>
      <c r="U166" s="191"/>
      <c r="V166" s="191"/>
      <c r="W166" s="191"/>
      <c r="X166" s="191"/>
      <c r="Y166" s="191"/>
      <c r="Z166" s="191"/>
      <c r="AA166" s="191"/>
      <c r="AB166" s="191"/>
      <c r="AC166" s="191"/>
      <c r="AD166" s="191"/>
      <c r="AE166" s="191"/>
      <c r="AF166" s="191"/>
      <c r="AG166" s="191"/>
      <c r="AH166" s="191"/>
      <c r="AI166" s="191"/>
      <c r="AJ166" s="191"/>
      <c r="AK166" s="191"/>
      <c r="AL166" s="191"/>
      <c r="AM166" s="191"/>
      <c r="AN166" s="191"/>
      <c r="AO166" s="191"/>
      <c r="AP166" s="191"/>
      <c r="AQ166" s="191"/>
      <c r="AR166" s="191"/>
      <c r="AS166" s="191"/>
      <c r="AT166" s="191"/>
      <c r="AU166" s="191"/>
      <c r="AV166" s="191"/>
      <c r="AW166" s="191"/>
      <c r="AX166" s="191"/>
      <c r="AY166" s="191"/>
      <c r="AZ166" s="191"/>
      <c r="BA166" s="191"/>
      <c r="BB166" s="191"/>
      <c r="BC166" s="191"/>
      <c r="BD166" s="191"/>
      <c r="BE166" s="191"/>
      <c r="BF166" s="191"/>
      <c r="BG166" s="191"/>
      <c r="BH166" s="191"/>
      <c r="BI166" s="191"/>
      <c r="BJ166" s="191"/>
      <c r="BK166" s="191"/>
      <c r="BL166" s="191"/>
      <c r="BM166" s="191"/>
      <c r="BN166" s="191"/>
      <c r="BO166" s="191"/>
      <c r="BP166" s="191"/>
      <c r="BQ166" s="191"/>
    </row>
    <row r="167" spans="11:69">
      <c r="K167" s="191"/>
      <c r="L167" s="191"/>
      <c r="M167" s="191"/>
      <c r="N167" s="191"/>
      <c r="O167" s="191"/>
      <c r="P167" s="191"/>
      <c r="Q167" s="191"/>
      <c r="R167" s="191"/>
      <c r="S167" s="191"/>
      <c r="T167" s="191"/>
      <c r="U167" s="191"/>
      <c r="V167" s="191"/>
      <c r="W167" s="191"/>
      <c r="X167" s="191"/>
      <c r="Y167" s="191"/>
      <c r="Z167" s="191"/>
      <c r="AA167" s="191"/>
      <c r="AB167" s="191"/>
      <c r="AC167" s="191"/>
      <c r="AD167" s="191"/>
      <c r="AE167" s="191"/>
      <c r="AF167" s="191"/>
      <c r="AG167" s="191"/>
      <c r="AH167" s="191"/>
      <c r="AI167" s="191"/>
      <c r="AJ167" s="191"/>
      <c r="AK167" s="191"/>
      <c r="AL167" s="191"/>
      <c r="AM167" s="191"/>
      <c r="AN167" s="191"/>
      <c r="AO167" s="191"/>
      <c r="AP167" s="191"/>
      <c r="AQ167" s="191"/>
      <c r="AR167" s="191"/>
      <c r="AS167" s="191"/>
      <c r="AT167" s="191"/>
      <c r="AU167" s="191"/>
      <c r="AV167" s="191"/>
      <c r="AW167" s="191"/>
      <c r="AX167" s="191"/>
      <c r="AY167" s="191"/>
      <c r="AZ167" s="191"/>
      <c r="BA167" s="191"/>
      <c r="BB167" s="191"/>
      <c r="BC167" s="191"/>
      <c r="BD167" s="191"/>
      <c r="BE167" s="191"/>
      <c r="BF167" s="191"/>
      <c r="BG167" s="191"/>
      <c r="BH167" s="191"/>
      <c r="BI167" s="191"/>
      <c r="BJ167" s="191"/>
      <c r="BK167" s="191"/>
      <c r="BL167" s="191"/>
      <c r="BM167" s="191"/>
      <c r="BN167" s="191"/>
      <c r="BO167" s="191"/>
      <c r="BP167" s="191"/>
      <c r="BQ167" s="191"/>
    </row>
    <row r="168" spans="11:69">
      <c r="K168" s="191"/>
      <c r="L168" s="191"/>
      <c r="M168" s="191"/>
      <c r="N168" s="191"/>
      <c r="O168" s="191"/>
      <c r="P168" s="191"/>
      <c r="Q168" s="191"/>
      <c r="R168" s="191"/>
      <c r="S168" s="191"/>
      <c r="T168" s="191"/>
      <c r="U168" s="191"/>
      <c r="V168" s="191"/>
      <c r="W168" s="191"/>
      <c r="X168" s="191"/>
      <c r="Y168" s="191"/>
      <c r="Z168" s="191"/>
      <c r="AA168" s="191"/>
      <c r="AB168" s="191"/>
      <c r="AC168" s="191"/>
      <c r="AD168" s="191"/>
      <c r="AE168" s="191"/>
      <c r="AF168" s="191"/>
      <c r="AG168" s="191"/>
      <c r="AH168" s="191"/>
      <c r="AI168" s="191"/>
      <c r="AJ168" s="191"/>
      <c r="AK168" s="191"/>
      <c r="AL168" s="191"/>
      <c r="AM168" s="191"/>
      <c r="AN168" s="191"/>
      <c r="AO168" s="191"/>
      <c r="AP168" s="191"/>
      <c r="AQ168" s="191"/>
      <c r="AR168" s="191"/>
      <c r="AS168" s="191"/>
      <c r="AT168" s="191"/>
      <c r="AU168" s="191"/>
      <c r="AV168" s="191"/>
      <c r="AW168" s="191"/>
      <c r="AX168" s="191"/>
      <c r="AY168" s="191"/>
      <c r="AZ168" s="191"/>
      <c r="BA168" s="191"/>
      <c r="BB168" s="191"/>
      <c r="BC168" s="191"/>
      <c r="BD168" s="191"/>
      <c r="BE168" s="191"/>
      <c r="BF168" s="191"/>
      <c r="BG168" s="191"/>
      <c r="BH168" s="191"/>
      <c r="BI168" s="191"/>
      <c r="BJ168" s="191"/>
      <c r="BK168" s="191"/>
      <c r="BL168" s="191"/>
      <c r="BM168" s="191"/>
      <c r="BN168" s="191"/>
      <c r="BO168" s="191"/>
      <c r="BP168" s="191"/>
      <c r="BQ168" s="191"/>
    </row>
    <row r="169" spans="11:69">
      <c r="K169" s="191"/>
      <c r="L169" s="191"/>
      <c r="M169" s="191"/>
      <c r="N169" s="191"/>
      <c r="O169" s="191"/>
      <c r="P169" s="191"/>
      <c r="Q169" s="191"/>
      <c r="R169" s="191"/>
      <c r="S169" s="191"/>
      <c r="T169" s="191"/>
      <c r="U169" s="191"/>
      <c r="V169" s="191"/>
      <c r="W169" s="191"/>
      <c r="X169" s="191"/>
      <c r="Y169" s="191"/>
      <c r="Z169" s="191"/>
      <c r="AA169" s="191"/>
      <c r="AB169" s="191"/>
      <c r="AC169" s="191"/>
      <c r="AD169" s="191"/>
      <c r="AE169" s="191"/>
      <c r="AF169" s="191"/>
      <c r="AG169" s="191"/>
      <c r="AH169" s="191"/>
      <c r="AI169" s="191"/>
      <c r="AJ169" s="191"/>
      <c r="AK169" s="191"/>
      <c r="AL169" s="191"/>
      <c r="AM169" s="191"/>
      <c r="AN169" s="191"/>
      <c r="AO169" s="191"/>
      <c r="AP169" s="191"/>
      <c r="AQ169" s="191"/>
      <c r="AR169" s="191"/>
      <c r="AS169" s="191"/>
      <c r="AT169" s="191"/>
      <c r="AU169" s="191"/>
      <c r="AV169" s="191"/>
      <c r="AW169" s="191"/>
      <c r="AX169" s="191"/>
      <c r="AY169" s="191"/>
      <c r="AZ169" s="191"/>
      <c r="BA169" s="191"/>
      <c r="BB169" s="191"/>
      <c r="BC169" s="191"/>
      <c r="BD169" s="191"/>
      <c r="BE169" s="191"/>
      <c r="BF169" s="191"/>
      <c r="BG169" s="191"/>
      <c r="BH169" s="191"/>
      <c r="BI169" s="191"/>
      <c r="BJ169" s="191"/>
      <c r="BK169" s="191"/>
      <c r="BL169" s="191"/>
      <c r="BM169" s="191"/>
      <c r="BN169" s="191"/>
      <c r="BO169" s="191"/>
      <c r="BP169" s="191"/>
      <c r="BQ169" s="191"/>
    </row>
    <row r="170" spans="11:69">
      <c r="K170" s="193"/>
      <c r="L170" s="191"/>
      <c r="M170" s="191"/>
      <c r="N170" s="191"/>
      <c r="O170" s="191"/>
      <c r="P170" s="191"/>
      <c r="Q170" s="191"/>
      <c r="R170" s="191"/>
      <c r="S170" s="191"/>
      <c r="T170" s="191"/>
      <c r="U170" s="191"/>
      <c r="V170" s="191"/>
      <c r="W170" s="191"/>
      <c r="X170" s="191"/>
      <c r="Y170" s="191"/>
      <c r="Z170" s="191"/>
      <c r="AA170" s="191"/>
      <c r="AB170" s="191"/>
      <c r="AC170" s="191"/>
      <c r="AD170" s="191"/>
      <c r="AE170" s="191"/>
      <c r="AF170" s="191"/>
      <c r="AG170" s="191"/>
      <c r="AH170" s="191"/>
      <c r="AI170" s="191"/>
      <c r="AJ170" s="191"/>
      <c r="AK170" s="191"/>
      <c r="AL170" s="191"/>
      <c r="AM170" s="191"/>
      <c r="AN170" s="191"/>
      <c r="AO170" s="191"/>
      <c r="AP170" s="191"/>
      <c r="AQ170" s="191"/>
      <c r="AR170" s="191"/>
      <c r="AS170" s="191"/>
      <c r="AT170" s="191"/>
      <c r="AU170" s="191"/>
      <c r="AV170" s="191"/>
      <c r="AW170" s="191"/>
      <c r="AX170" s="191"/>
      <c r="AY170" s="191"/>
      <c r="AZ170" s="191"/>
      <c r="BA170" s="191"/>
      <c r="BB170" s="191"/>
      <c r="BC170" s="191"/>
      <c r="BD170" s="191"/>
      <c r="BE170" s="191"/>
      <c r="BF170" s="191"/>
      <c r="BG170" s="191"/>
      <c r="BH170" s="191"/>
      <c r="BI170" s="191"/>
      <c r="BJ170" s="191"/>
      <c r="BK170" s="191"/>
      <c r="BL170" s="191"/>
      <c r="BM170" s="191"/>
      <c r="BN170" s="191"/>
      <c r="BO170" s="191"/>
      <c r="BP170" s="191"/>
      <c r="BQ170" s="191"/>
    </row>
    <row r="171" spans="11:69">
      <c r="K171" s="193"/>
      <c r="L171" s="191"/>
      <c r="M171" s="191"/>
      <c r="N171" s="191"/>
      <c r="O171" s="191"/>
      <c r="P171" s="191"/>
      <c r="Q171" s="191"/>
      <c r="R171" s="191"/>
      <c r="S171" s="191"/>
      <c r="T171" s="191"/>
      <c r="U171" s="191"/>
      <c r="V171" s="191"/>
      <c r="W171" s="191"/>
      <c r="X171" s="191"/>
      <c r="Y171" s="191"/>
      <c r="Z171" s="191"/>
      <c r="AA171" s="191"/>
      <c r="AB171" s="191"/>
      <c r="AC171" s="191"/>
      <c r="AD171" s="191"/>
      <c r="AE171" s="191"/>
      <c r="AF171" s="191"/>
      <c r="AG171" s="191"/>
      <c r="AH171" s="191"/>
      <c r="AI171" s="191"/>
      <c r="AJ171" s="191"/>
      <c r="AK171" s="191"/>
      <c r="AL171" s="191"/>
      <c r="AM171" s="191"/>
      <c r="AN171" s="191"/>
      <c r="AO171" s="191"/>
      <c r="AP171" s="191"/>
      <c r="AQ171" s="191"/>
      <c r="AR171" s="191"/>
      <c r="AS171" s="191"/>
      <c r="AT171" s="191"/>
      <c r="AU171" s="191"/>
      <c r="AV171" s="191"/>
      <c r="AW171" s="191"/>
      <c r="AX171" s="191"/>
      <c r="AY171" s="191"/>
      <c r="AZ171" s="191"/>
      <c r="BA171" s="191"/>
      <c r="BB171" s="191"/>
      <c r="BC171" s="191"/>
      <c r="BD171" s="191"/>
      <c r="BE171" s="191"/>
      <c r="BF171" s="191"/>
      <c r="BG171" s="191"/>
      <c r="BH171" s="191"/>
      <c r="BI171" s="191"/>
      <c r="BJ171" s="191"/>
      <c r="BK171" s="191"/>
      <c r="BL171" s="191"/>
      <c r="BM171" s="191"/>
      <c r="BN171" s="191"/>
      <c r="BO171" s="191"/>
      <c r="BP171" s="191"/>
      <c r="BQ171" s="191"/>
    </row>
    <row r="172" spans="11:69">
      <c r="K172" s="194"/>
      <c r="L172" s="191"/>
      <c r="M172" s="191"/>
      <c r="N172" s="191"/>
      <c r="O172" s="191"/>
      <c r="P172" s="191"/>
      <c r="Q172" s="191"/>
      <c r="R172" s="191"/>
      <c r="S172" s="191"/>
      <c r="T172" s="191"/>
      <c r="U172" s="191"/>
      <c r="V172" s="191"/>
      <c r="W172" s="191"/>
      <c r="X172" s="191"/>
      <c r="Y172" s="191"/>
      <c r="Z172" s="191"/>
      <c r="AA172" s="191"/>
      <c r="AB172" s="191"/>
      <c r="AC172" s="191"/>
      <c r="AD172" s="191"/>
      <c r="AE172" s="191"/>
      <c r="AF172" s="191"/>
      <c r="AG172" s="191"/>
      <c r="AH172" s="191"/>
      <c r="AI172" s="191"/>
      <c r="AJ172" s="191"/>
      <c r="AK172" s="191"/>
      <c r="AL172" s="191"/>
      <c r="AM172" s="191"/>
      <c r="AN172" s="191"/>
      <c r="AO172" s="191"/>
      <c r="AP172" s="191"/>
      <c r="AQ172" s="191"/>
      <c r="AR172" s="191"/>
      <c r="AS172" s="191"/>
      <c r="AT172" s="191"/>
      <c r="AU172" s="191"/>
      <c r="AV172" s="191"/>
      <c r="AW172" s="191"/>
      <c r="AX172" s="191"/>
      <c r="AY172" s="191"/>
      <c r="AZ172" s="191"/>
      <c r="BA172" s="191"/>
      <c r="BB172" s="191"/>
      <c r="BC172" s="191"/>
      <c r="BD172" s="191"/>
      <c r="BE172" s="191"/>
      <c r="BF172" s="191"/>
      <c r="BG172" s="191"/>
      <c r="BH172" s="191"/>
      <c r="BI172" s="191"/>
      <c r="BJ172" s="191"/>
      <c r="BK172" s="191"/>
      <c r="BL172" s="191"/>
      <c r="BM172" s="191"/>
      <c r="BN172" s="191"/>
      <c r="BO172" s="191"/>
      <c r="BP172" s="191"/>
      <c r="BQ172" s="191"/>
    </row>
    <row r="173" spans="11:69">
      <c r="K173" s="194"/>
      <c r="L173" s="191"/>
      <c r="M173" s="191"/>
      <c r="N173" s="191"/>
      <c r="O173" s="191"/>
      <c r="P173" s="191"/>
      <c r="Q173" s="191"/>
      <c r="R173" s="191"/>
      <c r="S173" s="191"/>
      <c r="T173" s="191"/>
      <c r="U173" s="191"/>
      <c r="V173" s="191"/>
      <c r="W173" s="191"/>
      <c r="X173" s="191"/>
      <c r="Y173" s="191"/>
      <c r="Z173" s="191"/>
      <c r="AA173" s="191"/>
      <c r="AB173" s="191"/>
      <c r="AC173" s="191"/>
      <c r="AD173" s="191"/>
      <c r="AE173" s="191"/>
      <c r="AF173" s="191"/>
      <c r="AG173" s="191"/>
      <c r="AH173" s="191"/>
      <c r="AI173" s="191"/>
      <c r="AJ173" s="191"/>
      <c r="AK173" s="191"/>
      <c r="AL173" s="191"/>
      <c r="AM173" s="191"/>
      <c r="AN173" s="191"/>
      <c r="AO173" s="191"/>
      <c r="AP173" s="191"/>
      <c r="AQ173" s="191"/>
      <c r="AR173" s="191"/>
      <c r="AS173" s="191"/>
      <c r="AT173" s="191"/>
      <c r="AU173" s="191"/>
      <c r="AV173" s="191"/>
      <c r="AW173" s="191"/>
      <c r="AX173" s="191"/>
      <c r="AY173" s="191"/>
      <c r="AZ173" s="191"/>
      <c r="BA173" s="191"/>
      <c r="BB173" s="191"/>
      <c r="BC173" s="191"/>
      <c r="BD173" s="191"/>
      <c r="BE173" s="191"/>
      <c r="BF173" s="191"/>
      <c r="BG173" s="191"/>
      <c r="BH173" s="191"/>
      <c r="BI173" s="191"/>
      <c r="BJ173" s="191"/>
      <c r="BK173" s="191"/>
      <c r="BL173" s="191"/>
      <c r="BM173" s="191"/>
      <c r="BN173" s="191"/>
      <c r="BO173" s="191"/>
      <c r="BP173" s="191"/>
      <c r="BQ173" s="191"/>
    </row>
    <row r="174" spans="11:69">
      <c r="K174" s="194"/>
      <c r="L174" s="191"/>
      <c r="M174" s="191"/>
      <c r="N174" s="191"/>
      <c r="O174" s="191"/>
      <c r="P174" s="191"/>
      <c r="Q174" s="191"/>
      <c r="R174" s="191"/>
      <c r="S174" s="191"/>
      <c r="T174" s="191"/>
      <c r="U174" s="191"/>
      <c r="V174" s="191"/>
      <c r="W174" s="191"/>
      <c r="X174" s="191"/>
      <c r="Y174" s="191"/>
      <c r="Z174" s="191"/>
      <c r="AA174" s="191"/>
      <c r="AB174" s="191"/>
      <c r="AC174" s="191"/>
      <c r="AD174" s="191"/>
      <c r="AE174" s="191"/>
      <c r="AF174" s="191"/>
      <c r="AG174" s="191"/>
      <c r="AH174" s="191"/>
      <c r="AI174" s="191"/>
      <c r="AJ174" s="191"/>
      <c r="AK174" s="191"/>
      <c r="AL174" s="191"/>
      <c r="AM174" s="191"/>
      <c r="AN174" s="191"/>
      <c r="AO174" s="191"/>
      <c r="AP174" s="191"/>
      <c r="AQ174" s="191"/>
      <c r="AR174" s="191"/>
      <c r="AS174" s="191"/>
      <c r="AT174" s="191"/>
      <c r="AU174" s="191"/>
      <c r="AV174" s="191"/>
      <c r="AW174" s="191"/>
      <c r="AX174" s="191"/>
      <c r="AY174" s="191"/>
      <c r="AZ174" s="191"/>
      <c r="BA174" s="191"/>
      <c r="BB174" s="191"/>
      <c r="BC174" s="191"/>
      <c r="BD174" s="191"/>
      <c r="BE174" s="191"/>
      <c r="BF174" s="191"/>
      <c r="BG174" s="191"/>
      <c r="BH174" s="191"/>
      <c r="BI174" s="191"/>
      <c r="BJ174" s="191"/>
      <c r="BK174" s="191"/>
      <c r="BL174" s="191"/>
      <c r="BM174" s="191"/>
      <c r="BN174" s="191"/>
      <c r="BO174" s="191"/>
      <c r="BP174" s="191"/>
      <c r="BQ174" s="191"/>
    </row>
    <row r="175" spans="11:69">
      <c r="K175" s="194"/>
      <c r="L175" s="191"/>
      <c r="M175" s="191"/>
      <c r="N175" s="191"/>
      <c r="O175" s="191"/>
      <c r="P175" s="191"/>
      <c r="Q175" s="191"/>
      <c r="R175" s="191"/>
      <c r="S175" s="191"/>
      <c r="T175" s="191"/>
      <c r="U175" s="191"/>
      <c r="V175" s="191"/>
      <c r="W175" s="191"/>
      <c r="X175" s="191"/>
      <c r="Y175" s="191"/>
      <c r="Z175" s="191"/>
      <c r="AA175" s="191"/>
      <c r="AB175" s="191"/>
      <c r="AC175" s="191"/>
      <c r="AD175" s="191"/>
      <c r="AE175" s="191"/>
      <c r="AF175" s="191"/>
      <c r="AG175" s="191"/>
      <c r="AH175" s="191"/>
      <c r="AI175" s="191"/>
      <c r="AJ175" s="191"/>
      <c r="AK175" s="191"/>
      <c r="AL175" s="191"/>
      <c r="AM175" s="191"/>
      <c r="AN175" s="191"/>
      <c r="AO175" s="191"/>
      <c r="AP175" s="191"/>
      <c r="AQ175" s="191"/>
      <c r="AR175" s="191"/>
      <c r="AS175" s="191"/>
      <c r="AT175" s="191"/>
      <c r="AU175" s="191"/>
      <c r="AV175" s="191"/>
      <c r="AW175" s="191"/>
      <c r="AX175" s="191"/>
      <c r="AY175" s="191"/>
      <c r="AZ175" s="191"/>
      <c r="BA175" s="191"/>
      <c r="BB175" s="191"/>
      <c r="BC175" s="191"/>
      <c r="BD175" s="191"/>
      <c r="BE175" s="191"/>
      <c r="BF175" s="191"/>
      <c r="BG175" s="191"/>
      <c r="BH175" s="191"/>
      <c r="BI175" s="191"/>
      <c r="BJ175" s="191"/>
      <c r="BK175" s="191"/>
      <c r="BL175" s="191"/>
      <c r="BM175" s="191"/>
      <c r="BN175" s="191"/>
      <c r="BO175" s="191"/>
      <c r="BP175" s="191"/>
      <c r="BQ175" s="191"/>
    </row>
    <row r="176" spans="11:69">
      <c r="K176" s="194"/>
      <c r="L176" s="191"/>
      <c r="M176" s="191"/>
      <c r="N176" s="191"/>
      <c r="O176" s="191"/>
      <c r="P176" s="191"/>
      <c r="Q176" s="191"/>
      <c r="R176" s="191"/>
      <c r="S176" s="191"/>
      <c r="T176" s="191"/>
      <c r="U176" s="191"/>
      <c r="V176" s="191"/>
      <c r="W176" s="191"/>
      <c r="X176" s="191"/>
      <c r="Y176" s="191"/>
      <c r="Z176" s="191"/>
      <c r="AA176" s="191"/>
      <c r="AB176" s="191"/>
      <c r="AC176" s="191"/>
      <c r="AD176" s="191"/>
      <c r="AE176" s="191"/>
      <c r="AF176" s="191"/>
      <c r="AG176" s="191"/>
      <c r="AH176" s="191"/>
      <c r="AI176" s="191"/>
      <c r="AJ176" s="191"/>
      <c r="AK176" s="191"/>
      <c r="AL176" s="191"/>
      <c r="AM176" s="191"/>
      <c r="AN176" s="191"/>
      <c r="AO176" s="191"/>
      <c r="AP176" s="191"/>
      <c r="AQ176" s="191"/>
      <c r="AR176" s="191"/>
      <c r="AS176" s="191"/>
      <c r="AT176" s="191"/>
      <c r="AU176" s="191"/>
      <c r="AV176" s="191"/>
      <c r="AW176" s="191"/>
      <c r="AX176" s="191"/>
      <c r="AY176" s="191"/>
      <c r="AZ176" s="191"/>
      <c r="BA176" s="191"/>
      <c r="BB176" s="191"/>
      <c r="BC176" s="191"/>
      <c r="BD176" s="191"/>
      <c r="BE176" s="191"/>
      <c r="BF176" s="191"/>
      <c r="BG176" s="191"/>
      <c r="BH176" s="191"/>
      <c r="BI176" s="191"/>
      <c r="BJ176" s="191"/>
      <c r="BK176" s="191"/>
      <c r="BL176" s="191"/>
      <c r="BM176" s="191"/>
      <c r="BN176" s="191"/>
      <c r="BO176" s="191"/>
      <c r="BP176" s="191"/>
      <c r="BQ176" s="191"/>
    </row>
    <row r="177" spans="11:69">
      <c r="K177" s="193"/>
      <c r="L177" s="191"/>
      <c r="M177" s="191"/>
      <c r="N177" s="191"/>
      <c r="O177" s="191"/>
      <c r="P177" s="191"/>
      <c r="Q177" s="191"/>
      <c r="R177" s="191"/>
      <c r="S177" s="191"/>
      <c r="T177" s="191"/>
      <c r="U177" s="191"/>
      <c r="V177" s="191"/>
      <c r="W177" s="191"/>
      <c r="X177" s="191"/>
      <c r="Y177" s="191"/>
      <c r="Z177" s="191"/>
      <c r="AA177" s="191"/>
      <c r="AB177" s="191"/>
      <c r="AC177" s="191"/>
      <c r="AD177" s="191"/>
      <c r="AE177" s="191"/>
      <c r="AF177" s="191"/>
      <c r="AG177" s="191"/>
      <c r="AH177" s="191"/>
      <c r="AI177" s="191"/>
      <c r="AJ177" s="191"/>
      <c r="AK177" s="191"/>
      <c r="AL177" s="191"/>
      <c r="AM177" s="191"/>
      <c r="AN177" s="191"/>
      <c r="AO177" s="191"/>
      <c r="AP177" s="191"/>
      <c r="AQ177" s="191"/>
      <c r="AR177" s="191"/>
      <c r="AS177" s="191"/>
      <c r="AT177" s="191"/>
      <c r="AU177" s="191"/>
      <c r="AV177" s="191"/>
      <c r="AW177" s="191"/>
      <c r="AX177" s="191"/>
      <c r="AY177" s="191"/>
      <c r="AZ177" s="191"/>
      <c r="BA177" s="191"/>
      <c r="BB177" s="191"/>
      <c r="BC177" s="191"/>
      <c r="BD177" s="191"/>
      <c r="BE177" s="191"/>
      <c r="BF177" s="191"/>
      <c r="BG177" s="191"/>
      <c r="BH177" s="191"/>
      <c r="BI177" s="191"/>
      <c r="BJ177" s="191"/>
      <c r="BK177" s="191"/>
      <c r="BL177" s="191"/>
      <c r="BM177" s="191"/>
      <c r="BN177" s="191"/>
      <c r="BO177" s="191"/>
      <c r="BP177" s="191"/>
      <c r="BQ177" s="191"/>
    </row>
    <row r="178" spans="11:69">
      <c r="K178" s="194"/>
      <c r="L178" s="191"/>
      <c r="M178" s="191"/>
      <c r="N178" s="191"/>
      <c r="O178" s="191"/>
      <c r="P178" s="191"/>
      <c r="Q178" s="191"/>
      <c r="R178" s="191"/>
      <c r="S178" s="191"/>
      <c r="T178" s="191"/>
      <c r="U178" s="191"/>
      <c r="V178" s="191"/>
      <c r="W178" s="191"/>
      <c r="X178" s="191"/>
      <c r="Y178" s="191"/>
      <c r="Z178" s="191"/>
      <c r="AA178" s="191"/>
      <c r="AB178" s="191"/>
      <c r="AC178" s="191"/>
      <c r="AD178" s="191"/>
      <c r="AE178" s="191"/>
      <c r="AF178" s="191"/>
      <c r="AG178" s="191"/>
      <c r="AH178" s="191"/>
      <c r="AI178" s="191"/>
      <c r="AJ178" s="191"/>
      <c r="AK178" s="191"/>
      <c r="AL178" s="191"/>
      <c r="AM178" s="191"/>
      <c r="AN178" s="191"/>
      <c r="AO178" s="191"/>
      <c r="AP178" s="191"/>
      <c r="AQ178" s="191"/>
      <c r="AR178" s="191"/>
      <c r="AS178" s="191"/>
      <c r="AT178" s="191"/>
      <c r="AU178" s="191"/>
      <c r="AV178" s="191"/>
      <c r="AW178" s="191"/>
      <c r="AX178" s="191"/>
      <c r="AY178" s="191"/>
      <c r="AZ178" s="191"/>
      <c r="BA178" s="191"/>
      <c r="BB178" s="191"/>
      <c r="BC178" s="191"/>
      <c r="BD178" s="191"/>
      <c r="BE178" s="191"/>
      <c r="BF178" s="191"/>
      <c r="BG178" s="191"/>
      <c r="BH178" s="191"/>
      <c r="BI178" s="191"/>
      <c r="BJ178" s="191"/>
      <c r="BK178" s="191"/>
      <c r="BL178" s="191"/>
      <c r="BM178" s="191"/>
      <c r="BN178" s="191"/>
      <c r="BO178" s="191"/>
      <c r="BP178" s="191"/>
      <c r="BQ178" s="191"/>
    </row>
    <row r="179" spans="11:69">
      <c r="K179" s="194"/>
      <c r="L179" s="191"/>
      <c r="M179" s="191"/>
      <c r="N179" s="191"/>
      <c r="O179" s="191"/>
      <c r="P179" s="191"/>
      <c r="Q179" s="191"/>
      <c r="R179" s="191"/>
      <c r="S179" s="191"/>
      <c r="T179" s="191"/>
      <c r="U179" s="191"/>
      <c r="V179" s="191"/>
      <c r="W179" s="191"/>
      <c r="X179" s="191"/>
      <c r="Y179" s="191"/>
      <c r="Z179" s="191"/>
      <c r="AA179" s="191"/>
      <c r="AB179" s="191"/>
      <c r="AC179" s="191"/>
      <c r="AD179" s="191"/>
      <c r="AE179" s="191"/>
      <c r="AF179" s="191"/>
      <c r="AG179" s="191"/>
      <c r="AH179" s="191"/>
      <c r="AI179" s="191"/>
      <c r="AJ179" s="191"/>
      <c r="AK179" s="191"/>
      <c r="AL179" s="191"/>
      <c r="AM179" s="191"/>
      <c r="AN179" s="191"/>
      <c r="AO179" s="191"/>
      <c r="AP179" s="191"/>
      <c r="AQ179" s="191"/>
      <c r="AR179" s="191"/>
      <c r="AS179" s="191"/>
      <c r="AT179" s="191"/>
      <c r="AU179" s="191"/>
      <c r="AV179" s="191"/>
      <c r="AW179" s="191"/>
      <c r="AX179" s="191"/>
      <c r="AY179" s="191"/>
      <c r="AZ179" s="191"/>
      <c r="BA179" s="191"/>
      <c r="BB179" s="191"/>
      <c r="BC179" s="191"/>
      <c r="BD179" s="191"/>
      <c r="BE179" s="191"/>
      <c r="BF179" s="191"/>
      <c r="BG179" s="191"/>
      <c r="BH179" s="191"/>
      <c r="BI179" s="191"/>
      <c r="BJ179" s="191"/>
      <c r="BK179" s="191"/>
      <c r="BL179" s="191"/>
      <c r="BM179" s="191"/>
      <c r="BN179" s="191"/>
      <c r="BO179" s="191"/>
      <c r="BP179" s="191"/>
      <c r="BQ179" s="191"/>
    </row>
    <row r="180" spans="11:69">
      <c r="K180" s="194"/>
      <c r="L180" s="191"/>
      <c r="M180" s="191"/>
      <c r="N180" s="191"/>
      <c r="O180" s="191"/>
      <c r="P180" s="191"/>
      <c r="Q180" s="191"/>
      <c r="R180" s="191"/>
      <c r="S180" s="191"/>
      <c r="T180" s="191"/>
      <c r="U180" s="191"/>
      <c r="V180" s="191"/>
      <c r="W180" s="191"/>
      <c r="X180" s="191"/>
      <c r="Y180" s="191"/>
      <c r="Z180" s="191"/>
      <c r="AA180" s="191"/>
      <c r="AB180" s="191"/>
      <c r="AC180" s="191"/>
      <c r="AD180" s="191"/>
      <c r="AE180" s="191"/>
      <c r="AF180" s="191"/>
      <c r="AG180" s="191"/>
      <c r="AH180" s="191"/>
      <c r="AI180" s="191"/>
      <c r="AJ180" s="191"/>
      <c r="AK180" s="191"/>
      <c r="AL180" s="191"/>
      <c r="AM180" s="191"/>
      <c r="AN180" s="191"/>
      <c r="AO180" s="191"/>
      <c r="AP180" s="191"/>
      <c r="AQ180" s="191"/>
      <c r="AR180" s="191"/>
      <c r="AS180" s="191"/>
      <c r="AT180" s="191"/>
      <c r="AU180" s="191"/>
      <c r="AV180" s="191"/>
      <c r="AW180" s="191"/>
      <c r="AX180" s="191"/>
      <c r="AY180" s="191"/>
      <c r="AZ180" s="191"/>
      <c r="BA180" s="191"/>
      <c r="BB180" s="191"/>
      <c r="BC180" s="191"/>
      <c r="BD180" s="191"/>
      <c r="BE180" s="191"/>
      <c r="BF180" s="191"/>
      <c r="BG180" s="191"/>
      <c r="BH180" s="191"/>
      <c r="BI180" s="191"/>
      <c r="BJ180" s="191"/>
      <c r="BK180" s="191"/>
      <c r="BL180" s="191"/>
      <c r="BM180" s="191"/>
      <c r="BN180" s="191"/>
      <c r="BO180" s="191"/>
      <c r="BP180" s="191"/>
      <c r="BQ180" s="191"/>
    </row>
    <row r="181" spans="11:69">
      <c r="K181" s="194"/>
      <c r="L181" s="191"/>
      <c r="M181" s="191"/>
      <c r="N181" s="191"/>
      <c r="O181" s="191"/>
      <c r="P181" s="191"/>
      <c r="Q181" s="191"/>
      <c r="R181" s="191"/>
      <c r="S181" s="191"/>
      <c r="T181" s="191"/>
      <c r="U181" s="191"/>
      <c r="V181" s="191"/>
      <c r="W181" s="191"/>
      <c r="X181" s="191"/>
      <c r="Y181" s="191"/>
      <c r="Z181" s="191"/>
      <c r="AA181" s="191"/>
      <c r="AB181" s="191"/>
      <c r="AC181" s="191"/>
      <c r="AD181" s="191"/>
      <c r="AE181" s="191"/>
      <c r="AF181" s="191"/>
      <c r="AG181" s="191"/>
      <c r="AH181" s="191"/>
      <c r="AI181" s="191"/>
      <c r="AJ181" s="191"/>
      <c r="AK181" s="191"/>
      <c r="AL181" s="191"/>
      <c r="AM181" s="191"/>
      <c r="AN181" s="191"/>
      <c r="AO181" s="191"/>
      <c r="AP181" s="191"/>
      <c r="AQ181" s="191"/>
      <c r="AR181" s="191"/>
      <c r="AS181" s="191"/>
      <c r="AT181" s="191"/>
      <c r="AU181" s="191"/>
      <c r="AV181" s="191"/>
      <c r="AW181" s="191"/>
      <c r="AX181" s="191"/>
      <c r="AY181" s="191"/>
      <c r="AZ181" s="191"/>
      <c r="BA181" s="191"/>
      <c r="BB181" s="191"/>
      <c r="BC181" s="191"/>
      <c r="BD181" s="191"/>
      <c r="BE181" s="191"/>
      <c r="BF181" s="191"/>
      <c r="BG181" s="191"/>
      <c r="BH181" s="191"/>
      <c r="BI181" s="191"/>
      <c r="BJ181" s="191"/>
      <c r="BK181" s="191"/>
      <c r="BL181" s="191"/>
      <c r="BM181" s="191"/>
      <c r="BN181" s="191"/>
      <c r="BO181" s="191"/>
      <c r="BP181" s="191"/>
      <c r="BQ181" s="191"/>
    </row>
    <row r="182" spans="11:69">
      <c r="K182" s="194"/>
      <c r="L182" s="191"/>
      <c r="M182" s="191"/>
      <c r="N182" s="191"/>
      <c r="O182" s="191"/>
      <c r="P182" s="191"/>
      <c r="Q182" s="191"/>
      <c r="R182" s="191"/>
      <c r="S182" s="191"/>
      <c r="T182" s="191"/>
      <c r="U182" s="191"/>
      <c r="V182" s="191"/>
      <c r="W182" s="191"/>
      <c r="X182" s="191"/>
      <c r="Y182" s="191"/>
      <c r="Z182" s="191"/>
      <c r="AA182" s="191"/>
      <c r="AB182" s="191"/>
      <c r="AC182" s="191"/>
      <c r="AD182" s="191"/>
      <c r="AE182" s="191"/>
      <c r="AF182" s="191"/>
      <c r="AG182" s="191"/>
      <c r="AH182" s="191"/>
      <c r="AI182" s="191"/>
      <c r="AJ182" s="191"/>
      <c r="AK182" s="191"/>
      <c r="AL182" s="191"/>
      <c r="AM182" s="191"/>
      <c r="AN182" s="191"/>
      <c r="AO182" s="191"/>
      <c r="AP182" s="191"/>
      <c r="AQ182" s="191"/>
      <c r="AR182" s="191"/>
      <c r="AS182" s="191"/>
      <c r="AT182" s="191"/>
      <c r="AU182" s="191"/>
      <c r="AV182" s="191"/>
      <c r="AW182" s="191"/>
      <c r="AX182" s="191"/>
      <c r="AY182" s="191"/>
      <c r="AZ182" s="191"/>
      <c r="BA182" s="191"/>
      <c r="BB182" s="191"/>
      <c r="BC182" s="191"/>
      <c r="BD182" s="191"/>
      <c r="BE182" s="191"/>
      <c r="BF182" s="191"/>
      <c r="BG182" s="191"/>
      <c r="BH182" s="191"/>
      <c r="BI182" s="191"/>
      <c r="BJ182" s="191"/>
      <c r="BK182" s="191"/>
      <c r="BL182" s="191"/>
      <c r="BM182" s="191"/>
      <c r="BN182" s="191"/>
      <c r="BO182" s="191"/>
      <c r="BP182" s="191"/>
      <c r="BQ182" s="191"/>
    </row>
    <row r="183" spans="11:69">
      <c r="K183" s="194"/>
      <c r="L183" s="191"/>
      <c r="M183" s="191"/>
      <c r="N183" s="191"/>
      <c r="O183" s="191"/>
      <c r="P183" s="191"/>
      <c r="Q183" s="191"/>
      <c r="R183" s="191"/>
      <c r="S183" s="191"/>
      <c r="T183" s="191"/>
      <c r="U183" s="191"/>
      <c r="V183" s="191"/>
      <c r="W183" s="191"/>
      <c r="X183" s="191"/>
      <c r="Y183" s="191"/>
      <c r="Z183" s="191"/>
      <c r="AA183" s="191"/>
      <c r="AB183" s="191"/>
      <c r="AC183" s="191"/>
      <c r="AD183" s="191"/>
      <c r="AE183" s="191"/>
      <c r="AF183" s="191"/>
      <c r="AG183" s="191"/>
      <c r="AH183" s="191"/>
      <c r="AI183" s="191"/>
      <c r="AJ183" s="191"/>
      <c r="AK183" s="191"/>
      <c r="AL183" s="191"/>
      <c r="AM183" s="191"/>
      <c r="AN183" s="191"/>
      <c r="AO183" s="191"/>
      <c r="AP183" s="191"/>
      <c r="AQ183" s="191"/>
      <c r="AR183" s="191"/>
      <c r="AS183" s="191"/>
      <c r="AT183" s="191"/>
      <c r="AU183" s="191"/>
      <c r="AV183" s="191"/>
      <c r="AW183" s="191"/>
      <c r="AX183" s="191"/>
      <c r="AY183" s="191"/>
      <c r="AZ183" s="191"/>
      <c r="BA183" s="191"/>
      <c r="BB183" s="191"/>
      <c r="BC183" s="191"/>
      <c r="BD183" s="191"/>
      <c r="BE183" s="191"/>
      <c r="BF183" s="191"/>
      <c r="BG183" s="191"/>
      <c r="BH183" s="191"/>
      <c r="BI183" s="191"/>
      <c r="BJ183" s="191"/>
      <c r="BK183" s="191"/>
      <c r="BL183" s="191"/>
      <c r="BM183" s="191"/>
      <c r="BN183" s="191"/>
      <c r="BO183" s="191"/>
      <c r="BP183" s="191"/>
      <c r="BQ183" s="191"/>
    </row>
    <row r="184" spans="11:69">
      <c r="K184" s="194"/>
      <c r="L184" s="191"/>
      <c r="M184" s="191"/>
      <c r="N184" s="191"/>
      <c r="O184" s="191"/>
      <c r="P184" s="191"/>
      <c r="Q184" s="191"/>
      <c r="R184" s="191"/>
      <c r="S184" s="191"/>
      <c r="T184" s="191"/>
      <c r="U184" s="191"/>
      <c r="V184" s="191"/>
      <c r="W184" s="191"/>
      <c r="X184" s="191"/>
      <c r="Y184" s="191"/>
      <c r="Z184" s="191"/>
      <c r="AA184" s="191"/>
      <c r="AB184" s="191"/>
      <c r="AC184" s="191"/>
      <c r="AD184" s="191"/>
      <c r="AE184" s="191"/>
      <c r="AF184" s="191"/>
      <c r="AG184" s="191"/>
      <c r="AH184" s="191"/>
      <c r="AI184" s="191"/>
      <c r="AJ184" s="191"/>
      <c r="AK184" s="191"/>
      <c r="AL184" s="191"/>
      <c r="AM184" s="191"/>
      <c r="AN184" s="191"/>
      <c r="AO184" s="191"/>
      <c r="AP184" s="191"/>
      <c r="AQ184" s="191"/>
      <c r="AR184" s="191"/>
      <c r="AS184" s="191"/>
      <c r="AT184" s="191"/>
      <c r="AU184" s="191"/>
      <c r="AV184" s="191"/>
      <c r="AW184" s="191"/>
      <c r="AX184" s="191"/>
      <c r="AY184" s="191"/>
      <c r="AZ184" s="191"/>
      <c r="BA184" s="191"/>
      <c r="BB184" s="191"/>
      <c r="BC184" s="191"/>
      <c r="BD184" s="191"/>
      <c r="BE184" s="191"/>
      <c r="BF184" s="191"/>
      <c r="BG184" s="191"/>
      <c r="BH184" s="191"/>
      <c r="BI184" s="191"/>
      <c r="BJ184" s="191"/>
      <c r="BK184" s="191"/>
      <c r="BL184" s="191"/>
      <c r="BM184" s="191"/>
      <c r="BN184" s="191"/>
      <c r="BO184" s="191"/>
      <c r="BP184" s="191"/>
      <c r="BQ184" s="191"/>
    </row>
    <row r="185" spans="11:69">
      <c r="K185" s="191"/>
      <c r="L185" s="191"/>
      <c r="M185" s="191"/>
      <c r="N185" s="191"/>
      <c r="O185" s="191"/>
      <c r="P185" s="191"/>
      <c r="Q185" s="191"/>
      <c r="R185" s="191"/>
      <c r="S185" s="191"/>
      <c r="T185" s="191"/>
      <c r="U185" s="191"/>
      <c r="V185" s="191"/>
      <c r="W185" s="191"/>
      <c r="X185" s="191"/>
      <c r="Y185" s="191"/>
      <c r="Z185" s="191"/>
      <c r="AA185" s="191"/>
      <c r="AB185" s="191"/>
      <c r="AC185" s="191"/>
      <c r="AD185" s="191"/>
      <c r="AE185" s="191"/>
      <c r="AF185" s="191"/>
      <c r="AG185" s="191"/>
      <c r="AH185" s="191"/>
      <c r="AI185" s="191"/>
      <c r="AJ185" s="191"/>
      <c r="AK185" s="191"/>
      <c r="AL185" s="191"/>
      <c r="AM185" s="191"/>
      <c r="AN185" s="191"/>
      <c r="AO185" s="191"/>
      <c r="AP185" s="191"/>
      <c r="AQ185" s="191"/>
      <c r="AR185" s="191"/>
      <c r="AS185" s="191"/>
      <c r="AT185" s="191"/>
      <c r="AU185" s="191"/>
      <c r="AV185" s="191"/>
      <c r="AW185" s="191"/>
      <c r="AX185" s="191"/>
      <c r="AY185" s="191"/>
      <c r="AZ185" s="191"/>
      <c r="BA185" s="191"/>
      <c r="BB185" s="191"/>
      <c r="BC185" s="191"/>
      <c r="BD185" s="191"/>
      <c r="BE185" s="191"/>
      <c r="BF185" s="191"/>
      <c r="BG185" s="191"/>
      <c r="BH185" s="191"/>
      <c r="BI185" s="191"/>
      <c r="BJ185" s="191"/>
      <c r="BK185" s="191"/>
      <c r="BL185" s="191"/>
      <c r="BM185" s="191"/>
      <c r="BN185" s="191"/>
      <c r="BO185" s="191"/>
      <c r="BP185" s="191"/>
      <c r="BQ185" s="191"/>
    </row>
    <row r="186" spans="11:69">
      <c r="K186" s="191"/>
      <c r="L186" s="191"/>
      <c r="M186" s="191"/>
      <c r="N186" s="191"/>
      <c r="O186" s="191"/>
      <c r="P186" s="191"/>
      <c r="Q186" s="191"/>
      <c r="R186" s="191"/>
      <c r="S186" s="191"/>
      <c r="T186" s="191"/>
      <c r="U186" s="191"/>
      <c r="V186" s="191"/>
      <c r="W186" s="191"/>
      <c r="X186" s="191"/>
      <c r="Y186" s="191"/>
      <c r="Z186" s="191"/>
      <c r="AA186" s="191"/>
      <c r="AB186" s="191"/>
      <c r="AC186" s="191"/>
      <c r="AD186" s="191"/>
      <c r="AE186" s="191"/>
      <c r="AF186" s="191"/>
      <c r="AG186" s="191"/>
      <c r="AH186" s="191"/>
      <c r="AI186" s="191"/>
      <c r="AJ186" s="191"/>
      <c r="AK186" s="191"/>
      <c r="AL186" s="191"/>
      <c r="AM186" s="191"/>
      <c r="AN186" s="191"/>
      <c r="AO186" s="191"/>
      <c r="AP186" s="191"/>
      <c r="AQ186" s="191"/>
      <c r="AR186" s="191"/>
      <c r="AS186" s="191"/>
      <c r="AT186" s="191"/>
      <c r="AU186" s="191"/>
      <c r="AV186" s="191"/>
      <c r="AW186" s="191"/>
      <c r="AX186" s="191"/>
      <c r="AY186" s="191"/>
      <c r="AZ186" s="191"/>
      <c r="BA186" s="191"/>
      <c r="BB186" s="191"/>
      <c r="BC186" s="191"/>
      <c r="BD186" s="191"/>
      <c r="BE186" s="191"/>
      <c r="BF186" s="191"/>
      <c r="BG186" s="191"/>
      <c r="BH186" s="191"/>
      <c r="BI186" s="191"/>
      <c r="BJ186" s="191"/>
      <c r="BK186" s="191"/>
      <c r="BL186" s="191"/>
      <c r="BM186" s="191"/>
      <c r="BN186" s="191"/>
      <c r="BO186" s="191"/>
      <c r="BP186" s="191"/>
      <c r="BQ186" s="191"/>
    </row>
    <row r="187" spans="11:69">
      <c r="K187" s="191"/>
      <c r="L187" s="191"/>
      <c r="M187" s="191"/>
      <c r="N187" s="191"/>
      <c r="O187" s="191"/>
      <c r="P187" s="191"/>
      <c r="Q187" s="191"/>
      <c r="R187" s="191"/>
      <c r="S187" s="191"/>
      <c r="T187" s="191"/>
      <c r="U187" s="191"/>
      <c r="V187" s="191"/>
      <c r="W187" s="191"/>
      <c r="X187" s="191"/>
      <c r="Y187" s="191"/>
      <c r="Z187" s="191"/>
      <c r="AA187" s="191"/>
      <c r="AB187" s="191"/>
      <c r="AC187" s="191"/>
      <c r="AD187" s="191"/>
      <c r="AE187" s="191"/>
      <c r="AF187" s="191"/>
      <c r="AG187" s="191"/>
      <c r="AH187" s="191"/>
      <c r="AI187" s="191"/>
      <c r="AJ187" s="191"/>
      <c r="AK187" s="191"/>
      <c r="AL187" s="191"/>
      <c r="AM187" s="191"/>
      <c r="AN187" s="191"/>
      <c r="AO187" s="191"/>
      <c r="AP187" s="191"/>
      <c r="AQ187" s="191"/>
      <c r="AR187" s="191"/>
      <c r="AS187" s="191"/>
      <c r="AT187" s="191"/>
      <c r="AU187" s="191"/>
      <c r="AV187" s="191"/>
      <c r="AW187" s="191"/>
      <c r="AX187" s="191"/>
      <c r="AY187" s="191"/>
      <c r="AZ187" s="191"/>
      <c r="BA187" s="191"/>
      <c r="BB187" s="191"/>
      <c r="BC187" s="191"/>
      <c r="BD187" s="191"/>
      <c r="BE187" s="191"/>
      <c r="BF187" s="191"/>
      <c r="BG187" s="191"/>
      <c r="BH187" s="191"/>
      <c r="BI187" s="191"/>
      <c r="BJ187" s="191"/>
      <c r="BK187" s="191"/>
      <c r="BL187" s="191"/>
      <c r="BM187" s="191"/>
      <c r="BN187" s="191"/>
      <c r="BO187" s="191"/>
      <c r="BP187" s="191"/>
      <c r="BQ187" s="191"/>
    </row>
    <row r="188" spans="11:69">
      <c r="K188" s="191"/>
      <c r="L188" s="191"/>
      <c r="M188" s="191"/>
      <c r="N188" s="191"/>
      <c r="O188" s="191"/>
      <c r="P188" s="191"/>
      <c r="Q188" s="191"/>
      <c r="R188" s="191"/>
      <c r="S188" s="191"/>
      <c r="T188" s="191"/>
      <c r="U188" s="191"/>
      <c r="V188" s="191"/>
      <c r="W188" s="191"/>
      <c r="X188" s="191"/>
      <c r="Y188" s="191"/>
      <c r="Z188" s="191"/>
      <c r="AA188" s="191"/>
      <c r="AB188" s="191"/>
      <c r="AC188" s="191"/>
      <c r="AD188" s="191"/>
      <c r="AE188" s="191"/>
      <c r="AF188" s="191"/>
      <c r="AG188" s="191"/>
      <c r="AH188" s="191"/>
      <c r="AI188" s="191"/>
      <c r="AJ188" s="191"/>
      <c r="AK188" s="191"/>
      <c r="AL188" s="191"/>
      <c r="AM188" s="191"/>
      <c r="AN188" s="191"/>
      <c r="AO188" s="191"/>
      <c r="AP188" s="191"/>
      <c r="AQ188" s="191"/>
      <c r="AR188" s="191"/>
      <c r="AS188" s="191"/>
      <c r="AT188" s="191"/>
      <c r="AU188" s="191"/>
      <c r="AV188" s="191"/>
      <c r="AW188" s="191"/>
      <c r="AX188" s="191"/>
      <c r="AY188" s="191"/>
      <c r="AZ188" s="191"/>
      <c r="BA188" s="191"/>
      <c r="BB188" s="191"/>
      <c r="BC188" s="191"/>
      <c r="BD188" s="191"/>
      <c r="BE188" s="191"/>
      <c r="BF188" s="191"/>
      <c r="BG188" s="191"/>
      <c r="BH188" s="191"/>
      <c r="BI188" s="191"/>
      <c r="BJ188" s="191"/>
      <c r="BK188" s="191"/>
      <c r="BL188" s="191"/>
      <c r="BM188" s="191"/>
      <c r="BN188" s="191"/>
      <c r="BO188" s="191"/>
      <c r="BP188" s="191"/>
      <c r="BQ188" s="191"/>
    </row>
    <row r="189" spans="11:69">
      <c r="K189" s="191"/>
      <c r="L189" s="191"/>
      <c r="M189" s="191"/>
      <c r="N189" s="191"/>
      <c r="O189" s="191"/>
      <c r="P189" s="191"/>
      <c r="Q189" s="191"/>
      <c r="R189" s="191"/>
      <c r="S189" s="191"/>
      <c r="T189" s="191"/>
      <c r="U189" s="191"/>
      <c r="V189" s="191"/>
      <c r="W189" s="191"/>
      <c r="X189" s="191"/>
      <c r="Y189" s="191"/>
      <c r="Z189" s="191"/>
      <c r="AA189" s="191"/>
      <c r="AB189" s="191"/>
      <c r="AC189" s="191"/>
      <c r="AD189" s="191"/>
      <c r="AE189" s="191"/>
      <c r="AF189" s="191"/>
      <c r="AG189" s="191"/>
      <c r="AH189" s="191"/>
      <c r="AI189" s="191"/>
      <c r="AJ189" s="191"/>
      <c r="AK189" s="191"/>
      <c r="AL189" s="191"/>
      <c r="AM189" s="191"/>
      <c r="AN189" s="191"/>
      <c r="AO189" s="191"/>
      <c r="AP189" s="191"/>
      <c r="AQ189" s="191"/>
      <c r="AR189" s="191"/>
      <c r="AS189" s="191"/>
      <c r="AT189" s="191"/>
      <c r="AU189" s="191"/>
      <c r="AV189" s="191"/>
      <c r="AW189" s="191"/>
      <c r="AX189" s="191"/>
      <c r="AY189" s="191"/>
      <c r="AZ189" s="191"/>
      <c r="BA189" s="191"/>
      <c r="BB189" s="191"/>
      <c r="BC189" s="191"/>
      <c r="BD189" s="191"/>
      <c r="BE189" s="191"/>
      <c r="BF189" s="191"/>
      <c r="BG189" s="191"/>
      <c r="BH189" s="191"/>
      <c r="BI189" s="191"/>
      <c r="BJ189" s="191"/>
      <c r="BK189" s="191"/>
      <c r="BL189" s="191"/>
      <c r="BM189" s="191"/>
      <c r="BN189" s="191"/>
      <c r="BO189" s="191"/>
      <c r="BP189" s="191"/>
      <c r="BQ189" s="191"/>
    </row>
    <row r="190" spans="11:69">
      <c r="K190" s="191"/>
      <c r="L190" s="191"/>
      <c r="M190" s="191"/>
      <c r="N190" s="191"/>
      <c r="O190" s="191"/>
      <c r="P190" s="191"/>
      <c r="Q190" s="191"/>
      <c r="R190" s="191"/>
      <c r="S190" s="191"/>
      <c r="T190" s="191"/>
      <c r="U190" s="191"/>
      <c r="V190" s="191"/>
      <c r="W190" s="191"/>
      <c r="X190" s="191"/>
      <c r="Y190" s="191"/>
      <c r="Z190" s="191"/>
      <c r="AA190" s="191"/>
      <c r="AB190" s="191"/>
      <c r="AC190" s="191"/>
      <c r="AD190" s="191"/>
      <c r="AE190" s="191"/>
      <c r="AF190" s="191"/>
      <c r="AG190" s="191"/>
      <c r="AH190" s="191"/>
      <c r="AI190" s="191"/>
      <c r="AJ190" s="191"/>
      <c r="AK190" s="191"/>
      <c r="AL190" s="191"/>
      <c r="AM190" s="191"/>
      <c r="AN190" s="191"/>
      <c r="AO190" s="191"/>
      <c r="AP190" s="191"/>
      <c r="AQ190" s="191"/>
      <c r="AR190" s="191"/>
      <c r="AS190" s="191"/>
      <c r="AT190" s="191"/>
      <c r="AU190" s="191"/>
      <c r="AV190" s="191"/>
      <c r="AW190" s="191"/>
      <c r="AX190" s="191"/>
      <c r="AY190" s="191"/>
      <c r="AZ190" s="191"/>
      <c r="BA190" s="191"/>
      <c r="BB190" s="191"/>
      <c r="BC190" s="191"/>
      <c r="BD190" s="191"/>
      <c r="BE190" s="191"/>
      <c r="BF190" s="191"/>
      <c r="BG190" s="191"/>
      <c r="BH190" s="191"/>
      <c r="BI190" s="191"/>
      <c r="BJ190" s="191"/>
      <c r="BK190" s="191"/>
      <c r="BL190" s="191"/>
      <c r="BM190" s="191"/>
      <c r="BN190" s="191"/>
      <c r="BO190" s="191"/>
      <c r="BP190" s="191"/>
      <c r="BQ190" s="191"/>
    </row>
    <row r="191" spans="11:69">
      <c r="K191" s="191"/>
      <c r="L191" s="191"/>
      <c r="M191" s="191"/>
      <c r="N191" s="191"/>
      <c r="O191" s="191"/>
      <c r="P191" s="191"/>
      <c r="Q191" s="191"/>
      <c r="R191" s="191"/>
      <c r="S191" s="191"/>
      <c r="T191" s="191"/>
      <c r="U191" s="191"/>
      <c r="V191" s="191"/>
      <c r="W191" s="191"/>
      <c r="X191" s="191"/>
      <c r="Y191" s="191"/>
      <c r="Z191" s="191"/>
      <c r="AA191" s="191"/>
      <c r="AB191" s="191"/>
      <c r="AC191" s="191"/>
      <c r="AD191" s="191"/>
      <c r="AE191" s="191"/>
      <c r="AF191" s="191"/>
      <c r="AG191" s="191"/>
      <c r="AH191" s="191"/>
      <c r="AI191" s="191"/>
      <c r="AJ191" s="191"/>
      <c r="AK191" s="191"/>
      <c r="AL191" s="191"/>
      <c r="AM191" s="191"/>
      <c r="AN191" s="191"/>
      <c r="AO191" s="191"/>
      <c r="AP191" s="191"/>
      <c r="AQ191" s="191"/>
      <c r="AR191" s="191"/>
      <c r="AS191" s="191"/>
      <c r="AT191" s="191"/>
      <c r="AU191" s="191"/>
      <c r="AV191" s="191"/>
      <c r="AW191" s="191"/>
      <c r="AX191" s="191"/>
      <c r="AY191" s="191"/>
      <c r="AZ191" s="191"/>
      <c r="BA191" s="191"/>
      <c r="BB191" s="191"/>
      <c r="BC191" s="191"/>
      <c r="BD191" s="191"/>
      <c r="BE191" s="191"/>
      <c r="BF191" s="191"/>
      <c r="BG191" s="191"/>
      <c r="BH191" s="191"/>
      <c r="BI191" s="191"/>
      <c r="BJ191" s="191"/>
      <c r="BK191" s="191"/>
      <c r="BL191" s="191"/>
      <c r="BM191" s="191"/>
      <c r="BN191" s="191"/>
      <c r="BO191" s="191"/>
      <c r="BP191" s="191"/>
      <c r="BQ191" s="191"/>
    </row>
    <row r="192" spans="11:69">
      <c r="K192" s="191"/>
      <c r="L192" s="191"/>
      <c r="M192" s="191"/>
      <c r="N192" s="191"/>
      <c r="O192" s="191"/>
      <c r="P192" s="191"/>
      <c r="Q192" s="191"/>
      <c r="R192" s="191"/>
      <c r="S192" s="191"/>
      <c r="T192" s="191"/>
      <c r="U192" s="191"/>
      <c r="V192" s="191"/>
      <c r="W192" s="191"/>
      <c r="X192" s="191"/>
      <c r="Y192" s="191"/>
      <c r="Z192" s="191"/>
      <c r="AA192" s="191"/>
      <c r="AB192" s="191"/>
      <c r="AC192" s="191"/>
      <c r="AD192" s="191"/>
      <c r="AE192" s="191"/>
      <c r="AF192" s="191"/>
      <c r="AG192" s="191"/>
      <c r="AH192" s="191"/>
      <c r="AI192" s="191"/>
      <c r="AJ192" s="191"/>
      <c r="AK192" s="191"/>
      <c r="AL192" s="191"/>
      <c r="AM192" s="191"/>
      <c r="AN192" s="191"/>
      <c r="AO192" s="191"/>
      <c r="AP192" s="191"/>
      <c r="AQ192" s="191"/>
      <c r="AR192" s="191"/>
      <c r="AS192" s="191"/>
      <c r="AT192" s="191"/>
      <c r="AU192" s="191"/>
      <c r="AV192" s="191"/>
      <c r="AW192" s="191"/>
      <c r="AX192" s="191"/>
      <c r="AY192" s="191"/>
      <c r="AZ192" s="191"/>
      <c r="BA192" s="191"/>
      <c r="BB192" s="191"/>
      <c r="BC192" s="191"/>
      <c r="BD192" s="191"/>
      <c r="BE192" s="191"/>
      <c r="BF192" s="191"/>
      <c r="BG192" s="191"/>
      <c r="BH192" s="191"/>
      <c r="BI192" s="191"/>
      <c r="BJ192" s="191"/>
      <c r="BK192" s="191"/>
      <c r="BL192" s="191"/>
      <c r="BM192" s="191"/>
      <c r="BN192" s="191"/>
      <c r="BO192" s="191"/>
      <c r="BP192" s="191"/>
      <c r="BQ192" s="191"/>
    </row>
    <row r="193" spans="11:69">
      <c r="K193" s="191"/>
      <c r="L193" s="191"/>
      <c r="M193" s="191"/>
      <c r="N193" s="191"/>
      <c r="O193" s="191"/>
      <c r="P193" s="191"/>
      <c r="Q193" s="191"/>
      <c r="R193" s="191"/>
      <c r="S193" s="191"/>
      <c r="T193" s="191"/>
      <c r="U193" s="191"/>
      <c r="V193" s="191"/>
      <c r="W193" s="191"/>
      <c r="X193" s="191"/>
      <c r="Y193" s="191"/>
      <c r="Z193" s="191"/>
      <c r="AA193" s="191"/>
      <c r="AB193" s="191"/>
      <c r="AC193" s="191"/>
      <c r="AD193" s="191"/>
      <c r="AE193" s="191"/>
      <c r="AF193" s="191"/>
      <c r="AG193" s="191"/>
      <c r="AH193" s="191"/>
      <c r="AI193" s="191"/>
      <c r="AJ193" s="191"/>
      <c r="AK193" s="191"/>
      <c r="AL193" s="191"/>
      <c r="AM193" s="191"/>
      <c r="AN193" s="191"/>
      <c r="AO193" s="191"/>
      <c r="AP193" s="191"/>
      <c r="AQ193" s="191"/>
      <c r="AR193" s="191"/>
      <c r="AS193" s="191"/>
      <c r="AT193" s="191"/>
      <c r="AU193" s="191"/>
      <c r="AV193" s="191"/>
      <c r="AW193" s="191"/>
      <c r="AX193" s="191"/>
      <c r="AY193" s="191"/>
      <c r="AZ193" s="191"/>
      <c r="BA193" s="191"/>
      <c r="BB193" s="191"/>
      <c r="BC193" s="191"/>
      <c r="BD193" s="191"/>
      <c r="BE193" s="191"/>
      <c r="BF193" s="191"/>
      <c r="BG193" s="191"/>
      <c r="BH193" s="191"/>
      <c r="BI193" s="191"/>
      <c r="BJ193" s="191"/>
      <c r="BK193" s="191"/>
      <c r="BL193" s="191"/>
      <c r="BM193" s="191"/>
      <c r="BN193" s="191"/>
      <c r="BO193" s="191"/>
      <c r="BP193" s="191"/>
      <c r="BQ193" s="191"/>
    </row>
    <row r="194" spans="11:69">
      <c r="K194" s="191"/>
      <c r="L194" s="191"/>
      <c r="M194" s="191"/>
      <c r="N194" s="191"/>
      <c r="O194" s="191"/>
      <c r="P194" s="191"/>
      <c r="Q194" s="191"/>
      <c r="R194" s="191"/>
      <c r="S194" s="191"/>
      <c r="T194" s="191"/>
      <c r="U194" s="191"/>
      <c r="V194" s="191"/>
      <c r="W194" s="191"/>
      <c r="X194" s="191"/>
      <c r="Y194" s="191"/>
      <c r="Z194" s="191"/>
      <c r="AA194" s="191"/>
      <c r="AB194" s="191"/>
      <c r="AC194" s="191"/>
      <c r="AD194" s="191"/>
      <c r="AE194" s="191"/>
      <c r="AF194" s="191"/>
      <c r="AG194" s="191"/>
      <c r="AH194" s="191"/>
      <c r="AI194" s="191"/>
      <c r="AJ194" s="191"/>
      <c r="AK194" s="191"/>
      <c r="AL194" s="191"/>
      <c r="AM194" s="191"/>
      <c r="AN194" s="191"/>
      <c r="AO194" s="191"/>
      <c r="AP194" s="191"/>
      <c r="AQ194" s="191"/>
      <c r="AR194" s="191"/>
      <c r="AS194" s="191"/>
      <c r="AT194" s="191"/>
      <c r="AU194" s="191"/>
      <c r="AV194" s="191"/>
      <c r="AW194" s="191"/>
      <c r="AX194" s="191"/>
      <c r="AY194" s="191"/>
      <c r="AZ194" s="191"/>
      <c r="BA194" s="191"/>
      <c r="BB194" s="191"/>
      <c r="BC194" s="191"/>
      <c r="BD194" s="191"/>
      <c r="BE194" s="191"/>
      <c r="BF194" s="191"/>
      <c r="BG194" s="191"/>
      <c r="BH194" s="191"/>
      <c r="BI194" s="191"/>
      <c r="BJ194" s="191"/>
      <c r="BK194" s="191"/>
      <c r="BL194" s="191"/>
      <c r="BM194" s="191"/>
      <c r="BN194" s="191"/>
      <c r="BO194" s="191"/>
      <c r="BP194" s="191"/>
      <c r="BQ194" s="191"/>
    </row>
    <row r="195" spans="11:69">
      <c r="K195" s="191"/>
      <c r="L195" s="191"/>
      <c r="M195" s="191"/>
      <c r="N195" s="191"/>
      <c r="O195" s="191"/>
      <c r="P195" s="191"/>
      <c r="Q195" s="191"/>
      <c r="R195" s="191"/>
      <c r="S195" s="191"/>
      <c r="T195" s="191"/>
      <c r="U195" s="191"/>
      <c r="V195" s="191"/>
      <c r="W195" s="191"/>
      <c r="X195" s="191"/>
      <c r="Y195" s="191"/>
      <c r="Z195" s="191"/>
      <c r="AA195" s="191"/>
      <c r="AB195" s="191"/>
      <c r="AC195" s="191"/>
      <c r="AD195" s="191"/>
      <c r="AE195" s="191"/>
      <c r="AF195" s="191"/>
      <c r="AG195" s="191"/>
      <c r="AH195" s="191"/>
      <c r="AI195" s="191"/>
      <c r="AJ195" s="191"/>
      <c r="AK195" s="191"/>
      <c r="AL195" s="191"/>
      <c r="AM195" s="191"/>
      <c r="AN195" s="191"/>
      <c r="AO195" s="191"/>
      <c r="AP195" s="191"/>
      <c r="AQ195" s="191"/>
      <c r="AR195" s="191"/>
      <c r="AS195" s="191"/>
      <c r="AT195" s="191"/>
      <c r="AU195" s="191"/>
      <c r="AV195" s="191"/>
      <c r="AW195" s="191"/>
      <c r="AX195" s="191"/>
      <c r="AY195" s="191"/>
      <c r="AZ195" s="191"/>
      <c r="BA195" s="191"/>
      <c r="BB195" s="191"/>
      <c r="BC195" s="191"/>
      <c r="BD195" s="191"/>
      <c r="BE195" s="191"/>
      <c r="BF195" s="191"/>
      <c r="BG195" s="191"/>
      <c r="BH195" s="191"/>
      <c r="BI195" s="191"/>
      <c r="BJ195" s="191"/>
      <c r="BK195" s="191"/>
      <c r="BL195" s="191"/>
      <c r="BM195" s="191"/>
      <c r="BN195" s="191"/>
      <c r="BO195" s="191"/>
      <c r="BP195" s="191"/>
      <c r="BQ195" s="191"/>
    </row>
    <row r="196" spans="11:69">
      <c r="K196" s="191"/>
      <c r="L196" s="191"/>
      <c r="M196" s="191"/>
      <c r="N196" s="191"/>
      <c r="O196" s="191"/>
      <c r="P196" s="191"/>
      <c r="Q196" s="191"/>
      <c r="R196" s="191"/>
      <c r="S196" s="191"/>
      <c r="T196" s="191"/>
      <c r="U196" s="191"/>
      <c r="V196" s="191"/>
      <c r="W196" s="191"/>
      <c r="X196" s="191"/>
      <c r="Y196" s="191"/>
      <c r="Z196" s="191"/>
      <c r="AA196" s="191"/>
      <c r="AB196" s="191"/>
      <c r="AC196" s="191"/>
      <c r="AD196" s="191"/>
      <c r="AE196" s="191"/>
      <c r="AF196" s="191"/>
      <c r="AG196" s="191"/>
      <c r="AH196" s="191"/>
      <c r="AI196" s="191"/>
      <c r="AJ196" s="191"/>
      <c r="AK196" s="191"/>
      <c r="AL196" s="191"/>
      <c r="AM196" s="191"/>
      <c r="AN196" s="191"/>
      <c r="AO196" s="191"/>
      <c r="AP196" s="191"/>
      <c r="AQ196" s="191"/>
      <c r="AR196" s="191"/>
      <c r="AS196" s="191"/>
      <c r="AT196" s="191"/>
      <c r="AU196" s="191"/>
      <c r="AV196" s="191"/>
      <c r="AW196" s="191"/>
      <c r="AX196" s="191"/>
      <c r="AY196" s="191"/>
      <c r="AZ196" s="191"/>
      <c r="BA196" s="191"/>
      <c r="BB196" s="191"/>
      <c r="BC196" s="191"/>
      <c r="BD196" s="191"/>
      <c r="BE196" s="191"/>
      <c r="BF196" s="191"/>
      <c r="BG196" s="191"/>
      <c r="BH196" s="191"/>
      <c r="BI196" s="191"/>
      <c r="BJ196" s="191"/>
      <c r="BK196" s="191"/>
      <c r="BL196" s="191"/>
      <c r="BM196" s="191"/>
      <c r="BN196" s="191"/>
      <c r="BO196" s="191"/>
      <c r="BP196" s="191"/>
      <c r="BQ196" s="191"/>
    </row>
    <row r="197" spans="11:69">
      <c r="K197" s="191"/>
      <c r="L197" s="191"/>
      <c r="M197" s="191"/>
      <c r="N197" s="191"/>
      <c r="O197" s="191"/>
      <c r="P197" s="191"/>
      <c r="Q197" s="191"/>
      <c r="R197" s="191"/>
      <c r="S197" s="191"/>
      <c r="T197" s="191"/>
      <c r="U197" s="191"/>
      <c r="V197" s="191"/>
      <c r="W197" s="191"/>
      <c r="X197" s="191"/>
      <c r="Y197" s="191"/>
      <c r="Z197" s="191"/>
      <c r="AA197" s="191"/>
      <c r="AB197" s="191"/>
      <c r="AC197" s="191"/>
      <c r="AD197" s="191"/>
      <c r="AE197" s="191"/>
      <c r="AF197" s="191"/>
      <c r="AG197" s="191"/>
      <c r="AH197" s="191"/>
      <c r="AI197" s="191"/>
      <c r="AJ197" s="191"/>
      <c r="AK197" s="191"/>
      <c r="AL197" s="191"/>
      <c r="AM197" s="191"/>
      <c r="AN197" s="191"/>
      <c r="AO197" s="191"/>
      <c r="AP197" s="191"/>
      <c r="AQ197" s="191"/>
      <c r="AR197" s="191"/>
      <c r="AS197" s="191"/>
      <c r="AT197" s="191"/>
      <c r="AU197" s="191"/>
      <c r="AV197" s="191"/>
      <c r="AW197" s="191"/>
      <c r="AX197" s="191"/>
      <c r="AY197" s="191"/>
      <c r="AZ197" s="191"/>
      <c r="BA197" s="191"/>
      <c r="BB197" s="191"/>
      <c r="BC197" s="191"/>
      <c r="BD197" s="191"/>
      <c r="BE197" s="191"/>
      <c r="BF197" s="191"/>
      <c r="BG197" s="191"/>
      <c r="BH197" s="191"/>
      <c r="BI197" s="191"/>
      <c r="BJ197" s="191"/>
      <c r="BK197" s="191"/>
      <c r="BL197" s="191"/>
      <c r="BM197" s="191"/>
      <c r="BN197" s="191"/>
      <c r="BO197" s="191"/>
      <c r="BP197" s="191"/>
      <c r="BQ197" s="191"/>
    </row>
    <row r="198" spans="11:69">
      <c r="K198" s="191"/>
      <c r="L198" s="191"/>
      <c r="M198" s="191"/>
      <c r="N198" s="191"/>
      <c r="O198" s="191"/>
      <c r="P198" s="191"/>
      <c r="Q198" s="191"/>
      <c r="R198" s="191"/>
      <c r="S198" s="191"/>
      <c r="T198" s="191"/>
      <c r="U198" s="191"/>
      <c r="V198" s="191"/>
      <c r="W198" s="191"/>
      <c r="X198" s="191"/>
      <c r="Y198" s="191"/>
      <c r="Z198" s="191"/>
      <c r="AA198" s="191"/>
      <c r="AB198" s="191"/>
      <c r="AC198" s="191"/>
      <c r="AD198" s="191"/>
      <c r="AE198" s="191"/>
      <c r="AF198" s="191"/>
      <c r="AG198" s="191"/>
      <c r="AH198" s="191"/>
      <c r="AI198" s="191"/>
      <c r="AJ198" s="191"/>
      <c r="AK198" s="191"/>
      <c r="AL198" s="191"/>
      <c r="AM198" s="191"/>
      <c r="AN198" s="191"/>
      <c r="AO198" s="191"/>
      <c r="AP198" s="191"/>
      <c r="AQ198" s="191"/>
      <c r="AR198" s="191"/>
      <c r="AS198" s="191"/>
      <c r="AT198" s="191"/>
      <c r="AU198" s="191"/>
      <c r="AV198" s="191"/>
      <c r="AW198" s="191"/>
      <c r="AX198" s="191"/>
      <c r="AY198" s="191"/>
      <c r="AZ198" s="191"/>
      <c r="BA198" s="191"/>
      <c r="BB198" s="191"/>
      <c r="BC198" s="191"/>
      <c r="BD198" s="191"/>
      <c r="BE198" s="191"/>
      <c r="BF198" s="191"/>
      <c r="BG198" s="191"/>
      <c r="BH198" s="191"/>
      <c r="BI198" s="191"/>
      <c r="BJ198" s="191"/>
      <c r="BK198" s="191"/>
      <c r="BL198" s="191"/>
      <c r="BM198" s="191"/>
      <c r="BN198" s="191"/>
      <c r="BO198" s="191"/>
      <c r="BP198" s="191"/>
      <c r="BQ198" s="191"/>
    </row>
    <row r="199" spans="11:69">
      <c r="K199" s="191"/>
      <c r="L199" s="191"/>
      <c r="M199" s="191"/>
      <c r="N199" s="191"/>
      <c r="O199" s="191"/>
      <c r="P199" s="191"/>
      <c r="Q199" s="191"/>
      <c r="R199" s="191"/>
      <c r="S199" s="191"/>
      <c r="T199" s="191"/>
      <c r="U199" s="191"/>
      <c r="V199" s="191"/>
      <c r="W199" s="191"/>
      <c r="X199" s="191"/>
      <c r="Y199" s="191"/>
      <c r="Z199" s="191"/>
      <c r="AA199" s="191"/>
      <c r="AB199" s="191"/>
      <c r="AC199" s="191"/>
      <c r="AD199" s="191"/>
      <c r="AE199" s="191"/>
      <c r="AF199" s="191"/>
      <c r="AG199" s="191"/>
      <c r="AH199" s="191"/>
      <c r="AI199" s="191"/>
      <c r="AJ199" s="191"/>
      <c r="AK199" s="191"/>
      <c r="AL199" s="191"/>
      <c r="AM199" s="191"/>
      <c r="AN199" s="191"/>
      <c r="AO199" s="191"/>
      <c r="AP199" s="191"/>
      <c r="AQ199" s="191"/>
      <c r="AR199" s="191"/>
      <c r="AS199" s="191"/>
      <c r="AT199" s="191"/>
      <c r="AU199" s="191"/>
      <c r="AV199" s="191"/>
      <c r="AW199" s="191"/>
      <c r="AX199" s="191"/>
      <c r="AY199" s="191"/>
      <c r="AZ199" s="191"/>
      <c r="BA199" s="191"/>
      <c r="BB199" s="191"/>
      <c r="BC199" s="191"/>
      <c r="BD199" s="191"/>
      <c r="BE199" s="191"/>
      <c r="BF199" s="191"/>
      <c r="BG199" s="191"/>
      <c r="BH199" s="191"/>
      <c r="BI199" s="191"/>
      <c r="BJ199" s="191"/>
      <c r="BK199" s="191"/>
      <c r="BL199" s="191"/>
      <c r="BM199" s="191"/>
      <c r="BN199" s="191"/>
      <c r="BO199" s="191"/>
      <c r="BP199" s="191"/>
      <c r="BQ199" s="191"/>
    </row>
    <row r="200" spans="11:69">
      <c r="K200" s="191"/>
      <c r="L200" s="191"/>
      <c r="M200" s="191"/>
      <c r="N200" s="191"/>
      <c r="O200" s="191"/>
      <c r="P200" s="191"/>
      <c r="Q200" s="191"/>
      <c r="R200" s="191"/>
      <c r="S200" s="191"/>
      <c r="T200" s="191"/>
      <c r="U200" s="191"/>
      <c r="V200" s="191"/>
      <c r="W200" s="191"/>
      <c r="X200" s="191"/>
      <c r="Y200" s="191"/>
      <c r="Z200" s="191"/>
      <c r="AA200" s="191"/>
      <c r="AB200" s="191"/>
      <c r="AC200" s="191"/>
      <c r="AD200" s="191"/>
      <c r="AE200" s="191"/>
      <c r="AF200" s="191"/>
      <c r="AG200" s="191"/>
      <c r="AH200" s="191"/>
      <c r="AI200" s="191"/>
      <c r="AJ200" s="191"/>
      <c r="AK200" s="191"/>
      <c r="AL200" s="191"/>
      <c r="AM200" s="191"/>
      <c r="AN200" s="191"/>
      <c r="AO200" s="191"/>
      <c r="AP200" s="191"/>
      <c r="AQ200" s="191"/>
      <c r="AR200" s="191"/>
      <c r="AS200" s="191"/>
      <c r="AT200" s="191"/>
      <c r="AU200" s="191"/>
      <c r="AV200" s="191"/>
      <c r="AW200" s="191"/>
      <c r="AX200" s="191"/>
      <c r="AY200" s="191"/>
      <c r="AZ200" s="191"/>
      <c r="BA200" s="191"/>
      <c r="BB200" s="191"/>
      <c r="BC200" s="191"/>
      <c r="BD200" s="191"/>
      <c r="BE200" s="191"/>
      <c r="BF200" s="191"/>
      <c r="BG200" s="191"/>
      <c r="BH200" s="191"/>
      <c r="BI200" s="191"/>
      <c r="BJ200" s="191"/>
      <c r="BK200" s="191"/>
      <c r="BL200" s="191"/>
      <c r="BM200" s="191"/>
      <c r="BN200" s="191"/>
      <c r="BO200" s="191"/>
      <c r="BP200" s="191"/>
      <c r="BQ200" s="191"/>
    </row>
    <row r="201" spans="11:69">
      <c r="K201" s="191"/>
      <c r="L201" s="191"/>
      <c r="M201" s="191"/>
      <c r="N201" s="191"/>
      <c r="O201" s="191"/>
      <c r="P201" s="191"/>
      <c r="Q201" s="191"/>
      <c r="R201" s="191"/>
      <c r="S201" s="191"/>
      <c r="T201" s="191"/>
      <c r="U201" s="191"/>
      <c r="V201" s="191"/>
      <c r="W201" s="191"/>
      <c r="X201" s="191"/>
      <c r="Y201" s="191"/>
      <c r="Z201" s="191"/>
      <c r="AA201" s="191"/>
      <c r="AB201" s="191"/>
      <c r="AC201" s="191"/>
      <c r="AD201" s="191"/>
      <c r="AE201" s="191"/>
      <c r="AF201" s="191"/>
      <c r="AG201" s="191"/>
      <c r="AH201" s="191"/>
      <c r="AI201" s="191"/>
      <c r="AJ201" s="191"/>
      <c r="AK201" s="191"/>
      <c r="AL201" s="191"/>
      <c r="AM201" s="191"/>
      <c r="AN201" s="191"/>
      <c r="AO201" s="191"/>
      <c r="AP201" s="191"/>
      <c r="AQ201" s="191"/>
      <c r="AR201" s="191"/>
      <c r="AS201" s="191"/>
      <c r="AT201" s="191"/>
      <c r="AU201" s="191"/>
      <c r="AV201" s="191"/>
      <c r="AW201" s="191"/>
      <c r="AX201" s="191"/>
      <c r="AY201" s="191"/>
      <c r="AZ201" s="191"/>
      <c r="BA201" s="191"/>
      <c r="BB201" s="191"/>
      <c r="BC201" s="191"/>
      <c r="BD201" s="191"/>
      <c r="BE201" s="191"/>
      <c r="BF201" s="191"/>
      <c r="BG201" s="191"/>
      <c r="BH201" s="191"/>
      <c r="BI201" s="191"/>
      <c r="BJ201" s="191"/>
      <c r="BK201" s="191"/>
      <c r="BL201" s="191"/>
      <c r="BM201" s="191"/>
      <c r="BN201" s="191"/>
      <c r="BO201" s="191"/>
      <c r="BP201" s="191"/>
      <c r="BQ201" s="191"/>
    </row>
    <row r="202" spans="11:69">
      <c r="K202" s="191"/>
      <c r="L202" s="191"/>
      <c r="M202" s="191"/>
      <c r="N202" s="191"/>
      <c r="O202" s="191"/>
      <c r="P202" s="191"/>
      <c r="Q202" s="191"/>
      <c r="R202" s="191"/>
      <c r="S202" s="191"/>
      <c r="T202" s="191"/>
      <c r="U202" s="191"/>
      <c r="V202" s="191"/>
      <c r="W202" s="191"/>
      <c r="X202" s="191"/>
      <c r="Y202" s="191"/>
      <c r="Z202" s="191"/>
      <c r="AA202" s="191"/>
      <c r="AB202" s="191"/>
      <c r="AC202" s="191"/>
      <c r="AD202" s="191"/>
      <c r="AE202" s="191"/>
      <c r="AF202" s="191"/>
      <c r="AG202" s="191"/>
      <c r="AH202" s="191"/>
      <c r="AI202" s="191"/>
      <c r="AJ202" s="191"/>
      <c r="AK202" s="191"/>
      <c r="AL202" s="191"/>
      <c r="AM202" s="191"/>
      <c r="AN202" s="191"/>
      <c r="AO202" s="191"/>
      <c r="AP202" s="191"/>
      <c r="AQ202" s="191"/>
      <c r="AR202" s="191"/>
      <c r="AS202" s="191"/>
      <c r="AT202" s="191"/>
      <c r="AU202" s="191"/>
      <c r="AV202" s="191"/>
      <c r="AW202" s="191"/>
      <c r="AX202" s="191"/>
      <c r="AY202" s="191"/>
      <c r="AZ202" s="191"/>
      <c r="BA202" s="191"/>
      <c r="BB202" s="191"/>
      <c r="BC202" s="191"/>
      <c r="BD202" s="191"/>
      <c r="BE202" s="191"/>
      <c r="BF202" s="191"/>
      <c r="BG202" s="191"/>
      <c r="BH202" s="191"/>
      <c r="BI202" s="191"/>
      <c r="BJ202" s="191"/>
      <c r="BK202" s="191"/>
      <c r="BL202" s="191"/>
      <c r="BM202" s="191"/>
      <c r="BN202" s="191"/>
      <c r="BO202" s="191"/>
      <c r="BP202" s="191"/>
      <c r="BQ202" s="191"/>
    </row>
    <row r="203" spans="11:69">
      <c r="K203" s="191"/>
      <c r="L203" s="191"/>
      <c r="M203" s="191"/>
      <c r="N203" s="191"/>
      <c r="O203" s="191"/>
      <c r="P203" s="191"/>
      <c r="Q203" s="191"/>
      <c r="R203" s="191"/>
      <c r="S203" s="191"/>
      <c r="T203" s="191"/>
      <c r="U203" s="191"/>
      <c r="V203" s="191"/>
      <c r="W203" s="191"/>
      <c r="X203" s="191"/>
      <c r="Y203" s="191"/>
      <c r="Z203" s="191"/>
      <c r="AA203" s="191"/>
      <c r="AB203" s="191"/>
      <c r="AC203" s="191"/>
      <c r="AD203" s="191"/>
      <c r="AE203" s="191"/>
      <c r="AF203" s="191"/>
      <c r="AG203" s="191"/>
      <c r="AH203" s="191"/>
      <c r="AI203" s="191"/>
      <c r="AJ203" s="191"/>
      <c r="AK203" s="191"/>
      <c r="AL203" s="191"/>
      <c r="AM203" s="191"/>
      <c r="AN203" s="191"/>
      <c r="AO203" s="191"/>
      <c r="AP203" s="191"/>
      <c r="AQ203" s="191"/>
      <c r="AR203" s="191"/>
      <c r="AS203" s="191"/>
      <c r="AT203" s="191"/>
      <c r="AU203" s="191"/>
      <c r="AV203" s="191"/>
      <c r="AW203" s="191"/>
      <c r="AX203" s="191"/>
      <c r="AY203" s="191"/>
      <c r="AZ203" s="191"/>
      <c r="BA203" s="191"/>
      <c r="BB203" s="191"/>
      <c r="BC203" s="191"/>
      <c r="BD203" s="191"/>
      <c r="BE203" s="191"/>
      <c r="BF203" s="191"/>
      <c r="BG203" s="191"/>
      <c r="BH203" s="191"/>
      <c r="BI203" s="191"/>
      <c r="BJ203" s="191"/>
      <c r="BK203" s="191"/>
      <c r="BL203" s="191"/>
      <c r="BM203" s="191"/>
      <c r="BN203" s="191"/>
      <c r="BO203" s="191"/>
      <c r="BP203" s="191"/>
      <c r="BQ203" s="191"/>
    </row>
    <row r="204" spans="11:69">
      <c r="K204" s="191"/>
      <c r="L204" s="191"/>
      <c r="M204" s="191"/>
      <c r="N204" s="191"/>
      <c r="O204" s="191"/>
      <c r="P204" s="191"/>
      <c r="Q204" s="191"/>
      <c r="R204" s="191"/>
      <c r="S204" s="191"/>
      <c r="T204" s="191"/>
      <c r="U204" s="191"/>
      <c r="V204" s="191"/>
      <c r="W204" s="191"/>
      <c r="X204" s="191"/>
      <c r="Y204" s="191"/>
      <c r="Z204" s="191"/>
      <c r="AA204" s="191"/>
      <c r="AB204" s="191"/>
      <c r="AC204" s="191"/>
      <c r="AD204" s="191"/>
      <c r="AE204" s="191"/>
      <c r="AF204" s="191"/>
      <c r="AG204" s="191"/>
      <c r="AH204" s="191"/>
      <c r="AI204" s="191"/>
      <c r="AJ204" s="191"/>
      <c r="AK204" s="191"/>
      <c r="AL204" s="191"/>
      <c r="AM204" s="191"/>
      <c r="AN204" s="191"/>
      <c r="AO204" s="191"/>
      <c r="AP204" s="191"/>
      <c r="AQ204" s="191"/>
      <c r="AR204" s="191"/>
      <c r="AS204" s="191"/>
      <c r="AT204" s="191"/>
      <c r="AU204" s="191"/>
      <c r="AV204" s="191"/>
      <c r="AW204" s="191"/>
      <c r="AX204" s="191"/>
      <c r="AY204" s="191"/>
      <c r="AZ204" s="191"/>
      <c r="BA204" s="191"/>
      <c r="BB204" s="191"/>
      <c r="BC204" s="191"/>
      <c r="BD204" s="191"/>
      <c r="BE204" s="191"/>
      <c r="BF204" s="191"/>
      <c r="BG204" s="191"/>
      <c r="BH204" s="191"/>
      <c r="BI204" s="191"/>
      <c r="BJ204" s="191"/>
      <c r="BK204" s="191"/>
      <c r="BL204" s="191"/>
      <c r="BM204" s="191"/>
      <c r="BN204" s="191"/>
      <c r="BO204" s="191"/>
      <c r="BP204" s="191"/>
      <c r="BQ204" s="191"/>
    </row>
    <row r="205" spans="11:69">
      <c r="K205" s="191"/>
      <c r="L205" s="191"/>
      <c r="M205" s="191"/>
      <c r="N205" s="191"/>
      <c r="O205" s="191"/>
      <c r="P205" s="191"/>
      <c r="Q205" s="191"/>
      <c r="R205" s="191"/>
      <c r="S205" s="191"/>
      <c r="T205" s="191"/>
      <c r="U205" s="191"/>
      <c r="V205" s="191"/>
      <c r="W205" s="191"/>
      <c r="X205" s="191"/>
      <c r="Y205" s="191"/>
      <c r="Z205" s="191"/>
      <c r="AA205" s="191"/>
      <c r="AB205" s="191"/>
      <c r="AC205" s="191"/>
      <c r="AD205" s="191"/>
      <c r="AE205" s="191"/>
      <c r="AF205" s="191"/>
      <c r="AG205" s="191"/>
      <c r="AH205" s="191"/>
      <c r="AI205" s="191"/>
      <c r="AJ205" s="191"/>
      <c r="AK205" s="191"/>
      <c r="AL205" s="191"/>
      <c r="AM205" s="191"/>
      <c r="AN205" s="191"/>
      <c r="AO205" s="191"/>
      <c r="AP205" s="191"/>
      <c r="AQ205" s="191"/>
      <c r="AR205" s="191"/>
      <c r="AS205" s="191"/>
      <c r="AT205" s="191"/>
      <c r="AU205" s="191"/>
      <c r="AV205" s="191"/>
      <c r="AW205" s="191"/>
      <c r="AX205" s="191"/>
      <c r="AY205" s="191"/>
      <c r="AZ205" s="191"/>
      <c r="BA205" s="191"/>
      <c r="BB205" s="191"/>
      <c r="BC205" s="191"/>
      <c r="BD205" s="191"/>
      <c r="BE205" s="191"/>
      <c r="BF205" s="191"/>
      <c r="BG205" s="191"/>
      <c r="BH205" s="191"/>
      <c r="BI205" s="191"/>
      <c r="BJ205" s="191"/>
      <c r="BK205" s="191"/>
      <c r="BL205" s="191"/>
      <c r="BM205" s="191"/>
      <c r="BN205" s="191"/>
      <c r="BO205" s="191"/>
      <c r="BP205" s="191"/>
      <c r="BQ205" s="191"/>
    </row>
    <row r="206" spans="11:69">
      <c r="K206" s="191"/>
      <c r="L206" s="191"/>
      <c r="M206" s="191"/>
      <c r="N206" s="191"/>
      <c r="O206" s="191"/>
      <c r="P206" s="191"/>
      <c r="Q206" s="191"/>
      <c r="R206" s="191"/>
      <c r="S206" s="191"/>
      <c r="T206" s="191"/>
      <c r="U206" s="191"/>
      <c r="V206" s="191"/>
      <c r="W206" s="191"/>
      <c r="X206" s="191"/>
      <c r="Y206" s="191"/>
      <c r="Z206" s="191"/>
      <c r="AA206" s="191"/>
      <c r="AB206" s="191"/>
      <c r="AC206" s="191"/>
      <c r="AD206" s="191"/>
      <c r="AE206" s="191"/>
      <c r="AF206" s="191"/>
      <c r="AG206" s="191"/>
      <c r="AH206" s="191"/>
      <c r="AI206" s="191"/>
      <c r="AJ206" s="191"/>
      <c r="AK206" s="191"/>
      <c r="AL206" s="191"/>
      <c r="AM206" s="191"/>
      <c r="AN206" s="191"/>
      <c r="AO206" s="191"/>
      <c r="AP206" s="191"/>
      <c r="AQ206" s="191"/>
      <c r="AR206" s="191"/>
      <c r="AS206" s="191"/>
      <c r="AT206" s="191"/>
      <c r="AU206" s="191"/>
      <c r="AV206" s="191"/>
      <c r="AW206" s="191"/>
      <c r="AX206" s="191"/>
      <c r="AY206" s="191"/>
      <c r="AZ206" s="191"/>
      <c r="BA206" s="191"/>
      <c r="BB206" s="191"/>
      <c r="BC206" s="191"/>
      <c r="BD206" s="191"/>
      <c r="BE206" s="191"/>
      <c r="BF206" s="191"/>
      <c r="BG206" s="191"/>
      <c r="BH206" s="191"/>
      <c r="BI206" s="191"/>
      <c r="BJ206" s="191"/>
      <c r="BK206" s="191"/>
      <c r="BL206" s="191"/>
      <c r="BM206" s="191"/>
      <c r="BN206" s="191"/>
      <c r="BO206" s="191"/>
      <c r="BP206" s="191"/>
      <c r="BQ206" s="191"/>
    </row>
    <row r="207" spans="11:69">
      <c r="K207" s="191"/>
      <c r="L207" s="191"/>
      <c r="M207" s="191"/>
      <c r="N207" s="191"/>
      <c r="O207" s="191"/>
      <c r="P207" s="191"/>
      <c r="Q207" s="191"/>
      <c r="R207" s="191"/>
      <c r="S207" s="191"/>
      <c r="T207" s="191"/>
      <c r="U207" s="191"/>
      <c r="V207" s="191"/>
      <c r="W207" s="191"/>
      <c r="X207" s="191"/>
      <c r="Y207" s="191"/>
      <c r="Z207" s="191"/>
      <c r="AA207" s="191"/>
      <c r="AB207" s="191"/>
      <c r="AC207" s="191"/>
      <c r="AD207" s="191"/>
      <c r="AE207" s="191"/>
      <c r="AF207" s="191"/>
      <c r="AG207" s="191"/>
      <c r="AH207" s="191"/>
      <c r="AI207" s="191"/>
      <c r="AJ207" s="191"/>
      <c r="AK207" s="191"/>
      <c r="AL207" s="191"/>
      <c r="AM207" s="191"/>
      <c r="AN207" s="191"/>
      <c r="AO207" s="191"/>
      <c r="AP207" s="191"/>
      <c r="AQ207" s="191"/>
      <c r="AR207" s="191"/>
      <c r="AS207" s="191"/>
      <c r="AT207" s="191"/>
      <c r="AU207" s="191"/>
      <c r="AV207" s="191"/>
      <c r="AW207" s="191"/>
      <c r="AX207" s="191"/>
      <c r="AY207" s="191"/>
      <c r="AZ207" s="191"/>
      <c r="BA207" s="191"/>
      <c r="BB207" s="191"/>
      <c r="BC207" s="191"/>
      <c r="BD207" s="191"/>
      <c r="BE207" s="191"/>
      <c r="BF207" s="191"/>
      <c r="BG207" s="191"/>
      <c r="BH207" s="191"/>
      <c r="BI207" s="191"/>
      <c r="BJ207" s="191"/>
      <c r="BK207" s="191"/>
      <c r="BL207" s="191"/>
      <c r="BM207" s="191"/>
      <c r="BN207" s="191"/>
      <c r="BO207" s="191"/>
      <c r="BP207" s="191"/>
      <c r="BQ207" s="191"/>
    </row>
    <row r="208" spans="11:69">
      <c r="K208" s="191"/>
      <c r="L208" s="191"/>
      <c r="M208" s="191"/>
      <c r="N208" s="191"/>
      <c r="O208" s="191"/>
      <c r="P208" s="191"/>
      <c r="Q208" s="191"/>
      <c r="R208" s="191"/>
      <c r="S208" s="191"/>
      <c r="T208" s="191"/>
      <c r="U208" s="191"/>
      <c r="V208" s="191"/>
      <c r="W208" s="191"/>
      <c r="X208" s="191"/>
      <c r="Y208" s="191"/>
      <c r="Z208" s="191"/>
      <c r="AA208" s="191"/>
      <c r="AB208" s="191"/>
      <c r="AC208" s="191"/>
      <c r="AD208" s="191"/>
      <c r="AE208" s="191"/>
      <c r="AF208" s="191"/>
      <c r="AG208" s="191"/>
      <c r="AH208" s="191"/>
      <c r="AI208" s="191"/>
      <c r="AJ208" s="191"/>
      <c r="AK208" s="191"/>
      <c r="AL208" s="191"/>
      <c r="AM208" s="191"/>
      <c r="AN208" s="191"/>
      <c r="AO208" s="191"/>
      <c r="AP208" s="191"/>
      <c r="AQ208" s="191"/>
      <c r="AR208" s="191"/>
      <c r="AS208" s="191"/>
      <c r="AT208" s="191"/>
      <c r="AU208" s="191"/>
      <c r="AV208" s="191"/>
      <c r="AW208" s="191"/>
      <c r="AX208" s="191"/>
      <c r="AY208" s="191"/>
      <c r="AZ208" s="191"/>
      <c r="BA208" s="191"/>
      <c r="BB208" s="191"/>
      <c r="BC208" s="191"/>
      <c r="BD208" s="191"/>
      <c r="BE208" s="191"/>
      <c r="BF208" s="191"/>
      <c r="BG208" s="191"/>
      <c r="BH208" s="191"/>
      <c r="BI208" s="191"/>
      <c r="BJ208" s="191"/>
      <c r="BK208" s="191"/>
      <c r="BL208" s="191"/>
      <c r="BM208" s="191"/>
      <c r="BN208" s="191"/>
      <c r="BO208" s="191"/>
      <c r="BP208" s="191"/>
      <c r="BQ208" s="191"/>
    </row>
    <row r="209" spans="11:69">
      <c r="K209" s="191"/>
      <c r="L209" s="191"/>
      <c r="M209" s="191"/>
      <c r="N209" s="191"/>
      <c r="O209" s="191"/>
      <c r="P209" s="191"/>
      <c r="Q209" s="191"/>
      <c r="R209" s="191"/>
      <c r="S209" s="191"/>
      <c r="T209" s="191"/>
      <c r="U209" s="191"/>
      <c r="V209" s="191"/>
      <c r="W209" s="191"/>
      <c r="X209" s="191"/>
      <c r="Y209" s="191"/>
      <c r="Z209" s="191"/>
      <c r="AA209" s="191"/>
      <c r="AB209" s="191"/>
      <c r="AC209" s="191"/>
      <c r="AD209" s="191"/>
      <c r="AE209" s="191"/>
      <c r="AF209" s="191"/>
      <c r="AG209" s="191"/>
      <c r="AH209" s="191"/>
      <c r="AI209" s="191"/>
      <c r="AJ209" s="191"/>
      <c r="AK209" s="191"/>
      <c r="AL209" s="191"/>
      <c r="AM209" s="191"/>
      <c r="AN209" s="191"/>
      <c r="AO209" s="191"/>
      <c r="AP209" s="191"/>
      <c r="AQ209" s="191"/>
      <c r="AR209" s="191"/>
      <c r="AS209" s="191"/>
      <c r="AT209" s="191"/>
      <c r="AU209" s="191"/>
      <c r="AV209" s="191"/>
      <c r="AW209" s="191"/>
      <c r="AX209" s="191"/>
      <c r="AY209" s="191"/>
      <c r="AZ209" s="191"/>
      <c r="BA209" s="191"/>
      <c r="BB209" s="191"/>
      <c r="BC209" s="191"/>
      <c r="BD209" s="191"/>
      <c r="BE209" s="191"/>
      <c r="BF209" s="191"/>
      <c r="BG209" s="191"/>
      <c r="BH209" s="191"/>
      <c r="BI209" s="191"/>
      <c r="BJ209" s="191"/>
      <c r="BK209" s="191"/>
      <c r="BL209" s="191"/>
      <c r="BM209" s="191"/>
      <c r="BN209" s="191"/>
      <c r="BO209" s="191"/>
      <c r="BP209" s="191"/>
      <c r="BQ209" s="191"/>
    </row>
    <row r="210" spans="11:69">
      <c r="K210" s="191"/>
      <c r="L210" s="191"/>
      <c r="M210" s="191"/>
      <c r="N210" s="191"/>
      <c r="O210" s="191"/>
      <c r="P210" s="191"/>
      <c r="Q210" s="191"/>
      <c r="R210" s="191"/>
      <c r="S210" s="191"/>
      <c r="T210" s="191"/>
      <c r="U210" s="191"/>
      <c r="V210" s="191"/>
      <c r="W210" s="191"/>
      <c r="X210" s="191"/>
      <c r="Y210" s="191"/>
      <c r="Z210" s="191"/>
      <c r="AA210" s="191"/>
      <c r="AB210" s="191"/>
      <c r="AC210" s="191"/>
      <c r="AD210" s="191"/>
      <c r="AE210" s="191"/>
      <c r="AF210" s="191"/>
      <c r="AG210" s="191"/>
      <c r="AH210" s="191"/>
      <c r="AI210" s="191"/>
      <c r="AJ210" s="191"/>
      <c r="AK210" s="191"/>
      <c r="AL210" s="191"/>
      <c r="AM210" s="191"/>
      <c r="AN210" s="191"/>
      <c r="AO210" s="191"/>
      <c r="AP210" s="191"/>
      <c r="AQ210" s="191"/>
      <c r="AR210" s="191"/>
      <c r="AS210" s="191"/>
      <c r="AT210" s="191"/>
      <c r="AU210" s="191"/>
      <c r="AV210" s="191"/>
      <c r="AW210" s="191"/>
      <c r="AX210" s="191"/>
      <c r="AY210" s="191"/>
      <c r="AZ210" s="191"/>
      <c r="BA210" s="191"/>
      <c r="BB210" s="191"/>
      <c r="BC210" s="191"/>
      <c r="BD210" s="191"/>
      <c r="BE210" s="191"/>
      <c r="BF210" s="191"/>
      <c r="BG210" s="191"/>
      <c r="BH210" s="191"/>
      <c r="BI210" s="191"/>
      <c r="BJ210" s="191"/>
      <c r="BK210" s="191"/>
      <c r="BL210" s="191"/>
      <c r="BM210" s="191"/>
      <c r="BN210" s="191"/>
      <c r="BO210" s="191"/>
      <c r="BP210" s="191"/>
      <c r="BQ210" s="191"/>
    </row>
    <row r="211" spans="11:69">
      <c r="K211" s="191"/>
      <c r="L211" s="191"/>
      <c r="M211" s="191"/>
      <c r="N211" s="191"/>
      <c r="O211" s="191"/>
      <c r="P211" s="191"/>
      <c r="Q211" s="191"/>
      <c r="R211" s="191"/>
      <c r="S211" s="191"/>
      <c r="T211" s="191"/>
      <c r="U211" s="191"/>
      <c r="V211" s="191"/>
      <c r="W211" s="191"/>
      <c r="X211" s="191"/>
      <c r="Y211" s="191"/>
      <c r="Z211" s="191"/>
      <c r="AA211" s="191"/>
      <c r="AB211" s="191"/>
      <c r="AC211" s="191"/>
      <c r="AD211" s="191"/>
      <c r="AE211" s="191"/>
      <c r="AF211" s="191"/>
      <c r="AG211" s="191"/>
      <c r="AH211" s="191"/>
      <c r="AI211" s="191"/>
      <c r="AJ211" s="191"/>
      <c r="AK211" s="191"/>
      <c r="AL211" s="191"/>
      <c r="AM211" s="191"/>
      <c r="AN211" s="191"/>
      <c r="AO211" s="191"/>
      <c r="AP211" s="191"/>
      <c r="AQ211" s="191"/>
      <c r="AR211" s="191"/>
      <c r="AS211" s="191"/>
      <c r="AT211" s="191"/>
      <c r="AU211" s="191"/>
      <c r="AV211" s="191"/>
      <c r="AW211" s="191"/>
      <c r="AX211" s="191"/>
      <c r="AY211" s="191"/>
      <c r="AZ211" s="191"/>
      <c r="BA211" s="191"/>
      <c r="BB211" s="191"/>
      <c r="BC211" s="191"/>
      <c r="BD211" s="191"/>
      <c r="BE211" s="191"/>
      <c r="BF211" s="191"/>
      <c r="BG211" s="191"/>
      <c r="BH211" s="191"/>
      <c r="BI211" s="191"/>
      <c r="BJ211" s="191"/>
      <c r="BK211" s="191"/>
      <c r="BL211" s="191"/>
      <c r="BM211" s="191"/>
      <c r="BN211" s="191"/>
      <c r="BO211" s="191"/>
      <c r="BP211" s="191"/>
      <c r="BQ211" s="191"/>
    </row>
    <row r="212" spans="11:69">
      <c r="K212" s="191"/>
      <c r="L212" s="191"/>
      <c r="M212" s="191"/>
      <c r="N212" s="191"/>
      <c r="O212" s="191"/>
      <c r="P212" s="191"/>
      <c r="Q212" s="191"/>
      <c r="R212" s="191"/>
      <c r="S212" s="191"/>
      <c r="T212" s="191"/>
      <c r="U212" s="191"/>
      <c r="V212" s="191"/>
      <c r="W212" s="191"/>
      <c r="X212" s="191"/>
      <c r="Y212" s="191"/>
      <c r="Z212" s="191"/>
      <c r="AA212" s="191"/>
      <c r="AB212" s="191"/>
      <c r="AC212" s="191"/>
      <c r="AD212" s="191"/>
      <c r="AE212" s="191"/>
      <c r="AF212" s="191"/>
      <c r="AG212" s="191"/>
      <c r="AH212" s="191"/>
      <c r="AI212" s="191"/>
      <c r="AJ212" s="191"/>
      <c r="AK212" s="191"/>
      <c r="AL212" s="191"/>
      <c r="AM212" s="191"/>
      <c r="AN212" s="191"/>
      <c r="AO212" s="191"/>
      <c r="AP212" s="191"/>
      <c r="AQ212" s="191"/>
      <c r="AR212" s="191"/>
      <c r="AS212" s="191"/>
      <c r="AT212" s="191"/>
      <c r="AU212" s="191"/>
      <c r="AV212" s="191"/>
      <c r="AW212" s="191"/>
      <c r="AX212" s="191"/>
      <c r="AY212" s="191"/>
      <c r="AZ212" s="191"/>
      <c r="BA212" s="191"/>
      <c r="BB212" s="191"/>
      <c r="BC212" s="191"/>
      <c r="BD212" s="191"/>
      <c r="BE212" s="191"/>
      <c r="BF212" s="191"/>
      <c r="BG212" s="191"/>
      <c r="BH212" s="191"/>
      <c r="BI212" s="191"/>
      <c r="BJ212" s="191"/>
      <c r="BK212" s="191"/>
      <c r="BL212" s="191"/>
      <c r="BM212" s="191"/>
      <c r="BN212" s="191"/>
      <c r="BO212" s="191"/>
      <c r="BP212" s="191"/>
      <c r="BQ212" s="191"/>
    </row>
    <row r="213" spans="11:69">
      <c r="K213" s="191"/>
      <c r="L213" s="191"/>
      <c r="M213" s="191"/>
      <c r="N213" s="191"/>
      <c r="O213" s="191"/>
      <c r="P213" s="191"/>
      <c r="Q213" s="191"/>
      <c r="R213" s="191"/>
      <c r="S213" s="191"/>
      <c r="T213" s="191"/>
      <c r="U213" s="191"/>
      <c r="V213" s="191"/>
      <c r="W213" s="191"/>
      <c r="X213" s="191"/>
      <c r="Y213" s="191"/>
      <c r="Z213" s="191"/>
      <c r="AA213" s="191"/>
      <c r="AB213" s="191"/>
      <c r="AC213" s="191"/>
      <c r="AD213" s="191"/>
      <c r="AE213" s="191"/>
      <c r="AF213" s="191"/>
      <c r="AG213" s="191"/>
      <c r="AH213" s="191"/>
      <c r="AI213" s="191"/>
      <c r="AJ213" s="191"/>
      <c r="AK213" s="191"/>
      <c r="AL213" s="191"/>
      <c r="AM213" s="191"/>
      <c r="AN213" s="191"/>
      <c r="AO213" s="191"/>
      <c r="AP213" s="191"/>
      <c r="AQ213" s="191"/>
      <c r="AR213" s="191"/>
      <c r="AS213" s="191"/>
      <c r="AT213" s="191"/>
      <c r="AU213" s="191"/>
      <c r="AV213" s="191"/>
      <c r="AW213" s="191"/>
      <c r="AX213" s="191"/>
      <c r="AY213" s="191"/>
      <c r="AZ213" s="191"/>
      <c r="BA213" s="191"/>
      <c r="BB213" s="191"/>
      <c r="BC213" s="191"/>
      <c r="BD213" s="191"/>
      <c r="BE213" s="191"/>
      <c r="BF213" s="191"/>
      <c r="BG213" s="191"/>
      <c r="BH213" s="191"/>
      <c r="BI213" s="191"/>
      <c r="BJ213" s="191"/>
      <c r="BK213" s="191"/>
      <c r="BL213" s="191"/>
      <c r="BM213" s="191"/>
      <c r="BN213" s="191"/>
      <c r="BO213" s="191"/>
      <c r="BP213" s="191"/>
      <c r="BQ213" s="191"/>
    </row>
    <row r="214" spans="11:69">
      <c r="K214" s="191"/>
      <c r="L214" s="191"/>
      <c r="M214" s="191"/>
      <c r="N214" s="191"/>
      <c r="O214" s="191"/>
      <c r="P214" s="191"/>
      <c r="Q214" s="191"/>
      <c r="R214" s="191"/>
      <c r="S214" s="191"/>
      <c r="T214" s="191"/>
      <c r="U214" s="191"/>
      <c r="V214" s="191"/>
      <c r="W214" s="191"/>
      <c r="X214" s="191"/>
      <c r="Y214" s="191"/>
      <c r="Z214" s="191"/>
      <c r="AA214" s="191"/>
      <c r="AB214" s="191"/>
      <c r="AC214" s="191"/>
      <c r="AD214" s="191"/>
      <c r="AE214" s="191"/>
      <c r="AF214" s="191"/>
      <c r="AG214" s="191"/>
      <c r="AH214" s="191"/>
      <c r="AI214" s="191"/>
      <c r="AJ214" s="191"/>
      <c r="AK214" s="191"/>
      <c r="AL214" s="191"/>
      <c r="AM214" s="191"/>
      <c r="AN214" s="191"/>
      <c r="AO214" s="191"/>
      <c r="AP214" s="191"/>
      <c r="AQ214" s="191"/>
      <c r="AR214" s="191"/>
      <c r="AS214" s="191"/>
      <c r="AT214" s="191"/>
      <c r="AU214" s="191"/>
      <c r="AV214" s="191"/>
      <c r="AW214" s="191"/>
      <c r="AX214" s="191"/>
      <c r="AY214" s="191"/>
      <c r="AZ214" s="191"/>
      <c r="BA214" s="191"/>
      <c r="BB214" s="191"/>
      <c r="BC214" s="191"/>
      <c r="BD214" s="191"/>
      <c r="BE214" s="191"/>
      <c r="BF214" s="191"/>
      <c r="BG214" s="191"/>
      <c r="BH214" s="191"/>
      <c r="BI214" s="191"/>
      <c r="BJ214" s="191"/>
      <c r="BK214" s="191"/>
      <c r="BL214" s="191"/>
      <c r="BM214" s="191"/>
      <c r="BN214" s="191"/>
      <c r="BO214" s="191"/>
      <c r="BP214" s="191"/>
      <c r="BQ214" s="191"/>
    </row>
    <row r="215" spans="11:69">
      <c r="K215" s="191"/>
      <c r="L215" s="191"/>
      <c r="M215" s="191"/>
      <c r="N215" s="191"/>
      <c r="O215" s="191"/>
      <c r="P215" s="191"/>
      <c r="Q215" s="191"/>
      <c r="R215" s="191"/>
      <c r="S215" s="191"/>
      <c r="T215" s="191"/>
      <c r="U215" s="191"/>
      <c r="V215" s="191"/>
      <c r="W215" s="191"/>
      <c r="X215" s="191"/>
      <c r="Y215" s="191"/>
      <c r="Z215" s="191"/>
      <c r="AA215" s="191"/>
      <c r="AB215" s="191"/>
      <c r="AC215" s="191"/>
      <c r="AD215" s="191"/>
      <c r="AE215" s="191"/>
      <c r="AF215" s="191"/>
      <c r="AG215" s="191"/>
      <c r="AH215" s="191"/>
      <c r="AI215" s="191"/>
      <c r="AJ215" s="191"/>
      <c r="AK215" s="191"/>
      <c r="AL215" s="191"/>
      <c r="AM215" s="191"/>
      <c r="AN215" s="191"/>
      <c r="AO215" s="191"/>
      <c r="AP215" s="191"/>
      <c r="AQ215" s="191"/>
      <c r="AR215" s="191"/>
      <c r="AS215" s="191"/>
      <c r="AT215" s="191"/>
      <c r="AU215" s="191"/>
      <c r="AV215" s="191"/>
      <c r="AW215" s="191"/>
      <c r="AX215" s="191"/>
      <c r="AY215" s="191"/>
      <c r="AZ215" s="191"/>
      <c r="BA215" s="191"/>
      <c r="BB215" s="191"/>
      <c r="BC215" s="191"/>
      <c r="BD215" s="191"/>
      <c r="BE215" s="191"/>
      <c r="BF215" s="191"/>
      <c r="BG215" s="191"/>
      <c r="BH215" s="191"/>
      <c r="BI215" s="191"/>
      <c r="BJ215" s="191"/>
      <c r="BK215" s="191"/>
      <c r="BL215" s="191"/>
      <c r="BM215" s="191"/>
      <c r="BN215" s="191"/>
      <c r="BO215" s="191"/>
      <c r="BP215" s="191"/>
      <c r="BQ215" s="191"/>
    </row>
    <row r="216" spans="11:69">
      <c r="K216" s="191"/>
      <c r="L216" s="191"/>
      <c r="M216" s="191"/>
      <c r="N216" s="191"/>
      <c r="O216" s="191"/>
      <c r="P216" s="191"/>
      <c r="Q216" s="191"/>
      <c r="R216" s="191"/>
      <c r="S216" s="191"/>
      <c r="T216" s="191"/>
      <c r="U216" s="191"/>
      <c r="V216" s="191"/>
      <c r="W216" s="191"/>
      <c r="X216" s="191"/>
      <c r="Y216" s="191"/>
      <c r="Z216" s="191"/>
      <c r="AA216" s="191"/>
      <c r="AB216" s="191"/>
      <c r="AC216" s="191"/>
      <c r="AD216" s="191"/>
      <c r="AE216" s="191"/>
      <c r="AF216" s="191"/>
      <c r="AG216" s="191"/>
      <c r="AH216" s="191"/>
      <c r="AI216" s="191"/>
      <c r="AJ216" s="191"/>
      <c r="AK216" s="191"/>
      <c r="AL216" s="191"/>
      <c r="AM216" s="191"/>
      <c r="AN216" s="191"/>
      <c r="AO216" s="191"/>
      <c r="AP216" s="191"/>
      <c r="AQ216" s="191"/>
      <c r="AR216" s="191"/>
      <c r="AS216" s="191"/>
      <c r="AT216" s="191"/>
      <c r="AU216" s="191"/>
      <c r="AV216" s="191"/>
      <c r="AW216" s="191"/>
      <c r="AX216" s="191"/>
      <c r="AY216" s="191"/>
      <c r="AZ216" s="191"/>
      <c r="BA216" s="191"/>
      <c r="BB216" s="191"/>
      <c r="BC216" s="191"/>
      <c r="BD216" s="191"/>
      <c r="BE216" s="191"/>
      <c r="BF216" s="191"/>
      <c r="BG216" s="191"/>
      <c r="BH216" s="191"/>
      <c r="BI216" s="191"/>
      <c r="BJ216" s="191"/>
      <c r="BK216" s="191"/>
      <c r="BL216" s="191"/>
      <c r="BM216" s="191"/>
      <c r="BN216" s="191"/>
      <c r="BO216" s="191"/>
      <c r="BP216" s="191"/>
      <c r="BQ216" s="191"/>
    </row>
    <row r="217" spans="11:69">
      <c r="K217" s="191"/>
      <c r="L217" s="191"/>
      <c r="M217" s="191"/>
      <c r="N217" s="191"/>
      <c r="O217" s="191"/>
      <c r="P217" s="191"/>
      <c r="Q217" s="191"/>
      <c r="R217" s="191"/>
      <c r="S217" s="191"/>
      <c r="T217" s="191"/>
      <c r="U217" s="191"/>
      <c r="V217" s="191"/>
      <c r="W217" s="191"/>
      <c r="X217" s="191"/>
      <c r="Y217" s="191"/>
      <c r="Z217" s="191"/>
      <c r="AA217" s="191"/>
      <c r="AB217" s="191"/>
      <c r="AC217" s="191"/>
      <c r="AD217" s="191"/>
      <c r="AE217" s="191"/>
      <c r="AF217" s="191"/>
      <c r="AG217" s="191"/>
      <c r="AH217" s="191"/>
      <c r="AI217" s="191"/>
      <c r="AJ217" s="191"/>
      <c r="AK217" s="191"/>
      <c r="AL217" s="191"/>
      <c r="AM217" s="191"/>
      <c r="AN217" s="191"/>
      <c r="AO217" s="191"/>
      <c r="AP217" s="191"/>
      <c r="AQ217" s="191"/>
      <c r="AR217" s="191"/>
      <c r="AS217" s="191"/>
      <c r="AT217" s="191"/>
      <c r="AU217" s="191"/>
      <c r="AV217" s="191"/>
      <c r="AW217" s="191"/>
      <c r="AX217" s="191"/>
      <c r="AY217" s="191"/>
      <c r="AZ217" s="191"/>
      <c r="BA217" s="191"/>
      <c r="BB217" s="191"/>
      <c r="BC217" s="191"/>
      <c r="BD217" s="191"/>
      <c r="BE217" s="191"/>
      <c r="BF217" s="191"/>
      <c r="BG217" s="191"/>
      <c r="BH217" s="191"/>
      <c r="BI217" s="191"/>
      <c r="BJ217" s="191"/>
      <c r="BK217" s="191"/>
      <c r="BL217" s="191"/>
      <c r="BM217" s="191"/>
      <c r="BN217" s="191"/>
      <c r="BO217" s="191"/>
      <c r="BP217" s="191"/>
      <c r="BQ217" s="191"/>
    </row>
    <row r="218" spans="11:69">
      <c r="K218" s="191"/>
      <c r="L218" s="191"/>
      <c r="M218" s="191"/>
      <c r="N218" s="191"/>
      <c r="O218" s="191"/>
      <c r="P218" s="191"/>
      <c r="Q218" s="191"/>
      <c r="R218" s="191"/>
      <c r="S218" s="191"/>
      <c r="T218" s="191"/>
      <c r="U218" s="191"/>
      <c r="V218" s="191"/>
      <c r="W218" s="191"/>
      <c r="X218" s="191"/>
      <c r="Y218" s="191"/>
      <c r="Z218" s="191"/>
      <c r="AA218" s="191"/>
      <c r="AB218" s="191"/>
      <c r="AC218" s="191"/>
      <c r="AD218" s="191"/>
      <c r="AE218" s="191"/>
      <c r="AF218" s="191"/>
      <c r="AG218" s="191"/>
      <c r="AH218" s="191"/>
      <c r="AI218" s="191"/>
      <c r="AJ218" s="191"/>
      <c r="AK218" s="191"/>
      <c r="AL218" s="191"/>
      <c r="AM218" s="191"/>
      <c r="AN218" s="191"/>
      <c r="AO218" s="191"/>
      <c r="AP218" s="191"/>
      <c r="AQ218" s="191"/>
      <c r="AR218" s="191"/>
      <c r="AS218" s="191"/>
      <c r="AT218" s="191"/>
      <c r="AU218" s="191"/>
      <c r="AV218" s="191"/>
      <c r="AW218" s="191"/>
      <c r="AX218" s="191"/>
      <c r="AY218" s="191"/>
      <c r="AZ218" s="191"/>
      <c r="BA218" s="191"/>
      <c r="BB218" s="191"/>
      <c r="BC218" s="191"/>
      <c r="BD218" s="191"/>
      <c r="BE218" s="191"/>
      <c r="BF218" s="191"/>
      <c r="BG218" s="191"/>
      <c r="BH218" s="191"/>
      <c r="BI218" s="191"/>
      <c r="BJ218" s="191"/>
      <c r="BK218" s="191"/>
      <c r="BL218" s="191"/>
      <c r="BM218" s="191"/>
      <c r="BN218" s="191"/>
      <c r="BO218" s="191"/>
      <c r="BP218" s="191"/>
      <c r="BQ218" s="191"/>
    </row>
    <row r="219" spans="11:69">
      <c r="K219" s="191"/>
      <c r="L219" s="191"/>
      <c r="M219" s="191"/>
      <c r="N219" s="191"/>
      <c r="O219" s="191"/>
      <c r="P219" s="191"/>
      <c r="Q219" s="191"/>
      <c r="R219" s="191"/>
      <c r="S219" s="191"/>
      <c r="T219" s="191"/>
      <c r="U219" s="191"/>
      <c r="V219" s="191"/>
      <c r="W219" s="191"/>
      <c r="X219" s="191"/>
      <c r="Y219" s="191"/>
      <c r="Z219" s="191"/>
      <c r="AA219" s="191"/>
      <c r="AB219" s="191"/>
      <c r="AC219" s="191"/>
      <c r="AD219" s="191"/>
      <c r="AE219" s="191"/>
      <c r="AF219" s="191"/>
      <c r="AG219" s="191"/>
      <c r="AH219" s="191"/>
      <c r="AI219" s="191"/>
      <c r="AJ219" s="191"/>
      <c r="AK219" s="191"/>
      <c r="AL219" s="191"/>
      <c r="AM219" s="191"/>
      <c r="AN219" s="191"/>
      <c r="AO219" s="191"/>
      <c r="AP219" s="191"/>
      <c r="AQ219" s="191"/>
      <c r="AR219" s="191"/>
      <c r="AS219" s="191"/>
      <c r="AT219" s="191"/>
      <c r="AU219" s="191"/>
      <c r="AV219" s="191"/>
      <c r="AW219" s="191"/>
      <c r="AX219" s="191"/>
      <c r="AY219" s="191"/>
      <c r="AZ219" s="191"/>
      <c r="BA219" s="191"/>
      <c r="BB219" s="191"/>
      <c r="BC219" s="191"/>
      <c r="BD219" s="191"/>
      <c r="BE219" s="191"/>
      <c r="BF219" s="191"/>
      <c r="BG219" s="191"/>
      <c r="BH219" s="191"/>
      <c r="BI219" s="191"/>
      <c r="BJ219" s="191"/>
      <c r="BK219" s="191"/>
      <c r="BL219" s="191"/>
      <c r="BM219" s="191"/>
      <c r="BN219" s="191"/>
      <c r="BO219" s="191"/>
      <c r="BP219" s="191"/>
      <c r="BQ219" s="191"/>
    </row>
    <row r="220" spans="11:69">
      <c r="K220" s="191"/>
      <c r="L220" s="191"/>
      <c r="M220" s="191"/>
      <c r="N220" s="191"/>
      <c r="O220" s="191"/>
      <c r="P220" s="191"/>
      <c r="Q220" s="191"/>
      <c r="R220" s="191"/>
      <c r="S220" s="191"/>
      <c r="T220" s="191"/>
      <c r="U220" s="191"/>
      <c r="V220" s="191"/>
      <c r="W220" s="191"/>
      <c r="X220" s="191"/>
      <c r="Y220" s="191"/>
      <c r="Z220" s="191"/>
      <c r="AA220" s="191"/>
      <c r="AB220" s="191"/>
      <c r="AC220" s="191"/>
      <c r="AD220" s="191"/>
      <c r="AE220" s="191"/>
      <c r="AF220" s="191"/>
      <c r="AG220" s="191"/>
      <c r="AH220" s="191"/>
      <c r="AI220" s="191"/>
      <c r="AJ220" s="191"/>
      <c r="AK220" s="191"/>
      <c r="AL220" s="191"/>
      <c r="AM220" s="191"/>
      <c r="AN220" s="191"/>
      <c r="AO220" s="191"/>
      <c r="AP220" s="191"/>
      <c r="AQ220" s="191"/>
      <c r="AR220" s="191"/>
      <c r="AS220" s="191"/>
      <c r="AT220" s="191"/>
      <c r="AU220" s="191"/>
      <c r="AV220" s="191"/>
      <c r="AW220" s="191"/>
      <c r="AX220" s="191"/>
      <c r="AY220" s="191"/>
      <c r="AZ220" s="191"/>
      <c r="BA220" s="191"/>
      <c r="BB220" s="191"/>
      <c r="BC220" s="191"/>
      <c r="BD220" s="191"/>
      <c r="BE220" s="191"/>
      <c r="BF220" s="191"/>
      <c r="BG220" s="191"/>
      <c r="BH220" s="191"/>
      <c r="BI220" s="191"/>
      <c r="BJ220" s="191"/>
      <c r="BK220" s="191"/>
      <c r="BL220" s="191"/>
      <c r="BM220" s="191"/>
      <c r="BN220" s="191"/>
      <c r="BO220" s="191"/>
      <c r="BP220" s="191"/>
      <c r="BQ220" s="191"/>
    </row>
    <row r="221" spans="11:69">
      <c r="K221" s="191"/>
      <c r="L221" s="191"/>
      <c r="M221" s="191"/>
      <c r="N221" s="191"/>
      <c r="O221" s="191"/>
      <c r="P221" s="191"/>
      <c r="Q221" s="191"/>
      <c r="R221" s="191"/>
      <c r="S221" s="191"/>
      <c r="T221" s="191"/>
      <c r="U221" s="191"/>
      <c r="V221" s="191"/>
      <c r="W221" s="191"/>
      <c r="X221" s="191"/>
      <c r="Y221" s="191"/>
      <c r="Z221" s="191"/>
      <c r="AA221" s="191"/>
      <c r="AB221" s="191"/>
      <c r="AC221" s="191"/>
      <c r="AD221" s="191"/>
      <c r="AE221" s="191"/>
      <c r="AF221" s="191"/>
      <c r="AG221" s="191"/>
      <c r="AH221" s="191"/>
      <c r="AI221" s="191"/>
      <c r="AJ221" s="191"/>
      <c r="AK221" s="191"/>
      <c r="AL221" s="191"/>
      <c r="AM221" s="191"/>
      <c r="AN221" s="191"/>
      <c r="AO221" s="191"/>
      <c r="AP221" s="191"/>
      <c r="AQ221" s="191"/>
      <c r="AR221" s="191"/>
      <c r="AS221" s="191"/>
      <c r="AT221" s="191"/>
      <c r="AU221" s="191"/>
      <c r="AV221" s="191"/>
      <c r="AW221" s="191"/>
      <c r="AX221" s="191"/>
      <c r="AY221" s="191"/>
      <c r="AZ221" s="191"/>
      <c r="BA221" s="191"/>
      <c r="BB221" s="191"/>
      <c r="BC221" s="191"/>
      <c r="BD221" s="191"/>
      <c r="BE221" s="191"/>
      <c r="BF221" s="191"/>
      <c r="BG221" s="191"/>
      <c r="BH221" s="191"/>
      <c r="BI221" s="191"/>
      <c r="BJ221" s="191"/>
      <c r="BK221" s="191"/>
      <c r="BL221" s="191"/>
      <c r="BM221" s="191"/>
      <c r="BN221" s="191"/>
      <c r="BO221" s="191"/>
      <c r="BP221" s="191"/>
      <c r="BQ221" s="191"/>
    </row>
    <row r="222" spans="11:69">
      <c r="K222" s="191"/>
      <c r="L222" s="191"/>
      <c r="M222" s="191"/>
      <c r="N222" s="191"/>
      <c r="O222" s="191"/>
      <c r="P222" s="191"/>
      <c r="Q222" s="191"/>
      <c r="R222" s="191"/>
      <c r="S222" s="191"/>
      <c r="T222" s="191"/>
      <c r="U222" s="191"/>
      <c r="V222" s="191"/>
      <c r="W222" s="191"/>
      <c r="X222" s="191"/>
      <c r="Y222" s="191"/>
      <c r="Z222" s="191"/>
      <c r="AA222" s="191"/>
      <c r="AB222" s="191"/>
      <c r="AC222" s="191"/>
      <c r="AD222" s="191"/>
      <c r="AE222" s="191"/>
      <c r="AF222" s="191"/>
      <c r="AG222" s="191"/>
      <c r="AH222" s="191"/>
      <c r="AI222" s="191"/>
      <c r="AJ222" s="191"/>
      <c r="AK222" s="191"/>
      <c r="AL222" s="191"/>
      <c r="AM222" s="191"/>
      <c r="AN222" s="191"/>
      <c r="AO222" s="191"/>
      <c r="AP222" s="191"/>
      <c r="AQ222" s="191"/>
      <c r="AR222" s="191"/>
      <c r="AS222" s="191"/>
      <c r="AT222" s="191"/>
      <c r="AU222" s="191"/>
      <c r="AV222" s="191"/>
      <c r="AW222" s="191"/>
      <c r="AX222" s="191"/>
      <c r="AY222" s="191"/>
      <c r="AZ222" s="191"/>
      <c r="BA222" s="191"/>
      <c r="BB222" s="191"/>
      <c r="BC222" s="191"/>
      <c r="BD222" s="191"/>
      <c r="BE222" s="191"/>
      <c r="BF222" s="191"/>
      <c r="BG222" s="191"/>
      <c r="BH222" s="191"/>
      <c r="BI222" s="191"/>
      <c r="BJ222" s="191"/>
      <c r="BK222" s="191"/>
      <c r="BL222" s="191"/>
      <c r="BM222" s="191"/>
      <c r="BN222" s="191"/>
      <c r="BO222" s="191"/>
      <c r="BP222" s="191"/>
      <c r="BQ222" s="191"/>
    </row>
    <row r="223" spans="11:69">
      <c r="K223" s="191"/>
      <c r="L223" s="191"/>
      <c r="M223" s="191"/>
      <c r="N223" s="191"/>
      <c r="O223" s="191"/>
      <c r="P223" s="191"/>
      <c r="Q223" s="191"/>
      <c r="R223" s="191"/>
      <c r="S223" s="191"/>
      <c r="T223" s="191"/>
      <c r="U223" s="191"/>
      <c r="V223" s="191"/>
      <c r="W223" s="191"/>
      <c r="X223" s="191"/>
      <c r="Y223" s="191"/>
      <c r="Z223" s="191"/>
      <c r="AA223" s="191"/>
      <c r="AB223" s="191"/>
      <c r="AC223" s="191"/>
      <c r="AD223" s="191"/>
      <c r="AE223" s="191"/>
      <c r="AF223" s="191"/>
      <c r="AG223" s="191"/>
      <c r="AH223" s="191"/>
      <c r="AI223" s="191"/>
      <c r="AJ223" s="191"/>
      <c r="AK223" s="191"/>
      <c r="AL223" s="191"/>
      <c r="AM223" s="191"/>
      <c r="AN223" s="191"/>
      <c r="AO223" s="191"/>
      <c r="AP223" s="191"/>
      <c r="AQ223" s="191"/>
      <c r="AR223" s="191"/>
      <c r="AS223" s="191"/>
      <c r="AT223" s="191"/>
      <c r="AU223" s="191"/>
      <c r="AV223" s="191"/>
      <c r="AW223" s="191"/>
      <c r="AX223" s="191"/>
      <c r="AY223" s="191"/>
      <c r="AZ223" s="191"/>
      <c r="BA223" s="191"/>
      <c r="BB223" s="191"/>
      <c r="BC223" s="191"/>
      <c r="BD223" s="191"/>
      <c r="BE223" s="191"/>
      <c r="BF223" s="191"/>
      <c r="BG223" s="191"/>
      <c r="BH223" s="191"/>
      <c r="BI223" s="191"/>
      <c r="BJ223" s="191"/>
      <c r="BK223" s="191"/>
      <c r="BL223" s="191"/>
      <c r="BM223" s="191"/>
      <c r="BN223" s="191"/>
      <c r="BO223" s="191"/>
      <c r="BP223" s="191"/>
      <c r="BQ223" s="191"/>
    </row>
    <row r="224" spans="11:69">
      <c r="K224" s="191"/>
      <c r="L224" s="191"/>
      <c r="M224" s="191"/>
      <c r="N224" s="191"/>
      <c r="O224" s="191"/>
      <c r="P224" s="191"/>
      <c r="Q224" s="191"/>
      <c r="R224" s="191"/>
      <c r="S224" s="191"/>
      <c r="T224" s="191"/>
      <c r="U224" s="191"/>
      <c r="V224" s="191"/>
      <c r="W224" s="191"/>
      <c r="X224" s="191"/>
      <c r="Y224" s="191"/>
      <c r="Z224" s="191"/>
      <c r="AA224" s="191"/>
      <c r="AB224" s="191"/>
      <c r="AC224" s="191"/>
      <c r="AD224" s="191"/>
      <c r="AE224" s="191"/>
      <c r="AF224" s="191"/>
      <c r="AG224" s="191"/>
      <c r="AH224" s="191"/>
      <c r="AI224" s="191"/>
      <c r="AJ224" s="191"/>
      <c r="AK224" s="191"/>
      <c r="AL224" s="191"/>
      <c r="AM224" s="191"/>
      <c r="AN224" s="191"/>
      <c r="AO224" s="191"/>
      <c r="AP224" s="191"/>
      <c r="AQ224" s="191"/>
      <c r="AR224" s="191"/>
      <c r="AS224" s="191"/>
      <c r="AT224" s="191"/>
      <c r="AU224" s="191"/>
      <c r="AV224" s="191"/>
      <c r="AW224" s="191"/>
      <c r="AX224" s="191"/>
      <c r="AY224" s="191"/>
      <c r="AZ224" s="191"/>
      <c r="BA224" s="191"/>
      <c r="BB224" s="191"/>
      <c r="BC224" s="191"/>
      <c r="BD224" s="191"/>
      <c r="BE224" s="191"/>
      <c r="BF224" s="191"/>
      <c r="BG224" s="191"/>
      <c r="BH224" s="191"/>
      <c r="BI224" s="191"/>
      <c r="BJ224" s="191"/>
      <c r="BK224" s="191"/>
      <c r="BL224" s="191"/>
      <c r="BM224" s="191"/>
      <c r="BN224" s="191"/>
      <c r="BO224" s="191"/>
      <c r="BP224" s="191"/>
      <c r="BQ224" s="191"/>
    </row>
    <row r="225" spans="11:69">
      <c r="K225" s="191"/>
      <c r="L225" s="191"/>
      <c r="M225" s="191"/>
      <c r="N225" s="191"/>
      <c r="O225" s="191"/>
      <c r="P225" s="191"/>
      <c r="Q225" s="191"/>
      <c r="R225" s="191"/>
      <c r="S225" s="191"/>
      <c r="T225" s="191"/>
      <c r="U225" s="191"/>
      <c r="V225" s="191"/>
      <c r="W225" s="191"/>
      <c r="X225" s="191"/>
      <c r="Y225" s="191"/>
      <c r="Z225" s="191"/>
      <c r="AA225" s="191"/>
      <c r="AB225" s="191"/>
      <c r="AC225" s="191"/>
      <c r="AD225" s="191"/>
      <c r="AE225" s="191"/>
      <c r="AF225" s="191"/>
      <c r="AG225" s="191"/>
      <c r="AH225" s="191"/>
      <c r="AI225" s="191"/>
      <c r="AJ225" s="191"/>
      <c r="AK225" s="191"/>
      <c r="AL225" s="191"/>
      <c r="AM225" s="191"/>
      <c r="AN225" s="191"/>
      <c r="AO225" s="191"/>
      <c r="AP225" s="191"/>
      <c r="AQ225" s="191"/>
      <c r="AR225" s="191"/>
      <c r="AS225" s="191"/>
      <c r="AT225" s="191"/>
      <c r="AU225" s="191"/>
      <c r="AV225" s="191"/>
      <c r="AW225" s="191"/>
      <c r="AX225" s="191"/>
      <c r="AY225" s="191"/>
      <c r="AZ225" s="191"/>
      <c r="BA225" s="191"/>
      <c r="BB225" s="191"/>
      <c r="BC225" s="191"/>
      <c r="BD225" s="191"/>
      <c r="BE225" s="191"/>
      <c r="BF225" s="191"/>
      <c r="BG225" s="191"/>
      <c r="BH225" s="191"/>
      <c r="BI225" s="191"/>
      <c r="BJ225" s="191"/>
      <c r="BK225" s="191"/>
      <c r="BL225" s="191"/>
      <c r="BM225" s="191"/>
      <c r="BN225" s="191"/>
      <c r="BO225" s="191"/>
      <c r="BP225" s="191"/>
      <c r="BQ225" s="191"/>
    </row>
    <row r="226" spans="11:69">
      <c r="K226" s="191"/>
      <c r="L226" s="191"/>
      <c r="M226" s="191"/>
      <c r="N226" s="191"/>
      <c r="O226" s="191"/>
      <c r="P226" s="191"/>
      <c r="Q226" s="191"/>
      <c r="R226" s="191"/>
      <c r="S226" s="191"/>
      <c r="T226" s="191"/>
      <c r="U226" s="191"/>
      <c r="V226" s="191"/>
      <c r="W226" s="191"/>
      <c r="X226" s="191"/>
      <c r="Y226" s="191"/>
      <c r="Z226" s="191"/>
      <c r="AA226" s="191"/>
      <c r="AB226" s="191"/>
      <c r="AC226" s="191"/>
      <c r="AD226" s="191"/>
      <c r="AE226" s="191"/>
      <c r="AF226" s="191"/>
      <c r="AG226" s="191"/>
      <c r="AH226" s="191"/>
      <c r="AI226" s="191"/>
      <c r="AJ226" s="191"/>
      <c r="AK226" s="191"/>
      <c r="AL226" s="191"/>
      <c r="AM226" s="191"/>
      <c r="AN226" s="191"/>
      <c r="AO226" s="191"/>
      <c r="AP226" s="191"/>
      <c r="AQ226" s="191"/>
      <c r="AR226" s="191"/>
      <c r="AS226" s="191"/>
      <c r="AT226" s="191"/>
      <c r="AU226" s="191"/>
      <c r="AV226" s="191"/>
      <c r="AW226" s="191"/>
      <c r="AX226" s="191"/>
      <c r="AY226" s="191"/>
      <c r="AZ226" s="191"/>
      <c r="BA226" s="191"/>
      <c r="BB226" s="191"/>
      <c r="BC226" s="191"/>
      <c r="BD226" s="191"/>
      <c r="BE226" s="191"/>
      <c r="BF226" s="191"/>
      <c r="BG226" s="191"/>
      <c r="BH226" s="191"/>
      <c r="BI226" s="191"/>
      <c r="BJ226" s="191"/>
      <c r="BK226" s="191"/>
      <c r="BL226" s="191"/>
      <c r="BM226" s="191"/>
      <c r="BN226" s="191"/>
      <c r="BO226" s="191"/>
      <c r="BP226" s="191"/>
      <c r="BQ226" s="191"/>
    </row>
    <row r="227" spans="11:69">
      <c r="K227" s="191"/>
      <c r="L227" s="191"/>
      <c r="M227" s="191"/>
      <c r="N227" s="191"/>
      <c r="O227" s="191"/>
      <c r="P227" s="191"/>
      <c r="Q227" s="191"/>
      <c r="R227" s="191"/>
      <c r="S227" s="191"/>
      <c r="T227" s="191"/>
      <c r="U227" s="191"/>
      <c r="V227" s="191"/>
      <c r="W227" s="191"/>
      <c r="X227" s="191"/>
      <c r="Y227" s="191"/>
      <c r="Z227" s="191"/>
      <c r="AA227" s="191"/>
      <c r="AB227" s="191"/>
      <c r="AC227" s="191"/>
      <c r="AD227" s="191"/>
      <c r="AE227" s="191"/>
      <c r="AF227" s="191"/>
      <c r="AG227" s="191"/>
      <c r="AH227" s="191"/>
      <c r="AI227" s="191"/>
      <c r="AJ227" s="191"/>
      <c r="AK227" s="191"/>
      <c r="AL227" s="191"/>
      <c r="AM227" s="191"/>
      <c r="AN227" s="191"/>
      <c r="AO227" s="191"/>
      <c r="AP227" s="191"/>
      <c r="AQ227" s="191"/>
      <c r="AR227" s="191"/>
      <c r="AS227" s="191"/>
      <c r="AT227" s="191"/>
      <c r="AU227" s="191"/>
      <c r="AV227" s="191"/>
      <c r="AW227" s="191"/>
      <c r="AX227" s="191"/>
      <c r="AY227" s="191"/>
      <c r="AZ227" s="191"/>
      <c r="BA227" s="191"/>
      <c r="BB227" s="191"/>
      <c r="BC227" s="191"/>
      <c r="BD227" s="191"/>
      <c r="BE227" s="191"/>
      <c r="BF227" s="191"/>
      <c r="BG227" s="191"/>
      <c r="BH227" s="191"/>
      <c r="BI227" s="191"/>
      <c r="BJ227" s="191"/>
      <c r="BK227" s="191"/>
      <c r="BL227" s="191"/>
      <c r="BM227" s="191"/>
      <c r="BN227" s="191"/>
      <c r="BO227" s="191"/>
      <c r="BP227" s="191"/>
      <c r="BQ227" s="191"/>
    </row>
    <row r="228" spans="11:69">
      <c r="K228" s="191"/>
      <c r="L228" s="191"/>
      <c r="M228" s="191"/>
      <c r="N228" s="191"/>
      <c r="O228" s="191"/>
      <c r="P228" s="191"/>
      <c r="Q228" s="191"/>
      <c r="R228" s="191"/>
      <c r="S228" s="191"/>
      <c r="T228" s="191"/>
      <c r="U228" s="191"/>
      <c r="V228" s="191"/>
      <c r="W228" s="191"/>
      <c r="X228" s="191"/>
      <c r="Y228" s="191"/>
      <c r="Z228" s="191"/>
      <c r="AA228" s="191"/>
      <c r="AB228" s="191"/>
      <c r="AC228" s="191"/>
      <c r="AD228" s="191"/>
      <c r="AE228" s="191"/>
      <c r="AF228" s="191"/>
      <c r="AG228" s="191"/>
      <c r="AH228" s="191"/>
      <c r="AI228" s="191"/>
      <c r="AJ228" s="191"/>
      <c r="AK228" s="191"/>
      <c r="AL228" s="191"/>
      <c r="AM228" s="191"/>
      <c r="AN228" s="191"/>
      <c r="AO228" s="191"/>
      <c r="AP228" s="191"/>
      <c r="AQ228" s="191"/>
      <c r="AR228" s="191"/>
      <c r="AS228" s="191"/>
      <c r="AT228" s="191"/>
      <c r="AU228" s="191"/>
      <c r="AV228" s="191"/>
      <c r="AW228" s="191"/>
      <c r="AX228" s="191"/>
      <c r="AY228" s="191"/>
      <c r="AZ228" s="191"/>
      <c r="BA228" s="191"/>
      <c r="BB228" s="191"/>
      <c r="BC228" s="191"/>
      <c r="BD228" s="191"/>
      <c r="BE228" s="191"/>
      <c r="BF228" s="191"/>
      <c r="BG228" s="191"/>
      <c r="BH228" s="191"/>
      <c r="BI228" s="191"/>
      <c r="BJ228" s="191"/>
      <c r="BK228" s="191"/>
      <c r="BL228" s="191"/>
      <c r="BM228" s="191"/>
      <c r="BN228" s="191"/>
      <c r="BO228" s="191"/>
      <c r="BP228" s="191"/>
      <c r="BQ228" s="191"/>
    </row>
    <row r="229" spans="11:69">
      <c r="K229" s="191"/>
      <c r="L229" s="191"/>
      <c r="M229" s="191"/>
      <c r="N229" s="191"/>
      <c r="O229" s="191"/>
      <c r="P229" s="191"/>
      <c r="Q229" s="191"/>
      <c r="R229" s="191"/>
      <c r="S229" s="191"/>
      <c r="T229" s="191"/>
      <c r="U229" s="191"/>
      <c r="V229" s="191"/>
      <c r="W229" s="191"/>
      <c r="X229" s="191"/>
      <c r="Y229" s="191"/>
      <c r="Z229" s="191"/>
      <c r="AA229" s="191"/>
      <c r="AB229" s="191"/>
      <c r="AC229" s="191"/>
      <c r="AD229" s="191"/>
      <c r="AE229" s="191"/>
      <c r="AF229" s="191"/>
      <c r="AG229" s="191"/>
      <c r="AH229" s="191"/>
      <c r="AI229" s="191"/>
      <c r="AJ229" s="191"/>
      <c r="AK229" s="191"/>
      <c r="AL229" s="191"/>
      <c r="AM229" s="191"/>
      <c r="AN229" s="191"/>
      <c r="AO229" s="191"/>
      <c r="AP229" s="191"/>
      <c r="AQ229" s="191"/>
      <c r="AR229" s="191"/>
      <c r="AS229" s="191"/>
      <c r="AT229" s="191"/>
      <c r="AU229" s="191"/>
      <c r="AV229" s="191"/>
      <c r="AW229" s="191"/>
      <c r="AX229" s="191"/>
      <c r="AY229" s="191"/>
      <c r="AZ229" s="191"/>
      <c r="BA229" s="191"/>
      <c r="BB229" s="191"/>
      <c r="BC229" s="191"/>
      <c r="BD229" s="191"/>
      <c r="BE229" s="191"/>
      <c r="BF229" s="191"/>
      <c r="BG229" s="191"/>
      <c r="BH229" s="191"/>
      <c r="BI229" s="191"/>
      <c r="BJ229" s="191"/>
      <c r="BK229" s="191"/>
      <c r="BL229" s="191"/>
      <c r="BM229" s="191"/>
      <c r="BN229" s="191"/>
      <c r="BO229" s="191"/>
      <c r="BP229" s="191"/>
      <c r="BQ229" s="191"/>
    </row>
    <row r="230" spans="11:69">
      <c r="K230" s="191"/>
      <c r="L230" s="191"/>
      <c r="M230" s="191"/>
      <c r="N230" s="191"/>
      <c r="O230" s="191"/>
      <c r="P230" s="191"/>
      <c r="Q230" s="191"/>
      <c r="R230" s="191"/>
      <c r="S230" s="191"/>
      <c r="T230" s="191"/>
      <c r="U230" s="191"/>
      <c r="V230" s="191"/>
      <c r="W230" s="191"/>
      <c r="X230" s="191"/>
      <c r="Y230" s="191"/>
      <c r="Z230" s="191"/>
      <c r="AA230" s="191"/>
      <c r="AB230" s="191"/>
      <c r="AC230" s="191"/>
      <c r="AD230" s="191"/>
      <c r="AE230" s="191"/>
      <c r="AF230" s="191"/>
      <c r="AG230" s="191"/>
      <c r="AH230" s="191"/>
      <c r="AI230" s="191"/>
      <c r="AJ230" s="191"/>
      <c r="AK230" s="191"/>
      <c r="AL230" s="191"/>
      <c r="AM230" s="191"/>
      <c r="AN230" s="191"/>
      <c r="AO230" s="191"/>
      <c r="AP230" s="191"/>
      <c r="AQ230" s="191"/>
      <c r="AR230" s="191"/>
      <c r="AS230" s="191"/>
      <c r="AT230" s="191"/>
      <c r="AU230" s="191"/>
      <c r="AV230" s="191"/>
      <c r="AW230" s="191"/>
      <c r="AX230" s="191"/>
      <c r="AY230" s="191"/>
      <c r="AZ230" s="191"/>
      <c r="BA230" s="191"/>
      <c r="BB230" s="191"/>
      <c r="BC230" s="191"/>
      <c r="BD230" s="191"/>
      <c r="BE230" s="191"/>
      <c r="BF230" s="191"/>
      <c r="BG230" s="191"/>
      <c r="BH230" s="191"/>
      <c r="BI230" s="191"/>
      <c r="BJ230" s="191"/>
      <c r="BK230" s="191"/>
      <c r="BL230" s="191"/>
      <c r="BM230" s="191"/>
      <c r="BN230" s="191"/>
      <c r="BO230" s="191"/>
      <c r="BP230" s="191"/>
      <c r="BQ230" s="191"/>
    </row>
    <row r="231" spans="11:69">
      <c r="K231" s="191"/>
      <c r="L231" s="191"/>
      <c r="M231" s="191"/>
      <c r="N231" s="191"/>
      <c r="O231" s="191"/>
      <c r="P231" s="191"/>
      <c r="Q231" s="191"/>
      <c r="R231" s="191"/>
      <c r="S231" s="191"/>
      <c r="T231" s="191"/>
      <c r="U231" s="191"/>
      <c r="V231" s="191"/>
      <c r="W231" s="191"/>
      <c r="X231" s="191"/>
      <c r="Y231" s="191"/>
      <c r="Z231" s="191"/>
      <c r="AA231" s="191"/>
      <c r="AB231" s="191"/>
      <c r="AC231" s="191"/>
      <c r="AD231" s="191"/>
      <c r="AE231" s="191"/>
      <c r="AF231" s="191"/>
      <c r="AG231" s="191"/>
      <c r="AH231" s="191"/>
      <c r="AI231" s="191"/>
      <c r="AJ231" s="191"/>
      <c r="AK231" s="191"/>
      <c r="AL231" s="191"/>
      <c r="AM231" s="191"/>
      <c r="AN231" s="191"/>
      <c r="AO231" s="191"/>
      <c r="AP231" s="191"/>
      <c r="AQ231" s="191"/>
      <c r="AR231" s="191"/>
      <c r="AS231" s="191"/>
      <c r="AT231" s="191"/>
      <c r="AU231" s="191"/>
      <c r="AV231" s="191"/>
      <c r="AW231" s="191"/>
      <c r="AX231" s="191"/>
      <c r="AY231" s="191"/>
      <c r="AZ231" s="191"/>
      <c r="BA231" s="191"/>
      <c r="BB231" s="191"/>
      <c r="BC231" s="191"/>
      <c r="BD231" s="191"/>
      <c r="BE231" s="191"/>
      <c r="BF231" s="191"/>
      <c r="BG231" s="191"/>
      <c r="BH231" s="191"/>
      <c r="BI231" s="191"/>
      <c r="BJ231" s="191"/>
      <c r="BK231" s="191"/>
      <c r="BL231" s="191"/>
      <c r="BM231" s="191"/>
      <c r="BN231" s="191"/>
      <c r="BO231" s="191"/>
      <c r="BP231" s="191"/>
      <c r="BQ231" s="191"/>
    </row>
    <row r="232" spans="11:69">
      <c r="K232" s="191"/>
      <c r="L232" s="191"/>
      <c r="M232" s="191"/>
      <c r="N232" s="191"/>
      <c r="O232" s="191"/>
      <c r="P232" s="191"/>
      <c r="Q232" s="191"/>
      <c r="R232" s="191"/>
      <c r="S232" s="191"/>
      <c r="T232" s="191"/>
      <c r="U232" s="191"/>
      <c r="V232" s="191"/>
      <c r="W232" s="191"/>
      <c r="X232" s="191"/>
      <c r="Y232" s="191"/>
      <c r="Z232" s="191"/>
      <c r="AA232" s="191"/>
      <c r="AB232" s="191"/>
      <c r="AC232" s="191"/>
      <c r="AD232" s="191"/>
      <c r="AE232" s="191"/>
      <c r="AF232" s="191"/>
      <c r="AG232" s="191"/>
      <c r="AH232" s="191"/>
      <c r="AI232" s="191"/>
      <c r="AJ232" s="191"/>
      <c r="AK232" s="191"/>
      <c r="AL232" s="191"/>
      <c r="AM232" s="191"/>
      <c r="AN232" s="191"/>
      <c r="AO232" s="191"/>
      <c r="AP232" s="191"/>
      <c r="AQ232" s="191"/>
      <c r="AR232" s="191"/>
      <c r="AS232" s="191"/>
      <c r="AT232" s="191"/>
      <c r="AU232" s="191"/>
      <c r="AV232" s="191"/>
      <c r="AW232" s="191"/>
      <c r="AX232" s="191"/>
      <c r="AY232" s="191"/>
      <c r="AZ232" s="191"/>
      <c r="BA232" s="191"/>
      <c r="BB232" s="191"/>
      <c r="BC232" s="191"/>
      <c r="BD232" s="191"/>
      <c r="BE232" s="191"/>
      <c r="BF232" s="191"/>
      <c r="BG232" s="191"/>
      <c r="BH232" s="191"/>
      <c r="BI232" s="191"/>
      <c r="BJ232" s="191"/>
      <c r="BK232" s="191"/>
      <c r="BL232" s="191"/>
      <c r="BM232" s="191"/>
      <c r="BN232" s="191"/>
      <c r="BO232" s="191"/>
      <c r="BP232" s="191"/>
      <c r="BQ232" s="191"/>
    </row>
    <row r="233" spans="11:69">
      <c r="K233" s="191"/>
      <c r="L233" s="191"/>
      <c r="M233" s="191"/>
      <c r="N233" s="191"/>
      <c r="O233" s="191"/>
      <c r="P233" s="191"/>
      <c r="Q233" s="191"/>
      <c r="R233" s="191"/>
      <c r="S233" s="191"/>
      <c r="T233" s="191"/>
      <c r="U233" s="191"/>
      <c r="V233" s="191"/>
      <c r="W233" s="191"/>
      <c r="X233" s="191"/>
      <c r="Y233" s="191"/>
      <c r="Z233" s="191"/>
      <c r="AA233" s="191"/>
      <c r="AB233" s="191"/>
      <c r="AC233" s="191"/>
      <c r="AD233" s="191"/>
      <c r="AE233" s="191"/>
      <c r="AF233" s="191"/>
      <c r="AG233" s="191"/>
      <c r="AH233" s="191"/>
      <c r="AI233" s="191"/>
      <c r="AJ233" s="191"/>
      <c r="AK233" s="191"/>
      <c r="AL233" s="191"/>
      <c r="AM233" s="191"/>
      <c r="AN233" s="191"/>
      <c r="AO233" s="191"/>
      <c r="AP233" s="191"/>
      <c r="AQ233" s="191"/>
      <c r="AR233" s="191"/>
      <c r="AS233" s="191"/>
      <c r="AT233" s="191"/>
      <c r="AU233" s="191"/>
      <c r="AV233" s="191"/>
      <c r="AW233" s="191"/>
      <c r="AX233" s="191"/>
      <c r="AY233" s="191"/>
      <c r="AZ233" s="191"/>
      <c r="BA233" s="191"/>
      <c r="BB233" s="191"/>
      <c r="BC233" s="191"/>
      <c r="BD233" s="191"/>
      <c r="BE233" s="191"/>
      <c r="BF233" s="191"/>
      <c r="BG233" s="191"/>
      <c r="BH233" s="191"/>
      <c r="BI233" s="191"/>
      <c r="BJ233" s="191"/>
      <c r="BK233" s="191"/>
      <c r="BL233" s="191"/>
      <c r="BM233" s="191"/>
      <c r="BN233" s="191"/>
      <c r="BO233" s="191"/>
      <c r="BP233" s="191"/>
      <c r="BQ233" s="191"/>
    </row>
    <row r="234" spans="11:69">
      <c r="K234" s="191"/>
      <c r="L234" s="191"/>
      <c r="M234" s="191"/>
      <c r="N234" s="191"/>
      <c r="O234" s="191"/>
      <c r="P234" s="191"/>
      <c r="Q234" s="191"/>
      <c r="R234" s="191"/>
      <c r="S234" s="191"/>
      <c r="T234" s="191"/>
      <c r="U234" s="191"/>
      <c r="V234" s="191"/>
      <c r="W234" s="191"/>
      <c r="X234" s="191"/>
      <c r="Y234" s="191"/>
      <c r="Z234" s="191"/>
      <c r="AA234" s="191"/>
      <c r="AB234" s="191"/>
      <c r="AC234" s="191"/>
      <c r="AD234" s="191"/>
      <c r="AE234" s="191"/>
      <c r="AF234" s="191"/>
      <c r="AG234" s="191"/>
      <c r="AH234" s="191"/>
      <c r="AI234" s="191"/>
      <c r="AJ234" s="191"/>
      <c r="AK234" s="191"/>
      <c r="AL234" s="191"/>
      <c r="AM234" s="191"/>
      <c r="AN234" s="191"/>
      <c r="AO234" s="191"/>
      <c r="AP234" s="191"/>
      <c r="AQ234" s="191"/>
      <c r="AR234" s="191"/>
      <c r="AS234" s="191"/>
      <c r="AT234" s="191"/>
      <c r="AU234" s="191"/>
      <c r="AV234" s="191"/>
      <c r="AW234" s="191"/>
      <c r="AX234" s="191"/>
      <c r="AY234" s="191"/>
      <c r="AZ234" s="191"/>
      <c r="BA234" s="191"/>
      <c r="BB234" s="191"/>
      <c r="BC234" s="191"/>
      <c r="BD234" s="191"/>
      <c r="BE234" s="191"/>
      <c r="BF234" s="191"/>
      <c r="BG234" s="191"/>
      <c r="BH234" s="191"/>
      <c r="BI234" s="191"/>
      <c r="BJ234" s="191"/>
      <c r="BK234" s="191"/>
      <c r="BL234" s="191"/>
      <c r="BM234" s="191"/>
      <c r="BN234" s="191"/>
      <c r="BO234" s="191"/>
      <c r="BP234" s="191"/>
      <c r="BQ234" s="191"/>
    </row>
    <row r="235" spans="11:69">
      <c r="K235" s="191"/>
      <c r="L235" s="191"/>
      <c r="M235" s="191"/>
      <c r="N235" s="191"/>
      <c r="O235" s="191"/>
      <c r="P235" s="191"/>
      <c r="Q235" s="191"/>
      <c r="R235" s="191"/>
      <c r="S235" s="191"/>
      <c r="T235" s="191"/>
      <c r="U235" s="191"/>
      <c r="V235" s="191"/>
      <c r="W235" s="191"/>
      <c r="X235" s="191"/>
      <c r="Y235" s="191"/>
      <c r="Z235" s="191"/>
      <c r="AA235" s="191"/>
      <c r="AB235" s="191"/>
      <c r="AC235" s="191"/>
      <c r="AD235" s="191"/>
      <c r="AE235" s="191"/>
      <c r="AF235" s="191"/>
      <c r="AG235" s="191"/>
      <c r="AH235" s="191"/>
      <c r="AI235" s="191"/>
      <c r="AJ235" s="191"/>
      <c r="AK235" s="191"/>
      <c r="AL235" s="191"/>
      <c r="AM235" s="191"/>
      <c r="AN235" s="191"/>
      <c r="AO235" s="191"/>
      <c r="AP235" s="191"/>
      <c r="AQ235" s="191"/>
      <c r="AR235" s="191"/>
      <c r="AS235" s="191"/>
      <c r="AT235" s="191"/>
      <c r="AU235" s="191"/>
      <c r="AV235" s="191"/>
      <c r="AW235" s="191"/>
      <c r="AX235" s="191"/>
      <c r="AY235" s="191"/>
      <c r="AZ235" s="191"/>
      <c r="BA235" s="191"/>
      <c r="BB235" s="191"/>
      <c r="BC235" s="191"/>
      <c r="BD235" s="191"/>
      <c r="BE235" s="191"/>
      <c r="BF235" s="191"/>
      <c r="BG235" s="191"/>
      <c r="BH235" s="191"/>
      <c r="BI235" s="191"/>
      <c r="BJ235" s="191"/>
      <c r="BK235" s="191"/>
      <c r="BL235" s="191"/>
      <c r="BM235" s="191"/>
      <c r="BN235" s="191"/>
      <c r="BO235" s="191"/>
      <c r="BP235" s="191"/>
      <c r="BQ235" s="191"/>
    </row>
    <row r="236" spans="11:69">
      <c r="K236" s="191"/>
      <c r="L236" s="191"/>
      <c r="M236" s="191"/>
      <c r="N236" s="191"/>
      <c r="O236" s="191"/>
      <c r="P236" s="191"/>
      <c r="Q236" s="191"/>
      <c r="R236" s="191"/>
      <c r="S236" s="191"/>
      <c r="T236" s="191"/>
      <c r="U236" s="191"/>
      <c r="V236" s="191"/>
      <c r="W236" s="191"/>
      <c r="X236" s="191"/>
      <c r="Y236" s="191"/>
      <c r="Z236" s="191"/>
      <c r="AA236" s="191"/>
      <c r="AB236" s="191"/>
      <c r="AC236" s="191"/>
      <c r="AD236" s="191"/>
      <c r="AE236" s="191"/>
      <c r="AF236" s="191"/>
      <c r="AG236" s="191"/>
      <c r="AH236" s="191"/>
      <c r="AI236" s="191"/>
      <c r="AJ236" s="191"/>
      <c r="AK236" s="191"/>
      <c r="AL236" s="191"/>
      <c r="AM236" s="191"/>
      <c r="AN236" s="191"/>
      <c r="AO236" s="191"/>
      <c r="AP236" s="191"/>
      <c r="AQ236" s="191"/>
      <c r="AR236" s="191"/>
      <c r="AS236" s="191"/>
      <c r="AT236" s="191"/>
      <c r="AU236" s="191"/>
      <c r="AV236" s="191"/>
      <c r="AW236" s="191"/>
      <c r="AX236" s="191"/>
      <c r="AY236" s="191"/>
      <c r="AZ236" s="191"/>
      <c r="BA236" s="191"/>
      <c r="BB236" s="191"/>
      <c r="BC236" s="191"/>
      <c r="BD236" s="191"/>
      <c r="BE236" s="191"/>
      <c r="BF236" s="191"/>
      <c r="BG236" s="191"/>
      <c r="BH236" s="191"/>
      <c r="BI236" s="191"/>
      <c r="BJ236" s="191"/>
      <c r="BK236" s="191"/>
      <c r="BL236" s="191"/>
      <c r="BM236" s="191"/>
      <c r="BN236" s="191"/>
      <c r="BO236" s="191"/>
      <c r="BP236" s="191"/>
      <c r="BQ236" s="191"/>
    </row>
    <row r="237" spans="11:69">
      <c r="K237" s="191"/>
      <c r="L237" s="191"/>
      <c r="M237" s="191"/>
      <c r="N237" s="191"/>
      <c r="O237" s="191"/>
      <c r="P237" s="191"/>
      <c r="Q237" s="191"/>
      <c r="R237" s="191"/>
      <c r="S237" s="191"/>
      <c r="T237" s="191"/>
      <c r="U237" s="191"/>
      <c r="V237" s="191"/>
      <c r="W237" s="191"/>
      <c r="X237" s="191"/>
      <c r="Y237" s="191"/>
      <c r="Z237" s="191"/>
      <c r="AA237" s="191"/>
      <c r="AB237" s="191"/>
      <c r="AC237" s="191"/>
      <c r="AD237" s="191"/>
      <c r="AE237" s="191"/>
      <c r="AF237" s="191"/>
      <c r="AG237" s="191"/>
      <c r="AH237" s="191"/>
      <c r="AI237" s="191"/>
      <c r="AJ237" s="191"/>
      <c r="AK237" s="191"/>
      <c r="AL237" s="191"/>
      <c r="AM237" s="191"/>
      <c r="AN237" s="191"/>
      <c r="AO237" s="191"/>
      <c r="AP237" s="191"/>
      <c r="AQ237" s="191"/>
      <c r="AR237" s="191"/>
      <c r="AS237" s="191"/>
      <c r="AT237" s="191"/>
      <c r="AU237" s="191"/>
      <c r="AV237" s="191"/>
      <c r="AW237" s="191"/>
      <c r="AX237" s="191"/>
      <c r="AY237" s="191"/>
      <c r="AZ237" s="191"/>
      <c r="BA237" s="191"/>
      <c r="BB237" s="191"/>
      <c r="BC237" s="191"/>
      <c r="BD237" s="191"/>
      <c r="BE237" s="191"/>
      <c r="BF237" s="191"/>
      <c r="BG237" s="191"/>
      <c r="BH237" s="191"/>
      <c r="BI237" s="191"/>
      <c r="BJ237" s="191"/>
      <c r="BK237" s="191"/>
      <c r="BL237" s="191"/>
      <c r="BM237" s="191"/>
      <c r="BN237" s="191"/>
      <c r="BO237" s="191"/>
      <c r="BP237" s="191"/>
      <c r="BQ237" s="191"/>
    </row>
    <row r="238" spans="11:69">
      <c r="K238" s="191"/>
      <c r="L238" s="191"/>
      <c r="M238" s="191"/>
      <c r="N238" s="191"/>
      <c r="O238" s="191"/>
      <c r="P238" s="191"/>
      <c r="Q238" s="191"/>
      <c r="R238" s="191"/>
      <c r="S238" s="191"/>
      <c r="T238" s="191"/>
      <c r="U238" s="191"/>
      <c r="V238" s="191"/>
      <c r="W238" s="191"/>
      <c r="X238" s="191"/>
      <c r="Y238" s="191"/>
      <c r="Z238" s="191"/>
      <c r="AA238" s="191"/>
      <c r="AB238" s="191"/>
      <c r="AC238" s="191"/>
      <c r="AD238" s="191"/>
      <c r="AE238" s="191"/>
      <c r="AF238" s="191"/>
      <c r="AG238" s="191"/>
      <c r="AH238" s="191"/>
      <c r="AI238" s="191"/>
      <c r="AJ238" s="191"/>
      <c r="AK238" s="191"/>
      <c r="AL238" s="191"/>
      <c r="AM238" s="191"/>
      <c r="AN238" s="191"/>
      <c r="AO238" s="191"/>
      <c r="AP238" s="191"/>
      <c r="AQ238" s="191"/>
      <c r="AR238" s="191"/>
      <c r="AS238" s="191"/>
      <c r="AT238" s="191"/>
      <c r="AU238" s="191"/>
      <c r="AV238" s="191"/>
      <c r="AW238" s="191"/>
      <c r="AX238" s="191"/>
      <c r="AY238" s="191"/>
      <c r="AZ238" s="191"/>
      <c r="BA238" s="191"/>
      <c r="BB238" s="191"/>
      <c r="BC238" s="191"/>
      <c r="BD238" s="191"/>
      <c r="BE238" s="191"/>
      <c r="BF238" s="191"/>
      <c r="BG238" s="191"/>
      <c r="BH238" s="191"/>
      <c r="BI238" s="191"/>
      <c r="BJ238" s="191"/>
      <c r="BK238" s="191"/>
      <c r="BL238" s="191"/>
      <c r="BM238" s="191"/>
      <c r="BN238" s="191"/>
      <c r="BO238" s="191"/>
      <c r="BP238" s="191"/>
      <c r="BQ238" s="191"/>
    </row>
    <row r="239" spans="11:69">
      <c r="K239" s="191"/>
      <c r="L239" s="191"/>
      <c r="M239" s="191"/>
      <c r="N239" s="191"/>
      <c r="O239" s="191"/>
      <c r="P239" s="191"/>
      <c r="Q239" s="191"/>
      <c r="R239" s="191"/>
      <c r="S239" s="191"/>
      <c r="T239" s="191"/>
      <c r="U239" s="191"/>
      <c r="V239" s="191"/>
      <c r="W239" s="191"/>
      <c r="X239" s="191"/>
      <c r="Y239" s="191"/>
      <c r="Z239" s="191"/>
      <c r="AA239" s="191"/>
      <c r="AB239" s="191"/>
      <c r="AC239" s="191"/>
      <c r="AD239" s="191"/>
      <c r="AE239" s="191"/>
      <c r="AF239" s="191"/>
      <c r="AG239" s="191"/>
      <c r="AH239" s="191"/>
      <c r="AI239" s="191"/>
      <c r="AJ239" s="191"/>
      <c r="AK239" s="191"/>
      <c r="AL239" s="191"/>
      <c r="AM239" s="191"/>
      <c r="AN239" s="191"/>
      <c r="AO239" s="191"/>
      <c r="AP239" s="191"/>
      <c r="AQ239" s="191"/>
      <c r="AR239" s="191"/>
      <c r="AS239" s="191"/>
      <c r="AT239" s="191"/>
      <c r="AU239" s="191"/>
      <c r="AV239" s="191"/>
      <c r="AW239" s="191"/>
      <c r="AX239" s="191"/>
      <c r="AY239" s="191"/>
      <c r="AZ239" s="191"/>
      <c r="BA239" s="191"/>
      <c r="BB239" s="191"/>
      <c r="BC239" s="191"/>
      <c r="BD239" s="191"/>
      <c r="BE239" s="191"/>
      <c r="BF239" s="191"/>
      <c r="BG239" s="191"/>
      <c r="BH239" s="191"/>
      <c r="BI239" s="191"/>
      <c r="BJ239" s="191"/>
      <c r="BK239" s="191"/>
      <c r="BL239" s="191"/>
      <c r="BM239" s="191"/>
      <c r="BN239" s="191"/>
      <c r="BO239" s="191"/>
      <c r="BP239" s="191"/>
      <c r="BQ239" s="191"/>
    </row>
    <row r="240" spans="11:69">
      <c r="K240" s="191"/>
      <c r="L240" s="191"/>
      <c r="M240" s="191"/>
      <c r="N240" s="191"/>
      <c r="O240" s="191"/>
      <c r="P240" s="191"/>
      <c r="Q240" s="191"/>
      <c r="R240" s="191"/>
      <c r="S240" s="191"/>
      <c r="T240" s="191"/>
      <c r="U240" s="191"/>
      <c r="V240" s="191"/>
      <c r="W240" s="191"/>
      <c r="X240" s="191"/>
      <c r="Y240" s="191"/>
      <c r="Z240" s="191"/>
      <c r="AA240" s="191"/>
      <c r="AB240" s="191"/>
      <c r="AC240" s="191"/>
      <c r="AD240" s="191"/>
      <c r="AE240" s="191"/>
      <c r="AF240" s="191"/>
      <c r="AG240" s="191"/>
      <c r="AH240" s="191"/>
      <c r="AI240" s="191"/>
      <c r="AJ240" s="191"/>
      <c r="AK240" s="191"/>
      <c r="AL240" s="191"/>
      <c r="AM240" s="191"/>
      <c r="AN240" s="191"/>
      <c r="AO240" s="191"/>
      <c r="AP240" s="191"/>
      <c r="AQ240" s="191"/>
      <c r="AR240" s="191"/>
      <c r="AS240" s="191"/>
      <c r="AT240" s="191"/>
      <c r="AU240" s="191"/>
      <c r="AV240" s="191"/>
      <c r="AW240" s="191"/>
      <c r="AX240" s="191"/>
      <c r="AY240" s="191"/>
      <c r="AZ240" s="191"/>
      <c r="BA240" s="191"/>
      <c r="BB240" s="191"/>
      <c r="BC240" s="191"/>
      <c r="BD240" s="191"/>
      <c r="BE240" s="191"/>
      <c r="BF240" s="191"/>
      <c r="BG240" s="191"/>
      <c r="BH240" s="191"/>
      <c r="BI240" s="191"/>
      <c r="BJ240" s="191"/>
      <c r="BK240" s="191"/>
      <c r="BL240" s="191"/>
      <c r="BM240" s="191"/>
      <c r="BN240" s="191"/>
      <c r="BO240" s="191"/>
      <c r="BP240" s="191"/>
      <c r="BQ240" s="191"/>
    </row>
    <row r="241" spans="11:69">
      <c r="K241" s="191"/>
      <c r="L241" s="191"/>
      <c r="M241" s="191"/>
      <c r="N241" s="191"/>
      <c r="O241" s="191"/>
      <c r="P241" s="191"/>
      <c r="Q241" s="191"/>
      <c r="R241" s="191"/>
      <c r="S241" s="191"/>
      <c r="T241" s="191"/>
      <c r="U241" s="191"/>
      <c r="V241" s="191"/>
      <c r="W241" s="191"/>
      <c r="X241" s="191"/>
      <c r="Y241" s="191"/>
      <c r="Z241" s="191"/>
      <c r="AA241" s="191"/>
      <c r="AB241" s="191"/>
      <c r="AC241" s="191"/>
      <c r="AD241" s="191"/>
      <c r="AE241" s="191"/>
      <c r="AF241" s="191"/>
      <c r="AG241" s="191"/>
      <c r="AH241" s="191"/>
      <c r="AI241" s="191"/>
      <c r="AJ241" s="191"/>
      <c r="AK241" s="191"/>
      <c r="AL241" s="191"/>
      <c r="AM241" s="191"/>
      <c r="AN241" s="191"/>
      <c r="AO241" s="191"/>
      <c r="AP241" s="191"/>
      <c r="AQ241" s="191"/>
      <c r="AR241" s="191"/>
      <c r="AS241" s="191"/>
      <c r="AT241" s="191"/>
      <c r="AU241" s="191"/>
      <c r="AV241" s="191"/>
      <c r="AW241" s="191"/>
      <c r="AX241" s="191"/>
      <c r="AY241" s="191"/>
      <c r="AZ241" s="191"/>
      <c r="BA241" s="191"/>
      <c r="BB241" s="191"/>
      <c r="BC241" s="191"/>
      <c r="BD241" s="191"/>
      <c r="BE241" s="191"/>
      <c r="BF241" s="191"/>
      <c r="BG241" s="191"/>
      <c r="BH241" s="191"/>
      <c r="BI241" s="191"/>
      <c r="BJ241" s="191"/>
      <c r="BK241" s="191"/>
      <c r="BL241" s="191"/>
      <c r="BM241" s="191"/>
      <c r="BN241" s="191"/>
      <c r="BO241" s="191"/>
      <c r="BP241" s="191"/>
      <c r="BQ241" s="191"/>
    </row>
    <row r="242" spans="11:69">
      <c r="K242" s="191"/>
      <c r="L242" s="191"/>
      <c r="M242" s="191"/>
      <c r="N242" s="191"/>
      <c r="O242" s="191"/>
      <c r="P242" s="191"/>
      <c r="Q242" s="191"/>
      <c r="R242" s="191"/>
      <c r="S242" s="191"/>
      <c r="T242" s="191"/>
      <c r="U242" s="191"/>
      <c r="V242" s="191"/>
      <c r="W242" s="191"/>
      <c r="X242" s="191"/>
      <c r="Y242" s="191"/>
      <c r="Z242" s="191"/>
      <c r="AA242" s="191"/>
      <c r="AB242" s="191"/>
      <c r="AC242" s="191"/>
      <c r="AD242" s="191"/>
      <c r="AE242" s="191"/>
      <c r="AF242" s="191"/>
      <c r="AG242" s="191"/>
      <c r="AH242" s="191"/>
      <c r="AI242" s="191"/>
      <c r="AJ242" s="191"/>
      <c r="AK242" s="191"/>
      <c r="AL242" s="191"/>
      <c r="AM242" s="191"/>
      <c r="AN242" s="191"/>
      <c r="AO242" s="191"/>
      <c r="AP242" s="191"/>
      <c r="AQ242" s="191"/>
      <c r="AR242" s="191"/>
      <c r="AS242" s="191"/>
      <c r="AT242" s="191"/>
      <c r="AU242" s="191"/>
      <c r="AV242" s="191"/>
      <c r="AW242" s="191"/>
      <c r="AX242" s="191"/>
      <c r="AY242" s="191"/>
      <c r="AZ242" s="191"/>
      <c r="BA242" s="191"/>
      <c r="BB242" s="191"/>
      <c r="BC242" s="191"/>
      <c r="BD242" s="191"/>
      <c r="BE242" s="191"/>
      <c r="BF242" s="191"/>
      <c r="BG242" s="191"/>
      <c r="BH242" s="191"/>
      <c r="BI242" s="191"/>
      <c r="BJ242" s="191"/>
      <c r="BK242" s="191"/>
      <c r="BL242" s="191"/>
      <c r="BM242" s="191"/>
      <c r="BN242" s="191"/>
      <c r="BO242" s="191"/>
      <c r="BP242" s="191"/>
      <c r="BQ242" s="191"/>
    </row>
    <row r="243" spans="11:69">
      <c r="K243" s="191"/>
      <c r="L243" s="191"/>
      <c r="M243" s="191"/>
      <c r="N243" s="191"/>
      <c r="O243" s="191"/>
      <c r="P243" s="191"/>
      <c r="Q243" s="191"/>
      <c r="R243" s="191"/>
      <c r="S243" s="191"/>
      <c r="T243" s="191"/>
      <c r="U243" s="191"/>
      <c r="V243" s="191"/>
      <c r="W243" s="191"/>
      <c r="X243" s="191"/>
      <c r="Y243" s="191"/>
      <c r="Z243" s="191"/>
      <c r="AA243" s="191"/>
      <c r="AB243" s="191"/>
      <c r="AC243" s="191"/>
      <c r="AD243" s="191"/>
      <c r="AE243" s="191"/>
      <c r="AF243" s="191"/>
      <c r="AG243" s="191"/>
      <c r="AH243" s="191"/>
      <c r="AI243" s="191"/>
      <c r="AJ243" s="191"/>
      <c r="AK243" s="191"/>
      <c r="AL243" s="191"/>
      <c r="AM243" s="191"/>
      <c r="AN243" s="191"/>
      <c r="AO243" s="191"/>
      <c r="AP243" s="191"/>
      <c r="AQ243" s="191"/>
      <c r="AR243" s="191"/>
      <c r="AS243" s="191"/>
      <c r="AT243" s="191"/>
      <c r="AU243" s="191"/>
      <c r="AV243" s="191"/>
      <c r="AW243" s="191"/>
      <c r="AX243" s="191"/>
      <c r="AY243" s="191"/>
      <c r="AZ243" s="191"/>
      <c r="BA243" s="191"/>
      <c r="BB243" s="191"/>
      <c r="BC243" s="191"/>
      <c r="BD243" s="191"/>
      <c r="BE243" s="191"/>
      <c r="BF243" s="191"/>
      <c r="BG243" s="191"/>
      <c r="BH243" s="191"/>
      <c r="BI243" s="191"/>
      <c r="BJ243" s="191"/>
      <c r="BK243" s="191"/>
      <c r="BL243" s="191"/>
      <c r="BM243" s="191"/>
      <c r="BN243" s="191"/>
      <c r="BO243" s="191"/>
      <c r="BP243" s="191"/>
      <c r="BQ243" s="191"/>
    </row>
    <row r="244" spans="11:69">
      <c r="K244" s="191"/>
      <c r="L244" s="191"/>
      <c r="M244" s="191"/>
      <c r="N244" s="191"/>
      <c r="O244" s="191"/>
      <c r="P244" s="191"/>
      <c r="Q244" s="191"/>
      <c r="R244" s="191"/>
      <c r="S244" s="191"/>
      <c r="T244" s="191"/>
      <c r="U244" s="191"/>
      <c r="V244" s="191"/>
      <c r="W244" s="191"/>
      <c r="X244" s="191"/>
      <c r="Y244" s="191"/>
      <c r="Z244" s="191"/>
      <c r="AA244" s="191"/>
      <c r="AB244" s="191"/>
      <c r="AC244" s="191"/>
      <c r="AD244" s="191"/>
      <c r="AE244" s="191"/>
      <c r="AF244" s="191"/>
      <c r="AG244" s="191"/>
      <c r="AH244" s="191"/>
      <c r="AI244" s="191"/>
      <c r="AJ244" s="191"/>
      <c r="AK244" s="191"/>
      <c r="AL244" s="191"/>
      <c r="AM244" s="191"/>
      <c r="AN244" s="191"/>
      <c r="AO244" s="191"/>
      <c r="AP244" s="191"/>
      <c r="AQ244" s="191"/>
      <c r="AR244" s="191"/>
      <c r="AS244" s="191"/>
      <c r="AT244" s="191"/>
      <c r="AU244" s="191"/>
      <c r="AV244" s="191"/>
      <c r="AW244" s="191"/>
      <c r="AX244" s="191"/>
      <c r="AY244" s="191"/>
      <c r="AZ244" s="191"/>
      <c r="BA244" s="191"/>
      <c r="BB244" s="191"/>
      <c r="BC244" s="191"/>
      <c r="BD244" s="191"/>
      <c r="BE244" s="191"/>
      <c r="BF244" s="191"/>
      <c r="BG244" s="191"/>
      <c r="BH244" s="191"/>
      <c r="BI244" s="191"/>
      <c r="BJ244" s="191"/>
      <c r="BK244" s="191"/>
      <c r="BL244" s="191"/>
      <c r="BM244" s="191"/>
      <c r="BN244" s="191"/>
      <c r="BO244" s="191"/>
      <c r="BP244" s="191"/>
      <c r="BQ244" s="191"/>
    </row>
    <row r="245" spans="11:69">
      <c r="K245" s="191"/>
      <c r="L245" s="191"/>
      <c r="M245" s="191"/>
      <c r="N245" s="191"/>
      <c r="O245" s="191"/>
      <c r="P245" s="191"/>
      <c r="Q245" s="191"/>
      <c r="R245" s="191"/>
      <c r="S245" s="191"/>
      <c r="T245" s="191"/>
      <c r="U245" s="191"/>
      <c r="V245" s="191"/>
      <c r="W245" s="191"/>
      <c r="X245" s="191"/>
      <c r="Y245" s="191"/>
      <c r="Z245" s="191"/>
      <c r="AA245" s="191"/>
      <c r="AB245" s="191"/>
      <c r="AC245" s="191"/>
      <c r="AD245" s="191"/>
      <c r="AE245" s="191"/>
      <c r="AF245" s="191"/>
      <c r="AG245" s="191"/>
      <c r="AH245" s="191"/>
      <c r="AI245" s="191"/>
      <c r="AJ245" s="191"/>
      <c r="AK245" s="191"/>
      <c r="AL245" s="191"/>
      <c r="AM245" s="191"/>
      <c r="AN245" s="191"/>
      <c r="AO245" s="191"/>
      <c r="AP245" s="191"/>
      <c r="AQ245" s="191"/>
      <c r="AR245" s="191"/>
      <c r="AS245" s="191"/>
      <c r="AT245" s="191"/>
      <c r="AU245" s="191"/>
      <c r="AV245" s="191"/>
      <c r="AW245" s="191"/>
      <c r="AX245" s="191"/>
      <c r="AY245" s="191"/>
      <c r="AZ245" s="191"/>
      <c r="BA245" s="191"/>
      <c r="BB245" s="191"/>
      <c r="BC245" s="191"/>
      <c r="BD245" s="191"/>
      <c r="BE245" s="191"/>
      <c r="BF245" s="191"/>
      <c r="BG245" s="191"/>
      <c r="BH245" s="191"/>
      <c r="BI245" s="191"/>
      <c r="BJ245" s="191"/>
      <c r="BK245" s="191"/>
      <c r="BL245" s="191"/>
      <c r="BM245" s="191"/>
      <c r="BN245" s="191"/>
      <c r="BO245" s="191"/>
      <c r="BP245" s="191"/>
      <c r="BQ245" s="191"/>
    </row>
    <row r="246" spans="11:69">
      <c r="K246" s="191"/>
      <c r="L246" s="191"/>
      <c r="M246" s="191"/>
      <c r="N246" s="191"/>
      <c r="O246" s="191"/>
      <c r="P246" s="191"/>
      <c r="Q246" s="191"/>
      <c r="R246" s="191"/>
      <c r="S246" s="191"/>
      <c r="T246" s="191"/>
      <c r="U246" s="191"/>
      <c r="V246" s="191"/>
      <c r="W246" s="191"/>
      <c r="X246" s="191"/>
      <c r="Y246" s="191"/>
      <c r="Z246" s="191"/>
      <c r="AA246" s="191"/>
      <c r="AB246" s="191"/>
      <c r="AC246" s="191"/>
      <c r="AD246" s="191"/>
      <c r="AE246" s="191"/>
      <c r="AF246" s="191"/>
      <c r="AG246" s="191"/>
      <c r="AH246" s="191"/>
      <c r="AI246" s="191"/>
      <c r="AJ246" s="191"/>
      <c r="AK246" s="191"/>
      <c r="AL246" s="191"/>
      <c r="AM246" s="191"/>
      <c r="AN246" s="191"/>
      <c r="AO246" s="191"/>
      <c r="AP246" s="191"/>
      <c r="AQ246" s="191"/>
      <c r="AR246" s="191"/>
      <c r="AS246" s="191"/>
      <c r="AT246" s="191"/>
      <c r="AU246" s="191"/>
      <c r="AV246" s="191"/>
      <c r="AW246" s="191"/>
      <c r="AX246" s="191"/>
      <c r="AY246" s="191"/>
      <c r="AZ246" s="191"/>
      <c r="BA246" s="191"/>
      <c r="BB246" s="191"/>
      <c r="BC246" s="191"/>
      <c r="BD246" s="191"/>
      <c r="BE246" s="191"/>
      <c r="BF246" s="191"/>
      <c r="BG246" s="191"/>
      <c r="BH246" s="191"/>
      <c r="BI246" s="191"/>
      <c r="BJ246" s="191"/>
      <c r="BK246" s="191"/>
      <c r="BL246" s="191"/>
      <c r="BM246" s="191"/>
      <c r="BN246" s="191"/>
      <c r="BO246" s="191"/>
      <c r="BP246" s="191"/>
      <c r="BQ246" s="191"/>
    </row>
    <row r="247" spans="11:69">
      <c r="K247" s="191"/>
      <c r="L247" s="191"/>
      <c r="M247" s="191"/>
      <c r="N247" s="191"/>
      <c r="O247" s="191"/>
      <c r="P247" s="191"/>
      <c r="Q247" s="191"/>
      <c r="R247" s="191"/>
      <c r="S247" s="191"/>
      <c r="T247" s="191"/>
      <c r="U247" s="191"/>
      <c r="V247" s="191"/>
      <c r="W247" s="191"/>
      <c r="X247" s="191"/>
      <c r="Y247" s="191"/>
      <c r="Z247" s="191"/>
      <c r="AA247" s="191"/>
      <c r="AB247" s="191"/>
      <c r="AC247" s="191"/>
      <c r="AD247" s="191"/>
      <c r="AE247" s="191"/>
      <c r="AF247" s="191"/>
      <c r="AG247" s="191"/>
      <c r="AH247" s="191"/>
      <c r="AI247" s="191"/>
      <c r="AJ247" s="191"/>
      <c r="AK247" s="191"/>
      <c r="AL247" s="191"/>
      <c r="AM247" s="191"/>
      <c r="AN247" s="191"/>
      <c r="AO247" s="191"/>
      <c r="AP247" s="191"/>
      <c r="AQ247" s="191"/>
      <c r="AR247" s="191"/>
      <c r="AS247" s="191"/>
      <c r="AT247" s="191"/>
      <c r="AU247" s="191"/>
      <c r="AV247" s="191"/>
      <c r="AW247" s="191"/>
      <c r="AX247" s="191"/>
      <c r="AY247" s="191"/>
      <c r="AZ247" s="191"/>
      <c r="BA247" s="191"/>
      <c r="BB247" s="191"/>
      <c r="BC247" s="191"/>
      <c r="BD247" s="191"/>
      <c r="BE247" s="191"/>
      <c r="BF247" s="191"/>
      <c r="BG247" s="191"/>
      <c r="BH247" s="191"/>
      <c r="BI247" s="191"/>
      <c r="BJ247" s="191"/>
      <c r="BK247" s="191"/>
      <c r="BL247" s="191"/>
      <c r="BM247" s="191"/>
      <c r="BN247" s="191"/>
      <c r="BO247" s="191"/>
      <c r="BP247" s="191"/>
      <c r="BQ247" s="191"/>
    </row>
    <row r="248" spans="11:69">
      <c r="K248" s="191"/>
      <c r="L248" s="191"/>
      <c r="M248" s="191"/>
      <c r="N248" s="191"/>
      <c r="O248" s="191"/>
      <c r="P248" s="191"/>
      <c r="Q248" s="191"/>
      <c r="R248" s="191"/>
      <c r="S248" s="191"/>
      <c r="T248" s="191"/>
      <c r="U248" s="191"/>
      <c r="V248" s="191"/>
      <c r="W248" s="191"/>
      <c r="X248" s="191"/>
      <c r="Y248" s="191"/>
      <c r="Z248" s="191"/>
      <c r="AA248" s="191"/>
      <c r="AB248" s="191"/>
      <c r="AC248" s="191"/>
      <c r="AD248" s="191"/>
      <c r="AE248" s="191"/>
      <c r="AF248" s="191"/>
      <c r="AG248" s="191"/>
      <c r="AH248" s="191"/>
      <c r="AI248" s="191"/>
      <c r="AJ248" s="191"/>
      <c r="AK248" s="191"/>
      <c r="AL248" s="191"/>
      <c r="AM248" s="191"/>
      <c r="AN248" s="191"/>
      <c r="AO248" s="191"/>
      <c r="AP248" s="191"/>
      <c r="AQ248" s="191"/>
      <c r="AR248" s="191"/>
      <c r="AS248" s="191"/>
      <c r="AT248" s="191"/>
      <c r="AU248" s="191"/>
      <c r="AV248" s="191"/>
      <c r="AW248" s="191"/>
      <c r="AX248" s="191"/>
      <c r="AY248" s="191"/>
      <c r="AZ248" s="191"/>
      <c r="BA248" s="191"/>
      <c r="BB248" s="191"/>
      <c r="BC248" s="191"/>
      <c r="BD248" s="191"/>
      <c r="BE248" s="191"/>
      <c r="BF248" s="191"/>
      <c r="BG248" s="191"/>
      <c r="BH248" s="191"/>
      <c r="BI248" s="191"/>
      <c r="BJ248" s="191"/>
      <c r="BK248" s="191"/>
      <c r="BL248" s="191"/>
      <c r="BM248" s="191"/>
      <c r="BN248" s="191"/>
      <c r="BO248" s="191"/>
      <c r="BP248" s="191"/>
      <c r="BQ248" s="191"/>
    </row>
    <row r="249" spans="11:69">
      <c r="K249" s="191"/>
      <c r="L249" s="191"/>
      <c r="M249" s="191"/>
      <c r="N249" s="191"/>
      <c r="O249" s="191"/>
      <c r="P249" s="191"/>
      <c r="Q249" s="191"/>
      <c r="R249" s="191"/>
      <c r="S249" s="191"/>
      <c r="T249" s="191"/>
      <c r="U249" s="191"/>
      <c r="V249" s="191"/>
      <c r="W249" s="191"/>
      <c r="X249" s="191"/>
      <c r="Y249" s="191"/>
      <c r="Z249" s="191"/>
      <c r="AA249" s="191"/>
      <c r="AB249" s="191"/>
      <c r="AC249" s="191"/>
      <c r="AD249" s="191"/>
      <c r="AE249" s="191"/>
      <c r="AF249" s="191"/>
      <c r="AG249" s="191"/>
      <c r="AH249" s="191"/>
      <c r="AI249" s="191"/>
      <c r="AJ249" s="191"/>
      <c r="AK249" s="191"/>
      <c r="AL249" s="191"/>
      <c r="AM249" s="191"/>
      <c r="AN249" s="191"/>
      <c r="AO249" s="191"/>
      <c r="AP249" s="191"/>
      <c r="AQ249" s="191"/>
      <c r="AR249" s="191"/>
      <c r="AS249" s="191"/>
      <c r="AT249" s="191"/>
      <c r="AU249" s="191"/>
      <c r="AV249" s="191"/>
      <c r="AW249" s="191"/>
      <c r="AX249" s="191"/>
      <c r="AY249" s="191"/>
      <c r="AZ249" s="191"/>
      <c r="BA249" s="191"/>
      <c r="BB249" s="191"/>
      <c r="BC249" s="191"/>
      <c r="BD249" s="191"/>
      <c r="BE249" s="191"/>
      <c r="BF249" s="191"/>
      <c r="BG249" s="191"/>
      <c r="BH249" s="191"/>
      <c r="BI249" s="191"/>
      <c r="BJ249" s="191"/>
      <c r="BK249" s="191"/>
      <c r="BL249" s="191"/>
      <c r="BM249" s="191"/>
      <c r="BN249" s="191"/>
      <c r="BO249" s="191"/>
      <c r="BP249" s="191"/>
      <c r="BQ249" s="191"/>
    </row>
    <row r="250" spans="11:69">
      <c r="K250" s="191"/>
      <c r="L250" s="191"/>
      <c r="M250" s="191"/>
      <c r="N250" s="191"/>
      <c r="O250" s="191"/>
      <c r="P250" s="191"/>
      <c r="Q250" s="191"/>
      <c r="R250" s="191"/>
      <c r="S250" s="191"/>
      <c r="T250" s="191"/>
      <c r="U250" s="191"/>
      <c r="V250" s="191"/>
      <c r="W250" s="191"/>
      <c r="X250" s="191"/>
      <c r="Y250" s="191"/>
      <c r="Z250" s="191"/>
      <c r="AA250" s="191"/>
      <c r="AB250" s="191"/>
      <c r="AC250" s="191"/>
      <c r="AD250" s="191"/>
      <c r="AE250" s="191"/>
      <c r="AF250" s="191"/>
      <c r="AG250" s="191"/>
      <c r="AH250" s="191"/>
      <c r="AI250" s="191"/>
      <c r="AJ250" s="191"/>
      <c r="AK250" s="191"/>
      <c r="AL250" s="191"/>
      <c r="AM250" s="191"/>
      <c r="AN250" s="191"/>
      <c r="AO250" s="191"/>
      <c r="AP250" s="191"/>
      <c r="AQ250" s="191"/>
      <c r="AR250" s="191"/>
      <c r="AS250" s="191"/>
      <c r="AT250" s="191"/>
      <c r="AU250" s="191"/>
      <c r="AV250" s="191"/>
      <c r="AW250" s="191"/>
      <c r="AX250" s="191"/>
      <c r="AY250" s="191"/>
      <c r="AZ250" s="191"/>
      <c r="BA250" s="191"/>
      <c r="BB250" s="191"/>
      <c r="BC250" s="191"/>
      <c r="BD250" s="191"/>
      <c r="BE250" s="191"/>
      <c r="BF250" s="191"/>
      <c r="BG250" s="191"/>
      <c r="BH250" s="191"/>
      <c r="BI250" s="191"/>
      <c r="BJ250" s="191"/>
      <c r="BK250" s="191"/>
      <c r="BL250" s="191"/>
      <c r="BM250" s="191"/>
      <c r="BN250" s="191"/>
      <c r="BO250" s="191"/>
      <c r="BP250" s="191"/>
      <c r="BQ250" s="191"/>
    </row>
    <row r="251" spans="11:69">
      <c r="K251" s="191"/>
      <c r="L251" s="191"/>
      <c r="M251" s="191"/>
      <c r="N251" s="191"/>
      <c r="O251" s="191"/>
      <c r="P251" s="191"/>
      <c r="Q251" s="191"/>
      <c r="R251" s="191"/>
      <c r="S251" s="191"/>
      <c r="T251" s="191"/>
      <c r="U251" s="191"/>
      <c r="V251" s="191"/>
      <c r="W251" s="191"/>
      <c r="X251" s="191"/>
      <c r="Y251" s="191"/>
      <c r="Z251" s="191"/>
      <c r="AA251" s="191"/>
      <c r="AB251" s="191"/>
      <c r="AC251" s="191"/>
      <c r="AD251" s="191"/>
      <c r="AE251" s="191"/>
      <c r="AF251" s="191"/>
      <c r="AG251" s="191"/>
      <c r="AH251" s="191"/>
      <c r="AI251" s="191"/>
      <c r="AJ251" s="191"/>
      <c r="AK251" s="191"/>
      <c r="AL251" s="191"/>
      <c r="AM251" s="191"/>
      <c r="AN251" s="191"/>
      <c r="AO251" s="191"/>
      <c r="AP251" s="191"/>
      <c r="AQ251" s="191"/>
      <c r="AR251" s="191"/>
      <c r="AS251" s="191"/>
      <c r="AT251" s="191"/>
      <c r="AU251" s="191"/>
      <c r="AV251" s="191"/>
      <c r="AW251" s="191"/>
      <c r="AX251" s="191"/>
      <c r="AY251" s="191"/>
      <c r="AZ251" s="191"/>
      <c r="BA251" s="191"/>
      <c r="BB251" s="191"/>
      <c r="BC251" s="191"/>
      <c r="BD251" s="191"/>
      <c r="BE251" s="191"/>
      <c r="BF251" s="191"/>
      <c r="BG251" s="191"/>
      <c r="BH251" s="191"/>
      <c r="BI251" s="191"/>
      <c r="BJ251" s="191"/>
      <c r="BK251" s="191"/>
      <c r="BL251" s="191"/>
      <c r="BM251" s="191"/>
      <c r="BN251" s="191"/>
      <c r="BO251" s="191"/>
      <c r="BP251" s="191"/>
      <c r="BQ251" s="191"/>
    </row>
    <row r="252" spans="11:69">
      <c r="K252" s="191"/>
      <c r="L252" s="191"/>
      <c r="M252" s="191"/>
      <c r="N252" s="191"/>
      <c r="O252" s="191"/>
      <c r="P252" s="191"/>
      <c r="Q252" s="191"/>
      <c r="R252" s="191"/>
      <c r="S252" s="191"/>
      <c r="T252" s="191"/>
      <c r="U252" s="191"/>
      <c r="V252" s="191"/>
      <c r="W252" s="191"/>
      <c r="X252" s="191"/>
      <c r="Y252" s="191"/>
      <c r="Z252" s="191"/>
      <c r="AA252" s="191"/>
      <c r="AB252" s="191"/>
      <c r="AC252" s="191"/>
      <c r="AD252" s="191"/>
      <c r="AE252" s="191"/>
      <c r="AF252" s="191"/>
      <c r="AG252" s="191"/>
      <c r="AH252" s="191"/>
      <c r="AI252" s="191"/>
      <c r="AJ252" s="191"/>
      <c r="AK252" s="191"/>
      <c r="AL252" s="191"/>
      <c r="AM252" s="191"/>
      <c r="AN252" s="191"/>
      <c r="AO252" s="191"/>
      <c r="AP252" s="191"/>
      <c r="AQ252" s="191"/>
      <c r="AR252" s="191"/>
      <c r="AS252" s="191"/>
      <c r="AT252" s="191"/>
      <c r="AU252" s="191"/>
      <c r="AV252" s="191"/>
      <c r="AW252" s="191"/>
      <c r="AX252" s="191"/>
      <c r="AY252" s="191"/>
      <c r="AZ252" s="191"/>
      <c r="BA252" s="191"/>
      <c r="BB252" s="191"/>
      <c r="BC252" s="191"/>
      <c r="BD252" s="191"/>
      <c r="BE252" s="191"/>
      <c r="BF252" s="191"/>
      <c r="BG252" s="191"/>
      <c r="BH252" s="191"/>
      <c r="BI252" s="191"/>
      <c r="BJ252" s="191"/>
      <c r="BK252" s="191"/>
      <c r="BL252" s="191"/>
      <c r="BM252" s="191"/>
      <c r="BN252" s="191"/>
      <c r="BO252" s="191"/>
      <c r="BP252" s="191"/>
      <c r="BQ252" s="191"/>
    </row>
    <row r="253" spans="11:69">
      <c r="K253" s="191"/>
      <c r="L253" s="191"/>
      <c r="M253" s="191"/>
      <c r="N253" s="191"/>
      <c r="O253" s="191"/>
      <c r="P253" s="191"/>
      <c r="Q253" s="191"/>
      <c r="R253" s="191"/>
      <c r="S253" s="191"/>
      <c r="T253" s="191"/>
      <c r="U253" s="191"/>
      <c r="V253" s="191"/>
      <c r="W253" s="191"/>
      <c r="X253" s="191"/>
      <c r="Y253" s="191"/>
      <c r="Z253" s="191"/>
      <c r="AA253" s="191"/>
      <c r="AB253" s="191"/>
      <c r="AC253" s="191"/>
      <c r="AD253" s="191"/>
      <c r="AE253" s="191"/>
      <c r="AF253" s="191"/>
      <c r="AG253" s="191"/>
      <c r="AH253" s="191"/>
      <c r="AI253" s="191"/>
      <c r="AJ253" s="191"/>
      <c r="AK253" s="191"/>
      <c r="AL253" s="191"/>
      <c r="AM253" s="191"/>
      <c r="AN253" s="191"/>
      <c r="AO253" s="191"/>
      <c r="AP253" s="191"/>
      <c r="AQ253" s="191"/>
      <c r="AR253" s="191"/>
      <c r="AS253" s="191"/>
      <c r="AT253" s="191"/>
      <c r="AU253" s="191"/>
      <c r="AV253" s="191"/>
      <c r="AW253" s="191"/>
      <c r="AX253" s="191"/>
      <c r="AY253" s="191"/>
      <c r="AZ253" s="191"/>
      <c r="BA253" s="191"/>
      <c r="BB253" s="191"/>
      <c r="BC253" s="191"/>
      <c r="BD253" s="191"/>
      <c r="BE253" s="191"/>
      <c r="BF253" s="191"/>
      <c r="BG253" s="191"/>
      <c r="BH253" s="191"/>
      <c r="BI253" s="191"/>
      <c r="BJ253" s="191"/>
      <c r="BK253" s="191"/>
      <c r="BL253" s="191"/>
      <c r="BM253" s="191"/>
      <c r="BN253" s="191"/>
      <c r="BO253" s="191"/>
      <c r="BP253" s="191"/>
      <c r="BQ253" s="191"/>
    </row>
    <row r="254" spans="11:69">
      <c r="K254" s="191"/>
      <c r="L254" s="191"/>
      <c r="M254" s="191"/>
      <c r="N254" s="191"/>
      <c r="O254" s="191"/>
      <c r="P254" s="191"/>
      <c r="Q254" s="191"/>
      <c r="R254" s="191"/>
      <c r="S254" s="191"/>
      <c r="T254" s="191"/>
      <c r="U254" s="191"/>
      <c r="V254" s="191"/>
      <c r="W254" s="191"/>
      <c r="X254" s="191"/>
      <c r="Y254" s="191"/>
      <c r="Z254" s="191"/>
      <c r="AA254" s="191"/>
      <c r="AB254" s="191"/>
      <c r="AC254" s="191"/>
      <c r="AD254" s="191"/>
      <c r="AE254" s="191"/>
      <c r="AF254" s="191"/>
      <c r="AG254" s="191"/>
      <c r="AH254" s="191"/>
      <c r="AI254" s="191"/>
      <c r="AJ254" s="191"/>
      <c r="AK254" s="191"/>
      <c r="AL254" s="191"/>
      <c r="AM254" s="191"/>
      <c r="AN254" s="191"/>
      <c r="AO254" s="191"/>
      <c r="AP254" s="191"/>
      <c r="AQ254" s="191"/>
      <c r="AR254" s="191"/>
      <c r="AS254" s="191"/>
      <c r="AT254" s="191"/>
      <c r="AU254" s="191"/>
      <c r="AV254" s="191"/>
      <c r="AW254" s="191"/>
      <c r="AX254" s="191"/>
      <c r="AY254" s="191"/>
      <c r="AZ254" s="191"/>
      <c r="BA254" s="191"/>
      <c r="BB254" s="191"/>
      <c r="BC254" s="191"/>
      <c r="BD254" s="191"/>
      <c r="BE254" s="191"/>
      <c r="BF254" s="191"/>
      <c r="BG254" s="191"/>
      <c r="BH254" s="191"/>
      <c r="BI254" s="191"/>
      <c r="BJ254" s="191"/>
      <c r="BK254" s="191"/>
      <c r="BL254" s="191"/>
      <c r="BM254" s="191"/>
      <c r="BN254" s="191"/>
      <c r="BO254" s="191"/>
      <c r="BP254" s="191"/>
      <c r="BQ254" s="191"/>
    </row>
    <row r="255" spans="11:69">
      <c r="K255" s="191"/>
      <c r="L255" s="191"/>
      <c r="M255" s="191"/>
      <c r="N255" s="191"/>
      <c r="O255" s="191"/>
      <c r="P255" s="191"/>
      <c r="Q255" s="191"/>
      <c r="R255" s="191"/>
      <c r="S255" s="191"/>
      <c r="T255" s="191"/>
      <c r="U255" s="191"/>
      <c r="V255" s="191"/>
      <c r="W255" s="191"/>
      <c r="X255" s="191"/>
      <c r="Y255" s="191"/>
      <c r="Z255" s="191"/>
      <c r="AA255" s="191"/>
      <c r="AB255" s="191"/>
      <c r="AC255" s="191"/>
      <c r="AD255" s="191"/>
      <c r="AE255" s="191"/>
      <c r="AF255" s="191"/>
      <c r="AG255" s="191"/>
      <c r="AH255" s="191"/>
      <c r="AI255" s="191"/>
      <c r="AJ255" s="191"/>
      <c r="AK255" s="191"/>
      <c r="AL255" s="191"/>
      <c r="AM255" s="191"/>
      <c r="AN255" s="191"/>
      <c r="AO255" s="191"/>
      <c r="AP255" s="191"/>
      <c r="AQ255" s="191"/>
      <c r="AR255" s="191"/>
      <c r="AS255" s="191"/>
      <c r="AT255" s="191"/>
      <c r="AU255" s="191"/>
      <c r="AV255" s="191"/>
      <c r="AW255" s="191"/>
      <c r="AX255" s="191"/>
      <c r="AY255" s="191"/>
      <c r="AZ255" s="191"/>
      <c r="BA255" s="191"/>
      <c r="BB255" s="191"/>
      <c r="BC255" s="191"/>
      <c r="BD255" s="191"/>
      <c r="BE255" s="191"/>
      <c r="BF255" s="191"/>
      <c r="BG255" s="191"/>
      <c r="BH255" s="191"/>
      <c r="BI255" s="191"/>
      <c r="BJ255" s="191"/>
      <c r="BK255" s="191"/>
      <c r="BL255" s="191"/>
      <c r="BM255" s="191"/>
      <c r="BN255" s="191"/>
      <c r="BO255" s="191"/>
      <c r="BP255" s="191"/>
      <c r="BQ255" s="191"/>
    </row>
    <row r="256" spans="11:69">
      <c r="K256" s="191"/>
      <c r="L256" s="191"/>
      <c r="M256" s="191"/>
      <c r="N256" s="191"/>
      <c r="O256" s="191"/>
      <c r="P256" s="191"/>
      <c r="Q256" s="191"/>
      <c r="R256" s="191"/>
      <c r="S256" s="191"/>
      <c r="T256" s="191"/>
      <c r="U256" s="191"/>
      <c r="V256" s="191"/>
      <c r="W256" s="191"/>
      <c r="X256" s="191"/>
      <c r="Y256" s="191"/>
      <c r="Z256" s="191"/>
      <c r="AA256" s="191"/>
      <c r="AB256" s="191"/>
      <c r="AC256" s="191"/>
      <c r="AD256" s="191"/>
      <c r="AE256" s="191"/>
      <c r="AF256" s="191"/>
      <c r="AG256" s="191"/>
      <c r="AH256" s="191"/>
      <c r="AI256" s="191"/>
      <c r="AJ256" s="191"/>
      <c r="AK256" s="191"/>
      <c r="AL256" s="191"/>
      <c r="AM256" s="191"/>
      <c r="AN256" s="191"/>
      <c r="AO256" s="191"/>
      <c r="AP256" s="191"/>
      <c r="AQ256" s="191"/>
      <c r="AR256" s="191"/>
      <c r="AS256" s="191"/>
      <c r="AT256" s="191"/>
      <c r="AU256" s="191"/>
      <c r="AV256" s="191"/>
      <c r="AW256" s="191"/>
      <c r="AX256" s="191"/>
      <c r="AY256" s="191"/>
      <c r="AZ256" s="191"/>
      <c r="BA256" s="191"/>
      <c r="BB256" s="191"/>
      <c r="BC256" s="191"/>
      <c r="BD256" s="191"/>
      <c r="BE256" s="191"/>
      <c r="BF256" s="191"/>
      <c r="BG256" s="191"/>
      <c r="BH256" s="191"/>
      <c r="BI256" s="191"/>
      <c r="BJ256" s="191"/>
      <c r="BK256" s="191"/>
      <c r="BL256" s="191"/>
      <c r="BM256" s="191"/>
      <c r="BN256" s="191"/>
      <c r="BO256" s="191"/>
      <c r="BP256" s="191"/>
      <c r="BQ256" s="191"/>
    </row>
    <row r="257" spans="11:69">
      <c r="K257" s="191"/>
      <c r="L257" s="191"/>
      <c r="M257" s="191"/>
      <c r="N257" s="191"/>
      <c r="O257" s="191"/>
      <c r="P257" s="191"/>
      <c r="Q257" s="191"/>
      <c r="R257" s="191"/>
      <c r="S257" s="191"/>
      <c r="T257" s="191"/>
      <c r="U257" s="191"/>
      <c r="V257" s="191"/>
      <c r="W257" s="191"/>
      <c r="X257" s="191"/>
      <c r="Y257" s="191"/>
      <c r="Z257" s="191"/>
      <c r="AA257" s="191"/>
      <c r="AB257" s="191"/>
      <c r="AC257" s="191"/>
      <c r="AD257" s="191"/>
      <c r="AE257" s="191"/>
      <c r="AF257" s="191"/>
      <c r="AG257" s="191"/>
      <c r="AH257" s="191"/>
      <c r="AI257" s="191"/>
      <c r="AJ257" s="191"/>
      <c r="AK257" s="191"/>
      <c r="AL257" s="191"/>
      <c r="AM257" s="191"/>
      <c r="AN257" s="191"/>
      <c r="AO257" s="191"/>
      <c r="AP257" s="191"/>
      <c r="AQ257" s="191"/>
      <c r="AR257" s="191"/>
      <c r="AS257" s="191"/>
      <c r="AT257" s="191"/>
      <c r="AU257" s="191"/>
      <c r="AV257" s="191"/>
      <c r="AW257" s="191"/>
      <c r="AX257" s="191"/>
      <c r="AY257" s="191"/>
      <c r="AZ257" s="191"/>
      <c r="BA257" s="191"/>
      <c r="BB257" s="191"/>
      <c r="BC257" s="191"/>
      <c r="BD257" s="191"/>
      <c r="BE257" s="191"/>
      <c r="BF257" s="191"/>
      <c r="BG257" s="191"/>
      <c r="BH257" s="191"/>
      <c r="BI257" s="191"/>
      <c r="BJ257" s="191"/>
      <c r="BK257" s="191"/>
      <c r="BL257" s="191"/>
      <c r="BM257" s="191"/>
      <c r="BN257" s="191"/>
      <c r="BO257" s="191"/>
      <c r="BP257" s="191"/>
      <c r="BQ257" s="191"/>
    </row>
    <row r="258" spans="11:69">
      <c r="K258" s="191"/>
      <c r="L258" s="191"/>
      <c r="M258" s="191"/>
      <c r="N258" s="191"/>
      <c r="O258" s="191"/>
      <c r="P258" s="191"/>
      <c r="Q258" s="191"/>
      <c r="R258" s="191"/>
      <c r="S258" s="191"/>
      <c r="T258" s="191"/>
      <c r="U258" s="191"/>
      <c r="V258" s="191"/>
      <c r="W258" s="191"/>
      <c r="X258" s="191"/>
      <c r="Y258" s="191"/>
      <c r="Z258" s="191"/>
      <c r="AA258" s="191"/>
      <c r="AB258" s="191"/>
      <c r="AC258" s="191"/>
      <c r="AD258" s="191"/>
      <c r="AE258" s="191"/>
      <c r="AF258" s="191"/>
      <c r="AG258" s="191"/>
      <c r="AH258" s="191"/>
      <c r="AI258" s="191"/>
      <c r="AJ258" s="191"/>
      <c r="AK258" s="191"/>
      <c r="AL258" s="191"/>
      <c r="AM258" s="191"/>
      <c r="AN258" s="191"/>
      <c r="AO258" s="191"/>
      <c r="AP258" s="191"/>
      <c r="AQ258" s="191"/>
      <c r="AR258" s="191"/>
      <c r="AS258" s="191"/>
      <c r="AT258" s="191"/>
      <c r="AU258" s="191"/>
      <c r="AV258" s="191"/>
      <c r="AW258" s="191"/>
      <c r="AX258" s="191"/>
      <c r="AY258" s="191"/>
      <c r="AZ258" s="191"/>
      <c r="BA258" s="191"/>
      <c r="BB258" s="191"/>
      <c r="BC258" s="191"/>
      <c r="BD258" s="191"/>
      <c r="BE258" s="191"/>
      <c r="BF258" s="191"/>
      <c r="BG258" s="191"/>
      <c r="BH258" s="191"/>
      <c r="BI258" s="191"/>
      <c r="BJ258" s="191"/>
      <c r="BK258" s="191"/>
      <c r="BL258" s="191"/>
      <c r="BM258" s="191"/>
      <c r="BN258" s="191"/>
      <c r="BO258" s="191"/>
      <c r="BP258" s="191"/>
      <c r="BQ258" s="191"/>
    </row>
    <row r="259" spans="11:69">
      <c r="K259" s="191"/>
      <c r="L259" s="191"/>
      <c r="M259" s="191"/>
      <c r="N259" s="191"/>
      <c r="O259" s="191"/>
      <c r="P259" s="191"/>
      <c r="Q259" s="191"/>
      <c r="R259" s="191"/>
      <c r="S259" s="191"/>
      <c r="T259" s="191"/>
      <c r="U259" s="191"/>
      <c r="V259" s="191"/>
      <c r="W259" s="191"/>
      <c r="X259" s="191"/>
      <c r="Y259" s="191"/>
      <c r="Z259" s="191"/>
      <c r="AA259" s="191"/>
      <c r="AB259" s="191"/>
      <c r="AC259" s="191"/>
      <c r="AD259" s="191"/>
      <c r="AE259" s="191"/>
      <c r="AF259" s="191"/>
      <c r="AG259" s="191"/>
      <c r="AH259" s="191"/>
      <c r="AI259" s="191"/>
      <c r="AJ259" s="191"/>
      <c r="AK259" s="191"/>
      <c r="AL259" s="191"/>
      <c r="AM259" s="191"/>
      <c r="AN259" s="191"/>
      <c r="AO259" s="191"/>
      <c r="AP259" s="191"/>
      <c r="AQ259" s="191"/>
      <c r="AR259" s="191"/>
      <c r="AS259" s="191"/>
      <c r="AT259" s="191"/>
      <c r="AU259" s="191"/>
      <c r="AV259" s="191"/>
      <c r="AW259" s="191"/>
      <c r="AX259" s="191"/>
      <c r="AY259" s="191"/>
      <c r="AZ259" s="191"/>
      <c r="BA259" s="191"/>
      <c r="BB259" s="191"/>
      <c r="BC259" s="191"/>
      <c r="BD259" s="191"/>
      <c r="BE259" s="191"/>
      <c r="BF259" s="191"/>
      <c r="BG259" s="191"/>
      <c r="BH259" s="191"/>
      <c r="BI259" s="191"/>
      <c r="BJ259" s="191"/>
      <c r="BK259" s="191"/>
      <c r="BL259" s="191"/>
      <c r="BM259" s="191"/>
      <c r="BN259" s="191"/>
      <c r="BO259" s="191"/>
      <c r="BP259" s="191"/>
      <c r="BQ259" s="191"/>
    </row>
    <row r="260" spans="11:69">
      <c r="K260" s="191"/>
      <c r="L260" s="191"/>
      <c r="M260" s="191"/>
      <c r="N260" s="191"/>
      <c r="O260" s="191"/>
      <c r="P260" s="191"/>
      <c r="Q260" s="191"/>
      <c r="R260" s="191"/>
      <c r="S260" s="191"/>
      <c r="T260" s="191"/>
      <c r="U260" s="191"/>
      <c r="V260" s="191"/>
      <c r="W260" s="191"/>
      <c r="X260" s="191"/>
      <c r="Y260" s="191"/>
      <c r="Z260" s="191"/>
      <c r="AA260" s="191"/>
      <c r="AB260" s="191"/>
      <c r="AC260" s="191"/>
      <c r="AD260" s="191"/>
      <c r="AE260" s="191"/>
      <c r="AF260" s="191"/>
      <c r="AG260" s="191"/>
      <c r="AH260" s="191"/>
      <c r="AI260" s="191"/>
      <c r="AJ260" s="191"/>
      <c r="AK260" s="191"/>
      <c r="AL260" s="191"/>
      <c r="AM260" s="191"/>
      <c r="AN260" s="191"/>
      <c r="AO260" s="191"/>
      <c r="AP260" s="191"/>
      <c r="AQ260" s="191"/>
      <c r="AR260" s="191"/>
      <c r="AS260" s="191"/>
      <c r="AT260" s="191"/>
      <c r="AU260" s="191"/>
      <c r="AV260" s="191"/>
      <c r="AW260" s="191"/>
      <c r="AX260" s="191"/>
      <c r="AY260" s="191"/>
      <c r="AZ260" s="191"/>
      <c r="BA260" s="191"/>
      <c r="BB260" s="191"/>
      <c r="BC260" s="191"/>
      <c r="BD260" s="191"/>
      <c r="BE260" s="191"/>
      <c r="BF260" s="191"/>
      <c r="BG260" s="191"/>
      <c r="BH260" s="191"/>
      <c r="BI260" s="191"/>
      <c r="BJ260" s="191"/>
      <c r="BK260" s="191"/>
      <c r="BL260" s="191"/>
      <c r="BM260" s="191"/>
      <c r="BN260" s="191"/>
      <c r="BO260" s="191"/>
      <c r="BP260" s="191"/>
      <c r="BQ260" s="191"/>
    </row>
    <row r="261" spans="11:69">
      <c r="K261" s="191"/>
      <c r="L261" s="191"/>
      <c r="M261" s="191"/>
      <c r="N261" s="191"/>
      <c r="O261" s="191"/>
      <c r="P261" s="191"/>
      <c r="Q261" s="191"/>
      <c r="R261" s="191"/>
      <c r="S261" s="191"/>
      <c r="T261" s="191"/>
      <c r="U261" s="191"/>
      <c r="V261" s="191"/>
      <c r="W261" s="191"/>
      <c r="X261" s="191"/>
      <c r="Y261" s="191"/>
      <c r="Z261" s="191"/>
      <c r="AA261" s="191"/>
      <c r="AB261" s="191"/>
      <c r="AC261" s="191"/>
      <c r="AD261" s="191"/>
      <c r="AE261" s="191"/>
      <c r="AF261" s="191"/>
      <c r="AG261" s="191"/>
      <c r="AH261" s="191"/>
      <c r="AI261" s="191"/>
      <c r="AJ261" s="191"/>
      <c r="AK261" s="191"/>
      <c r="AL261" s="191"/>
      <c r="AM261" s="191"/>
      <c r="AN261" s="191"/>
      <c r="AO261" s="191"/>
      <c r="AP261" s="191"/>
      <c r="AQ261" s="191"/>
      <c r="AR261" s="191"/>
      <c r="AS261" s="191"/>
      <c r="AT261" s="191"/>
      <c r="AU261" s="191"/>
      <c r="AV261" s="191"/>
      <c r="AW261" s="191"/>
      <c r="AX261" s="191"/>
      <c r="AY261" s="191"/>
      <c r="AZ261" s="191"/>
      <c r="BA261" s="191"/>
      <c r="BB261" s="191"/>
      <c r="BC261" s="191"/>
      <c r="BD261" s="191"/>
      <c r="BE261" s="191"/>
      <c r="BF261" s="191"/>
      <c r="BG261" s="191"/>
      <c r="BH261" s="191"/>
      <c r="BI261" s="191"/>
      <c r="BJ261" s="191"/>
      <c r="BK261" s="191"/>
      <c r="BL261" s="191"/>
      <c r="BM261" s="191"/>
      <c r="BN261" s="191"/>
      <c r="BO261" s="191"/>
      <c r="BP261" s="191"/>
      <c r="BQ261" s="191"/>
    </row>
    <row r="262" spans="11:69">
      <c r="K262" s="191"/>
      <c r="L262" s="191"/>
      <c r="M262" s="191"/>
      <c r="N262" s="191"/>
      <c r="O262" s="191"/>
      <c r="P262" s="191"/>
      <c r="Q262" s="191"/>
      <c r="R262" s="191"/>
      <c r="S262" s="191"/>
      <c r="T262" s="191"/>
      <c r="U262" s="191"/>
      <c r="V262" s="191"/>
      <c r="W262" s="191"/>
      <c r="X262" s="191"/>
      <c r="Y262" s="191"/>
      <c r="Z262" s="191"/>
      <c r="AA262" s="191"/>
      <c r="AB262" s="191"/>
      <c r="AC262" s="191"/>
      <c r="AD262" s="191"/>
      <c r="AE262" s="191"/>
      <c r="AF262" s="191"/>
      <c r="AG262" s="191"/>
      <c r="AH262" s="191"/>
      <c r="AI262" s="191"/>
      <c r="AJ262" s="191"/>
      <c r="AK262" s="191"/>
      <c r="AL262" s="191"/>
      <c r="AM262" s="191"/>
      <c r="AN262" s="191"/>
      <c r="AO262" s="191"/>
      <c r="AP262" s="191"/>
      <c r="AQ262" s="191"/>
      <c r="AR262" s="191"/>
      <c r="AS262" s="191"/>
      <c r="AT262" s="191"/>
      <c r="AU262" s="191"/>
      <c r="AV262" s="191"/>
      <c r="AW262" s="191"/>
      <c r="AX262" s="191"/>
      <c r="AY262" s="191"/>
      <c r="AZ262" s="191"/>
      <c r="BA262" s="191"/>
      <c r="BB262" s="191"/>
      <c r="BC262" s="191"/>
      <c r="BD262" s="191"/>
      <c r="BE262" s="191"/>
      <c r="BF262" s="191"/>
      <c r="BG262" s="191"/>
      <c r="BH262" s="191"/>
      <c r="BI262" s="191"/>
      <c r="BJ262" s="191"/>
      <c r="BK262" s="191"/>
      <c r="BL262" s="191"/>
      <c r="BM262" s="191"/>
      <c r="BN262" s="191"/>
      <c r="BO262" s="191"/>
      <c r="BP262" s="191"/>
      <c r="BQ262" s="191"/>
    </row>
    <row r="263" spans="11:69">
      <c r="K263" s="191"/>
      <c r="L263" s="191"/>
      <c r="M263" s="191"/>
      <c r="N263" s="191"/>
      <c r="O263" s="191"/>
      <c r="P263" s="191"/>
      <c r="Q263" s="191"/>
      <c r="R263" s="191"/>
      <c r="S263" s="191"/>
      <c r="T263" s="191"/>
      <c r="U263" s="191"/>
      <c r="V263" s="191"/>
      <c r="W263" s="191"/>
      <c r="X263" s="191"/>
      <c r="Y263" s="191"/>
      <c r="Z263" s="191"/>
      <c r="AA263" s="191"/>
      <c r="AB263" s="191"/>
      <c r="AC263" s="191"/>
      <c r="AD263" s="191"/>
      <c r="AE263" s="191"/>
      <c r="AF263" s="191"/>
      <c r="AG263" s="191"/>
      <c r="AH263" s="191"/>
      <c r="AI263" s="191"/>
      <c r="AJ263" s="191"/>
      <c r="AK263" s="191"/>
      <c r="AL263" s="191"/>
      <c r="AM263" s="191"/>
      <c r="AN263" s="191"/>
      <c r="AO263" s="191"/>
      <c r="AP263" s="191"/>
      <c r="AQ263" s="191"/>
      <c r="AR263" s="191"/>
      <c r="AS263" s="191"/>
      <c r="AT263" s="191"/>
      <c r="AU263" s="191"/>
      <c r="AV263" s="191"/>
      <c r="AW263" s="191"/>
      <c r="AX263" s="191"/>
      <c r="AY263" s="191"/>
      <c r="AZ263" s="191"/>
      <c r="BA263" s="191"/>
      <c r="BB263" s="191"/>
      <c r="BC263" s="191"/>
      <c r="BD263" s="191"/>
      <c r="BE263" s="191"/>
      <c r="BF263" s="191"/>
      <c r="BG263" s="191"/>
      <c r="BH263" s="191"/>
      <c r="BI263" s="191"/>
      <c r="BJ263" s="191"/>
      <c r="BK263" s="191"/>
      <c r="BL263" s="191"/>
      <c r="BM263" s="191"/>
      <c r="BN263" s="191"/>
      <c r="BO263" s="191"/>
      <c r="BP263" s="191"/>
      <c r="BQ263" s="191"/>
    </row>
    <row r="264" spans="11:69">
      <c r="K264" s="191"/>
      <c r="L264" s="191"/>
      <c r="M264" s="191"/>
      <c r="N264" s="191"/>
      <c r="O264" s="191"/>
      <c r="P264" s="191"/>
      <c r="Q264" s="191"/>
      <c r="R264" s="191"/>
      <c r="S264" s="191"/>
      <c r="T264" s="191"/>
      <c r="U264" s="191"/>
      <c r="V264" s="191"/>
      <c r="W264" s="191"/>
      <c r="X264" s="191"/>
      <c r="Y264" s="191"/>
      <c r="Z264" s="191"/>
      <c r="AA264" s="191"/>
      <c r="AB264" s="191"/>
      <c r="AC264" s="191"/>
      <c r="AD264" s="191"/>
      <c r="AE264" s="191"/>
      <c r="AF264" s="191"/>
      <c r="AG264" s="191"/>
      <c r="AH264" s="191"/>
      <c r="AI264" s="191"/>
      <c r="AJ264" s="191"/>
      <c r="AK264" s="191"/>
      <c r="AL264" s="191"/>
      <c r="AM264" s="191"/>
      <c r="AN264" s="191"/>
      <c r="AO264" s="191"/>
      <c r="AP264" s="191"/>
      <c r="AQ264" s="191"/>
      <c r="AR264" s="191"/>
      <c r="AS264" s="191"/>
      <c r="AT264" s="191"/>
      <c r="AU264" s="191"/>
      <c r="AV264" s="191"/>
      <c r="AW264" s="191"/>
      <c r="AX264" s="191"/>
      <c r="AY264" s="191"/>
      <c r="AZ264" s="191"/>
      <c r="BA264" s="191"/>
      <c r="BB264" s="191"/>
      <c r="BC264" s="191"/>
      <c r="BD264" s="191"/>
      <c r="BE264" s="191"/>
      <c r="BF264" s="191"/>
      <c r="BG264" s="191"/>
      <c r="BH264" s="191"/>
      <c r="BI264" s="191"/>
      <c r="BJ264" s="191"/>
      <c r="BK264" s="191"/>
      <c r="BL264" s="191"/>
      <c r="BM264" s="191"/>
      <c r="BN264" s="191"/>
      <c r="BO264" s="191"/>
      <c r="BP264" s="191"/>
      <c r="BQ264" s="191"/>
    </row>
    <row r="265" spans="11:69">
      <c r="K265" s="191"/>
      <c r="L265" s="191"/>
      <c r="M265" s="191"/>
      <c r="N265" s="191"/>
      <c r="O265" s="191"/>
      <c r="P265" s="191"/>
      <c r="Q265" s="191"/>
      <c r="R265" s="191"/>
      <c r="S265" s="191"/>
      <c r="T265" s="191"/>
      <c r="U265" s="191"/>
      <c r="V265" s="191"/>
      <c r="W265" s="191"/>
      <c r="X265" s="191"/>
      <c r="Y265" s="191"/>
      <c r="Z265" s="191"/>
      <c r="AA265" s="191"/>
      <c r="AB265" s="191"/>
      <c r="AC265" s="191"/>
      <c r="AD265" s="191"/>
      <c r="AE265" s="191"/>
      <c r="AF265" s="191"/>
      <c r="AG265" s="191"/>
      <c r="AH265" s="191"/>
      <c r="AI265" s="191"/>
      <c r="AJ265" s="191"/>
      <c r="AK265" s="191"/>
      <c r="AL265" s="191"/>
      <c r="AM265" s="191"/>
      <c r="AN265" s="191"/>
      <c r="AO265" s="191"/>
      <c r="AP265" s="191"/>
      <c r="AQ265" s="191"/>
      <c r="AR265" s="191"/>
      <c r="AS265" s="191"/>
      <c r="AT265" s="191"/>
      <c r="AU265" s="191"/>
      <c r="AV265" s="191"/>
      <c r="AW265" s="191"/>
      <c r="AX265" s="191"/>
      <c r="AY265" s="191"/>
      <c r="AZ265" s="191"/>
      <c r="BA265" s="191"/>
      <c r="BB265" s="191"/>
      <c r="BC265" s="191"/>
      <c r="BD265" s="191"/>
      <c r="BE265" s="191"/>
      <c r="BF265" s="191"/>
      <c r="BG265" s="191"/>
      <c r="BH265" s="191"/>
      <c r="BI265" s="191"/>
      <c r="BJ265" s="191"/>
      <c r="BK265" s="191"/>
      <c r="BL265" s="191"/>
      <c r="BM265" s="191"/>
      <c r="BN265" s="191"/>
      <c r="BO265" s="191"/>
      <c r="BP265" s="191"/>
      <c r="BQ265" s="191"/>
    </row>
    <row r="266" spans="11:69">
      <c r="K266" s="191"/>
      <c r="L266" s="191"/>
      <c r="M266" s="191"/>
      <c r="N266" s="191"/>
      <c r="O266" s="191"/>
      <c r="P266" s="191"/>
      <c r="Q266" s="191"/>
      <c r="R266" s="191"/>
      <c r="S266" s="191"/>
      <c r="T266" s="191"/>
      <c r="U266" s="191"/>
      <c r="V266" s="191"/>
      <c r="W266" s="191"/>
      <c r="X266" s="191"/>
      <c r="Y266" s="191"/>
      <c r="Z266" s="191"/>
      <c r="AA266" s="191"/>
      <c r="AB266" s="191"/>
      <c r="AC266" s="191"/>
      <c r="AD266" s="191"/>
      <c r="AE266" s="191"/>
      <c r="AF266" s="191"/>
      <c r="AG266" s="191"/>
      <c r="AH266" s="191"/>
      <c r="AI266" s="191"/>
      <c r="AJ266" s="191"/>
      <c r="AK266" s="191"/>
      <c r="AL266" s="191"/>
      <c r="AM266" s="191"/>
      <c r="AN266" s="191"/>
      <c r="AO266" s="191"/>
      <c r="AP266" s="191"/>
      <c r="AQ266" s="191"/>
      <c r="AR266" s="191"/>
      <c r="AS266" s="191"/>
      <c r="AT266" s="191"/>
      <c r="AU266" s="191"/>
      <c r="AV266" s="191"/>
      <c r="AW266" s="191"/>
      <c r="AX266" s="191"/>
      <c r="AY266" s="191"/>
      <c r="AZ266" s="191"/>
      <c r="BA266" s="191"/>
      <c r="BB266" s="191"/>
      <c r="BC266" s="191"/>
      <c r="BD266" s="191"/>
      <c r="BE266" s="191"/>
      <c r="BF266" s="191"/>
      <c r="BG266" s="191"/>
      <c r="BH266" s="191"/>
      <c r="BI266" s="191"/>
      <c r="BJ266" s="191"/>
      <c r="BK266" s="191"/>
      <c r="BL266" s="191"/>
      <c r="BM266" s="191"/>
      <c r="BN266" s="191"/>
      <c r="BO266" s="191"/>
      <c r="BP266" s="191"/>
      <c r="BQ266" s="191"/>
    </row>
    <row r="267" spans="11:69">
      <c r="K267" s="191"/>
      <c r="L267" s="191"/>
      <c r="M267" s="191"/>
      <c r="N267" s="191"/>
      <c r="O267" s="191"/>
      <c r="P267" s="191"/>
      <c r="Q267" s="191"/>
      <c r="R267" s="191"/>
      <c r="S267" s="191"/>
      <c r="T267" s="191"/>
      <c r="U267" s="191"/>
      <c r="V267" s="191"/>
      <c r="W267" s="191"/>
      <c r="X267" s="191"/>
      <c r="Y267" s="191"/>
      <c r="Z267" s="191"/>
      <c r="AA267" s="191"/>
      <c r="AB267" s="191"/>
      <c r="AC267" s="191"/>
      <c r="AD267" s="191"/>
      <c r="AE267" s="191"/>
      <c r="AF267" s="191"/>
      <c r="AG267" s="191"/>
      <c r="AH267" s="191"/>
      <c r="AI267" s="191"/>
      <c r="AJ267" s="191"/>
      <c r="AK267" s="191"/>
      <c r="AL267" s="191"/>
      <c r="AM267" s="191"/>
      <c r="AN267" s="191"/>
      <c r="AO267" s="191"/>
      <c r="AP267" s="191"/>
      <c r="AQ267" s="191"/>
      <c r="AR267" s="191"/>
      <c r="AS267" s="191"/>
      <c r="AT267" s="191"/>
      <c r="AU267" s="191"/>
      <c r="AV267" s="191"/>
      <c r="AW267" s="191"/>
      <c r="AX267" s="191"/>
      <c r="AY267" s="191"/>
      <c r="AZ267" s="191"/>
      <c r="BA267" s="191"/>
      <c r="BB267" s="191"/>
      <c r="BC267" s="191"/>
      <c r="BD267" s="191"/>
      <c r="BE267" s="191"/>
      <c r="BF267" s="191"/>
      <c r="BG267" s="191"/>
      <c r="BH267" s="191"/>
      <c r="BI267" s="191"/>
      <c r="BJ267" s="191"/>
      <c r="BK267" s="191"/>
      <c r="BL267" s="191"/>
      <c r="BM267" s="191"/>
      <c r="BN267" s="191"/>
      <c r="BO267" s="191"/>
      <c r="BP267" s="191"/>
      <c r="BQ267" s="191"/>
    </row>
    <row r="268" spans="11:69">
      <c r="K268" s="191"/>
      <c r="L268" s="191"/>
      <c r="M268" s="191"/>
      <c r="N268" s="191"/>
      <c r="O268" s="191"/>
      <c r="P268" s="191"/>
      <c r="Q268" s="191"/>
      <c r="R268" s="191"/>
      <c r="S268" s="191"/>
      <c r="T268" s="191"/>
      <c r="U268" s="191"/>
      <c r="V268" s="191"/>
      <c r="W268" s="191"/>
      <c r="X268" s="191"/>
      <c r="Y268" s="191"/>
      <c r="Z268" s="191"/>
      <c r="AA268" s="191"/>
      <c r="AB268" s="191"/>
      <c r="AC268" s="191"/>
      <c r="AD268" s="191"/>
      <c r="AE268" s="191"/>
      <c r="AF268" s="191"/>
      <c r="AG268" s="191"/>
      <c r="AH268" s="191"/>
      <c r="AI268" s="191"/>
      <c r="AJ268" s="191"/>
      <c r="AK268" s="191"/>
      <c r="AL268" s="191"/>
      <c r="AM268" s="191"/>
      <c r="AN268" s="191"/>
      <c r="AO268" s="191"/>
      <c r="AP268" s="191"/>
      <c r="AQ268" s="191"/>
      <c r="AR268" s="191"/>
      <c r="AS268" s="191"/>
      <c r="AT268" s="191"/>
      <c r="AU268" s="191"/>
      <c r="AV268" s="191"/>
      <c r="AW268" s="191"/>
      <c r="AX268" s="191"/>
      <c r="AY268" s="191"/>
      <c r="AZ268" s="191"/>
      <c r="BA268" s="191"/>
      <c r="BB268" s="191"/>
      <c r="BC268" s="191"/>
      <c r="BD268" s="191"/>
      <c r="BE268" s="191"/>
      <c r="BF268" s="191"/>
      <c r="BG268" s="191"/>
      <c r="BH268" s="191"/>
      <c r="BI268" s="191"/>
      <c r="BJ268" s="191"/>
      <c r="BK268" s="191"/>
      <c r="BL268" s="191"/>
      <c r="BM268" s="191"/>
      <c r="BN268" s="191"/>
      <c r="BO268" s="191"/>
      <c r="BP268" s="191"/>
      <c r="BQ268" s="191"/>
    </row>
    <row r="269" spans="11:69">
      <c r="K269" s="191"/>
      <c r="L269" s="191"/>
      <c r="M269" s="191"/>
      <c r="N269" s="191"/>
      <c r="O269" s="191"/>
      <c r="P269" s="191"/>
      <c r="Q269" s="191"/>
      <c r="R269" s="191"/>
      <c r="S269" s="191"/>
      <c r="T269" s="191"/>
      <c r="U269" s="191"/>
      <c r="V269" s="191"/>
      <c r="W269" s="191"/>
      <c r="X269" s="191"/>
      <c r="Y269" s="191"/>
      <c r="Z269" s="191"/>
      <c r="AA269" s="191"/>
      <c r="AB269" s="191"/>
      <c r="AC269" s="191"/>
      <c r="AD269" s="191"/>
      <c r="AE269" s="191"/>
      <c r="AF269" s="191"/>
      <c r="AG269" s="191"/>
      <c r="AH269" s="191"/>
      <c r="AI269" s="191"/>
      <c r="AJ269" s="191"/>
      <c r="AK269" s="191"/>
      <c r="AL269" s="191"/>
      <c r="AM269" s="191"/>
      <c r="AN269" s="191"/>
      <c r="AO269" s="191"/>
      <c r="AP269" s="191"/>
      <c r="AQ269" s="191"/>
      <c r="AR269" s="191"/>
      <c r="AS269" s="191"/>
      <c r="AT269" s="191"/>
      <c r="AU269" s="191"/>
      <c r="AV269" s="191"/>
      <c r="AW269" s="191"/>
      <c r="AX269" s="191"/>
      <c r="AY269" s="191"/>
      <c r="AZ269" s="191"/>
      <c r="BA269" s="191"/>
      <c r="BB269" s="191"/>
      <c r="BC269" s="191"/>
      <c r="BD269" s="191"/>
      <c r="BE269" s="191"/>
      <c r="BF269" s="191"/>
      <c r="BG269" s="191"/>
      <c r="BH269" s="191"/>
      <c r="BI269" s="191"/>
      <c r="BJ269" s="191"/>
      <c r="BK269" s="191"/>
      <c r="BL269" s="191"/>
      <c r="BM269" s="191"/>
      <c r="BN269" s="191"/>
      <c r="BO269" s="191"/>
      <c r="BP269" s="191"/>
      <c r="BQ269" s="191"/>
    </row>
    <row r="270" spans="11:69">
      <c r="K270" s="191"/>
      <c r="L270" s="191"/>
      <c r="M270" s="191"/>
      <c r="N270" s="191"/>
      <c r="O270" s="191"/>
      <c r="P270" s="191"/>
      <c r="Q270" s="191"/>
      <c r="R270" s="191"/>
      <c r="S270" s="191"/>
      <c r="T270" s="191"/>
      <c r="U270" s="191"/>
      <c r="V270" s="191"/>
      <c r="W270" s="191"/>
      <c r="X270" s="191"/>
      <c r="Y270" s="191"/>
      <c r="Z270" s="191"/>
      <c r="AA270" s="191"/>
      <c r="AB270" s="191"/>
      <c r="AC270" s="191"/>
      <c r="AD270" s="191"/>
      <c r="AE270" s="191"/>
      <c r="AF270" s="191"/>
      <c r="AG270" s="191"/>
      <c r="AH270" s="191"/>
      <c r="AI270" s="191"/>
      <c r="AJ270" s="191"/>
      <c r="AK270" s="191"/>
      <c r="AL270" s="191"/>
      <c r="AM270" s="191"/>
      <c r="AN270" s="191"/>
      <c r="AO270" s="191"/>
      <c r="AP270" s="191"/>
      <c r="AQ270" s="191"/>
      <c r="AR270" s="191"/>
      <c r="AS270" s="191"/>
      <c r="AT270" s="191"/>
      <c r="AU270" s="191"/>
      <c r="AV270" s="191"/>
      <c r="AW270" s="191"/>
      <c r="AX270" s="191"/>
      <c r="AY270" s="191"/>
      <c r="AZ270" s="191"/>
      <c r="BA270" s="191"/>
      <c r="BB270" s="191"/>
      <c r="BC270" s="191"/>
      <c r="BD270" s="191"/>
      <c r="BE270" s="191"/>
      <c r="BF270" s="191"/>
      <c r="BG270" s="191"/>
      <c r="BH270" s="191"/>
      <c r="BI270" s="191"/>
      <c r="BJ270" s="191"/>
      <c r="BK270" s="191"/>
      <c r="BL270" s="191"/>
      <c r="BM270" s="191"/>
      <c r="BN270" s="191"/>
      <c r="BO270" s="191"/>
      <c r="BP270" s="191"/>
      <c r="BQ270" s="191"/>
    </row>
    <row r="271" spans="11:69">
      <c r="K271" s="191"/>
      <c r="L271" s="191"/>
      <c r="M271" s="191"/>
      <c r="N271" s="191"/>
      <c r="O271" s="191"/>
      <c r="P271" s="191"/>
      <c r="Q271" s="191"/>
      <c r="R271" s="191"/>
      <c r="S271" s="191"/>
      <c r="T271" s="191"/>
      <c r="U271" s="191"/>
      <c r="V271" s="191"/>
      <c r="W271" s="191"/>
      <c r="X271" s="191"/>
      <c r="Y271" s="191"/>
      <c r="Z271" s="191"/>
      <c r="AA271" s="191"/>
      <c r="AB271" s="191"/>
      <c r="AC271" s="191"/>
      <c r="AD271" s="191"/>
      <c r="AE271" s="191"/>
      <c r="AF271" s="191"/>
      <c r="AG271" s="191"/>
      <c r="AH271" s="191"/>
      <c r="AI271" s="191"/>
      <c r="AJ271" s="191"/>
      <c r="AK271" s="191"/>
      <c r="AL271" s="191"/>
      <c r="AM271" s="191"/>
      <c r="AN271" s="191"/>
      <c r="AO271" s="191"/>
      <c r="AP271" s="191"/>
      <c r="AQ271" s="191"/>
      <c r="AR271" s="191"/>
      <c r="AS271" s="191"/>
      <c r="AT271" s="191"/>
      <c r="AU271" s="191"/>
      <c r="AV271" s="191"/>
      <c r="AW271" s="191"/>
      <c r="AX271" s="191"/>
      <c r="AY271" s="191"/>
      <c r="AZ271" s="191"/>
      <c r="BA271" s="191"/>
      <c r="BB271" s="191"/>
      <c r="BC271" s="191"/>
      <c r="BD271" s="191"/>
      <c r="BE271" s="191"/>
      <c r="BF271" s="191"/>
      <c r="BG271" s="191"/>
      <c r="BH271" s="191"/>
      <c r="BI271" s="191"/>
      <c r="BJ271" s="191"/>
      <c r="BK271" s="191"/>
      <c r="BL271" s="191"/>
      <c r="BM271" s="191"/>
      <c r="BN271" s="191"/>
      <c r="BO271" s="191"/>
      <c r="BP271" s="191"/>
      <c r="BQ271" s="191"/>
    </row>
    <row r="272" spans="11:69">
      <c r="K272" s="191"/>
      <c r="L272" s="191"/>
      <c r="M272" s="191"/>
      <c r="N272" s="191"/>
      <c r="O272" s="191"/>
      <c r="P272" s="191"/>
      <c r="Q272" s="191"/>
      <c r="R272" s="191"/>
      <c r="S272" s="191"/>
      <c r="T272" s="191"/>
      <c r="U272" s="191"/>
      <c r="V272" s="191"/>
      <c r="W272" s="191"/>
      <c r="X272" s="191"/>
      <c r="Y272" s="191"/>
      <c r="Z272" s="191"/>
      <c r="AA272" s="191"/>
      <c r="AB272" s="191"/>
      <c r="AC272" s="191"/>
      <c r="AD272" s="191"/>
      <c r="AE272" s="191"/>
      <c r="AF272" s="191"/>
      <c r="AG272" s="191"/>
      <c r="AH272" s="191"/>
      <c r="AI272" s="191"/>
      <c r="AJ272" s="191"/>
      <c r="AK272" s="191"/>
      <c r="AL272" s="191"/>
      <c r="AM272" s="191"/>
      <c r="AN272" s="191"/>
      <c r="AO272" s="191"/>
      <c r="AP272" s="191"/>
      <c r="AQ272" s="191"/>
      <c r="AR272" s="191"/>
      <c r="AS272" s="191"/>
      <c r="AT272" s="191"/>
      <c r="AU272" s="191"/>
      <c r="AV272" s="191"/>
      <c r="AW272" s="191"/>
      <c r="AX272" s="191"/>
      <c r="AY272" s="191"/>
      <c r="AZ272" s="191"/>
      <c r="BA272" s="191"/>
      <c r="BB272" s="191"/>
      <c r="BC272" s="191"/>
      <c r="BD272" s="191"/>
      <c r="BE272" s="191"/>
      <c r="BF272" s="191"/>
      <c r="BG272" s="191"/>
      <c r="BH272" s="191"/>
      <c r="BI272" s="191"/>
      <c r="BJ272" s="191"/>
      <c r="BK272" s="191"/>
      <c r="BL272" s="191"/>
      <c r="BM272" s="191"/>
      <c r="BN272" s="191"/>
      <c r="BO272" s="191"/>
      <c r="BP272" s="191"/>
      <c r="BQ272" s="191"/>
    </row>
    <row r="273" spans="11:69">
      <c r="K273" s="191"/>
      <c r="L273" s="191"/>
      <c r="M273" s="191"/>
      <c r="N273" s="191"/>
      <c r="O273" s="191"/>
      <c r="P273" s="191"/>
      <c r="Q273" s="191"/>
      <c r="R273" s="191"/>
      <c r="S273" s="191"/>
      <c r="T273" s="191"/>
      <c r="U273" s="191"/>
      <c r="V273" s="191"/>
      <c r="W273" s="191"/>
      <c r="X273" s="191"/>
      <c r="Y273" s="191"/>
      <c r="Z273" s="191"/>
      <c r="AA273" s="191"/>
      <c r="AB273" s="191"/>
      <c r="AC273" s="191"/>
      <c r="AD273" s="191"/>
      <c r="AE273" s="191"/>
      <c r="AF273" s="191"/>
      <c r="AG273" s="191"/>
      <c r="AH273" s="191"/>
      <c r="AI273" s="191"/>
      <c r="AJ273" s="191"/>
      <c r="AK273" s="191"/>
      <c r="AL273" s="191"/>
      <c r="AM273" s="191"/>
      <c r="AN273" s="191"/>
      <c r="AO273" s="191"/>
      <c r="AP273" s="191"/>
      <c r="AQ273" s="191"/>
      <c r="AR273" s="191"/>
      <c r="AS273" s="191"/>
      <c r="AT273" s="191"/>
      <c r="AU273" s="191"/>
      <c r="AV273" s="191"/>
      <c r="AW273" s="191"/>
      <c r="AX273" s="191"/>
      <c r="AY273" s="191"/>
      <c r="AZ273" s="191"/>
      <c r="BA273" s="191"/>
      <c r="BB273" s="191"/>
      <c r="BC273" s="191"/>
      <c r="BD273" s="191"/>
      <c r="BE273" s="191"/>
      <c r="BF273" s="191"/>
      <c r="BG273" s="191"/>
      <c r="BH273" s="191"/>
      <c r="BI273" s="191"/>
      <c r="BJ273" s="191"/>
      <c r="BK273" s="191"/>
      <c r="BL273" s="191"/>
      <c r="BM273" s="191"/>
      <c r="BN273" s="191"/>
      <c r="BO273" s="191"/>
      <c r="BP273" s="191"/>
      <c r="BQ273" s="191"/>
    </row>
    <row r="274" spans="11:69">
      <c r="K274" s="191"/>
      <c r="L274" s="191"/>
      <c r="M274" s="191"/>
      <c r="N274" s="191"/>
      <c r="O274" s="191"/>
      <c r="P274" s="191"/>
      <c r="Q274" s="191"/>
      <c r="R274" s="191"/>
      <c r="S274" s="191"/>
      <c r="T274" s="191"/>
      <c r="U274" s="191"/>
      <c r="V274" s="191"/>
      <c r="W274" s="191"/>
      <c r="X274" s="191"/>
      <c r="Y274" s="191"/>
      <c r="Z274" s="191"/>
      <c r="AA274" s="191"/>
      <c r="AB274" s="191"/>
      <c r="AC274" s="191"/>
      <c r="AD274" s="191"/>
      <c r="AE274" s="191"/>
      <c r="AF274" s="191"/>
      <c r="AG274" s="191"/>
      <c r="AH274" s="191"/>
      <c r="AI274" s="191"/>
      <c r="AJ274" s="191"/>
      <c r="AK274" s="191"/>
      <c r="AL274" s="191"/>
      <c r="AM274" s="191"/>
      <c r="AN274" s="191"/>
      <c r="AO274" s="191"/>
      <c r="AP274" s="191"/>
      <c r="AQ274" s="191"/>
      <c r="AR274" s="191"/>
      <c r="AS274" s="191"/>
      <c r="AT274" s="191"/>
      <c r="AU274" s="191"/>
      <c r="AV274" s="191"/>
      <c r="AW274" s="191"/>
      <c r="AX274" s="191"/>
      <c r="AY274" s="191"/>
      <c r="AZ274" s="191"/>
      <c r="BA274" s="191"/>
      <c r="BB274" s="191"/>
      <c r="BC274" s="191"/>
      <c r="BD274" s="191"/>
      <c r="BE274" s="191"/>
      <c r="BF274" s="191"/>
      <c r="BG274" s="191"/>
      <c r="BH274" s="191"/>
      <c r="BI274" s="191"/>
      <c r="BJ274" s="191"/>
      <c r="BK274" s="191"/>
      <c r="BL274" s="191"/>
      <c r="BM274" s="191"/>
      <c r="BN274" s="191"/>
      <c r="BO274" s="191"/>
      <c r="BP274" s="191"/>
      <c r="BQ274" s="191"/>
    </row>
    <row r="275" spans="11:69">
      <c r="K275" s="191"/>
      <c r="L275" s="191"/>
      <c r="M275" s="191"/>
      <c r="N275" s="191"/>
      <c r="O275" s="191"/>
      <c r="P275" s="191"/>
      <c r="Q275" s="191"/>
      <c r="R275" s="191"/>
      <c r="S275" s="191"/>
      <c r="T275" s="191"/>
      <c r="U275" s="191"/>
      <c r="V275" s="191"/>
      <c r="W275" s="191"/>
      <c r="X275" s="191"/>
      <c r="Y275" s="191"/>
      <c r="Z275" s="191"/>
      <c r="AA275" s="191"/>
      <c r="AB275" s="191"/>
      <c r="AC275" s="191"/>
      <c r="AD275" s="191"/>
      <c r="AE275" s="191"/>
      <c r="AF275" s="191"/>
      <c r="AG275" s="191"/>
      <c r="AH275" s="191"/>
      <c r="AI275" s="191"/>
      <c r="AJ275" s="191"/>
      <c r="AK275" s="191"/>
      <c r="AL275" s="191"/>
      <c r="AM275" s="191"/>
      <c r="AN275" s="191"/>
      <c r="AO275" s="191"/>
      <c r="AP275" s="191"/>
      <c r="AQ275" s="191"/>
      <c r="AR275" s="191"/>
      <c r="AS275" s="191"/>
      <c r="AT275" s="191"/>
      <c r="AU275" s="191"/>
      <c r="AV275" s="191"/>
      <c r="AW275" s="191"/>
      <c r="AX275" s="191"/>
      <c r="AY275" s="191"/>
      <c r="AZ275" s="191"/>
      <c r="BA275" s="191"/>
      <c r="BB275" s="191"/>
      <c r="BC275" s="191"/>
      <c r="BD275" s="191"/>
      <c r="BE275" s="191"/>
      <c r="BF275" s="191"/>
      <c r="BG275" s="191"/>
      <c r="BH275" s="191"/>
      <c r="BI275" s="191"/>
      <c r="BJ275" s="191"/>
      <c r="BK275" s="191"/>
      <c r="BL275" s="191"/>
      <c r="BM275" s="191"/>
      <c r="BN275" s="191"/>
      <c r="BO275" s="191"/>
      <c r="BP275" s="191"/>
      <c r="BQ275" s="191"/>
    </row>
    <row r="276" spans="11:69">
      <c r="K276" s="191"/>
      <c r="L276" s="191"/>
      <c r="M276" s="191"/>
      <c r="N276" s="191"/>
      <c r="O276" s="191"/>
      <c r="P276" s="191"/>
      <c r="Q276" s="191"/>
      <c r="R276" s="191"/>
      <c r="S276" s="191"/>
      <c r="T276" s="191"/>
      <c r="U276" s="191"/>
      <c r="V276" s="191"/>
      <c r="W276" s="191"/>
      <c r="X276" s="191"/>
      <c r="Y276" s="191"/>
      <c r="Z276" s="191"/>
      <c r="AA276" s="191"/>
      <c r="AB276" s="191"/>
      <c r="AC276" s="191"/>
      <c r="AD276" s="191"/>
      <c r="AE276" s="191"/>
      <c r="AF276" s="191"/>
      <c r="AG276" s="191"/>
      <c r="AH276" s="191"/>
      <c r="AI276" s="191"/>
      <c r="AJ276" s="191"/>
      <c r="AK276" s="191"/>
      <c r="AL276" s="191"/>
      <c r="AM276" s="191"/>
      <c r="AN276" s="191"/>
      <c r="AO276" s="191"/>
      <c r="AP276" s="191"/>
      <c r="AQ276" s="191"/>
      <c r="AR276" s="191"/>
      <c r="AS276" s="191"/>
      <c r="AT276" s="191"/>
      <c r="AU276" s="191"/>
      <c r="AV276" s="191"/>
      <c r="AW276" s="191"/>
      <c r="AX276" s="191"/>
      <c r="AY276" s="191"/>
      <c r="AZ276" s="191"/>
      <c r="BA276" s="191"/>
      <c r="BB276" s="191"/>
      <c r="BC276" s="191"/>
      <c r="BD276" s="191"/>
      <c r="BE276" s="191"/>
      <c r="BF276" s="191"/>
      <c r="BG276" s="191"/>
      <c r="BH276" s="191"/>
      <c r="BI276" s="191"/>
      <c r="BJ276" s="191"/>
      <c r="BK276" s="191"/>
      <c r="BL276" s="191"/>
      <c r="BM276" s="191"/>
      <c r="BN276" s="191"/>
      <c r="BO276" s="191"/>
      <c r="BP276" s="191"/>
      <c r="BQ276" s="191"/>
    </row>
    <row r="277" spans="11:69">
      <c r="K277" s="191"/>
      <c r="L277" s="191"/>
      <c r="M277" s="191"/>
      <c r="N277" s="191"/>
      <c r="O277" s="191"/>
      <c r="P277" s="191"/>
      <c r="Q277" s="191"/>
      <c r="R277" s="191"/>
      <c r="S277" s="191"/>
      <c r="T277" s="191"/>
      <c r="U277" s="191"/>
      <c r="V277" s="191"/>
      <c r="W277" s="191"/>
      <c r="X277" s="191"/>
      <c r="Y277" s="191"/>
      <c r="Z277" s="191"/>
      <c r="AA277" s="191"/>
      <c r="AB277" s="191"/>
      <c r="AC277" s="191"/>
      <c r="AD277" s="191"/>
      <c r="AE277" s="191"/>
      <c r="AF277" s="191"/>
      <c r="AG277" s="191"/>
      <c r="AH277" s="191"/>
      <c r="AI277" s="191"/>
      <c r="AJ277" s="191"/>
      <c r="AK277" s="191"/>
      <c r="AL277" s="191"/>
      <c r="AM277" s="191"/>
      <c r="AN277" s="191"/>
      <c r="AO277" s="191"/>
      <c r="AP277" s="191"/>
      <c r="AQ277" s="191"/>
      <c r="AR277" s="191"/>
      <c r="AS277" s="191"/>
      <c r="AT277" s="191"/>
      <c r="AU277" s="191"/>
      <c r="AV277" s="191"/>
      <c r="AW277" s="191"/>
      <c r="AX277" s="191"/>
      <c r="AY277" s="191"/>
      <c r="AZ277" s="191"/>
      <c r="BA277" s="191"/>
      <c r="BB277" s="191"/>
      <c r="BC277" s="191"/>
      <c r="BD277" s="191"/>
      <c r="BE277" s="191"/>
      <c r="BF277" s="191"/>
      <c r="BG277" s="191"/>
      <c r="BH277" s="191"/>
      <c r="BI277" s="191"/>
      <c r="BJ277" s="191"/>
      <c r="BK277" s="191"/>
      <c r="BL277" s="191"/>
      <c r="BM277" s="191"/>
      <c r="BN277" s="191"/>
      <c r="BO277" s="191"/>
      <c r="BP277" s="191"/>
      <c r="BQ277" s="191"/>
    </row>
    <row r="278" spans="11:69">
      <c r="K278" s="191"/>
      <c r="L278" s="191"/>
      <c r="M278" s="191"/>
      <c r="N278" s="191"/>
      <c r="O278" s="191"/>
      <c r="P278" s="191"/>
      <c r="Q278" s="191"/>
      <c r="R278" s="191"/>
      <c r="S278" s="191"/>
      <c r="T278" s="191"/>
      <c r="U278" s="191"/>
      <c r="V278" s="191"/>
      <c r="W278" s="191"/>
      <c r="X278" s="191"/>
      <c r="Y278" s="191"/>
      <c r="Z278" s="191"/>
      <c r="AA278" s="191"/>
      <c r="AB278" s="191"/>
      <c r="AC278" s="191"/>
      <c r="AD278" s="191"/>
      <c r="AE278" s="191"/>
      <c r="AF278" s="191"/>
      <c r="AG278" s="191"/>
      <c r="AH278" s="191"/>
      <c r="AI278" s="191"/>
      <c r="AJ278" s="191"/>
      <c r="AK278" s="191"/>
      <c r="AL278" s="191"/>
      <c r="AM278" s="191"/>
      <c r="AN278" s="191"/>
      <c r="AO278" s="191"/>
      <c r="AP278" s="191"/>
      <c r="AQ278" s="191"/>
      <c r="AR278" s="191"/>
      <c r="AS278" s="191"/>
      <c r="AT278" s="191"/>
      <c r="AU278" s="191"/>
      <c r="AV278" s="191"/>
      <c r="AW278" s="191"/>
      <c r="AX278" s="191"/>
      <c r="AY278" s="191"/>
      <c r="AZ278" s="191"/>
      <c r="BA278" s="191"/>
      <c r="BB278" s="191"/>
      <c r="BC278" s="191"/>
      <c r="BD278" s="191"/>
      <c r="BE278" s="191"/>
      <c r="BF278" s="191"/>
      <c r="BG278" s="191"/>
      <c r="BH278" s="191"/>
      <c r="BI278" s="191"/>
      <c r="BJ278" s="191"/>
      <c r="BK278" s="191"/>
      <c r="BL278" s="191"/>
      <c r="BM278" s="191"/>
      <c r="BN278" s="191"/>
      <c r="BO278" s="191"/>
      <c r="BP278" s="191"/>
      <c r="BQ278" s="191"/>
    </row>
    <row r="279" spans="11:69">
      <c r="K279" s="191"/>
      <c r="L279" s="191"/>
      <c r="M279" s="191"/>
      <c r="N279" s="191"/>
      <c r="O279" s="191"/>
      <c r="P279" s="191"/>
      <c r="Q279" s="191"/>
      <c r="R279" s="191"/>
      <c r="S279" s="191"/>
      <c r="T279" s="191"/>
      <c r="U279" s="191"/>
      <c r="V279" s="191"/>
      <c r="W279" s="191"/>
      <c r="X279" s="191"/>
      <c r="Y279" s="191"/>
      <c r="Z279" s="191"/>
      <c r="AA279" s="191"/>
      <c r="AB279" s="191"/>
      <c r="AC279" s="191"/>
      <c r="AD279" s="191"/>
      <c r="AE279" s="191"/>
      <c r="AF279" s="191"/>
      <c r="AG279" s="191"/>
      <c r="AH279" s="191"/>
      <c r="AI279" s="191"/>
      <c r="AJ279" s="191"/>
      <c r="AK279" s="191"/>
      <c r="AL279" s="191"/>
      <c r="AM279" s="191"/>
      <c r="AN279" s="191"/>
      <c r="AO279" s="191"/>
      <c r="AP279" s="191"/>
      <c r="AQ279" s="191"/>
      <c r="AR279" s="191"/>
      <c r="AS279" s="191"/>
      <c r="AT279" s="191"/>
      <c r="AU279" s="191"/>
      <c r="AV279" s="191"/>
      <c r="AW279" s="191"/>
      <c r="AX279" s="191"/>
      <c r="AY279" s="191"/>
      <c r="AZ279" s="191"/>
      <c r="BA279" s="191"/>
      <c r="BB279" s="191"/>
      <c r="BC279" s="191"/>
      <c r="BD279" s="191"/>
      <c r="BE279" s="191"/>
      <c r="BF279" s="191"/>
      <c r="BG279" s="191"/>
      <c r="BH279" s="191"/>
      <c r="BI279" s="191"/>
      <c r="BJ279" s="191"/>
      <c r="BK279" s="191"/>
      <c r="BL279" s="191"/>
      <c r="BM279" s="191"/>
      <c r="BN279" s="191"/>
      <c r="BO279" s="191"/>
      <c r="BP279" s="191"/>
      <c r="BQ279" s="191"/>
    </row>
    <row r="280" spans="11:69">
      <c r="K280" s="191"/>
      <c r="L280" s="191"/>
      <c r="M280" s="191"/>
      <c r="N280" s="191"/>
      <c r="O280" s="191"/>
      <c r="P280" s="191"/>
      <c r="Q280" s="191"/>
      <c r="R280" s="191"/>
      <c r="S280" s="191"/>
      <c r="T280" s="191"/>
      <c r="U280" s="191"/>
      <c r="V280" s="191"/>
      <c r="W280" s="191"/>
      <c r="X280" s="191"/>
      <c r="Y280" s="191"/>
      <c r="Z280" s="191"/>
      <c r="AA280" s="191"/>
      <c r="AB280" s="191"/>
      <c r="AC280" s="191"/>
      <c r="AD280" s="191"/>
      <c r="AE280" s="191"/>
      <c r="AF280" s="191"/>
      <c r="AG280" s="191"/>
      <c r="AH280" s="191"/>
      <c r="AI280" s="191"/>
      <c r="AJ280" s="191"/>
      <c r="AK280" s="191"/>
      <c r="AL280" s="191"/>
      <c r="AM280" s="191"/>
      <c r="AN280" s="191"/>
      <c r="AO280" s="191"/>
      <c r="AP280" s="191"/>
      <c r="AQ280" s="191"/>
      <c r="AR280" s="191"/>
      <c r="AS280" s="191"/>
      <c r="AT280" s="191"/>
      <c r="AU280" s="191"/>
      <c r="AV280" s="191"/>
      <c r="AW280" s="191"/>
      <c r="AX280" s="191"/>
      <c r="AY280" s="191"/>
      <c r="AZ280" s="191"/>
      <c r="BA280" s="191"/>
      <c r="BB280" s="191"/>
      <c r="BC280" s="191"/>
      <c r="BD280" s="191"/>
      <c r="BE280" s="191"/>
      <c r="BF280" s="191"/>
      <c r="BG280" s="191"/>
      <c r="BH280" s="191"/>
      <c r="BI280" s="191"/>
      <c r="BJ280" s="191"/>
      <c r="BK280" s="191"/>
      <c r="BL280" s="191"/>
      <c r="BM280" s="191"/>
      <c r="BN280" s="191"/>
      <c r="BO280" s="191"/>
      <c r="BP280" s="191"/>
      <c r="BQ280" s="191"/>
    </row>
    <row r="281" spans="11:69">
      <c r="K281" s="191"/>
      <c r="L281" s="191"/>
      <c r="M281" s="191"/>
      <c r="N281" s="191"/>
      <c r="O281" s="191"/>
      <c r="P281" s="191"/>
      <c r="Q281" s="191"/>
      <c r="R281" s="191"/>
      <c r="S281" s="191"/>
      <c r="T281" s="191"/>
      <c r="U281" s="191"/>
      <c r="V281" s="191"/>
      <c r="W281" s="191"/>
      <c r="X281" s="191"/>
      <c r="Y281" s="191"/>
      <c r="Z281" s="191"/>
      <c r="AA281" s="191"/>
      <c r="AB281" s="191"/>
      <c r="AC281" s="191"/>
      <c r="AD281" s="191"/>
      <c r="AE281" s="191"/>
      <c r="AF281" s="191"/>
      <c r="AG281" s="191"/>
      <c r="AH281" s="191"/>
      <c r="AI281" s="191"/>
      <c r="AJ281" s="191"/>
      <c r="AK281" s="191"/>
      <c r="AL281" s="191"/>
      <c r="AM281" s="191"/>
      <c r="AN281" s="191"/>
      <c r="AO281" s="191"/>
      <c r="AP281" s="191"/>
      <c r="AQ281" s="191"/>
      <c r="AR281" s="191"/>
      <c r="AS281" s="191"/>
      <c r="AT281" s="191"/>
      <c r="AU281" s="191"/>
      <c r="AV281" s="191"/>
      <c r="AW281" s="191"/>
      <c r="AX281" s="191"/>
      <c r="AY281" s="191"/>
      <c r="AZ281" s="191"/>
      <c r="BA281" s="191"/>
      <c r="BB281" s="191"/>
      <c r="BC281" s="191"/>
      <c r="BD281" s="191"/>
      <c r="BE281" s="191"/>
      <c r="BF281" s="191"/>
      <c r="BG281" s="191"/>
      <c r="BH281" s="191"/>
      <c r="BI281" s="191"/>
      <c r="BJ281" s="191"/>
      <c r="BK281" s="191"/>
      <c r="BL281" s="191"/>
      <c r="BM281" s="191"/>
      <c r="BN281" s="191"/>
      <c r="BO281" s="191"/>
      <c r="BP281" s="191"/>
      <c r="BQ281" s="191"/>
    </row>
    <row r="282" spans="11:69">
      <c r="K282" s="191"/>
      <c r="L282" s="191"/>
      <c r="M282" s="191"/>
      <c r="N282" s="191"/>
      <c r="O282" s="191"/>
      <c r="P282" s="191"/>
      <c r="Q282" s="191"/>
      <c r="R282" s="191"/>
      <c r="S282" s="191"/>
      <c r="T282" s="191"/>
      <c r="U282" s="191"/>
      <c r="V282" s="191"/>
      <c r="W282" s="191"/>
      <c r="X282" s="191"/>
      <c r="Y282" s="191"/>
      <c r="Z282" s="191"/>
      <c r="AA282" s="191"/>
      <c r="AB282" s="191"/>
      <c r="AC282" s="191"/>
      <c r="AD282" s="191"/>
      <c r="AE282" s="191"/>
      <c r="AF282" s="191"/>
      <c r="AG282" s="191"/>
      <c r="AH282" s="191"/>
      <c r="AI282" s="191"/>
      <c r="AJ282" s="191"/>
      <c r="AK282" s="191"/>
      <c r="AL282" s="191"/>
      <c r="AM282" s="191"/>
      <c r="AN282" s="191"/>
      <c r="AO282" s="191"/>
      <c r="AP282" s="191"/>
      <c r="AQ282" s="191"/>
      <c r="AR282" s="191"/>
      <c r="AS282" s="191"/>
      <c r="AT282" s="191"/>
      <c r="AU282" s="191"/>
      <c r="AV282" s="191"/>
      <c r="AW282" s="191"/>
      <c r="AX282" s="191"/>
      <c r="AY282" s="191"/>
      <c r="AZ282" s="191"/>
      <c r="BA282" s="191"/>
      <c r="BB282" s="191"/>
      <c r="BC282" s="191"/>
      <c r="BD282" s="191"/>
      <c r="BE282" s="191"/>
      <c r="BF282" s="191"/>
      <c r="BG282" s="191"/>
      <c r="BH282" s="191"/>
      <c r="BI282" s="191"/>
      <c r="BJ282" s="191"/>
      <c r="BK282" s="191"/>
      <c r="BL282" s="191"/>
      <c r="BM282" s="191"/>
      <c r="BN282" s="191"/>
      <c r="BO282" s="191"/>
      <c r="BP282" s="191"/>
      <c r="BQ282" s="191"/>
    </row>
    <row r="283" spans="11:69">
      <c r="K283" s="191"/>
      <c r="L283" s="191"/>
      <c r="M283" s="191"/>
      <c r="N283" s="191"/>
      <c r="O283" s="191"/>
      <c r="P283" s="191"/>
      <c r="Q283" s="191"/>
      <c r="R283" s="191"/>
      <c r="S283" s="191"/>
      <c r="T283" s="191"/>
      <c r="U283" s="191"/>
      <c r="V283" s="191"/>
      <c r="W283" s="191"/>
      <c r="X283" s="191"/>
      <c r="Y283" s="191"/>
      <c r="Z283" s="191"/>
      <c r="AA283" s="191"/>
      <c r="AB283" s="191"/>
      <c r="AC283" s="191"/>
      <c r="AD283" s="191"/>
      <c r="AE283" s="191"/>
      <c r="AF283" s="191"/>
      <c r="AG283" s="191"/>
      <c r="AH283" s="191"/>
      <c r="AI283" s="191"/>
      <c r="AJ283" s="191"/>
      <c r="AK283" s="191"/>
      <c r="AL283" s="191"/>
      <c r="AM283" s="191"/>
      <c r="AN283" s="191"/>
      <c r="AO283" s="191"/>
      <c r="AP283" s="191"/>
      <c r="AQ283" s="191"/>
      <c r="AR283" s="191"/>
      <c r="AS283" s="191"/>
      <c r="AT283" s="191"/>
      <c r="AU283" s="191"/>
      <c r="AV283" s="191"/>
      <c r="AW283" s="191"/>
      <c r="AX283" s="191"/>
      <c r="AY283" s="191"/>
      <c r="AZ283" s="191"/>
      <c r="BA283" s="191"/>
      <c r="BB283" s="191"/>
      <c r="BC283" s="191"/>
      <c r="BD283" s="191"/>
      <c r="BE283" s="191"/>
      <c r="BF283" s="191"/>
      <c r="BG283" s="191"/>
      <c r="BH283" s="191"/>
      <c r="BI283" s="191"/>
      <c r="BJ283" s="191"/>
      <c r="BK283" s="191"/>
      <c r="BL283" s="191"/>
      <c r="BM283" s="191"/>
      <c r="BN283" s="191"/>
      <c r="BO283" s="191"/>
      <c r="BP283" s="191"/>
      <c r="BQ283" s="191"/>
    </row>
    <row r="284" spans="11:69">
      <c r="K284" s="191"/>
      <c r="L284" s="191"/>
      <c r="M284" s="191"/>
      <c r="N284" s="191"/>
      <c r="O284" s="191"/>
      <c r="P284" s="191"/>
      <c r="Q284" s="191"/>
      <c r="R284" s="191"/>
      <c r="S284" s="191"/>
      <c r="T284" s="191"/>
      <c r="U284" s="191"/>
      <c r="V284" s="191"/>
      <c r="W284" s="191"/>
      <c r="X284" s="191"/>
      <c r="Y284" s="191"/>
      <c r="Z284" s="191"/>
      <c r="AA284" s="191"/>
      <c r="AB284" s="191"/>
      <c r="AC284" s="191"/>
      <c r="AD284" s="191"/>
      <c r="AE284" s="191"/>
      <c r="AF284" s="191"/>
      <c r="AG284" s="191"/>
      <c r="AH284" s="191"/>
      <c r="AI284" s="191"/>
      <c r="AJ284" s="191"/>
      <c r="AK284" s="191"/>
      <c r="AL284" s="191"/>
      <c r="AM284" s="191"/>
      <c r="AN284" s="191"/>
      <c r="AO284" s="191"/>
      <c r="AP284" s="191"/>
      <c r="AQ284" s="191"/>
      <c r="AR284" s="191"/>
      <c r="AS284" s="191"/>
      <c r="AT284" s="191"/>
      <c r="AU284" s="191"/>
      <c r="AV284" s="191"/>
      <c r="AW284" s="191"/>
      <c r="AX284" s="191"/>
      <c r="AY284" s="191"/>
      <c r="AZ284" s="191"/>
      <c r="BA284" s="191"/>
      <c r="BB284" s="191"/>
      <c r="BC284" s="191"/>
      <c r="BD284" s="191"/>
      <c r="BE284" s="191"/>
      <c r="BF284" s="191"/>
      <c r="BG284" s="191"/>
      <c r="BH284" s="191"/>
      <c r="BI284" s="191"/>
      <c r="BJ284" s="191"/>
      <c r="BK284" s="191"/>
      <c r="BL284" s="191"/>
      <c r="BM284" s="191"/>
      <c r="BN284" s="191"/>
      <c r="BO284" s="191"/>
      <c r="BP284" s="191"/>
      <c r="BQ284" s="191"/>
    </row>
    <row r="285" spans="11:69">
      <c r="K285" s="191"/>
      <c r="L285" s="191"/>
      <c r="M285" s="191"/>
      <c r="N285" s="191"/>
      <c r="O285" s="191"/>
      <c r="P285" s="191"/>
      <c r="Q285" s="191"/>
      <c r="R285" s="191"/>
      <c r="S285" s="191"/>
      <c r="T285" s="191"/>
      <c r="U285" s="191"/>
      <c r="V285" s="191"/>
      <c r="W285" s="191"/>
      <c r="X285" s="191"/>
      <c r="Y285" s="191"/>
      <c r="Z285" s="191"/>
      <c r="AA285" s="191"/>
      <c r="AB285" s="191"/>
      <c r="AC285" s="191"/>
      <c r="AD285" s="191"/>
      <c r="AE285" s="191"/>
      <c r="AF285" s="191"/>
      <c r="AG285" s="191"/>
      <c r="AH285" s="191"/>
      <c r="AI285" s="191"/>
      <c r="AJ285" s="191"/>
      <c r="AK285" s="191"/>
      <c r="AL285" s="191"/>
      <c r="AM285" s="191"/>
      <c r="AN285" s="191"/>
      <c r="AO285" s="191"/>
      <c r="AP285" s="191"/>
      <c r="AQ285" s="191"/>
      <c r="AR285" s="191"/>
      <c r="AS285" s="191"/>
      <c r="AT285" s="191"/>
      <c r="AU285" s="191"/>
      <c r="AV285" s="191"/>
      <c r="AW285" s="191"/>
      <c r="AX285" s="191"/>
      <c r="AY285" s="191"/>
      <c r="AZ285" s="191"/>
      <c r="BA285" s="191"/>
      <c r="BB285" s="191"/>
      <c r="BC285" s="191"/>
      <c r="BD285" s="191"/>
      <c r="BE285" s="191"/>
      <c r="BF285" s="191"/>
      <c r="BG285" s="191"/>
      <c r="BH285" s="191"/>
      <c r="BI285" s="191"/>
      <c r="BJ285" s="191"/>
      <c r="BK285" s="191"/>
      <c r="BL285" s="191"/>
      <c r="BM285" s="191"/>
      <c r="BN285" s="191"/>
      <c r="BO285" s="191"/>
      <c r="BP285" s="191"/>
      <c r="BQ285" s="191"/>
    </row>
    <row r="286" spans="11:69">
      <c r="K286" s="191"/>
      <c r="L286" s="191"/>
      <c r="M286" s="191"/>
      <c r="N286" s="191"/>
      <c r="O286" s="191"/>
      <c r="P286" s="191"/>
      <c r="Q286" s="191"/>
      <c r="R286" s="191"/>
      <c r="S286" s="191"/>
      <c r="T286" s="191"/>
      <c r="U286" s="191"/>
      <c r="V286" s="191"/>
      <c r="W286" s="191"/>
      <c r="X286" s="191"/>
      <c r="Y286" s="191"/>
      <c r="Z286" s="191"/>
      <c r="AA286" s="191"/>
      <c r="AB286" s="191"/>
      <c r="AC286" s="191"/>
      <c r="AD286" s="191"/>
      <c r="AE286" s="191"/>
      <c r="AF286" s="191"/>
      <c r="AG286" s="191"/>
      <c r="AH286" s="191"/>
      <c r="AI286" s="191"/>
      <c r="AJ286" s="191"/>
      <c r="AK286" s="191"/>
      <c r="AL286" s="191"/>
      <c r="AM286" s="191"/>
      <c r="AN286" s="191"/>
      <c r="AO286" s="191"/>
      <c r="AP286" s="191"/>
      <c r="AQ286" s="191"/>
      <c r="AR286" s="191"/>
      <c r="AS286" s="191"/>
      <c r="AT286" s="191"/>
      <c r="AU286" s="191"/>
      <c r="AV286" s="191"/>
      <c r="AW286" s="191"/>
      <c r="AX286" s="191"/>
      <c r="AY286" s="191"/>
      <c r="AZ286" s="191"/>
      <c r="BA286" s="191"/>
      <c r="BB286" s="191"/>
      <c r="BC286" s="191"/>
      <c r="BD286" s="191"/>
      <c r="BE286" s="191"/>
      <c r="BF286" s="191"/>
      <c r="BG286" s="191"/>
      <c r="BH286" s="191"/>
      <c r="BI286" s="191"/>
      <c r="BJ286" s="191"/>
      <c r="BK286" s="191"/>
      <c r="BL286" s="191"/>
      <c r="BM286" s="191"/>
      <c r="BN286" s="191"/>
      <c r="BO286" s="191"/>
      <c r="BP286" s="191"/>
      <c r="BQ286" s="191"/>
    </row>
    <row r="287" spans="11:69">
      <c r="K287" s="191"/>
      <c r="L287" s="191"/>
      <c r="M287" s="191"/>
      <c r="N287" s="191"/>
      <c r="O287" s="191"/>
      <c r="P287" s="191"/>
      <c r="Q287" s="191"/>
      <c r="R287" s="191"/>
      <c r="S287" s="191"/>
      <c r="T287" s="191"/>
      <c r="U287" s="191"/>
      <c r="V287" s="191"/>
      <c r="W287" s="191"/>
      <c r="X287" s="191"/>
      <c r="Y287" s="191"/>
      <c r="Z287" s="191"/>
      <c r="AA287" s="191"/>
      <c r="AB287" s="191"/>
      <c r="AC287" s="191"/>
      <c r="AD287" s="191"/>
      <c r="AE287" s="191"/>
      <c r="AF287" s="191"/>
      <c r="AG287" s="191"/>
      <c r="AH287" s="191"/>
      <c r="AI287" s="191"/>
      <c r="AJ287" s="191"/>
      <c r="AK287" s="191"/>
      <c r="AL287" s="191"/>
      <c r="AM287" s="191"/>
      <c r="AN287" s="191"/>
      <c r="AO287" s="191"/>
      <c r="AP287" s="191"/>
      <c r="AQ287" s="191"/>
      <c r="AR287" s="191"/>
      <c r="AS287" s="191"/>
      <c r="AT287" s="191"/>
      <c r="AU287" s="191"/>
      <c r="AV287" s="191"/>
      <c r="AW287" s="191"/>
      <c r="AX287" s="191"/>
      <c r="AY287" s="191"/>
      <c r="AZ287" s="191"/>
      <c r="BA287" s="191"/>
      <c r="BB287" s="191"/>
      <c r="BC287" s="191"/>
      <c r="BD287" s="191"/>
      <c r="BE287" s="191"/>
      <c r="BF287" s="191"/>
      <c r="BG287" s="191"/>
      <c r="BH287" s="191"/>
      <c r="BI287" s="191"/>
      <c r="BJ287" s="191"/>
      <c r="BK287" s="191"/>
      <c r="BL287" s="191"/>
      <c r="BM287" s="191"/>
      <c r="BN287" s="191"/>
      <c r="BO287" s="191"/>
      <c r="BP287" s="191"/>
      <c r="BQ287" s="191"/>
    </row>
    <row r="288" spans="11:69">
      <c r="K288" s="191"/>
      <c r="L288" s="191"/>
      <c r="M288" s="191"/>
      <c r="N288" s="191"/>
      <c r="O288" s="191"/>
      <c r="P288" s="191"/>
      <c r="Q288" s="191"/>
      <c r="R288" s="191"/>
      <c r="S288" s="191"/>
      <c r="T288" s="191"/>
      <c r="U288" s="191"/>
      <c r="V288" s="191"/>
      <c r="W288" s="191"/>
      <c r="X288" s="191"/>
      <c r="Y288" s="191"/>
      <c r="Z288" s="191"/>
      <c r="AA288" s="191"/>
      <c r="AB288" s="191"/>
      <c r="AC288" s="191"/>
      <c r="AD288" s="191"/>
      <c r="AE288" s="191"/>
      <c r="AF288" s="191"/>
      <c r="AG288" s="191"/>
      <c r="AH288" s="191"/>
      <c r="AI288" s="191"/>
      <c r="AJ288" s="191"/>
      <c r="AK288" s="191"/>
      <c r="AL288" s="191"/>
      <c r="AM288" s="191"/>
      <c r="AN288" s="191"/>
      <c r="AO288" s="191"/>
      <c r="AP288" s="191"/>
      <c r="AQ288" s="191"/>
      <c r="AR288" s="191"/>
      <c r="AS288" s="191"/>
      <c r="AT288" s="191"/>
      <c r="AU288" s="191"/>
      <c r="AV288" s="191"/>
      <c r="AW288" s="191"/>
      <c r="AX288" s="191"/>
      <c r="AY288" s="191"/>
      <c r="AZ288" s="191"/>
      <c r="BA288" s="191"/>
      <c r="BB288" s="191"/>
      <c r="BC288" s="191"/>
      <c r="BD288" s="191"/>
      <c r="BE288" s="191"/>
      <c r="BF288" s="191"/>
      <c r="BG288" s="191"/>
      <c r="BH288" s="191"/>
      <c r="BI288" s="191"/>
      <c r="BJ288" s="191"/>
      <c r="BK288" s="191"/>
      <c r="BL288" s="191"/>
      <c r="BM288" s="191"/>
      <c r="BN288" s="191"/>
      <c r="BO288" s="191"/>
      <c r="BP288" s="191"/>
      <c r="BQ288" s="191"/>
    </row>
    <row r="289" spans="11:69">
      <c r="K289" s="191"/>
      <c r="L289" s="191"/>
      <c r="M289" s="191"/>
      <c r="N289" s="191"/>
      <c r="O289" s="191"/>
      <c r="P289" s="191"/>
      <c r="Q289" s="191"/>
      <c r="R289" s="191"/>
      <c r="S289" s="191"/>
      <c r="T289" s="191"/>
      <c r="U289" s="191"/>
      <c r="V289" s="191"/>
      <c r="W289" s="191"/>
      <c r="X289" s="191"/>
      <c r="Y289" s="191"/>
      <c r="Z289" s="191"/>
      <c r="AA289" s="191"/>
      <c r="AB289" s="191"/>
      <c r="AC289" s="191"/>
      <c r="AD289" s="191"/>
      <c r="AE289" s="191"/>
      <c r="AF289" s="191"/>
      <c r="AG289" s="191"/>
      <c r="AH289" s="191"/>
      <c r="AI289" s="191"/>
      <c r="AJ289" s="191"/>
      <c r="AK289" s="191"/>
      <c r="AL289" s="191"/>
      <c r="AM289" s="191"/>
      <c r="AN289" s="191"/>
      <c r="AO289" s="191"/>
      <c r="AP289" s="191"/>
      <c r="AQ289" s="191"/>
      <c r="AR289" s="191"/>
      <c r="AS289" s="191"/>
      <c r="AT289" s="191"/>
      <c r="AU289" s="191"/>
      <c r="AV289" s="191"/>
      <c r="AW289" s="191"/>
      <c r="AX289" s="191"/>
      <c r="AY289" s="191"/>
      <c r="AZ289" s="191"/>
      <c r="BA289" s="191"/>
      <c r="BB289" s="191"/>
      <c r="BC289" s="191"/>
      <c r="BD289" s="191"/>
      <c r="BE289" s="191"/>
      <c r="BF289" s="191"/>
      <c r="BG289" s="191"/>
      <c r="BH289" s="191"/>
      <c r="BI289" s="191"/>
      <c r="BJ289" s="191"/>
      <c r="BK289" s="191"/>
      <c r="BL289" s="191"/>
      <c r="BM289" s="191"/>
      <c r="BN289" s="191"/>
      <c r="BO289" s="191"/>
      <c r="BP289" s="191"/>
      <c r="BQ289" s="191"/>
    </row>
    <row r="290" spans="11:69">
      <c r="K290" s="191"/>
      <c r="L290" s="191"/>
      <c r="M290" s="191"/>
      <c r="N290" s="191"/>
      <c r="O290" s="191"/>
      <c r="P290" s="191"/>
      <c r="Q290" s="191"/>
      <c r="R290" s="191"/>
      <c r="S290" s="191"/>
      <c r="T290" s="191"/>
      <c r="U290" s="191"/>
      <c r="V290" s="191"/>
      <c r="W290" s="191"/>
      <c r="X290" s="191"/>
      <c r="Y290" s="191"/>
      <c r="Z290" s="191"/>
      <c r="AA290" s="191"/>
      <c r="AB290" s="191"/>
      <c r="AC290" s="191"/>
      <c r="AD290" s="191"/>
      <c r="AE290" s="191"/>
      <c r="AF290" s="191"/>
      <c r="AG290" s="191"/>
      <c r="AH290" s="191"/>
      <c r="AI290" s="191"/>
      <c r="AJ290" s="191"/>
      <c r="AK290" s="191"/>
      <c r="AL290" s="191"/>
      <c r="AM290" s="191"/>
      <c r="AN290" s="191"/>
      <c r="AO290" s="191"/>
      <c r="AP290" s="191"/>
      <c r="AQ290" s="191"/>
      <c r="AR290" s="191"/>
      <c r="AS290" s="191"/>
      <c r="AT290" s="191"/>
      <c r="AU290" s="191"/>
      <c r="AV290" s="191"/>
      <c r="AW290" s="191"/>
      <c r="AX290" s="191"/>
      <c r="AY290" s="191"/>
      <c r="AZ290" s="191"/>
      <c r="BA290" s="191"/>
      <c r="BB290" s="191"/>
      <c r="BC290" s="191"/>
      <c r="BD290" s="191"/>
      <c r="BE290" s="191"/>
      <c r="BF290" s="191"/>
      <c r="BG290" s="191"/>
      <c r="BH290" s="191"/>
      <c r="BI290" s="191"/>
      <c r="BJ290" s="191"/>
      <c r="BK290" s="191"/>
      <c r="BL290" s="191"/>
      <c r="BM290" s="191"/>
      <c r="BN290" s="191"/>
      <c r="BO290" s="191"/>
      <c r="BP290" s="191"/>
      <c r="BQ290" s="191"/>
    </row>
    <row r="291" spans="11:69">
      <c r="K291" s="191"/>
      <c r="L291" s="191"/>
      <c r="M291" s="191"/>
      <c r="N291" s="191"/>
      <c r="O291" s="191"/>
      <c r="P291" s="191"/>
      <c r="Q291" s="191"/>
      <c r="R291" s="191"/>
      <c r="S291" s="191"/>
      <c r="T291" s="191"/>
      <c r="U291" s="191"/>
      <c r="V291" s="191"/>
      <c r="W291" s="191"/>
      <c r="X291" s="191"/>
      <c r="Y291" s="191"/>
      <c r="Z291" s="191"/>
      <c r="AA291" s="191"/>
      <c r="AB291" s="191"/>
      <c r="AC291" s="191"/>
      <c r="AD291" s="191"/>
      <c r="AE291" s="191"/>
      <c r="AF291" s="191"/>
      <c r="AG291" s="191"/>
      <c r="AH291" s="191"/>
      <c r="AI291" s="191"/>
      <c r="AJ291" s="191"/>
      <c r="AK291" s="191"/>
      <c r="AL291" s="191"/>
      <c r="AM291" s="191"/>
      <c r="AN291" s="191"/>
      <c r="AO291" s="191"/>
      <c r="AP291" s="191"/>
      <c r="AQ291" s="191"/>
      <c r="AR291" s="191"/>
      <c r="AS291" s="191"/>
      <c r="AT291" s="191"/>
      <c r="AU291" s="191"/>
      <c r="AV291" s="191"/>
      <c r="AW291" s="191"/>
      <c r="AX291" s="191"/>
      <c r="AY291" s="191"/>
      <c r="AZ291" s="191"/>
      <c r="BA291" s="191"/>
      <c r="BB291" s="191"/>
      <c r="BC291" s="191"/>
      <c r="BD291" s="191"/>
      <c r="BE291" s="191"/>
      <c r="BF291" s="191"/>
      <c r="BG291" s="191"/>
      <c r="BH291" s="191"/>
      <c r="BI291" s="191"/>
      <c r="BJ291" s="191"/>
      <c r="BK291" s="191"/>
      <c r="BL291" s="191"/>
      <c r="BM291" s="191"/>
      <c r="BN291" s="191"/>
      <c r="BO291" s="191"/>
      <c r="BP291" s="191"/>
      <c r="BQ291" s="191"/>
    </row>
    <row r="292" spans="11:69">
      <c r="K292" s="191"/>
      <c r="L292" s="191"/>
      <c r="M292" s="191"/>
      <c r="N292" s="191"/>
      <c r="O292" s="191"/>
      <c r="P292" s="191"/>
      <c r="Q292" s="191"/>
      <c r="R292" s="191"/>
      <c r="S292" s="191"/>
      <c r="T292" s="191"/>
      <c r="U292" s="191"/>
      <c r="V292" s="191"/>
      <c r="W292" s="191"/>
      <c r="X292" s="191"/>
      <c r="Y292" s="191"/>
      <c r="Z292" s="191"/>
      <c r="AA292" s="191"/>
      <c r="AB292" s="191"/>
      <c r="AC292" s="191"/>
      <c r="AD292" s="191"/>
      <c r="AE292" s="191"/>
      <c r="AF292" s="191"/>
      <c r="AG292" s="191"/>
      <c r="AH292" s="191"/>
      <c r="AI292" s="191"/>
      <c r="AJ292" s="191"/>
      <c r="AK292" s="191"/>
      <c r="AL292" s="191"/>
      <c r="AM292" s="191"/>
      <c r="AN292" s="191"/>
      <c r="AO292" s="191"/>
      <c r="AP292" s="191"/>
      <c r="AQ292" s="191"/>
      <c r="AR292" s="191"/>
      <c r="AS292" s="191"/>
      <c r="AT292" s="191"/>
      <c r="AU292" s="191"/>
      <c r="AV292" s="191"/>
      <c r="AW292" s="191"/>
      <c r="AX292" s="191"/>
      <c r="AY292" s="191"/>
      <c r="AZ292" s="191"/>
      <c r="BA292" s="191"/>
      <c r="BB292" s="191"/>
      <c r="BC292" s="191"/>
      <c r="BD292" s="191"/>
      <c r="BE292" s="191"/>
      <c r="BF292" s="191"/>
      <c r="BG292" s="191"/>
      <c r="BH292" s="191"/>
      <c r="BI292" s="191"/>
      <c r="BJ292" s="191"/>
      <c r="BK292" s="191"/>
      <c r="BL292" s="191"/>
      <c r="BM292" s="191"/>
      <c r="BN292" s="191"/>
      <c r="BO292" s="191"/>
      <c r="BP292" s="191"/>
      <c r="BQ292" s="191"/>
    </row>
    <row r="293" spans="11:69">
      <c r="K293" s="191"/>
      <c r="L293" s="191"/>
      <c r="M293" s="191"/>
      <c r="N293" s="191"/>
      <c r="O293" s="191"/>
      <c r="P293" s="191"/>
      <c r="Q293" s="191"/>
      <c r="R293" s="191"/>
      <c r="S293" s="191"/>
      <c r="T293" s="191"/>
      <c r="U293" s="191"/>
      <c r="V293" s="191"/>
      <c r="W293" s="191"/>
      <c r="X293" s="191"/>
      <c r="Y293" s="191"/>
      <c r="Z293" s="191"/>
      <c r="AA293" s="191"/>
      <c r="AB293" s="191"/>
      <c r="AC293" s="191"/>
      <c r="AD293" s="191"/>
      <c r="AE293" s="191"/>
      <c r="AF293" s="191"/>
      <c r="AG293" s="191"/>
      <c r="AH293" s="191"/>
      <c r="AI293" s="191"/>
      <c r="AJ293" s="191"/>
      <c r="AK293" s="191"/>
      <c r="AL293" s="191"/>
      <c r="AM293" s="191"/>
      <c r="AN293" s="191"/>
      <c r="AO293" s="191"/>
      <c r="AP293" s="191"/>
      <c r="AQ293" s="191"/>
      <c r="AR293" s="191"/>
      <c r="AS293" s="191"/>
      <c r="AT293" s="191"/>
      <c r="AU293" s="191"/>
      <c r="AV293" s="191"/>
      <c r="AW293" s="191"/>
      <c r="AX293" s="191"/>
      <c r="AY293" s="191"/>
      <c r="AZ293" s="191"/>
      <c r="BA293" s="191"/>
      <c r="BB293" s="191"/>
      <c r="BC293" s="191"/>
      <c r="BD293" s="191"/>
      <c r="BE293" s="191"/>
      <c r="BF293" s="191"/>
      <c r="BG293" s="191"/>
      <c r="BH293" s="191"/>
      <c r="BI293" s="191"/>
      <c r="BJ293" s="191"/>
      <c r="BK293" s="191"/>
      <c r="BL293" s="191"/>
      <c r="BM293" s="191"/>
      <c r="BN293" s="191"/>
      <c r="BO293" s="191"/>
      <c r="BP293" s="191"/>
      <c r="BQ293" s="191"/>
    </row>
    <row r="294" spans="11:69">
      <c r="K294" s="191"/>
      <c r="L294" s="191"/>
      <c r="M294" s="191"/>
      <c r="N294" s="191"/>
      <c r="O294" s="191"/>
      <c r="P294" s="191"/>
      <c r="Q294" s="191"/>
      <c r="R294" s="191"/>
      <c r="S294" s="191"/>
      <c r="T294" s="191"/>
      <c r="U294" s="191"/>
      <c r="V294" s="191"/>
      <c r="W294" s="191"/>
      <c r="X294" s="191"/>
      <c r="Y294" s="191"/>
      <c r="Z294" s="191"/>
      <c r="AA294" s="191"/>
      <c r="AB294" s="191"/>
      <c r="AC294" s="191"/>
      <c r="AD294" s="191"/>
      <c r="AE294" s="191"/>
      <c r="AF294" s="191"/>
      <c r="AG294" s="191"/>
      <c r="AH294" s="191"/>
      <c r="AI294" s="191"/>
      <c r="AJ294" s="191"/>
      <c r="AK294" s="191"/>
      <c r="AL294" s="191"/>
      <c r="AM294" s="191"/>
      <c r="AN294" s="191"/>
      <c r="AO294" s="191"/>
      <c r="AP294" s="191"/>
      <c r="AQ294" s="191"/>
      <c r="AR294" s="191"/>
      <c r="AS294" s="191"/>
      <c r="AT294" s="191"/>
      <c r="AU294" s="191"/>
      <c r="AV294" s="191"/>
      <c r="AW294" s="191"/>
      <c r="AX294" s="191"/>
      <c r="AY294" s="191"/>
      <c r="AZ294" s="191"/>
      <c r="BA294" s="191"/>
      <c r="BB294" s="191"/>
      <c r="BC294" s="191"/>
      <c r="BD294" s="191"/>
      <c r="BE294" s="191"/>
      <c r="BF294" s="191"/>
      <c r="BG294" s="191"/>
      <c r="BH294" s="191"/>
      <c r="BI294" s="191"/>
      <c r="BJ294" s="191"/>
      <c r="BK294" s="191"/>
      <c r="BL294" s="191"/>
      <c r="BM294" s="191"/>
      <c r="BN294" s="191"/>
      <c r="BO294" s="191"/>
      <c r="BP294" s="191"/>
      <c r="BQ294" s="191"/>
    </row>
    <row r="295" spans="11:69">
      <c r="K295" s="191"/>
      <c r="L295" s="191"/>
      <c r="M295" s="191"/>
      <c r="N295" s="191"/>
      <c r="O295" s="191"/>
      <c r="P295" s="191"/>
      <c r="Q295" s="191"/>
      <c r="R295" s="191"/>
      <c r="S295" s="191"/>
      <c r="T295" s="191"/>
      <c r="U295" s="191"/>
      <c r="V295" s="191"/>
      <c r="W295" s="191"/>
      <c r="X295" s="191"/>
      <c r="Y295" s="191"/>
      <c r="Z295" s="191"/>
      <c r="AA295" s="191"/>
      <c r="AB295" s="191"/>
      <c r="AC295" s="191"/>
      <c r="AD295" s="191"/>
      <c r="AE295" s="191"/>
      <c r="AF295" s="191"/>
      <c r="AG295" s="191"/>
      <c r="AH295" s="191"/>
      <c r="AI295" s="191"/>
      <c r="AJ295" s="191"/>
      <c r="AK295" s="191"/>
      <c r="AL295" s="191"/>
      <c r="AM295" s="191"/>
      <c r="AN295" s="191"/>
      <c r="AO295" s="191"/>
      <c r="AP295" s="191"/>
      <c r="AQ295" s="191"/>
      <c r="AR295" s="191"/>
      <c r="AS295" s="191"/>
      <c r="AT295" s="191"/>
      <c r="AU295" s="191"/>
      <c r="AV295" s="191"/>
      <c r="AW295" s="191"/>
      <c r="AX295" s="191"/>
      <c r="AY295" s="191"/>
      <c r="AZ295" s="191"/>
      <c r="BA295" s="191"/>
      <c r="BB295" s="191"/>
      <c r="BC295" s="191"/>
      <c r="BD295" s="191"/>
      <c r="BE295" s="191"/>
      <c r="BF295" s="191"/>
      <c r="BG295" s="191"/>
      <c r="BH295" s="191"/>
      <c r="BI295" s="191"/>
      <c r="BJ295" s="191"/>
      <c r="BK295" s="191"/>
      <c r="BL295" s="191"/>
      <c r="BM295" s="191"/>
      <c r="BN295" s="191"/>
      <c r="BO295" s="191"/>
      <c r="BP295" s="191"/>
      <c r="BQ295" s="191"/>
    </row>
    <row r="296" spans="11:69">
      <c r="K296" s="191"/>
      <c r="L296" s="191"/>
      <c r="M296" s="191"/>
      <c r="N296" s="191"/>
      <c r="O296" s="191"/>
      <c r="P296" s="191"/>
      <c r="Q296" s="191"/>
      <c r="R296" s="191"/>
      <c r="S296" s="191"/>
      <c r="T296" s="191"/>
      <c r="U296" s="191"/>
      <c r="V296" s="191"/>
      <c r="W296" s="191"/>
      <c r="X296" s="191"/>
      <c r="Y296" s="191"/>
      <c r="Z296" s="191"/>
      <c r="AA296" s="191"/>
      <c r="AB296" s="191"/>
      <c r="AC296" s="191"/>
      <c r="AD296" s="191"/>
      <c r="AE296" s="191"/>
      <c r="AF296" s="191"/>
      <c r="AG296" s="191"/>
      <c r="AH296" s="191"/>
      <c r="AI296" s="191"/>
      <c r="AJ296" s="191"/>
      <c r="AK296" s="191"/>
      <c r="AL296" s="191"/>
      <c r="AM296" s="191"/>
      <c r="AN296" s="191"/>
      <c r="AO296" s="191"/>
      <c r="AP296" s="191"/>
      <c r="AQ296" s="191"/>
      <c r="AR296" s="191"/>
      <c r="AS296" s="191"/>
      <c r="AT296" s="191"/>
      <c r="AU296" s="191"/>
      <c r="AV296" s="191"/>
      <c r="AW296" s="191"/>
      <c r="AX296" s="191"/>
      <c r="AY296" s="191"/>
      <c r="AZ296" s="191"/>
      <c r="BA296" s="191"/>
      <c r="BB296" s="191"/>
      <c r="BC296" s="191"/>
      <c r="BD296" s="191"/>
      <c r="BE296" s="191"/>
      <c r="BF296" s="191"/>
      <c r="BG296" s="191"/>
      <c r="BH296" s="191"/>
      <c r="BI296" s="191"/>
      <c r="BJ296" s="191"/>
      <c r="BK296" s="191"/>
      <c r="BL296" s="191"/>
      <c r="BM296" s="191"/>
      <c r="BN296" s="191"/>
      <c r="BO296" s="191"/>
      <c r="BP296" s="191"/>
      <c r="BQ296" s="191"/>
    </row>
    <row r="297" spans="11:69">
      <c r="K297" s="191"/>
      <c r="L297" s="191"/>
      <c r="M297" s="191"/>
      <c r="N297" s="191"/>
      <c r="O297" s="191"/>
      <c r="P297" s="191"/>
      <c r="Q297" s="191"/>
      <c r="R297" s="191"/>
      <c r="S297" s="191"/>
      <c r="T297" s="191"/>
      <c r="U297" s="191"/>
      <c r="V297" s="191"/>
      <c r="W297" s="191"/>
      <c r="X297" s="191"/>
      <c r="Y297" s="191"/>
      <c r="Z297" s="191"/>
      <c r="AA297" s="191"/>
      <c r="AB297" s="191"/>
      <c r="AC297" s="191"/>
      <c r="AD297" s="191"/>
      <c r="AE297" s="191"/>
      <c r="AF297" s="191"/>
      <c r="AG297" s="191"/>
      <c r="AH297" s="191"/>
      <c r="AI297" s="191"/>
      <c r="AJ297" s="191"/>
      <c r="AK297" s="191"/>
      <c r="AL297" s="191"/>
      <c r="AM297" s="191"/>
      <c r="AN297" s="191"/>
      <c r="AO297" s="191"/>
      <c r="AP297" s="191"/>
      <c r="AQ297" s="191"/>
      <c r="AR297" s="191"/>
      <c r="AS297" s="191"/>
      <c r="AT297" s="191"/>
      <c r="AU297" s="191"/>
      <c r="AV297" s="191"/>
      <c r="AW297" s="191"/>
      <c r="AX297" s="191"/>
      <c r="AY297" s="191"/>
      <c r="AZ297" s="191"/>
      <c r="BA297" s="191"/>
      <c r="BB297" s="191"/>
      <c r="BC297" s="191"/>
      <c r="BD297" s="191"/>
      <c r="BE297" s="191"/>
      <c r="BF297" s="191"/>
      <c r="BG297" s="191"/>
      <c r="BH297" s="191"/>
      <c r="BI297" s="191"/>
      <c r="BJ297" s="191"/>
      <c r="BK297" s="191"/>
      <c r="BL297" s="191"/>
      <c r="BM297" s="191"/>
      <c r="BN297" s="191"/>
      <c r="BO297" s="191"/>
      <c r="BP297" s="191"/>
      <c r="BQ297" s="191"/>
    </row>
    <row r="298" spans="11:69">
      <c r="K298" s="191"/>
      <c r="L298" s="191"/>
      <c r="M298" s="191"/>
      <c r="N298" s="191"/>
      <c r="O298" s="191"/>
      <c r="P298" s="191"/>
      <c r="Q298" s="191"/>
      <c r="R298" s="191"/>
      <c r="S298" s="191"/>
      <c r="T298" s="191"/>
      <c r="U298" s="191"/>
      <c r="V298" s="191"/>
      <c r="W298" s="191"/>
      <c r="X298" s="191"/>
      <c r="Y298" s="191"/>
      <c r="Z298" s="191"/>
      <c r="AA298" s="191"/>
      <c r="AB298" s="191"/>
      <c r="AC298" s="191"/>
      <c r="AD298" s="191"/>
      <c r="AE298" s="191"/>
      <c r="AF298" s="191"/>
      <c r="AG298" s="191"/>
      <c r="AH298" s="191"/>
      <c r="AI298" s="191"/>
      <c r="AJ298" s="191"/>
      <c r="AK298" s="191"/>
      <c r="AL298" s="191"/>
      <c r="AM298" s="191"/>
      <c r="AN298" s="191"/>
      <c r="AO298" s="191"/>
      <c r="AP298" s="191"/>
      <c r="AQ298" s="191"/>
      <c r="AR298" s="191"/>
      <c r="AS298" s="191"/>
      <c r="AT298" s="191"/>
      <c r="AU298" s="191"/>
      <c r="AV298" s="191"/>
      <c r="AW298" s="191"/>
      <c r="AX298" s="191"/>
      <c r="AY298" s="191"/>
      <c r="AZ298" s="191"/>
      <c r="BA298" s="191"/>
      <c r="BB298" s="191"/>
      <c r="BC298" s="191"/>
      <c r="BD298" s="191"/>
      <c r="BE298" s="191"/>
      <c r="BF298" s="191"/>
      <c r="BG298" s="191"/>
      <c r="BH298" s="191"/>
      <c r="BI298" s="191"/>
      <c r="BJ298" s="191"/>
      <c r="BK298" s="191"/>
      <c r="BL298" s="191"/>
      <c r="BM298" s="191"/>
      <c r="BN298" s="191"/>
      <c r="BO298" s="191"/>
      <c r="BP298" s="191"/>
      <c r="BQ298" s="191"/>
    </row>
    <row r="299" spans="11:69">
      <c r="K299" s="191"/>
      <c r="L299" s="191"/>
      <c r="M299" s="191"/>
      <c r="N299" s="191"/>
      <c r="O299" s="191"/>
      <c r="P299" s="191"/>
      <c r="Q299" s="191"/>
      <c r="R299" s="191"/>
      <c r="S299" s="191"/>
      <c r="T299" s="191"/>
      <c r="U299" s="191"/>
      <c r="V299" s="191"/>
      <c r="W299" s="191"/>
      <c r="X299" s="191"/>
      <c r="Y299" s="191"/>
      <c r="Z299" s="191"/>
      <c r="AA299" s="191"/>
      <c r="AB299" s="191"/>
      <c r="AC299" s="191"/>
      <c r="AD299" s="191"/>
      <c r="AE299" s="191"/>
      <c r="AF299" s="191"/>
      <c r="AG299" s="191"/>
      <c r="AH299" s="191"/>
      <c r="AI299" s="191"/>
      <c r="AJ299" s="191"/>
      <c r="AK299" s="191"/>
      <c r="AL299" s="191"/>
      <c r="AM299" s="191"/>
      <c r="AN299" s="191"/>
      <c r="AO299" s="191"/>
      <c r="AP299" s="191"/>
      <c r="AQ299" s="191"/>
      <c r="AR299" s="191"/>
      <c r="AS299" s="191"/>
      <c r="AT299" s="191"/>
      <c r="AU299" s="191"/>
      <c r="AV299" s="191"/>
      <c r="AW299" s="191"/>
      <c r="AX299" s="191"/>
      <c r="AY299" s="191"/>
      <c r="AZ299" s="191"/>
      <c r="BA299" s="191"/>
      <c r="BB299" s="191"/>
      <c r="BC299" s="191"/>
      <c r="BD299" s="191"/>
      <c r="BE299" s="191"/>
      <c r="BF299" s="191"/>
      <c r="BG299" s="191"/>
      <c r="BH299" s="191"/>
      <c r="BI299" s="191"/>
      <c r="BJ299" s="191"/>
      <c r="BK299" s="191"/>
      <c r="BL299" s="191"/>
      <c r="BM299" s="191"/>
      <c r="BN299" s="191"/>
      <c r="BO299" s="191"/>
      <c r="BP299" s="191"/>
      <c r="BQ299" s="191"/>
    </row>
    <row r="300" spans="11:69">
      <c r="K300" s="191"/>
      <c r="L300" s="191"/>
      <c r="M300" s="191"/>
      <c r="N300" s="191"/>
      <c r="O300" s="191"/>
      <c r="P300" s="191"/>
      <c r="Q300" s="191"/>
      <c r="R300" s="191"/>
      <c r="S300" s="191"/>
      <c r="T300" s="191"/>
      <c r="U300" s="191"/>
      <c r="V300" s="191"/>
      <c r="W300" s="191"/>
      <c r="X300" s="191"/>
      <c r="Y300" s="191"/>
      <c r="Z300" s="191"/>
      <c r="AA300" s="191"/>
      <c r="AB300" s="191"/>
      <c r="AC300" s="191"/>
      <c r="AD300" s="191"/>
      <c r="AE300" s="191"/>
      <c r="AF300" s="191"/>
      <c r="AG300" s="191"/>
      <c r="AH300" s="191"/>
      <c r="AI300" s="191"/>
      <c r="AJ300" s="191"/>
      <c r="AK300" s="191"/>
      <c r="AL300" s="191"/>
      <c r="AM300" s="191"/>
      <c r="AN300" s="191"/>
      <c r="AO300" s="191"/>
      <c r="AP300" s="191"/>
      <c r="AQ300" s="191"/>
      <c r="AR300" s="191"/>
      <c r="AS300" s="191"/>
      <c r="AT300" s="191"/>
      <c r="AU300" s="191"/>
      <c r="AV300" s="191"/>
      <c r="AW300" s="191"/>
      <c r="AX300" s="191"/>
      <c r="AY300" s="191"/>
      <c r="AZ300" s="191"/>
      <c r="BA300" s="191"/>
      <c r="BB300" s="191"/>
      <c r="BC300" s="191"/>
      <c r="BD300" s="191"/>
      <c r="BE300" s="191"/>
      <c r="BF300" s="191"/>
      <c r="BG300" s="191"/>
      <c r="BH300" s="191"/>
      <c r="BI300" s="191"/>
      <c r="BJ300" s="191"/>
      <c r="BK300" s="191"/>
      <c r="BL300" s="191"/>
      <c r="BM300" s="191"/>
      <c r="BN300" s="191"/>
      <c r="BO300" s="191"/>
      <c r="BP300" s="191"/>
      <c r="BQ300" s="191"/>
    </row>
    <row r="301" spans="11:69">
      <c r="K301" s="191"/>
      <c r="L301" s="191"/>
      <c r="M301" s="191"/>
      <c r="N301" s="191"/>
      <c r="O301" s="191"/>
      <c r="P301" s="191"/>
      <c r="Q301" s="191"/>
      <c r="R301" s="191"/>
      <c r="S301" s="191"/>
      <c r="T301" s="191"/>
      <c r="U301" s="191"/>
      <c r="V301" s="191"/>
      <c r="W301" s="191"/>
      <c r="X301" s="191"/>
      <c r="Y301" s="191"/>
      <c r="Z301" s="191"/>
      <c r="AA301" s="191"/>
      <c r="AB301" s="191"/>
      <c r="AC301" s="191"/>
      <c r="AD301" s="191"/>
      <c r="AE301" s="191"/>
      <c r="AF301" s="191"/>
      <c r="AG301" s="191"/>
      <c r="AH301" s="191"/>
      <c r="AI301" s="191"/>
      <c r="AJ301" s="191"/>
      <c r="AK301" s="191"/>
      <c r="AL301" s="191"/>
      <c r="AM301" s="191"/>
      <c r="AN301" s="191"/>
      <c r="AO301" s="191"/>
      <c r="AP301" s="191"/>
      <c r="AQ301" s="191"/>
      <c r="AR301" s="191"/>
      <c r="AS301" s="191"/>
      <c r="AT301" s="191"/>
      <c r="AU301" s="191"/>
      <c r="AV301" s="191"/>
      <c r="AW301" s="191"/>
      <c r="AX301" s="191"/>
      <c r="AY301" s="191"/>
      <c r="AZ301" s="191"/>
      <c r="BA301" s="191"/>
      <c r="BB301" s="191"/>
      <c r="BC301" s="191"/>
      <c r="BD301" s="191"/>
      <c r="BE301" s="191"/>
      <c r="BF301" s="191"/>
      <c r="BG301" s="191"/>
      <c r="BH301" s="191"/>
      <c r="BI301" s="191"/>
      <c r="BJ301" s="191"/>
      <c r="BK301" s="191"/>
      <c r="BL301" s="191"/>
      <c r="BM301" s="191"/>
      <c r="BN301" s="191"/>
      <c r="BO301" s="191"/>
      <c r="BP301" s="191"/>
      <c r="BQ301" s="191"/>
    </row>
    <row r="302" spans="11:69">
      <c r="K302" s="191"/>
      <c r="L302" s="191"/>
      <c r="M302" s="191"/>
      <c r="N302" s="191"/>
      <c r="O302" s="191"/>
      <c r="P302" s="191"/>
      <c r="Q302" s="191"/>
      <c r="R302" s="191"/>
      <c r="S302" s="191"/>
      <c r="T302" s="191"/>
      <c r="U302" s="191"/>
      <c r="V302" s="191"/>
      <c r="W302" s="191"/>
      <c r="X302" s="191"/>
      <c r="Y302" s="191"/>
      <c r="Z302" s="191"/>
      <c r="AA302" s="191"/>
      <c r="AB302" s="191"/>
      <c r="AC302" s="191"/>
      <c r="AD302" s="191"/>
      <c r="AE302" s="191"/>
      <c r="AF302" s="191"/>
      <c r="AG302" s="191"/>
      <c r="AH302" s="191"/>
      <c r="AI302" s="191"/>
      <c r="AJ302" s="191"/>
      <c r="AK302" s="191"/>
      <c r="AL302" s="191"/>
      <c r="AM302" s="191"/>
      <c r="AN302" s="191"/>
      <c r="AO302" s="191"/>
      <c r="AP302" s="191"/>
      <c r="AQ302" s="191"/>
      <c r="AR302" s="191"/>
      <c r="AS302" s="191"/>
      <c r="AT302" s="191"/>
      <c r="AU302" s="191"/>
      <c r="AV302" s="191"/>
      <c r="AW302" s="191"/>
      <c r="AX302" s="191"/>
      <c r="AY302" s="191"/>
      <c r="AZ302" s="191"/>
      <c r="BA302" s="191"/>
      <c r="BB302" s="191"/>
      <c r="BC302" s="191"/>
      <c r="BD302" s="191"/>
      <c r="BE302" s="191"/>
      <c r="BF302" s="191"/>
      <c r="BG302" s="191"/>
      <c r="BH302" s="191"/>
      <c r="BI302" s="191"/>
      <c r="BJ302" s="191"/>
      <c r="BK302" s="191"/>
      <c r="BL302" s="191"/>
      <c r="BM302" s="191"/>
      <c r="BN302" s="191"/>
      <c r="BO302" s="191"/>
      <c r="BP302" s="191"/>
      <c r="BQ302" s="191"/>
    </row>
    <row r="303" spans="11:69">
      <c r="K303" s="191"/>
      <c r="L303" s="191"/>
      <c r="M303" s="191"/>
      <c r="N303" s="191"/>
      <c r="O303" s="191"/>
      <c r="P303" s="191"/>
      <c r="Q303" s="191"/>
      <c r="R303" s="191"/>
      <c r="S303" s="191"/>
      <c r="T303" s="191"/>
      <c r="U303" s="191"/>
      <c r="V303" s="191"/>
      <c r="W303" s="191"/>
      <c r="X303" s="191"/>
      <c r="Y303" s="191"/>
      <c r="Z303" s="191"/>
      <c r="AA303" s="191"/>
      <c r="AB303" s="191"/>
      <c r="AC303" s="191"/>
      <c r="AD303" s="191"/>
      <c r="AE303" s="191"/>
      <c r="AF303" s="191"/>
      <c r="AG303" s="191"/>
      <c r="AH303" s="191"/>
      <c r="AI303" s="191"/>
      <c r="AJ303" s="191"/>
      <c r="AK303" s="191"/>
      <c r="AL303" s="191"/>
      <c r="AM303" s="191"/>
      <c r="AN303" s="191"/>
      <c r="AO303" s="191"/>
      <c r="AP303" s="191"/>
      <c r="AQ303" s="191"/>
      <c r="AR303" s="191"/>
      <c r="AS303" s="191"/>
      <c r="AT303" s="191"/>
      <c r="AU303" s="191"/>
      <c r="AV303" s="191"/>
      <c r="AW303" s="191"/>
      <c r="AX303" s="191"/>
      <c r="AY303" s="191"/>
      <c r="AZ303" s="191"/>
      <c r="BA303" s="191"/>
      <c r="BB303" s="191"/>
      <c r="BC303" s="191"/>
      <c r="BD303" s="191"/>
      <c r="BE303" s="191"/>
      <c r="BF303" s="191"/>
      <c r="BG303" s="191"/>
      <c r="BH303" s="191"/>
      <c r="BI303" s="191"/>
      <c r="BJ303" s="191"/>
      <c r="BK303" s="191"/>
      <c r="BL303" s="191"/>
      <c r="BM303" s="191"/>
      <c r="BN303" s="191"/>
      <c r="BO303" s="191"/>
      <c r="BP303" s="191"/>
      <c r="BQ303" s="191"/>
    </row>
    <row r="304" spans="11:69">
      <c r="K304" s="191"/>
      <c r="L304" s="191"/>
      <c r="M304" s="191"/>
      <c r="N304" s="191"/>
      <c r="O304" s="191"/>
      <c r="P304" s="191"/>
      <c r="Q304" s="191"/>
      <c r="R304" s="191"/>
      <c r="S304" s="191"/>
      <c r="T304" s="191"/>
      <c r="U304" s="191"/>
      <c r="V304" s="191"/>
      <c r="W304" s="191"/>
      <c r="X304" s="191"/>
      <c r="Y304" s="191"/>
      <c r="Z304" s="191"/>
      <c r="AA304" s="191"/>
      <c r="AB304" s="191"/>
      <c r="AC304" s="191"/>
      <c r="AD304" s="191"/>
      <c r="AE304" s="191"/>
      <c r="AF304" s="191"/>
      <c r="AG304" s="191"/>
      <c r="AH304" s="191"/>
      <c r="AI304" s="191"/>
      <c r="AJ304" s="191"/>
      <c r="AK304" s="191"/>
      <c r="AL304" s="191"/>
      <c r="AM304" s="191"/>
      <c r="AN304" s="191"/>
      <c r="AO304" s="191"/>
      <c r="AP304" s="191"/>
      <c r="AQ304" s="191"/>
      <c r="AR304" s="191"/>
      <c r="AS304" s="191"/>
      <c r="AT304" s="191"/>
      <c r="AU304" s="191"/>
      <c r="AV304" s="191"/>
      <c r="AW304" s="191"/>
      <c r="AX304" s="191"/>
      <c r="AY304" s="191"/>
      <c r="AZ304" s="191"/>
      <c r="BA304" s="191"/>
      <c r="BB304" s="191"/>
      <c r="BC304" s="191"/>
      <c r="BD304" s="191"/>
      <c r="BE304" s="191"/>
      <c r="BF304" s="191"/>
      <c r="BG304" s="191"/>
      <c r="BH304" s="191"/>
      <c r="BI304" s="191"/>
      <c r="BJ304" s="191"/>
      <c r="BK304" s="191"/>
      <c r="BL304" s="191"/>
      <c r="BM304" s="191"/>
      <c r="BN304" s="191"/>
      <c r="BO304" s="191"/>
      <c r="BP304" s="191"/>
      <c r="BQ304" s="191"/>
    </row>
    <row r="305" spans="11:69">
      <c r="K305" s="191"/>
      <c r="L305" s="191"/>
      <c r="M305" s="191"/>
      <c r="N305" s="191"/>
      <c r="O305" s="191"/>
      <c r="P305" s="191"/>
      <c r="Q305" s="191"/>
      <c r="R305" s="191"/>
      <c r="S305" s="191"/>
      <c r="T305" s="191"/>
      <c r="U305" s="191"/>
      <c r="V305" s="191"/>
      <c r="W305" s="191"/>
      <c r="X305" s="191"/>
      <c r="Y305" s="191"/>
      <c r="Z305" s="191"/>
      <c r="AA305" s="191"/>
      <c r="AB305" s="191"/>
      <c r="AC305" s="191"/>
      <c r="AD305" s="191"/>
      <c r="AE305" s="191"/>
      <c r="AF305" s="191"/>
      <c r="AG305" s="191"/>
      <c r="AH305" s="191"/>
      <c r="AI305" s="191"/>
      <c r="AJ305" s="191"/>
      <c r="AK305" s="191"/>
      <c r="AL305" s="191"/>
      <c r="AM305" s="191"/>
      <c r="AN305" s="191"/>
      <c r="AO305" s="191"/>
      <c r="AP305" s="191"/>
      <c r="AQ305" s="191"/>
      <c r="AR305" s="191"/>
      <c r="AS305" s="191"/>
      <c r="AT305" s="191"/>
      <c r="AU305" s="191"/>
      <c r="AV305" s="191"/>
      <c r="AW305" s="191"/>
      <c r="AX305" s="191"/>
      <c r="AY305" s="191"/>
      <c r="AZ305" s="191"/>
      <c r="BA305" s="191"/>
      <c r="BB305" s="191"/>
      <c r="BC305" s="191"/>
      <c r="BD305" s="191"/>
      <c r="BE305" s="191"/>
      <c r="BF305" s="191"/>
      <c r="BG305" s="191"/>
      <c r="BH305" s="191"/>
      <c r="BI305" s="191"/>
      <c r="BJ305" s="191"/>
      <c r="BK305" s="191"/>
      <c r="BL305" s="191"/>
      <c r="BM305" s="191"/>
      <c r="BN305" s="191"/>
      <c r="BO305" s="191"/>
      <c r="BP305" s="191"/>
      <c r="BQ305" s="191"/>
    </row>
    <row r="306" spans="11:69">
      <c r="K306" s="191"/>
      <c r="L306" s="191"/>
      <c r="M306" s="191"/>
      <c r="N306" s="191"/>
      <c r="O306" s="191"/>
      <c r="P306" s="191"/>
      <c r="Q306" s="191"/>
      <c r="R306" s="191"/>
      <c r="S306" s="191"/>
      <c r="T306" s="191"/>
      <c r="U306" s="191"/>
      <c r="V306" s="191"/>
      <c r="W306" s="191"/>
      <c r="X306" s="191"/>
      <c r="Y306" s="191"/>
      <c r="Z306" s="191"/>
      <c r="AA306" s="191"/>
      <c r="AB306" s="191"/>
      <c r="AC306" s="191"/>
      <c r="AD306" s="191"/>
      <c r="AE306" s="191"/>
      <c r="AF306" s="191"/>
      <c r="AG306" s="191"/>
      <c r="AH306" s="191"/>
      <c r="AI306" s="191"/>
      <c r="AJ306" s="191"/>
      <c r="AK306" s="191"/>
      <c r="AL306" s="191"/>
      <c r="AM306" s="191"/>
      <c r="AN306" s="191"/>
      <c r="AO306" s="191"/>
      <c r="AP306" s="191"/>
      <c r="AQ306" s="191"/>
      <c r="AR306" s="191"/>
      <c r="AS306" s="191"/>
      <c r="AT306" s="191"/>
      <c r="AU306" s="191"/>
      <c r="AV306" s="191"/>
      <c r="AW306" s="191"/>
      <c r="AX306" s="191"/>
      <c r="AY306" s="191"/>
      <c r="AZ306" s="191"/>
      <c r="BA306" s="191"/>
      <c r="BB306" s="191"/>
      <c r="BC306" s="191"/>
      <c r="BD306" s="191"/>
      <c r="BE306" s="191"/>
      <c r="BF306" s="191"/>
      <c r="BG306" s="191"/>
      <c r="BH306" s="191"/>
      <c r="BI306" s="191"/>
      <c r="BJ306" s="191"/>
      <c r="BK306" s="191"/>
      <c r="BL306" s="191"/>
      <c r="BM306" s="191"/>
      <c r="BN306" s="191"/>
      <c r="BO306" s="191"/>
      <c r="BP306" s="191"/>
      <c r="BQ306" s="191"/>
    </row>
    <row r="307" spans="11:69">
      <c r="K307" s="191"/>
      <c r="L307" s="191"/>
      <c r="M307" s="191"/>
      <c r="N307" s="191"/>
      <c r="O307" s="191"/>
      <c r="P307" s="191"/>
      <c r="Q307" s="191"/>
      <c r="R307" s="191"/>
      <c r="S307" s="191"/>
      <c r="T307" s="191"/>
      <c r="U307" s="191"/>
      <c r="V307" s="191"/>
      <c r="W307" s="191"/>
      <c r="X307" s="191"/>
      <c r="Y307" s="191"/>
      <c r="Z307" s="191"/>
      <c r="AA307" s="191"/>
      <c r="AB307" s="191"/>
      <c r="AC307" s="191"/>
      <c r="AD307" s="191"/>
      <c r="AE307" s="191"/>
      <c r="AF307" s="191"/>
      <c r="AG307" s="191"/>
      <c r="AH307" s="191"/>
      <c r="AI307" s="191"/>
      <c r="AJ307" s="191"/>
      <c r="AK307" s="191"/>
      <c r="AL307" s="191"/>
      <c r="AM307" s="191"/>
      <c r="AN307" s="191"/>
      <c r="AO307" s="191"/>
      <c r="AP307" s="191"/>
      <c r="AQ307" s="191"/>
      <c r="AR307" s="191"/>
      <c r="AS307" s="191"/>
      <c r="AT307" s="191"/>
      <c r="AU307" s="191"/>
      <c r="AV307" s="191"/>
      <c r="AW307" s="191"/>
      <c r="AX307" s="191"/>
      <c r="AY307" s="191"/>
      <c r="AZ307" s="191"/>
      <c r="BA307" s="191"/>
      <c r="BB307" s="191"/>
      <c r="BC307" s="191"/>
      <c r="BD307" s="191"/>
      <c r="BE307" s="191"/>
      <c r="BF307" s="191"/>
      <c r="BG307" s="191"/>
      <c r="BH307" s="191"/>
      <c r="BI307" s="191"/>
      <c r="BJ307" s="191"/>
      <c r="BK307" s="191"/>
      <c r="BL307" s="191"/>
      <c r="BM307" s="191"/>
      <c r="BN307" s="191"/>
      <c r="BO307" s="191"/>
      <c r="BP307" s="191"/>
      <c r="BQ307" s="191"/>
    </row>
    <row r="308" spans="11:69">
      <c r="K308" s="191"/>
      <c r="L308" s="191"/>
      <c r="M308" s="191"/>
      <c r="N308" s="191"/>
      <c r="O308" s="191"/>
      <c r="P308" s="191"/>
      <c r="Q308" s="191"/>
      <c r="R308" s="191"/>
      <c r="S308" s="191"/>
      <c r="T308" s="191"/>
      <c r="U308" s="191"/>
      <c r="V308" s="191"/>
      <c r="W308" s="191"/>
      <c r="X308" s="191"/>
      <c r="Y308" s="191"/>
      <c r="Z308" s="191"/>
      <c r="AA308" s="191"/>
      <c r="AB308" s="191"/>
      <c r="AC308" s="191"/>
      <c r="AD308" s="191"/>
      <c r="AE308" s="191"/>
      <c r="AF308" s="191"/>
      <c r="AG308" s="191"/>
      <c r="AH308" s="191"/>
      <c r="AI308" s="191"/>
      <c r="AJ308" s="191"/>
      <c r="AK308" s="191"/>
      <c r="AL308" s="191"/>
      <c r="AM308" s="191"/>
      <c r="AN308" s="191"/>
      <c r="AO308" s="191"/>
      <c r="AP308" s="191"/>
      <c r="AQ308" s="191"/>
      <c r="AR308" s="191"/>
      <c r="AS308" s="191"/>
      <c r="AT308" s="191"/>
      <c r="AU308" s="191"/>
      <c r="AV308" s="191"/>
      <c r="AW308" s="191"/>
      <c r="AX308" s="191"/>
      <c r="AY308" s="191"/>
      <c r="AZ308" s="191"/>
      <c r="BA308" s="191"/>
      <c r="BB308" s="191"/>
      <c r="BC308" s="191"/>
      <c r="BD308" s="191"/>
      <c r="BE308" s="191"/>
      <c r="BF308" s="191"/>
      <c r="BG308" s="191"/>
      <c r="BH308" s="191"/>
      <c r="BI308" s="191"/>
      <c r="BJ308" s="191"/>
      <c r="BK308" s="191"/>
      <c r="BL308" s="191"/>
      <c r="BM308" s="191"/>
      <c r="BN308" s="191"/>
      <c r="BO308" s="191"/>
      <c r="BP308" s="191"/>
      <c r="BQ308" s="191"/>
    </row>
    <row r="309" spans="11:69">
      <c r="K309" s="191"/>
      <c r="L309" s="191"/>
      <c r="M309" s="191"/>
      <c r="N309" s="191"/>
      <c r="O309" s="191"/>
      <c r="P309" s="191"/>
      <c r="Q309" s="191"/>
      <c r="R309" s="191"/>
      <c r="S309" s="191"/>
      <c r="T309" s="191"/>
      <c r="U309" s="191"/>
      <c r="V309" s="191"/>
      <c r="W309" s="191"/>
      <c r="X309" s="191"/>
      <c r="Y309" s="191"/>
      <c r="Z309" s="191"/>
      <c r="AA309" s="191"/>
      <c r="AB309" s="191"/>
      <c r="AC309" s="191"/>
      <c r="AD309" s="191"/>
      <c r="AE309" s="191"/>
      <c r="AF309" s="191"/>
      <c r="AG309" s="191"/>
      <c r="AH309" s="191"/>
      <c r="AI309" s="191"/>
      <c r="AJ309" s="191"/>
      <c r="AK309" s="191"/>
      <c r="AL309" s="191"/>
      <c r="AM309" s="191"/>
      <c r="AN309" s="191"/>
      <c r="AO309" s="191"/>
      <c r="AP309" s="191"/>
      <c r="AQ309" s="191"/>
      <c r="AR309" s="191"/>
      <c r="AS309" s="191"/>
      <c r="AT309" s="191"/>
      <c r="AU309" s="191"/>
      <c r="AV309" s="191"/>
      <c r="AW309" s="191"/>
      <c r="AX309" s="191"/>
      <c r="AY309" s="191"/>
      <c r="AZ309" s="191"/>
      <c r="BA309" s="191"/>
      <c r="BB309" s="191"/>
      <c r="BC309" s="191"/>
      <c r="BD309" s="191"/>
      <c r="BE309" s="191"/>
      <c r="BF309" s="191"/>
      <c r="BG309" s="191"/>
      <c r="BH309" s="191"/>
      <c r="BI309" s="191"/>
      <c r="BJ309" s="191"/>
      <c r="BK309" s="191"/>
      <c r="BL309" s="191"/>
      <c r="BM309" s="191"/>
      <c r="BN309" s="191"/>
      <c r="BO309" s="191"/>
      <c r="BP309" s="191"/>
      <c r="BQ309" s="191"/>
    </row>
    <row r="310" spans="11:69">
      <c r="K310" s="191"/>
      <c r="L310" s="191"/>
      <c r="M310" s="191"/>
      <c r="N310" s="191"/>
      <c r="O310" s="191"/>
      <c r="P310" s="191"/>
      <c r="Q310" s="191"/>
      <c r="R310" s="191"/>
      <c r="S310" s="191"/>
      <c r="T310" s="191"/>
      <c r="U310" s="191"/>
      <c r="V310" s="191"/>
      <c r="W310" s="191"/>
      <c r="X310" s="191"/>
      <c r="Y310" s="191"/>
      <c r="Z310" s="191"/>
      <c r="AA310" s="191"/>
      <c r="AB310" s="191"/>
      <c r="AC310" s="191"/>
      <c r="AD310" s="191"/>
      <c r="AE310" s="191"/>
      <c r="AF310" s="191"/>
      <c r="AG310" s="191"/>
      <c r="AH310" s="191"/>
      <c r="AI310" s="191"/>
      <c r="AJ310" s="191"/>
      <c r="AK310" s="191"/>
      <c r="AL310" s="191"/>
      <c r="AM310" s="191"/>
      <c r="AN310" s="191"/>
      <c r="AO310" s="191"/>
      <c r="AP310" s="191"/>
      <c r="AQ310" s="191"/>
      <c r="AR310" s="191"/>
      <c r="AS310" s="191"/>
      <c r="AT310" s="191"/>
      <c r="AU310" s="191"/>
      <c r="AV310" s="191"/>
      <c r="AW310" s="191"/>
      <c r="AX310" s="191"/>
      <c r="AY310" s="191"/>
      <c r="AZ310" s="191"/>
      <c r="BA310" s="191"/>
      <c r="BB310" s="191"/>
      <c r="BC310" s="191"/>
      <c r="BD310" s="191"/>
      <c r="BE310" s="191"/>
      <c r="BF310" s="191"/>
      <c r="BG310" s="191"/>
      <c r="BH310" s="191"/>
      <c r="BI310" s="191"/>
      <c r="BJ310" s="191"/>
      <c r="BK310" s="191"/>
      <c r="BL310" s="191"/>
      <c r="BM310" s="191"/>
      <c r="BN310" s="191"/>
      <c r="BO310" s="191"/>
      <c r="BP310" s="191"/>
      <c r="BQ310" s="191"/>
    </row>
    <row r="311" spans="11:69">
      <c r="K311" s="191"/>
      <c r="L311" s="191"/>
      <c r="M311" s="191"/>
      <c r="N311" s="191"/>
      <c r="O311" s="191"/>
      <c r="P311" s="191"/>
      <c r="Q311" s="191"/>
      <c r="R311" s="191"/>
      <c r="S311" s="191"/>
      <c r="T311" s="191"/>
      <c r="U311" s="191"/>
      <c r="V311" s="191"/>
      <c r="W311" s="191"/>
      <c r="X311" s="191"/>
      <c r="Y311" s="191"/>
      <c r="Z311" s="191"/>
      <c r="AA311" s="191"/>
      <c r="AB311" s="191"/>
      <c r="AC311" s="191"/>
      <c r="AD311" s="191"/>
      <c r="AE311" s="191"/>
      <c r="AF311" s="191"/>
      <c r="AG311" s="191"/>
      <c r="AH311" s="191"/>
      <c r="AI311" s="191"/>
      <c r="AJ311" s="191"/>
      <c r="AK311" s="191"/>
      <c r="AL311" s="191"/>
      <c r="AM311" s="191"/>
      <c r="AN311" s="191"/>
      <c r="AO311" s="191"/>
      <c r="AP311" s="191"/>
      <c r="AQ311" s="191"/>
      <c r="AR311" s="191"/>
      <c r="AS311" s="191"/>
      <c r="AT311" s="191"/>
      <c r="AU311" s="191"/>
      <c r="AV311" s="191"/>
      <c r="AW311" s="191"/>
      <c r="AX311" s="191"/>
      <c r="AY311" s="191"/>
      <c r="AZ311" s="191"/>
      <c r="BA311" s="191"/>
      <c r="BB311" s="191"/>
      <c r="BC311" s="191"/>
      <c r="BD311" s="191"/>
      <c r="BE311" s="191"/>
      <c r="BF311" s="191"/>
      <c r="BG311" s="191"/>
      <c r="BH311" s="191"/>
      <c r="BI311" s="191"/>
      <c r="BJ311" s="191"/>
      <c r="BK311" s="191"/>
      <c r="BL311" s="191"/>
      <c r="BM311" s="191"/>
      <c r="BN311" s="191"/>
      <c r="BO311" s="191"/>
      <c r="BP311" s="191"/>
      <c r="BQ311" s="191"/>
    </row>
    <row r="312" spans="11:69">
      <c r="K312" s="191"/>
      <c r="L312" s="191"/>
      <c r="M312" s="191"/>
      <c r="N312" s="191"/>
      <c r="O312" s="191"/>
      <c r="P312" s="191"/>
      <c r="Q312" s="191"/>
      <c r="R312" s="191"/>
      <c r="S312" s="191"/>
      <c r="T312" s="191"/>
      <c r="U312" s="191"/>
      <c r="V312" s="191"/>
      <c r="W312" s="191"/>
      <c r="X312" s="191"/>
      <c r="Y312" s="191"/>
      <c r="Z312" s="191"/>
      <c r="AA312" s="191"/>
      <c r="AB312" s="191"/>
      <c r="AC312" s="191"/>
      <c r="AD312" s="191"/>
      <c r="AE312" s="191"/>
      <c r="AF312" s="191"/>
      <c r="AG312" s="191"/>
      <c r="AH312" s="191"/>
      <c r="AI312" s="191"/>
      <c r="AJ312" s="191"/>
      <c r="AK312" s="191"/>
      <c r="AL312" s="191"/>
      <c r="AM312" s="191"/>
      <c r="AN312" s="191"/>
      <c r="AO312" s="191"/>
      <c r="AP312" s="191"/>
      <c r="AQ312" s="191"/>
      <c r="AR312" s="191"/>
      <c r="AS312" s="191"/>
      <c r="AT312" s="191"/>
      <c r="AU312" s="191"/>
      <c r="AV312" s="191"/>
      <c r="AW312" s="191"/>
      <c r="AX312" s="191"/>
      <c r="AY312" s="191"/>
      <c r="AZ312" s="191"/>
      <c r="BA312" s="191"/>
      <c r="BB312" s="191"/>
      <c r="BC312" s="191"/>
      <c r="BD312" s="191"/>
      <c r="BE312" s="191"/>
      <c r="BF312" s="191"/>
      <c r="BG312" s="191"/>
      <c r="BH312" s="191"/>
      <c r="BI312" s="191"/>
      <c r="BJ312" s="191"/>
      <c r="BK312" s="191"/>
      <c r="BL312" s="191"/>
      <c r="BM312" s="191"/>
      <c r="BN312" s="191"/>
      <c r="BO312" s="191"/>
      <c r="BP312" s="191"/>
      <c r="BQ312" s="191"/>
    </row>
    <row r="313" spans="11:69">
      <c r="K313" s="191"/>
      <c r="L313" s="191"/>
      <c r="M313" s="191"/>
      <c r="N313" s="191"/>
      <c r="O313" s="191"/>
      <c r="P313" s="191"/>
      <c r="Q313" s="191"/>
      <c r="R313" s="191"/>
      <c r="S313" s="191"/>
      <c r="T313" s="191"/>
      <c r="U313" s="191"/>
      <c r="V313" s="191"/>
      <c r="W313" s="191"/>
      <c r="X313" s="191"/>
      <c r="Y313" s="191"/>
      <c r="Z313" s="191"/>
      <c r="AA313" s="191"/>
      <c r="AB313" s="191"/>
      <c r="AC313" s="191"/>
      <c r="AD313" s="191"/>
      <c r="AE313" s="191"/>
      <c r="AF313" s="191"/>
      <c r="AG313" s="191"/>
      <c r="AH313" s="191"/>
      <c r="AI313" s="191"/>
      <c r="AJ313" s="191"/>
      <c r="AK313" s="191"/>
      <c r="AL313" s="191"/>
      <c r="AM313" s="191"/>
      <c r="AN313" s="191"/>
      <c r="AO313" s="191"/>
      <c r="AP313" s="191"/>
      <c r="AQ313" s="191"/>
      <c r="AR313" s="191"/>
      <c r="AS313" s="191"/>
      <c r="AT313" s="191"/>
      <c r="AU313" s="191"/>
      <c r="AV313" s="191"/>
      <c r="AW313" s="191"/>
      <c r="AX313" s="191"/>
      <c r="AY313" s="191"/>
      <c r="AZ313" s="191"/>
      <c r="BA313" s="191"/>
      <c r="BB313" s="191"/>
      <c r="BC313" s="191"/>
      <c r="BD313" s="191"/>
      <c r="BE313" s="191"/>
      <c r="BF313" s="191"/>
      <c r="BG313" s="191"/>
      <c r="BH313" s="191"/>
      <c r="BI313" s="191"/>
      <c r="BJ313" s="191"/>
      <c r="BK313" s="191"/>
      <c r="BL313" s="191"/>
      <c r="BM313" s="191"/>
      <c r="BN313" s="191"/>
      <c r="BO313" s="191"/>
      <c r="BP313" s="191"/>
      <c r="BQ313" s="191"/>
    </row>
    <row r="314" spans="11:69">
      <c r="K314" s="191"/>
      <c r="L314" s="191"/>
      <c r="M314" s="191"/>
      <c r="N314" s="191"/>
      <c r="O314" s="191"/>
      <c r="P314" s="191"/>
      <c r="Q314" s="191"/>
      <c r="R314" s="191"/>
      <c r="S314" s="191"/>
      <c r="T314" s="191"/>
      <c r="U314" s="191"/>
      <c r="V314" s="191"/>
      <c r="W314" s="191"/>
      <c r="X314" s="191"/>
      <c r="Y314" s="191"/>
      <c r="Z314" s="191"/>
      <c r="AA314" s="191"/>
      <c r="AB314" s="191"/>
      <c r="AC314" s="191"/>
      <c r="AD314" s="191"/>
      <c r="AE314" s="191"/>
      <c r="AF314" s="191"/>
      <c r="AG314" s="191"/>
      <c r="AH314" s="191"/>
      <c r="AI314" s="191"/>
      <c r="AJ314" s="191"/>
      <c r="AK314" s="191"/>
      <c r="AL314" s="191"/>
      <c r="AM314" s="191"/>
      <c r="AN314" s="191"/>
      <c r="AO314" s="191"/>
      <c r="AP314" s="191"/>
      <c r="AQ314" s="191"/>
      <c r="AR314" s="191"/>
      <c r="AS314" s="191"/>
      <c r="AT314" s="191"/>
      <c r="AU314" s="191"/>
      <c r="AV314" s="191"/>
      <c r="AW314" s="191"/>
      <c r="AX314" s="191"/>
      <c r="AY314" s="191"/>
      <c r="AZ314" s="191"/>
      <c r="BA314" s="191"/>
      <c r="BB314" s="191"/>
      <c r="BC314" s="191"/>
      <c r="BD314" s="191"/>
      <c r="BE314" s="191"/>
      <c r="BF314" s="191"/>
      <c r="BG314" s="191"/>
      <c r="BH314" s="191"/>
      <c r="BI314" s="191"/>
      <c r="BJ314" s="191"/>
      <c r="BK314" s="191"/>
      <c r="BL314" s="191"/>
      <c r="BM314" s="191"/>
      <c r="BN314" s="191"/>
      <c r="BO314" s="191"/>
      <c r="BP314" s="191"/>
      <c r="BQ314" s="191"/>
    </row>
    <row r="315" spans="11:69">
      <c r="K315" s="191"/>
      <c r="L315" s="191"/>
      <c r="M315" s="191"/>
      <c r="N315" s="191"/>
      <c r="O315" s="191"/>
      <c r="P315" s="191"/>
      <c r="Q315" s="191"/>
      <c r="R315" s="191"/>
      <c r="S315" s="191"/>
      <c r="T315" s="191"/>
      <c r="U315" s="191"/>
      <c r="V315" s="191"/>
      <c r="W315" s="191"/>
      <c r="X315" s="191"/>
      <c r="Y315" s="191"/>
      <c r="Z315" s="191"/>
      <c r="AA315" s="191"/>
      <c r="AB315" s="191"/>
      <c r="AC315" s="191"/>
      <c r="AD315" s="191"/>
      <c r="AE315" s="191"/>
      <c r="AF315" s="191"/>
      <c r="AG315" s="191"/>
      <c r="AH315" s="191"/>
      <c r="AI315" s="191"/>
      <c r="AJ315" s="191"/>
      <c r="AK315" s="191"/>
      <c r="AL315" s="191"/>
      <c r="AM315" s="191"/>
      <c r="AN315" s="191"/>
      <c r="AO315" s="191"/>
      <c r="AP315" s="191"/>
      <c r="AQ315" s="191"/>
      <c r="AR315" s="191"/>
      <c r="AS315" s="191"/>
      <c r="AT315" s="191"/>
      <c r="AU315" s="191"/>
      <c r="AV315" s="191"/>
      <c r="AW315" s="191"/>
      <c r="AX315" s="191"/>
      <c r="AY315" s="191"/>
      <c r="AZ315" s="191"/>
      <c r="BA315" s="191"/>
      <c r="BB315" s="191"/>
      <c r="BC315" s="191"/>
      <c r="BD315" s="191"/>
      <c r="BE315" s="191"/>
      <c r="BF315" s="191"/>
      <c r="BG315" s="191"/>
      <c r="BH315" s="191"/>
      <c r="BI315" s="191"/>
      <c r="BJ315" s="191"/>
      <c r="BK315" s="191"/>
      <c r="BL315" s="191"/>
      <c r="BM315" s="191"/>
      <c r="BN315" s="191"/>
      <c r="BO315" s="191"/>
      <c r="BP315" s="191"/>
      <c r="BQ315" s="191"/>
    </row>
    <row r="316" spans="11:69">
      <c r="K316" s="191"/>
      <c r="L316" s="191"/>
      <c r="M316" s="191"/>
      <c r="N316" s="191"/>
      <c r="O316" s="191"/>
      <c r="P316" s="191"/>
      <c r="Q316" s="191"/>
      <c r="R316" s="191"/>
      <c r="S316" s="191"/>
      <c r="T316" s="191"/>
      <c r="U316" s="191"/>
      <c r="V316" s="191"/>
      <c r="W316" s="191"/>
      <c r="X316" s="191"/>
      <c r="Y316" s="191"/>
      <c r="Z316" s="191"/>
      <c r="AA316" s="191"/>
      <c r="AB316" s="191"/>
      <c r="AC316" s="191"/>
      <c r="AD316" s="191"/>
      <c r="AE316" s="191"/>
      <c r="AF316" s="191"/>
      <c r="AG316" s="191"/>
      <c r="AH316" s="191"/>
      <c r="AI316" s="191"/>
      <c r="AJ316" s="191"/>
      <c r="AK316" s="191"/>
      <c r="AL316" s="191"/>
      <c r="AM316" s="191"/>
      <c r="AN316" s="191"/>
      <c r="AO316" s="191"/>
      <c r="AP316" s="191"/>
      <c r="AQ316" s="191"/>
      <c r="AR316" s="191"/>
      <c r="AS316" s="191"/>
      <c r="AT316" s="191"/>
      <c r="AU316" s="191"/>
      <c r="AV316" s="191"/>
      <c r="AW316" s="191"/>
      <c r="AX316" s="191"/>
      <c r="AY316" s="191"/>
      <c r="AZ316" s="191"/>
      <c r="BA316" s="191"/>
      <c r="BB316" s="191"/>
      <c r="BC316" s="191"/>
      <c r="BD316" s="191"/>
      <c r="BE316" s="191"/>
      <c r="BF316" s="191"/>
      <c r="BG316" s="191"/>
      <c r="BH316" s="191"/>
      <c r="BI316" s="191"/>
      <c r="BJ316" s="191"/>
      <c r="BK316" s="191"/>
      <c r="BL316" s="191"/>
      <c r="BM316" s="191"/>
      <c r="BN316" s="191"/>
      <c r="BO316" s="191"/>
      <c r="BP316" s="191"/>
      <c r="BQ316" s="191"/>
    </row>
    <row r="317" spans="11:69">
      <c r="K317" s="191"/>
      <c r="L317" s="191"/>
      <c r="M317" s="191"/>
      <c r="N317" s="191"/>
      <c r="O317" s="191"/>
      <c r="P317" s="191"/>
      <c r="Q317" s="191"/>
      <c r="R317" s="191"/>
      <c r="S317" s="191"/>
      <c r="T317" s="191"/>
      <c r="U317" s="191"/>
      <c r="V317" s="191"/>
      <c r="W317" s="191"/>
      <c r="X317" s="191"/>
      <c r="Y317" s="191"/>
      <c r="Z317" s="191"/>
      <c r="AA317" s="191"/>
      <c r="AB317" s="191"/>
      <c r="AC317" s="191"/>
      <c r="AD317" s="191"/>
      <c r="AE317" s="191"/>
      <c r="AF317" s="191"/>
      <c r="AG317" s="191"/>
      <c r="AH317" s="191"/>
      <c r="AI317" s="191"/>
      <c r="AJ317" s="191"/>
      <c r="AK317" s="191"/>
      <c r="AL317" s="191"/>
      <c r="AM317" s="191"/>
      <c r="AN317" s="191"/>
      <c r="AO317" s="191"/>
      <c r="AP317" s="191"/>
      <c r="AQ317" s="191"/>
      <c r="AR317" s="191"/>
      <c r="AS317" s="191"/>
      <c r="AT317" s="191"/>
      <c r="AU317" s="191"/>
      <c r="AV317" s="191"/>
      <c r="AW317" s="191"/>
      <c r="AX317" s="191"/>
      <c r="AY317" s="191"/>
      <c r="AZ317" s="191"/>
      <c r="BA317" s="191"/>
      <c r="BB317" s="191"/>
      <c r="BC317" s="191"/>
      <c r="BD317" s="191"/>
      <c r="BE317" s="191"/>
      <c r="BF317" s="191"/>
      <c r="BG317" s="191"/>
      <c r="BH317" s="191"/>
      <c r="BI317" s="191"/>
      <c r="BJ317" s="191"/>
      <c r="BK317" s="191"/>
      <c r="BL317" s="191"/>
      <c r="BM317" s="191"/>
      <c r="BN317" s="191"/>
      <c r="BO317" s="191"/>
      <c r="BP317" s="191"/>
      <c r="BQ317" s="191"/>
    </row>
    <row r="318" spans="11:69">
      <c r="K318" s="191"/>
      <c r="L318" s="191"/>
      <c r="M318" s="191"/>
      <c r="N318" s="191"/>
      <c r="O318" s="191"/>
      <c r="P318" s="191"/>
      <c r="Q318" s="191"/>
      <c r="R318" s="191"/>
      <c r="S318" s="191"/>
      <c r="T318" s="191"/>
      <c r="U318" s="191"/>
      <c r="V318" s="191"/>
      <c r="W318" s="191"/>
      <c r="X318" s="191"/>
      <c r="Y318" s="191"/>
      <c r="Z318" s="191"/>
      <c r="AA318" s="191"/>
      <c r="AB318" s="191"/>
      <c r="AC318" s="191"/>
      <c r="AD318" s="191"/>
      <c r="AE318" s="191"/>
      <c r="AF318" s="191"/>
      <c r="AG318" s="191"/>
      <c r="AH318" s="191"/>
      <c r="AI318" s="191"/>
      <c r="AJ318" s="191"/>
      <c r="AK318" s="191"/>
      <c r="AL318" s="191"/>
      <c r="AM318" s="191"/>
      <c r="AN318" s="191"/>
      <c r="AO318" s="191"/>
      <c r="AP318" s="191"/>
      <c r="AQ318" s="191"/>
      <c r="AR318" s="191"/>
      <c r="AS318" s="191"/>
      <c r="AT318" s="191"/>
      <c r="AU318" s="191"/>
      <c r="AV318" s="191"/>
      <c r="AW318" s="191"/>
      <c r="AX318" s="191"/>
      <c r="AY318" s="191"/>
      <c r="AZ318" s="191"/>
      <c r="BA318" s="191"/>
      <c r="BB318" s="191"/>
      <c r="BC318" s="191"/>
      <c r="BD318" s="191"/>
      <c r="BE318" s="191"/>
      <c r="BF318" s="191"/>
      <c r="BG318" s="191"/>
      <c r="BH318" s="191"/>
      <c r="BI318" s="191"/>
      <c r="BJ318" s="191"/>
      <c r="BK318" s="191"/>
      <c r="BL318" s="191"/>
      <c r="BM318" s="191"/>
      <c r="BN318" s="191"/>
      <c r="BO318" s="191"/>
      <c r="BP318" s="191"/>
      <c r="BQ318" s="191"/>
    </row>
    <row r="319" spans="11:69">
      <c r="K319" s="191"/>
      <c r="L319" s="191"/>
      <c r="M319" s="191"/>
      <c r="N319" s="191"/>
      <c r="O319" s="191"/>
      <c r="P319" s="191"/>
      <c r="Q319" s="191"/>
      <c r="R319" s="191"/>
      <c r="S319" s="191"/>
      <c r="T319" s="191"/>
      <c r="U319" s="191"/>
      <c r="V319" s="191"/>
      <c r="W319" s="191"/>
      <c r="X319" s="191"/>
      <c r="Y319" s="191"/>
      <c r="Z319" s="191"/>
      <c r="AA319" s="191"/>
      <c r="AB319" s="191"/>
      <c r="AC319" s="191"/>
      <c r="AD319" s="191"/>
      <c r="AE319" s="191"/>
      <c r="AF319" s="191"/>
      <c r="AG319" s="191"/>
      <c r="AH319" s="191"/>
      <c r="AI319" s="191"/>
      <c r="AJ319" s="191"/>
      <c r="AK319" s="191"/>
      <c r="AL319" s="191"/>
      <c r="AM319" s="191"/>
      <c r="AN319" s="191"/>
      <c r="AO319" s="191"/>
      <c r="AP319" s="191"/>
      <c r="AQ319" s="191"/>
      <c r="AR319" s="191"/>
      <c r="AS319" s="191"/>
      <c r="AT319" s="191"/>
      <c r="AU319" s="191"/>
      <c r="AV319" s="191"/>
      <c r="AW319" s="191"/>
      <c r="AX319" s="191"/>
      <c r="AY319" s="191"/>
      <c r="AZ319" s="191"/>
      <c r="BA319" s="191"/>
      <c r="BB319" s="191"/>
      <c r="BC319" s="191"/>
      <c r="BD319" s="191"/>
      <c r="BE319" s="191"/>
      <c r="BF319" s="191"/>
      <c r="BG319" s="191"/>
      <c r="BH319" s="191"/>
      <c r="BI319" s="191"/>
      <c r="BJ319" s="191"/>
      <c r="BK319" s="191"/>
      <c r="BL319" s="191"/>
      <c r="BM319" s="191"/>
      <c r="BN319" s="191"/>
      <c r="BO319" s="191"/>
      <c r="BP319" s="191"/>
      <c r="BQ319" s="191"/>
    </row>
    <row r="320" spans="11:69">
      <c r="K320" s="191"/>
      <c r="L320" s="191"/>
      <c r="M320" s="191"/>
      <c r="N320" s="191"/>
      <c r="O320" s="191"/>
      <c r="P320" s="191"/>
      <c r="Q320" s="191"/>
      <c r="R320" s="191"/>
      <c r="S320" s="191"/>
      <c r="T320" s="191"/>
      <c r="U320" s="191"/>
      <c r="V320" s="191"/>
      <c r="W320" s="191"/>
      <c r="X320" s="191"/>
      <c r="Y320" s="191"/>
      <c r="Z320" s="191"/>
      <c r="AA320" s="191"/>
      <c r="AB320" s="191"/>
      <c r="AC320" s="191"/>
      <c r="AD320" s="191"/>
      <c r="AE320" s="191"/>
      <c r="AF320" s="191"/>
      <c r="AG320" s="191"/>
      <c r="AH320" s="191"/>
      <c r="AI320" s="191"/>
      <c r="AJ320" s="191"/>
      <c r="AK320" s="191"/>
      <c r="AL320" s="191"/>
      <c r="AM320" s="191"/>
      <c r="AN320" s="191"/>
      <c r="AO320" s="191"/>
      <c r="AP320" s="191"/>
      <c r="AQ320" s="191"/>
      <c r="AR320" s="191"/>
      <c r="AS320" s="191"/>
      <c r="AT320" s="191"/>
      <c r="AU320" s="191"/>
      <c r="AV320" s="191"/>
      <c r="AW320" s="191"/>
      <c r="AX320" s="191"/>
      <c r="AY320" s="191"/>
      <c r="AZ320" s="191"/>
      <c r="BA320" s="191"/>
      <c r="BB320" s="191"/>
      <c r="BC320" s="191"/>
      <c r="BD320" s="191"/>
      <c r="BE320" s="191"/>
      <c r="BF320" s="191"/>
      <c r="BG320" s="191"/>
      <c r="BH320" s="191"/>
      <c r="BI320" s="191"/>
      <c r="BJ320" s="191"/>
      <c r="BK320" s="191"/>
      <c r="BL320" s="191"/>
      <c r="BM320" s="191"/>
      <c r="BN320" s="191"/>
      <c r="BO320" s="191"/>
      <c r="BP320" s="191"/>
      <c r="BQ320" s="191"/>
    </row>
    <row r="321" spans="11:69">
      <c r="K321" s="191"/>
      <c r="L321" s="191"/>
      <c r="M321" s="191"/>
      <c r="N321" s="191"/>
      <c r="O321" s="191"/>
      <c r="P321" s="191"/>
      <c r="Q321" s="191"/>
      <c r="R321" s="191"/>
      <c r="S321" s="191"/>
      <c r="T321" s="191"/>
      <c r="U321" s="191"/>
      <c r="V321" s="191"/>
      <c r="W321" s="191"/>
      <c r="X321" s="191"/>
      <c r="Y321" s="191"/>
      <c r="Z321" s="191"/>
      <c r="AA321" s="191"/>
      <c r="AB321" s="191"/>
      <c r="AC321" s="191"/>
      <c r="AD321" s="191"/>
      <c r="AE321" s="191"/>
      <c r="AF321" s="191"/>
      <c r="AG321" s="191"/>
      <c r="AH321" s="191"/>
      <c r="AI321" s="191"/>
      <c r="AJ321" s="191"/>
      <c r="AK321" s="191"/>
      <c r="AL321" s="191"/>
      <c r="AM321" s="191"/>
      <c r="AN321" s="191"/>
      <c r="AO321" s="191"/>
      <c r="AP321" s="191"/>
      <c r="AQ321" s="191"/>
      <c r="AR321" s="191"/>
      <c r="AS321" s="191"/>
      <c r="AT321" s="191"/>
      <c r="AU321" s="191"/>
      <c r="AV321" s="191"/>
      <c r="AW321" s="191"/>
      <c r="AX321" s="191"/>
      <c r="AY321" s="191"/>
      <c r="AZ321" s="191"/>
      <c r="BA321" s="191"/>
      <c r="BB321" s="191"/>
      <c r="BC321" s="191"/>
      <c r="BD321" s="191"/>
      <c r="BE321" s="191"/>
      <c r="BF321" s="191"/>
      <c r="BG321" s="191"/>
      <c r="BH321" s="191"/>
      <c r="BI321" s="191"/>
      <c r="BJ321" s="191"/>
      <c r="BK321" s="191"/>
      <c r="BL321" s="191"/>
      <c r="BM321" s="191"/>
      <c r="BN321" s="191"/>
      <c r="BO321" s="191"/>
      <c r="BP321" s="191"/>
      <c r="BQ321" s="191"/>
    </row>
    <row r="322" spans="11:69">
      <c r="K322" s="191"/>
      <c r="L322" s="191"/>
      <c r="M322" s="191"/>
      <c r="N322" s="191"/>
      <c r="O322" s="191"/>
      <c r="P322" s="191"/>
      <c r="Q322" s="191"/>
      <c r="R322" s="191"/>
      <c r="S322" s="191"/>
      <c r="T322" s="191"/>
      <c r="U322" s="191"/>
      <c r="V322" s="191"/>
      <c r="W322" s="191"/>
      <c r="X322" s="191"/>
      <c r="Y322" s="191"/>
      <c r="Z322" s="191"/>
      <c r="AA322" s="191"/>
      <c r="AB322" s="191"/>
      <c r="AC322" s="191"/>
      <c r="AD322" s="191"/>
      <c r="AE322" s="191"/>
      <c r="AF322" s="191"/>
      <c r="AG322" s="191"/>
      <c r="AH322" s="191"/>
      <c r="AI322" s="191"/>
      <c r="AJ322" s="191"/>
      <c r="AK322" s="191"/>
      <c r="AL322" s="191"/>
      <c r="AM322" s="191"/>
      <c r="AN322" s="191"/>
      <c r="AO322" s="191"/>
      <c r="AP322" s="191"/>
      <c r="AQ322" s="191"/>
      <c r="AR322" s="191"/>
      <c r="AS322" s="191"/>
      <c r="AT322" s="191"/>
      <c r="AU322" s="191"/>
      <c r="AV322" s="191"/>
      <c r="AW322" s="191"/>
      <c r="AX322" s="191"/>
      <c r="AY322" s="191"/>
      <c r="AZ322" s="191"/>
      <c r="BA322" s="191"/>
      <c r="BB322" s="191"/>
      <c r="BC322" s="191"/>
      <c r="BD322" s="191"/>
      <c r="BE322" s="191"/>
      <c r="BF322" s="191"/>
      <c r="BG322" s="191"/>
      <c r="BH322" s="191"/>
      <c r="BI322" s="191"/>
      <c r="BJ322" s="191"/>
      <c r="BK322" s="191"/>
      <c r="BL322" s="191"/>
      <c r="BM322" s="191"/>
      <c r="BN322" s="191"/>
      <c r="BO322" s="191"/>
      <c r="BP322" s="191"/>
      <c r="BQ322" s="191"/>
    </row>
    <row r="323" spans="11:69">
      <c r="K323" s="191"/>
      <c r="L323" s="191"/>
      <c r="M323" s="191"/>
      <c r="N323" s="191"/>
      <c r="O323" s="191"/>
      <c r="P323" s="191"/>
      <c r="Q323" s="191"/>
      <c r="R323" s="191"/>
      <c r="S323" s="191"/>
      <c r="T323" s="191"/>
      <c r="U323" s="191"/>
      <c r="V323" s="191"/>
      <c r="W323" s="191"/>
      <c r="X323" s="191"/>
      <c r="Y323" s="191"/>
      <c r="Z323" s="191"/>
      <c r="AA323" s="191"/>
      <c r="AB323" s="191"/>
      <c r="AC323" s="191"/>
      <c r="AD323" s="191"/>
      <c r="AE323" s="191"/>
      <c r="AF323" s="191"/>
      <c r="AG323" s="191"/>
      <c r="AH323" s="191"/>
      <c r="AI323" s="191"/>
      <c r="AJ323" s="191"/>
      <c r="AK323" s="191"/>
      <c r="AL323" s="191"/>
      <c r="AM323" s="191"/>
      <c r="AN323" s="191"/>
      <c r="AO323" s="191"/>
      <c r="AP323" s="191"/>
      <c r="AQ323" s="191"/>
      <c r="AR323" s="191"/>
      <c r="AS323" s="191"/>
      <c r="AT323" s="191"/>
      <c r="AU323" s="191"/>
      <c r="AV323" s="191"/>
      <c r="AW323" s="191"/>
      <c r="AX323" s="191"/>
      <c r="AY323" s="191"/>
      <c r="AZ323" s="191"/>
      <c r="BA323" s="191"/>
      <c r="BB323" s="191"/>
      <c r="BC323" s="191"/>
      <c r="BD323" s="191"/>
      <c r="BE323" s="191"/>
      <c r="BF323" s="191"/>
      <c r="BG323" s="191"/>
      <c r="BH323" s="191"/>
      <c r="BI323" s="191"/>
      <c r="BJ323" s="191"/>
      <c r="BK323" s="191"/>
      <c r="BL323" s="191"/>
      <c r="BM323" s="191"/>
      <c r="BN323" s="191"/>
      <c r="BO323" s="191"/>
      <c r="BP323" s="191"/>
      <c r="BQ323" s="191"/>
    </row>
    <row r="324" spans="11:69">
      <c r="K324" s="191"/>
      <c r="L324" s="191"/>
      <c r="M324" s="191"/>
      <c r="N324" s="191"/>
      <c r="O324" s="191"/>
      <c r="P324" s="191"/>
      <c r="Q324" s="191"/>
      <c r="R324" s="191"/>
      <c r="S324" s="191"/>
      <c r="T324" s="191"/>
      <c r="U324" s="191"/>
      <c r="V324" s="191"/>
      <c r="W324" s="191"/>
      <c r="X324" s="191"/>
      <c r="Y324" s="191"/>
      <c r="Z324" s="191"/>
      <c r="AA324" s="191"/>
      <c r="AB324" s="191"/>
      <c r="AC324" s="191"/>
      <c r="AD324" s="191"/>
      <c r="AE324" s="191"/>
      <c r="AF324" s="191"/>
      <c r="AG324" s="191"/>
      <c r="AH324" s="191"/>
      <c r="AI324" s="191"/>
      <c r="AJ324" s="191"/>
      <c r="AK324" s="191"/>
      <c r="AL324" s="191"/>
      <c r="AM324" s="191"/>
      <c r="AN324" s="191"/>
      <c r="AO324" s="191"/>
      <c r="AP324" s="191"/>
      <c r="AQ324" s="191"/>
      <c r="AR324" s="191"/>
      <c r="AS324" s="191"/>
      <c r="AT324" s="191"/>
      <c r="AU324" s="191"/>
      <c r="AV324" s="191"/>
      <c r="AW324" s="191"/>
      <c r="AX324" s="191"/>
      <c r="AY324" s="191"/>
      <c r="AZ324" s="191"/>
      <c r="BA324" s="191"/>
      <c r="BB324" s="191"/>
      <c r="BC324" s="191"/>
      <c r="BD324" s="191"/>
      <c r="BE324" s="191"/>
      <c r="BF324" s="191"/>
      <c r="BG324" s="191"/>
      <c r="BH324" s="191"/>
      <c r="BI324" s="191"/>
      <c r="BJ324" s="191"/>
      <c r="BK324" s="191"/>
      <c r="BL324" s="191"/>
      <c r="BM324" s="191"/>
      <c r="BN324" s="191"/>
      <c r="BO324" s="191"/>
      <c r="BP324" s="191"/>
      <c r="BQ324" s="191"/>
    </row>
    <row r="325" spans="11:69">
      <c r="K325" s="191"/>
      <c r="L325" s="191"/>
      <c r="M325" s="191"/>
      <c r="N325" s="191"/>
      <c r="O325" s="191"/>
      <c r="P325" s="191"/>
      <c r="Q325" s="191"/>
      <c r="R325" s="191"/>
      <c r="S325" s="191"/>
      <c r="T325" s="191"/>
      <c r="U325" s="191"/>
      <c r="V325" s="191"/>
      <c r="W325" s="191"/>
      <c r="X325" s="191"/>
      <c r="Y325" s="191"/>
      <c r="Z325" s="191"/>
      <c r="AA325" s="191"/>
      <c r="AB325" s="191"/>
      <c r="AC325" s="191"/>
      <c r="AD325" s="191"/>
      <c r="AE325" s="191"/>
      <c r="AF325" s="191"/>
      <c r="AG325" s="191"/>
      <c r="AH325" s="191"/>
      <c r="AI325" s="191"/>
      <c r="AJ325" s="191"/>
      <c r="AK325" s="191"/>
      <c r="AL325" s="191"/>
      <c r="AM325" s="191"/>
      <c r="AN325" s="191"/>
      <c r="AO325" s="191"/>
      <c r="AP325" s="191"/>
      <c r="AQ325" s="191"/>
      <c r="AR325" s="191"/>
      <c r="AS325" s="191"/>
      <c r="AT325" s="191"/>
      <c r="AU325" s="191"/>
      <c r="AV325" s="191"/>
      <c r="AW325" s="191"/>
      <c r="AX325" s="191"/>
      <c r="AY325" s="191"/>
      <c r="AZ325" s="191"/>
      <c r="BA325" s="191"/>
      <c r="BB325" s="191"/>
      <c r="BC325" s="191"/>
      <c r="BD325" s="191"/>
      <c r="BE325" s="191"/>
      <c r="BF325" s="191"/>
      <c r="BG325" s="191"/>
      <c r="BH325" s="191"/>
      <c r="BI325" s="191"/>
      <c r="BJ325" s="191"/>
      <c r="BK325" s="191"/>
      <c r="BL325" s="191"/>
      <c r="BM325" s="191"/>
      <c r="BN325" s="191"/>
      <c r="BO325" s="191"/>
      <c r="BP325" s="191"/>
      <c r="BQ325" s="191"/>
    </row>
    <row r="326" spans="11:69">
      <c r="K326" s="191"/>
      <c r="L326" s="191"/>
      <c r="M326" s="191"/>
      <c r="N326" s="191"/>
      <c r="O326" s="191"/>
      <c r="P326" s="191"/>
      <c r="Q326" s="191"/>
      <c r="R326" s="191"/>
      <c r="S326" s="191"/>
      <c r="T326" s="191"/>
      <c r="U326" s="191"/>
      <c r="V326" s="191"/>
      <c r="W326" s="191"/>
      <c r="X326" s="191"/>
      <c r="Y326" s="191"/>
      <c r="Z326" s="191"/>
      <c r="AA326" s="191"/>
      <c r="AB326" s="191"/>
      <c r="AC326" s="191"/>
      <c r="AD326" s="191"/>
      <c r="AE326" s="191"/>
      <c r="AF326" s="191"/>
      <c r="AG326" s="191"/>
      <c r="AH326" s="191"/>
      <c r="AI326" s="191"/>
      <c r="AJ326" s="191"/>
      <c r="AK326" s="191"/>
      <c r="AL326" s="191"/>
      <c r="AM326" s="191"/>
      <c r="AN326" s="191"/>
      <c r="AO326" s="191"/>
      <c r="AP326" s="191"/>
      <c r="AQ326" s="191"/>
      <c r="AR326" s="191"/>
      <c r="AS326" s="191"/>
      <c r="AT326" s="191"/>
      <c r="AU326" s="191"/>
      <c r="AV326" s="191"/>
      <c r="AW326" s="191"/>
      <c r="AX326" s="191"/>
      <c r="AY326" s="191"/>
      <c r="AZ326" s="191"/>
      <c r="BA326" s="191"/>
      <c r="BB326" s="191"/>
      <c r="BC326" s="191"/>
      <c r="BD326" s="191"/>
      <c r="BE326" s="191"/>
      <c r="BF326" s="191"/>
      <c r="BG326" s="191"/>
      <c r="BH326" s="191"/>
      <c r="BI326" s="191"/>
      <c r="BJ326" s="191"/>
      <c r="BK326" s="191"/>
      <c r="BL326" s="191"/>
      <c r="BM326" s="191"/>
      <c r="BN326" s="191"/>
      <c r="BO326" s="191"/>
      <c r="BP326" s="191"/>
      <c r="BQ326" s="191"/>
    </row>
    <row r="327" spans="11:69">
      <c r="K327" s="191"/>
      <c r="L327" s="191"/>
      <c r="M327" s="191"/>
      <c r="N327" s="191"/>
      <c r="O327" s="191"/>
      <c r="P327" s="191"/>
      <c r="Q327" s="191"/>
      <c r="R327" s="191"/>
      <c r="S327" s="191"/>
      <c r="T327" s="191"/>
      <c r="U327" s="191"/>
      <c r="V327" s="191"/>
      <c r="W327" s="191"/>
      <c r="X327" s="191"/>
      <c r="Y327" s="191"/>
      <c r="Z327" s="191"/>
      <c r="AA327" s="191"/>
      <c r="AB327" s="191"/>
      <c r="AC327" s="191"/>
      <c r="AD327" s="191"/>
      <c r="AE327" s="191"/>
      <c r="AF327" s="191"/>
      <c r="AG327" s="191"/>
      <c r="AH327" s="191"/>
      <c r="AI327" s="191"/>
      <c r="AJ327" s="191"/>
      <c r="AK327" s="191"/>
      <c r="AL327" s="191"/>
      <c r="AM327" s="191"/>
      <c r="AN327" s="191"/>
      <c r="AO327" s="191"/>
      <c r="AP327" s="191"/>
      <c r="AQ327" s="191"/>
      <c r="AR327" s="191"/>
      <c r="AS327" s="191"/>
      <c r="AT327" s="191"/>
      <c r="AU327" s="191"/>
      <c r="AV327" s="191"/>
      <c r="AW327" s="191"/>
      <c r="AX327" s="191"/>
      <c r="AY327" s="191"/>
      <c r="AZ327" s="191"/>
      <c r="BA327" s="191"/>
      <c r="BB327" s="191"/>
      <c r="BC327" s="191"/>
      <c r="BD327" s="191"/>
      <c r="BE327" s="191"/>
      <c r="BF327" s="191"/>
      <c r="BG327" s="191"/>
      <c r="BH327" s="191"/>
      <c r="BI327" s="191"/>
      <c r="BJ327" s="191"/>
      <c r="BK327" s="191"/>
      <c r="BL327" s="191"/>
      <c r="BM327" s="191"/>
      <c r="BN327" s="191"/>
      <c r="BO327" s="191"/>
      <c r="BP327" s="191"/>
      <c r="BQ327" s="191"/>
    </row>
    <row r="328" spans="11:69">
      <c r="K328" s="191"/>
      <c r="L328" s="191"/>
      <c r="M328" s="191"/>
      <c r="N328" s="191"/>
      <c r="O328" s="191"/>
      <c r="P328" s="191"/>
      <c r="Q328" s="191"/>
      <c r="R328" s="191"/>
      <c r="S328" s="191"/>
      <c r="T328" s="191"/>
      <c r="U328" s="191"/>
      <c r="V328" s="191"/>
      <c r="W328" s="191"/>
      <c r="X328" s="191"/>
      <c r="Y328" s="191"/>
      <c r="Z328" s="191"/>
      <c r="AA328" s="191"/>
      <c r="AB328" s="191"/>
      <c r="AC328" s="191"/>
      <c r="AD328" s="191"/>
      <c r="AE328" s="191"/>
      <c r="AF328" s="191"/>
      <c r="AG328" s="191"/>
      <c r="AH328" s="191"/>
      <c r="AI328" s="191"/>
      <c r="AJ328" s="191"/>
      <c r="AK328" s="191"/>
      <c r="AL328" s="191"/>
      <c r="AM328" s="191"/>
      <c r="AN328" s="191"/>
      <c r="AO328" s="191"/>
      <c r="AP328" s="191"/>
      <c r="AQ328" s="191"/>
      <c r="AR328" s="191"/>
      <c r="AS328" s="191"/>
      <c r="AT328" s="191"/>
      <c r="AU328" s="191"/>
      <c r="AV328" s="191"/>
      <c r="AW328" s="191"/>
      <c r="AX328" s="191"/>
      <c r="AY328" s="191"/>
      <c r="AZ328" s="191"/>
      <c r="BA328" s="191"/>
      <c r="BB328" s="191"/>
      <c r="BC328" s="191"/>
      <c r="BD328" s="191"/>
      <c r="BE328" s="191"/>
      <c r="BF328" s="191"/>
      <c r="BG328" s="191"/>
      <c r="BH328" s="191"/>
      <c r="BI328" s="191"/>
      <c r="BJ328" s="191"/>
      <c r="BK328" s="191"/>
      <c r="BL328" s="191"/>
      <c r="BM328" s="191"/>
      <c r="BN328" s="191"/>
      <c r="BO328" s="191"/>
      <c r="BP328" s="191"/>
      <c r="BQ328" s="191"/>
    </row>
    <row r="329" spans="11:69">
      <c r="K329" s="191"/>
      <c r="L329" s="191"/>
      <c r="M329" s="191"/>
      <c r="N329" s="191"/>
      <c r="O329" s="191"/>
      <c r="P329" s="191"/>
      <c r="Q329" s="191"/>
      <c r="R329" s="191"/>
      <c r="S329" s="191"/>
      <c r="T329" s="191"/>
      <c r="U329" s="191"/>
      <c r="V329" s="191"/>
      <c r="W329" s="191"/>
      <c r="X329" s="191"/>
      <c r="Y329" s="191"/>
      <c r="Z329" s="191"/>
      <c r="AA329" s="191"/>
      <c r="AB329" s="191"/>
      <c r="AC329" s="191"/>
      <c r="AD329" s="191"/>
      <c r="AE329" s="191"/>
      <c r="AF329" s="191"/>
      <c r="AG329" s="191"/>
      <c r="AH329" s="191"/>
      <c r="AI329" s="191"/>
      <c r="AJ329" s="191"/>
      <c r="AK329" s="191"/>
      <c r="AL329" s="191"/>
      <c r="AM329" s="191"/>
      <c r="AN329" s="191"/>
      <c r="AO329" s="191"/>
      <c r="AP329" s="191"/>
      <c r="AQ329" s="191"/>
      <c r="AR329" s="191"/>
      <c r="AS329" s="191"/>
      <c r="AT329" s="191"/>
      <c r="AU329" s="191"/>
      <c r="AV329" s="191"/>
      <c r="AW329" s="191"/>
      <c r="AX329" s="191"/>
      <c r="AY329" s="191"/>
      <c r="AZ329" s="191"/>
      <c r="BA329" s="191"/>
      <c r="BB329" s="191"/>
      <c r="BC329" s="191"/>
      <c r="BD329" s="191"/>
      <c r="BE329" s="191"/>
      <c r="BF329" s="191"/>
      <c r="BG329" s="191"/>
      <c r="BH329" s="191"/>
      <c r="BI329" s="191"/>
      <c r="BJ329" s="191"/>
      <c r="BK329" s="191"/>
      <c r="BL329" s="191"/>
      <c r="BM329" s="191"/>
      <c r="BN329" s="191"/>
      <c r="BO329" s="191"/>
      <c r="BP329" s="191"/>
      <c r="BQ329" s="191"/>
    </row>
    <row r="330" spans="11:69">
      <c r="K330" s="191"/>
      <c r="L330" s="191"/>
      <c r="M330" s="191"/>
      <c r="N330" s="191"/>
      <c r="O330" s="191"/>
      <c r="P330" s="191"/>
      <c r="Q330" s="191"/>
      <c r="R330" s="191"/>
      <c r="S330" s="191"/>
      <c r="T330" s="191"/>
      <c r="U330" s="191"/>
      <c r="V330" s="191"/>
      <c r="W330" s="191"/>
      <c r="X330" s="191"/>
      <c r="Y330" s="191"/>
      <c r="Z330" s="191"/>
      <c r="AA330" s="191"/>
      <c r="AB330" s="191"/>
      <c r="AC330" s="191"/>
      <c r="AD330" s="191"/>
      <c r="AE330" s="191"/>
      <c r="AF330" s="191"/>
      <c r="AG330" s="191"/>
      <c r="AH330" s="191"/>
      <c r="AI330" s="191"/>
      <c r="AJ330" s="191"/>
      <c r="AK330" s="191"/>
      <c r="AL330" s="191"/>
      <c r="AM330" s="191"/>
      <c r="AN330" s="191"/>
      <c r="AO330" s="191"/>
      <c r="AP330" s="191"/>
      <c r="AQ330" s="191"/>
      <c r="AR330" s="191"/>
      <c r="AS330" s="191"/>
      <c r="AT330" s="191"/>
      <c r="AU330" s="191"/>
      <c r="AV330" s="191"/>
      <c r="AW330" s="191"/>
      <c r="AX330" s="191"/>
      <c r="AY330" s="191"/>
      <c r="AZ330" s="191"/>
      <c r="BA330" s="191"/>
      <c r="BB330" s="191"/>
      <c r="BC330" s="191"/>
      <c r="BD330" s="191"/>
      <c r="BE330" s="191"/>
      <c r="BF330" s="191"/>
      <c r="BG330" s="191"/>
      <c r="BH330" s="191"/>
      <c r="BI330" s="191"/>
      <c r="BJ330" s="191"/>
      <c r="BK330" s="191"/>
      <c r="BL330" s="191"/>
      <c r="BM330" s="191"/>
      <c r="BN330" s="191"/>
      <c r="BO330" s="191"/>
      <c r="BP330" s="191"/>
      <c r="BQ330" s="191"/>
    </row>
    <row r="331" spans="11:69">
      <c r="K331" s="191"/>
      <c r="L331" s="191"/>
      <c r="M331" s="191"/>
      <c r="N331" s="191"/>
      <c r="O331" s="191"/>
      <c r="P331" s="191"/>
      <c r="Q331" s="191"/>
      <c r="R331" s="191"/>
      <c r="S331" s="191"/>
      <c r="T331" s="191"/>
      <c r="U331" s="191"/>
      <c r="V331" s="191"/>
      <c r="W331" s="191"/>
      <c r="X331" s="191"/>
      <c r="Y331" s="191"/>
      <c r="Z331" s="191"/>
      <c r="AA331" s="191"/>
      <c r="AB331" s="191"/>
      <c r="AC331" s="191"/>
      <c r="AD331" s="191"/>
      <c r="AE331" s="191"/>
      <c r="AF331" s="191"/>
      <c r="AG331" s="191"/>
      <c r="AH331" s="191"/>
      <c r="AI331" s="191"/>
      <c r="AJ331" s="191"/>
      <c r="AK331" s="191"/>
      <c r="AL331" s="191"/>
      <c r="AM331" s="191"/>
      <c r="AN331" s="191"/>
      <c r="AO331" s="191"/>
      <c r="AP331" s="191"/>
      <c r="AQ331" s="191"/>
      <c r="AR331" s="191"/>
      <c r="AS331" s="191"/>
      <c r="AT331" s="191"/>
      <c r="AU331" s="191"/>
      <c r="AV331" s="191"/>
      <c r="AW331" s="191"/>
      <c r="AX331" s="191"/>
      <c r="AY331" s="191"/>
      <c r="AZ331" s="191"/>
      <c r="BA331" s="191"/>
      <c r="BB331" s="191"/>
      <c r="BC331" s="191"/>
      <c r="BD331" s="191"/>
      <c r="BE331" s="191"/>
      <c r="BF331" s="191"/>
      <c r="BG331" s="191"/>
      <c r="BH331" s="191"/>
      <c r="BI331" s="191"/>
      <c r="BJ331" s="191"/>
      <c r="BK331" s="191"/>
      <c r="BL331" s="191"/>
      <c r="BM331" s="191"/>
      <c r="BN331" s="191"/>
      <c r="BO331" s="191"/>
      <c r="BP331" s="191"/>
      <c r="BQ331" s="191"/>
    </row>
    <row r="332" spans="11:69">
      <c r="K332" s="191"/>
      <c r="L332" s="191"/>
      <c r="M332" s="191"/>
      <c r="N332" s="191"/>
      <c r="O332" s="191"/>
      <c r="P332" s="191"/>
      <c r="Q332" s="191"/>
      <c r="R332" s="191"/>
      <c r="S332" s="191"/>
      <c r="T332" s="191"/>
      <c r="U332" s="191"/>
      <c r="V332" s="191"/>
      <c r="W332" s="191"/>
      <c r="X332" s="191"/>
      <c r="Y332" s="191"/>
      <c r="Z332" s="191"/>
      <c r="AA332" s="191"/>
      <c r="AB332" s="191"/>
      <c r="AC332" s="191"/>
      <c r="AD332" s="191"/>
      <c r="AE332" s="191"/>
      <c r="AF332" s="191"/>
      <c r="AG332" s="191"/>
      <c r="AH332" s="191"/>
      <c r="AI332" s="191"/>
      <c r="AJ332" s="191"/>
      <c r="AK332" s="191"/>
      <c r="AL332" s="191"/>
      <c r="AM332" s="191"/>
      <c r="AN332" s="191"/>
      <c r="AO332" s="191"/>
      <c r="AP332" s="191"/>
      <c r="AQ332" s="191"/>
      <c r="AR332" s="191"/>
      <c r="AS332" s="191"/>
      <c r="AT332" s="191"/>
      <c r="AU332" s="191"/>
      <c r="AV332" s="191"/>
      <c r="AW332" s="191"/>
      <c r="AX332" s="191"/>
      <c r="AY332" s="191"/>
      <c r="AZ332" s="191"/>
      <c r="BA332" s="191"/>
      <c r="BB332" s="191"/>
      <c r="BC332" s="191"/>
      <c r="BD332" s="191"/>
      <c r="BE332" s="191"/>
      <c r="BF332" s="191"/>
      <c r="BG332" s="191"/>
      <c r="BH332" s="191"/>
      <c r="BI332" s="191"/>
      <c r="BJ332" s="191"/>
      <c r="BK332" s="191"/>
      <c r="BL332" s="191"/>
      <c r="BM332" s="191"/>
      <c r="BN332" s="191"/>
      <c r="BO332" s="191"/>
      <c r="BP332" s="191"/>
      <c r="BQ332" s="191"/>
    </row>
    <row r="333" spans="11:69">
      <c r="K333" s="191"/>
      <c r="L333" s="191"/>
      <c r="M333" s="191"/>
      <c r="N333" s="191"/>
      <c r="O333" s="191"/>
      <c r="P333" s="191"/>
      <c r="Q333" s="191"/>
      <c r="R333" s="191"/>
      <c r="S333" s="191"/>
      <c r="T333" s="191"/>
      <c r="U333" s="191"/>
      <c r="V333" s="191"/>
      <c r="W333" s="191"/>
      <c r="X333" s="191"/>
      <c r="Y333" s="191"/>
      <c r="Z333" s="191"/>
      <c r="AA333" s="191"/>
      <c r="AB333" s="191"/>
      <c r="AC333" s="191"/>
      <c r="AD333" s="191"/>
      <c r="AE333" s="191"/>
      <c r="AF333" s="191"/>
      <c r="AG333" s="191"/>
      <c r="AH333" s="191"/>
      <c r="AI333" s="191"/>
      <c r="AJ333" s="191"/>
      <c r="AK333" s="191"/>
      <c r="AL333" s="191"/>
      <c r="AM333" s="191"/>
      <c r="AN333" s="191"/>
      <c r="AO333" s="191"/>
      <c r="AP333" s="191"/>
      <c r="AQ333" s="191"/>
      <c r="AR333" s="191"/>
      <c r="AS333" s="191"/>
      <c r="AT333" s="191"/>
      <c r="AU333" s="191"/>
      <c r="AV333" s="191"/>
      <c r="AW333" s="191"/>
      <c r="AX333" s="191"/>
      <c r="AY333" s="191"/>
      <c r="AZ333" s="191"/>
      <c r="BA333" s="191"/>
      <c r="BB333" s="191"/>
      <c r="BC333" s="191"/>
      <c r="BD333" s="191"/>
      <c r="BE333" s="191"/>
      <c r="BF333" s="191"/>
      <c r="BG333" s="191"/>
      <c r="BH333" s="191"/>
      <c r="BI333" s="191"/>
      <c r="BJ333" s="191"/>
      <c r="BK333" s="191"/>
      <c r="BL333" s="191"/>
      <c r="BM333" s="191"/>
      <c r="BN333" s="191"/>
      <c r="BO333" s="191"/>
      <c r="BP333" s="191"/>
      <c r="BQ333" s="191"/>
    </row>
    <row r="334" spans="11:69">
      <c r="K334" s="191"/>
      <c r="L334" s="191"/>
      <c r="M334" s="191"/>
      <c r="N334" s="191"/>
      <c r="O334" s="191"/>
      <c r="P334" s="191"/>
      <c r="Q334" s="191"/>
      <c r="R334" s="191"/>
      <c r="S334" s="191"/>
      <c r="T334" s="191"/>
      <c r="U334" s="191"/>
      <c r="V334" s="191"/>
      <c r="W334" s="191"/>
      <c r="X334" s="191"/>
      <c r="Y334" s="191"/>
      <c r="Z334" s="191"/>
      <c r="AA334" s="191"/>
      <c r="AB334" s="191"/>
      <c r="AC334" s="191"/>
      <c r="AD334" s="191"/>
      <c r="AE334" s="191"/>
      <c r="AF334" s="191"/>
      <c r="AG334" s="191"/>
      <c r="AH334" s="191"/>
      <c r="AI334" s="191"/>
      <c r="AJ334" s="191"/>
      <c r="AK334" s="191"/>
      <c r="AL334" s="191"/>
      <c r="AM334" s="191"/>
      <c r="AN334" s="191"/>
      <c r="AO334" s="191"/>
      <c r="AP334" s="191"/>
      <c r="AQ334" s="191"/>
      <c r="AR334" s="191"/>
      <c r="AS334" s="191"/>
      <c r="AT334" s="191"/>
      <c r="AU334" s="191"/>
      <c r="AV334" s="191"/>
      <c r="AW334" s="191"/>
      <c r="AX334" s="191"/>
      <c r="AY334" s="191"/>
      <c r="AZ334" s="191"/>
      <c r="BA334" s="191"/>
      <c r="BB334" s="191"/>
      <c r="BC334" s="191"/>
      <c r="BD334" s="191"/>
      <c r="BE334" s="191"/>
      <c r="BF334" s="191"/>
      <c r="BG334" s="191"/>
      <c r="BH334" s="191"/>
      <c r="BI334" s="191"/>
      <c r="BJ334" s="191"/>
      <c r="BK334" s="191"/>
      <c r="BL334" s="191"/>
      <c r="BM334" s="191"/>
      <c r="BN334" s="191"/>
      <c r="BO334" s="191"/>
      <c r="BP334" s="191"/>
      <c r="BQ334" s="191"/>
    </row>
    <row r="335" spans="11:69">
      <c r="K335" s="191"/>
      <c r="L335" s="191"/>
      <c r="M335" s="191"/>
      <c r="N335" s="191"/>
      <c r="O335" s="191"/>
      <c r="P335" s="191"/>
      <c r="Q335" s="191"/>
      <c r="R335" s="191"/>
      <c r="S335" s="191"/>
      <c r="T335" s="191"/>
      <c r="U335" s="191"/>
      <c r="V335" s="191"/>
      <c r="W335" s="191"/>
      <c r="X335" s="191"/>
      <c r="Y335" s="191"/>
      <c r="Z335" s="191"/>
      <c r="AA335" s="191"/>
      <c r="AB335" s="191"/>
      <c r="AC335" s="191"/>
      <c r="AD335" s="191"/>
      <c r="AE335" s="191"/>
      <c r="AF335" s="191"/>
      <c r="AG335" s="191"/>
      <c r="AH335" s="191"/>
      <c r="AI335" s="191"/>
      <c r="AJ335" s="191"/>
      <c r="AK335" s="191"/>
      <c r="AL335" s="191"/>
      <c r="AM335" s="191"/>
      <c r="AN335" s="191"/>
      <c r="AO335" s="191"/>
      <c r="AP335" s="191"/>
      <c r="AQ335" s="191"/>
      <c r="AR335" s="191"/>
      <c r="AS335" s="191"/>
      <c r="AT335" s="191"/>
      <c r="AU335" s="191"/>
      <c r="AV335" s="191"/>
      <c r="AW335" s="191"/>
      <c r="AX335" s="191"/>
      <c r="AY335" s="191"/>
      <c r="AZ335" s="191"/>
      <c r="BA335" s="191"/>
      <c r="BB335" s="191"/>
      <c r="BC335" s="191"/>
      <c r="BD335" s="191"/>
      <c r="BE335" s="191"/>
      <c r="BF335" s="191"/>
      <c r="BG335" s="191"/>
      <c r="BH335" s="191"/>
      <c r="BI335" s="191"/>
      <c r="BJ335" s="191"/>
      <c r="BK335" s="191"/>
      <c r="BL335" s="191"/>
      <c r="BM335" s="191"/>
      <c r="BN335" s="191"/>
      <c r="BO335" s="191"/>
      <c r="BP335" s="191"/>
      <c r="BQ335" s="191"/>
    </row>
    <row r="336" spans="11:69">
      <c r="K336" s="191"/>
      <c r="L336" s="191"/>
      <c r="M336" s="191"/>
      <c r="N336" s="191"/>
      <c r="O336" s="191"/>
      <c r="P336" s="191"/>
      <c r="Q336" s="191"/>
      <c r="R336" s="191"/>
      <c r="S336" s="191"/>
      <c r="T336" s="191"/>
      <c r="U336" s="191"/>
      <c r="V336" s="191"/>
      <c r="W336" s="191"/>
      <c r="X336" s="191"/>
      <c r="Y336" s="191"/>
      <c r="Z336" s="191"/>
      <c r="AA336" s="191"/>
      <c r="AB336" s="191"/>
      <c r="AC336" s="191"/>
      <c r="AD336" s="191"/>
      <c r="AE336" s="191"/>
      <c r="AF336" s="191"/>
      <c r="AG336" s="191"/>
      <c r="AH336" s="191"/>
      <c r="AI336" s="191"/>
      <c r="AJ336" s="191"/>
      <c r="AK336" s="191"/>
      <c r="AL336" s="191"/>
      <c r="AM336" s="191"/>
      <c r="AN336" s="191"/>
      <c r="AO336" s="191"/>
      <c r="AP336" s="191"/>
      <c r="AQ336" s="191"/>
      <c r="AR336" s="191"/>
      <c r="AS336" s="191"/>
      <c r="AT336" s="191"/>
      <c r="AU336" s="191"/>
      <c r="AV336" s="191"/>
      <c r="AW336" s="191"/>
      <c r="AX336" s="191"/>
      <c r="AY336" s="191"/>
      <c r="AZ336" s="191"/>
      <c r="BA336" s="191"/>
      <c r="BB336" s="191"/>
      <c r="BC336" s="191"/>
      <c r="BD336" s="191"/>
      <c r="BE336" s="191"/>
      <c r="BF336" s="191"/>
      <c r="BG336" s="191"/>
      <c r="BH336" s="191"/>
      <c r="BI336" s="191"/>
      <c r="BJ336" s="191"/>
      <c r="BK336" s="191"/>
      <c r="BL336" s="191"/>
      <c r="BM336" s="191"/>
      <c r="BN336" s="191"/>
      <c r="BO336" s="191"/>
      <c r="BP336" s="191"/>
      <c r="BQ336" s="191"/>
    </row>
    <row r="337" spans="11:69">
      <c r="K337" s="191"/>
      <c r="L337" s="191"/>
      <c r="M337" s="191"/>
      <c r="N337" s="191"/>
      <c r="O337" s="191"/>
      <c r="P337" s="191"/>
      <c r="Q337" s="191"/>
      <c r="R337" s="191"/>
      <c r="S337" s="191"/>
      <c r="T337" s="191"/>
      <c r="U337" s="191"/>
      <c r="V337" s="191"/>
      <c r="W337" s="191"/>
      <c r="X337" s="191"/>
      <c r="Y337" s="191"/>
      <c r="Z337" s="191"/>
      <c r="AA337" s="191"/>
      <c r="AB337" s="191"/>
      <c r="AC337" s="191"/>
      <c r="AD337" s="191"/>
      <c r="AE337" s="191"/>
      <c r="AF337" s="191"/>
      <c r="AG337" s="191"/>
      <c r="AH337" s="191"/>
      <c r="AI337" s="191"/>
      <c r="AJ337" s="191"/>
      <c r="AK337" s="191"/>
      <c r="AL337" s="191"/>
      <c r="AM337" s="191"/>
      <c r="AN337" s="191"/>
      <c r="AO337" s="191"/>
      <c r="AP337" s="191"/>
      <c r="AQ337" s="191"/>
      <c r="AR337" s="191"/>
      <c r="AS337" s="191"/>
      <c r="AT337" s="191"/>
      <c r="AU337" s="191"/>
      <c r="AV337" s="191"/>
      <c r="AW337" s="191"/>
      <c r="AX337" s="191"/>
      <c r="AY337" s="191"/>
      <c r="AZ337" s="191"/>
      <c r="BA337" s="191"/>
      <c r="BB337" s="191"/>
      <c r="BC337" s="191"/>
      <c r="BD337" s="191"/>
      <c r="BE337" s="191"/>
      <c r="BF337" s="191"/>
      <c r="BG337" s="191"/>
      <c r="BH337" s="191"/>
      <c r="BI337" s="191"/>
      <c r="BJ337" s="191"/>
      <c r="BK337" s="191"/>
      <c r="BL337" s="191"/>
      <c r="BM337" s="191"/>
      <c r="BN337" s="191"/>
      <c r="BO337" s="191"/>
      <c r="BP337" s="191"/>
      <c r="BQ337" s="191"/>
    </row>
    <row r="338" spans="11:69">
      <c r="K338" s="191"/>
      <c r="L338" s="191"/>
      <c r="M338" s="191"/>
      <c r="N338" s="191"/>
      <c r="O338" s="191"/>
      <c r="P338" s="191"/>
      <c r="Q338" s="191"/>
      <c r="R338" s="191"/>
      <c r="S338" s="191"/>
      <c r="T338" s="191"/>
      <c r="U338" s="191"/>
      <c r="V338" s="191"/>
      <c r="W338" s="191"/>
      <c r="X338" s="191"/>
      <c r="Y338" s="191"/>
      <c r="Z338" s="191"/>
      <c r="AA338" s="191"/>
      <c r="AB338" s="191"/>
      <c r="AC338" s="191"/>
      <c r="AD338" s="191"/>
      <c r="AE338" s="191"/>
      <c r="AF338" s="191"/>
      <c r="AG338" s="191"/>
      <c r="AH338" s="191"/>
      <c r="AI338" s="191"/>
      <c r="AJ338" s="191"/>
      <c r="AK338" s="191"/>
      <c r="AL338" s="191"/>
      <c r="AM338" s="191"/>
      <c r="AN338" s="191"/>
      <c r="AO338" s="191"/>
      <c r="AP338" s="191"/>
      <c r="AQ338" s="191"/>
      <c r="AR338" s="191"/>
      <c r="AS338" s="191"/>
      <c r="AT338" s="191"/>
      <c r="AU338" s="191"/>
      <c r="AV338" s="191"/>
      <c r="AW338" s="191"/>
      <c r="AX338" s="191"/>
      <c r="AY338" s="191"/>
      <c r="AZ338" s="191"/>
      <c r="BA338" s="191"/>
      <c r="BB338" s="191"/>
      <c r="BC338" s="191"/>
      <c r="BD338" s="191"/>
      <c r="BE338" s="191"/>
      <c r="BF338" s="191"/>
      <c r="BG338" s="191"/>
      <c r="BH338" s="191"/>
      <c r="BI338" s="191"/>
      <c r="BJ338" s="191"/>
      <c r="BK338" s="191"/>
      <c r="BL338" s="191"/>
      <c r="BM338" s="191"/>
      <c r="BN338" s="191"/>
      <c r="BO338" s="191"/>
      <c r="BP338" s="191"/>
      <c r="BQ338" s="191"/>
    </row>
    <row r="339" spans="11:69">
      <c r="K339" s="191"/>
      <c r="L339" s="191"/>
      <c r="M339" s="191"/>
      <c r="N339" s="191"/>
      <c r="O339" s="191"/>
      <c r="P339" s="191"/>
      <c r="Q339" s="191"/>
      <c r="R339" s="191"/>
      <c r="S339" s="191"/>
      <c r="T339" s="191"/>
      <c r="U339" s="191"/>
      <c r="V339" s="191"/>
      <c r="W339" s="191"/>
      <c r="X339" s="191"/>
      <c r="Y339" s="191"/>
      <c r="Z339" s="191"/>
      <c r="AA339" s="191"/>
      <c r="AB339" s="191"/>
      <c r="AC339" s="191"/>
      <c r="AD339" s="191"/>
      <c r="AE339" s="191"/>
      <c r="AF339" s="191"/>
      <c r="AG339" s="191"/>
      <c r="AH339" s="191"/>
      <c r="AI339" s="191"/>
      <c r="AJ339" s="191"/>
      <c r="AK339" s="191"/>
      <c r="AL339" s="191"/>
      <c r="AM339" s="191"/>
      <c r="AN339" s="191"/>
      <c r="AO339" s="191"/>
      <c r="AP339" s="191"/>
      <c r="AQ339" s="191"/>
      <c r="AR339" s="191"/>
      <c r="AS339" s="191"/>
      <c r="AT339" s="191"/>
      <c r="AU339" s="191"/>
      <c r="AV339" s="191"/>
      <c r="AW339" s="191"/>
      <c r="AX339" s="191"/>
      <c r="AY339" s="191"/>
      <c r="AZ339" s="191"/>
      <c r="BA339" s="191"/>
      <c r="BB339" s="191"/>
      <c r="BC339" s="191"/>
      <c r="BD339" s="191"/>
      <c r="BE339" s="191"/>
      <c r="BF339" s="191"/>
      <c r="BG339" s="191"/>
      <c r="BH339" s="191"/>
      <c r="BI339" s="191"/>
      <c r="BJ339" s="191"/>
      <c r="BK339" s="191"/>
      <c r="BL339" s="191"/>
      <c r="BM339" s="191"/>
      <c r="BN339" s="191"/>
      <c r="BO339" s="191"/>
      <c r="BP339" s="191"/>
      <c r="BQ339" s="191"/>
    </row>
    <row r="340" spans="11:69">
      <c r="K340" s="191"/>
      <c r="L340" s="191"/>
      <c r="M340" s="191"/>
      <c r="N340" s="191"/>
      <c r="O340" s="191"/>
      <c r="P340" s="191"/>
      <c r="Q340" s="191"/>
      <c r="R340" s="191"/>
      <c r="S340" s="191"/>
      <c r="T340" s="191"/>
      <c r="U340" s="191"/>
      <c r="V340" s="191"/>
      <c r="W340" s="191"/>
      <c r="X340" s="191"/>
      <c r="Y340" s="191"/>
      <c r="Z340" s="191"/>
      <c r="AA340" s="191"/>
      <c r="AB340" s="191"/>
      <c r="AC340" s="191"/>
      <c r="AD340" s="191"/>
      <c r="AE340" s="191"/>
      <c r="AF340" s="191"/>
      <c r="AG340" s="191"/>
      <c r="AH340" s="191"/>
      <c r="AI340" s="191"/>
      <c r="AJ340" s="191"/>
      <c r="AK340" s="191"/>
      <c r="AL340" s="191"/>
      <c r="AM340" s="191"/>
      <c r="AN340" s="191"/>
      <c r="AO340" s="191"/>
      <c r="AP340" s="191"/>
      <c r="AQ340" s="191"/>
      <c r="AR340" s="191"/>
      <c r="AS340" s="191"/>
      <c r="AT340" s="191"/>
      <c r="AU340" s="191"/>
      <c r="AV340" s="191"/>
      <c r="AW340" s="191"/>
      <c r="AX340" s="191"/>
      <c r="AY340" s="191"/>
      <c r="AZ340" s="191"/>
      <c r="BA340" s="191"/>
      <c r="BB340" s="191"/>
      <c r="BC340" s="191"/>
      <c r="BD340" s="191"/>
      <c r="BE340" s="191"/>
      <c r="BF340" s="191"/>
      <c r="BG340" s="191"/>
      <c r="BH340" s="191"/>
      <c r="BI340" s="191"/>
      <c r="BJ340" s="191"/>
      <c r="BK340" s="191"/>
      <c r="BL340" s="191"/>
      <c r="BM340" s="191"/>
      <c r="BN340" s="191"/>
      <c r="BO340" s="191"/>
      <c r="BP340" s="191"/>
      <c r="BQ340" s="191"/>
    </row>
    <row r="341" spans="11:69">
      <c r="K341" s="191"/>
      <c r="L341" s="191"/>
      <c r="M341" s="191"/>
      <c r="N341" s="191"/>
      <c r="O341" s="191"/>
      <c r="P341" s="191"/>
      <c r="Q341" s="191"/>
      <c r="R341" s="191"/>
      <c r="S341" s="191"/>
      <c r="T341" s="191"/>
      <c r="U341" s="191"/>
      <c r="V341" s="191"/>
      <c r="W341" s="191"/>
      <c r="X341" s="191"/>
      <c r="Y341" s="191"/>
      <c r="Z341" s="191"/>
      <c r="AA341" s="191"/>
      <c r="AB341" s="191"/>
      <c r="AC341" s="191"/>
      <c r="AD341" s="191"/>
      <c r="AE341" s="191"/>
      <c r="AF341" s="191"/>
      <c r="AG341" s="191"/>
      <c r="AH341" s="191"/>
      <c r="AI341" s="191"/>
      <c r="AJ341" s="191"/>
      <c r="AK341" s="191"/>
      <c r="AL341" s="191"/>
      <c r="AM341" s="191"/>
      <c r="AN341" s="191"/>
      <c r="AO341" s="191"/>
      <c r="AP341" s="191"/>
      <c r="AQ341" s="191"/>
      <c r="AR341" s="191"/>
      <c r="AS341" s="191"/>
      <c r="AT341" s="191"/>
      <c r="AU341" s="191"/>
      <c r="AV341" s="191"/>
      <c r="AW341" s="191"/>
      <c r="AX341" s="191"/>
      <c r="AY341" s="191"/>
      <c r="AZ341" s="191"/>
      <c r="BA341" s="191"/>
      <c r="BB341" s="191"/>
      <c r="BC341" s="191"/>
      <c r="BD341" s="191"/>
      <c r="BE341" s="191"/>
      <c r="BF341" s="191"/>
      <c r="BG341" s="191"/>
      <c r="BH341" s="191"/>
      <c r="BI341" s="191"/>
      <c r="BJ341" s="191"/>
      <c r="BK341" s="191"/>
      <c r="BL341" s="191"/>
      <c r="BM341" s="191"/>
      <c r="BN341" s="191"/>
      <c r="BO341" s="191"/>
      <c r="BP341" s="191"/>
      <c r="BQ341" s="191"/>
    </row>
    <row r="342" spans="11:69">
      <c r="K342" s="191"/>
      <c r="L342" s="191"/>
      <c r="M342" s="191"/>
      <c r="N342" s="191"/>
      <c r="O342" s="191"/>
      <c r="P342" s="191"/>
      <c r="Q342" s="191"/>
      <c r="R342" s="191"/>
      <c r="S342" s="191"/>
      <c r="T342" s="191"/>
      <c r="U342" s="191"/>
      <c r="V342" s="191"/>
      <c r="W342" s="191"/>
      <c r="X342" s="191"/>
      <c r="Y342" s="191"/>
      <c r="Z342" s="191"/>
      <c r="AA342" s="191"/>
      <c r="AB342" s="191"/>
      <c r="AC342" s="191"/>
      <c r="AD342" s="191"/>
      <c r="AE342" s="191"/>
      <c r="AF342" s="191"/>
      <c r="AG342" s="191"/>
      <c r="AH342" s="191"/>
      <c r="AI342" s="191"/>
      <c r="AJ342" s="191"/>
      <c r="AK342" s="191"/>
      <c r="AL342" s="191"/>
      <c r="AM342" s="191"/>
      <c r="AN342" s="191"/>
      <c r="AO342" s="191"/>
      <c r="AP342" s="191"/>
      <c r="AQ342" s="191"/>
      <c r="AR342" s="191"/>
      <c r="AS342" s="191"/>
      <c r="AT342" s="191"/>
      <c r="AU342" s="191"/>
      <c r="AV342" s="191"/>
      <c r="AW342" s="191"/>
      <c r="AX342" s="191"/>
      <c r="AY342" s="191"/>
      <c r="AZ342" s="191"/>
      <c r="BA342" s="191"/>
      <c r="BB342" s="191"/>
      <c r="BC342" s="191"/>
      <c r="BD342" s="191"/>
      <c r="BE342" s="191"/>
      <c r="BF342" s="191"/>
      <c r="BG342" s="191"/>
      <c r="BH342" s="191"/>
      <c r="BI342" s="191"/>
      <c r="BJ342" s="191"/>
      <c r="BK342" s="191"/>
      <c r="BL342" s="191"/>
      <c r="BM342" s="191"/>
      <c r="BN342" s="191"/>
      <c r="BO342" s="191"/>
      <c r="BP342" s="191"/>
      <c r="BQ342" s="191"/>
    </row>
    <row r="343" spans="11:69">
      <c r="K343" s="191"/>
      <c r="L343" s="191"/>
      <c r="M343" s="191"/>
      <c r="N343" s="191"/>
      <c r="O343" s="191"/>
      <c r="P343" s="191"/>
      <c r="Q343" s="191"/>
      <c r="R343" s="191"/>
      <c r="S343" s="191"/>
      <c r="T343" s="191"/>
      <c r="U343" s="191"/>
      <c r="V343" s="191"/>
      <c r="W343" s="191"/>
      <c r="X343" s="191"/>
      <c r="Y343" s="191"/>
      <c r="Z343" s="191"/>
      <c r="AA343" s="191"/>
      <c r="AB343" s="191"/>
      <c r="AC343" s="191"/>
      <c r="AD343" s="191"/>
      <c r="AE343" s="191"/>
      <c r="AF343" s="191"/>
      <c r="AG343" s="191"/>
      <c r="AH343" s="191"/>
      <c r="AI343" s="191"/>
      <c r="AJ343" s="191"/>
      <c r="AK343" s="191"/>
      <c r="AL343" s="191"/>
      <c r="AM343" s="191"/>
      <c r="AN343" s="191"/>
      <c r="AO343" s="191"/>
      <c r="AP343" s="191"/>
      <c r="AQ343" s="191"/>
      <c r="AR343" s="191"/>
      <c r="AS343" s="191"/>
      <c r="AT343" s="191"/>
      <c r="AU343" s="191"/>
      <c r="AV343" s="191"/>
      <c r="AW343" s="191"/>
      <c r="AX343" s="191"/>
      <c r="AY343" s="191"/>
      <c r="AZ343" s="191"/>
      <c r="BA343" s="191"/>
      <c r="BB343" s="191"/>
      <c r="BC343" s="191"/>
      <c r="BD343" s="191"/>
      <c r="BE343" s="191"/>
      <c r="BF343" s="191"/>
      <c r="BG343" s="191"/>
      <c r="BH343" s="191"/>
      <c r="BI343" s="191"/>
      <c r="BJ343" s="191"/>
      <c r="BK343" s="191"/>
      <c r="BL343" s="191"/>
      <c r="BM343" s="191"/>
      <c r="BN343" s="191"/>
      <c r="BO343" s="191"/>
      <c r="BP343" s="191"/>
      <c r="BQ343" s="191"/>
    </row>
    <row r="344" spans="11:69">
      <c r="K344" s="191"/>
      <c r="L344" s="191"/>
      <c r="M344" s="191"/>
      <c r="N344" s="191"/>
      <c r="O344" s="191"/>
      <c r="P344" s="191"/>
      <c r="Q344" s="191"/>
      <c r="R344" s="191"/>
      <c r="S344" s="191"/>
      <c r="T344" s="191"/>
      <c r="U344" s="191"/>
      <c r="V344" s="191"/>
      <c r="W344" s="191"/>
      <c r="X344" s="191"/>
      <c r="Y344" s="191"/>
      <c r="Z344" s="191"/>
      <c r="AA344" s="191"/>
      <c r="AB344" s="191"/>
      <c r="AC344" s="191"/>
      <c r="AD344" s="191"/>
      <c r="AE344" s="191"/>
      <c r="AF344" s="191"/>
      <c r="AG344" s="191"/>
      <c r="AH344" s="191"/>
      <c r="AI344" s="191"/>
      <c r="AJ344" s="191"/>
      <c r="AK344" s="191"/>
      <c r="AL344" s="191"/>
      <c r="AM344" s="191"/>
      <c r="AN344" s="191"/>
      <c r="AO344" s="191"/>
      <c r="AP344" s="191"/>
      <c r="AQ344" s="191"/>
      <c r="AR344" s="191"/>
      <c r="AS344" s="191"/>
      <c r="AT344" s="191"/>
      <c r="AU344" s="191"/>
      <c r="AV344" s="191"/>
      <c r="AW344" s="191"/>
      <c r="AX344" s="191"/>
      <c r="AY344" s="191"/>
      <c r="AZ344" s="191"/>
      <c r="BA344" s="191"/>
      <c r="BB344" s="191"/>
      <c r="BC344" s="191"/>
      <c r="BD344" s="191"/>
      <c r="BE344" s="191"/>
      <c r="BF344" s="191"/>
      <c r="BG344" s="191"/>
      <c r="BH344" s="191"/>
      <c r="BI344" s="191"/>
      <c r="BJ344" s="191"/>
      <c r="BK344" s="191"/>
      <c r="BL344" s="191"/>
      <c r="BM344" s="191"/>
      <c r="BN344" s="191"/>
      <c r="BO344" s="191"/>
      <c r="BP344" s="191"/>
      <c r="BQ344" s="191"/>
    </row>
    <row r="345" spans="11:69">
      <c r="K345" s="191"/>
      <c r="L345" s="191"/>
      <c r="M345" s="191"/>
      <c r="N345" s="191"/>
      <c r="O345" s="191"/>
      <c r="P345" s="191"/>
      <c r="Q345" s="191"/>
      <c r="R345" s="191"/>
      <c r="S345" s="191"/>
      <c r="T345" s="191"/>
      <c r="U345" s="191"/>
      <c r="V345" s="191"/>
      <c r="W345" s="191"/>
      <c r="X345" s="191"/>
      <c r="Y345" s="191"/>
      <c r="Z345" s="191"/>
      <c r="AA345" s="191"/>
      <c r="AB345" s="191"/>
      <c r="AC345" s="191"/>
      <c r="AD345" s="191"/>
      <c r="AE345" s="191"/>
      <c r="AF345" s="191"/>
      <c r="AG345" s="191"/>
      <c r="AH345" s="191"/>
      <c r="AI345" s="191"/>
      <c r="AJ345" s="191"/>
      <c r="AK345" s="191"/>
      <c r="AL345" s="191"/>
      <c r="AM345" s="191"/>
      <c r="AN345" s="191"/>
      <c r="AO345" s="191"/>
      <c r="AP345" s="191"/>
      <c r="AQ345" s="191"/>
      <c r="AR345" s="191"/>
      <c r="AS345" s="191"/>
      <c r="AT345" s="191"/>
      <c r="AU345" s="191"/>
      <c r="AV345" s="191"/>
      <c r="AW345" s="191"/>
      <c r="AX345" s="191"/>
      <c r="AY345" s="191"/>
      <c r="AZ345" s="191"/>
      <c r="BA345" s="191"/>
      <c r="BB345" s="191"/>
      <c r="BC345" s="191"/>
      <c r="BD345" s="191"/>
      <c r="BE345" s="191"/>
      <c r="BF345" s="191"/>
      <c r="BG345" s="191"/>
      <c r="BH345" s="191"/>
      <c r="BI345" s="191"/>
      <c r="BJ345" s="191"/>
      <c r="BK345" s="191"/>
      <c r="BL345" s="191"/>
      <c r="BM345" s="191"/>
      <c r="BN345" s="191"/>
      <c r="BO345" s="191"/>
      <c r="BP345" s="191"/>
      <c r="BQ345" s="191"/>
    </row>
    <row r="346" spans="11:69">
      <c r="K346" s="191"/>
      <c r="L346" s="191"/>
      <c r="M346" s="191"/>
      <c r="N346" s="191"/>
      <c r="O346" s="191"/>
      <c r="P346" s="191"/>
      <c r="Q346" s="191"/>
      <c r="R346" s="191"/>
      <c r="S346" s="191"/>
      <c r="T346" s="191"/>
      <c r="U346" s="191"/>
      <c r="V346" s="191"/>
      <c r="W346" s="191"/>
      <c r="X346" s="191"/>
      <c r="Y346" s="191"/>
      <c r="Z346" s="191"/>
      <c r="AA346" s="191"/>
      <c r="AB346" s="191"/>
      <c r="AC346" s="191"/>
      <c r="AD346" s="191"/>
      <c r="AE346" s="191"/>
      <c r="AF346" s="191"/>
      <c r="AG346" s="191"/>
      <c r="AH346" s="191"/>
      <c r="AI346" s="191"/>
      <c r="AJ346" s="191"/>
      <c r="AK346" s="191"/>
      <c r="AL346" s="191"/>
      <c r="AM346" s="191"/>
      <c r="AN346" s="191"/>
      <c r="AO346" s="191"/>
      <c r="AP346" s="191"/>
      <c r="AQ346" s="191"/>
      <c r="AR346" s="191"/>
      <c r="AS346" s="191"/>
      <c r="AT346" s="191"/>
      <c r="AU346" s="191"/>
      <c r="AV346" s="191"/>
      <c r="AW346" s="191"/>
      <c r="AX346" s="191"/>
      <c r="AY346" s="191"/>
      <c r="AZ346" s="191"/>
      <c r="BA346" s="191"/>
      <c r="BB346" s="191"/>
      <c r="BC346" s="191"/>
      <c r="BD346" s="191"/>
      <c r="BE346" s="191"/>
      <c r="BF346" s="191"/>
      <c r="BG346" s="191"/>
      <c r="BH346" s="191"/>
      <c r="BI346" s="191"/>
      <c r="BJ346" s="191"/>
      <c r="BK346" s="191"/>
      <c r="BL346" s="191"/>
      <c r="BM346" s="191"/>
      <c r="BN346" s="191"/>
      <c r="BO346" s="191"/>
      <c r="BP346" s="191"/>
      <c r="BQ346" s="191"/>
    </row>
    <row r="347" spans="11:69">
      <c r="K347" s="191"/>
      <c r="L347" s="191"/>
      <c r="M347" s="191"/>
      <c r="N347" s="191"/>
      <c r="O347" s="191"/>
      <c r="P347" s="191"/>
      <c r="Q347" s="191"/>
      <c r="R347" s="191"/>
      <c r="S347" s="191"/>
      <c r="T347" s="191"/>
      <c r="U347" s="191"/>
      <c r="V347" s="191"/>
      <c r="W347" s="191"/>
      <c r="X347" s="191"/>
      <c r="Y347" s="191"/>
      <c r="Z347" s="191"/>
      <c r="AA347" s="191"/>
      <c r="AB347" s="191"/>
      <c r="AC347" s="191"/>
      <c r="AD347" s="191"/>
      <c r="AE347" s="191"/>
      <c r="AF347" s="191"/>
      <c r="AG347" s="191"/>
      <c r="AH347" s="191"/>
      <c r="AI347" s="191"/>
      <c r="AJ347" s="191"/>
      <c r="AK347" s="191"/>
      <c r="AL347" s="191"/>
      <c r="AM347" s="191"/>
      <c r="AN347" s="191"/>
      <c r="AO347" s="191"/>
      <c r="AP347" s="191"/>
      <c r="AQ347" s="191"/>
      <c r="AR347" s="191"/>
      <c r="AS347" s="191"/>
      <c r="AT347" s="191"/>
      <c r="AU347" s="191"/>
      <c r="AV347" s="191"/>
      <c r="AW347" s="191"/>
      <c r="AX347" s="191"/>
      <c r="AY347" s="191"/>
      <c r="AZ347" s="191"/>
      <c r="BA347" s="191"/>
      <c r="BB347" s="191"/>
      <c r="BC347" s="191"/>
      <c r="BD347" s="191"/>
      <c r="BE347" s="191"/>
      <c r="BF347" s="191"/>
      <c r="BG347" s="191"/>
      <c r="BH347" s="191"/>
      <c r="BI347" s="191"/>
      <c r="BJ347" s="191"/>
      <c r="BK347" s="191"/>
      <c r="BL347" s="191"/>
      <c r="BM347" s="191"/>
      <c r="BN347" s="191"/>
      <c r="BO347" s="191"/>
      <c r="BP347" s="191"/>
      <c r="BQ347" s="191"/>
    </row>
    <row r="348" spans="11:69">
      <c r="K348" s="191"/>
      <c r="L348" s="191"/>
      <c r="M348" s="191"/>
      <c r="N348" s="191"/>
      <c r="O348" s="191"/>
      <c r="P348" s="191"/>
      <c r="Q348" s="191"/>
      <c r="R348" s="191"/>
      <c r="S348" s="191"/>
      <c r="T348" s="191"/>
      <c r="U348" s="191"/>
      <c r="V348" s="191"/>
      <c r="W348" s="191"/>
      <c r="X348" s="191"/>
      <c r="Y348" s="191"/>
      <c r="Z348" s="191"/>
      <c r="AA348" s="191"/>
      <c r="AB348" s="191"/>
      <c r="AC348" s="191"/>
      <c r="AD348" s="191"/>
      <c r="AE348" s="191"/>
      <c r="AF348" s="191"/>
      <c r="AG348" s="191"/>
      <c r="AH348" s="191"/>
      <c r="AI348" s="191"/>
      <c r="AJ348" s="191"/>
      <c r="AK348" s="191"/>
      <c r="AL348" s="191"/>
      <c r="AM348" s="191"/>
      <c r="AN348" s="191"/>
      <c r="AO348" s="191"/>
      <c r="AP348" s="191"/>
      <c r="AQ348" s="191"/>
      <c r="AR348" s="191"/>
      <c r="AS348" s="191"/>
      <c r="AT348" s="191"/>
      <c r="AU348" s="191"/>
      <c r="AV348" s="191"/>
      <c r="AW348" s="191"/>
      <c r="AX348" s="191"/>
      <c r="AY348" s="191"/>
      <c r="AZ348" s="191"/>
      <c r="BA348" s="191"/>
      <c r="BB348" s="191"/>
      <c r="BC348" s="191"/>
      <c r="BD348" s="191"/>
      <c r="BE348" s="191"/>
      <c r="BF348" s="191"/>
      <c r="BG348" s="191"/>
      <c r="BH348" s="191"/>
      <c r="BI348" s="191"/>
      <c r="BJ348" s="191"/>
      <c r="BK348" s="191"/>
      <c r="BL348" s="191"/>
      <c r="BM348" s="191"/>
      <c r="BN348" s="191"/>
      <c r="BO348" s="191"/>
      <c r="BP348" s="191"/>
      <c r="BQ348" s="191"/>
    </row>
    <row r="349" spans="11:69">
      <c r="K349" s="191"/>
      <c r="L349" s="191"/>
      <c r="M349" s="191"/>
      <c r="N349" s="191"/>
      <c r="O349" s="191"/>
      <c r="P349" s="191"/>
      <c r="Q349" s="191"/>
      <c r="R349" s="191"/>
      <c r="S349" s="191"/>
      <c r="T349" s="191"/>
      <c r="U349" s="191"/>
      <c r="V349" s="191"/>
      <c r="W349" s="191"/>
      <c r="X349" s="191"/>
      <c r="Y349" s="191"/>
      <c r="Z349" s="191"/>
      <c r="AA349" s="191"/>
      <c r="AB349" s="191"/>
      <c r="AC349" s="191"/>
      <c r="AD349" s="191"/>
      <c r="AE349" s="191"/>
      <c r="AF349" s="191"/>
      <c r="AG349" s="191"/>
      <c r="AH349" s="191"/>
      <c r="AI349" s="191"/>
      <c r="AJ349" s="191"/>
      <c r="AK349" s="191"/>
      <c r="AL349" s="191"/>
      <c r="AM349" s="191"/>
      <c r="AN349" s="191"/>
      <c r="AO349" s="191"/>
      <c r="AP349" s="191"/>
      <c r="AQ349" s="191"/>
      <c r="AR349" s="191"/>
      <c r="AS349" s="191"/>
      <c r="AT349" s="191"/>
      <c r="AU349" s="191"/>
      <c r="AV349" s="191"/>
      <c r="AW349" s="191"/>
      <c r="AX349" s="191"/>
      <c r="AY349" s="191"/>
      <c r="AZ349" s="191"/>
      <c r="BA349" s="191"/>
      <c r="BB349" s="191"/>
      <c r="BC349" s="191"/>
      <c r="BD349" s="191"/>
      <c r="BE349" s="191"/>
      <c r="BF349" s="191"/>
      <c r="BG349" s="191"/>
      <c r="BH349" s="191"/>
      <c r="BI349" s="191"/>
      <c r="BJ349" s="191"/>
      <c r="BK349" s="191"/>
      <c r="BL349" s="191"/>
      <c r="BM349" s="191"/>
      <c r="BN349" s="191"/>
      <c r="BO349" s="191"/>
      <c r="BP349" s="191"/>
      <c r="BQ349" s="191"/>
    </row>
    <row r="350" spans="11:69">
      <c r="K350" s="191"/>
      <c r="L350" s="191"/>
      <c r="M350" s="191"/>
      <c r="N350" s="191"/>
      <c r="O350" s="191"/>
      <c r="P350" s="191"/>
      <c r="Q350" s="191"/>
      <c r="R350" s="191"/>
      <c r="S350" s="191"/>
      <c r="T350" s="191"/>
      <c r="U350" s="191"/>
      <c r="V350" s="191"/>
      <c r="W350" s="191"/>
      <c r="X350" s="191"/>
      <c r="Y350" s="191"/>
      <c r="Z350" s="191"/>
      <c r="AA350" s="191"/>
      <c r="AB350" s="191"/>
      <c r="AC350" s="191"/>
      <c r="AD350" s="191"/>
      <c r="AE350" s="191"/>
      <c r="AF350" s="191"/>
      <c r="AG350" s="191"/>
      <c r="AH350" s="191"/>
      <c r="AI350" s="191"/>
      <c r="AJ350" s="191"/>
      <c r="AK350" s="191"/>
      <c r="AL350" s="191"/>
      <c r="AM350" s="191"/>
      <c r="AN350" s="191"/>
      <c r="AO350" s="191"/>
      <c r="AP350" s="191"/>
      <c r="AQ350" s="191"/>
      <c r="AR350" s="191"/>
      <c r="AS350" s="191"/>
      <c r="AT350" s="191"/>
      <c r="AU350" s="191"/>
      <c r="AV350" s="191"/>
      <c r="AW350" s="191"/>
      <c r="AX350" s="191"/>
      <c r="AY350" s="191"/>
      <c r="AZ350" s="191"/>
      <c r="BA350" s="191"/>
      <c r="BB350" s="191"/>
      <c r="BC350" s="191"/>
      <c r="BD350" s="191"/>
      <c r="BE350" s="191"/>
      <c r="BF350" s="191"/>
      <c r="BG350" s="191"/>
      <c r="BH350" s="191"/>
      <c r="BI350" s="191"/>
      <c r="BJ350" s="191"/>
      <c r="BK350" s="191"/>
      <c r="BL350" s="191"/>
      <c r="BM350" s="191"/>
      <c r="BN350" s="191"/>
      <c r="BO350" s="191"/>
      <c r="BP350" s="191"/>
      <c r="BQ350" s="191"/>
    </row>
    <row r="351" spans="11:69">
      <c r="K351" s="191"/>
      <c r="L351" s="191"/>
      <c r="M351" s="191"/>
      <c r="N351" s="191"/>
      <c r="O351" s="191"/>
      <c r="P351" s="191"/>
      <c r="Q351" s="191"/>
      <c r="R351" s="191"/>
      <c r="S351" s="191"/>
      <c r="T351" s="191"/>
      <c r="U351" s="191"/>
      <c r="V351" s="191"/>
      <c r="W351" s="191"/>
      <c r="X351" s="191"/>
      <c r="Y351" s="191"/>
      <c r="Z351" s="191"/>
      <c r="AA351" s="191"/>
      <c r="AB351" s="191"/>
      <c r="AC351" s="191"/>
      <c r="AD351" s="191"/>
      <c r="AE351" s="191"/>
      <c r="AF351" s="191"/>
      <c r="AG351" s="191"/>
      <c r="AH351" s="191"/>
      <c r="AI351" s="191"/>
      <c r="AJ351" s="191"/>
      <c r="AK351" s="191"/>
      <c r="AL351" s="191"/>
      <c r="AM351" s="191"/>
      <c r="AN351" s="191"/>
      <c r="AO351" s="191"/>
      <c r="AP351" s="191"/>
      <c r="AQ351" s="191"/>
      <c r="AR351" s="191"/>
      <c r="AS351" s="191"/>
      <c r="AT351" s="191"/>
      <c r="AU351" s="191"/>
      <c r="AV351" s="191"/>
      <c r="AW351" s="191"/>
      <c r="AX351" s="191"/>
      <c r="AY351" s="191"/>
      <c r="AZ351" s="191"/>
      <c r="BA351" s="191"/>
      <c r="BB351" s="191"/>
      <c r="BC351" s="191"/>
      <c r="BD351" s="191"/>
      <c r="BE351" s="191"/>
      <c r="BF351" s="191"/>
      <c r="BG351" s="191"/>
      <c r="BH351" s="191"/>
      <c r="BI351" s="191"/>
      <c r="BJ351" s="191"/>
      <c r="BK351" s="191"/>
      <c r="BL351" s="191"/>
      <c r="BM351" s="191"/>
      <c r="BN351" s="191"/>
      <c r="BO351" s="191"/>
      <c r="BP351" s="191"/>
      <c r="BQ351" s="191"/>
    </row>
    <row r="352" spans="11:69">
      <c r="K352" s="191"/>
      <c r="L352" s="191"/>
      <c r="M352" s="191"/>
      <c r="N352" s="191"/>
      <c r="O352" s="191"/>
      <c r="P352" s="191"/>
      <c r="Q352" s="191"/>
      <c r="R352" s="191"/>
      <c r="S352" s="191"/>
      <c r="T352" s="191"/>
      <c r="U352" s="191"/>
      <c r="V352" s="191"/>
      <c r="W352" s="191"/>
      <c r="X352" s="191"/>
      <c r="Y352" s="191"/>
      <c r="Z352" s="191"/>
      <c r="AA352" s="191"/>
      <c r="AB352" s="191"/>
      <c r="AC352" s="191"/>
      <c r="AD352" s="191"/>
      <c r="AE352" s="191"/>
      <c r="AF352" s="191"/>
      <c r="AG352" s="191"/>
      <c r="AH352" s="191"/>
      <c r="AI352" s="191"/>
      <c r="AJ352" s="191"/>
      <c r="AK352" s="191"/>
      <c r="AL352" s="191"/>
      <c r="AM352" s="191"/>
      <c r="AN352" s="191"/>
      <c r="AO352" s="191"/>
      <c r="AP352" s="191"/>
      <c r="AQ352" s="191"/>
      <c r="AR352" s="191"/>
      <c r="AS352" s="191"/>
      <c r="AT352" s="191"/>
      <c r="AU352" s="191"/>
      <c r="AV352" s="191"/>
      <c r="AW352" s="191"/>
      <c r="AX352" s="191"/>
      <c r="AY352" s="191"/>
      <c r="AZ352" s="191"/>
      <c r="BA352" s="191"/>
      <c r="BB352" s="191"/>
      <c r="BC352" s="191"/>
      <c r="BD352" s="191"/>
      <c r="BE352" s="191"/>
      <c r="BF352" s="191"/>
      <c r="BG352" s="191"/>
      <c r="BH352" s="191"/>
      <c r="BI352" s="191"/>
      <c r="BJ352" s="191"/>
      <c r="BK352" s="191"/>
      <c r="BL352" s="191"/>
      <c r="BM352" s="191"/>
      <c r="BN352" s="191"/>
      <c r="BO352" s="191"/>
      <c r="BP352" s="191"/>
      <c r="BQ352" s="191"/>
    </row>
    <row r="353" spans="11:69">
      <c r="K353" s="191"/>
      <c r="L353" s="191"/>
      <c r="M353" s="191"/>
      <c r="N353" s="191"/>
      <c r="O353" s="191"/>
      <c r="P353" s="191"/>
      <c r="Q353" s="191"/>
      <c r="R353" s="191"/>
      <c r="S353" s="191"/>
      <c r="T353" s="191"/>
      <c r="U353" s="191"/>
      <c r="V353" s="191"/>
      <c r="W353" s="191"/>
      <c r="X353" s="191"/>
      <c r="Y353" s="191"/>
      <c r="Z353" s="191"/>
      <c r="AA353" s="191"/>
      <c r="AB353" s="191"/>
      <c r="AC353" s="191"/>
      <c r="AD353" s="191"/>
      <c r="AE353" s="191"/>
      <c r="AF353" s="191"/>
      <c r="AG353" s="191"/>
      <c r="AH353" s="191"/>
      <c r="AI353" s="191"/>
      <c r="AJ353" s="191"/>
      <c r="AK353" s="191"/>
      <c r="AL353" s="191"/>
      <c r="AM353" s="191"/>
      <c r="AN353" s="191"/>
      <c r="AO353" s="191"/>
      <c r="AP353" s="191"/>
      <c r="AQ353" s="191"/>
      <c r="AR353" s="191"/>
      <c r="AS353" s="191"/>
      <c r="AT353" s="191"/>
      <c r="AU353" s="191"/>
      <c r="AV353" s="191"/>
      <c r="AW353" s="191"/>
      <c r="AX353" s="191"/>
      <c r="AY353" s="191"/>
      <c r="AZ353" s="191"/>
      <c r="BA353" s="191"/>
      <c r="BB353" s="191"/>
      <c r="BC353" s="191"/>
      <c r="BD353" s="191"/>
      <c r="BE353" s="191"/>
      <c r="BF353" s="191"/>
      <c r="BG353" s="191"/>
      <c r="BH353" s="191"/>
      <c r="BI353" s="191"/>
      <c r="BJ353" s="191"/>
      <c r="BK353" s="191"/>
      <c r="BL353" s="191"/>
      <c r="BM353" s="191"/>
      <c r="BN353" s="191"/>
      <c r="BO353" s="191"/>
      <c r="BP353" s="191"/>
      <c r="BQ353" s="191"/>
    </row>
    <row r="354" spans="11:69">
      <c r="K354" s="191"/>
      <c r="L354" s="191"/>
      <c r="M354" s="191"/>
      <c r="N354" s="191"/>
      <c r="O354" s="191"/>
      <c r="P354" s="191"/>
      <c r="Q354" s="191"/>
      <c r="R354" s="191"/>
      <c r="S354" s="191"/>
      <c r="T354" s="191"/>
      <c r="U354" s="191"/>
      <c r="V354" s="191"/>
      <c r="W354" s="191"/>
      <c r="X354" s="191"/>
      <c r="Y354" s="191"/>
      <c r="Z354" s="191"/>
      <c r="AA354" s="191"/>
      <c r="AB354" s="191"/>
      <c r="AC354" s="191"/>
      <c r="AD354" s="191"/>
      <c r="AE354" s="191"/>
      <c r="AF354" s="191"/>
      <c r="AG354" s="191"/>
      <c r="AH354" s="191"/>
      <c r="AI354" s="191"/>
      <c r="AJ354" s="191"/>
      <c r="AK354" s="191"/>
      <c r="AL354" s="191"/>
      <c r="AM354" s="191"/>
      <c r="AN354" s="191"/>
      <c r="AO354" s="191"/>
      <c r="AP354" s="191"/>
      <c r="AQ354" s="191"/>
      <c r="AR354" s="191"/>
      <c r="AS354" s="191"/>
      <c r="AT354" s="191"/>
      <c r="AU354" s="191"/>
      <c r="AV354" s="191"/>
      <c r="AW354" s="191"/>
      <c r="AX354" s="191"/>
      <c r="AY354" s="191"/>
      <c r="AZ354" s="191"/>
      <c r="BA354" s="191"/>
      <c r="BB354" s="191"/>
      <c r="BC354" s="191"/>
      <c r="BD354" s="191"/>
      <c r="BE354" s="191"/>
      <c r="BF354" s="191"/>
      <c r="BG354" s="191"/>
      <c r="BH354" s="191"/>
      <c r="BI354" s="191"/>
      <c r="BJ354" s="191"/>
      <c r="BK354" s="191"/>
      <c r="BL354" s="191"/>
      <c r="BM354" s="191"/>
      <c r="BN354" s="191"/>
      <c r="BO354" s="191"/>
      <c r="BP354" s="191"/>
      <c r="BQ354" s="191"/>
    </row>
    <row r="355" spans="11:69">
      <c r="K355" s="191"/>
      <c r="L355" s="191"/>
      <c r="M355" s="191"/>
      <c r="N355" s="191"/>
      <c r="O355" s="191"/>
      <c r="P355" s="191"/>
      <c r="Q355" s="191"/>
      <c r="R355" s="191"/>
      <c r="S355" s="191"/>
      <c r="T355" s="191"/>
      <c r="U355" s="191"/>
      <c r="V355" s="191"/>
      <c r="W355" s="191"/>
      <c r="X355" s="191"/>
      <c r="Y355" s="191"/>
      <c r="Z355" s="191"/>
      <c r="AA355" s="191"/>
      <c r="AB355" s="191"/>
      <c r="AC355" s="191"/>
      <c r="AD355" s="191"/>
      <c r="AE355" s="191"/>
      <c r="AF355" s="191"/>
      <c r="AG355" s="191"/>
      <c r="AH355" s="191"/>
      <c r="AI355" s="191"/>
      <c r="AJ355" s="191"/>
      <c r="AK355" s="191"/>
      <c r="AL355" s="191"/>
      <c r="AM355" s="191"/>
      <c r="AN355" s="191"/>
      <c r="AO355" s="191"/>
      <c r="AP355" s="191"/>
      <c r="AQ355" s="191"/>
      <c r="AR355" s="191"/>
      <c r="AS355" s="191"/>
      <c r="AT355" s="191"/>
      <c r="AU355" s="191"/>
      <c r="AV355" s="191"/>
      <c r="AW355" s="191"/>
      <c r="AX355" s="191"/>
      <c r="AY355" s="191"/>
      <c r="AZ355" s="191"/>
      <c r="BA355" s="191"/>
      <c r="BB355" s="191"/>
      <c r="BC355" s="191"/>
      <c r="BD355" s="191"/>
      <c r="BE355" s="191"/>
      <c r="BF355" s="191"/>
      <c r="BG355" s="191"/>
      <c r="BH355" s="191"/>
      <c r="BI355" s="191"/>
      <c r="BJ355" s="191"/>
      <c r="BK355" s="191"/>
      <c r="BL355" s="191"/>
      <c r="BM355" s="191"/>
      <c r="BN355" s="191"/>
      <c r="BO355" s="191"/>
      <c r="BP355" s="191"/>
      <c r="BQ355" s="191"/>
    </row>
    <row r="356" spans="11:69">
      <c r="K356" s="191"/>
      <c r="L356" s="191"/>
      <c r="M356" s="191"/>
      <c r="N356" s="191"/>
      <c r="O356" s="191"/>
      <c r="P356" s="191"/>
      <c r="Q356" s="191"/>
      <c r="R356" s="191"/>
      <c r="S356" s="191"/>
      <c r="T356" s="191"/>
      <c r="U356" s="191"/>
      <c r="V356" s="191"/>
      <c r="W356" s="191"/>
      <c r="X356" s="191"/>
      <c r="Y356" s="191"/>
      <c r="Z356" s="191"/>
      <c r="AA356" s="191"/>
      <c r="AB356" s="191"/>
      <c r="AC356" s="191"/>
      <c r="AD356" s="191"/>
      <c r="AE356" s="191"/>
      <c r="AF356" s="191"/>
      <c r="AG356" s="191"/>
      <c r="AH356" s="191"/>
      <c r="AI356" s="191"/>
      <c r="AJ356" s="191"/>
      <c r="AK356" s="191"/>
      <c r="AL356" s="191"/>
      <c r="AM356" s="191"/>
      <c r="AN356" s="191"/>
      <c r="AO356" s="191"/>
      <c r="AP356" s="191"/>
      <c r="AQ356" s="191"/>
      <c r="AR356" s="191"/>
      <c r="AS356" s="191"/>
      <c r="AT356" s="191"/>
      <c r="AU356" s="191"/>
      <c r="AV356" s="191"/>
      <c r="AW356" s="191"/>
      <c r="AX356" s="191"/>
      <c r="AY356" s="191"/>
      <c r="AZ356" s="191"/>
      <c r="BA356" s="191"/>
      <c r="BB356" s="191"/>
      <c r="BC356" s="191"/>
      <c r="BD356" s="191"/>
      <c r="BE356" s="191"/>
      <c r="BF356" s="191"/>
      <c r="BG356" s="191"/>
      <c r="BH356" s="191"/>
      <c r="BI356" s="191"/>
      <c r="BJ356" s="191"/>
      <c r="BK356" s="191"/>
      <c r="BL356" s="191"/>
      <c r="BM356" s="191"/>
      <c r="BN356" s="191"/>
      <c r="BO356" s="191"/>
      <c r="BP356" s="191"/>
      <c r="BQ356" s="191"/>
    </row>
    <row r="357" spans="11:69">
      <c r="K357" s="191"/>
      <c r="L357" s="191"/>
      <c r="M357" s="191"/>
      <c r="N357" s="191"/>
      <c r="O357" s="191"/>
      <c r="P357" s="191"/>
      <c r="Q357" s="191"/>
      <c r="R357" s="191"/>
      <c r="S357" s="191"/>
      <c r="T357" s="191"/>
      <c r="U357" s="191"/>
      <c r="V357" s="191"/>
      <c r="W357" s="191"/>
      <c r="X357" s="191"/>
      <c r="Y357" s="191"/>
      <c r="Z357" s="191"/>
      <c r="AA357" s="191"/>
      <c r="AB357" s="191"/>
      <c r="AC357" s="191"/>
      <c r="AD357" s="191"/>
      <c r="AE357" s="191"/>
      <c r="AF357" s="191"/>
      <c r="AG357" s="191"/>
      <c r="AH357" s="191"/>
      <c r="AI357" s="191"/>
      <c r="AJ357" s="191"/>
      <c r="AK357" s="191"/>
      <c r="AL357" s="191"/>
      <c r="AM357" s="191"/>
      <c r="AN357" s="191"/>
      <c r="AO357" s="191"/>
      <c r="AP357" s="191"/>
      <c r="AQ357" s="191"/>
      <c r="AR357" s="191"/>
      <c r="AS357" s="191"/>
      <c r="AT357" s="191"/>
      <c r="AU357" s="191"/>
      <c r="AV357" s="191"/>
      <c r="AW357" s="191"/>
      <c r="AX357" s="191"/>
      <c r="AY357" s="191"/>
      <c r="AZ357" s="191"/>
      <c r="BA357" s="191"/>
      <c r="BB357" s="191"/>
      <c r="BC357" s="191"/>
      <c r="BD357" s="191"/>
      <c r="BE357" s="191"/>
      <c r="BF357" s="191"/>
      <c r="BG357" s="191"/>
      <c r="BH357" s="191"/>
      <c r="BI357" s="191"/>
      <c r="BJ357" s="191"/>
      <c r="BK357" s="191"/>
      <c r="BL357" s="191"/>
      <c r="BM357" s="191"/>
      <c r="BN357" s="191"/>
      <c r="BO357" s="191"/>
      <c r="BP357" s="191"/>
      <c r="BQ357" s="191"/>
    </row>
    <row r="358" spans="11:69">
      <c r="K358" s="191"/>
      <c r="L358" s="191"/>
      <c r="M358" s="191"/>
      <c r="N358" s="191"/>
      <c r="O358" s="191"/>
      <c r="P358" s="191"/>
      <c r="Q358" s="191"/>
      <c r="R358" s="191"/>
      <c r="S358" s="191"/>
      <c r="T358" s="191"/>
      <c r="U358" s="191"/>
      <c r="V358" s="191"/>
      <c r="W358" s="191"/>
      <c r="X358" s="191"/>
      <c r="Y358" s="191"/>
      <c r="Z358" s="191"/>
      <c r="AA358" s="191"/>
      <c r="AB358" s="191"/>
      <c r="AC358" s="191"/>
      <c r="AD358" s="191"/>
      <c r="AE358" s="191"/>
      <c r="AF358" s="191"/>
      <c r="AG358" s="191"/>
      <c r="AH358" s="191"/>
      <c r="AI358" s="191"/>
      <c r="AJ358" s="191"/>
      <c r="AK358" s="191"/>
      <c r="AL358" s="191"/>
      <c r="AM358" s="191"/>
      <c r="AN358" s="191"/>
      <c r="AO358" s="191"/>
      <c r="AP358" s="191"/>
      <c r="AQ358" s="191"/>
      <c r="AR358" s="191"/>
      <c r="AS358" s="191"/>
      <c r="AT358" s="191"/>
      <c r="AU358" s="191"/>
      <c r="AV358" s="191"/>
      <c r="AW358" s="191"/>
      <c r="AX358" s="191"/>
      <c r="AY358" s="191"/>
      <c r="AZ358" s="191"/>
      <c r="BA358" s="191"/>
      <c r="BB358" s="191"/>
      <c r="BC358" s="191"/>
      <c r="BD358" s="191"/>
      <c r="BE358" s="191"/>
      <c r="BF358" s="191"/>
      <c r="BG358" s="191"/>
      <c r="BH358" s="191"/>
      <c r="BI358" s="191"/>
      <c r="BJ358" s="191"/>
      <c r="BK358" s="191"/>
      <c r="BL358" s="191"/>
      <c r="BM358" s="191"/>
      <c r="BN358" s="191"/>
      <c r="BO358" s="191"/>
      <c r="BP358" s="191"/>
      <c r="BQ358" s="191"/>
    </row>
    <row r="359" spans="11:69">
      <c r="K359" s="191"/>
      <c r="L359" s="191"/>
      <c r="M359" s="191"/>
      <c r="N359" s="191"/>
      <c r="O359" s="191"/>
      <c r="P359" s="191"/>
      <c r="Q359" s="191"/>
      <c r="R359" s="191"/>
      <c r="S359" s="191"/>
      <c r="T359" s="191"/>
      <c r="U359" s="191"/>
      <c r="V359" s="191"/>
      <c r="W359" s="191"/>
      <c r="X359" s="191"/>
      <c r="Y359" s="191"/>
      <c r="Z359" s="191"/>
      <c r="AA359" s="191"/>
      <c r="AB359" s="191"/>
      <c r="AC359" s="191"/>
      <c r="AD359" s="191"/>
      <c r="AE359" s="191"/>
      <c r="AF359" s="191"/>
      <c r="AG359" s="191"/>
      <c r="AH359" s="191"/>
      <c r="AI359" s="191"/>
      <c r="AJ359" s="191"/>
      <c r="AK359" s="191"/>
      <c r="AL359" s="191"/>
      <c r="AM359" s="191"/>
      <c r="AN359" s="191"/>
      <c r="AO359" s="191"/>
      <c r="AP359" s="191"/>
      <c r="AQ359" s="191"/>
      <c r="AR359" s="191"/>
      <c r="AS359" s="191"/>
      <c r="AT359" s="191"/>
      <c r="AU359" s="191"/>
      <c r="AV359" s="191"/>
      <c r="AW359" s="191"/>
      <c r="AX359" s="191"/>
      <c r="AY359" s="191"/>
      <c r="AZ359" s="191"/>
      <c r="BA359" s="191"/>
      <c r="BB359" s="191"/>
      <c r="BC359" s="191"/>
      <c r="BD359" s="191"/>
      <c r="BE359" s="191"/>
      <c r="BF359" s="191"/>
      <c r="BG359" s="191"/>
      <c r="BH359" s="191"/>
      <c r="BI359" s="191"/>
      <c r="BJ359" s="191"/>
      <c r="BK359" s="191"/>
      <c r="BL359" s="191"/>
      <c r="BM359" s="191"/>
      <c r="BN359" s="191"/>
      <c r="BO359" s="191"/>
      <c r="BP359" s="191"/>
      <c r="BQ359" s="191"/>
    </row>
    <row r="360" spans="11:69">
      <c r="K360" s="191"/>
      <c r="L360" s="191"/>
      <c r="M360" s="191"/>
      <c r="N360" s="191"/>
      <c r="O360" s="191"/>
      <c r="P360" s="191"/>
      <c r="Q360" s="191"/>
      <c r="R360" s="191"/>
      <c r="S360" s="191"/>
      <c r="T360" s="191"/>
      <c r="U360" s="191"/>
      <c r="V360" s="191"/>
      <c r="W360" s="191"/>
      <c r="X360" s="191"/>
      <c r="Y360" s="191"/>
      <c r="Z360" s="191"/>
      <c r="AA360" s="191"/>
      <c r="AB360" s="191"/>
      <c r="AC360" s="191"/>
      <c r="AD360" s="191"/>
      <c r="AE360" s="191"/>
      <c r="AF360" s="191"/>
      <c r="AG360" s="191"/>
      <c r="AH360" s="191"/>
      <c r="AI360" s="191"/>
      <c r="AJ360" s="191"/>
      <c r="AK360" s="191"/>
      <c r="AL360" s="191"/>
      <c r="AM360" s="191"/>
      <c r="AN360" s="191"/>
      <c r="AO360" s="191"/>
      <c r="AP360" s="191"/>
      <c r="AQ360" s="191"/>
      <c r="AR360" s="191"/>
      <c r="AS360" s="191"/>
      <c r="AT360" s="191"/>
      <c r="AU360" s="191"/>
      <c r="AV360" s="191"/>
      <c r="AW360" s="191"/>
      <c r="AX360" s="191"/>
      <c r="AY360" s="191"/>
      <c r="AZ360" s="191"/>
      <c r="BA360" s="191"/>
      <c r="BB360" s="191"/>
      <c r="BC360" s="191"/>
      <c r="BD360" s="191"/>
      <c r="BE360" s="191"/>
      <c r="BF360" s="191"/>
      <c r="BG360" s="191"/>
      <c r="BH360" s="191"/>
      <c r="BI360" s="191"/>
      <c r="BJ360" s="191"/>
      <c r="BK360" s="191"/>
      <c r="BL360" s="191"/>
      <c r="BM360" s="191"/>
      <c r="BN360" s="191"/>
      <c r="BO360" s="191"/>
      <c r="BP360" s="191"/>
      <c r="BQ360" s="191"/>
    </row>
    <row r="361" spans="11:69">
      <c r="K361" s="191"/>
      <c r="L361" s="191"/>
      <c r="M361" s="191"/>
      <c r="N361" s="191"/>
      <c r="O361" s="191"/>
      <c r="P361" s="191"/>
      <c r="Q361" s="191"/>
      <c r="R361" s="191"/>
      <c r="S361" s="191"/>
      <c r="T361" s="191"/>
      <c r="U361" s="191"/>
      <c r="V361" s="191"/>
      <c r="W361" s="191"/>
      <c r="X361" s="191"/>
      <c r="Y361" s="191"/>
      <c r="Z361" s="191"/>
      <c r="AA361" s="191"/>
      <c r="AB361" s="191"/>
      <c r="AC361" s="191"/>
      <c r="AD361" s="191"/>
      <c r="AE361" s="191"/>
      <c r="AF361" s="191"/>
      <c r="AG361" s="191"/>
      <c r="AH361" s="191"/>
      <c r="AI361" s="191"/>
      <c r="AJ361" s="191"/>
      <c r="AK361" s="191"/>
      <c r="AL361" s="191"/>
      <c r="AM361" s="191"/>
      <c r="AN361" s="191"/>
      <c r="AO361" s="191"/>
      <c r="AP361" s="191"/>
      <c r="AQ361" s="191"/>
      <c r="AR361" s="191"/>
      <c r="AS361" s="191"/>
      <c r="AT361" s="191"/>
      <c r="AU361" s="191"/>
      <c r="AV361" s="191"/>
      <c r="AW361" s="191"/>
      <c r="AX361" s="191"/>
      <c r="AY361" s="191"/>
      <c r="AZ361" s="191"/>
      <c r="BA361" s="191"/>
      <c r="BB361" s="191"/>
      <c r="BC361" s="191"/>
      <c r="BD361" s="191"/>
      <c r="BE361" s="191"/>
      <c r="BF361" s="191"/>
      <c r="BG361" s="191"/>
      <c r="BH361" s="191"/>
      <c r="BI361" s="191"/>
      <c r="BJ361" s="191"/>
      <c r="BK361" s="191"/>
      <c r="BL361" s="191"/>
      <c r="BM361" s="191"/>
      <c r="BN361" s="191"/>
      <c r="BO361" s="191"/>
      <c r="BP361" s="191"/>
      <c r="BQ361" s="191"/>
    </row>
    <row r="362" spans="11:69">
      <c r="K362" s="191"/>
      <c r="L362" s="191"/>
      <c r="M362" s="191"/>
      <c r="N362" s="191"/>
      <c r="O362" s="191"/>
      <c r="P362" s="191"/>
      <c r="Q362" s="191"/>
      <c r="R362" s="191"/>
      <c r="S362" s="191"/>
      <c r="T362" s="191"/>
      <c r="U362" s="191"/>
      <c r="V362" s="191"/>
      <c r="W362" s="191"/>
      <c r="X362" s="191"/>
      <c r="Y362" s="191"/>
      <c r="Z362" s="191"/>
      <c r="AA362" s="191"/>
      <c r="AB362" s="191"/>
      <c r="AC362" s="191"/>
      <c r="AD362" s="191"/>
      <c r="AE362" s="191"/>
      <c r="AF362" s="191"/>
      <c r="AG362" s="191"/>
      <c r="AH362" s="191"/>
      <c r="AI362" s="191"/>
      <c r="AJ362" s="191"/>
      <c r="AK362" s="191"/>
      <c r="AL362" s="191"/>
      <c r="AM362" s="191"/>
      <c r="AN362" s="191"/>
      <c r="AO362" s="191"/>
      <c r="AP362" s="191"/>
      <c r="AQ362" s="191"/>
      <c r="AR362" s="191"/>
      <c r="AS362" s="191"/>
      <c r="AT362" s="191"/>
      <c r="AU362" s="191"/>
      <c r="AV362" s="191"/>
      <c r="AW362" s="191"/>
      <c r="AX362" s="191"/>
      <c r="AY362" s="191"/>
      <c r="AZ362" s="191"/>
      <c r="BA362" s="191"/>
      <c r="BB362" s="191"/>
      <c r="BC362" s="191"/>
      <c r="BD362" s="191"/>
      <c r="BE362" s="191"/>
      <c r="BF362" s="191"/>
      <c r="BG362" s="191"/>
      <c r="BH362" s="191"/>
      <c r="BI362" s="191"/>
      <c r="BJ362" s="191"/>
      <c r="BK362" s="191"/>
      <c r="BL362" s="191"/>
      <c r="BM362" s="191"/>
      <c r="BN362" s="191"/>
      <c r="BO362" s="191"/>
      <c r="BP362" s="191"/>
      <c r="BQ362" s="191"/>
    </row>
    <row r="363" spans="11:69">
      <c r="K363" s="191"/>
      <c r="L363" s="191"/>
      <c r="M363" s="191"/>
      <c r="N363" s="191"/>
      <c r="O363" s="191"/>
      <c r="P363" s="191"/>
      <c r="Q363" s="191"/>
      <c r="R363" s="191"/>
      <c r="S363" s="191"/>
      <c r="T363" s="191"/>
      <c r="U363" s="191"/>
      <c r="V363" s="191"/>
      <c r="W363" s="191"/>
      <c r="X363" s="191"/>
      <c r="Y363" s="191"/>
      <c r="Z363" s="191"/>
      <c r="AA363" s="191"/>
      <c r="AB363" s="191"/>
      <c r="AC363" s="191"/>
      <c r="AD363" s="191"/>
      <c r="AE363" s="191"/>
      <c r="AF363" s="191"/>
      <c r="AG363" s="191"/>
      <c r="AH363" s="191"/>
      <c r="AI363" s="191"/>
      <c r="AJ363" s="191"/>
      <c r="AK363" s="191"/>
      <c r="AL363" s="191"/>
      <c r="AM363" s="191"/>
      <c r="AN363" s="191"/>
      <c r="AO363" s="191"/>
      <c r="AP363" s="191"/>
      <c r="AQ363" s="191"/>
      <c r="AR363" s="191"/>
      <c r="AS363" s="191"/>
      <c r="AT363" s="191"/>
      <c r="AU363" s="191"/>
      <c r="AV363" s="191"/>
      <c r="AW363" s="191"/>
      <c r="AX363" s="191"/>
      <c r="AY363" s="191"/>
      <c r="AZ363" s="191"/>
      <c r="BA363" s="191"/>
      <c r="BB363" s="191"/>
      <c r="BC363" s="191"/>
      <c r="BD363" s="191"/>
      <c r="BE363" s="191"/>
      <c r="BF363" s="191"/>
      <c r="BG363" s="191"/>
      <c r="BH363" s="191"/>
      <c r="BI363" s="191"/>
      <c r="BJ363" s="191"/>
      <c r="BK363" s="191"/>
      <c r="BL363" s="191"/>
      <c r="BM363" s="191"/>
      <c r="BN363" s="191"/>
      <c r="BO363" s="191"/>
      <c r="BP363" s="191"/>
      <c r="BQ363" s="191"/>
    </row>
    <row r="364" spans="11:69">
      <c r="K364" s="191"/>
      <c r="L364" s="191"/>
      <c r="M364" s="191"/>
      <c r="N364" s="191"/>
      <c r="O364" s="191"/>
      <c r="P364" s="191"/>
      <c r="Q364" s="191"/>
      <c r="R364" s="191"/>
      <c r="S364" s="191"/>
      <c r="T364" s="191"/>
      <c r="U364" s="191"/>
      <c r="V364" s="191"/>
      <c r="W364" s="191"/>
      <c r="X364" s="191"/>
      <c r="Y364" s="191"/>
      <c r="Z364" s="191"/>
      <c r="AA364" s="191"/>
      <c r="AB364" s="191"/>
      <c r="AC364" s="191"/>
      <c r="AD364" s="191"/>
      <c r="AE364" s="191"/>
      <c r="AF364" s="191"/>
      <c r="AG364" s="191"/>
      <c r="AH364" s="191"/>
      <c r="AI364" s="191"/>
      <c r="AJ364" s="191"/>
      <c r="AK364" s="191"/>
      <c r="AL364" s="191"/>
      <c r="AM364" s="191"/>
      <c r="AN364" s="191"/>
      <c r="AO364" s="191"/>
      <c r="AP364" s="191"/>
      <c r="AQ364" s="191"/>
      <c r="AR364" s="191"/>
      <c r="AS364" s="191"/>
      <c r="AT364" s="191"/>
      <c r="AU364" s="191"/>
      <c r="AV364" s="191"/>
      <c r="AW364" s="191"/>
      <c r="AX364" s="191"/>
      <c r="AY364" s="191"/>
      <c r="AZ364" s="191"/>
      <c r="BA364" s="191"/>
      <c r="BB364" s="191"/>
      <c r="BC364" s="191"/>
      <c r="BD364" s="191"/>
      <c r="BE364" s="191"/>
      <c r="BF364" s="191"/>
      <c r="BG364" s="191"/>
      <c r="BH364" s="191"/>
      <c r="BI364" s="191"/>
      <c r="BJ364" s="191"/>
      <c r="BK364" s="191"/>
      <c r="BL364" s="191"/>
      <c r="BM364" s="191"/>
      <c r="BN364" s="191"/>
      <c r="BO364" s="191"/>
      <c r="BP364" s="191"/>
      <c r="BQ364" s="191"/>
    </row>
    <row r="365" spans="11:69">
      <c r="K365" s="191"/>
      <c r="L365" s="191"/>
      <c r="M365" s="191"/>
      <c r="N365" s="191"/>
      <c r="O365" s="191"/>
      <c r="P365" s="191"/>
      <c r="Q365" s="191"/>
      <c r="R365" s="191"/>
      <c r="S365" s="191"/>
      <c r="T365" s="191"/>
      <c r="U365" s="191"/>
      <c r="V365" s="191"/>
      <c r="W365" s="191"/>
      <c r="X365" s="191"/>
      <c r="Y365" s="191"/>
      <c r="Z365" s="191"/>
      <c r="AA365" s="191"/>
      <c r="AB365" s="191"/>
      <c r="AC365" s="191"/>
      <c r="AD365" s="191"/>
      <c r="AE365" s="191"/>
      <c r="AF365" s="191"/>
      <c r="AG365" s="191"/>
      <c r="AH365" s="191"/>
      <c r="AI365" s="191"/>
      <c r="AJ365" s="191"/>
      <c r="AK365" s="191"/>
      <c r="AL365" s="191"/>
      <c r="AM365" s="191"/>
      <c r="AN365" s="191"/>
      <c r="AO365" s="191"/>
      <c r="AP365" s="191"/>
      <c r="AQ365" s="191"/>
      <c r="AR365" s="191"/>
      <c r="AS365" s="191"/>
      <c r="AT365" s="191"/>
      <c r="AU365" s="191"/>
      <c r="AV365" s="191"/>
      <c r="AW365" s="191"/>
      <c r="AX365" s="191"/>
      <c r="AY365" s="191"/>
      <c r="AZ365" s="191"/>
      <c r="BA365" s="191"/>
      <c r="BB365" s="191"/>
      <c r="BC365" s="191"/>
      <c r="BD365" s="191"/>
      <c r="BE365" s="191"/>
      <c r="BF365" s="191"/>
      <c r="BG365" s="191"/>
      <c r="BH365" s="191"/>
      <c r="BI365" s="191"/>
      <c r="BJ365" s="191"/>
      <c r="BK365" s="191"/>
      <c r="BL365" s="191"/>
      <c r="BM365" s="191"/>
      <c r="BN365" s="191"/>
      <c r="BO365" s="191"/>
      <c r="BP365" s="191"/>
      <c r="BQ365" s="191"/>
    </row>
    <row r="366" spans="11:69">
      <c r="K366" s="191"/>
      <c r="L366" s="191"/>
      <c r="M366" s="191"/>
      <c r="N366" s="191"/>
      <c r="O366" s="191"/>
      <c r="P366" s="191"/>
      <c r="Q366" s="191"/>
      <c r="R366" s="191"/>
      <c r="S366" s="191"/>
      <c r="T366" s="191"/>
      <c r="U366" s="191"/>
      <c r="V366" s="191"/>
      <c r="W366" s="191"/>
      <c r="X366" s="191"/>
      <c r="Y366" s="191"/>
      <c r="Z366" s="191"/>
      <c r="AA366" s="191"/>
      <c r="AB366" s="191"/>
      <c r="AC366" s="191"/>
      <c r="AD366" s="191"/>
      <c r="AE366" s="191"/>
      <c r="AF366" s="191"/>
      <c r="AG366" s="191"/>
      <c r="AH366" s="191"/>
      <c r="AI366" s="191"/>
      <c r="AJ366" s="191"/>
      <c r="AK366" s="191"/>
      <c r="AL366" s="191"/>
      <c r="AM366" s="191"/>
      <c r="AN366" s="191"/>
      <c r="AO366" s="191"/>
      <c r="AP366" s="191"/>
      <c r="AQ366" s="191"/>
      <c r="AR366" s="191"/>
      <c r="AS366" s="191"/>
      <c r="AT366" s="191"/>
      <c r="AU366" s="191"/>
      <c r="AV366" s="191"/>
      <c r="AW366" s="191"/>
      <c r="AX366" s="191"/>
      <c r="AY366" s="191"/>
      <c r="AZ366" s="191"/>
      <c r="BA366" s="191"/>
      <c r="BB366" s="191"/>
      <c r="BC366" s="191"/>
      <c r="BD366" s="191"/>
      <c r="BE366" s="191"/>
      <c r="BF366" s="191"/>
      <c r="BG366" s="191"/>
      <c r="BH366" s="191"/>
      <c r="BI366" s="191"/>
      <c r="BJ366" s="191"/>
      <c r="BK366" s="191"/>
      <c r="BL366" s="191"/>
      <c r="BM366" s="191"/>
      <c r="BN366" s="191"/>
      <c r="BO366" s="191"/>
      <c r="BP366" s="191"/>
      <c r="BQ366" s="191"/>
    </row>
    <row r="367" spans="11:69">
      <c r="K367" s="191"/>
      <c r="L367" s="191"/>
      <c r="M367" s="191"/>
      <c r="N367" s="191"/>
      <c r="O367" s="191"/>
      <c r="P367" s="191"/>
      <c r="Q367" s="191"/>
      <c r="R367" s="191"/>
      <c r="S367" s="191"/>
      <c r="T367" s="191"/>
      <c r="U367" s="191"/>
      <c r="V367" s="191"/>
      <c r="W367" s="191"/>
      <c r="X367" s="191"/>
      <c r="Y367" s="191"/>
      <c r="Z367" s="191"/>
      <c r="AA367" s="191"/>
      <c r="AB367" s="191"/>
      <c r="AC367" s="191"/>
      <c r="AD367" s="191"/>
      <c r="AE367" s="191"/>
      <c r="AF367" s="191"/>
      <c r="AG367" s="191"/>
      <c r="AH367" s="191"/>
      <c r="AI367" s="191"/>
      <c r="AJ367" s="191"/>
      <c r="AK367" s="191"/>
      <c r="AL367" s="191"/>
      <c r="AM367" s="191"/>
      <c r="AN367" s="191"/>
      <c r="AO367" s="191"/>
      <c r="AP367" s="191"/>
      <c r="AQ367" s="191"/>
      <c r="AR367" s="191"/>
      <c r="AS367" s="191"/>
      <c r="AT367" s="191"/>
      <c r="AU367" s="191"/>
      <c r="AV367" s="191"/>
      <c r="AW367" s="191"/>
      <c r="AX367" s="191"/>
      <c r="AY367" s="191"/>
      <c r="AZ367" s="191"/>
      <c r="BA367" s="191"/>
      <c r="BB367" s="191"/>
      <c r="BC367" s="191"/>
      <c r="BD367" s="191"/>
      <c r="BE367" s="191"/>
      <c r="BF367" s="191"/>
      <c r="BG367" s="191"/>
      <c r="BH367" s="191"/>
      <c r="BI367" s="191"/>
      <c r="BJ367" s="191"/>
      <c r="BK367" s="191"/>
      <c r="BL367" s="191"/>
      <c r="BM367" s="191"/>
      <c r="BN367" s="191"/>
      <c r="BO367" s="191"/>
      <c r="BP367" s="191"/>
      <c r="BQ367" s="191"/>
    </row>
    <row r="368" spans="11:69">
      <c r="K368" s="191"/>
      <c r="L368" s="191"/>
      <c r="M368" s="191"/>
      <c r="N368" s="191"/>
      <c r="O368" s="191"/>
      <c r="P368" s="191"/>
      <c r="Q368" s="191"/>
      <c r="R368" s="191"/>
      <c r="S368" s="191"/>
      <c r="T368" s="191"/>
      <c r="U368" s="191"/>
      <c r="V368" s="191"/>
      <c r="W368" s="191"/>
      <c r="X368" s="191"/>
      <c r="Y368" s="191"/>
      <c r="Z368" s="191"/>
      <c r="AA368" s="191"/>
      <c r="AB368" s="191"/>
      <c r="AC368" s="191"/>
      <c r="AD368" s="191"/>
      <c r="AE368" s="191"/>
      <c r="AF368" s="191"/>
      <c r="AG368" s="191"/>
      <c r="AH368" s="191"/>
      <c r="AI368" s="191"/>
      <c r="AJ368" s="191"/>
      <c r="AK368" s="191"/>
      <c r="AL368" s="191"/>
      <c r="AM368" s="191"/>
      <c r="AN368" s="191"/>
      <c r="AO368" s="191"/>
      <c r="AP368" s="191"/>
      <c r="AQ368" s="191"/>
      <c r="AR368" s="191"/>
      <c r="AS368" s="191"/>
      <c r="AT368" s="191"/>
      <c r="AU368" s="191"/>
      <c r="AV368" s="191"/>
      <c r="AW368" s="191"/>
      <c r="AX368" s="191"/>
      <c r="AY368" s="191"/>
      <c r="AZ368" s="191"/>
      <c r="BA368" s="191"/>
      <c r="BB368" s="191"/>
      <c r="BC368" s="191"/>
      <c r="BD368" s="191"/>
      <c r="BE368" s="191"/>
      <c r="BF368" s="191"/>
      <c r="BG368" s="191"/>
      <c r="BH368" s="191"/>
      <c r="BI368" s="191"/>
      <c r="BJ368" s="191"/>
      <c r="BK368" s="191"/>
      <c r="BL368" s="191"/>
      <c r="BM368" s="191"/>
      <c r="BN368" s="191"/>
      <c r="BO368" s="191"/>
      <c r="BP368" s="191"/>
      <c r="BQ368" s="191"/>
    </row>
    <row r="369" spans="11:69">
      <c r="K369" s="191"/>
      <c r="L369" s="191"/>
      <c r="M369" s="191"/>
      <c r="N369" s="191"/>
      <c r="O369" s="191"/>
      <c r="P369" s="191"/>
      <c r="Q369" s="191"/>
      <c r="R369" s="191"/>
      <c r="S369" s="191"/>
      <c r="T369" s="191"/>
      <c r="U369" s="191"/>
      <c r="V369" s="191"/>
      <c r="W369" s="191"/>
      <c r="X369" s="191"/>
      <c r="Y369" s="191"/>
      <c r="Z369" s="191"/>
      <c r="AA369" s="191"/>
      <c r="AB369" s="191"/>
      <c r="AC369" s="191"/>
      <c r="AD369" s="191"/>
      <c r="AE369" s="191"/>
      <c r="AF369" s="191"/>
      <c r="AG369" s="191"/>
      <c r="AH369" s="191"/>
      <c r="AI369" s="191"/>
      <c r="AJ369" s="191"/>
      <c r="AK369" s="191"/>
      <c r="AL369" s="191"/>
      <c r="AM369" s="191"/>
      <c r="AN369" s="191"/>
      <c r="AO369" s="191"/>
      <c r="AP369" s="191"/>
      <c r="AQ369" s="191"/>
      <c r="AR369" s="191"/>
      <c r="AS369" s="191"/>
      <c r="AT369" s="191"/>
      <c r="AU369" s="191"/>
      <c r="AV369" s="191"/>
      <c r="AW369" s="191"/>
      <c r="AX369" s="191"/>
      <c r="AY369" s="191"/>
      <c r="AZ369" s="191"/>
      <c r="BA369" s="191"/>
      <c r="BB369" s="191"/>
      <c r="BC369" s="191"/>
      <c r="BD369" s="191"/>
      <c r="BE369" s="191"/>
      <c r="BF369" s="191"/>
      <c r="BG369" s="191"/>
      <c r="BH369" s="191"/>
      <c r="BI369" s="191"/>
      <c r="BJ369" s="191"/>
      <c r="BK369" s="191"/>
      <c r="BL369" s="191"/>
      <c r="BM369" s="191"/>
      <c r="BN369" s="191"/>
      <c r="BO369" s="191"/>
      <c r="BP369" s="191"/>
      <c r="BQ369" s="191"/>
    </row>
    <row r="370" spans="11:69">
      <c r="K370" s="191"/>
      <c r="L370" s="191"/>
      <c r="M370" s="191"/>
      <c r="N370" s="191"/>
      <c r="O370" s="191"/>
      <c r="P370" s="191"/>
      <c r="Q370" s="191"/>
      <c r="R370" s="191"/>
      <c r="S370" s="191"/>
      <c r="T370" s="191"/>
      <c r="U370" s="191"/>
      <c r="V370" s="191"/>
      <c r="W370" s="191"/>
      <c r="X370" s="191"/>
      <c r="Y370" s="191"/>
      <c r="Z370" s="191"/>
      <c r="AA370" s="191"/>
      <c r="AB370" s="191"/>
      <c r="AC370" s="191"/>
      <c r="AD370" s="191"/>
      <c r="AE370" s="191"/>
      <c r="AF370" s="191"/>
      <c r="AG370" s="191"/>
      <c r="AH370" s="191"/>
      <c r="AI370" s="191"/>
      <c r="AJ370" s="191"/>
      <c r="AK370" s="191"/>
      <c r="AL370" s="191"/>
      <c r="AM370" s="191"/>
      <c r="AN370" s="191"/>
      <c r="AO370" s="191"/>
      <c r="AP370" s="191"/>
      <c r="AQ370" s="191"/>
      <c r="AR370" s="191"/>
      <c r="AS370" s="191"/>
      <c r="AT370" s="191"/>
      <c r="AU370" s="191"/>
      <c r="AV370" s="191"/>
      <c r="AW370" s="191"/>
      <c r="AX370" s="191"/>
      <c r="AY370" s="191"/>
      <c r="AZ370" s="191"/>
      <c r="BA370" s="191"/>
      <c r="BB370" s="191"/>
      <c r="BC370" s="191"/>
      <c r="BD370" s="191"/>
      <c r="BE370" s="191"/>
      <c r="BF370" s="191"/>
      <c r="BG370" s="191"/>
      <c r="BH370" s="191"/>
      <c r="BI370" s="191"/>
      <c r="BJ370" s="191"/>
      <c r="BK370" s="191"/>
      <c r="BL370" s="191"/>
      <c r="BM370" s="191"/>
      <c r="BN370" s="191"/>
      <c r="BO370" s="191"/>
      <c r="BP370" s="191"/>
      <c r="BQ370" s="191"/>
    </row>
    <row r="371" spans="11:69">
      <c r="K371" s="191"/>
      <c r="L371" s="191"/>
      <c r="M371" s="191"/>
      <c r="N371" s="191"/>
      <c r="O371" s="191"/>
      <c r="P371" s="191"/>
      <c r="Q371" s="191"/>
      <c r="R371" s="191"/>
      <c r="S371" s="191"/>
      <c r="T371" s="191"/>
      <c r="U371" s="191"/>
      <c r="V371" s="191"/>
      <c r="W371" s="191"/>
      <c r="X371" s="191"/>
      <c r="Y371" s="191"/>
      <c r="Z371" s="191"/>
      <c r="AA371" s="191"/>
      <c r="AB371" s="191"/>
      <c r="AC371" s="191"/>
      <c r="AD371" s="191"/>
      <c r="AE371" s="191"/>
      <c r="AF371" s="191"/>
      <c r="AG371" s="191"/>
      <c r="AH371" s="191"/>
      <c r="AI371" s="191"/>
      <c r="AJ371" s="191"/>
      <c r="AK371" s="191"/>
      <c r="AL371" s="191"/>
      <c r="AM371" s="191"/>
      <c r="AN371" s="191"/>
      <c r="AO371" s="191"/>
      <c r="AP371" s="191"/>
      <c r="AQ371" s="191"/>
      <c r="AR371" s="191"/>
      <c r="AS371" s="191"/>
      <c r="AT371" s="191"/>
      <c r="AU371" s="191"/>
      <c r="AV371" s="191"/>
      <c r="AW371" s="191"/>
      <c r="AX371" s="191"/>
      <c r="AY371" s="191"/>
      <c r="AZ371" s="191"/>
      <c r="BA371" s="191"/>
      <c r="BB371" s="191"/>
      <c r="BC371" s="191"/>
      <c r="BD371" s="191"/>
      <c r="BE371" s="191"/>
      <c r="BF371" s="191"/>
      <c r="BG371" s="191"/>
      <c r="BH371" s="191"/>
      <c r="BI371" s="191"/>
      <c r="BJ371" s="191"/>
      <c r="BK371" s="191"/>
      <c r="BL371" s="191"/>
      <c r="BM371" s="191"/>
      <c r="BN371" s="191"/>
      <c r="BO371" s="191"/>
      <c r="BP371" s="191"/>
      <c r="BQ371" s="191"/>
    </row>
    <row r="372" spans="11:69">
      <c r="K372" s="191"/>
      <c r="L372" s="191"/>
      <c r="M372" s="191"/>
      <c r="N372" s="191"/>
      <c r="O372" s="191"/>
      <c r="P372" s="191"/>
      <c r="Q372" s="191"/>
      <c r="R372" s="191"/>
      <c r="S372" s="191"/>
      <c r="T372" s="191"/>
      <c r="U372" s="191"/>
      <c r="V372" s="191"/>
      <c r="W372" s="191"/>
      <c r="X372" s="191"/>
      <c r="Y372" s="191"/>
      <c r="Z372" s="191"/>
      <c r="AA372" s="191"/>
      <c r="AB372" s="191"/>
      <c r="AC372" s="191"/>
      <c r="AD372" s="191"/>
      <c r="AE372" s="191"/>
      <c r="AF372" s="191"/>
      <c r="AG372" s="191"/>
      <c r="AH372" s="191"/>
      <c r="AI372" s="191"/>
      <c r="AJ372" s="191"/>
      <c r="AK372" s="191"/>
      <c r="AL372" s="191"/>
      <c r="AM372" s="191"/>
      <c r="AN372" s="191"/>
      <c r="AO372" s="191"/>
      <c r="AP372" s="191"/>
      <c r="AQ372" s="191"/>
      <c r="AR372" s="191"/>
      <c r="AS372" s="191"/>
      <c r="AT372" s="191"/>
      <c r="AU372" s="191"/>
      <c r="AV372" s="191"/>
      <c r="AW372" s="191"/>
      <c r="AX372" s="191"/>
      <c r="AY372" s="191"/>
      <c r="AZ372" s="191"/>
      <c r="BA372" s="191"/>
      <c r="BB372" s="191"/>
      <c r="BC372" s="191"/>
      <c r="BD372" s="191"/>
      <c r="BE372" s="191"/>
      <c r="BF372" s="191"/>
      <c r="BG372" s="191"/>
      <c r="BH372" s="191"/>
      <c r="BI372" s="191"/>
      <c r="BJ372" s="191"/>
      <c r="BK372" s="191"/>
      <c r="BL372" s="191"/>
      <c r="BM372" s="191"/>
      <c r="BN372" s="191"/>
      <c r="BO372" s="191"/>
      <c r="BP372" s="191"/>
      <c r="BQ372" s="191"/>
    </row>
    <row r="373" spans="11:69">
      <c r="K373" s="191"/>
      <c r="L373" s="191"/>
      <c r="M373" s="191"/>
      <c r="N373" s="191"/>
      <c r="O373" s="191"/>
      <c r="P373" s="191"/>
      <c r="Q373" s="191"/>
      <c r="R373" s="191"/>
      <c r="S373" s="191"/>
      <c r="T373" s="191"/>
      <c r="U373" s="191"/>
      <c r="V373" s="191"/>
      <c r="W373" s="191"/>
      <c r="X373" s="191"/>
      <c r="Y373" s="191"/>
      <c r="Z373" s="191"/>
      <c r="AA373" s="191"/>
      <c r="AB373" s="191"/>
      <c r="AC373" s="191"/>
      <c r="AD373" s="191"/>
      <c r="AE373" s="191"/>
      <c r="AF373" s="191"/>
      <c r="AG373" s="191"/>
      <c r="AH373" s="191"/>
      <c r="AI373" s="191"/>
      <c r="AJ373" s="191"/>
      <c r="AK373" s="191"/>
      <c r="AL373" s="191"/>
      <c r="AM373" s="191"/>
      <c r="AN373" s="191"/>
      <c r="AO373" s="191"/>
      <c r="AP373" s="191"/>
      <c r="AQ373" s="191"/>
      <c r="AR373" s="191"/>
      <c r="AS373" s="191"/>
      <c r="AT373" s="191"/>
      <c r="AU373" s="191"/>
      <c r="AV373" s="191"/>
      <c r="AW373" s="191"/>
      <c r="AX373" s="191"/>
      <c r="AY373" s="191"/>
      <c r="AZ373" s="191"/>
      <c r="BA373" s="191"/>
      <c r="BB373" s="191"/>
      <c r="BC373" s="191"/>
      <c r="BD373" s="191"/>
      <c r="BE373" s="191"/>
      <c r="BF373" s="191"/>
      <c r="BG373" s="191"/>
      <c r="BH373" s="191"/>
      <c r="BI373" s="191"/>
      <c r="BJ373" s="191"/>
      <c r="BK373" s="191"/>
      <c r="BL373" s="191"/>
      <c r="BM373" s="191"/>
      <c r="BN373" s="191"/>
      <c r="BO373" s="191"/>
      <c r="BP373" s="191"/>
      <c r="BQ373" s="191"/>
    </row>
    <row r="374" spans="11:69">
      <c r="K374" s="191"/>
      <c r="L374" s="191"/>
      <c r="M374" s="191"/>
      <c r="N374" s="191"/>
      <c r="O374" s="191"/>
      <c r="P374" s="191"/>
      <c r="Q374" s="191"/>
      <c r="R374" s="191"/>
      <c r="S374" s="191"/>
      <c r="T374" s="191"/>
      <c r="U374" s="191"/>
      <c r="V374" s="191"/>
      <c r="W374" s="191"/>
      <c r="X374" s="191"/>
      <c r="Y374" s="191"/>
      <c r="Z374" s="191"/>
      <c r="AA374" s="191"/>
      <c r="AB374" s="191"/>
      <c r="AC374" s="191"/>
      <c r="AD374" s="191"/>
      <c r="AE374" s="191"/>
      <c r="AF374" s="191"/>
      <c r="AG374" s="191"/>
      <c r="AH374" s="191"/>
      <c r="AI374" s="191"/>
      <c r="AJ374" s="191"/>
      <c r="AK374" s="191"/>
      <c r="AL374" s="191"/>
      <c r="AM374" s="191"/>
      <c r="AN374" s="191"/>
      <c r="AO374" s="191"/>
      <c r="AP374" s="191"/>
      <c r="AQ374" s="191"/>
      <c r="AR374" s="191"/>
      <c r="AS374" s="191"/>
      <c r="AT374" s="191"/>
      <c r="AU374" s="191"/>
      <c r="AV374" s="191"/>
      <c r="AW374" s="191"/>
      <c r="AX374" s="191"/>
      <c r="AY374" s="191"/>
      <c r="AZ374" s="191"/>
      <c r="BA374" s="191"/>
      <c r="BB374" s="191"/>
      <c r="BC374" s="191"/>
      <c r="BD374" s="191"/>
      <c r="BE374" s="191"/>
      <c r="BF374" s="191"/>
      <c r="BG374" s="191"/>
      <c r="BH374" s="191"/>
      <c r="BI374" s="191"/>
      <c r="BJ374" s="191"/>
      <c r="BK374" s="191"/>
      <c r="BL374" s="191"/>
      <c r="BM374" s="191"/>
      <c r="BN374" s="191"/>
      <c r="BO374" s="191"/>
      <c r="BP374" s="191"/>
      <c r="BQ374" s="191"/>
    </row>
    <row r="375" spans="11:69">
      <c r="K375" s="191"/>
      <c r="L375" s="191"/>
      <c r="M375" s="191"/>
      <c r="N375" s="191"/>
      <c r="O375" s="191"/>
      <c r="P375" s="191"/>
      <c r="Q375" s="191"/>
      <c r="R375" s="191"/>
      <c r="S375" s="191"/>
      <c r="T375" s="191"/>
      <c r="U375" s="191"/>
      <c r="V375" s="191"/>
      <c r="W375" s="191"/>
      <c r="X375" s="191"/>
      <c r="Y375" s="191"/>
      <c r="Z375" s="191"/>
      <c r="AA375" s="191"/>
      <c r="AB375" s="191"/>
      <c r="AC375" s="191"/>
      <c r="AD375" s="191"/>
      <c r="AE375" s="191"/>
      <c r="AF375" s="191"/>
      <c r="AG375" s="191"/>
      <c r="AH375" s="191"/>
      <c r="AI375" s="191"/>
      <c r="AJ375" s="191"/>
      <c r="AK375" s="191"/>
      <c r="AL375" s="191"/>
      <c r="AM375" s="191"/>
      <c r="AN375" s="191"/>
      <c r="AO375" s="191"/>
      <c r="AP375" s="191"/>
      <c r="AQ375" s="191"/>
      <c r="AR375" s="191"/>
      <c r="AS375" s="191"/>
      <c r="AT375" s="191"/>
      <c r="AU375" s="191"/>
      <c r="AV375" s="191"/>
      <c r="AW375" s="191"/>
      <c r="AX375" s="191"/>
      <c r="AY375" s="191"/>
      <c r="AZ375" s="191"/>
      <c r="BA375" s="191"/>
      <c r="BB375" s="191"/>
      <c r="BC375" s="191"/>
      <c r="BD375" s="191"/>
      <c r="BE375" s="191"/>
      <c r="BF375" s="191"/>
      <c r="BG375" s="191"/>
      <c r="BH375" s="191"/>
      <c r="BI375" s="191"/>
      <c r="BJ375" s="191"/>
      <c r="BK375" s="191"/>
      <c r="BL375" s="191"/>
      <c r="BM375" s="191"/>
      <c r="BN375" s="191"/>
      <c r="BO375" s="191"/>
      <c r="BP375" s="191"/>
      <c r="BQ375" s="191"/>
    </row>
    <row r="376" spans="11:69">
      <c r="K376" s="191"/>
      <c r="L376" s="191"/>
      <c r="M376" s="191"/>
      <c r="N376" s="191"/>
      <c r="O376" s="191"/>
      <c r="P376" s="191"/>
      <c r="Q376" s="191"/>
      <c r="R376" s="191"/>
      <c r="S376" s="191"/>
      <c r="T376" s="191"/>
      <c r="U376" s="191"/>
      <c r="V376" s="191"/>
      <c r="W376" s="191"/>
      <c r="X376" s="191"/>
      <c r="Y376" s="191"/>
      <c r="Z376" s="191"/>
      <c r="AA376" s="191"/>
      <c r="AB376" s="191"/>
      <c r="AC376" s="191"/>
      <c r="AD376" s="191"/>
      <c r="AE376" s="191"/>
      <c r="AF376" s="191"/>
      <c r="AG376" s="191"/>
      <c r="AH376" s="191"/>
      <c r="AI376" s="191"/>
      <c r="AJ376" s="191"/>
      <c r="AK376" s="191"/>
      <c r="AL376" s="191"/>
      <c r="AM376" s="191"/>
      <c r="AN376" s="191"/>
      <c r="AO376" s="191"/>
      <c r="AP376" s="191"/>
      <c r="AQ376" s="191"/>
      <c r="AR376" s="191"/>
      <c r="AS376" s="191"/>
      <c r="AT376" s="191"/>
      <c r="AU376" s="191"/>
      <c r="AV376" s="191"/>
      <c r="AW376" s="191"/>
      <c r="AX376" s="191"/>
      <c r="AY376" s="191"/>
      <c r="AZ376" s="191"/>
      <c r="BA376" s="191"/>
      <c r="BB376" s="191"/>
      <c r="BC376" s="191"/>
      <c r="BD376" s="191"/>
      <c r="BE376" s="191"/>
      <c r="BF376" s="191"/>
      <c r="BG376" s="191"/>
      <c r="BH376" s="191"/>
      <c r="BI376" s="191"/>
      <c r="BJ376" s="191"/>
      <c r="BK376" s="191"/>
      <c r="BL376" s="191"/>
      <c r="BM376" s="191"/>
      <c r="BN376" s="191"/>
      <c r="BO376" s="191"/>
      <c r="BP376" s="191"/>
      <c r="BQ376" s="191"/>
    </row>
    <row r="377" spans="11:69">
      <c r="K377" s="191"/>
      <c r="L377" s="191"/>
      <c r="M377" s="191"/>
      <c r="N377" s="191"/>
      <c r="O377" s="191"/>
      <c r="P377" s="191"/>
      <c r="Q377" s="191"/>
      <c r="R377" s="191"/>
      <c r="S377" s="191"/>
      <c r="T377" s="191"/>
      <c r="U377" s="191"/>
      <c r="V377" s="191"/>
      <c r="W377" s="191"/>
      <c r="X377" s="191"/>
      <c r="Y377" s="191"/>
      <c r="Z377" s="191"/>
      <c r="AA377" s="191"/>
      <c r="AB377" s="191"/>
      <c r="AC377" s="191"/>
      <c r="AD377" s="191"/>
      <c r="AE377" s="191"/>
      <c r="AF377" s="191"/>
      <c r="AG377" s="191"/>
      <c r="AH377" s="191"/>
      <c r="AI377" s="191"/>
      <c r="AJ377" s="191"/>
      <c r="AK377" s="191"/>
      <c r="AL377" s="191"/>
      <c r="AM377" s="191"/>
      <c r="AN377" s="191"/>
      <c r="AO377" s="191"/>
      <c r="AP377" s="191"/>
      <c r="AQ377" s="191"/>
      <c r="AR377" s="191"/>
      <c r="AS377" s="191"/>
      <c r="AT377" s="191"/>
      <c r="AU377" s="191"/>
      <c r="AV377" s="191"/>
      <c r="AW377" s="191"/>
      <c r="AX377" s="191"/>
      <c r="AY377" s="191"/>
      <c r="AZ377" s="191"/>
      <c r="BA377" s="191"/>
      <c r="BB377" s="191"/>
      <c r="BC377" s="191"/>
      <c r="BD377" s="191"/>
      <c r="BE377" s="191"/>
      <c r="BF377" s="191"/>
      <c r="BG377" s="191"/>
      <c r="BH377" s="191"/>
      <c r="BI377" s="191"/>
      <c r="BJ377" s="191"/>
      <c r="BK377" s="191"/>
      <c r="BL377" s="191"/>
      <c r="BM377" s="191"/>
      <c r="BN377" s="191"/>
      <c r="BO377" s="191"/>
      <c r="BP377" s="191"/>
      <c r="BQ377" s="191"/>
    </row>
    <row r="378" spans="11:69">
      <c r="K378" s="191"/>
      <c r="L378" s="191"/>
      <c r="M378" s="191"/>
      <c r="N378" s="191"/>
      <c r="O378" s="191"/>
      <c r="P378" s="191"/>
      <c r="Q378" s="191"/>
      <c r="R378" s="191"/>
      <c r="S378" s="191"/>
      <c r="T378" s="191"/>
      <c r="U378" s="191"/>
      <c r="V378" s="191"/>
      <c r="W378" s="191"/>
      <c r="X378" s="191"/>
      <c r="Y378" s="191"/>
      <c r="Z378" s="191"/>
      <c r="AA378" s="191"/>
      <c r="AB378" s="191"/>
      <c r="AC378" s="191"/>
      <c r="AD378" s="191"/>
      <c r="AE378" s="191"/>
      <c r="AF378" s="191"/>
      <c r="AG378" s="191"/>
      <c r="AH378" s="191"/>
      <c r="AI378" s="191"/>
      <c r="AJ378" s="191"/>
      <c r="AK378" s="191"/>
      <c r="AL378" s="191"/>
      <c r="AM378" s="191"/>
      <c r="AN378" s="191"/>
      <c r="AO378" s="191"/>
      <c r="AP378" s="191"/>
      <c r="AQ378" s="191"/>
      <c r="AR378" s="191"/>
      <c r="AS378" s="191"/>
      <c r="AT378" s="191"/>
      <c r="AU378" s="191"/>
      <c r="AV378" s="191"/>
      <c r="AW378" s="191"/>
      <c r="AX378" s="191"/>
      <c r="AY378" s="191"/>
      <c r="AZ378" s="191"/>
      <c r="BA378" s="191"/>
      <c r="BB378" s="191"/>
      <c r="BC378" s="191"/>
      <c r="BD378" s="191"/>
      <c r="BE378" s="191"/>
      <c r="BF378" s="191"/>
      <c r="BG378" s="191"/>
      <c r="BH378" s="191"/>
      <c r="BI378" s="191"/>
      <c r="BJ378" s="191"/>
      <c r="BK378" s="191"/>
      <c r="BL378" s="191"/>
      <c r="BM378" s="191"/>
      <c r="BN378" s="191"/>
      <c r="BO378" s="191"/>
      <c r="BP378" s="191"/>
      <c r="BQ378" s="191"/>
    </row>
    <row r="379" spans="11:69">
      <c r="K379" s="191"/>
      <c r="L379" s="191"/>
      <c r="M379" s="191"/>
      <c r="N379" s="191"/>
      <c r="O379" s="191"/>
      <c r="P379" s="191"/>
      <c r="Q379" s="191"/>
      <c r="R379" s="191"/>
      <c r="S379" s="191"/>
      <c r="T379" s="191"/>
      <c r="U379" s="191"/>
      <c r="V379" s="191"/>
      <c r="W379" s="191"/>
      <c r="X379" s="191"/>
      <c r="Y379" s="191"/>
      <c r="Z379" s="191"/>
      <c r="AA379" s="191"/>
      <c r="AB379" s="191"/>
      <c r="AC379" s="191"/>
      <c r="AD379" s="191"/>
      <c r="AE379" s="191"/>
      <c r="AF379" s="191"/>
      <c r="AG379" s="191"/>
      <c r="AH379" s="191"/>
      <c r="AI379" s="191"/>
      <c r="AJ379" s="191"/>
      <c r="AK379" s="191"/>
      <c r="AL379" s="191"/>
      <c r="AM379" s="191"/>
      <c r="AN379" s="191"/>
      <c r="AO379" s="191"/>
      <c r="AP379" s="191"/>
      <c r="AQ379" s="191"/>
      <c r="AR379" s="191"/>
      <c r="AS379" s="191"/>
      <c r="AT379" s="191"/>
      <c r="AU379" s="191"/>
      <c r="AV379" s="191"/>
      <c r="AW379" s="191"/>
      <c r="AX379" s="191"/>
      <c r="AY379" s="191"/>
      <c r="AZ379" s="191"/>
      <c r="BA379" s="191"/>
      <c r="BB379" s="191"/>
      <c r="BC379" s="191"/>
      <c r="BD379" s="191"/>
      <c r="BE379" s="191"/>
      <c r="BF379" s="191"/>
      <c r="BG379" s="191"/>
      <c r="BH379" s="191"/>
      <c r="BI379" s="191"/>
      <c r="BJ379" s="191"/>
      <c r="BK379" s="191"/>
      <c r="BL379" s="191"/>
      <c r="BM379" s="191"/>
      <c r="BN379" s="191"/>
      <c r="BO379" s="191"/>
      <c r="BP379" s="191"/>
      <c r="BQ379" s="191"/>
    </row>
    <row r="380" spans="11:69">
      <c r="K380" s="191"/>
      <c r="L380" s="191"/>
      <c r="M380" s="191"/>
      <c r="N380" s="191"/>
      <c r="O380" s="191"/>
      <c r="P380" s="191"/>
      <c r="Q380" s="191"/>
      <c r="R380" s="191"/>
      <c r="S380" s="191"/>
      <c r="T380" s="191"/>
      <c r="U380" s="191"/>
      <c r="V380" s="191"/>
      <c r="W380" s="191"/>
      <c r="X380" s="191"/>
      <c r="Y380" s="191"/>
      <c r="Z380" s="191"/>
      <c r="AA380" s="191"/>
      <c r="AB380" s="191"/>
      <c r="AC380" s="191"/>
      <c r="AD380" s="191"/>
      <c r="AE380" s="191"/>
      <c r="AF380" s="191"/>
      <c r="AG380" s="191"/>
      <c r="AH380" s="191"/>
      <c r="AI380" s="191"/>
      <c r="AJ380" s="191"/>
      <c r="AK380" s="191"/>
      <c r="AL380" s="191"/>
      <c r="AM380" s="191"/>
      <c r="AN380" s="191"/>
      <c r="AO380" s="191"/>
      <c r="AP380" s="191"/>
      <c r="AQ380" s="191"/>
      <c r="AR380" s="191"/>
      <c r="AS380" s="191"/>
      <c r="AT380" s="191"/>
      <c r="AU380" s="191"/>
      <c r="AV380" s="191"/>
      <c r="AW380" s="191"/>
      <c r="AX380" s="191"/>
      <c r="AY380" s="191"/>
      <c r="AZ380" s="191"/>
      <c r="BA380" s="191"/>
      <c r="BB380" s="191"/>
      <c r="BC380" s="191"/>
      <c r="BD380" s="191"/>
      <c r="BE380" s="191"/>
      <c r="BF380" s="191"/>
      <c r="BG380" s="191"/>
      <c r="BH380" s="191"/>
      <c r="BI380" s="191"/>
      <c r="BJ380" s="191"/>
      <c r="BK380" s="191"/>
      <c r="BL380" s="191"/>
      <c r="BM380" s="191"/>
      <c r="BN380" s="191"/>
      <c r="BO380" s="191"/>
      <c r="BP380" s="191"/>
      <c r="BQ380" s="191"/>
    </row>
    <row r="381" spans="11:69">
      <c r="K381" s="191"/>
      <c r="L381" s="191"/>
      <c r="M381" s="191"/>
      <c r="N381" s="191"/>
      <c r="O381" s="191"/>
      <c r="P381" s="191"/>
      <c r="Q381" s="191"/>
      <c r="R381" s="191"/>
      <c r="S381" s="191"/>
      <c r="T381" s="191"/>
      <c r="U381" s="191"/>
      <c r="V381" s="191"/>
      <c r="W381" s="191"/>
      <c r="X381" s="191"/>
      <c r="Y381" s="191"/>
      <c r="Z381" s="191"/>
      <c r="AA381" s="191"/>
      <c r="AB381" s="191"/>
      <c r="AC381" s="191"/>
      <c r="AD381" s="191"/>
      <c r="AE381" s="191"/>
      <c r="AF381" s="191"/>
      <c r="AG381" s="191"/>
      <c r="AH381" s="191"/>
      <c r="AI381" s="191"/>
      <c r="AJ381" s="191"/>
      <c r="AK381" s="191"/>
      <c r="AL381" s="191"/>
      <c r="AM381" s="191"/>
      <c r="AN381" s="191"/>
      <c r="AO381" s="191"/>
      <c r="AP381" s="191"/>
      <c r="AQ381" s="191"/>
      <c r="AR381" s="191"/>
      <c r="AS381" s="191"/>
      <c r="AT381" s="191"/>
      <c r="AU381" s="191"/>
      <c r="AV381" s="191"/>
      <c r="AW381" s="191"/>
      <c r="AX381" s="191"/>
      <c r="AY381" s="191"/>
      <c r="AZ381" s="191"/>
      <c r="BA381" s="191"/>
      <c r="BB381" s="191"/>
      <c r="BC381" s="191"/>
      <c r="BD381" s="191"/>
      <c r="BE381" s="191"/>
      <c r="BF381" s="191"/>
      <c r="BG381" s="191"/>
      <c r="BH381" s="191"/>
      <c r="BI381" s="191"/>
      <c r="BJ381" s="191"/>
      <c r="BK381" s="191"/>
      <c r="BL381" s="191"/>
      <c r="BM381" s="191"/>
      <c r="BN381" s="191"/>
      <c r="BO381" s="191"/>
      <c r="BP381" s="191"/>
      <c r="BQ381" s="191"/>
    </row>
    <row r="382" spans="11:69">
      <c r="K382" s="191"/>
      <c r="L382" s="191"/>
      <c r="M382" s="191"/>
      <c r="N382" s="191"/>
      <c r="O382" s="191"/>
      <c r="P382" s="191"/>
      <c r="Q382" s="191"/>
      <c r="R382" s="191"/>
      <c r="S382" s="191"/>
      <c r="T382" s="191"/>
      <c r="U382" s="191"/>
      <c r="V382" s="191"/>
      <c r="W382" s="191"/>
      <c r="X382" s="191"/>
      <c r="Y382" s="191"/>
      <c r="Z382" s="191"/>
      <c r="AA382" s="191"/>
      <c r="AB382" s="191"/>
      <c r="AC382" s="191"/>
      <c r="AD382" s="191"/>
      <c r="AE382" s="191"/>
      <c r="AF382" s="191"/>
      <c r="AG382" s="191"/>
      <c r="AH382" s="191"/>
      <c r="AI382" s="191"/>
      <c r="AJ382" s="191"/>
      <c r="AK382" s="191"/>
      <c r="AL382" s="191"/>
      <c r="AM382" s="191"/>
      <c r="AN382" s="191"/>
      <c r="AO382" s="191"/>
      <c r="AP382" s="191"/>
      <c r="AQ382" s="191"/>
      <c r="AR382" s="191"/>
      <c r="AS382" s="191"/>
      <c r="AT382" s="191"/>
      <c r="AU382" s="191"/>
      <c r="AV382" s="191"/>
      <c r="AW382" s="191"/>
      <c r="AX382" s="191"/>
      <c r="AY382" s="191"/>
      <c r="AZ382" s="191"/>
      <c r="BA382" s="191"/>
      <c r="BB382" s="191"/>
      <c r="BC382" s="191"/>
      <c r="BD382" s="191"/>
      <c r="BE382" s="191"/>
      <c r="BF382" s="191"/>
      <c r="BG382" s="191"/>
      <c r="BH382" s="191"/>
      <c r="BI382" s="191"/>
      <c r="BJ382" s="191"/>
      <c r="BK382" s="191"/>
      <c r="BL382" s="191"/>
      <c r="BM382" s="191"/>
      <c r="BN382" s="191"/>
      <c r="BO382" s="191"/>
      <c r="BP382" s="191"/>
      <c r="BQ382" s="191"/>
    </row>
    <row r="383" spans="11:69">
      <c r="K383" s="191"/>
      <c r="L383" s="191"/>
      <c r="M383" s="191"/>
      <c r="N383" s="191"/>
      <c r="O383" s="191"/>
      <c r="P383" s="191"/>
      <c r="Q383" s="191"/>
      <c r="R383" s="191"/>
      <c r="S383" s="191"/>
      <c r="T383" s="191"/>
      <c r="U383" s="191"/>
      <c r="V383" s="191"/>
      <c r="W383" s="191"/>
      <c r="X383" s="191"/>
      <c r="Y383" s="191"/>
      <c r="Z383" s="191"/>
      <c r="AA383" s="191"/>
      <c r="AB383" s="191"/>
      <c r="AC383" s="191"/>
      <c r="AD383" s="191"/>
      <c r="AE383" s="191"/>
      <c r="AF383" s="191"/>
      <c r="AG383" s="191"/>
      <c r="AH383" s="191"/>
      <c r="AI383" s="191"/>
      <c r="AJ383" s="191"/>
      <c r="AK383" s="191"/>
      <c r="AL383" s="191"/>
      <c r="AM383" s="191"/>
      <c r="AN383" s="191"/>
      <c r="AO383" s="191"/>
      <c r="AP383" s="191"/>
      <c r="AQ383" s="191"/>
      <c r="AR383" s="191"/>
      <c r="AS383" s="191"/>
      <c r="AT383" s="191"/>
      <c r="AU383" s="191"/>
      <c r="AV383" s="191"/>
      <c r="AW383" s="191"/>
      <c r="AX383" s="191"/>
      <c r="AY383" s="191"/>
      <c r="AZ383" s="191"/>
      <c r="BA383" s="191"/>
      <c r="BB383" s="191"/>
      <c r="BC383" s="191"/>
      <c r="BD383" s="191"/>
      <c r="BE383" s="191"/>
      <c r="BF383" s="191"/>
      <c r="BG383" s="191"/>
      <c r="BH383" s="191"/>
      <c r="BI383" s="191"/>
      <c r="BJ383" s="191"/>
      <c r="BK383" s="191"/>
      <c r="BL383" s="191"/>
      <c r="BM383" s="191"/>
      <c r="BN383" s="191"/>
      <c r="BO383" s="191"/>
      <c r="BP383" s="191"/>
      <c r="BQ383" s="191"/>
    </row>
    <row r="384" spans="11:69">
      <c r="K384" s="191"/>
      <c r="L384" s="191"/>
      <c r="M384" s="191"/>
      <c r="N384" s="191"/>
      <c r="O384" s="191"/>
      <c r="P384" s="191"/>
      <c r="Q384" s="191"/>
      <c r="R384" s="191"/>
      <c r="S384" s="191"/>
      <c r="T384" s="191"/>
      <c r="U384" s="191"/>
      <c r="V384" s="191"/>
      <c r="W384" s="191"/>
      <c r="X384" s="191"/>
      <c r="Y384" s="191"/>
      <c r="Z384" s="191"/>
      <c r="AA384" s="191"/>
      <c r="AB384" s="191"/>
      <c r="AC384" s="191"/>
      <c r="AD384" s="191"/>
      <c r="AE384" s="191"/>
      <c r="AF384" s="191"/>
      <c r="AG384" s="191"/>
      <c r="AH384" s="191"/>
      <c r="AI384" s="191"/>
      <c r="AJ384" s="191"/>
      <c r="AK384" s="191"/>
      <c r="AL384" s="191"/>
      <c r="AM384" s="191"/>
      <c r="AN384" s="191"/>
      <c r="AO384" s="191"/>
      <c r="AP384" s="191"/>
      <c r="AQ384" s="191"/>
      <c r="AR384" s="191"/>
      <c r="AS384" s="191"/>
      <c r="AT384" s="191"/>
      <c r="AU384" s="191"/>
      <c r="AV384" s="191"/>
      <c r="AW384" s="191"/>
      <c r="AX384" s="191"/>
      <c r="AY384" s="191"/>
      <c r="AZ384" s="191"/>
      <c r="BA384" s="191"/>
      <c r="BB384" s="191"/>
      <c r="BC384" s="191"/>
      <c r="BD384" s="191"/>
      <c r="BE384" s="191"/>
      <c r="BF384" s="191"/>
      <c r="BG384" s="191"/>
      <c r="BH384" s="191"/>
      <c r="BI384" s="191"/>
      <c r="BJ384" s="191"/>
      <c r="BK384" s="191"/>
      <c r="BL384" s="191"/>
      <c r="BM384" s="191"/>
      <c r="BN384" s="191"/>
      <c r="BO384" s="191"/>
      <c r="BP384" s="191"/>
      <c r="BQ384" s="191"/>
    </row>
    <row r="385" spans="11:69">
      <c r="K385" s="191"/>
      <c r="L385" s="191"/>
      <c r="M385" s="191"/>
      <c r="N385" s="191"/>
      <c r="O385" s="191"/>
      <c r="P385" s="191"/>
      <c r="Q385" s="191"/>
      <c r="R385" s="191"/>
      <c r="S385" s="191"/>
      <c r="T385" s="191"/>
      <c r="U385" s="191"/>
      <c r="V385" s="191"/>
      <c r="W385" s="191"/>
      <c r="X385" s="191"/>
      <c r="Y385" s="191"/>
      <c r="Z385" s="191"/>
      <c r="AA385" s="191"/>
      <c r="AB385" s="191"/>
      <c r="AC385" s="191"/>
      <c r="AD385" s="191"/>
      <c r="AE385" s="191"/>
      <c r="AF385" s="191"/>
      <c r="AG385" s="191"/>
      <c r="AH385" s="191"/>
      <c r="AI385" s="191"/>
      <c r="AJ385" s="191"/>
      <c r="AK385" s="191"/>
      <c r="AL385" s="191"/>
      <c r="AM385" s="191"/>
      <c r="AN385" s="191"/>
      <c r="AO385" s="191"/>
      <c r="AP385" s="191"/>
      <c r="AQ385" s="191"/>
      <c r="AR385" s="191"/>
      <c r="AS385" s="191"/>
      <c r="AT385" s="191"/>
      <c r="AU385" s="191"/>
      <c r="AV385" s="191"/>
      <c r="AW385" s="191"/>
      <c r="AX385" s="191"/>
      <c r="AY385" s="191"/>
      <c r="AZ385" s="191"/>
      <c r="BA385" s="191"/>
      <c r="BB385" s="191"/>
      <c r="BC385" s="191"/>
      <c r="BD385" s="191"/>
      <c r="BE385" s="191"/>
      <c r="BF385" s="191"/>
      <c r="BG385" s="191"/>
      <c r="BH385" s="191"/>
      <c r="BI385" s="191"/>
      <c r="BJ385" s="191"/>
      <c r="BK385" s="191"/>
      <c r="BL385" s="191"/>
      <c r="BM385" s="191"/>
      <c r="BN385" s="191"/>
      <c r="BO385" s="191"/>
      <c r="BP385" s="191"/>
      <c r="BQ385" s="191"/>
    </row>
    <row r="386" spans="11:69">
      <c r="K386" s="191"/>
      <c r="L386" s="191"/>
      <c r="M386" s="191"/>
      <c r="N386" s="191"/>
      <c r="O386" s="191"/>
      <c r="P386" s="191"/>
      <c r="Q386" s="191"/>
      <c r="R386" s="191"/>
      <c r="S386" s="191"/>
      <c r="T386" s="191"/>
      <c r="U386" s="191"/>
      <c r="V386" s="191"/>
      <c r="W386" s="191"/>
      <c r="X386" s="191"/>
      <c r="Y386" s="191"/>
      <c r="Z386" s="191"/>
      <c r="AA386" s="191"/>
      <c r="AB386" s="191"/>
      <c r="AC386" s="191"/>
      <c r="AD386" s="191"/>
      <c r="AE386" s="191"/>
      <c r="AF386" s="191"/>
      <c r="AG386" s="191"/>
      <c r="AH386" s="191"/>
      <c r="AI386" s="191"/>
      <c r="AJ386" s="191"/>
      <c r="AK386" s="191"/>
      <c r="AL386" s="191"/>
      <c r="AM386" s="191"/>
      <c r="AN386" s="191"/>
      <c r="AO386" s="191"/>
      <c r="AP386" s="191"/>
      <c r="AQ386" s="191"/>
      <c r="AR386" s="191"/>
      <c r="AS386" s="191"/>
      <c r="AT386" s="191"/>
      <c r="AU386" s="191"/>
      <c r="AV386" s="191"/>
      <c r="AW386" s="191"/>
      <c r="AX386" s="191"/>
      <c r="AY386" s="191"/>
      <c r="AZ386" s="191"/>
      <c r="BA386" s="191"/>
      <c r="BB386" s="191"/>
      <c r="BC386" s="191"/>
      <c r="BD386" s="191"/>
      <c r="BE386" s="191"/>
      <c r="BF386" s="191"/>
      <c r="BG386" s="191"/>
      <c r="BH386" s="191"/>
      <c r="BI386" s="191"/>
      <c r="BJ386" s="191"/>
      <c r="BK386" s="191"/>
      <c r="BL386" s="191"/>
      <c r="BM386" s="191"/>
      <c r="BN386" s="191"/>
      <c r="BO386" s="191"/>
      <c r="BP386" s="191"/>
      <c r="BQ386" s="191"/>
    </row>
    <row r="387" spans="11:69">
      <c r="K387" s="191"/>
      <c r="L387" s="191"/>
      <c r="M387" s="191"/>
      <c r="N387" s="191"/>
      <c r="O387" s="191"/>
      <c r="P387" s="191"/>
      <c r="Q387" s="191"/>
      <c r="R387" s="191"/>
      <c r="S387" s="191"/>
      <c r="T387" s="191"/>
      <c r="U387" s="191"/>
      <c r="V387" s="191"/>
      <c r="W387" s="191"/>
      <c r="X387" s="191"/>
      <c r="Y387" s="191"/>
      <c r="Z387" s="191"/>
      <c r="AA387" s="191"/>
      <c r="AB387" s="191"/>
      <c r="AC387" s="191"/>
      <c r="AD387" s="191"/>
      <c r="AE387" s="191"/>
      <c r="AF387" s="191"/>
      <c r="AG387" s="191"/>
      <c r="AH387" s="191"/>
      <c r="AI387" s="191"/>
      <c r="AJ387" s="191"/>
      <c r="AK387" s="191"/>
      <c r="AL387" s="191"/>
      <c r="AM387" s="191"/>
      <c r="AN387" s="191"/>
      <c r="AO387" s="191"/>
      <c r="AP387" s="191"/>
      <c r="AQ387" s="191"/>
      <c r="AR387" s="191"/>
      <c r="AS387" s="191"/>
      <c r="AT387" s="191"/>
      <c r="AU387" s="191"/>
      <c r="AV387" s="191"/>
      <c r="AW387" s="191"/>
      <c r="AX387" s="191"/>
      <c r="AY387" s="191"/>
      <c r="AZ387" s="191"/>
      <c r="BA387" s="191"/>
      <c r="BB387" s="191"/>
      <c r="BC387" s="191"/>
      <c r="BD387" s="191"/>
      <c r="BE387" s="191"/>
      <c r="BF387" s="191"/>
      <c r="BG387" s="191"/>
      <c r="BH387" s="191"/>
      <c r="BI387" s="191"/>
      <c r="BJ387" s="191"/>
      <c r="BK387" s="191"/>
      <c r="BL387" s="191"/>
      <c r="BM387" s="191"/>
      <c r="BN387" s="191"/>
      <c r="BO387" s="191"/>
      <c r="BP387" s="191"/>
      <c r="BQ387" s="191"/>
    </row>
    <row r="388" spans="11:69">
      <c r="K388" s="191"/>
      <c r="L388" s="191"/>
      <c r="M388" s="191"/>
      <c r="N388" s="191"/>
      <c r="O388" s="191"/>
      <c r="P388" s="191"/>
      <c r="Q388" s="191"/>
      <c r="R388" s="191"/>
      <c r="S388" s="191"/>
      <c r="T388" s="191"/>
      <c r="U388" s="191"/>
      <c r="V388" s="191"/>
      <c r="W388" s="191"/>
      <c r="X388" s="191"/>
      <c r="Y388" s="191"/>
      <c r="Z388" s="191"/>
      <c r="AA388" s="191"/>
      <c r="AB388" s="191"/>
      <c r="AC388" s="191"/>
      <c r="AD388" s="191"/>
      <c r="AE388" s="191"/>
      <c r="AF388" s="191"/>
      <c r="AG388" s="191"/>
      <c r="AH388" s="191"/>
      <c r="AI388" s="191"/>
      <c r="AJ388" s="191"/>
      <c r="AK388" s="191"/>
      <c r="AL388" s="191"/>
      <c r="AM388" s="191"/>
      <c r="AN388" s="191"/>
      <c r="AO388" s="191"/>
      <c r="AP388" s="191"/>
      <c r="AQ388" s="191"/>
      <c r="AR388" s="191"/>
      <c r="AS388" s="191"/>
      <c r="AT388" s="191"/>
      <c r="AU388" s="191"/>
      <c r="AV388" s="191"/>
      <c r="AW388" s="191"/>
      <c r="AX388" s="191"/>
      <c r="AY388" s="191"/>
      <c r="AZ388" s="191"/>
      <c r="BA388" s="191"/>
      <c r="BB388" s="191"/>
      <c r="BC388" s="191"/>
      <c r="BD388" s="191"/>
      <c r="BE388" s="191"/>
      <c r="BF388" s="191"/>
      <c r="BG388" s="191"/>
      <c r="BH388" s="191"/>
      <c r="BI388" s="191"/>
      <c r="BJ388" s="191"/>
      <c r="BK388" s="191"/>
      <c r="BL388" s="191"/>
      <c r="BM388" s="191"/>
      <c r="BN388" s="191"/>
      <c r="BO388" s="191"/>
      <c r="BP388" s="191"/>
      <c r="BQ388" s="191"/>
    </row>
    <row r="389" spans="11:69">
      <c r="K389" s="191"/>
      <c r="L389" s="191"/>
      <c r="M389" s="191"/>
      <c r="N389" s="191"/>
      <c r="O389" s="191"/>
      <c r="P389" s="191"/>
      <c r="Q389" s="191"/>
      <c r="R389" s="191"/>
      <c r="S389" s="191"/>
      <c r="T389" s="191"/>
      <c r="U389" s="191"/>
      <c r="V389" s="191"/>
      <c r="W389" s="191"/>
      <c r="X389" s="191"/>
      <c r="Y389" s="191"/>
      <c r="Z389" s="191"/>
      <c r="AA389" s="191"/>
      <c r="AB389" s="191"/>
      <c r="AC389" s="191"/>
      <c r="AD389" s="191"/>
      <c r="AE389" s="191"/>
      <c r="AF389" s="191"/>
      <c r="AG389" s="191"/>
      <c r="AH389" s="191"/>
      <c r="AI389" s="191"/>
      <c r="AJ389" s="191"/>
      <c r="AK389" s="191"/>
      <c r="AL389" s="191"/>
      <c r="AM389" s="191"/>
      <c r="AN389" s="191"/>
      <c r="AO389" s="191"/>
      <c r="AP389" s="191"/>
      <c r="AQ389" s="191"/>
      <c r="AR389" s="191"/>
      <c r="AS389" s="191"/>
      <c r="AT389" s="191"/>
      <c r="AU389" s="191"/>
      <c r="AV389" s="191"/>
      <c r="AW389" s="191"/>
      <c r="AX389" s="191"/>
      <c r="AY389" s="191"/>
      <c r="AZ389" s="191"/>
      <c r="BA389" s="191"/>
      <c r="BB389" s="191"/>
      <c r="BC389" s="191"/>
      <c r="BD389" s="191"/>
      <c r="BE389" s="191"/>
      <c r="BF389" s="191"/>
      <c r="BG389" s="191"/>
      <c r="BH389" s="191"/>
      <c r="BI389" s="191"/>
      <c r="BJ389" s="191"/>
      <c r="BK389" s="191"/>
      <c r="BL389" s="191"/>
      <c r="BM389" s="191"/>
      <c r="BN389" s="191"/>
      <c r="BO389" s="191"/>
      <c r="BP389" s="191"/>
      <c r="BQ389" s="191"/>
    </row>
    <row r="390" spans="11:69">
      <c r="K390" s="191"/>
      <c r="L390" s="191"/>
      <c r="M390" s="191"/>
      <c r="N390" s="191"/>
      <c r="O390" s="191"/>
      <c r="P390" s="191"/>
      <c r="Q390" s="191"/>
      <c r="R390" s="191"/>
      <c r="S390" s="191"/>
      <c r="T390" s="191"/>
      <c r="U390" s="191"/>
      <c r="V390" s="191"/>
      <c r="W390" s="191"/>
      <c r="X390" s="191"/>
      <c r="Y390" s="191"/>
      <c r="Z390" s="191"/>
      <c r="AA390" s="191"/>
      <c r="AB390" s="191"/>
      <c r="AC390" s="191"/>
      <c r="AD390" s="191"/>
      <c r="AE390" s="191"/>
      <c r="AF390" s="191"/>
      <c r="AG390" s="191"/>
      <c r="AH390" s="191"/>
      <c r="AI390" s="191"/>
      <c r="AJ390" s="191"/>
      <c r="AK390" s="191"/>
      <c r="AL390" s="191"/>
      <c r="AM390" s="191"/>
      <c r="AN390" s="191"/>
      <c r="AO390" s="191"/>
      <c r="AP390" s="191"/>
      <c r="AQ390" s="191"/>
      <c r="AR390" s="191"/>
      <c r="AS390" s="191"/>
      <c r="AT390" s="191"/>
      <c r="AU390" s="191"/>
      <c r="AV390" s="191"/>
      <c r="AW390" s="191"/>
      <c r="AX390" s="191"/>
      <c r="AY390" s="191"/>
      <c r="AZ390" s="191"/>
      <c r="BA390" s="191"/>
      <c r="BB390" s="191"/>
      <c r="BC390" s="191"/>
      <c r="BD390" s="191"/>
      <c r="BE390" s="191"/>
      <c r="BF390" s="191"/>
      <c r="BG390" s="191"/>
      <c r="BH390" s="191"/>
      <c r="BI390" s="191"/>
      <c r="BJ390" s="191"/>
      <c r="BK390" s="191"/>
      <c r="BL390" s="191"/>
      <c r="BM390" s="191"/>
      <c r="BN390" s="191"/>
      <c r="BO390" s="191"/>
      <c r="BP390" s="191"/>
      <c r="BQ390" s="191"/>
    </row>
    <row r="391" spans="11:69">
      <c r="K391" s="191"/>
      <c r="L391" s="191"/>
      <c r="M391" s="191"/>
      <c r="N391" s="191"/>
      <c r="O391" s="191"/>
      <c r="P391" s="191"/>
      <c r="Q391" s="191"/>
      <c r="R391" s="191"/>
      <c r="S391" s="191"/>
      <c r="T391" s="191"/>
      <c r="U391" s="191"/>
      <c r="V391" s="191"/>
      <c r="W391" s="191"/>
      <c r="X391" s="191"/>
      <c r="Y391" s="191"/>
      <c r="Z391" s="191"/>
      <c r="AA391" s="191"/>
      <c r="AB391" s="191"/>
      <c r="AC391" s="191"/>
      <c r="AD391" s="191"/>
      <c r="AE391" s="191"/>
      <c r="AF391" s="191"/>
      <c r="AG391" s="191"/>
      <c r="AH391" s="191"/>
      <c r="AI391" s="191"/>
      <c r="AJ391" s="191"/>
      <c r="AK391" s="191"/>
      <c r="AL391" s="191"/>
      <c r="AM391" s="191"/>
      <c r="AN391" s="191"/>
      <c r="AO391" s="191"/>
      <c r="AP391" s="191"/>
      <c r="AQ391" s="191"/>
      <c r="AR391" s="191"/>
      <c r="AS391" s="191"/>
      <c r="AT391" s="191"/>
      <c r="AU391" s="191"/>
      <c r="AV391" s="191"/>
      <c r="AW391" s="191"/>
      <c r="AX391" s="191"/>
      <c r="AY391" s="191"/>
      <c r="AZ391" s="191"/>
      <c r="BA391" s="191"/>
      <c r="BB391" s="191"/>
      <c r="BC391" s="191"/>
      <c r="BD391" s="191"/>
      <c r="BE391" s="191"/>
      <c r="BF391" s="191"/>
      <c r="BG391" s="191"/>
      <c r="BH391" s="191"/>
      <c r="BI391" s="191"/>
      <c r="BJ391" s="191"/>
      <c r="BK391" s="191"/>
      <c r="BL391" s="191"/>
      <c r="BM391" s="191"/>
      <c r="BN391" s="191"/>
      <c r="BO391" s="191"/>
      <c r="BP391" s="191"/>
      <c r="BQ391" s="191"/>
    </row>
    <row r="392" spans="11:69">
      <c r="K392" s="191"/>
      <c r="L392" s="191"/>
      <c r="M392" s="191"/>
      <c r="N392" s="191"/>
      <c r="O392" s="191"/>
      <c r="P392" s="191"/>
      <c r="Q392" s="191"/>
      <c r="R392" s="191"/>
      <c r="S392" s="191"/>
      <c r="T392" s="191"/>
      <c r="U392" s="191"/>
      <c r="V392" s="191"/>
      <c r="W392" s="191"/>
      <c r="X392" s="191"/>
      <c r="Y392" s="191"/>
      <c r="Z392" s="191"/>
      <c r="AA392" s="191"/>
      <c r="AB392" s="191"/>
      <c r="AC392" s="191"/>
      <c r="AD392" s="191"/>
      <c r="AE392" s="191"/>
      <c r="AF392" s="191"/>
      <c r="AG392" s="191"/>
      <c r="AH392" s="191"/>
      <c r="AI392" s="191"/>
      <c r="AJ392" s="191"/>
      <c r="AK392" s="191"/>
      <c r="AL392" s="191"/>
      <c r="AM392" s="191"/>
      <c r="AN392" s="191"/>
      <c r="AO392" s="191"/>
      <c r="AP392" s="191"/>
      <c r="AQ392" s="191"/>
      <c r="AR392" s="191"/>
      <c r="AS392" s="191"/>
      <c r="AT392" s="191"/>
      <c r="AU392" s="191"/>
      <c r="AV392" s="191"/>
      <c r="AW392" s="191"/>
      <c r="AX392" s="191"/>
      <c r="AY392" s="191"/>
      <c r="AZ392" s="191"/>
      <c r="BA392" s="191"/>
      <c r="BB392" s="191"/>
      <c r="BC392" s="191"/>
      <c r="BD392" s="191"/>
      <c r="BE392" s="191"/>
      <c r="BF392" s="191"/>
      <c r="BG392" s="191"/>
      <c r="BH392" s="191"/>
      <c r="BI392" s="191"/>
      <c r="BJ392" s="191"/>
      <c r="BK392" s="191"/>
      <c r="BL392" s="191"/>
      <c r="BM392" s="191"/>
      <c r="BN392" s="191"/>
      <c r="BO392" s="191"/>
      <c r="BP392" s="191"/>
      <c r="BQ392" s="191"/>
    </row>
    <row r="393" spans="11:69">
      <c r="K393" s="191"/>
      <c r="L393" s="191"/>
      <c r="M393" s="191"/>
      <c r="N393" s="191"/>
      <c r="O393" s="191"/>
      <c r="P393" s="191"/>
      <c r="Q393" s="191"/>
      <c r="R393" s="191"/>
      <c r="S393" s="191"/>
      <c r="T393" s="191"/>
      <c r="U393" s="191"/>
      <c r="V393" s="191"/>
      <c r="W393" s="191"/>
      <c r="X393" s="191"/>
      <c r="Y393" s="191"/>
      <c r="Z393" s="191"/>
      <c r="AA393" s="191"/>
      <c r="AB393" s="191"/>
      <c r="AC393" s="191"/>
      <c r="AD393" s="191"/>
      <c r="AE393" s="191"/>
      <c r="AF393" s="191"/>
      <c r="AG393" s="191"/>
      <c r="AH393" s="191"/>
      <c r="AI393" s="191"/>
      <c r="AJ393" s="191"/>
      <c r="AK393" s="191"/>
      <c r="AL393" s="191"/>
      <c r="AM393" s="191"/>
      <c r="AN393" s="191"/>
      <c r="AO393" s="191"/>
      <c r="AP393" s="191"/>
      <c r="AQ393" s="191"/>
      <c r="AR393" s="191"/>
      <c r="AS393" s="191"/>
      <c r="AT393" s="191"/>
      <c r="AU393" s="191"/>
      <c r="AV393" s="191"/>
      <c r="AW393" s="191"/>
      <c r="AX393" s="191"/>
      <c r="AY393" s="191"/>
      <c r="AZ393" s="191"/>
      <c r="BA393" s="191"/>
      <c r="BB393" s="191"/>
      <c r="BC393" s="191"/>
      <c r="BD393" s="191"/>
      <c r="BE393" s="191"/>
      <c r="BF393" s="191"/>
      <c r="BG393" s="191"/>
      <c r="BH393" s="191"/>
      <c r="BI393" s="191"/>
      <c r="BJ393" s="191"/>
      <c r="BK393" s="191"/>
      <c r="BL393" s="191"/>
      <c r="BM393" s="191"/>
      <c r="BN393" s="191"/>
      <c r="BO393" s="191"/>
      <c r="BP393" s="191"/>
      <c r="BQ393" s="191"/>
    </row>
    <row r="394" spans="11:69">
      <c r="K394" s="191"/>
      <c r="L394" s="191"/>
      <c r="M394" s="191"/>
      <c r="N394" s="191"/>
      <c r="O394" s="191"/>
      <c r="P394" s="191"/>
      <c r="Q394" s="191"/>
      <c r="R394" s="191"/>
      <c r="S394" s="191"/>
      <c r="T394" s="191"/>
      <c r="U394" s="191"/>
      <c r="V394" s="191"/>
      <c r="W394" s="191"/>
      <c r="X394" s="191"/>
      <c r="Y394" s="191"/>
      <c r="Z394" s="191"/>
      <c r="AA394" s="191"/>
      <c r="AB394" s="191"/>
      <c r="AC394" s="191"/>
      <c r="AD394" s="191"/>
      <c r="AE394" s="191"/>
      <c r="AF394" s="191"/>
      <c r="AG394" s="191"/>
      <c r="AH394" s="191"/>
      <c r="AI394" s="191"/>
      <c r="AJ394" s="191"/>
      <c r="AK394" s="191"/>
      <c r="AL394" s="191"/>
      <c r="AM394" s="191"/>
      <c r="AN394" s="191"/>
      <c r="AO394" s="191"/>
      <c r="AP394" s="191"/>
      <c r="AQ394" s="191"/>
      <c r="AR394" s="191"/>
      <c r="AS394" s="191"/>
      <c r="AT394" s="191"/>
      <c r="AU394" s="191"/>
      <c r="AV394" s="191"/>
      <c r="AW394" s="191"/>
      <c r="AX394" s="191"/>
      <c r="AY394" s="191"/>
      <c r="AZ394" s="191"/>
      <c r="BA394" s="191"/>
      <c r="BB394" s="191"/>
      <c r="BC394" s="191"/>
      <c r="BD394" s="191"/>
      <c r="BE394" s="191"/>
      <c r="BF394" s="191"/>
      <c r="BG394" s="191"/>
      <c r="BH394" s="191"/>
      <c r="BI394" s="191"/>
      <c r="BJ394" s="191"/>
      <c r="BK394" s="191"/>
      <c r="BL394" s="191"/>
      <c r="BM394" s="191"/>
      <c r="BN394" s="191"/>
      <c r="BO394" s="191"/>
      <c r="BP394" s="191"/>
      <c r="BQ394" s="191"/>
    </row>
    <row r="395" spans="11:69">
      <c r="K395" s="191"/>
      <c r="L395" s="191"/>
      <c r="M395" s="191"/>
      <c r="N395" s="191"/>
      <c r="O395" s="191"/>
      <c r="P395" s="191"/>
      <c r="Q395" s="191"/>
      <c r="R395" s="191"/>
      <c r="S395" s="191"/>
      <c r="T395" s="191"/>
      <c r="U395" s="191"/>
      <c r="V395" s="191"/>
      <c r="W395" s="191"/>
      <c r="X395" s="191"/>
      <c r="Y395" s="191"/>
      <c r="Z395" s="191"/>
      <c r="AA395" s="191"/>
      <c r="AB395" s="191"/>
      <c r="AC395" s="191"/>
      <c r="AD395" s="191"/>
      <c r="AE395" s="191"/>
      <c r="AF395" s="191"/>
      <c r="AG395" s="191"/>
      <c r="AH395" s="191"/>
      <c r="AI395" s="191"/>
      <c r="AJ395" s="191"/>
      <c r="AK395" s="191"/>
      <c r="AL395" s="191"/>
      <c r="AM395" s="191"/>
      <c r="AN395" s="191"/>
      <c r="AO395" s="191"/>
      <c r="AP395" s="191"/>
      <c r="AQ395" s="191"/>
      <c r="AR395" s="191"/>
      <c r="AS395" s="191"/>
      <c r="AT395" s="191"/>
      <c r="AU395" s="191"/>
      <c r="AV395" s="191"/>
      <c r="AW395" s="191"/>
      <c r="AX395" s="191"/>
      <c r="AY395" s="191"/>
      <c r="AZ395" s="191"/>
      <c r="BA395" s="191"/>
      <c r="BB395" s="191"/>
      <c r="BC395" s="191"/>
      <c r="BD395" s="191"/>
      <c r="BE395" s="191"/>
      <c r="BF395" s="191"/>
      <c r="BG395" s="191"/>
      <c r="BH395" s="191"/>
      <c r="BI395" s="191"/>
      <c r="BJ395" s="191"/>
      <c r="BK395" s="191"/>
      <c r="BL395" s="191"/>
      <c r="BM395" s="191"/>
      <c r="BN395" s="191"/>
      <c r="BO395" s="191"/>
      <c r="BP395" s="191"/>
      <c r="BQ395" s="191"/>
    </row>
    <row r="396" spans="11:69">
      <c r="K396" s="191"/>
      <c r="L396" s="191"/>
      <c r="M396" s="191"/>
      <c r="N396" s="191"/>
      <c r="O396" s="191"/>
      <c r="P396" s="191"/>
      <c r="Q396" s="191"/>
      <c r="R396" s="191"/>
      <c r="S396" s="191"/>
      <c r="T396" s="191"/>
      <c r="U396" s="191"/>
      <c r="V396" s="191"/>
      <c r="W396" s="191"/>
      <c r="X396" s="191"/>
      <c r="Y396" s="191"/>
      <c r="Z396" s="191"/>
      <c r="AA396" s="191"/>
      <c r="AB396" s="191"/>
      <c r="AC396" s="191"/>
      <c r="AD396" s="191"/>
      <c r="AE396" s="191"/>
      <c r="AF396" s="191"/>
      <c r="AG396" s="191"/>
      <c r="AH396" s="191"/>
      <c r="AI396" s="191"/>
      <c r="AJ396" s="191"/>
      <c r="AK396" s="191"/>
      <c r="AL396" s="191"/>
      <c r="AM396" s="191"/>
      <c r="AN396" s="191"/>
      <c r="AO396" s="191"/>
      <c r="AP396" s="191"/>
      <c r="AQ396" s="191"/>
      <c r="AR396" s="191"/>
      <c r="AS396" s="191"/>
      <c r="AT396" s="191"/>
      <c r="AU396" s="191"/>
      <c r="AV396" s="191"/>
      <c r="AW396" s="191"/>
      <c r="AX396" s="191"/>
      <c r="AY396" s="191"/>
      <c r="AZ396" s="191"/>
      <c r="BA396" s="191"/>
      <c r="BB396" s="191"/>
      <c r="BC396" s="191"/>
      <c r="BD396" s="191"/>
      <c r="BE396" s="191"/>
      <c r="BF396" s="191"/>
      <c r="BG396" s="191"/>
      <c r="BH396" s="191"/>
      <c r="BI396" s="191"/>
      <c r="BJ396" s="191"/>
      <c r="BK396" s="191"/>
      <c r="BL396" s="191"/>
      <c r="BM396" s="191"/>
      <c r="BN396" s="191"/>
      <c r="BO396" s="191"/>
      <c r="BP396" s="191"/>
      <c r="BQ396" s="191"/>
    </row>
    <row r="397" spans="11:69">
      <c r="K397" s="191"/>
      <c r="L397" s="191"/>
      <c r="M397" s="191"/>
      <c r="N397" s="191"/>
      <c r="O397" s="191"/>
      <c r="P397" s="191"/>
      <c r="Q397" s="191"/>
      <c r="R397" s="191"/>
      <c r="S397" s="191"/>
      <c r="T397" s="191"/>
      <c r="U397" s="191"/>
      <c r="V397" s="191"/>
      <c r="W397" s="191"/>
      <c r="X397" s="191"/>
      <c r="Y397" s="191"/>
      <c r="Z397" s="191"/>
      <c r="AA397" s="191"/>
      <c r="AB397" s="191"/>
      <c r="AC397" s="191"/>
      <c r="AD397" s="191"/>
      <c r="AE397" s="191"/>
      <c r="AF397" s="191"/>
      <c r="AG397" s="191"/>
      <c r="AH397" s="191"/>
      <c r="AI397" s="191"/>
      <c r="AJ397" s="191"/>
      <c r="AK397" s="191"/>
      <c r="AL397" s="191"/>
      <c r="AM397" s="191"/>
      <c r="AN397" s="191"/>
      <c r="AO397" s="191"/>
      <c r="AP397" s="191"/>
      <c r="AQ397" s="191"/>
      <c r="AR397" s="191"/>
      <c r="AS397" s="191"/>
      <c r="AT397" s="191"/>
      <c r="AU397" s="191"/>
      <c r="AV397" s="191"/>
      <c r="AW397" s="191"/>
      <c r="AX397" s="191"/>
      <c r="AY397" s="191"/>
      <c r="AZ397" s="191"/>
      <c r="BA397" s="191"/>
      <c r="BB397" s="191"/>
      <c r="BC397" s="191"/>
      <c r="BD397" s="191"/>
      <c r="BE397" s="191"/>
      <c r="BF397" s="191"/>
      <c r="BG397" s="191"/>
      <c r="BH397" s="191"/>
      <c r="BI397" s="191"/>
      <c r="BJ397" s="191"/>
      <c r="BK397" s="191"/>
      <c r="BL397" s="191"/>
      <c r="BM397" s="191"/>
      <c r="BN397" s="191"/>
      <c r="BO397" s="191"/>
      <c r="BP397" s="191"/>
      <c r="BQ397" s="191"/>
    </row>
    <row r="398" spans="11:69">
      <c r="K398" s="191"/>
      <c r="L398" s="191"/>
      <c r="M398" s="191"/>
      <c r="N398" s="191"/>
      <c r="O398" s="191"/>
      <c r="P398" s="191"/>
      <c r="Q398" s="191"/>
      <c r="R398" s="191"/>
      <c r="S398" s="191"/>
      <c r="T398" s="191"/>
      <c r="U398" s="191"/>
      <c r="V398" s="191"/>
      <c r="W398" s="191"/>
      <c r="X398" s="191"/>
      <c r="Y398" s="191"/>
      <c r="Z398" s="191"/>
      <c r="AA398" s="191"/>
      <c r="AB398" s="191"/>
      <c r="AC398" s="191"/>
      <c r="AD398" s="191"/>
      <c r="AE398" s="191"/>
      <c r="AF398" s="191"/>
      <c r="AG398" s="191"/>
      <c r="AH398" s="191"/>
      <c r="AI398" s="191"/>
      <c r="AJ398" s="191"/>
      <c r="AK398" s="191"/>
      <c r="AL398" s="191"/>
      <c r="AM398" s="191"/>
      <c r="AN398" s="191"/>
      <c r="AO398" s="191"/>
      <c r="AP398" s="191"/>
      <c r="AQ398" s="191"/>
      <c r="AR398" s="191"/>
      <c r="AS398" s="191"/>
      <c r="AT398" s="191"/>
      <c r="AU398" s="191"/>
      <c r="AV398" s="191"/>
      <c r="AW398" s="191"/>
      <c r="AX398" s="191"/>
      <c r="AY398" s="191"/>
      <c r="AZ398" s="191"/>
      <c r="BA398" s="191"/>
      <c r="BB398" s="191"/>
      <c r="BC398" s="191"/>
      <c r="BD398" s="191"/>
      <c r="BE398" s="191"/>
      <c r="BF398" s="191"/>
      <c r="BG398" s="191"/>
      <c r="BH398" s="191"/>
      <c r="BI398" s="191"/>
      <c r="BJ398" s="191"/>
      <c r="BK398" s="191"/>
      <c r="BL398" s="191"/>
      <c r="BM398" s="191"/>
      <c r="BN398" s="191"/>
      <c r="BO398" s="191"/>
      <c r="BP398" s="191"/>
      <c r="BQ398" s="191"/>
    </row>
    <row r="399" spans="11:69">
      <c r="K399" s="191"/>
      <c r="L399" s="191"/>
      <c r="M399" s="191"/>
      <c r="N399" s="191"/>
      <c r="O399" s="191"/>
      <c r="P399" s="191"/>
      <c r="Q399" s="191"/>
      <c r="R399" s="191"/>
      <c r="S399" s="191"/>
      <c r="T399" s="191"/>
      <c r="U399" s="191"/>
      <c r="V399" s="191"/>
      <c r="W399" s="191"/>
      <c r="X399" s="191"/>
      <c r="Y399" s="191"/>
      <c r="Z399" s="191"/>
      <c r="AA399" s="191"/>
      <c r="AB399" s="191"/>
      <c r="AC399" s="191"/>
      <c r="AD399" s="191"/>
      <c r="AE399" s="191"/>
      <c r="AF399" s="191"/>
      <c r="AG399" s="191"/>
      <c r="AH399" s="191"/>
      <c r="AI399" s="191"/>
      <c r="AJ399" s="191"/>
      <c r="AK399" s="191"/>
      <c r="AL399" s="191"/>
      <c r="AM399" s="191"/>
      <c r="AN399" s="191"/>
      <c r="AO399" s="191"/>
      <c r="AP399" s="191"/>
      <c r="AQ399" s="191"/>
      <c r="AR399" s="191"/>
      <c r="AS399" s="191"/>
      <c r="AT399" s="191"/>
      <c r="AU399" s="191"/>
      <c r="AV399" s="191"/>
      <c r="AW399" s="191"/>
      <c r="AX399" s="191"/>
      <c r="AY399" s="191"/>
      <c r="AZ399" s="191"/>
      <c r="BA399" s="191"/>
      <c r="BB399" s="191"/>
      <c r="BC399" s="191"/>
      <c r="BD399" s="191"/>
      <c r="BE399" s="191"/>
      <c r="BF399" s="191"/>
      <c r="BG399" s="191"/>
      <c r="BH399" s="191"/>
      <c r="BI399" s="191"/>
      <c r="BJ399" s="191"/>
      <c r="BK399" s="191"/>
      <c r="BL399" s="191"/>
      <c r="BM399" s="191"/>
      <c r="BN399" s="191"/>
      <c r="BO399" s="191"/>
      <c r="BP399" s="191"/>
      <c r="BQ399" s="191"/>
    </row>
    <row r="400" spans="11:69">
      <c r="K400" s="191"/>
      <c r="L400" s="191"/>
      <c r="M400" s="191"/>
      <c r="N400" s="191"/>
      <c r="O400" s="191"/>
      <c r="P400" s="191"/>
      <c r="Q400" s="191"/>
      <c r="R400" s="191"/>
      <c r="S400" s="191"/>
      <c r="T400" s="191"/>
      <c r="U400" s="191"/>
      <c r="V400" s="191"/>
      <c r="W400" s="191"/>
      <c r="X400" s="191"/>
      <c r="Y400" s="191"/>
      <c r="Z400" s="191"/>
      <c r="AA400" s="191"/>
      <c r="AB400" s="191"/>
      <c r="AC400" s="191"/>
      <c r="AD400" s="191"/>
      <c r="AE400" s="191"/>
      <c r="AF400" s="191"/>
      <c r="AG400" s="191"/>
      <c r="AH400" s="191"/>
      <c r="AI400" s="191"/>
      <c r="AJ400" s="191"/>
      <c r="AK400" s="191"/>
      <c r="AL400" s="191"/>
      <c r="AM400" s="191"/>
      <c r="AN400" s="191"/>
      <c r="AO400" s="191"/>
      <c r="AP400" s="191"/>
      <c r="AQ400" s="191"/>
      <c r="AR400" s="191"/>
      <c r="AS400" s="191"/>
      <c r="AT400" s="191"/>
      <c r="AU400" s="191"/>
      <c r="AV400" s="191"/>
      <c r="AW400" s="191"/>
      <c r="AX400" s="191"/>
      <c r="AY400" s="191"/>
      <c r="AZ400" s="191"/>
      <c r="BA400" s="191"/>
      <c r="BB400" s="191"/>
      <c r="BC400" s="191"/>
      <c r="BD400" s="191"/>
      <c r="BE400" s="191"/>
      <c r="BF400" s="191"/>
      <c r="BG400" s="191"/>
      <c r="BH400" s="191"/>
      <c r="BI400" s="191"/>
      <c r="BJ400" s="191"/>
      <c r="BK400" s="191"/>
      <c r="BL400" s="191"/>
      <c r="BM400" s="191"/>
      <c r="BN400" s="191"/>
      <c r="BO400" s="191"/>
      <c r="BP400" s="191"/>
      <c r="BQ400" s="191"/>
    </row>
    <row r="401" spans="1:69">
      <c r="K401" s="191"/>
      <c r="L401" s="191"/>
      <c r="M401" s="191"/>
      <c r="N401" s="191"/>
      <c r="O401" s="191"/>
      <c r="P401" s="191"/>
      <c r="Q401" s="191"/>
      <c r="R401" s="191"/>
      <c r="S401" s="191"/>
      <c r="T401" s="191"/>
      <c r="U401" s="191"/>
      <c r="V401" s="191"/>
      <c r="W401" s="191"/>
      <c r="X401" s="191"/>
      <c r="Y401" s="191"/>
      <c r="Z401" s="191"/>
      <c r="AA401" s="191"/>
      <c r="AB401" s="191"/>
      <c r="AC401" s="191"/>
      <c r="AD401" s="191"/>
      <c r="AE401" s="191"/>
      <c r="AF401" s="191"/>
      <c r="AG401" s="191"/>
      <c r="AH401" s="191"/>
      <c r="AI401" s="191"/>
      <c r="AJ401" s="191"/>
      <c r="AK401" s="191"/>
      <c r="AL401" s="191"/>
      <c r="AM401" s="191"/>
      <c r="AN401" s="191"/>
      <c r="AO401" s="191"/>
      <c r="AP401" s="191"/>
      <c r="AQ401" s="191"/>
      <c r="AR401" s="191"/>
      <c r="AS401" s="191"/>
      <c r="AT401" s="191"/>
      <c r="AU401" s="191"/>
      <c r="AV401" s="191"/>
      <c r="AW401" s="191"/>
      <c r="AX401" s="191"/>
      <c r="AY401" s="191"/>
      <c r="AZ401" s="191"/>
      <c r="BA401" s="191"/>
      <c r="BB401" s="191"/>
      <c r="BC401" s="191"/>
      <c r="BD401" s="191"/>
      <c r="BE401" s="191"/>
      <c r="BF401" s="191"/>
      <c r="BG401" s="191"/>
      <c r="BH401" s="191"/>
      <c r="BI401" s="191"/>
      <c r="BJ401" s="191"/>
      <c r="BK401" s="191"/>
      <c r="BL401" s="191"/>
      <c r="BM401" s="191"/>
      <c r="BN401" s="191"/>
      <c r="BO401" s="191"/>
      <c r="BP401" s="191"/>
      <c r="BQ401" s="191"/>
    </row>
    <row r="402" spans="1:69">
      <c r="K402" s="191"/>
      <c r="L402" s="191"/>
      <c r="M402" s="191"/>
      <c r="N402" s="191"/>
      <c r="O402" s="191"/>
      <c r="P402" s="191"/>
      <c r="Q402" s="191"/>
      <c r="R402" s="191"/>
      <c r="S402" s="191"/>
      <c r="T402" s="191"/>
      <c r="U402" s="191"/>
      <c r="V402" s="191"/>
      <c r="W402" s="191"/>
      <c r="X402" s="191"/>
      <c r="Y402" s="191"/>
      <c r="Z402" s="191"/>
      <c r="AA402" s="191"/>
      <c r="AB402" s="191"/>
      <c r="AC402" s="191"/>
      <c r="AD402" s="191"/>
      <c r="AE402" s="191"/>
      <c r="AF402" s="191"/>
      <c r="AG402" s="191"/>
      <c r="AH402" s="191"/>
      <c r="AI402" s="191"/>
      <c r="AJ402" s="191"/>
      <c r="AK402" s="191"/>
      <c r="AL402" s="191"/>
      <c r="AM402" s="191"/>
      <c r="AN402" s="191"/>
      <c r="AO402" s="191"/>
      <c r="AP402" s="191"/>
      <c r="AQ402" s="191"/>
      <c r="AR402" s="191"/>
      <c r="AS402" s="191"/>
      <c r="AT402" s="191"/>
      <c r="AU402" s="191"/>
      <c r="AV402" s="191"/>
      <c r="AW402" s="191"/>
      <c r="AX402" s="191"/>
      <c r="AY402" s="191"/>
      <c r="AZ402" s="191"/>
      <c r="BA402" s="191"/>
      <c r="BB402" s="191"/>
      <c r="BC402" s="191"/>
      <c r="BD402" s="191"/>
      <c r="BE402" s="191"/>
      <c r="BF402" s="191"/>
      <c r="BG402" s="191"/>
      <c r="BH402" s="191"/>
      <c r="BI402" s="191"/>
      <c r="BJ402" s="191"/>
      <c r="BK402" s="191"/>
      <c r="BL402" s="191"/>
      <c r="BM402" s="191"/>
      <c r="BN402" s="191"/>
      <c r="BO402" s="191"/>
      <c r="BP402" s="191"/>
      <c r="BQ402" s="191"/>
    </row>
    <row r="403" spans="1:69">
      <c r="K403" s="191"/>
      <c r="L403" s="191"/>
      <c r="M403" s="191"/>
      <c r="N403" s="191"/>
      <c r="O403" s="191"/>
      <c r="P403" s="191"/>
      <c r="Q403" s="191"/>
      <c r="R403" s="191"/>
      <c r="S403" s="191"/>
      <c r="T403" s="191"/>
      <c r="U403" s="191"/>
      <c r="V403" s="191"/>
      <c r="W403" s="191"/>
      <c r="X403" s="191"/>
      <c r="Y403" s="191"/>
      <c r="Z403" s="191"/>
      <c r="AA403" s="191"/>
      <c r="AB403" s="191"/>
      <c r="AC403" s="191"/>
      <c r="AD403" s="191"/>
      <c r="AE403" s="191"/>
      <c r="AF403" s="191"/>
      <c r="AG403" s="191"/>
      <c r="AH403" s="191"/>
      <c r="AI403" s="191"/>
      <c r="AJ403" s="191"/>
      <c r="AK403" s="191"/>
      <c r="AL403" s="191"/>
      <c r="AM403" s="191"/>
      <c r="AN403" s="191"/>
      <c r="AO403" s="191"/>
      <c r="AP403" s="191"/>
      <c r="AQ403" s="191"/>
      <c r="AR403" s="191"/>
      <c r="AS403" s="191"/>
      <c r="AT403" s="191"/>
      <c r="AU403" s="191"/>
      <c r="AV403" s="191"/>
      <c r="AW403" s="191"/>
      <c r="AX403" s="191"/>
      <c r="AY403" s="191"/>
      <c r="AZ403" s="191"/>
      <c r="BA403" s="191"/>
      <c r="BB403" s="191"/>
      <c r="BC403" s="191"/>
      <c r="BD403" s="191"/>
      <c r="BE403" s="191"/>
      <c r="BF403" s="191"/>
      <c r="BG403" s="191"/>
      <c r="BH403" s="191"/>
      <c r="BI403" s="191"/>
      <c r="BJ403" s="191"/>
      <c r="BK403" s="191"/>
      <c r="BL403" s="191"/>
      <c r="BM403" s="191"/>
      <c r="BN403" s="191"/>
      <c r="BO403" s="191"/>
      <c r="BP403" s="191"/>
      <c r="BQ403" s="191"/>
    </row>
    <row r="404" spans="1:69">
      <c r="K404" s="191"/>
      <c r="L404" s="191"/>
      <c r="M404" s="191"/>
      <c r="N404" s="191"/>
      <c r="O404" s="191"/>
      <c r="P404" s="191"/>
      <c r="Q404" s="191"/>
      <c r="R404" s="191"/>
      <c r="S404" s="191"/>
      <c r="T404" s="191"/>
      <c r="U404" s="191"/>
      <c r="V404" s="191"/>
      <c r="W404" s="191"/>
      <c r="X404" s="191"/>
      <c r="Y404" s="191"/>
      <c r="Z404" s="191"/>
      <c r="AA404" s="191"/>
      <c r="AB404" s="191"/>
      <c r="AC404" s="191"/>
      <c r="AD404" s="191"/>
      <c r="AE404" s="191"/>
      <c r="AF404" s="191"/>
      <c r="AG404" s="191"/>
      <c r="AH404" s="191"/>
      <c r="AI404" s="191"/>
      <c r="AJ404" s="191"/>
      <c r="AK404" s="191"/>
      <c r="AL404" s="191"/>
      <c r="AM404" s="191"/>
      <c r="AN404" s="191"/>
      <c r="AO404" s="191"/>
      <c r="AP404" s="191"/>
      <c r="AQ404" s="191"/>
      <c r="AR404" s="191"/>
      <c r="AS404" s="191"/>
      <c r="AT404" s="191"/>
      <c r="AU404" s="191"/>
      <c r="AV404" s="191"/>
      <c r="AW404" s="191"/>
      <c r="AX404" s="191"/>
      <c r="AY404" s="191"/>
      <c r="AZ404" s="191"/>
      <c r="BA404" s="191"/>
      <c r="BB404" s="191"/>
      <c r="BC404" s="191"/>
      <c r="BD404" s="191"/>
      <c r="BE404" s="191"/>
      <c r="BF404" s="191"/>
      <c r="BG404" s="191"/>
      <c r="BH404" s="191"/>
      <c r="BI404" s="191"/>
      <c r="BJ404" s="191"/>
      <c r="BK404" s="191"/>
      <c r="BL404" s="191"/>
      <c r="BM404" s="191"/>
      <c r="BN404" s="191"/>
      <c r="BO404" s="191"/>
      <c r="BP404" s="191"/>
      <c r="BQ404" s="191"/>
    </row>
    <row r="405" spans="1:69">
      <c r="K405" s="191"/>
      <c r="L405" s="191"/>
      <c r="M405" s="191"/>
      <c r="N405" s="191"/>
      <c r="O405" s="191"/>
      <c r="P405" s="191"/>
      <c r="Q405" s="191"/>
      <c r="R405" s="191"/>
      <c r="S405" s="191"/>
      <c r="T405" s="191"/>
      <c r="U405" s="191"/>
      <c r="V405" s="191"/>
      <c r="W405" s="191"/>
      <c r="X405" s="191"/>
      <c r="Y405" s="191"/>
      <c r="Z405" s="191"/>
      <c r="AA405" s="191"/>
      <c r="AB405" s="191"/>
      <c r="AC405" s="191"/>
      <c r="AD405" s="191"/>
      <c r="AE405" s="191"/>
      <c r="AF405" s="191"/>
      <c r="AG405" s="191"/>
      <c r="AH405" s="191"/>
      <c r="AI405" s="191"/>
      <c r="AJ405" s="191"/>
      <c r="AK405" s="191"/>
      <c r="AL405" s="191"/>
      <c r="AM405" s="191"/>
      <c r="AN405" s="191"/>
      <c r="AO405" s="191"/>
      <c r="AP405" s="191"/>
      <c r="AQ405" s="191"/>
      <c r="AR405" s="191"/>
      <c r="AS405" s="191"/>
      <c r="AT405" s="191"/>
      <c r="AU405" s="191"/>
      <c r="AV405" s="191"/>
      <c r="AW405" s="191"/>
      <c r="AX405" s="191"/>
      <c r="AY405" s="191"/>
      <c r="AZ405" s="191"/>
      <c r="BA405" s="191"/>
      <c r="BB405" s="191"/>
      <c r="BC405" s="191"/>
      <c r="BD405" s="191"/>
      <c r="BE405" s="191"/>
      <c r="BF405" s="191"/>
      <c r="BG405" s="191"/>
      <c r="BH405" s="191"/>
      <c r="BI405" s="191"/>
      <c r="BJ405" s="191"/>
      <c r="BK405" s="191"/>
      <c r="BL405" s="191"/>
      <c r="BM405" s="191"/>
      <c r="BN405" s="191"/>
      <c r="BO405" s="191"/>
      <c r="BP405" s="191"/>
      <c r="BQ405" s="191"/>
    </row>
    <row r="406" spans="1:69">
      <c r="K406" s="191"/>
      <c r="L406" s="191"/>
      <c r="M406" s="191"/>
      <c r="N406" s="191"/>
      <c r="O406" s="191"/>
      <c r="P406" s="191"/>
      <c r="Q406" s="191"/>
      <c r="R406" s="191"/>
      <c r="S406" s="191"/>
      <c r="T406" s="191"/>
      <c r="U406" s="191"/>
      <c r="V406" s="191"/>
      <c r="W406" s="191"/>
      <c r="X406" s="191"/>
      <c r="Y406" s="191"/>
      <c r="Z406" s="191"/>
      <c r="AA406" s="191"/>
      <c r="AB406" s="191"/>
      <c r="AC406" s="191"/>
      <c r="AD406" s="191"/>
      <c r="AE406" s="191"/>
      <c r="AF406" s="191"/>
      <c r="AG406" s="191"/>
      <c r="AH406" s="191"/>
      <c r="AI406" s="191"/>
      <c r="AJ406" s="191"/>
      <c r="AK406" s="191"/>
      <c r="AL406" s="191"/>
      <c r="AM406" s="191"/>
      <c r="AN406" s="191"/>
      <c r="AO406" s="191"/>
      <c r="AP406" s="191"/>
      <c r="AQ406" s="191"/>
      <c r="AR406" s="191"/>
      <c r="AS406" s="191"/>
      <c r="AT406" s="191"/>
      <c r="AU406" s="191"/>
      <c r="AV406" s="191"/>
      <c r="AW406" s="191"/>
      <c r="AX406" s="191"/>
      <c r="AY406" s="191"/>
      <c r="AZ406" s="191"/>
      <c r="BA406" s="191"/>
      <c r="BB406" s="191"/>
      <c r="BC406" s="191"/>
      <c r="BD406" s="191"/>
      <c r="BE406" s="191"/>
      <c r="BF406" s="191"/>
      <c r="BG406" s="191"/>
      <c r="BH406" s="191"/>
      <c r="BI406" s="191"/>
      <c r="BJ406" s="191"/>
      <c r="BK406" s="191"/>
      <c r="BL406" s="191"/>
      <c r="BM406" s="191"/>
      <c r="BN406" s="191"/>
      <c r="BO406" s="191"/>
      <c r="BP406" s="191"/>
      <c r="BQ406" s="191"/>
    </row>
    <row r="407" spans="1:69">
      <c r="K407" s="191"/>
      <c r="L407" s="191"/>
      <c r="M407" s="191"/>
      <c r="N407" s="191"/>
      <c r="O407" s="191"/>
      <c r="P407" s="191"/>
      <c r="Q407" s="191"/>
      <c r="R407" s="191"/>
      <c r="S407" s="191"/>
      <c r="T407" s="191"/>
      <c r="U407" s="191"/>
      <c r="V407" s="191"/>
      <c r="W407" s="191"/>
      <c r="X407" s="191"/>
      <c r="Y407" s="191"/>
      <c r="Z407" s="191"/>
      <c r="AA407" s="191"/>
      <c r="AB407" s="191"/>
      <c r="AC407" s="191"/>
      <c r="AD407" s="191"/>
      <c r="AE407" s="191"/>
      <c r="AF407" s="191"/>
      <c r="AG407" s="191"/>
      <c r="AH407" s="191"/>
      <c r="AI407" s="191"/>
      <c r="AJ407" s="191"/>
      <c r="AK407" s="191"/>
      <c r="AL407" s="191"/>
      <c r="AM407" s="191"/>
      <c r="AN407" s="191"/>
      <c r="AO407" s="191"/>
      <c r="AP407" s="191"/>
      <c r="AQ407" s="191"/>
      <c r="AR407" s="191"/>
      <c r="AS407" s="191"/>
      <c r="AT407" s="191"/>
      <c r="AU407" s="191"/>
      <c r="AV407" s="191"/>
      <c r="AW407" s="191"/>
      <c r="AX407" s="191"/>
      <c r="AY407" s="191"/>
      <c r="AZ407" s="191"/>
      <c r="BA407" s="191"/>
      <c r="BB407" s="191"/>
      <c r="BC407" s="191"/>
      <c r="BD407" s="191"/>
      <c r="BE407" s="191"/>
      <c r="BF407" s="191"/>
      <c r="BG407" s="191"/>
      <c r="BH407" s="191"/>
      <c r="BI407" s="191"/>
      <c r="BJ407" s="191"/>
      <c r="BK407" s="191"/>
      <c r="BL407" s="191"/>
      <c r="BM407" s="191"/>
      <c r="BN407" s="191"/>
      <c r="BO407" s="191"/>
      <c r="BP407" s="191"/>
      <c r="BQ407" s="191"/>
    </row>
    <row r="408" spans="1:69">
      <c r="K408" s="191"/>
      <c r="L408" s="191"/>
      <c r="M408" s="191"/>
      <c r="N408" s="191"/>
      <c r="O408" s="191"/>
      <c r="P408" s="191"/>
      <c r="Q408" s="191"/>
      <c r="R408" s="191"/>
      <c r="S408" s="191"/>
      <c r="T408" s="191"/>
      <c r="U408" s="191"/>
      <c r="V408" s="191"/>
      <c r="W408" s="191"/>
      <c r="X408" s="191"/>
      <c r="Y408" s="191"/>
      <c r="Z408" s="191"/>
      <c r="AA408" s="191"/>
      <c r="AB408" s="191"/>
      <c r="AC408" s="191"/>
      <c r="AD408" s="191"/>
      <c r="AE408" s="191"/>
      <c r="AF408" s="191"/>
      <c r="AG408" s="191"/>
      <c r="AH408" s="191"/>
      <c r="AI408" s="191"/>
      <c r="AJ408" s="191"/>
      <c r="AK408" s="191"/>
      <c r="AL408" s="191"/>
      <c r="AM408" s="191"/>
      <c r="AN408" s="191"/>
      <c r="AO408" s="191"/>
      <c r="AP408" s="191"/>
      <c r="AQ408" s="191"/>
      <c r="AR408" s="191"/>
      <c r="AS408" s="191"/>
      <c r="AT408" s="191"/>
      <c r="AU408" s="191"/>
      <c r="AV408" s="191"/>
      <c r="AW408" s="191"/>
      <c r="AX408" s="191"/>
      <c r="AY408" s="191"/>
      <c r="AZ408" s="191"/>
      <c r="BA408" s="191"/>
      <c r="BB408" s="191"/>
      <c r="BC408" s="191"/>
      <c r="BD408" s="191"/>
      <c r="BE408" s="191"/>
      <c r="BF408" s="191"/>
      <c r="BG408" s="191"/>
      <c r="BH408" s="191"/>
      <c r="BI408" s="191"/>
      <c r="BJ408" s="191"/>
      <c r="BK408" s="191"/>
      <c r="BL408" s="191"/>
      <c r="BM408" s="191"/>
      <c r="BN408" s="191"/>
      <c r="BO408" s="191"/>
      <c r="BP408" s="191"/>
      <c r="BQ408" s="191"/>
    </row>
    <row r="409" spans="1:69">
      <c r="K409" s="191"/>
      <c r="L409" s="191"/>
      <c r="M409" s="191"/>
      <c r="N409" s="191"/>
      <c r="O409" s="191"/>
      <c r="P409" s="191"/>
      <c r="Q409" s="191"/>
      <c r="R409" s="191"/>
      <c r="S409" s="191"/>
      <c r="T409" s="191"/>
      <c r="U409" s="191"/>
      <c r="V409" s="191"/>
      <c r="W409" s="191"/>
      <c r="X409" s="191"/>
      <c r="Y409" s="191"/>
      <c r="Z409" s="191"/>
      <c r="AA409" s="191"/>
      <c r="AB409" s="191"/>
      <c r="AC409" s="191"/>
      <c r="AD409" s="191"/>
      <c r="AE409" s="191"/>
      <c r="AF409" s="191"/>
      <c r="AG409" s="191"/>
      <c r="AH409" s="191"/>
      <c r="AI409" s="191"/>
      <c r="AJ409" s="191"/>
      <c r="AK409" s="191"/>
      <c r="AL409" s="191"/>
      <c r="AM409" s="191"/>
      <c r="AN409" s="191"/>
      <c r="AO409" s="191"/>
      <c r="AP409" s="191"/>
      <c r="AQ409" s="191"/>
      <c r="AR409" s="191"/>
      <c r="AS409" s="191"/>
      <c r="AT409" s="191"/>
      <c r="AU409" s="191"/>
      <c r="AV409" s="191"/>
      <c r="AW409" s="191"/>
      <c r="AX409" s="191"/>
      <c r="AY409" s="191"/>
      <c r="AZ409" s="191"/>
      <c r="BA409" s="191"/>
      <c r="BB409" s="191"/>
      <c r="BC409" s="191"/>
      <c r="BD409" s="191"/>
      <c r="BE409" s="191"/>
      <c r="BF409" s="191"/>
      <c r="BG409" s="191"/>
      <c r="BH409" s="191"/>
      <c r="BI409" s="191"/>
      <c r="BJ409" s="191"/>
      <c r="BK409" s="191"/>
      <c r="BL409" s="191"/>
      <c r="BM409" s="191"/>
      <c r="BN409" s="191"/>
      <c r="BO409" s="191"/>
      <c r="BP409" s="191"/>
      <c r="BQ409" s="191"/>
    </row>
    <row r="410" spans="1:69">
      <c r="A410" s="195"/>
      <c r="K410" s="191"/>
      <c r="L410" s="191"/>
      <c r="M410" s="191"/>
      <c r="N410" s="191"/>
      <c r="O410" s="191"/>
      <c r="P410" s="191"/>
      <c r="Q410" s="191"/>
      <c r="R410" s="191"/>
      <c r="S410" s="191"/>
      <c r="T410" s="191"/>
      <c r="U410" s="191"/>
      <c r="V410" s="191"/>
      <c r="W410" s="191"/>
      <c r="X410" s="191"/>
      <c r="Y410" s="191"/>
      <c r="Z410" s="191"/>
      <c r="AA410" s="191"/>
      <c r="AB410" s="191"/>
      <c r="AC410" s="191"/>
      <c r="AD410" s="191"/>
      <c r="AE410" s="191"/>
      <c r="AF410" s="191"/>
      <c r="AG410" s="191"/>
      <c r="AH410" s="191"/>
      <c r="AI410" s="191"/>
      <c r="AJ410" s="191"/>
      <c r="AK410" s="191"/>
      <c r="AL410" s="191"/>
      <c r="AM410" s="191"/>
      <c r="AN410" s="191"/>
      <c r="AO410" s="191"/>
      <c r="AP410" s="191"/>
      <c r="AQ410" s="191"/>
      <c r="AR410" s="191"/>
      <c r="AS410" s="191"/>
      <c r="AT410" s="191"/>
      <c r="AU410" s="191"/>
      <c r="AV410" s="191"/>
      <c r="AW410" s="191"/>
      <c r="AX410" s="191"/>
      <c r="AY410" s="191"/>
      <c r="AZ410" s="191"/>
      <c r="BA410" s="191"/>
      <c r="BB410" s="191"/>
      <c r="BC410" s="191"/>
      <c r="BD410" s="191"/>
      <c r="BE410" s="191"/>
      <c r="BF410" s="191"/>
      <c r="BG410" s="191"/>
      <c r="BH410" s="191"/>
      <c r="BI410" s="191"/>
      <c r="BJ410" s="191"/>
      <c r="BK410" s="191"/>
      <c r="BL410" s="191"/>
      <c r="BM410" s="191"/>
      <c r="BN410" s="191"/>
      <c r="BO410" s="191"/>
      <c r="BP410" s="191"/>
      <c r="BQ410" s="191"/>
    </row>
    <row r="411" spans="1:69">
      <c r="A411" s="195"/>
      <c r="K411" s="191"/>
      <c r="L411" s="191"/>
      <c r="M411" s="191"/>
      <c r="N411" s="191"/>
      <c r="O411" s="191"/>
      <c r="P411" s="191"/>
      <c r="Q411" s="191"/>
      <c r="R411" s="191"/>
      <c r="S411" s="191"/>
      <c r="T411" s="191"/>
      <c r="U411" s="191"/>
      <c r="V411" s="191"/>
      <c r="W411" s="191"/>
      <c r="X411" s="191"/>
      <c r="Y411" s="191"/>
      <c r="Z411" s="191"/>
      <c r="AA411" s="191"/>
      <c r="AB411" s="191"/>
      <c r="AC411" s="191"/>
      <c r="AD411" s="191"/>
      <c r="AE411" s="191"/>
      <c r="AF411" s="191"/>
      <c r="AG411" s="191"/>
      <c r="AH411" s="191"/>
      <c r="AI411" s="191"/>
      <c r="AJ411" s="191"/>
      <c r="AK411" s="191"/>
      <c r="AL411" s="191"/>
      <c r="AM411" s="191"/>
      <c r="AN411" s="191"/>
      <c r="AO411" s="191"/>
      <c r="AP411" s="191"/>
      <c r="AQ411" s="191"/>
      <c r="AR411" s="191"/>
      <c r="AS411" s="191"/>
      <c r="AT411" s="191"/>
      <c r="AU411" s="191"/>
      <c r="AV411" s="191"/>
      <c r="AW411" s="191"/>
      <c r="AX411" s="191"/>
      <c r="AY411" s="191"/>
      <c r="AZ411" s="191"/>
      <c r="BA411" s="191"/>
      <c r="BB411" s="191"/>
      <c r="BC411" s="191"/>
      <c r="BD411" s="191"/>
      <c r="BE411" s="191"/>
      <c r="BF411" s="191"/>
      <c r="BG411" s="191"/>
      <c r="BH411" s="191"/>
      <c r="BI411" s="191"/>
      <c r="BJ411" s="191"/>
      <c r="BK411" s="191"/>
      <c r="BL411" s="191"/>
      <c r="BM411" s="191"/>
      <c r="BN411" s="191"/>
      <c r="BO411" s="191"/>
      <c r="BP411" s="191"/>
      <c r="BQ411" s="191"/>
    </row>
    <row r="412" spans="1:69">
      <c r="A412" s="195"/>
      <c r="K412" s="191"/>
      <c r="L412" s="191"/>
      <c r="M412" s="191"/>
      <c r="N412" s="191"/>
      <c r="O412" s="191"/>
      <c r="P412" s="191"/>
      <c r="Q412" s="191"/>
      <c r="R412" s="191"/>
      <c r="S412" s="191"/>
      <c r="T412" s="191"/>
      <c r="U412" s="191"/>
      <c r="V412" s="191"/>
      <c r="W412" s="191"/>
      <c r="X412" s="191"/>
      <c r="Y412" s="191"/>
      <c r="Z412" s="191"/>
      <c r="AA412" s="191"/>
      <c r="AB412" s="191"/>
      <c r="AC412" s="191"/>
      <c r="AD412" s="191"/>
      <c r="AE412" s="191"/>
      <c r="AF412" s="191"/>
      <c r="AG412" s="191"/>
      <c r="AH412" s="191"/>
      <c r="AI412" s="191"/>
      <c r="AJ412" s="191"/>
      <c r="AK412" s="191"/>
      <c r="AL412" s="191"/>
      <c r="AM412" s="191"/>
      <c r="AN412" s="191"/>
      <c r="AO412" s="191"/>
      <c r="AP412" s="191"/>
      <c r="AQ412" s="191"/>
      <c r="AR412" s="191"/>
      <c r="AS412" s="191"/>
      <c r="AT412" s="191"/>
      <c r="AU412" s="191"/>
      <c r="AV412" s="191"/>
      <c r="AW412" s="191"/>
      <c r="AX412" s="191"/>
      <c r="AY412" s="191"/>
      <c r="AZ412" s="191"/>
      <c r="BA412" s="191"/>
      <c r="BB412" s="191"/>
      <c r="BC412" s="191"/>
      <c r="BD412" s="191"/>
      <c r="BE412" s="191"/>
      <c r="BF412" s="191"/>
      <c r="BG412" s="191"/>
      <c r="BH412" s="191"/>
      <c r="BI412" s="191"/>
      <c r="BJ412" s="191"/>
      <c r="BK412" s="191"/>
      <c r="BL412" s="191"/>
      <c r="BM412" s="191"/>
      <c r="BN412" s="191"/>
      <c r="BO412" s="191"/>
      <c r="BP412" s="191"/>
      <c r="BQ412" s="191"/>
    </row>
    <row r="413" spans="1:69">
      <c r="A413" s="195"/>
      <c r="K413" s="191"/>
      <c r="L413" s="191"/>
      <c r="M413" s="191"/>
      <c r="N413" s="191"/>
      <c r="O413" s="191"/>
      <c r="P413" s="191"/>
      <c r="Q413" s="191"/>
      <c r="R413" s="191"/>
      <c r="S413" s="191"/>
      <c r="T413" s="191"/>
      <c r="U413" s="191"/>
      <c r="V413" s="191"/>
      <c r="W413" s="191"/>
      <c r="X413" s="191"/>
      <c r="Y413" s="191"/>
      <c r="Z413" s="191"/>
      <c r="AA413" s="191"/>
      <c r="AB413" s="191"/>
      <c r="AC413" s="191"/>
      <c r="AD413" s="191"/>
      <c r="AE413" s="191"/>
      <c r="AF413" s="191"/>
      <c r="AG413" s="191"/>
      <c r="AH413" s="191"/>
      <c r="AI413" s="191"/>
      <c r="AJ413" s="191"/>
      <c r="AK413" s="191"/>
      <c r="AL413" s="191"/>
      <c r="AM413" s="191"/>
      <c r="AN413" s="191"/>
      <c r="AO413" s="191"/>
      <c r="AP413" s="191"/>
      <c r="AQ413" s="191"/>
      <c r="AR413" s="191"/>
      <c r="AS413" s="191"/>
      <c r="AT413" s="191"/>
      <c r="AU413" s="191"/>
      <c r="AV413" s="191"/>
      <c r="AW413" s="191"/>
      <c r="AX413" s="191"/>
      <c r="AY413" s="191"/>
      <c r="AZ413" s="191"/>
      <c r="BA413" s="191"/>
      <c r="BB413" s="191"/>
      <c r="BC413" s="191"/>
      <c r="BD413" s="191"/>
      <c r="BE413" s="191"/>
      <c r="BF413" s="191"/>
      <c r="BG413" s="191"/>
      <c r="BH413" s="191"/>
      <c r="BI413" s="191"/>
      <c r="BJ413" s="191"/>
      <c r="BK413" s="191"/>
      <c r="BL413" s="191"/>
      <c r="BM413" s="191"/>
      <c r="BN413" s="191"/>
      <c r="BO413" s="191"/>
      <c r="BP413" s="191"/>
      <c r="BQ413" s="191"/>
    </row>
    <row r="414" spans="1:69">
      <c r="A414" s="195"/>
      <c r="K414" s="191"/>
      <c r="L414" s="191"/>
      <c r="M414" s="191"/>
      <c r="N414" s="191"/>
      <c r="O414" s="191"/>
      <c r="P414" s="191"/>
      <c r="Q414" s="191"/>
      <c r="R414" s="191"/>
      <c r="S414" s="191"/>
      <c r="T414" s="191"/>
      <c r="U414" s="191"/>
      <c r="V414" s="191"/>
      <c r="W414" s="191"/>
      <c r="X414" s="191"/>
      <c r="Y414" s="191"/>
      <c r="Z414" s="191"/>
      <c r="AA414" s="191"/>
      <c r="AB414" s="191"/>
      <c r="AC414" s="191"/>
      <c r="AD414" s="191"/>
      <c r="AE414" s="191"/>
      <c r="AF414" s="191"/>
      <c r="AG414" s="191"/>
      <c r="AH414" s="191"/>
      <c r="AI414" s="191"/>
      <c r="AJ414" s="191"/>
      <c r="AK414" s="191"/>
      <c r="AL414" s="191"/>
      <c r="AM414" s="191"/>
      <c r="AN414" s="191"/>
      <c r="AO414" s="191"/>
      <c r="AP414" s="191"/>
      <c r="AQ414" s="191"/>
      <c r="AR414" s="191"/>
      <c r="AS414" s="191"/>
      <c r="AT414" s="191"/>
      <c r="AU414" s="191"/>
      <c r="AV414" s="191"/>
      <c r="AW414" s="191"/>
      <c r="AX414" s="191"/>
      <c r="AY414" s="191"/>
      <c r="AZ414" s="191"/>
      <c r="BA414" s="191"/>
      <c r="BB414" s="191"/>
      <c r="BC414" s="191"/>
      <c r="BD414" s="191"/>
      <c r="BE414" s="191"/>
      <c r="BF414" s="191"/>
      <c r="BG414" s="191"/>
      <c r="BH414" s="191"/>
      <c r="BI414" s="191"/>
      <c r="BJ414" s="191"/>
      <c r="BK414" s="191"/>
      <c r="BL414" s="191"/>
      <c r="BM414" s="191"/>
      <c r="BN414" s="191"/>
      <c r="BO414" s="191"/>
      <c r="BP414" s="191"/>
      <c r="BQ414" s="191"/>
    </row>
    <row r="415" spans="1:69">
      <c r="A415" s="195"/>
      <c r="K415" s="191"/>
      <c r="L415" s="191"/>
      <c r="M415" s="191"/>
      <c r="N415" s="191"/>
      <c r="O415" s="191"/>
      <c r="P415" s="191"/>
      <c r="Q415" s="191"/>
      <c r="R415" s="191"/>
      <c r="S415" s="191"/>
      <c r="T415" s="191"/>
      <c r="U415" s="191"/>
      <c r="V415" s="191"/>
      <c r="W415" s="191"/>
      <c r="X415" s="191"/>
      <c r="Y415" s="191"/>
      <c r="Z415" s="191"/>
      <c r="AA415" s="191"/>
      <c r="AB415" s="191"/>
      <c r="AC415" s="191"/>
      <c r="AD415" s="191"/>
      <c r="AE415" s="191"/>
      <c r="AF415" s="191"/>
      <c r="AG415" s="191"/>
      <c r="AH415" s="191"/>
      <c r="AI415" s="191"/>
      <c r="AJ415" s="191"/>
      <c r="AK415" s="191"/>
      <c r="AL415" s="191"/>
      <c r="AM415" s="191"/>
      <c r="AN415" s="191"/>
      <c r="AO415" s="191"/>
      <c r="AP415" s="191"/>
      <c r="AQ415" s="191"/>
      <c r="AR415" s="191"/>
      <c r="AS415" s="191"/>
      <c r="AT415" s="191"/>
      <c r="AU415" s="191"/>
      <c r="AV415" s="191"/>
      <c r="AW415" s="191"/>
      <c r="AX415" s="191"/>
      <c r="AY415" s="191"/>
      <c r="AZ415" s="191"/>
      <c r="BA415" s="191"/>
      <c r="BB415" s="191"/>
      <c r="BC415" s="191"/>
      <c r="BD415" s="191"/>
      <c r="BE415" s="191"/>
      <c r="BF415" s="191"/>
      <c r="BG415" s="191"/>
      <c r="BH415" s="191"/>
      <c r="BI415" s="191"/>
      <c r="BJ415" s="191"/>
      <c r="BK415" s="191"/>
      <c r="BL415" s="191"/>
      <c r="BM415" s="191"/>
      <c r="BN415" s="191"/>
      <c r="BO415" s="191"/>
      <c r="BP415" s="191"/>
      <c r="BQ415" s="191"/>
    </row>
    <row r="416" spans="1:69">
      <c r="A416" s="195"/>
      <c r="K416" s="191"/>
      <c r="L416" s="191"/>
      <c r="M416" s="191"/>
      <c r="N416" s="191"/>
      <c r="O416" s="191"/>
      <c r="P416" s="191"/>
      <c r="Q416" s="191"/>
      <c r="R416" s="191"/>
      <c r="S416" s="191"/>
      <c r="T416" s="191"/>
      <c r="U416" s="191"/>
      <c r="V416" s="191"/>
      <c r="W416" s="191"/>
      <c r="X416" s="191"/>
      <c r="Y416" s="191"/>
      <c r="Z416" s="191"/>
      <c r="AA416" s="191"/>
      <c r="AB416" s="191"/>
      <c r="AC416" s="191"/>
      <c r="AD416" s="191"/>
      <c r="AE416" s="191"/>
      <c r="AF416" s="191"/>
      <c r="AG416" s="191"/>
      <c r="AH416" s="191"/>
      <c r="AI416" s="191"/>
      <c r="AJ416" s="191"/>
      <c r="AK416" s="191"/>
      <c r="AL416" s="191"/>
      <c r="AM416" s="191"/>
      <c r="AN416" s="191"/>
      <c r="AO416" s="191"/>
      <c r="AP416" s="191"/>
      <c r="AQ416" s="191"/>
      <c r="AR416" s="191"/>
      <c r="AS416" s="191"/>
      <c r="AT416" s="191"/>
      <c r="AU416" s="191"/>
      <c r="AV416" s="191"/>
      <c r="AW416" s="191"/>
      <c r="AX416" s="191"/>
      <c r="AY416" s="191"/>
      <c r="AZ416" s="191"/>
      <c r="BA416" s="191"/>
      <c r="BB416" s="191"/>
      <c r="BC416" s="191"/>
      <c r="BD416" s="191"/>
      <c r="BE416" s="191"/>
      <c r="BF416" s="191"/>
      <c r="BG416" s="191"/>
      <c r="BH416" s="191"/>
      <c r="BI416" s="191"/>
      <c r="BJ416" s="191"/>
      <c r="BK416" s="191"/>
      <c r="BL416" s="191"/>
      <c r="BM416" s="191"/>
      <c r="BN416" s="191"/>
      <c r="BO416" s="191"/>
      <c r="BP416" s="191"/>
      <c r="BQ416" s="191"/>
    </row>
    <row r="417" spans="1:69">
      <c r="A417" s="195"/>
      <c r="K417" s="191"/>
      <c r="L417" s="191"/>
      <c r="M417" s="191"/>
      <c r="N417" s="191"/>
      <c r="O417" s="191"/>
      <c r="P417" s="191"/>
      <c r="Q417" s="191"/>
      <c r="R417" s="191"/>
      <c r="S417" s="191"/>
      <c r="T417" s="191"/>
      <c r="U417" s="191"/>
      <c r="V417" s="191"/>
      <c r="W417" s="191"/>
      <c r="X417" s="191"/>
      <c r="Y417" s="191"/>
      <c r="Z417" s="191"/>
      <c r="AA417" s="191"/>
      <c r="AB417" s="191"/>
      <c r="AC417" s="191"/>
      <c r="AD417" s="191"/>
      <c r="AE417" s="191"/>
      <c r="AF417" s="191"/>
      <c r="AG417" s="191"/>
      <c r="AH417" s="191"/>
      <c r="AI417" s="191"/>
      <c r="AJ417" s="191"/>
      <c r="AK417" s="191"/>
      <c r="AL417" s="191"/>
      <c r="AM417" s="191"/>
      <c r="AN417" s="191"/>
      <c r="AO417" s="191"/>
      <c r="AP417" s="191"/>
      <c r="AQ417" s="191"/>
      <c r="AR417" s="191"/>
      <c r="AS417" s="191"/>
      <c r="AT417" s="191"/>
      <c r="AU417" s="191"/>
      <c r="AV417" s="191"/>
      <c r="AW417" s="191"/>
      <c r="AX417" s="191"/>
      <c r="AY417" s="191"/>
      <c r="AZ417" s="191"/>
      <c r="BA417" s="191"/>
      <c r="BB417" s="191"/>
      <c r="BC417" s="191"/>
      <c r="BD417" s="191"/>
      <c r="BE417" s="191"/>
      <c r="BF417" s="191"/>
      <c r="BG417" s="191"/>
      <c r="BH417" s="191"/>
      <c r="BI417" s="191"/>
      <c r="BJ417" s="191"/>
      <c r="BK417" s="191"/>
      <c r="BL417" s="191"/>
      <c r="BM417" s="191"/>
      <c r="BN417" s="191"/>
      <c r="BO417" s="191"/>
      <c r="BP417" s="191"/>
      <c r="BQ417" s="191"/>
    </row>
    <row r="418" spans="1:69">
      <c r="A418" s="195"/>
      <c r="K418" s="191"/>
      <c r="L418" s="191"/>
      <c r="M418" s="191"/>
      <c r="N418" s="191"/>
      <c r="O418" s="191"/>
      <c r="P418" s="191"/>
      <c r="Q418" s="191"/>
      <c r="R418" s="191"/>
      <c r="S418" s="191"/>
      <c r="T418" s="191"/>
      <c r="U418" s="191"/>
      <c r="V418" s="191"/>
      <c r="W418" s="191"/>
      <c r="X418" s="191"/>
      <c r="Y418" s="191"/>
      <c r="Z418" s="191"/>
      <c r="AA418" s="191"/>
      <c r="AB418" s="191"/>
      <c r="AC418" s="191"/>
      <c r="AD418" s="191"/>
      <c r="AE418" s="191"/>
      <c r="AF418" s="191"/>
      <c r="AG418" s="191"/>
      <c r="AH418" s="191"/>
      <c r="AI418" s="191"/>
      <c r="AJ418" s="191"/>
      <c r="AK418" s="191"/>
      <c r="AL418" s="191"/>
      <c r="AM418" s="191"/>
      <c r="AN418" s="191"/>
      <c r="AO418" s="191"/>
      <c r="AP418" s="191"/>
      <c r="AQ418" s="191"/>
      <c r="AR418" s="191"/>
      <c r="AS418" s="191"/>
      <c r="AT418" s="191"/>
      <c r="AU418" s="191"/>
      <c r="AV418" s="191"/>
      <c r="AW418" s="191"/>
      <c r="AX418" s="191"/>
      <c r="AY418" s="191"/>
      <c r="AZ418" s="191"/>
      <c r="BA418" s="191"/>
      <c r="BB418" s="191"/>
      <c r="BC418" s="191"/>
      <c r="BD418" s="191"/>
      <c r="BE418" s="191"/>
      <c r="BF418" s="191"/>
      <c r="BG418" s="191"/>
      <c r="BH418" s="191"/>
      <c r="BI418" s="191"/>
      <c r="BJ418" s="191"/>
      <c r="BK418" s="191"/>
      <c r="BL418" s="191"/>
      <c r="BM418" s="191"/>
      <c r="BN418" s="191"/>
      <c r="BO418" s="191"/>
      <c r="BP418" s="191"/>
      <c r="BQ418" s="191"/>
    </row>
    <row r="419" spans="1:69">
      <c r="A419" s="195"/>
      <c r="K419" s="191"/>
      <c r="L419" s="191"/>
      <c r="M419" s="191"/>
      <c r="N419" s="191"/>
      <c r="O419" s="191"/>
      <c r="P419" s="191"/>
      <c r="Q419" s="191"/>
      <c r="R419" s="191"/>
      <c r="S419" s="191"/>
      <c r="T419" s="191"/>
      <c r="U419" s="191"/>
      <c r="V419" s="191"/>
      <c r="W419" s="191"/>
      <c r="X419" s="191"/>
      <c r="Y419" s="191"/>
      <c r="Z419" s="191"/>
      <c r="AA419" s="191"/>
      <c r="AB419" s="191"/>
      <c r="AC419" s="191"/>
      <c r="AD419" s="191"/>
      <c r="AE419" s="191"/>
      <c r="AF419" s="191"/>
      <c r="AG419" s="191"/>
      <c r="AH419" s="191"/>
      <c r="AI419" s="191"/>
      <c r="AJ419" s="191"/>
      <c r="AK419" s="191"/>
      <c r="AL419" s="191"/>
      <c r="AM419" s="191"/>
      <c r="AN419" s="191"/>
      <c r="AO419" s="191"/>
      <c r="AP419" s="191"/>
      <c r="AQ419" s="191"/>
      <c r="AR419" s="191"/>
      <c r="AS419" s="191"/>
      <c r="AT419" s="191"/>
      <c r="AU419" s="191"/>
      <c r="AV419" s="191"/>
      <c r="AW419" s="191"/>
      <c r="AX419" s="191"/>
      <c r="AY419" s="191"/>
      <c r="AZ419" s="191"/>
      <c r="BA419" s="191"/>
      <c r="BB419" s="191"/>
      <c r="BC419" s="191"/>
      <c r="BD419" s="191"/>
      <c r="BE419" s="191"/>
      <c r="BF419" s="191"/>
      <c r="BG419" s="191"/>
      <c r="BH419" s="191"/>
      <c r="BI419" s="191"/>
      <c r="BJ419" s="191"/>
      <c r="BK419" s="191"/>
      <c r="BL419" s="191"/>
      <c r="BM419" s="191"/>
      <c r="BN419" s="191"/>
      <c r="BO419" s="191"/>
      <c r="BP419" s="191"/>
      <c r="BQ419" s="191"/>
    </row>
    <row r="420" spans="1:69">
      <c r="A420" s="195"/>
      <c r="K420" s="191"/>
      <c r="L420" s="191"/>
      <c r="M420" s="191"/>
      <c r="N420" s="191"/>
      <c r="O420" s="191"/>
      <c r="P420" s="191"/>
      <c r="Q420" s="191"/>
      <c r="R420" s="191"/>
      <c r="S420" s="191"/>
      <c r="T420" s="191"/>
      <c r="U420" s="191"/>
      <c r="V420" s="191"/>
      <c r="W420" s="191"/>
      <c r="X420" s="191"/>
      <c r="Y420" s="191"/>
      <c r="Z420" s="191"/>
      <c r="AA420" s="191"/>
      <c r="AB420" s="191"/>
      <c r="AC420" s="191"/>
      <c r="AD420" s="191"/>
      <c r="AE420" s="191"/>
      <c r="AF420" s="191"/>
      <c r="AG420" s="191"/>
      <c r="AH420" s="191"/>
      <c r="AI420" s="191"/>
      <c r="AJ420" s="191"/>
      <c r="AK420" s="191"/>
      <c r="AL420" s="191"/>
      <c r="AM420" s="191"/>
      <c r="AN420" s="191"/>
      <c r="AO420" s="191"/>
      <c r="AP420" s="191"/>
      <c r="AQ420" s="191"/>
      <c r="AR420" s="191"/>
      <c r="AS420" s="191"/>
      <c r="AT420" s="191"/>
      <c r="AU420" s="191"/>
      <c r="AV420" s="191"/>
      <c r="AW420" s="191"/>
      <c r="AX420" s="191"/>
      <c r="AY420" s="191"/>
      <c r="AZ420" s="191"/>
      <c r="BA420" s="191"/>
      <c r="BB420" s="191"/>
      <c r="BC420" s="191"/>
      <c r="BD420" s="191"/>
      <c r="BE420" s="191"/>
      <c r="BF420" s="191"/>
      <c r="BG420" s="191"/>
      <c r="BH420" s="191"/>
      <c r="BI420" s="191"/>
      <c r="BJ420" s="191"/>
      <c r="BK420" s="191"/>
      <c r="BL420" s="191"/>
      <c r="BM420" s="191"/>
      <c r="BN420" s="191"/>
      <c r="BO420" s="191"/>
      <c r="BP420" s="191"/>
      <c r="BQ420" s="191"/>
    </row>
    <row r="421" spans="1:69">
      <c r="A421" s="195"/>
      <c r="K421" s="191"/>
      <c r="L421" s="191"/>
      <c r="M421" s="191"/>
      <c r="N421" s="191"/>
      <c r="O421" s="191"/>
      <c r="P421" s="191"/>
      <c r="Q421" s="191"/>
      <c r="R421" s="191"/>
      <c r="S421" s="191"/>
      <c r="T421" s="191"/>
      <c r="U421" s="191"/>
      <c r="V421" s="191"/>
      <c r="W421" s="191"/>
      <c r="X421" s="191"/>
      <c r="Y421" s="191"/>
      <c r="Z421" s="191"/>
      <c r="AA421" s="191"/>
      <c r="AB421" s="191"/>
      <c r="AC421" s="191"/>
      <c r="AD421" s="191"/>
      <c r="AE421" s="191"/>
      <c r="AF421" s="191"/>
      <c r="AG421" s="191"/>
      <c r="AH421" s="191"/>
      <c r="AI421" s="191"/>
      <c r="AJ421" s="191"/>
      <c r="AK421" s="191"/>
      <c r="AL421" s="191"/>
      <c r="AM421" s="191"/>
      <c r="AN421" s="191"/>
      <c r="AO421" s="191"/>
      <c r="AP421" s="191"/>
      <c r="AQ421" s="191"/>
      <c r="AR421" s="191"/>
      <c r="AS421" s="191"/>
      <c r="AT421" s="191"/>
      <c r="AU421" s="191"/>
      <c r="AV421" s="191"/>
      <c r="AW421" s="191"/>
      <c r="AX421" s="191"/>
      <c r="AY421" s="191"/>
      <c r="AZ421" s="191"/>
      <c r="BA421" s="191"/>
      <c r="BB421" s="191"/>
      <c r="BC421" s="191"/>
      <c r="BD421" s="191"/>
      <c r="BE421" s="191"/>
      <c r="BF421" s="191"/>
      <c r="BG421" s="191"/>
      <c r="BH421" s="191"/>
      <c r="BI421" s="191"/>
      <c r="BJ421" s="191"/>
      <c r="BK421" s="191"/>
      <c r="BL421" s="191"/>
      <c r="BM421" s="191"/>
      <c r="BN421" s="191"/>
      <c r="BO421" s="191"/>
      <c r="BP421" s="191"/>
      <c r="BQ421" s="191"/>
    </row>
    <row r="422" spans="1:69">
      <c r="A422" s="195"/>
      <c r="K422" s="191"/>
      <c r="L422" s="191"/>
      <c r="M422" s="191"/>
      <c r="N422" s="191"/>
      <c r="O422" s="191"/>
      <c r="P422" s="191"/>
      <c r="Q422" s="191"/>
      <c r="R422" s="191"/>
      <c r="S422" s="191"/>
      <c r="T422" s="191"/>
      <c r="U422" s="191"/>
      <c r="V422" s="191"/>
      <c r="W422" s="191"/>
      <c r="X422" s="191"/>
      <c r="Y422" s="191"/>
      <c r="Z422" s="191"/>
      <c r="AA422" s="191"/>
      <c r="AB422" s="191"/>
      <c r="AC422" s="191"/>
      <c r="AD422" s="191"/>
      <c r="AE422" s="191"/>
      <c r="AF422" s="191"/>
      <c r="AG422" s="191"/>
      <c r="AH422" s="191"/>
      <c r="AI422" s="191"/>
      <c r="AJ422" s="191"/>
      <c r="AK422" s="191"/>
      <c r="AL422" s="191"/>
      <c r="AM422" s="191"/>
      <c r="AN422" s="191"/>
      <c r="AO422" s="191"/>
      <c r="AP422" s="191"/>
      <c r="AQ422" s="191"/>
      <c r="AR422" s="191"/>
      <c r="AS422" s="191"/>
      <c r="AT422" s="191"/>
      <c r="AU422" s="191"/>
      <c r="AV422" s="191"/>
      <c r="AW422" s="191"/>
      <c r="AX422" s="191"/>
      <c r="AY422" s="191"/>
      <c r="AZ422" s="191"/>
      <c r="BA422" s="191"/>
      <c r="BB422" s="191"/>
      <c r="BC422" s="191"/>
      <c r="BD422" s="191"/>
      <c r="BE422" s="191"/>
      <c r="BF422" s="191"/>
      <c r="BG422" s="191"/>
      <c r="BH422" s="191"/>
      <c r="BI422" s="191"/>
      <c r="BJ422" s="191"/>
      <c r="BK422" s="191"/>
      <c r="BL422" s="191"/>
      <c r="BM422" s="191"/>
      <c r="BN422" s="191"/>
      <c r="BO422" s="191"/>
      <c r="BP422" s="191"/>
      <c r="BQ422" s="191"/>
    </row>
    <row r="423" spans="1:69">
      <c r="A423" s="195"/>
      <c r="K423" s="191"/>
      <c r="L423" s="191"/>
      <c r="M423" s="191"/>
      <c r="N423" s="191"/>
      <c r="O423" s="191"/>
      <c r="P423" s="191"/>
      <c r="Q423" s="191"/>
      <c r="R423" s="191"/>
      <c r="S423" s="191"/>
      <c r="T423" s="191"/>
      <c r="U423" s="191"/>
      <c r="V423" s="191"/>
      <c r="W423" s="191"/>
      <c r="X423" s="191"/>
      <c r="Y423" s="191"/>
      <c r="Z423" s="191"/>
      <c r="AA423" s="191"/>
      <c r="AB423" s="191"/>
      <c r="AC423" s="191"/>
      <c r="AD423" s="191"/>
      <c r="AE423" s="191"/>
      <c r="AF423" s="191"/>
      <c r="AG423" s="191"/>
      <c r="AH423" s="191"/>
      <c r="AI423" s="191"/>
      <c r="AJ423" s="191"/>
      <c r="AK423" s="191"/>
      <c r="AL423" s="191"/>
      <c r="AM423" s="191"/>
      <c r="AN423" s="191"/>
      <c r="AO423" s="191"/>
      <c r="AP423" s="191"/>
      <c r="AQ423" s="191"/>
      <c r="AR423" s="191"/>
      <c r="AS423" s="191"/>
      <c r="AT423" s="191"/>
      <c r="AU423" s="191"/>
      <c r="AV423" s="191"/>
      <c r="AW423" s="191"/>
      <c r="AX423" s="191"/>
      <c r="AY423" s="191"/>
      <c r="AZ423" s="191"/>
      <c r="BA423" s="191"/>
      <c r="BB423" s="191"/>
      <c r="BC423" s="191"/>
      <c r="BD423" s="191"/>
      <c r="BE423" s="191"/>
      <c r="BF423" s="191"/>
      <c r="BG423" s="191"/>
      <c r="BH423" s="191"/>
      <c r="BI423" s="191"/>
      <c r="BJ423" s="191"/>
      <c r="BK423" s="191"/>
      <c r="BL423" s="191"/>
      <c r="BM423" s="191"/>
      <c r="BN423" s="191"/>
      <c r="BO423" s="191"/>
      <c r="BP423" s="191"/>
      <c r="BQ423" s="191"/>
    </row>
    <row r="424" spans="1:69">
      <c r="A424" s="195"/>
      <c r="K424" s="191"/>
      <c r="L424" s="191"/>
      <c r="M424" s="191"/>
      <c r="N424" s="191"/>
      <c r="O424" s="191"/>
      <c r="P424" s="191"/>
      <c r="Q424" s="191"/>
      <c r="R424" s="191"/>
      <c r="S424" s="191"/>
      <c r="T424" s="191"/>
      <c r="U424" s="191"/>
      <c r="V424" s="191"/>
      <c r="W424" s="191"/>
      <c r="X424" s="191"/>
      <c r="Y424" s="191"/>
      <c r="Z424" s="191"/>
      <c r="AA424" s="191"/>
      <c r="AB424" s="191"/>
      <c r="AC424" s="191"/>
      <c r="AD424" s="191"/>
      <c r="AE424" s="191"/>
      <c r="AF424" s="191"/>
      <c r="AG424" s="191"/>
      <c r="AH424" s="191"/>
      <c r="AI424" s="191"/>
      <c r="AJ424" s="191"/>
      <c r="AK424" s="191"/>
      <c r="AL424" s="191"/>
      <c r="AM424" s="191"/>
      <c r="AN424" s="191"/>
      <c r="AO424" s="191"/>
      <c r="AP424" s="191"/>
      <c r="AQ424" s="191"/>
      <c r="AR424" s="191"/>
      <c r="AS424" s="191"/>
      <c r="AT424" s="191"/>
      <c r="AU424" s="191"/>
      <c r="AV424" s="191"/>
      <c r="AW424" s="191"/>
      <c r="AX424" s="191"/>
      <c r="AY424" s="191"/>
      <c r="AZ424" s="191"/>
      <c r="BA424" s="191"/>
      <c r="BB424" s="191"/>
      <c r="BC424" s="191"/>
      <c r="BD424" s="191"/>
      <c r="BE424" s="191"/>
      <c r="BF424" s="191"/>
      <c r="BG424" s="191"/>
      <c r="BH424" s="191"/>
      <c r="BI424" s="191"/>
      <c r="BJ424" s="191"/>
      <c r="BK424" s="191"/>
      <c r="BL424" s="191"/>
      <c r="BM424" s="191"/>
      <c r="BN424" s="191"/>
      <c r="BO424" s="191"/>
      <c r="BP424" s="191"/>
      <c r="BQ424" s="191"/>
    </row>
    <row r="425" spans="1:69">
      <c r="A425" s="195"/>
      <c r="K425" s="191"/>
      <c r="L425" s="191"/>
      <c r="M425" s="191"/>
      <c r="N425" s="191"/>
      <c r="O425" s="191"/>
      <c r="P425" s="191"/>
      <c r="Q425" s="191"/>
      <c r="R425" s="191"/>
      <c r="S425" s="191"/>
      <c r="T425" s="191"/>
      <c r="U425" s="191"/>
      <c r="V425" s="191"/>
      <c r="W425" s="191"/>
      <c r="X425" s="191"/>
      <c r="Y425" s="191"/>
      <c r="Z425" s="191"/>
      <c r="AA425" s="191"/>
      <c r="AB425" s="191"/>
      <c r="AC425" s="191"/>
      <c r="AD425" s="191"/>
      <c r="AE425" s="191"/>
      <c r="AF425" s="191"/>
      <c r="AG425" s="191"/>
      <c r="AH425" s="191"/>
      <c r="AI425" s="191"/>
      <c r="AJ425" s="191"/>
      <c r="AK425" s="191"/>
      <c r="AL425" s="191"/>
      <c r="AM425" s="191"/>
      <c r="AN425" s="191"/>
      <c r="AO425" s="191"/>
      <c r="AP425" s="191"/>
      <c r="AQ425" s="191"/>
      <c r="AR425" s="191"/>
      <c r="AS425" s="191"/>
      <c r="AT425" s="191"/>
      <c r="AU425" s="191"/>
      <c r="AV425" s="191"/>
      <c r="AW425" s="191"/>
      <c r="AX425" s="191"/>
      <c r="AY425" s="191"/>
      <c r="AZ425" s="191"/>
      <c r="BA425" s="191"/>
      <c r="BB425" s="191"/>
      <c r="BC425" s="191"/>
      <c r="BD425" s="191"/>
      <c r="BE425" s="191"/>
      <c r="BF425" s="191"/>
      <c r="BG425" s="191"/>
      <c r="BH425" s="191"/>
      <c r="BI425" s="191"/>
      <c r="BJ425" s="191"/>
      <c r="BK425" s="191"/>
      <c r="BL425" s="191"/>
      <c r="BM425" s="191"/>
      <c r="BN425" s="191"/>
      <c r="BO425" s="191"/>
      <c r="BP425" s="191"/>
      <c r="BQ425" s="191"/>
    </row>
    <row r="426" spans="1:69">
      <c r="A426" s="195"/>
      <c r="K426" s="191"/>
      <c r="L426" s="191"/>
      <c r="M426" s="191"/>
      <c r="N426" s="191"/>
      <c r="O426" s="191"/>
      <c r="P426" s="191"/>
      <c r="Q426" s="191"/>
      <c r="R426" s="191"/>
      <c r="S426" s="191"/>
      <c r="T426" s="191"/>
      <c r="U426" s="191"/>
      <c r="V426" s="191"/>
      <c r="W426" s="191"/>
      <c r="X426" s="191"/>
      <c r="Y426" s="191"/>
      <c r="Z426" s="191"/>
      <c r="AA426" s="191"/>
      <c r="AB426" s="191"/>
      <c r="AC426" s="191"/>
      <c r="AD426" s="191"/>
      <c r="AE426" s="191"/>
      <c r="AF426" s="191"/>
      <c r="AG426" s="191"/>
      <c r="AH426" s="191"/>
      <c r="AI426" s="191"/>
      <c r="AJ426" s="191"/>
      <c r="AK426" s="191"/>
      <c r="AL426" s="191"/>
      <c r="AM426" s="191"/>
      <c r="AN426" s="191"/>
      <c r="AO426" s="191"/>
      <c r="AP426" s="191"/>
      <c r="AQ426" s="191"/>
      <c r="AR426" s="191"/>
      <c r="AS426" s="191"/>
      <c r="AT426" s="191"/>
      <c r="AU426" s="191"/>
      <c r="AV426" s="191"/>
      <c r="AW426" s="191"/>
      <c r="AX426" s="191"/>
      <c r="AY426" s="191"/>
      <c r="AZ426" s="191"/>
      <c r="BA426" s="191"/>
      <c r="BB426" s="191"/>
      <c r="BC426" s="191"/>
      <c r="BD426" s="191"/>
      <c r="BE426" s="191"/>
      <c r="BF426" s="191"/>
      <c r="BG426" s="191"/>
      <c r="BH426" s="191"/>
      <c r="BI426" s="191"/>
      <c r="BJ426" s="191"/>
      <c r="BK426" s="191"/>
      <c r="BL426" s="191"/>
      <c r="BM426" s="191"/>
      <c r="BN426" s="191"/>
      <c r="BO426" s="191"/>
      <c r="BP426" s="191"/>
      <c r="BQ426" s="191"/>
    </row>
    <row r="427" spans="1:69">
      <c r="A427" s="195"/>
      <c r="K427" s="191"/>
      <c r="L427" s="191"/>
      <c r="M427" s="191"/>
      <c r="N427" s="191"/>
      <c r="O427" s="191"/>
      <c r="P427" s="191"/>
      <c r="Q427" s="191"/>
      <c r="R427" s="191"/>
      <c r="S427" s="191"/>
      <c r="T427" s="191"/>
      <c r="U427" s="191"/>
      <c r="V427" s="191"/>
      <c r="W427" s="191"/>
      <c r="X427" s="191"/>
      <c r="Y427" s="191"/>
      <c r="Z427" s="191"/>
      <c r="AA427" s="191"/>
      <c r="AB427" s="191"/>
      <c r="AC427" s="191"/>
      <c r="AD427" s="191"/>
      <c r="AE427" s="191"/>
      <c r="AF427" s="191"/>
      <c r="AG427" s="191"/>
      <c r="AH427" s="191"/>
      <c r="AI427" s="191"/>
      <c r="AJ427" s="191"/>
      <c r="AK427" s="191"/>
      <c r="AL427" s="191"/>
      <c r="AM427" s="191"/>
      <c r="AN427" s="191"/>
      <c r="AO427" s="191"/>
      <c r="AP427" s="191"/>
      <c r="AQ427" s="191"/>
      <c r="AR427" s="191"/>
      <c r="AS427" s="191"/>
      <c r="AT427" s="191"/>
      <c r="AU427" s="191"/>
      <c r="AV427" s="191"/>
      <c r="AW427" s="191"/>
      <c r="AX427" s="191"/>
      <c r="AY427" s="191"/>
      <c r="AZ427" s="191"/>
      <c r="BA427" s="191"/>
      <c r="BB427" s="191"/>
      <c r="BC427" s="191"/>
      <c r="BD427" s="191"/>
      <c r="BE427" s="191"/>
      <c r="BF427" s="191"/>
      <c r="BG427" s="191"/>
      <c r="BH427" s="191"/>
      <c r="BI427" s="191"/>
      <c r="BJ427" s="191"/>
      <c r="BK427" s="191"/>
      <c r="BL427" s="191"/>
      <c r="BM427" s="191"/>
      <c r="BN427" s="191"/>
      <c r="BO427" s="191"/>
      <c r="BP427" s="191"/>
      <c r="BQ427" s="191"/>
    </row>
    <row r="428" spans="1:69">
      <c r="A428" s="195"/>
      <c r="K428" s="191"/>
      <c r="L428" s="191"/>
      <c r="M428" s="191"/>
      <c r="N428" s="191"/>
      <c r="O428" s="191"/>
      <c r="P428" s="191"/>
      <c r="Q428" s="191"/>
      <c r="R428" s="191"/>
      <c r="S428" s="191"/>
      <c r="T428" s="191"/>
      <c r="U428" s="191"/>
      <c r="V428" s="191"/>
      <c r="W428" s="191"/>
      <c r="X428" s="191"/>
      <c r="Y428" s="191"/>
      <c r="Z428" s="191"/>
      <c r="AA428" s="191"/>
      <c r="AB428" s="191"/>
      <c r="AC428" s="191"/>
      <c r="AD428" s="191"/>
      <c r="AE428" s="191"/>
      <c r="AF428" s="191"/>
      <c r="AG428" s="191"/>
      <c r="AH428" s="191"/>
      <c r="AI428" s="191"/>
      <c r="AJ428" s="191"/>
      <c r="AK428" s="191"/>
      <c r="AL428" s="191"/>
      <c r="AM428" s="191"/>
      <c r="AN428" s="191"/>
      <c r="AO428" s="191"/>
      <c r="AP428" s="191"/>
      <c r="AQ428" s="191"/>
      <c r="AR428" s="191"/>
      <c r="AS428" s="191"/>
      <c r="AT428" s="191"/>
      <c r="AU428" s="191"/>
      <c r="AV428" s="191"/>
      <c r="AW428" s="191"/>
      <c r="AX428" s="191"/>
      <c r="AY428" s="191"/>
      <c r="AZ428" s="191"/>
      <c r="BA428" s="191"/>
      <c r="BB428" s="191"/>
      <c r="BC428" s="191"/>
      <c r="BD428" s="191"/>
      <c r="BE428" s="191"/>
      <c r="BF428" s="191"/>
      <c r="BG428" s="191"/>
      <c r="BH428" s="191"/>
      <c r="BI428" s="191"/>
      <c r="BJ428" s="191"/>
      <c r="BK428" s="191"/>
      <c r="BL428" s="191"/>
      <c r="BM428" s="191"/>
      <c r="BN428" s="191"/>
      <c r="BO428" s="191"/>
      <c r="BP428" s="191"/>
      <c r="BQ428" s="191"/>
    </row>
    <row r="429" spans="1:69">
      <c r="A429" s="195"/>
      <c r="K429" s="191"/>
      <c r="L429" s="191"/>
      <c r="M429" s="191"/>
      <c r="N429" s="191"/>
      <c r="O429" s="191"/>
      <c r="P429" s="191"/>
      <c r="Q429" s="191"/>
      <c r="R429" s="191"/>
      <c r="S429" s="191"/>
      <c r="T429" s="191"/>
      <c r="U429" s="191"/>
      <c r="V429" s="191"/>
      <c r="W429" s="191"/>
      <c r="X429" s="191"/>
      <c r="Y429" s="191"/>
      <c r="Z429" s="191"/>
      <c r="AA429" s="191"/>
      <c r="AB429" s="191"/>
      <c r="AC429" s="191"/>
      <c r="AD429" s="191"/>
      <c r="AE429" s="191"/>
      <c r="AF429" s="191"/>
      <c r="AG429" s="191"/>
      <c r="AH429" s="191"/>
      <c r="AI429" s="191"/>
      <c r="AJ429" s="191"/>
      <c r="AK429" s="191"/>
      <c r="AL429" s="191"/>
      <c r="AM429" s="191"/>
      <c r="AN429" s="191"/>
      <c r="AO429" s="191"/>
      <c r="AP429" s="191"/>
      <c r="AQ429" s="191"/>
      <c r="AR429" s="191"/>
      <c r="AS429" s="191"/>
      <c r="AT429" s="191"/>
      <c r="AU429" s="191"/>
      <c r="AV429" s="191"/>
      <c r="AW429" s="191"/>
      <c r="AX429" s="191"/>
      <c r="AY429" s="191"/>
      <c r="AZ429" s="191"/>
      <c r="BA429" s="191"/>
      <c r="BB429" s="191"/>
      <c r="BC429" s="191"/>
      <c r="BD429" s="191"/>
      <c r="BE429" s="191"/>
      <c r="BF429" s="191"/>
      <c r="BG429" s="191"/>
      <c r="BH429" s="191"/>
      <c r="BI429" s="191"/>
      <c r="BJ429" s="191"/>
      <c r="BK429" s="191"/>
      <c r="BL429" s="191"/>
      <c r="BM429" s="191"/>
      <c r="BN429" s="191"/>
      <c r="BO429" s="191"/>
      <c r="BP429" s="191"/>
      <c r="BQ429" s="191"/>
    </row>
    <row r="430" spans="1:69">
      <c r="A430" s="195"/>
      <c r="K430" s="191"/>
      <c r="L430" s="191"/>
      <c r="M430" s="191"/>
      <c r="N430" s="191"/>
      <c r="O430" s="191"/>
      <c r="P430" s="191"/>
      <c r="Q430" s="191"/>
      <c r="R430" s="191"/>
      <c r="S430" s="191"/>
      <c r="T430" s="191"/>
      <c r="U430" s="191"/>
      <c r="V430" s="191"/>
      <c r="W430" s="191"/>
      <c r="X430" s="191"/>
      <c r="Y430" s="191"/>
      <c r="Z430" s="191"/>
      <c r="AA430" s="191"/>
      <c r="AB430" s="191"/>
      <c r="AC430" s="191"/>
      <c r="AD430" s="191"/>
      <c r="AE430" s="191"/>
      <c r="AF430" s="191"/>
      <c r="AG430" s="191"/>
      <c r="AH430" s="191"/>
      <c r="AI430" s="191"/>
      <c r="AJ430" s="191"/>
      <c r="AK430" s="191"/>
      <c r="AL430" s="191"/>
      <c r="AM430" s="191"/>
      <c r="AN430" s="191"/>
      <c r="AO430" s="191"/>
      <c r="AP430" s="191"/>
      <c r="AQ430" s="191"/>
      <c r="AR430" s="191"/>
      <c r="AS430" s="191"/>
      <c r="AT430" s="191"/>
      <c r="AU430" s="191"/>
      <c r="AV430" s="191"/>
      <c r="AW430" s="191"/>
      <c r="AX430" s="191"/>
      <c r="AY430" s="191"/>
      <c r="AZ430" s="191"/>
      <c r="BA430" s="191"/>
      <c r="BB430" s="191"/>
      <c r="BC430" s="191"/>
      <c r="BD430" s="191"/>
      <c r="BE430" s="191"/>
      <c r="BF430" s="191"/>
      <c r="BG430" s="191"/>
      <c r="BH430" s="191"/>
      <c r="BI430" s="191"/>
      <c r="BJ430" s="191"/>
      <c r="BK430" s="191"/>
      <c r="BL430" s="191"/>
      <c r="BM430" s="191"/>
      <c r="BN430" s="191"/>
      <c r="BO430" s="191"/>
      <c r="BP430" s="191"/>
      <c r="BQ430" s="191"/>
    </row>
    <row r="431" spans="1:69">
      <c r="A431" s="195"/>
      <c r="K431" s="191"/>
      <c r="L431" s="191"/>
      <c r="M431" s="191"/>
      <c r="N431" s="191"/>
      <c r="O431" s="191"/>
      <c r="P431" s="191"/>
      <c r="Q431" s="191"/>
      <c r="R431" s="191"/>
      <c r="S431" s="191"/>
      <c r="T431" s="191"/>
      <c r="U431" s="191"/>
      <c r="V431" s="191"/>
      <c r="W431" s="191"/>
      <c r="X431" s="191"/>
      <c r="Y431" s="191"/>
      <c r="Z431" s="191"/>
      <c r="AA431" s="191"/>
      <c r="AB431" s="191"/>
      <c r="AC431" s="191"/>
      <c r="AD431" s="191"/>
      <c r="AE431" s="191"/>
      <c r="AF431" s="191"/>
      <c r="AG431" s="191"/>
      <c r="AH431" s="191"/>
      <c r="AI431" s="191"/>
      <c r="AJ431" s="191"/>
      <c r="AK431" s="191"/>
      <c r="AL431" s="191"/>
      <c r="AM431" s="191"/>
      <c r="AN431" s="191"/>
      <c r="AO431" s="191"/>
      <c r="AP431" s="191"/>
      <c r="AQ431" s="191"/>
      <c r="AR431" s="191"/>
      <c r="AS431" s="191"/>
      <c r="AT431" s="191"/>
      <c r="AU431" s="191"/>
      <c r="AV431" s="191"/>
      <c r="AW431" s="191"/>
      <c r="AX431" s="191"/>
      <c r="AY431" s="191"/>
      <c r="AZ431" s="191"/>
      <c r="BA431" s="191"/>
      <c r="BB431" s="191"/>
      <c r="BC431" s="191"/>
      <c r="BD431" s="191"/>
      <c r="BE431" s="191"/>
      <c r="BF431" s="191"/>
      <c r="BG431" s="191"/>
      <c r="BH431" s="191"/>
      <c r="BI431" s="191"/>
      <c r="BJ431" s="191"/>
      <c r="BK431" s="191"/>
      <c r="BL431" s="191"/>
      <c r="BM431" s="191"/>
      <c r="BN431" s="191"/>
      <c r="BO431" s="191"/>
      <c r="BP431" s="191"/>
      <c r="BQ431" s="191"/>
    </row>
    <row r="432" spans="1:69">
      <c r="A432" s="195"/>
      <c r="K432" s="191"/>
      <c r="L432" s="191"/>
      <c r="M432" s="191"/>
      <c r="N432" s="191"/>
      <c r="O432" s="191"/>
      <c r="P432" s="191"/>
      <c r="Q432" s="191"/>
      <c r="R432" s="191"/>
      <c r="S432" s="191"/>
      <c r="T432" s="191"/>
      <c r="U432" s="191"/>
      <c r="V432" s="191"/>
      <c r="W432" s="191"/>
      <c r="X432" s="191"/>
      <c r="Y432" s="191"/>
      <c r="Z432" s="191"/>
      <c r="AA432" s="191"/>
      <c r="AB432" s="191"/>
      <c r="AC432" s="191"/>
      <c r="AD432" s="191"/>
      <c r="AE432" s="191"/>
      <c r="AF432" s="191"/>
      <c r="AG432" s="191"/>
      <c r="AH432" s="191"/>
      <c r="AI432" s="191"/>
      <c r="AJ432" s="191"/>
      <c r="AK432" s="191"/>
      <c r="AL432" s="191"/>
      <c r="AM432" s="191"/>
      <c r="AN432" s="191"/>
      <c r="AO432" s="191"/>
      <c r="AP432" s="191"/>
      <c r="AQ432" s="191"/>
      <c r="AR432" s="191"/>
      <c r="AS432" s="191"/>
      <c r="AT432" s="191"/>
      <c r="AU432" s="191"/>
      <c r="AV432" s="191"/>
      <c r="AW432" s="191"/>
      <c r="AX432" s="191"/>
      <c r="AY432" s="191"/>
      <c r="AZ432" s="191"/>
      <c r="BA432" s="191"/>
      <c r="BB432" s="191"/>
      <c r="BC432" s="191"/>
      <c r="BD432" s="191"/>
      <c r="BE432" s="191"/>
      <c r="BF432" s="191"/>
      <c r="BG432" s="191"/>
      <c r="BH432" s="191"/>
      <c r="BI432" s="191"/>
      <c r="BJ432" s="191"/>
      <c r="BK432" s="191"/>
      <c r="BL432" s="191"/>
      <c r="BM432" s="191"/>
      <c r="BN432" s="191"/>
      <c r="BO432" s="191"/>
      <c r="BP432" s="191"/>
      <c r="BQ432" s="191"/>
    </row>
    <row r="433" spans="1:69">
      <c r="A433" s="195"/>
      <c r="K433" s="191"/>
      <c r="L433" s="191"/>
      <c r="M433" s="191"/>
      <c r="N433" s="191"/>
      <c r="O433" s="191"/>
      <c r="P433" s="191"/>
      <c r="Q433" s="191"/>
      <c r="R433" s="191"/>
      <c r="S433" s="191"/>
      <c r="T433" s="191"/>
      <c r="U433" s="191"/>
      <c r="V433" s="191"/>
      <c r="W433" s="191"/>
      <c r="X433" s="191"/>
      <c r="Y433" s="191"/>
      <c r="Z433" s="191"/>
      <c r="AA433" s="191"/>
      <c r="AB433" s="191"/>
      <c r="AC433" s="191"/>
      <c r="AD433" s="191"/>
      <c r="AE433" s="191"/>
      <c r="AF433" s="191"/>
      <c r="AG433" s="191"/>
      <c r="AH433" s="191"/>
      <c r="AI433" s="191"/>
      <c r="AJ433" s="191"/>
      <c r="AK433" s="191"/>
      <c r="AL433" s="191"/>
      <c r="AM433" s="191"/>
      <c r="AN433" s="191"/>
      <c r="AO433" s="191"/>
      <c r="AP433" s="191"/>
      <c r="AQ433" s="191"/>
      <c r="AR433" s="191"/>
      <c r="AS433" s="191"/>
      <c r="AT433" s="191"/>
      <c r="AU433" s="191"/>
      <c r="AV433" s="191"/>
      <c r="AW433" s="191"/>
      <c r="AX433" s="191"/>
      <c r="AY433" s="191"/>
      <c r="AZ433" s="191"/>
      <c r="BA433" s="191"/>
      <c r="BB433" s="191"/>
      <c r="BC433" s="191"/>
      <c r="BD433" s="191"/>
      <c r="BE433" s="191"/>
      <c r="BF433" s="191"/>
      <c r="BG433" s="191"/>
      <c r="BH433" s="191"/>
      <c r="BI433" s="191"/>
      <c r="BJ433" s="191"/>
      <c r="BK433" s="191"/>
      <c r="BL433" s="191"/>
      <c r="BM433" s="191"/>
      <c r="BN433" s="191"/>
      <c r="BO433" s="191"/>
      <c r="BP433" s="191"/>
      <c r="BQ433" s="191"/>
    </row>
    <row r="434" spans="1:69">
      <c r="A434" s="195"/>
      <c r="K434" s="191"/>
      <c r="L434" s="191"/>
      <c r="M434" s="191"/>
      <c r="N434" s="191"/>
      <c r="O434" s="191"/>
      <c r="P434" s="191"/>
      <c r="Q434" s="191"/>
      <c r="R434" s="191"/>
      <c r="S434" s="191"/>
      <c r="T434" s="191"/>
      <c r="U434" s="191"/>
      <c r="V434" s="191"/>
      <c r="W434" s="191"/>
      <c r="X434" s="191"/>
      <c r="Y434" s="191"/>
      <c r="Z434" s="191"/>
      <c r="AA434" s="191"/>
      <c r="AB434" s="191"/>
      <c r="AC434" s="191"/>
      <c r="AD434" s="191"/>
      <c r="AE434" s="191"/>
      <c r="AF434" s="191"/>
      <c r="AG434" s="191"/>
      <c r="AH434" s="191"/>
      <c r="AI434" s="191"/>
      <c r="AJ434" s="191"/>
      <c r="AK434" s="191"/>
      <c r="AL434" s="191"/>
      <c r="AM434" s="191"/>
      <c r="AN434" s="191"/>
      <c r="AO434" s="191"/>
      <c r="AP434" s="191"/>
      <c r="AQ434" s="191"/>
      <c r="AR434" s="191"/>
      <c r="AS434" s="191"/>
      <c r="AT434" s="191"/>
      <c r="AU434" s="191"/>
      <c r="AV434" s="191"/>
      <c r="AW434" s="191"/>
      <c r="AX434" s="191"/>
      <c r="AY434" s="191"/>
      <c r="AZ434" s="191"/>
      <c r="BA434" s="191"/>
      <c r="BB434" s="191"/>
      <c r="BC434" s="191"/>
      <c r="BD434" s="191"/>
      <c r="BE434" s="191"/>
      <c r="BF434" s="191"/>
      <c r="BG434" s="191"/>
      <c r="BH434" s="191"/>
      <c r="BI434" s="191"/>
      <c r="BJ434" s="191"/>
      <c r="BK434" s="191"/>
      <c r="BL434" s="191"/>
      <c r="BM434" s="191"/>
      <c r="BN434" s="191"/>
      <c r="BO434" s="191"/>
      <c r="BP434" s="191"/>
      <c r="BQ434" s="191"/>
    </row>
    <row r="435" spans="1:69">
      <c r="A435" s="195"/>
      <c r="K435" s="191"/>
      <c r="L435" s="191"/>
      <c r="M435" s="191"/>
      <c r="N435" s="191"/>
      <c r="O435" s="191"/>
      <c r="P435" s="191"/>
      <c r="Q435" s="191"/>
      <c r="R435" s="191"/>
      <c r="S435" s="191"/>
      <c r="T435" s="191"/>
      <c r="U435" s="191"/>
      <c r="V435" s="191"/>
      <c r="W435" s="191"/>
      <c r="X435" s="191"/>
      <c r="Y435" s="191"/>
      <c r="Z435" s="191"/>
      <c r="AA435" s="191"/>
      <c r="AB435" s="191"/>
      <c r="AC435" s="191"/>
      <c r="AD435" s="191"/>
      <c r="AE435" s="191"/>
      <c r="AF435" s="191"/>
      <c r="AG435" s="191"/>
      <c r="AH435" s="191"/>
      <c r="AI435" s="191"/>
      <c r="AJ435" s="191"/>
      <c r="AK435" s="191"/>
      <c r="AL435" s="191"/>
      <c r="AM435" s="191"/>
      <c r="AN435" s="191"/>
      <c r="AO435" s="191"/>
      <c r="AP435" s="191"/>
      <c r="AQ435" s="191"/>
      <c r="AR435" s="191"/>
      <c r="AS435" s="191"/>
      <c r="AT435" s="191"/>
      <c r="AU435" s="191"/>
      <c r="AV435" s="191"/>
      <c r="AW435" s="191"/>
      <c r="AX435" s="191"/>
      <c r="AY435" s="191"/>
      <c r="AZ435" s="191"/>
      <c r="BA435" s="191"/>
      <c r="BB435" s="191"/>
      <c r="BC435" s="191"/>
      <c r="BD435" s="191"/>
      <c r="BE435" s="191"/>
      <c r="BF435" s="191"/>
      <c r="BG435" s="191"/>
      <c r="BH435" s="191"/>
      <c r="BI435" s="191"/>
      <c r="BJ435" s="191"/>
      <c r="BK435" s="191"/>
      <c r="BL435" s="191"/>
      <c r="BM435" s="191"/>
      <c r="BN435" s="191"/>
      <c r="BO435" s="191"/>
      <c r="BP435" s="191"/>
      <c r="BQ435" s="191"/>
    </row>
    <row r="436" spans="1:69">
      <c r="A436" s="195"/>
      <c r="K436" s="191"/>
      <c r="L436" s="191"/>
      <c r="M436" s="191"/>
      <c r="N436" s="191"/>
      <c r="O436" s="191"/>
      <c r="P436" s="191"/>
      <c r="Q436" s="191"/>
      <c r="R436" s="191"/>
      <c r="S436" s="191"/>
      <c r="T436" s="191"/>
      <c r="U436" s="191"/>
      <c r="V436" s="191"/>
      <c r="W436" s="191"/>
      <c r="X436" s="191"/>
      <c r="Y436" s="191"/>
      <c r="Z436" s="191"/>
      <c r="AA436" s="191"/>
      <c r="AB436" s="191"/>
      <c r="AC436" s="191"/>
      <c r="AD436" s="191"/>
      <c r="AE436" s="191"/>
      <c r="AF436" s="191"/>
      <c r="AG436" s="191"/>
      <c r="AH436" s="191"/>
      <c r="AI436" s="191"/>
      <c r="AJ436" s="191"/>
      <c r="AK436" s="191"/>
      <c r="AL436" s="191"/>
      <c r="AM436" s="191"/>
      <c r="AN436" s="191"/>
      <c r="AO436" s="191"/>
      <c r="AP436" s="191"/>
      <c r="AQ436" s="191"/>
      <c r="AR436" s="191"/>
      <c r="AS436" s="191"/>
      <c r="AT436" s="191"/>
      <c r="AU436" s="191"/>
      <c r="AV436" s="191"/>
      <c r="AW436" s="191"/>
      <c r="AX436" s="191"/>
      <c r="AY436" s="191"/>
      <c r="AZ436" s="191"/>
      <c r="BA436" s="191"/>
      <c r="BB436" s="191"/>
      <c r="BC436" s="191"/>
      <c r="BD436" s="191"/>
      <c r="BE436" s="191"/>
      <c r="BF436" s="191"/>
      <c r="BG436" s="191"/>
      <c r="BH436" s="191"/>
      <c r="BI436" s="191"/>
      <c r="BJ436" s="191"/>
      <c r="BK436" s="191"/>
      <c r="BL436" s="191"/>
      <c r="BM436" s="191"/>
      <c r="BN436" s="191"/>
      <c r="BO436" s="191"/>
      <c r="BP436" s="191"/>
      <c r="BQ436" s="191"/>
    </row>
    <row r="437" spans="1:69">
      <c r="A437" s="195"/>
      <c r="K437" s="191"/>
      <c r="L437" s="191"/>
      <c r="M437" s="191"/>
      <c r="N437" s="191"/>
      <c r="O437" s="191"/>
      <c r="P437" s="191"/>
      <c r="Q437" s="191"/>
      <c r="R437" s="191"/>
      <c r="S437" s="191"/>
      <c r="T437" s="191"/>
      <c r="U437" s="191"/>
      <c r="V437" s="191"/>
      <c r="W437" s="191"/>
      <c r="X437" s="191"/>
      <c r="Y437" s="191"/>
      <c r="Z437" s="191"/>
      <c r="AA437" s="191"/>
      <c r="AB437" s="191"/>
      <c r="AC437" s="191"/>
      <c r="AD437" s="191"/>
      <c r="AE437" s="191"/>
      <c r="AF437" s="191"/>
      <c r="AG437" s="191"/>
      <c r="AH437" s="191"/>
      <c r="AI437" s="191"/>
      <c r="AJ437" s="191"/>
      <c r="AK437" s="191"/>
      <c r="AL437" s="191"/>
      <c r="AM437" s="191"/>
      <c r="AN437" s="191"/>
      <c r="AO437" s="191"/>
      <c r="AP437" s="191"/>
      <c r="AQ437" s="191"/>
      <c r="AR437" s="191"/>
      <c r="AS437" s="191"/>
      <c r="AT437" s="191"/>
      <c r="AU437" s="191"/>
      <c r="AV437" s="191"/>
      <c r="AW437" s="191"/>
      <c r="AX437" s="191"/>
      <c r="AY437" s="191"/>
      <c r="AZ437" s="191"/>
      <c r="BA437" s="191"/>
      <c r="BB437" s="191"/>
      <c r="BC437" s="191"/>
      <c r="BD437" s="191"/>
      <c r="BE437" s="191"/>
      <c r="BF437" s="191"/>
      <c r="BG437" s="191"/>
      <c r="BH437" s="191"/>
      <c r="BI437" s="191"/>
      <c r="BJ437" s="191"/>
      <c r="BK437" s="191"/>
      <c r="BL437" s="191"/>
      <c r="BM437" s="191"/>
      <c r="BN437" s="191"/>
      <c r="BO437" s="191"/>
      <c r="BP437" s="191"/>
      <c r="BQ437" s="191"/>
    </row>
    <row r="438" spans="1:69">
      <c r="A438" s="195"/>
      <c r="K438" s="191"/>
      <c r="L438" s="191"/>
      <c r="M438" s="191"/>
      <c r="N438" s="191"/>
      <c r="O438" s="191"/>
      <c r="P438" s="191"/>
      <c r="Q438" s="191"/>
      <c r="R438" s="191"/>
      <c r="S438" s="191"/>
      <c r="T438" s="191"/>
      <c r="U438" s="191"/>
      <c r="V438" s="191"/>
      <c r="W438" s="191"/>
      <c r="X438" s="191"/>
      <c r="Y438" s="191"/>
      <c r="Z438" s="191"/>
      <c r="AA438" s="191"/>
      <c r="AB438" s="191"/>
      <c r="AC438" s="191"/>
      <c r="AD438" s="191"/>
      <c r="AE438" s="191"/>
      <c r="AF438" s="191"/>
      <c r="AG438" s="191"/>
      <c r="AH438" s="191"/>
      <c r="AI438" s="191"/>
      <c r="AJ438" s="191"/>
      <c r="AK438" s="191"/>
      <c r="AL438" s="191"/>
      <c r="AM438" s="191"/>
      <c r="AN438" s="191"/>
      <c r="AO438" s="191"/>
      <c r="AP438" s="191"/>
      <c r="AQ438" s="191"/>
      <c r="AR438" s="191"/>
      <c r="AS438" s="191"/>
      <c r="AT438" s="191"/>
      <c r="AU438" s="191"/>
      <c r="AV438" s="191"/>
      <c r="AW438" s="191"/>
      <c r="AX438" s="191"/>
      <c r="AY438" s="191"/>
      <c r="AZ438" s="191"/>
      <c r="BA438" s="191"/>
      <c r="BB438" s="191"/>
      <c r="BC438" s="191"/>
      <c r="BD438" s="191"/>
      <c r="BE438" s="191"/>
      <c r="BF438" s="191"/>
      <c r="BG438" s="191"/>
      <c r="BH438" s="191"/>
      <c r="BI438" s="191"/>
      <c r="BJ438" s="191"/>
      <c r="BK438" s="191"/>
      <c r="BL438" s="191"/>
      <c r="BM438" s="191"/>
      <c r="BN438" s="191"/>
      <c r="BO438" s="191"/>
      <c r="BP438" s="191"/>
      <c r="BQ438" s="191"/>
    </row>
    <row r="439" spans="1:69">
      <c r="A439" s="195"/>
      <c r="K439" s="191"/>
      <c r="L439" s="191"/>
      <c r="M439" s="191"/>
      <c r="N439" s="191"/>
      <c r="O439" s="191"/>
      <c r="P439" s="191"/>
      <c r="Q439" s="191"/>
      <c r="R439" s="191"/>
      <c r="S439" s="191"/>
      <c r="T439" s="191"/>
      <c r="U439" s="191"/>
      <c r="V439" s="191"/>
      <c r="W439" s="191"/>
      <c r="X439" s="191"/>
      <c r="Y439" s="191"/>
      <c r="Z439" s="191"/>
      <c r="AA439" s="191"/>
      <c r="AB439" s="191"/>
      <c r="AC439" s="191"/>
      <c r="AD439" s="191"/>
      <c r="AE439" s="191"/>
      <c r="AF439" s="191"/>
      <c r="AG439" s="191"/>
      <c r="AH439" s="191"/>
      <c r="AI439" s="191"/>
      <c r="AJ439" s="191"/>
      <c r="AK439" s="191"/>
      <c r="AL439" s="191"/>
      <c r="AM439" s="191"/>
      <c r="AN439" s="191"/>
      <c r="AO439" s="191"/>
      <c r="AP439" s="191"/>
      <c r="AQ439" s="191"/>
      <c r="AR439" s="191"/>
      <c r="AS439" s="191"/>
      <c r="AT439" s="191"/>
      <c r="AU439" s="191"/>
      <c r="AV439" s="191"/>
      <c r="AW439" s="191"/>
      <c r="AX439" s="191"/>
      <c r="AY439" s="191"/>
      <c r="AZ439" s="191"/>
      <c r="BA439" s="191"/>
      <c r="BB439" s="191"/>
      <c r="BC439" s="191"/>
      <c r="BD439" s="191"/>
      <c r="BE439" s="191"/>
      <c r="BF439" s="191"/>
      <c r="BG439" s="191"/>
      <c r="BH439" s="191"/>
      <c r="BI439" s="191"/>
      <c r="BJ439" s="191"/>
      <c r="BK439" s="191"/>
      <c r="BL439" s="191"/>
      <c r="BM439" s="191"/>
      <c r="BN439" s="191"/>
      <c r="BO439" s="191"/>
      <c r="BP439" s="191"/>
      <c r="BQ439" s="191"/>
    </row>
    <row r="440" spans="1:69">
      <c r="A440" s="195"/>
      <c r="K440" s="191"/>
      <c r="L440" s="191"/>
      <c r="M440" s="191"/>
      <c r="N440" s="191"/>
      <c r="O440" s="191"/>
      <c r="P440" s="191"/>
      <c r="Q440" s="191"/>
      <c r="R440" s="191"/>
      <c r="S440" s="191"/>
      <c r="T440" s="191"/>
      <c r="U440" s="191"/>
      <c r="V440" s="191"/>
      <c r="W440" s="191"/>
      <c r="X440" s="191"/>
      <c r="Y440" s="191"/>
      <c r="Z440" s="191"/>
      <c r="AA440" s="191"/>
      <c r="AB440" s="191"/>
      <c r="AC440" s="191"/>
      <c r="AD440" s="191"/>
      <c r="AE440" s="191"/>
      <c r="AF440" s="191"/>
      <c r="AG440" s="191"/>
      <c r="AH440" s="191"/>
      <c r="AI440" s="191"/>
      <c r="AJ440" s="191"/>
      <c r="AK440" s="191"/>
      <c r="AL440" s="191"/>
      <c r="AM440" s="191"/>
      <c r="AN440" s="191"/>
      <c r="AO440" s="191"/>
      <c r="AP440" s="191"/>
      <c r="AQ440" s="191"/>
      <c r="AR440" s="191"/>
      <c r="AS440" s="191"/>
      <c r="AT440" s="191"/>
      <c r="AU440" s="191"/>
      <c r="AV440" s="191"/>
      <c r="AW440" s="191"/>
      <c r="AX440" s="191"/>
      <c r="AY440" s="191"/>
      <c r="AZ440" s="191"/>
      <c r="BA440" s="191"/>
      <c r="BB440" s="191"/>
      <c r="BC440" s="191"/>
      <c r="BD440" s="191"/>
      <c r="BE440" s="191"/>
      <c r="BF440" s="191"/>
      <c r="BG440" s="191"/>
      <c r="BH440" s="191"/>
      <c r="BI440" s="191"/>
      <c r="BJ440" s="191"/>
      <c r="BK440" s="191"/>
      <c r="BL440" s="191"/>
      <c r="BM440" s="191"/>
      <c r="BN440" s="191"/>
      <c r="BO440" s="191"/>
      <c r="BP440" s="191"/>
      <c r="BQ440" s="191"/>
    </row>
    <row r="441" spans="1:69">
      <c r="A441" s="195"/>
      <c r="K441" s="191"/>
      <c r="L441" s="191"/>
      <c r="M441" s="191"/>
      <c r="N441" s="191"/>
      <c r="O441" s="191"/>
      <c r="P441" s="191"/>
      <c r="Q441" s="191"/>
      <c r="R441" s="191"/>
      <c r="S441" s="191"/>
      <c r="T441" s="191"/>
      <c r="U441" s="191"/>
      <c r="V441" s="191"/>
      <c r="W441" s="191"/>
      <c r="X441" s="191"/>
      <c r="Y441" s="191"/>
      <c r="Z441" s="191"/>
      <c r="AA441" s="191"/>
      <c r="AB441" s="191"/>
      <c r="AC441" s="191"/>
      <c r="AD441" s="191"/>
      <c r="AE441" s="191"/>
      <c r="AF441" s="191"/>
      <c r="AG441" s="191"/>
      <c r="AH441" s="191"/>
      <c r="AI441" s="191"/>
      <c r="AJ441" s="191"/>
      <c r="AK441" s="191"/>
      <c r="AL441" s="191"/>
      <c r="AM441" s="191"/>
      <c r="AN441" s="191"/>
      <c r="AO441" s="191"/>
      <c r="AP441" s="191"/>
      <c r="AQ441" s="191"/>
      <c r="AR441" s="191"/>
      <c r="AS441" s="191"/>
      <c r="AT441" s="191"/>
      <c r="AU441" s="191"/>
      <c r="AV441" s="191"/>
      <c r="AW441" s="191"/>
      <c r="AX441" s="191"/>
      <c r="AY441" s="191"/>
      <c r="AZ441" s="191"/>
      <c r="BA441" s="191"/>
      <c r="BB441" s="191"/>
      <c r="BC441" s="191"/>
      <c r="BD441" s="191"/>
      <c r="BE441" s="191"/>
      <c r="BF441" s="191"/>
      <c r="BG441" s="191"/>
      <c r="BH441" s="191"/>
      <c r="BI441" s="191"/>
      <c r="BJ441" s="191"/>
      <c r="BK441" s="191"/>
      <c r="BL441" s="191"/>
      <c r="BM441" s="191"/>
      <c r="BN441" s="191"/>
      <c r="BO441" s="191"/>
      <c r="BP441" s="191"/>
      <c r="BQ441" s="191"/>
    </row>
    <row r="442" spans="1:69">
      <c r="A442" s="195"/>
      <c r="K442" s="191"/>
      <c r="L442" s="191"/>
      <c r="M442" s="191"/>
      <c r="N442" s="191"/>
      <c r="O442" s="191"/>
      <c r="P442" s="191"/>
      <c r="Q442" s="191"/>
      <c r="R442" s="191"/>
      <c r="S442" s="191"/>
      <c r="T442" s="191"/>
      <c r="U442" s="191"/>
      <c r="V442" s="191"/>
      <c r="W442" s="191"/>
      <c r="X442" s="191"/>
      <c r="Y442" s="191"/>
      <c r="Z442" s="191"/>
      <c r="AA442" s="191"/>
      <c r="AB442" s="191"/>
      <c r="AC442" s="191"/>
      <c r="AD442" s="191"/>
      <c r="AE442" s="191"/>
      <c r="AF442" s="191"/>
      <c r="AG442" s="191"/>
      <c r="AH442" s="191"/>
      <c r="AI442" s="191"/>
      <c r="AJ442" s="191"/>
      <c r="AK442" s="191"/>
      <c r="AL442" s="191"/>
      <c r="AM442" s="191"/>
      <c r="AN442" s="191"/>
      <c r="AO442" s="191"/>
      <c r="AP442" s="191"/>
      <c r="AQ442" s="191"/>
      <c r="AR442" s="191"/>
      <c r="AS442" s="191"/>
      <c r="AT442" s="191"/>
      <c r="AU442" s="191"/>
      <c r="AV442" s="191"/>
      <c r="AW442" s="191"/>
      <c r="AX442" s="191"/>
      <c r="AY442" s="191"/>
      <c r="AZ442" s="191"/>
      <c r="BA442" s="191"/>
      <c r="BB442" s="191"/>
      <c r="BC442" s="191"/>
      <c r="BD442" s="191"/>
      <c r="BE442" s="191"/>
      <c r="BF442" s="191"/>
      <c r="BG442" s="191"/>
      <c r="BH442" s="191"/>
      <c r="BI442" s="191"/>
      <c r="BJ442" s="191"/>
      <c r="BK442" s="191"/>
      <c r="BL442" s="191"/>
      <c r="BM442" s="191"/>
      <c r="BN442" s="191"/>
      <c r="BO442" s="191"/>
      <c r="BP442" s="191"/>
      <c r="BQ442" s="191"/>
    </row>
    <row r="443" spans="1:69">
      <c r="A443" s="195"/>
      <c r="K443" s="191"/>
      <c r="L443" s="191"/>
      <c r="M443" s="191"/>
      <c r="N443" s="191"/>
      <c r="O443" s="191"/>
      <c r="P443" s="191"/>
      <c r="Q443" s="191"/>
      <c r="R443" s="191"/>
      <c r="S443" s="191"/>
      <c r="T443" s="191"/>
      <c r="U443" s="191"/>
      <c r="V443" s="191"/>
      <c r="W443" s="191"/>
      <c r="X443" s="191"/>
      <c r="Y443" s="191"/>
      <c r="Z443" s="191"/>
      <c r="AA443" s="191"/>
      <c r="AB443" s="191"/>
      <c r="AC443" s="191"/>
      <c r="AD443" s="191"/>
      <c r="AE443" s="191"/>
      <c r="AF443" s="191"/>
      <c r="AG443" s="191"/>
      <c r="AH443" s="191"/>
      <c r="AI443" s="191"/>
      <c r="AJ443" s="191"/>
      <c r="AK443" s="191"/>
      <c r="AL443" s="191"/>
      <c r="AM443" s="191"/>
      <c r="AN443" s="191"/>
      <c r="AO443" s="191"/>
      <c r="AP443" s="191"/>
      <c r="AQ443" s="191"/>
      <c r="AR443" s="191"/>
      <c r="AS443" s="191"/>
      <c r="AT443" s="191"/>
      <c r="AU443" s="191"/>
      <c r="AV443" s="191"/>
      <c r="AW443" s="191"/>
      <c r="AX443" s="191"/>
      <c r="AY443" s="191"/>
      <c r="AZ443" s="191"/>
      <c r="BA443" s="191"/>
      <c r="BB443" s="191"/>
      <c r="BC443" s="191"/>
      <c r="BD443" s="191"/>
      <c r="BE443" s="191"/>
      <c r="BF443" s="191"/>
      <c r="BG443" s="191"/>
      <c r="BH443" s="191"/>
      <c r="BI443" s="191"/>
      <c r="BJ443" s="191"/>
      <c r="BK443" s="191"/>
      <c r="BL443" s="191"/>
      <c r="BM443" s="191"/>
      <c r="BN443" s="191"/>
      <c r="BO443" s="191"/>
      <c r="BP443" s="191"/>
      <c r="BQ443" s="191"/>
    </row>
    <row r="444" spans="1:69">
      <c r="A444" s="195"/>
      <c r="K444" s="191"/>
      <c r="L444" s="191"/>
      <c r="M444" s="191"/>
      <c r="N444" s="191"/>
      <c r="O444" s="191"/>
      <c r="P444" s="191"/>
      <c r="Q444" s="191"/>
      <c r="R444" s="191"/>
      <c r="S444" s="191"/>
      <c r="T444" s="191"/>
      <c r="U444" s="191"/>
      <c r="V444" s="191"/>
      <c r="W444" s="191"/>
      <c r="X444" s="191"/>
      <c r="Y444" s="191"/>
      <c r="Z444" s="191"/>
      <c r="AA444" s="191"/>
      <c r="AB444" s="191"/>
      <c r="AC444" s="191"/>
      <c r="AD444" s="191"/>
      <c r="AE444" s="191"/>
      <c r="AF444" s="191"/>
      <c r="AG444" s="191"/>
      <c r="AH444" s="191"/>
      <c r="AI444" s="191"/>
      <c r="AJ444" s="191"/>
      <c r="AK444" s="191"/>
      <c r="AL444" s="191"/>
      <c r="AM444" s="191"/>
      <c r="AN444" s="191"/>
      <c r="AO444" s="191"/>
      <c r="AP444" s="191"/>
      <c r="AQ444" s="191"/>
      <c r="AR444" s="191"/>
      <c r="AS444" s="191"/>
      <c r="AT444" s="191"/>
      <c r="AU444" s="191"/>
      <c r="AV444" s="191"/>
      <c r="AW444" s="191"/>
      <c r="AX444" s="191"/>
      <c r="AY444" s="191"/>
      <c r="AZ444" s="191"/>
      <c r="BA444" s="191"/>
      <c r="BB444" s="191"/>
      <c r="BC444" s="191"/>
      <c r="BD444" s="191"/>
      <c r="BE444" s="191"/>
      <c r="BF444" s="191"/>
      <c r="BG444" s="191"/>
      <c r="BH444" s="191"/>
      <c r="BI444" s="191"/>
      <c r="BJ444" s="191"/>
      <c r="BK444" s="191"/>
      <c r="BL444" s="191"/>
      <c r="BM444" s="191"/>
      <c r="BN444" s="191"/>
      <c r="BO444" s="191"/>
      <c r="BP444" s="191"/>
      <c r="BQ444" s="191"/>
    </row>
    <row r="445" spans="1:69">
      <c r="A445" s="195"/>
      <c r="K445" s="191"/>
      <c r="L445" s="191"/>
      <c r="M445" s="191"/>
      <c r="N445" s="191"/>
      <c r="O445" s="191"/>
      <c r="P445" s="191"/>
      <c r="Q445" s="191"/>
      <c r="R445" s="191"/>
      <c r="S445" s="191"/>
      <c r="T445" s="191"/>
      <c r="U445" s="191"/>
      <c r="V445" s="191"/>
      <c r="W445" s="191"/>
      <c r="X445" s="191"/>
      <c r="Y445" s="191"/>
      <c r="Z445" s="191"/>
      <c r="AA445" s="191"/>
      <c r="AB445" s="191"/>
      <c r="AC445" s="191"/>
      <c r="AD445" s="191"/>
      <c r="AE445" s="191"/>
      <c r="AF445" s="191"/>
      <c r="AG445" s="191"/>
      <c r="AH445" s="191"/>
      <c r="AI445" s="191"/>
      <c r="AJ445" s="191"/>
      <c r="AK445" s="191"/>
      <c r="AL445" s="191"/>
      <c r="AM445" s="191"/>
      <c r="AN445" s="191"/>
      <c r="AO445" s="191"/>
      <c r="AP445" s="191"/>
      <c r="AQ445" s="191"/>
      <c r="AR445" s="191"/>
      <c r="AS445" s="191"/>
      <c r="AT445" s="191"/>
      <c r="AU445" s="191"/>
      <c r="AV445" s="191"/>
      <c r="AW445" s="191"/>
      <c r="AX445" s="191"/>
      <c r="AY445" s="191"/>
      <c r="AZ445" s="191"/>
      <c r="BA445" s="191"/>
      <c r="BB445" s="191"/>
      <c r="BC445" s="191"/>
      <c r="BD445" s="191"/>
      <c r="BE445" s="191"/>
      <c r="BF445" s="191"/>
      <c r="BG445" s="191"/>
      <c r="BH445" s="191"/>
      <c r="BI445" s="191"/>
      <c r="BJ445" s="191"/>
      <c r="BK445" s="191"/>
      <c r="BL445" s="191"/>
      <c r="BM445" s="191"/>
      <c r="BN445" s="191"/>
      <c r="BO445" s="191"/>
      <c r="BP445" s="191"/>
      <c r="BQ445" s="191"/>
    </row>
    <row r="446" spans="1:69">
      <c r="A446" s="195"/>
      <c r="K446" s="191"/>
      <c r="L446" s="191"/>
      <c r="M446" s="191"/>
      <c r="N446" s="191"/>
      <c r="O446" s="191"/>
      <c r="P446" s="191"/>
      <c r="Q446" s="191"/>
      <c r="R446" s="191"/>
      <c r="S446" s="191"/>
      <c r="T446" s="191"/>
      <c r="U446" s="191"/>
      <c r="V446" s="191"/>
      <c r="W446" s="191"/>
      <c r="X446" s="191"/>
      <c r="Y446" s="191"/>
      <c r="Z446" s="191"/>
      <c r="AA446" s="191"/>
      <c r="AB446" s="191"/>
      <c r="AC446" s="191"/>
      <c r="AD446" s="191"/>
      <c r="AE446" s="191"/>
      <c r="AF446" s="191"/>
      <c r="AG446" s="191"/>
      <c r="AH446" s="191"/>
      <c r="AI446" s="191"/>
      <c r="AJ446" s="191"/>
      <c r="AK446" s="191"/>
      <c r="AL446" s="191"/>
      <c r="AM446" s="191"/>
      <c r="AN446" s="191"/>
      <c r="AO446" s="191"/>
      <c r="AP446" s="191"/>
      <c r="AQ446" s="191"/>
      <c r="AR446" s="191"/>
      <c r="AS446" s="191"/>
      <c r="AT446" s="191"/>
      <c r="AU446" s="191"/>
      <c r="AV446" s="191"/>
      <c r="AW446" s="191"/>
      <c r="AX446" s="191"/>
      <c r="AY446" s="191"/>
      <c r="AZ446" s="191"/>
      <c r="BA446" s="191"/>
      <c r="BB446" s="191"/>
      <c r="BC446" s="191"/>
      <c r="BD446" s="191"/>
      <c r="BE446" s="191"/>
      <c r="BF446" s="191"/>
      <c r="BG446" s="191"/>
      <c r="BH446" s="191"/>
      <c r="BI446" s="191"/>
      <c r="BJ446" s="191"/>
      <c r="BK446" s="191"/>
      <c r="BL446" s="191"/>
      <c r="BM446" s="191"/>
      <c r="BN446" s="191"/>
      <c r="BO446" s="191"/>
      <c r="BP446" s="191"/>
      <c r="BQ446" s="191"/>
    </row>
    <row r="447" spans="1:69">
      <c r="A447" s="195"/>
      <c r="K447" s="191"/>
      <c r="L447" s="191"/>
      <c r="M447" s="191"/>
      <c r="N447" s="191"/>
      <c r="O447" s="191"/>
      <c r="P447" s="191"/>
      <c r="Q447" s="191"/>
      <c r="R447" s="191"/>
      <c r="S447" s="191"/>
      <c r="T447" s="191"/>
      <c r="U447" s="191"/>
      <c r="V447" s="191"/>
      <c r="W447" s="191"/>
      <c r="X447" s="191"/>
      <c r="Y447" s="191"/>
      <c r="Z447" s="191"/>
      <c r="AA447" s="191"/>
      <c r="AB447" s="191"/>
      <c r="AC447" s="191"/>
      <c r="AD447" s="191"/>
      <c r="AE447" s="191"/>
      <c r="AF447" s="191"/>
      <c r="AG447" s="191"/>
      <c r="AH447" s="191"/>
      <c r="AI447" s="191"/>
      <c r="AJ447" s="191"/>
      <c r="AK447" s="191"/>
      <c r="AL447" s="191"/>
      <c r="AM447" s="191"/>
      <c r="AN447" s="191"/>
      <c r="AO447" s="191"/>
      <c r="AP447" s="191"/>
      <c r="AQ447" s="191"/>
      <c r="AR447" s="191"/>
      <c r="AS447" s="191"/>
      <c r="AT447" s="191"/>
      <c r="AU447" s="191"/>
      <c r="AV447" s="191"/>
      <c r="AW447" s="191"/>
      <c r="AX447" s="191"/>
      <c r="AY447" s="191"/>
      <c r="AZ447" s="191"/>
      <c r="BA447" s="191"/>
      <c r="BB447" s="191"/>
      <c r="BC447" s="191"/>
      <c r="BD447" s="191"/>
      <c r="BE447" s="191"/>
      <c r="BF447" s="191"/>
      <c r="BG447" s="191"/>
      <c r="BH447" s="191"/>
      <c r="BI447" s="191"/>
      <c r="BJ447" s="191"/>
      <c r="BK447" s="191"/>
      <c r="BL447" s="191"/>
      <c r="BM447" s="191"/>
      <c r="BN447" s="191"/>
      <c r="BO447" s="191"/>
      <c r="BP447" s="191"/>
      <c r="BQ447" s="191"/>
    </row>
    <row r="448" spans="1:69">
      <c r="A448" s="195"/>
      <c r="K448" s="191"/>
      <c r="L448" s="191"/>
      <c r="M448" s="191"/>
      <c r="N448" s="191"/>
      <c r="O448" s="191"/>
      <c r="P448" s="191"/>
      <c r="Q448" s="191"/>
      <c r="R448" s="191"/>
      <c r="S448" s="191"/>
      <c r="T448" s="191"/>
      <c r="U448" s="191"/>
      <c r="V448" s="191"/>
      <c r="W448" s="191"/>
      <c r="X448" s="191"/>
      <c r="Y448" s="191"/>
      <c r="Z448" s="191"/>
      <c r="AA448" s="191"/>
      <c r="AB448" s="191"/>
      <c r="AC448" s="191"/>
      <c r="AD448" s="191"/>
      <c r="AE448" s="191"/>
      <c r="AF448" s="191"/>
      <c r="AG448" s="191"/>
      <c r="AH448" s="191"/>
      <c r="AI448" s="191"/>
      <c r="AJ448" s="191"/>
      <c r="AK448" s="191"/>
      <c r="AL448" s="191"/>
      <c r="AM448" s="191"/>
      <c r="AN448" s="191"/>
      <c r="AO448" s="191"/>
      <c r="AP448" s="191"/>
      <c r="AQ448" s="191"/>
      <c r="AR448" s="191"/>
      <c r="AS448" s="191"/>
      <c r="AT448" s="191"/>
      <c r="AU448" s="191"/>
      <c r="AV448" s="191"/>
      <c r="AW448" s="191"/>
      <c r="AX448" s="191"/>
      <c r="AY448" s="191"/>
      <c r="AZ448" s="191"/>
      <c r="BA448" s="191"/>
      <c r="BB448" s="191"/>
      <c r="BC448" s="191"/>
      <c r="BD448" s="191"/>
      <c r="BE448" s="191"/>
      <c r="BF448" s="191"/>
      <c r="BG448" s="191"/>
      <c r="BH448" s="191"/>
      <c r="BI448" s="191"/>
      <c r="BJ448" s="191"/>
      <c r="BK448" s="191"/>
      <c r="BL448" s="191"/>
      <c r="BM448" s="191"/>
      <c r="BN448" s="191"/>
      <c r="BO448" s="191"/>
      <c r="BP448" s="191"/>
      <c r="BQ448" s="191"/>
    </row>
    <row r="449" spans="1:69">
      <c r="A449" s="195"/>
      <c r="K449" s="191"/>
      <c r="L449" s="191"/>
      <c r="M449" s="191"/>
      <c r="N449" s="191"/>
      <c r="O449" s="191"/>
      <c r="P449" s="191"/>
      <c r="Q449" s="191"/>
      <c r="R449" s="191"/>
      <c r="S449" s="191"/>
      <c r="T449" s="191"/>
      <c r="U449" s="191"/>
      <c r="V449" s="191"/>
      <c r="W449" s="191"/>
      <c r="X449" s="191"/>
      <c r="Y449" s="191"/>
      <c r="Z449" s="191"/>
      <c r="AA449" s="191"/>
      <c r="AB449" s="191"/>
      <c r="AC449" s="191"/>
      <c r="AD449" s="191"/>
      <c r="AE449" s="191"/>
      <c r="AF449" s="191"/>
      <c r="AG449" s="191"/>
      <c r="AH449" s="191"/>
      <c r="AI449" s="191"/>
      <c r="AJ449" s="191"/>
      <c r="AK449" s="191"/>
      <c r="AL449" s="191"/>
      <c r="AM449" s="191"/>
      <c r="AN449" s="191"/>
      <c r="AO449" s="191"/>
      <c r="AP449" s="191"/>
      <c r="AQ449" s="191"/>
      <c r="AR449" s="191"/>
      <c r="AS449" s="191"/>
      <c r="AT449" s="191"/>
      <c r="AU449" s="191"/>
      <c r="AV449" s="191"/>
      <c r="AW449" s="191"/>
      <c r="AX449" s="191"/>
      <c r="AY449" s="191"/>
      <c r="AZ449" s="191"/>
      <c r="BA449" s="191"/>
      <c r="BB449" s="191"/>
      <c r="BC449" s="191"/>
      <c r="BD449" s="191"/>
      <c r="BE449" s="191"/>
      <c r="BF449" s="191"/>
      <c r="BG449" s="191"/>
      <c r="BH449" s="191"/>
      <c r="BI449" s="191"/>
      <c r="BJ449" s="191"/>
      <c r="BK449" s="191"/>
      <c r="BL449" s="191"/>
      <c r="BM449" s="191"/>
      <c r="BN449" s="191"/>
      <c r="BO449" s="191"/>
      <c r="BP449" s="191"/>
      <c r="BQ449" s="191"/>
    </row>
    <row r="450" spans="1:69">
      <c r="A450" s="195"/>
      <c r="K450" s="191"/>
      <c r="L450" s="191"/>
      <c r="M450" s="191"/>
      <c r="N450" s="191"/>
      <c r="O450" s="191"/>
      <c r="P450" s="191"/>
      <c r="Q450" s="191"/>
      <c r="R450" s="191"/>
      <c r="S450" s="191"/>
      <c r="T450" s="191"/>
      <c r="U450" s="191"/>
      <c r="V450" s="191"/>
      <c r="W450" s="191"/>
      <c r="X450" s="191"/>
      <c r="Y450" s="191"/>
      <c r="Z450" s="191"/>
      <c r="AA450" s="191"/>
      <c r="AB450" s="191"/>
      <c r="AC450" s="191"/>
      <c r="AD450" s="191"/>
      <c r="AE450" s="191"/>
      <c r="AF450" s="191"/>
      <c r="AG450" s="191"/>
      <c r="AH450" s="191"/>
      <c r="AI450" s="191"/>
      <c r="AJ450" s="191"/>
      <c r="AK450" s="191"/>
      <c r="AL450" s="191"/>
      <c r="AM450" s="191"/>
      <c r="AN450" s="191"/>
      <c r="AO450" s="191"/>
      <c r="AP450" s="191"/>
      <c r="AQ450" s="191"/>
      <c r="AR450" s="191"/>
      <c r="AS450" s="191"/>
      <c r="AT450" s="191"/>
      <c r="AU450" s="191"/>
      <c r="AV450" s="191"/>
      <c r="AW450" s="191"/>
      <c r="AX450" s="191"/>
      <c r="AY450" s="191"/>
      <c r="AZ450" s="191"/>
      <c r="BA450" s="191"/>
      <c r="BB450" s="191"/>
      <c r="BC450" s="191"/>
      <c r="BD450" s="191"/>
      <c r="BE450" s="191"/>
      <c r="BF450" s="191"/>
      <c r="BG450" s="191"/>
      <c r="BH450" s="191"/>
      <c r="BI450" s="191"/>
      <c r="BJ450" s="191"/>
      <c r="BK450" s="191"/>
      <c r="BL450" s="191"/>
      <c r="BM450" s="191"/>
      <c r="BN450" s="191"/>
      <c r="BO450" s="191"/>
      <c r="BP450" s="191"/>
      <c r="BQ450" s="191"/>
    </row>
    <row r="451" spans="1:69">
      <c r="A451" s="195"/>
      <c r="K451" s="191"/>
      <c r="L451" s="191"/>
      <c r="M451" s="191"/>
      <c r="N451" s="191"/>
      <c r="O451" s="191"/>
      <c r="P451" s="191"/>
      <c r="Q451" s="191"/>
      <c r="R451" s="191"/>
      <c r="S451" s="191"/>
      <c r="T451" s="191"/>
      <c r="U451" s="191"/>
      <c r="V451" s="191"/>
      <c r="W451" s="191"/>
      <c r="X451" s="191"/>
      <c r="Y451" s="191"/>
      <c r="Z451" s="191"/>
      <c r="AA451" s="191"/>
      <c r="AB451" s="191"/>
      <c r="AC451" s="191"/>
      <c r="AD451" s="191"/>
      <c r="AE451" s="191"/>
      <c r="AF451" s="191"/>
      <c r="AG451" s="191"/>
      <c r="AH451" s="191"/>
      <c r="AI451" s="191"/>
      <c r="AJ451" s="191"/>
      <c r="AK451" s="191"/>
      <c r="AL451" s="191"/>
      <c r="AM451" s="191"/>
      <c r="AN451" s="191"/>
      <c r="AO451" s="191"/>
      <c r="AP451" s="191"/>
      <c r="AQ451" s="191"/>
      <c r="AR451" s="191"/>
      <c r="AS451" s="191"/>
      <c r="AT451" s="191"/>
      <c r="AU451" s="191"/>
      <c r="AV451" s="191"/>
      <c r="AW451" s="191"/>
      <c r="AX451" s="191"/>
      <c r="AY451" s="191"/>
      <c r="AZ451" s="191"/>
      <c r="BA451" s="191"/>
      <c r="BB451" s="191"/>
      <c r="BC451" s="191"/>
      <c r="BD451" s="191"/>
      <c r="BE451" s="191"/>
      <c r="BF451" s="191"/>
      <c r="BG451" s="191"/>
      <c r="BH451" s="191"/>
      <c r="BI451" s="191"/>
      <c r="BJ451" s="191"/>
      <c r="BK451" s="191"/>
      <c r="BL451" s="191"/>
      <c r="BM451" s="191"/>
      <c r="BN451" s="191"/>
      <c r="BO451" s="191"/>
      <c r="BP451" s="191"/>
      <c r="BQ451" s="191"/>
    </row>
    <row r="452" spans="1:69">
      <c r="A452" s="195"/>
      <c r="K452" s="191"/>
      <c r="L452" s="191"/>
      <c r="M452" s="191"/>
      <c r="N452" s="191"/>
      <c r="O452" s="191"/>
      <c r="P452" s="191"/>
      <c r="Q452" s="191"/>
      <c r="R452" s="191"/>
      <c r="S452" s="191"/>
      <c r="T452" s="191"/>
      <c r="U452" s="191"/>
      <c r="V452" s="191"/>
      <c r="W452" s="191"/>
      <c r="X452" s="191"/>
      <c r="Y452" s="191"/>
      <c r="Z452" s="191"/>
      <c r="AA452" s="191"/>
      <c r="AB452" s="191"/>
      <c r="AC452" s="191"/>
      <c r="AD452" s="191"/>
      <c r="AE452" s="191"/>
      <c r="AF452" s="191"/>
      <c r="AG452" s="191"/>
      <c r="AH452" s="191"/>
      <c r="AI452" s="191"/>
      <c r="AJ452" s="191"/>
      <c r="AK452" s="191"/>
      <c r="AL452" s="191"/>
      <c r="AM452" s="191"/>
      <c r="AN452" s="191"/>
      <c r="AO452" s="191"/>
      <c r="AP452" s="191"/>
      <c r="AQ452" s="191"/>
      <c r="AR452" s="191"/>
      <c r="AS452" s="191"/>
      <c r="AT452" s="191"/>
      <c r="AU452" s="191"/>
      <c r="AV452" s="191"/>
      <c r="AW452" s="191"/>
      <c r="AX452" s="191"/>
      <c r="AY452" s="191"/>
      <c r="AZ452" s="191"/>
      <c r="BA452" s="191"/>
      <c r="BB452" s="191"/>
      <c r="BC452" s="191"/>
      <c r="BD452" s="191"/>
      <c r="BE452" s="191"/>
      <c r="BF452" s="191"/>
      <c r="BG452" s="191"/>
      <c r="BH452" s="191"/>
      <c r="BI452" s="191"/>
      <c r="BJ452" s="191"/>
      <c r="BK452" s="191"/>
      <c r="BL452" s="191"/>
      <c r="BM452" s="191"/>
      <c r="BN452" s="191"/>
      <c r="BO452" s="191"/>
      <c r="BP452" s="191"/>
      <c r="BQ452" s="191"/>
    </row>
    <row r="453" spans="1:69">
      <c r="A453" s="195"/>
      <c r="K453" s="191"/>
      <c r="L453" s="191"/>
      <c r="M453" s="191"/>
      <c r="N453" s="191"/>
      <c r="O453" s="191"/>
      <c r="P453" s="191"/>
      <c r="Q453" s="191"/>
      <c r="R453" s="191"/>
      <c r="S453" s="191"/>
      <c r="T453" s="191"/>
      <c r="U453" s="191"/>
      <c r="V453" s="191"/>
      <c r="W453" s="191"/>
      <c r="X453" s="191"/>
      <c r="Y453" s="191"/>
      <c r="Z453" s="191"/>
      <c r="AA453" s="191"/>
      <c r="AB453" s="191"/>
      <c r="AC453" s="191"/>
      <c r="AD453" s="191"/>
      <c r="AE453" s="191"/>
      <c r="AF453" s="191"/>
      <c r="AG453" s="191"/>
      <c r="AH453" s="191"/>
      <c r="AI453" s="191"/>
      <c r="AJ453" s="191"/>
      <c r="AK453" s="191"/>
      <c r="AL453" s="191"/>
      <c r="AM453" s="191"/>
      <c r="AN453" s="191"/>
      <c r="AO453" s="191"/>
      <c r="AP453" s="191"/>
      <c r="AQ453" s="191"/>
      <c r="AR453" s="191"/>
      <c r="AS453" s="191"/>
      <c r="AT453" s="191"/>
      <c r="AU453" s="191"/>
      <c r="AV453" s="191"/>
      <c r="AW453" s="191"/>
      <c r="AX453" s="191"/>
      <c r="AY453" s="191"/>
      <c r="AZ453" s="191"/>
      <c r="BA453" s="191"/>
      <c r="BB453" s="191"/>
      <c r="BC453" s="191"/>
      <c r="BD453" s="191"/>
      <c r="BE453" s="191"/>
      <c r="BF453" s="191"/>
      <c r="BG453" s="191"/>
      <c r="BH453" s="191"/>
      <c r="BI453" s="191"/>
      <c r="BJ453" s="191"/>
      <c r="BK453" s="191"/>
      <c r="BL453" s="191"/>
      <c r="BM453" s="191"/>
      <c r="BN453" s="191"/>
      <c r="BO453" s="191"/>
      <c r="BP453" s="191"/>
      <c r="BQ453" s="191"/>
    </row>
    <row r="454" spans="1:69">
      <c r="A454" s="195"/>
      <c r="K454" s="191"/>
      <c r="L454" s="191"/>
      <c r="M454" s="191"/>
      <c r="N454" s="191"/>
      <c r="O454" s="191"/>
      <c r="P454" s="191"/>
      <c r="Q454" s="191"/>
      <c r="R454" s="191"/>
      <c r="S454" s="191"/>
      <c r="T454" s="191"/>
      <c r="U454" s="191"/>
      <c r="V454" s="191"/>
      <c r="W454" s="191"/>
      <c r="X454" s="191"/>
      <c r="Y454" s="191"/>
      <c r="Z454" s="191"/>
      <c r="AA454" s="191"/>
      <c r="AB454" s="191"/>
      <c r="AC454" s="191"/>
      <c r="AD454" s="191"/>
      <c r="AE454" s="191"/>
      <c r="AF454" s="191"/>
      <c r="AG454" s="191"/>
      <c r="AH454" s="191"/>
      <c r="AI454" s="191"/>
      <c r="AJ454" s="191"/>
      <c r="AK454" s="191"/>
      <c r="AL454" s="191"/>
      <c r="AM454" s="191"/>
      <c r="AN454" s="191"/>
      <c r="AO454" s="191"/>
      <c r="AP454" s="191"/>
      <c r="AQ454" s="191"/>
      <c r="AR454" s="191"/>
      <c r="AS454" s="191"/>
      <c r="AT454" s="191"/>
      <c r="AU454" s="191"/>
      <c r="AV454" s="191"/>
      <c r="AW454" s="191"/>
      <c r="AX454" s="191"/>
      <c r="AY454" s="191"/>
      <c r="AZ454" s="191"/>
      <c r="BA454" s="191"/>
      <c r="BB454" s="191"/>
      <c r="BC454" s="191"/>
      <c r="BD454" s="191"/>
      <c r="BE454" s="191"/>
      <c r="BF454" s="191"/>
      <c r="BG454" s="191"/>
      <c r="BH454" s="191"/>
      <c r="BI454" s="191"/>
      <c r="BJ454" s="191"/>
      <c r="BK454" s="191"/>
      <c r="BL454" s="191"/>
      <c r="BM454" s="191"/>
      <c r="BN454" s="191"/>
      <c r="BO454" s="191"/>
      <c r="BP454" s="191"/>
      <c r="BQ454" s="191"/>
    </row>
    <row r="455" spans="1:69">
      <c r="A455" s="195"/>
      <c r="K455" s="191"/>
      <c r="L455" s="191"/>
      <c r="M455" s="191"/>
      <c r="N455" s="191"/>
      <c r="O455" s="191"/>
      <c r="P455" s="191"/>
      <c r="Q455" s="191"/>
      <c r="R455" s="191"/>
      <c r="S455" s="191"/>
      <c r="T455" s="191"/>
      <c r="U455" s="191"/>
      <c r="V455" s="191"/>
      <c r="W455" s="191"/>
      <c r="X455" s="191"/>
      <c r="Y455" s="191"/>
      <c r="Z455" s="191"/>
      <c r="AA455" s="191"/>
      <c r="AB455" s="191"/>
      <c r="AC455" s="191"/>
      <c r="AD455" s="191"/>
      <c r="AE455" s="191"/>
      <c r="AF455" s="191"/>
      <c r="AG455" s="191"/>
      <c r="AH455" s="191"/>
      <c r="AI455" s="191"/>
      <c r="AJ455" s="191"/>
      <c r="AK455" s="191"/>
      <c r="AL455" s="191"/>
      <c r="AM455" s="191"/>
      <c r="AN455" s="191"/>
      <c r="AO455" s="191"/>
      <c r="AP455" s="191"/>
      <c r="AQ455" s="191"/>
      <c r="AR455" s="191"/>
      <c r="AS455" s="191"/>
      <c r="AT455" s="191"/>
      <c r="AU455" s="191"/>
      <c r="AV455" s="191"/>
      <c r="AW455" s="191"/>
      <c r="AX455" s="191"/>
      <c r="AY455" s="191"/>
      <c r="AZ455" s="191"/>
      <c r="BA455" s="191"/>
      <c r="BB455" s="191"/>
      <c r="BC455" s="191"/>
      <c r="BD455" s="191"/>
      <c r="BE455" s="191"/>
      <c r="BF455" s="191"/>
      <c r="BG455" s="191"/>
      <c r="BH455" s="191"/>
      <c r="BI455" s="191"/>
      <c r="BJ455" s="191"/>
      <c r="BK455" s="191"/>
      <c r="BL455" s="191"/>
      <c r="BM455" s="191"/>
      <c r="BN455" s="191"/>
      <c r="BO455" s="191"/>
      <c r="BP455" s="191"/>
      <c r="BQ455" s="191"/>
    </row>
    <row r="456" spans="1:69">
      <c r="A456" s="195"/>
      <c r="K456" s="191"/>
      <c r="L456" s="191"/>
      <c r="M456" s="191"/>
      <c r="N456" s="191"/>
      <c r="O456" s="191"/>
      <c r="P456" s="191"/>
      <c r="Q456" s="191"/>
      <c r="R456" s="191"/>
      <c r="S456" s="191"/>
      <c r="T456" s="191"/>
      <c r="U456" s="191"/>
      <c r="V456" s="191"/>
      <c r="W456" s="191"/>
      <c r="X456" s="191"/>
      <c r="Y456" s="191"/>
      <c r="Z456" s="191"/>
      <c r="AA456" s="191"/>
      <c r="AB456" s="191"/>
      <c r="AC456" s="191"/>
      <c r="AD456" s="191"/>
      <c r="AE456" s="191"/>
      <c r="AF456" s="191"/>
      <c r="AG456" s="191"/>
      <c r="AH456" s="191"/>
      <c r="AI456" s="191"/>
      <c r="AJ456" s="191"/>
      <c r="AK456" s="191"/>
      <c r="AL456" s="191"/>
      <c r="AM456" s="191"/>
      <c r="AN456" s="191"/>
      <c r="AO456" s="191"/>
      <c r="AP456" s="191"/>
      <c r="AQ456" s="191"/>
      <c r="AR456" s="191"/>
      <c r="AS456" s="191"/>
      <c r="AT456" s="191"/>
      <c r="AU456" s="191"/>
      <c r="AV456" s="191"/>
      <c r="AW456" s="191"/>
      <c r="AX456" s="191"/>
      <c r="AY456" s="191"/>
      <c r="AZ456" s="191"/>
      <c r="BA456" s="191"/>
      <c r="BB456" s="191"/>
      <c r="BC456" s="191"/>
      <c r="BD456" s="191"/>
      <c r="BE456" s="191"/>
      <c r="BF456" s="191"/>
      <c r="BG456" s="191"/>
      <c r="BH456" s="191"/>
      <c r="BI456" s="191"/>
      <c r="BJ456" s="191"/>
      <c r="BK456" s="191"/>
      <c r="BL456" s="191"/>
      <c r="BM456" s="191"/>
      <c r="BN456" s="191"/>
      <c r="BO456" s="191"/>
      <c r="BP456" s="191"/>
      <c r="BQ456" s="191"/>
    </row>
    <row r="457" spans="1:69">
      <c r="A457" s="195"/>
      <c r="K457" s="191"/>
      <c r="L457" s="191"/>
      <c r="M457" s="191"/>
      <c r="N457" s="191"/>
      <c r="O457" s="191"/>
      <c r="P457" s="191"/>
      <c r="Q457" s="191"/>
      <c r="R457" s="191"/>
      <c r="S457" s="191"/>
      <c r="T457" s="191"/>
      <c r="U457" s="191"/>
      <c r="V457" s="191"/>
      <c r="W457" s="191"/>
      <c r="X457" s="191"/>
      <c r="Y457" s="191"/>
      <c r="Z457" s="191"/>
      <c r="AA457" s="191"/>
      <c r="AB457" s="191"/>
      <c r="AC457" s="191"/>
      <c r="AD457" s="191"/>
      <c r="AE457" s="191"/>
      <c r="AF457" s="191"/>
      <c r="AG457" s="191"/>
      <c r="AH457" s="191"/>
      <c r="AI457" s="191"/>
      <c r="AJ457" s="191"/>
      <c r="AK457" s="191"/>
      <c r="AL457" s="191"/>
      <c r="AM457" s="191"/>
      <c r="AN457" s="191"/>
      <c r="AO457" s="191"/>
      <c r="AP457" s="191"/>
      <c r="AQ457" s="191"/>
      <c r="AR457" s="191"/>
      <c r="AS457" s="191"/>
      <c r="AT457" s="191"/>
      <c r="AU457" s="191"/>
      <c r="AV457" s="191"/>
      <c r="AW457" s="191"/>
      <c r="AX457" s="191"/>
      <c r="AY457" s="191"/>
      <c r="AZ457" s="191"/>
      <c r="BA457" s="191"/>
      <c r="BB457" s="191"/>
      <c r="BC457" s="191"/>
      <c r="BD457" s="191"/>
      <c r="BE457" s="191"/>
      <c r="BF457" s="191"/>
      <c r="BG457" s="191"/>
      <c r="BH457" s="191"/>
      <c r="BI457" s="191"/>
      <c r="BJ457" s="191"/>
      <c r="BK457" s="191"/>
      <c r="BL457" s="191"/>
      <c r="BM457" s="191"/>
      <c r="BN457" s="191"/>
      <c r="BO457" s="191"/>
      <c r="BP457" s="191"/>
      <c r="BQ457" s="191"/>
    </row>
    <row r="458" spans="1:69">
      <c r="A458" s="195"/>
      <c r="K458" s="191"/>
      <c r="L458" s="191"/>
      <c r="M458" s="191"/>
      <c r="N458" s="191"/>
      <c r="O458" s="191"/>
      <c r="P458" s="191"/>
      <c r="Q458" s="191"/>
      <c r="R458" s="191"/>
      <c r="S458" s="191"/>
      <c r="T458" s="191"/>
      <c r="U458" s="191"/>
      <c r="V458" s="191"/>
      <c r="W458" s="191"/>
      <c r="X458" s="191"/>
      <c r="Y458" s="191"/>
      <c r="Z458" s="191"/>
      <c r="AA458" s="191"/>
      <c r="AB458" s="191"/>
      <c r="AC458" s="191"/>
      <c r="AD458" s="191"/>
      <c r="AE458" s="191"/>
      <c r="AF458" s="191"/>
      <c r="AG458" s="191"/>
      <c r="AH458" s="191"/>
      <c r="AI458" s="191"/>
      <c r="AJ458" s="191"/>
      <c r="AK458" s="191"/>
      <c r="AL458" s="191"/>
      <c r="AM458" s="191"/>
      <c r="AN458" s="191"/>
      <c r="AO458" s="191"/>
      <c r="AP458" s="191"/>
      <c r="AQ458" s="191"/>
      <c r="AR458" s="191"/>
      <c r="AS458" s="191"/>
      <c r="AT458" s="191"/>
      <c r="AU458" s="191"/>
      <c r="AV458" s="191"/>
      <c r="AW458" s="191"/>
      <c r="AX458" s="191"/>
      <c r="AY458" s="191"/>
      <c r="AZ458" s="191"/>
      <c r="BA458" s="191"/>
      <c r="BB458" s="191"/>
      <c r="BC458" s="191"/>
      <c r="BD458" s="191"/>
      <c r="BE458" s="191"/>
      <c r="BF458" s="191"/>
      <c r="BG458" s="191"/>
      <c r="BH458" s="191"/>
      <c r="BI458" s="191"/>
      <c r="BJ458" s="191"/>
      <c r="BK458" s="191"/>
      <c r="BL458" s="191"/>
      <c r="BM458" s="191"/>
      <c r="BN458" s="191"/>
      <c r="BO458" s="191"/>
      <c r="BP458" s="191"/>
      <c r="BQ458" s="191"/>
    </row>
    <row r="459" spans="1:69">
      <c r="K459" s="191"/>
      <c r="L459" s="191"/>
      <c r="M459" s="191"/>
      <c r="N459" s="191"/>
      <c r="O459" s="191"/>
      <c r="P459" s="191"/>
      <c r="Q459" s="191"/>
      <c r="R459" s="191"/>
      <c r="S459" s="191"/>
      <c r="T459" s="191"/>
      <c r="U459" s="191"/>
      <c r="V459" s="191"/>
      <c r="W459" s="191"/>
      <c r="X459" s="191"/>
      <c r="Y459" s="191"/>
      <c r="Z459" s="191"/>
      <c r="AA459" s="191"/>
      <c r="AB459" s="191"/>
      <c r="AC459" s="191"/>
      <c r="AD459" s="191"/>
      <c r="AE459" s="191"/>
      <c r="AF459" s="191"/>
      <c r="AG459" s="191"/>
      <c r="AH459" s="191"/>
      <c r="AI459" s="191"/>
      <c r="AJ459" s="191"/>
      <c r="AK459" s="191"/>
      <c r="AL459" s="191"/>
      <c r="AM459" s="191"/>
      <c r="AN459" s="191"/>
      <c r="AO459" s="191"/>
      <c r="AP459" s="191"/>
      <c r="AQ459" s="191"/>
      <c r="AR459" s="191"/>
      <c r="AS459" s="191"/>
      <c r="AT459" s="191"/>
      <c r="AU459" s="191"/>
      <c r="AV459" s="191"/>
      <c r="AW459" s="191"/>
      <c r="AX459" s="191"/>
      <c r="AY459" s="191"/>
      <c r="AZ459" s="191"/>
      <c r="BA459" s="191"/>
      <c r="BB459" s="191"/>
      <c r="BC459" s="191"/>
      <c r="BD459" s="191"/>
      <c r="BE459" s="191"/>
      <c r="BF459" s="191"/>
      <c r="BG459" s="191"/>
      <c r="BH459" s="191"/>
      <c r="BI459" s="191"/>
      <c r="BJ459" s="191"/>
      <c r="BK459" s="191"/>
      <c r="BL459" s="191"/>
      <c r="BM459" s="191"/>
      <c r="BN459" s="191"/>
      <c r="BO459" s="191"/>
      <c r="BP459" s="191"/>
      <c r="BQ459" s="191"/>
    </row>
    <row r="460" spans="1:69">
      <c r="K460" s="191"/>
      <c r="L460" s="191"/>
      <c r="M460" s="191"/>
      <c r="N460" s="191"/>
      <c r="O460" s="191"/>
      <c r="P460" s="191"/>
      <c r="Q460" s="191"/>
      <c r="R460" s="191"/>
      <c r="S460" s="191"/>
      <c r="T460" s="191"/>
      <c r="U460" s="191"/>
      <c r="V460" s="191"/>
      <c r="W460" s="191"/>
      <c r="X460" s="191"/>
      <c r="Y460" s="191"/>
      <c r="Z460" s="191"/>
      <c r="AA460" s="191"/>
      <c r="AB460" s="191"/>
      <c r="AC460" s="191"/>
      <c r="AD460" s="191"/>
      <c r="AE460" s="191"/>
      <c r="AF460" s="191"/>
      <c r="AG460" s="191"/>
      <c r="AH460" s="191"/>
      <c r="AI460" s="191"/>
      <c r="AJ460" s="191"/>
      <c r="AK460" s="191"/>
      <c r="AL460" s="191"/>
      <c r="AM460" s="191"/>
      <c r="AN460" s="191"/>
      <c r="AO460" s="191"/>
      <c r="AP460" s="191"/>
      <c r="AQ460" s="191"/>
      <c r="AR460" s="191"/>
      <c r="AS460" s="191"/>
      <c r="AT460" s="191"/>
      <c r="AU460" s="191"/>
      <c r="AV460" s="191"/>
      <c r="AW460" s="191"/>
      <c r="AX460" s="191"/>
      <c r="AY460" s="191"/>
      <c r="AZ460" s="191"/>
      <c r="BA460" s="191"/>
      <c r="BB460" s="191"/>
      <c r="BC460" s="191"/>
      <c r="BD460" s="191"/>
      <c r="BE460" s="191"/>
      <c r="BF460" s="191"/>
      <c r="BG460" s="191"/>
      <c r="BH460" s="191"/>
      <c r="BI460" s="191"/>
      <c r="BJ460" s="191"/>
      <c r="BK460" s="191"/>
      <c r="BL460" s="191"/>
      <c r="BM460" s="191"/>
      <c r="BN460" s="191"/>
      <c r="BO460" s="191"/>
      <c r="BP460" s="191"/>
      <c r="BQ460" s="191"/>
    </row>
    <row r="461" spans="1:69">
      <c r="K461" s="191"/>
      <c r="L461" s="191"/>
      <c r="M461" s="191"/>
      <c r="N461" s="191"/>
      <c r="O461" s="191"/>
      <c r="P461" s="191"/>
      <c r="Q461" s="191"/>
      <c r="R461" s="191"/>
      <c r="S461" s="191"/>
      <c r="T461" s="191"/>
      <c r="U461" s="191"/>
      <c r="V461" s="191"/>
      <c r="W461" s="191"/>
      <c r="X461" s="191"/>
      <c r="Y461" s="191"/>
      <c r="Z461" s="191"/>
      <c r="AA461" s="191"/>
      <c r="AB461" s="191"/>
      <c r="AC461" s="191"/>
      <c r="AD461" s="191"/>
      <c r="AE461" s="191"/>
      <c r="AF461" s="191"/>
      <c r="AG461" s="191"/>
      <c r="AH461" s="191"/>
      <c r="AI461" s="191"/>
      <c r="AJ461" s="191"/>
      <c r="AK461" s="191"/>
      <c r="AL461" s="191"/>
      <c r="AM461" s="191"/>
      <c r="AN461" s="191"/>
      <c r="AO461" s="191"/>
      <c r="AP461" s="191"/>
      <c r="AQ461" s="191"/>
      <c r="AR461" s="191"/>
      <c r="AS461" s="191"/>
      <c r="AT461" s="191"/>
      <c r="AU461" s="191"/>
      <c r="AV461" s="191"/>
      <c r="AW461" s="191"/>
      <c r="AX461" s="191"/>
      <c r="AY461" s="191"/>
      <c r="AZ461" s="191"/>
      <c r="BA461" s="191"/>
      <c r="BB461" s="191"/>
      <c r="BC461" s="191"/>
      <c r="BD461" s="191"/>
      <c r="BE461" s="191"/>
      <c r="BF461" s="191"/>
      <c r="BG461" s="191"/>
      <c r="BH461" s="191"/>
      <c r="BI461" s="191"/>
      <c r="BJ461" s="191"/>
      <c r="BK461" s="191"/>
      <c r="BL461" s="191"/>
      <c r="BM461" s="191"/>
      <c r="BN461" s="191"/>
      <c r="BO461" s="191"/>
      <c r="BP461" s="191"/>
      <c r="BQ461" s="191"/>
    </row>
    <row r="462" spans="1:69">
      <c r="K462" s="191"/>
      <c r="L462" s="191"/>
      <c r="M462" s="191"/>
      <c r="N462" s="191"/>
      <c r="O462" s="191"/>
      <c r="P462" s="191"/>
      <c r="Q462" s="191"/>
      <c r="R462" s="191"/>
      <c r="S462" s="191"/>
      <c r="T462" s="191"/>
      <c r="U462" s="191"/>
      <c r="V462" s="191"/>
      <c r="W462" s="191"/>
      <c r="X462" s="191"/>
      <c r="Y462" s="191"/>
      <c r="Z462" s="191"/>
      <c r="AA462" s="191"/>
      <c r="AB462" s="191"/>
      <c r="AC462" s="191"/>
      <c r="AD462" s="191"/>
      <c r="AE462" s="191"/>
      <c r="AF462" s="191"/>
      <c r="AG462" s="191"/>
      <c r="AH462" s="191"/>
      <c r="AI462" s="191"/>
      <c r="AJ462" s="191"/>
      <c r="AK462" s="191"/>
      <c r="AL462" s="191"/>
      <c r="AM462" s="191"/>
      <c r="AN462" s="191"/>
      <c r="AO462" s="191"/>
      <c r="AP462" s="191"/>
      <c r="AQ462" s="191"/>
      <c r="AR462" s="191"/>
      <c r="AS462" s="191"/>
      <c r="AT462" s="191"/>
      <c r="AU462" s="191"/>
      <c r="AV462" s="191"/>
      <c r="AW462" s="191"/>
      <c r="AX462" s="191"/>
      <c r="AY462" s="191"/>
      <c r="AZ462" s="191"/>
      <c r="BA462" s="191"/>
      <c r="BB462" s="191"/>
      <c r="BC462" s="191"/>
      <c r="BD462" s="191"/>
      <c r="BE462" s="191"/>
      <c r="BF462" s="191"/>
      <c r="BG462" s="191"/>
      <c r="BH462" s="191"/>
      <c r="BI462" s="191"/>
      <c r="BJ462" s="191"/>
      <c r="BK462" s="191"/>
      <c r="BL462" s="191"/>
      <c r="BM462" s="191"/>
      <c r="BN462" s="191"/>
      <c r="BO462" s="191"/>
      <c r="BP462" s="191"/>
      <c r="BQ462" s="191"/>
    </row>
    <row r="463" spans="1:69">
      <c r="K463" s="191"/>
      <c r="L463" s="191"/>
      <c r="M463" s="191"/>
      <c r="N463" s="191"/>
      <c r="O463" s="191"/>
      <c r="P463" s="191"/>
      <c r="Q463" s="191"/>
      <c r="R463" s="191"/>
      <c r="S463" s="191"/>
      <c r="T463" s="191"/>
      <c r="U463" s="191"/>
      <c r="V463" s="191"/>
      <c r="W463" s="191"/>
      <c r="X463" s="191"/>
      <c r="Y463" s="191"/>
      <c r="Z463" s="191"/>
      <c r="AA463" s="191"/>
      <c r="AB463" s="191"/>
      <c r="AC463" s="191"/>
      <c r="AD463" s="191"/>
      <c r="AE463" s="191"/>
      <c r="AF463" s="191"/>
      <c r="AG463" s="191"/>
      <c r="AH463" s="191"/>
      <c r="AI463" s="191"/>
      <c r="AJ463" s="191"/>
      <c r="AK463" s="191"/>
      <c r="AL463" s="191"/>
      <c r="AM463" s="191"/>
      <c r="AN463" s="191"/>
      <c r="AO463" s="191"/>
      <c r="AP463" s="191"/>
      <c r="AQ463" s="191"/>
      <c r="AR463" s="191"/>
      <c r="AS463" s="191"/>
      <c r="AT463" s="191"/>
      <c r="AU463" s="191"/>
      <c r="AV463" s="191"/>
      <c r="AW463" s="191"/>
      <c r="AX463" s="191"/>
      <c r="AY463" s="191"/>
      <c r="AZ463" s="191"/>
      <c r="BA463" s="191"/>
      <c r="BB463" s="191"/>
      <c r="BC463" s="191"/>
      <c r="BD463" s="191"/>
      <c r="BE463" s="191"/>
      <c r="BF463" s="191"/>
      <c r="BG463" s="191"/>
      <c r="BH463" s="191"/>
      <c r="BI463" s="191"/>
      <c r="BJ463" s="191"/>
      <c r="BK463" s="191"/>
      <c r="BL463" s="191"/>
      <c r="BM463" s="191"/>
      <c r="BN463" s="191"/>
      <c r="BO463" s="191"/>
      <c r="BP463" s="191"/>
      <c r="BQ463" s="191"/>
    </row>
    <row r="464" spans="1:69">
      <c r="K464" s="191"/>
      <c r="L464" s="191"/>
      <c r="M464" s="191"/>
      <c r="N464" s="191"/>
      <c r="O464" s="191"/>
      <c r="P464" s="191"/>
      <c r="Q464" s="191"/>
      <c r="R464" s="191"/>
      <c r="S464" s="191"/>
      <c r="T464" s="191"/>
      <c r="U464" s="191"/>
      <c r="V464" s="191"/>
      <c r="W464" s="191"/>
      <c r="X464" s="191"/>
      <c r="Y464" s="191"/>
      <c r="Z464" s="191"/>
      <c r="AA464" s="191"/>
      <c r="AB464" s="191"/>
      <c r="AC464" s="191"/>
      <c r="AD464" s="191"/>
      <c r="AE464" s="191"/>
      <c r="AF464" s="191"/>
      <c r="AG464" s="191"/>
      <c r="AH464" s="191"/>
      <c r="AI464" s="191"/>
      <c r="AJ464" s="191"/>
      <c r="AK464" s="191"/>
      <c r="AL464" s="191"/>
      <c r="AM464" s="191"/>
      <c r="AN464" s="191"/>
      <c r="AO464" s="191"/>
      <c r="AP464" s="191"/>
      <c r="AQ464" s="191"/>
      <c r="AR464" s="191"/>
      <c r="AS464" s="191"/>
      <c r="AT464" s="191"/>
      <c r="AU464" s="191"/>
      <c r="AV464" s="191"/>
      <c r="AW464" s="191"/>
      <c r="AX464" s="191"/>
      <c r="AY464" s="191"/>
      <c r="AZ464" s="191"/>
      <c r="BA464" s="191"/>
      <c r="BB464" s="191"/>
      <c r="BC464" s="191"/>
      <c r="BD464" s="191"/>
      <c r="BE464" s="191"/>
      <c r="BF464" s="191"/>
      <c r="BG464" s="191"/>
      <c r="BH464" s="191"/>
      <c r="BI464" s="191"/>
      <c r="BJ464" s="191"/>
      <c r="BK464" s="191"/>
      <c r="BL464" s="191"/>
      <c r="BM464" s="191"/>
      <c r="BN464" s="191"/>
      <c r="BO464" s="191"/>
      <c r="BP464" s="191"/>
      <c r="BQ464" s="191"/>
    </row>
    <row r="465" spans="11:69">
      <c r="K465" s="191"/>
      <c r="L465" s="191"/>
      <c r="M465" s="191"/>
      <c r="N465" s="191"/>
      <c r="O465" s="191"/>
      <c r="P465" s="191"/>
      <c r="Q465" s="191"/>
      <c r="R465" s="191"/>
      <c r="S465" s="191"/>
      <c r="T465" s="191"/>
      <c r="U465" s="191"/>
      <c r="V465" s="191"/>
      <c r="W465" s="191"/>
      <c r="X465" s="191"/>
      <c r="Y465" s="191"/>
      <c r="Z465" s="191"/>
      <c r="AA465" s="191"/>
      <c r="AB465" s="191"/>
      <c r="AC465" s="191"/>
      <c r="AD465" s="191"/>
      <c r="AE465" s="191"/>
      <c r="AF465" s="191"/>
      <c r="AG465" s="191"/>
      <c r="AH465" s="191"/>
      <c r="AI465" s="191"/>
      <c r="AJ465" s="191"/>
      <c r="AK465" s="191"/>
      <c r="AL465" s="191"/>
      <c r="AM465" s="191"/>
      <c r="AN465" s="191"/>
      <c r="AO465" s="191"/>
      <c r="AP465" s="191"/>
      <c r="AQ465" s="191"/>
      <c r="AR465" s="191"/>
      <c r="AS465" s="191"/>
      <c r="AT465" s="191"/>
      <c r="AU465" s="191"/>
      <c r="AV465" s="191"/>
      <c r="AW465" s="191"/>
      <c r="AX465" s="191"/>
      <c r="AY465" s="191"/>
      <c r="AZ465" s="191"/>
      <c r="BA465" s="191"/>
      <c r="BB465" s="191"/>
      <c r="BC465" s="191"/>
      <c r="BD465" s="191"/>
      <c r="BE465" s="191"/>
      <c r="BF465" s="191"/>
      <c r="BG465" s="191"/>
      <c r="BH465" s="191"/>
      <c r="BI465" s="191"/>
      <c r="BJ465" s="191"/>
      <c r="BK465" s="191"/>
      <c r="BL465" s="191"/>
      <c r="BM465" s="191"/>
      <c r="BN465" s="191"/>
      <c r="BO465" s="191"/>
      <c r="BP465" s="191"/>
      <c r="BQ465" s="191"/>
    </row>
    <row r="466" spans="11:69">
      <c r="K466" s="191"/>
      <c r="L466" s="191"/>
      <c r="M466" s="191"/>
      <c r="N466" s="191"/>
      <c r="O466" s="191"/>
      <c r="P466" s="191"/>
      <c r="Q466" s="191"/>
      <c r="R466" s="191"/>
      <c r="S466" s="191"/>
      <c r="T466" s="191"/>
      <c r="U466" s="191"/>
      <c r="V466" s="191"/>
      <c r="W466" s="191"/>
      <c r="X466" s="191"/>
      <c r="Y466" s="191"/>
      <c r="Z466" s="191"/>
      <c r="AA466" s="191"/>
      <c r="AB466" s="191"/>
      <c r="AC466" s="191"/>
      <c r="AD466" s="191"/>
      <c r="AE466" s="191"/>
      <c r="AF466" s="191"/>
      <c r="AG466" s="191"/>
      <c r="AH466" s="191"/>
      <c r="AI466" s="191"/>
      <c r="AJ466" s="191"/>
      <c r="AK466" s="191"/>
      <c r="AL466" s="191"/>
      <c r="AM466" s="191"/>
      <c r="AN466" s="191"/>
      <c r="AO466" s="191"/>
      <c r="AP466" s="191"/>
      <c r="AQ466" s="191"/>
      <c r="AR466" s="191"/>
      <c r="AS466" s="191"/>
      <c r="AT466" s="191"/>
      <c r="AU466" s="191"/>
      <c r="AV466" s="191"/>
      <c r="AW466" s="191"/>
      <c r="AX466" s="191"/>
      <c r="AY466" s="191"/>
      <c r="AZ466" s="191"/>
      <c r="BA466" s="191"/>
      <c r="BB466" s="191"/>
      <c r="BC466" s="191"/>
      <c r="BD466" s="191"/>
      <c r="BE466" s="191"/>
      <c r="BF466" s="191"/>
      <c r="BG466" s="191"/>
      <c r="BH466" s="191"/>
      <c r="BI466" s="191"/>
      <c r="BJ466" s="191"/>
      <c r="BK466" s="191"/>
      <c r="BL466" s="191"/>
      <c r="BM466" s="191"/>
      <c r="BN466" s="191"/>
      <c r="BO466" s="191"/>
      <c r="BP466" s="191"/>
      <c r="BQ466" s="191"/>
    </row>
    <row r="467" spans="11:69">
      <c r="K467" s="191"/>
      <c r="L467" s="191"/>
      <c r="M467" s="191"/>
      <c r="N467" s="191"/>
      <c r="O467" s="191"/>
      <c r="P467" s="191"/>
      <c r="Q467" s="191"/>
      <c r="R467" s="191"/>
      <c r="S467" s="191"/>
      <c r="T467" s="191"/>
      <c r="U467" s="191"/>
      <c r="V467" s="191"/>
      <c r="W467" s="191"/>
      <c r="X467" s="191"/>
      <c r="Y467" s="191"/>
      <c r="Z467" s="191"/>
      <c r="AA467" s="191"/>
      <c r="AB467" s="191"/>
      <c r="AC467" s="191"/>
      <c r="AD467" s="191"/>
      <c r="AE467" s="191"/>
      <c r="AF467" s="191"/>
      <c r="AG467" s="191"/>
      <c r="AH467" s="191"/>
      <c r="AI467" s="191"/>
      <c r="AJ467" s="191"/>
      <c r="AK467" s="191"/>
      <c r="AL467" s="191"/>
      <c r="AM467" s="191"/>
      <c r="AN467" s="191"/>
      <c r="AO467" s="191"/>
      <c r="AP467" s="191"/>
      <c r="AQ467" s="191"/>
      <c r="AR467" s="191"/>
      <c r="AS467" s="191"/>
      <c r="AT467" s="191"/>
      <c r="AU467" s="191"/>
      <c r="AV467" s="191"/>
      <c r="AW467" s="191"/>
      <c r="AX467" s="191"/>
      <c r="AY467" s="191"/>
      <c r="AZ467" s="191"/>
      <c r="BA467" s="191"/>
      <c r="BB467" s="191"/>
      <c r="BC467" s="191"/>
      <c r="BD467" s="191"/>
      <c r="BE467" s="191"/>
      <c r="BF467" s="191"/>
      <c r="BG467" s="191"/>
      <c r="BH467" s="191"/>
      <c r="BI467" s="191"/>
      <c r="BJ467" s="191"/>
      <c r="BK467" s="191"/>
      <c r="BL467" s="191"/>
      <c r="BM467" s="191"/>
      <c r="BN467" s="191"/>
      <c r="BO467" s="191"/>
      <c r="BP467" s="191"/>
      <c r="BQ467" s="191"/>
    </row>
    <row r="468" spans="11:69">
      <c r="K468" s="191"/>
      <c r="L468" s="191"/>
      <c r="M468" s="191"/>
      <c r="N468" s="191"/>
      <c r="O468" s="191"/>
      <c r="P468" s="191"/>
      <c r="Q468" s="191"/>
      <c r="R468" s="191"/>
      <c r="S468" s="191"/>
      <c r="T468" s="191"/>
      <c r="U468" s="191"/>
      <c r="V468" s="191"/>
      <c r="W468" s="191"/>
      <c r="X468" s="191"/>
      <c r="Y468" s="191"/>
      <c r="Z468" s="191"/>
      <c r="AA468" s="191"/>
      <c r="AB468" s="191"/>
      <c r="AC468" s="191"/>
      <c r="AD468" s="191"/>
      <c r="AE468" s="191"/>
      <c r="AF468" s="191"/>
      <c r="AG468" s="191"/>
      <c r="AH468" s="191"/>
      <c r="AI468" s="191"/>
      <c r="AJ468" s="191"/>
      <c r="AK468" s="191"/>
      <c r="AL468" s="191"/>
      <c r="AM468" s="191"/>
      <c r="AN468" s="191"/>
      <c r="AO468" s="191"/>
      <c r="AP468" s="191"/>
      <c r="AQ468" s="191"/>
      <c r="AR468" s="191"/>
      <c r="AS468" s="191"/>
      <c r="AT468" s="191"/>
      <c r="AU468" s="191"/>
      <c r="AV468" s="191"/>
      <c r="AW468" s="191"/>
      <c r="AX468" s="191"/>
      <c r="AY468" s="191"/>
      <c r="AZ468" s="191"/>
      <c r="BA468" s="191"/>
      <c r="BB468" s="191"/>
      <c r="BC468" s="191"/>
      <c r="BD468" s="191"/>
      <c r="BE468" s="191"/>
      <c r="BF468" s="191"/>
      <c r="BG468" s="191"/>
      <c r="BH468" s="191"/>
      <c r="BI468" s="191"/>
      <c r="BJ468" s="191"/>
      <c r="BK468" s="191"/>
      <c r="BL468" s="191"/>
      <c r="BM468" s="191"/>
      <c r="BN468" s="191"/>
      <c r="BO468" s="191"/>
      <c r="BP468" s="191"/>
      <c r="BQ468" s="191"/>
    </row>
    <row r="469" spans="11:69">
      <c r="K469" s="191"/>
      <c r="L469" s="191"/>
      <c r="M469" s="191"/>
      <c r="N469" s="191"/>
      <c r="O469" s="191"/>
      <c r="P469" s="191"/>
      <c r="Q469" s="191"/>
      <c r="R469" s="191"/>
      <c r="S469" s="191"/>
      <c r="T469" s="191"/>
      <c r="U469" s="191"/>
      <c r="V469" s="191"/>
      <c r="W469" s="191"/>
      <c r="X469" s="191"/>
      <c r="Y469" s="191"/>
      <c r="Z469" s="191"/>
      <c r="AA469" s="191"/>
      <c r="AB469" s="191"/>
      <c r="AC469" s="191"/>
      <c r="AD469" s="191"/>
      <c r="AE469" s="191"/>
      <c r="AF469" s="191"/>
      <c r="AG469" s="191"/>
      <c r="AH469" s="191"/>
      <c r="AI469" s="191"/>
      <c r="AJ469" s="191"/>
      <c r="AK469" s="191"/>
      <c r="AL469" s="191"/>
      <c r="AM469" s="191"/>
      <c r="AN469" s="191"/>
      <c r="AO469" s="191"/>
      <c r="AP469" s="191"/>
      <c r="AQ469" s="191"/>
      <c r="AR469" s="191"/>
      <c r="AS469" s="191"/>
      <c r="AT469" s="191"/>
      <c r="AU469" s="191"/>
      <c r="AV469" s="191"/>
      <c r="AW469" s="191"/>
      <c r="AX469" s="191"/>
      <c r="AY469" s="191"/>
      <c r="AZ469" s="191"/>
      <c r="BA469" s="191"/>
      <c r="BB469" s="191"/>
      <c r="BC469" s="191"/>
      <c r="BD469" s="191"/>
      <c r="BE469" s="191"/>
      <c r="BF469" s="191"/>
      <c r="BG469" s="191"/>
      <c r="BH469" s="191"/>
      <c r="BI469" s="191"/>
      <c r="BJ469" s="191"/>
      <c r="BK469" s="191"/>
      <c r="BL469" s="191"/>
      <c r="BM469" s="191"/>
      <c r="BN469" s="191"/>
      <c r="BO469" s="191"/>
      <c r="BP469" s="191"/>
      <c r="BQ469" s="191"/>
    </row>
    <row r="470" spans="11:69">
      <c r="K470" s="191"/>
      <c r="L470" s="191"/>
      <c r="M470" s="191"/>
      <c r="N470" s="191"/>
      <c r="O470" s="191"/>
      <c r="P470" s="191"/>
      <c r="Q470" s="191"/>
      <c r="R470" s="191"/>
      <c r="S470" s="191"/>
      <c r="T470" s="191"/>
      <c r="U470" s="191"/>
      <c r="V470" s="191"/>
      <c r="W470" s="191"/>
      <c r="X470" s="191"/>
      <c r="Y470" s="191"/>
      <c r="Z470" s="191"/>
      <c r="AA470" s="191"/>
      <c r="AB470" s="191"/>
      <c r="AC470" s="191"/>
      <c r="AD470" s="191"/>
      <c r="AE470" s="191"/>
      <c r="AF470" s="191"/>
      <c r="AG470" s="191"/>
      <c r="AH470" s="191"/>
      <c r="AI470" s="191"/>
      <c r="AJ470" s="191"/>
      <c r="AK470" s="191"/>
      <c r="AL470" s="191"/>
      <c r="AM470" s="191"/>
      <c r="AN470" s="191"/>
      <c r="AO470" s="191"/>
      <c r="AP470" s="191"/>
      <c r="AQ470" s="191"/>
      <c r="AR470" s="191"/>
      <c r="AS470" s="191"/>
      <c r="AT470" s="191"/>
      <c r="AU470" s="191"/>
      <c r="AV470" s="191"/>
      <c r="AW470" s="191"/>
      <c r="AX470" s="191"/>
      <c r="AY470" s="191"/>
      <c r="AZ470" s="191"/>
      <c r="BA470" s="191"/>
      <c r="BB470" s="191"/>
      <c r="BC470" s="191"/>
      <c r="BD470" s="191"/>
      <c r="BE470" s="191"/>
      <c r="BF470" s="191"/>
      <c r="BG470" s="191"/>
      <c r="BH470" s="191"/>
      <c r="BI470" s="191"/>
      <c r="BJ470" s="191"/>
      <c r="BK470" s="191"/>
      <c r="BL470" s="191"/>
      <c r="BM470" s="191"/>
      <c r="BN470" s="191"/>
      <c r="BO470" s="191"/>
      <c r="BP470" s="191"/>
      <c r="BQ470" s="191"/>
    </row>
    <row r="471" spans="11:69">
      <c r="K471" s="191"/>
      <c r="L471" s="191"/>
      <c r="M471" s="191"/>
      <c r="N471" s="191"/>
      <c r="O471" s="191"/>
      <c r="P471" s="191"/>
      <c r="Q471" s="191"/>
      <c r="R471" s="191"/>
      <c r="S471" s="191"/>
      <c r="T471" s="191"/>
      <c r="U471" s="191"/>
      <c r="V471" s="191"/>
      <c r="W471" s="191"/>
      <c r="X471" s="191"/>
      <c r="Y471" s="191"/>
      <c r="Z471" s="191"/>
      <c r="AA471" s="191"/>
      <c r="AB471" s="191"/>
      <c r="AC471" s="191"/>
      <c r="AD471" s="191"/>
      <c r="AE471" s="191"/>
      <c r="AF471" s="191"/>
      <c r="AG471" s="191"/>
      <c r="AH471" s="191"/>
      <c r="AI471" s="191"/>
      <c r="AJ471" s="191"/>
      <c r="AK471" s="191"/>
      <c r="AL471" s="191"/>
      <c r="AM471" s="191"/>
      <c r="AN471" s="191"/>
      <c r="AO471" s="191"/>
      <c r="AP471" s="191"/>
      <c r="AQ471" s="191"/>
      <c r="AR471" s="191"/>
      <c r="AS471" s="191"/>
      <c r="AT471" s="191"/>
      <c r="AU471" s="191"/>
      <c r="AV471" s="191"/>
      <c r="AW471" s="191"/>
      <c r="AX471" s="191"/>
      <c r="AY471" s="191"/>
      <c r="AZ471" s="191"/>
      <c r="BA471" s="191"/>
      <c r="BB471" s="191"/>
      <c r="BC471" s="191"/>
      <c r="BD471" s="191"/>
      <c r="BE471" s="191"/>
      <c r="BF471" s="191"/>
      <c r="BG471" s="191"/>
      <c r="BH471" s="191"/>
      <c r="BI471" s="191"/>
      <c r="BJ471" s="191"/>
      <c r="BK471" s="191"/>
      <c r="BL471" s="191"/>
      <c r="BM471" s="191"/>
      <c r="BN471" s="191"/>
      <c r="BO471" s="191"/>
      <c r="BP471" s="191"/>
      <c r="BQ471" s="191"/>
    </row>
    <row r="472" spans="11:69">
      <c r="K472" s="191"/>
      <c r="L472" s="191"/>
      <c r="M472" s="191"/>
      <c r="N472" s="191"/>
      <c r="O472" s="191"/>
      <c r="P472" s="191"/>
      <c r="Q472" s="191"/>
      <c r="R472" s="191"/>
      <c r="S472" s="191"/>
      <c r="T472" s="191"/>
      <c r="U472" s="191"/>
      <c r="V472" s="191"/>
      <c r="W472" s="191"/>
      <c r="X472" s="191"/>
      <c r="Y472" s="191"/>
      <c r="Z472" s="191"/>
      <c r="AA472" s="191"/>
      <c r="AB472" s="191"/>
      <c r="AC472" s="191"/>
      <c r="AD472" s="191"/>
      <c r="AE472" s="191"/>
      <c r="AF472" s="191"/>
      <c r="AG472" s="191"/>
      <c r="AH472" s="191"/>
      <c r="AI472" s="191"/>
      <c r="AJ472" s="191"/>
      <c r="AK472" s="191"/>
      <c r="AL472" s="191"/>
      <c r="AM472" s="191"/>
      <c r="AN472" s="191"/>
      <c r="AO472" s="191"/>
      <c r="AP472" s="191"/>
      <c r="AQ472" s="191"/>
      <c r="AR472" s="191"/>
      <c r="AS472" s="191"/>
      <c r="AT472" s="191"/>
      <c r="AU472" s="191"/>
      <c r="AV472" s="191"/>
      <c r="AW472" s="191"/>
      <c r="AX472" s="191"/>
      <c r="AY472" s="191"/>
      <c r="AZ472" s="191"/>
      <c r="BA472" s="191"/>
      <c r="BB472" s="191"/>
      <c r="BC472" s="191"/>
      <c r="BD472" s="191"/>
      <c r="BE472" s="191"/>
      <c r="BF472" s="191"/>
      <c r="BG472" s="191"/>
      <c r="BH472" s="191"/>
      <c r="BI472" s="191"/>
      <c r="BJ472" s="191"/>
      <c r="BK472" s="191"/>
      <c r="BL472" s="191"/>
      <c r="BM472" s="191"/>
      <c r="BN472" s="191"/>
      <c r="BO472" s="191"/>
      <c r="BP472" s="191"/>
      <c r="BQ472" s="191"/>
    </row>
    <row r="473" spans="11:69">
      <c r="K473" s="191"/>
      <c r="L473" s="191"/>
      <c r="M473" s="191"/>
      <c r="N473" s="191"/>
      <c r="O473" s="191"/>
      <c r="P473" s="191"/>
      <c r="Q473" s="191"/>
      <c r="R473" s="191"/>
      <c r="S473" s="191"/>
      <c r="T473" s="191"/>
      <c r="U473" s="191"/>
      <c r="V473" s="191"/>
      <c r="W473" s="191"/>
      <c r="X473" s="191"/>
      <c r="Y473" s="191"/>
      <c r="Z473" s="191"/>
      <c r="AA473" s="191"/>
      <c r="AB473" s="191"/>
      <c r="AC473" s="191"/>
      <c r="AD473" s="191"/>
      <c r="AE473" s="191"/>
      <c r="AF473" s="191"/>
      <c r="AG473" s="191"/>
      <c r="AH473" s="191"/>
      <c r="AI473" s="191"/>
      <c r="AJ473" s="191"/>
      <c r="AK473" s="191"/>
      <c r="AL473" s="191"/>
      <c r="AM473" s="191"/>
      <c r="AN473" s="191"/>
      <c r="AO473" s="191"/>
      <c r="AP473" s="191"/>
      <c r="AQ473" s="191"/>
      <c r="AR473" s="191"/>
      <c r="AS473" s="191"/>
      <c r="AT473" s="191"/>
      <c r="AU473" s="191"/>
      <c r="AV473" s="191"/>
      <c r="AW473" s="191"/>
      <c r="AX473" s="191"/>
      <c r="AY473" s="191"/>
      <c r="AZ473" s="191"/>
      <c r="BA473" s="191"/>
      <c r="BB473" s="191"/>
      <c r="BC473" s="191"/>
      <c r="BD473" s="191"/>
      <c r="BE473" s="191"/>
      <c r="BF473" s="191"/>
      <c r="BG473" s="191"/>
      <c r="BH473" s="191"/>
      <c r="BI473" s="191"/>
      <c r="BJ473" s="191"/>
      <c r="BK473" s="191"/>
      <c r="BL473" s="191"/>
      <c r="BM473" s="191"/>
      <c r="BN473" s="191"/>
      <c r="BO473" s="191"/>
      <c r="BP473" s="191"/>
      <c r="BQ473" s="191"/>
    </row>
    <row r="474" spans="11:69">
      <c r="K474" s="191"/>
      <c r="L474" s="191"/>
      <c r="M474" s="191"/>
      <c r="N474" s="191"/>
      <c r="O474" s="191"/>
      <c r="P474" s="191"/>
      <c r="Q474" s="191"/>
      <c r="R474" s="191"/>
      <c r="S474" s="191"/>
      <c r="T474" s="191"/>
      <c r="U474" s="191"/>
      <c r="V474" s="191"/>
      <c r="W474" s="191"/>
      <c r="X474" s="191"/>
      <c r="Y474" s="191"/>
      <c r="Z474" s="191"/>
      <c r="AA474" s="191"/>
      <c r="AB474" s="191"/>
      <c r="AC474" s="191"/>
      <c r="AD474" s="191"/>
      <c r="AE474" s="191"/>
      <c r="AF474" s="191"/>
      <c r="AG474" s="191"/>
      <c r="AH474" s="191"/>
      <c r="AI474" s="191"/>
      <c r="AJ474" s="191"/>
      <c r="AK474" s="191"/>
      <c r="AL474" s="191"/>
      <c r="AM474" s="191"/>
      <c r="AN474" s="191"/>
      <c r="AO474" s="191"/>
      <c r="AP474" s="191"/>
      <c r="AQ474" s="191"/>
      <c r="AR474" s="191"/>
      <c r="AS474" s="191"/>
      <c r="AT474" s="191"/>
      <c r="AU474" s="191"/>
      <c r="AV474" s="191"/>
      <c r="AW474" s="191"/>
      <c r="AX474" s="191"/>
      <c r="AY474" s="191"/>
      <c r="AZ474" s="191"/>
      <c r="BA474" s="191"/>
      <c r="BB474" s="191"/>
      <c r="BC474" s="191"/>
      <c r="BD474" s="191"/>
      <c r="BE474" s="191"/>
      <c r="BF474" s="191"/>
      <c r="BG474" s="191"/>
      <c r="BH474" s="191"/>
      <c r="BI474" s="191"/>
      <c r="BJ474" s="191"/>
      <c r="BK474" s="191"/>
      <c r="BL474" s="191"/>
      <c r="BM474" s="191"/>
      <c r="BN474" s="191"/>
      <c r="BO474" s="191"/>
      <c r="BP474" s="191"/>
      <c r="BQ474" s="191"/>
    </row>
    <row r="475" spans="11:69">
      <c r="K475" s="191"/>
      <c r="L475" s="191"/>
      <c r="M475" s="191"/>
      <c r="N475" s="191"/>
      <c r="O475" s="191"/>
      <c r="P475" s="191"/>
      <c r="Q475" s="191"/>
      <c r="R475" s="191"/>
      <c r="S475" s="191"/>
      <c r="T475" s="191"/>
      <c r="U475" s="191"/>
      <c r="V475" s="191"/>
      <c r="W475" s="191"/>
      <c r="X475" s="191"/>
      <c r="Y475" s="191"/>
      <c r="Z475" s="191"/>
      <c r="AA475" s="191"/>
      <c r="AB475" s="191"/>
      <c r="AC475" s="191"/>
      <c r="AD475" s="191"/>
      <c r="AE475" s="191"/>
      <c r="AF475" s="191"/>
      <c r="AG475" s="191"/>
      <c r="AH475" s="191"/>
      <c r="AI475" s="191"/>
      <c r="AJ475" s="191"/>
      <c r="AK475" s="191"/>
      <c r="AL475" s="191"/>
      <c r="AM475" s="191"/>
      <c r="AN475" s="191"/>
      <c r="AO475" s="191"/>
      <c r="AP475" s="191"/>
      <c r="AQ475" s="191"/>
      <c r="AR475" s="191"/>
      <c r="AS475" s="191"/>
      <c r="AT475" s="191"/>
      <c r="AU475" s="191"/>
      <c r="AV475" s="191"/>
      <c r="AW475" s="191"/>
      <c r="AX475" s="191"/>
      <c r="AY475" s="191"/>
      <c r="AZ475" s="191"/>
      <c r="BA475" s="191"/>
      <c r="BB475" s="191"/>
      <c r="BC475" s="191"/>
      <c r="BD475" s="191"/>
      <c r="BE475" s="191"/>
      <c r="BF475" s="191"/>
      <c r="BG475" s="191"/>
      <c r="BH475" s="191"/>
      <c r="BI475" s="191"/>
      <c r="BJ475" s="191"/>
      <c r="BK475" s="191"/>
      <c r="BL475" s="191"/>
      <c r="BM475" s="191"/>
      <c r="BN475" s="191"/>
      <c r="BO475" s="191"/>
      <c r="BP475" s="191"/>
      <c r="BQ475" s="191"/>
    </row>
    <row r="476" spans="11:69">
      <c r="K476" s="191"/>
      <c r="L476" s="191"/>
      <c r="M476" s="191"/>
      <c r="N476" s="191"/>
      <c r="O476" s="191"/>
      <c r="P476" s="191"/>
      <c r="Q476" s="191"/>
      <c r="R476" s="191"/>
      <c r="S476" s="191"/>
      <c r="T476" s="191"/>
      <c r="U476" s="191"/>
      <c r="V476" s="191"/>
      <c r="W476" s="191"/>
      <c r="X476" s="191"/>
      <c r="Y476" s="191"/>
      <c r="Z476" s="191"/>
      <c r="AA476" s="191"/>
      <c r="AB476" s="191"/>
      <c r="AC476" s="191"/>
      <c r="AD476" s="191"/>
      <c r="AE476" s="191"/>
      <c r="AF476" s="191"/>
      <c r="AG476" s="191"/>
      <c r="AH476" s="191"/>
      <c r="AI476" s="191"/>
      <c r="AJ476" s="191"/>
      <c r="AK476" s="191"/>
      <c r="AL476" s="191"/>
      <c r="AM476" s="191"/>
      <c r="AN476" s="191"/>
      <c r="AO476" s="191"/>
      <c r="AP476" s="191"/>
      <c r="AQ476" s="191"/>
      <c r="AR476" s="191"/>
      <c r="AS476" s="191"/>
      <c r="AT476" s="191"/>
      <c r="AU476" s="191"/>
      <c r="AV476" s="191"/>
      <c r="AW476" s="191"/>
      <c r="AX476" s="191"/>
      <c r="AY476" s="191"/>
      <c r="AZ476" s="191"/>
      <c r="BA476" s="191"/>
      <c r="BB476" s="191"/>
      <c r="BC476" s="191"/>
      <c r="BD476" s="191"/>
      <c r="BE476" s="191"/>
      <c r="BF476" s="191"/>
      <c r="BG476" s="191"/>
      <c r="BH476" s="191"/>
      <c r="BI476" s="191"/>
      <c r="BJ476" s="191"/>
      <c r="BK476" s="191"/>
      <c r="BL476" s="191"/>
      <c r="BM476" s="191"/>
      <c r="BN476" s="191"/>
      <c r="BO476" s="191"/>
      <c r="BP476" s="191"/>
      <c r="BQ476" s="191"/>
    </row>
    <row r="477" spans="11:69">
      <c r="K477" s="191"/>
      <c r="L477" s="191"/>
      <c r="M477" s="191"/>
      <c r="N477" s="191"/>
      <c r="O477" s="191"/>
      <c r="P477" s="191"/>
      <c r="Q477" s="191"/>
      <c r="R477" s="191"/>
      <c r="S477" s="191"/>
      <c r="T477" s="191"/>
      <c r="U477" s="191"/>
      <c r="V477" s="191"/>
      <c r="W477" s="191"/>
      <c r="X477" s="191"/>
      <c r="Y477" s="191"/>
      <c r="Z477" s="191"/>
      <c r="AA477" s="191"/>
      <c r="AB477" s="191"/>
      <c r="AC477" s="191"/>
      <c r="AD477" s="191"/>
      <c r="AE477" s="191"/>
      <c r="AF477" s="191"/>
      <c r="AG477" s="191"/>
      <c r="AH477" s="191"/>
      <c r="AI477" s="191"/>
      <c r="AJ477" s="191"/>
      <c r="AK477" s="191"/>
      <c r="AL477" s="191"/>
      <c r="AM477" s="191"/>
      <c r="AN477" s="191"/>
      <c r="AO477" s="191"/>
      <c r="AP477" s="191"/>
      <c r="AQ477" s="191"/>
      <c r="AR477" s="191"/>
      <c r="AS477" s="191"/>
      <c r="AT477" s="191"/>
      <c r="AU477" s="191"/>
      <c r="AV477" s="191"/>
      <c r="AW477" s="191"/>
      <c r="AX477" s="191"/>
      <c r="AY477" s="191"/>
      <c r="AZ477" s="191"/>
      <c r="BA477" s="191"/>
      <c r="BB477" s="191"/>
      <c r="BC477" s="191"/>
      <c r="BD477" s="191"/>
      <c r="BE477" s="191"/>
      <c r="BF477" s="191"/>
      <c r="BG477" s="191"/>
      <c r="BH477" s="191"/>
      <c r="BI477" s="191"/>
      <c r="BJ477" s="191"/>
      <c r="BK477" s="191"/>
      <c r="BL477" s="191"/>
      <c r="BM477" s="191"/>
      <c r="BN477" s="191"/>
      <c r="BO477" s="191"/>
      <c r="BP477" s="191"/>
      <c r="BQ477" s="191"/>
    </row>
    <row r="478" spans="11:69">
      <c r="K478" s="191"/>
      <c r="L478" s="191"/>
      <c r="M478" s="191"/>
      <c r="N478" s="191"/>
      <c r="O478" s="191"/>
      <c r="P478" s="191"/>
      <c r="Q478" s="191"/>
      <c r="R478" s="191"/>
      <c r="S478" s="191"/>
      <c r="T478" s="191"/>
      <c r="U478" s="191"/>
      <c r="V478" s="191"/>
      <c r="W478" s="191"/>
      <c r="X478" s="191"/>
      <c r="Y478" s="191"/>
      <c r="Z478" s="191"/>
      <c r="AA478" s="191"/>
      <c r="AB478" s="191"/>
      <c r="AC478" s="191"/>
      <c r="AD478" s="191"/>
      <c r="AE478" s="191"/>
      <c r="AF478" s="191"/>
      <c r="AG478" s="191"/>
      <c r="AH478" s="191"/>
      <c r="AI478" s="191"/>
      <c r="AJ478" s="191"/>
      <c r="AK478" s="191"/>
      <c r="AL478" s="191"/>
      <c r="AM478" s="191"/>
      <c r="AN478" s="191"/>
      <c r="AO478" s="191"/>
      <c r="AP478" s="191"/>
      <c r="AQ478" s="191"/>
      <c r="AR478" s="191"/>
      <c r="AS478" s="191"/>
      <c r="AT478" s="191"/>
      <c r="AU478" s="191"/>
      <c r="AV478" s="191"/>
      <c r="AW478" s="191"/>
      <c r="AX478" s="191"/>
      <c r="AY478" s="191"/>
      <c r="AZ478" s="191"/>
      <c r="BA478" s="191"/>
      <c r="BB478" s="191"/>
      <c r="BC478" s="191"/>
      <c r="BD478" s="191"/>
      <c r="BE478" s="191"/>
      <c r="BF478" s="191"/>
      <c r="BG478" s="191"/>
      <c r="BH478" s="191"/>
      <c r="BI478" s="191"/>
      <c r="BJ478" s="191"/>
      <c r="BK478" s="191"/>
      <c r="BL478" s="191"/>
      <c r="BM478" s="191"/>
      <c r="BN478" s="191"/>
      <c r="BO478" s="191"/>
      <c r="BP478" s="191"/>
      <c r="BQ478" s="191"/>
    </row>
    <row r="479" spans="11:69">
      <c r="K479" s="191"/>
      <c r="L479" s="191"/>
      <c r="M479" s="191"/>
      <c r="N479" s="191"/>
      <c r="O479" s="191"/>
      <c r="P479" s="191"/>
      <c r="Q479" s="191"/>
      <c r="R479" s="191"/>
      <c r="S479" s="191"/>
      <c r="T479" s="191"/>
      <c r="U479" s="191"/>
      <c r="V479" s="191"/>
      <c r="W479" s="191"/>
      <c r="X479" s="191"/>
      <c r="Y479" s="191"/>
      <c r="Z479" s="191"/>
      <c r="AA479" s="191"/>
      <c r="AB479" s="191"/>
      <c r="AC479" s="191"/>
      <c r="AD479" s="191"/>
      <c r="AE479" s="191"/>
      <c r="AF479" s="191"/>
      <c r="AG479" s="191"/>
      <c r="AH479" s="191"/>
      <c r="AI479" s="191"/>
      <c r="AJ479" s="191"/>
      <c r="AK479" s="191"/>
      <c r="AL479" s="191"/>
      <c r="AM479" s="191"/>
      <c r="AN479" s="191"/>
      <c r="AO479" s="191"/>
      <c r="AP479" s="191"/>
      <c r="AQ479" s="191"/>
      <c r="AR479" s="191"/>
      <c r="AS479" s="191"/>
      <c r="AT479" s="191"/>
      <c r="AU479" s="191"/>
      <c r="AV479" s="191"/>
      <c r="AW479" s="191"/>
      <c r="AX479" s="191"/>
      <c r="AY479" s="191"/>
      <c r="AZ479" s="191"/>
      <c r="BA479" s="191"/>
      <c r="BB479" s="191"/>
      <c r="BC479" s="191"/>
      <c r="BD479" s="191"/>
      <c r="BE479" s="191"/>
      <c r="BF479" s="191"/>
      <c r="BG479" s="191"/>
      <c r="BH479" s="191"/>
      <c r="BI479" s="191"/>
      <c r="BJ479" s="191"/>
      <c r="BK479" s="191"/>
      <c r="BL479" s="191"/>
      <c r="BM479" s="191"/>
      <c r="BN479" s="191"/>
      <c r="BO479" s="191"/>
      <c r="BP479" s="191"/>
      <c r="BQ479" s="191"/>
    </row>
    <row r="480" spans="11:69">
      <c r="K480" s="191"/>
      <c r="L480" s="191"/>
      <c r="M480" s="191"/>
      <c r="N480" s="191"/>
      <c r="O480" s="191"/>
      <c r="P480" s="191"/>
      <c r="Q480" s="191"/>
      <c r="R480" s="191"/>
      <c r="S480" s="191"/>
      <c r="T480" s="191"/>
      <c r="U480" s="191"/>
      <c r="V480" s="191"/>
      <c r="W480" s="191"/>
      <c r="X480" s="191"/>
      <c r="Y480" s="191"/>
      <c r="Z480" s="191"/>
      <c r="AA480" s="191"/>
      <c r="AB480" s="191"/>
      <c r="AC480" s="191"/>
      <c r="AD480" s="191"/>
      <c r="AE480" s="191"/>
      <c r="AF480" s="191"/>
      <c r="AG480" s="191"/>
      <c r="AH480" s="191"/>
      <c r="AI480" s="191"/>
      <c r="AJ480" s="191"/>
      <c r="AK480" s="191"/>
      <c r="AL480" s="191"/>
      <c r="AM480" s="191"/>
      <c r="AN480" s="191"/>
      <c r="AO480" s="191"/>
      <c r="AP480" s="191"/>
      <c r="AQ480" s="191"/>
      <c r="AR480" s="191"/>
      <c r="AS480" s="191"/>
      <c r="AT480" s="191"/>
      <c r="AU480" s="191"/>
      <c r="AV480" s="191"/>
      <c r="AW480" s="191"/>
      <c r="AX480" s="191"/>
      <c r="AY480" s="191"/>
      <c r="AZ480" s="191"/>
      <c r="BA480" s="191"/>
      <c r="BB480" s="191"/>
      <c r="BC480" s="191"/>
      <c r="BD480" s="191"/>
      <c r="BE480" s="191"/>
      <c r="BF480" s="191"/>
      <c r="BG480" s="191"/>
      <c r="BH480" s="191"/>
      <c r="BI480" s="191"/>
      <c r="BJ480" s="191"/>
      <c r="BK480" s="191"/>
      <c r="BL480" s="191"/>
      <c r="BM480" s="191"/>
      <c r="BN480" s="191"/>
      <c r="BO480" s="191"/>
      <c r="BP480" s="191"/>
      <c r="BQ480" s="191"/>
    </row>
    <row r="481" spans="11:69">
      <c r="K481" s="191"/>
      <c r="L481" s="191"/>
      <c r="M481" s="191"/>
      <c r="N481" s="191"/>
      <c r="O481" s="191"/>
      <c r="P481" s="191"/>
      <c r="Q481" s="191"/>
      <c r="R481" s="191"/>
      <c r="S481" s="191"/>
      <c r="T481" s="191"/>
      <c r="U481" s="191"/>
      <c r="V481" s="191"/>
      <c r="W481" s="191"/>
      <c r="X481" s="191"/>
      <c r="Y481" s="191"/>
      <c r="Z481" s="191"/>
      <c r="AA481" s="191"/>
      <c r="AB481" s="191"/>
      <c r="AC481" s="191"/>
      <c r="AD481" s="191"/>
      <c r="AE481" s="191"/>
      <c r="AF481" s="191"/>
      <c r="AG481" s="191"/>
      <c r="AH481" s="191"/>
      <c r="AI481" s="191"/>
      <c r="AJ481" s="191"/>
      <c r="AK481" s="191"/>
      <c r="AL481" s="191"/>
      <c r="AM481" s="191"/>
      <c r="AN481" s="191"/>
      <c r="AO481" s="191"/>
      <c r="AP481" s="191"/>
      <c r="AQ481" s="191"/>
      <c r="AR481" s="191"/>
      <c r="AS481" s="191"/>
      <c r="AT481" s="191"/>
      <c r="AU481" s="191"/>
      <c r="AV481" s="191"/>
      <c r="AW481" s="191"/>
      <c r="AX481" s="191"/>
      <c r="AY481" s="191"/>
      <c r="AZ481" s="191"/>
      <c r="BA481" s="191"/>
      <c r="BB481" s="191"/>
      <c r="BC481" s="191"/>
      <c r="BD481" s="191"/>
      <c r="BE481" s="191"/>
      <c r="BF481" s="191"/>
      <c r="BG481" s="191"/>
      <c r="BH481" s="191"/>
      <c r="BI481" s="191"/>
      <c r="BJ481" s="191"/>
      <c r="BK481" s="191"/>
      <c r="BL481" s="191"/>
      <c r="BM481" s="191"/>
      <c r="BN481" s="191"/>
      <c r="BO481" s="191"/>
      <c r="BP481" s="191"/>
      <c r="BQ481" s="191"/>
    </row>
    <row r="482" spans="11:69">
      <c r="K482" s="191"/>
      <c r="L482" s="191"/>
      <c r="M482" s="191"/>
      <c r="N482" s="191"/>
      <c r="O482" s="191"/>
      <c r="P482" s="191"/>
      <c r="Q482" s="191"/>
      <c r="R482" s="191"/>
      <c r="S482" s="191"/>
      <c r="T482" s="191"/>
      <c r="U482" s="191"/>
      <c r="V482" s="191"/>
      <c r="W482" s="191"/>
      <c r="X482" s="191"/>
      <c r="Y482" s="191"/>
      <c r="Z482" s="191"/>
      <c r="AA482" s="191"/>
      <c r="AB482" s="191"/>
      <c r="AC482" s="191"/>
      <c r="AD482" s="191"/>
      <c r="AE482" s="191"/>
      <c r="AF482" s="191"/>
      <c r="AG482" s="191"/>
      <c r="AH482" s="191"/>
      <c r="AI482" s="191"/>
      <c r="AJ482" s="191"/>
      <c r="AK482" s="191"/>
      <c r="AL482" s="191"/>
      <c r="AM482" s="191"/>
      <c r="AN482" s="191"/>
      <c r="AO482" s="191"/>
      <c r="AP482" s="191"/>
      <c r="AQ482" s="191"/>
      <c r="AR482" s="191"/>
      <c r="AS482" s="191"/>
      <c r="AT482" s="191"/>
      <c r="AU482" s="191"/>
      <c r="AV482" s="191"/>
      <c r="AW482" s="191"/>
      <c r="AX482" s="191"/>
      <c r="AY482" s="191"/>
      <c r="AZ482" s="191"/>
      <c r="BA482" s="191"/>
      <c r="BB482" s="191"/>
      <c r="BC482" s="191"/>
      <c r="BD482" s="191"/>
      <c r="BE482" s="191"/>
      <c r="BF482" s="191"/>
      <c r="BG482" s="191"/>
      <c r="BH482" s="191"/>
      <c r="BI482" s="191"/>
      <c r="BJ482" s="191"/>
      <c r="BK482" s="191"/>
      <c r="BL482" s="191"/>
      <c r="BM482" s="191"/>
      <c r="BN482" s="191"/>
      <c r="BO482" s="191"/>
      <c r="BP482" s="191"/>
      <c r="BQ482" s="191"/>
    </row>
    <row r="483" spans="11:69">
      <c r="K483" s="191"/>
      <c r="L483" s="191"/>
      <c r="M483" s="191"/>
      <c r="N483" s="191"/>
      <c r="O483" s="191"/>
      <c r="P483" s="191"/>
      <c r="Q483" s="191"/>
      <c r="R483" s="191"/>
      <c r="S483" s="191"/>
      <c r="T483" s="191"/>
      <c r="U483" s="191"/>
      <c r="V483" s="191"/>
      <c r="W483" s="191"/>
      <c r="X483" s="191"/>
      <c r="Y483" s="191"/>
      <c r="Z483" s="191"/>
      <c r="AA483" s="191"/>
      <c r="AB483" s="191"/>
      <c r="AC483" s="191"/>
      <c r="AD483" s="191"/>
      <c r="AE483" s="191"/>
      <c r="AF483" s="191"/>
      <c r="AG483" s="191"/>
      <c r="AH483" s="191"/>
      <c r="AI483" s="191"/>
      <c r="AJ483" s="191"/>
      <c r="AK483" s="191"/>
      <c r="AL483" s="191"/>
      <c r="AM483" s="191"/>
      <c r="AN483" s="191"/>
      <c r="AO483" s="191"/>
      <c r="AP483" s="191"/>
      <c r="AQ483" s="191"/>
      <c r="AR483" s="191"/>
      <c r="AS483" s="191"/>
      <c r="AT483" s="191"/>
      <c r="AU483" s="191"/>
      <c r="AV483" s="191"/>
      <c r="AW483" s="191"/>
      <c r="AX483" s="191"/>
      <c r="AY483" s="191"/>
      <c r="AZ483" s="191"/>
      <c r="BA483" s="191"/>
      <c r="BB483" s="191"/>
      <c r="BC483" s="191"/>
      <c r="BD483" s="191"/>
      <c r="BE483" s="191"/>
      <c r="BF483" s="191"/>
      <c r="BG483" s="191"/>
      <c r="BH483" s="191"/>
      <c r="BI483" s="191"/>
      <c r="BJ483" s="191"/>
      <c r="BK483" s="191"/>
      <c r="BL483" s="191"/>
      <c r="BM483" s="191"/>
      <c r="BN483" s="191"/>
      <c r="BO483" s="191"/>
      <c r="BP483" s="191"/>
      <c r="BQ483" s="191"/>
    </row>
    <row r="484" spans="11:69">
      <c r="K484" s="191"/>
      <c r="L484" s="191"/>
      <c r="M484" s="191"/>
      <c r="N484" s="191"/>
      <c r="O484" s="191"/>
      <c r="P484" s="191"/>
      <c r="Q484" s="191"/>
      <c r="R484" s="191"/>
      <c r="S484" s="191"/>
      <c r="T484" s="191"/>
      <c r="U484" s="191"/>
      <c r="V484" s="191"/>
      <c r="W484" s="191"/>
      <c r="X484" s="191"/>
      <c r="Y484" s="191"/>
      <c r="Z484" s="191"/>
      <c r="AA484" s="191"/>
      <c r="AB484" s="191"/>
      <c r="AC484" s="191"/>
      <c r="AD484" s="191"/>
      <c r="AE484" s="191"/>
      <c r="AF484" s="191"/>
      <c r="AG484" s="191"/>
      <c r="AH484" s="191"/>
      <c r="AI484" s="191"/>
      <c r="AJ484" s="191"/>
      <c r="AK484" s="191"/>
      <c r="AL484" s="191"/>
      <c r="AM484" s="191"/>
      <c r="AN484" s="191"/>
      <c r="AO484" s="191"/>
      <c r="AP484" s="191"/>
      <c r="AQ484" s="191"/>
      <c r="AR484" s="191"/>
      <c r="AS484" s="191"/>
      <c r="AT484" s="191"/>
      <c r="AU484" s="191"/>
      <c r="AV484" s="191"/>
      <c r="AW484" s="191"/>
      <c r="AX484" s="191"/>
      <c r="AY484" s="191"/>
      <c r="AZ484" s="191"/>
      <c r="BA484" s="191"/>
      <c r="BB484" s="191"/>
      <c r="BC484" s="191"/>
      <c r="BD484" s="191"/>
      <c r="BE484" s="191"/>
      <c r="BF484" s="191"/>
      <c r="BG484" s="191"/>
      <c r="BH484" s="191"/>
      <c r="BI484" s="191"/>
      <c r="BJ484" s="191"/>
      <c r="BK484" s="191"/>
      <c r="BL484" s="191"/>
      <c r="BM484" s="191"/>
      <c r="BN484" s="191"/>
      <c r="BO484" s="191"/>
      <c r="BP484" s="191"/>
      <c r="BQ484" s="191"/>
    </row>
    <row r="485" spans="11:69">
      <c r="K485" s="191"/>
      <c r="L485" s="191"/>
      <c r="M485" s="191"/>
      <c r="N485" s="191"/>
      <c r="O485" s="191"/>
      <c r="P485" s="191"/>
      <c r="Q485" s="191"/>
      <c r="R485" s="191"/>
      <c r="S485" s="191"/>
      <c r="T485" s="191"/>
      <c r="U485" s="191"/>
      <c r="V485" s="191"/>
      <c r="W485" s="191"/>
      <c r="X485" s="191"/>
      <c r="Y485" s="191"/>
      <c r="Z485" s="191"/>
      <c r="AA485" s="191"/>
      <c r="AB485" s="191"/>
      <c r="AC485" s="191"/>
      <c r="AD485" s="191"/>
      <c r="AE485" s="191"/>
      <c r="AF485" s="191"/>
      <c r="AG485" s="191"/>
      <c r="AH485" s="191"/>
      <c r="AI485" s="191"/>
      <c r="AJ485" s="191"/>
      <c r="AK485" s="191"/>
      <c r="AL485" s="191"/>
      <c r="AM485" s="191"/>
      <c r="AN485" s="191"/>
      <c r="AO485" s="191"/>
      <c r="AP485" s="191"/>
      <c r="AQ485" s="191"/>
      <c r="AR485" s="191"/>
      <c r="AS485" s="191"/>
      <c r="AT485" s="191"/>
      <c r="AU485" s="191"/>
      <c r="AV485" s="191"/>
      <c r="AW485" s="191"/>
      <c r="AX485" s="191"/>
      <c r="AY485" s="191"/>
      <c r="AZ485" s="191"/>
      <c r="BA485" s="191"/>
      <c r="BB485" s="191"/>
      <c r="BC485" s="191"/>
      <c r="BD485" s="191"/>
      <c r="BE485" s="191"/>
      <c r="BF485" s="191"/>
      <c r="BG485" s="191"/>
      <c r="BH485" s="191"/>
      <c r="BI485" s="191"/>
      <c r="BJ485" s="191"/>
      <c r="BK485" s="191"/>
      <c r="BL485" s="191"/>
      <c r="BM485" s="191"/>
      <c r="BN485" s="191"/>
      <c r="BO485" s="191"/>
      <c r="BP485" s="191"/>
      <c r="BQ485" s="191"/>
    </row>
    <row r="486" spans="11:69">
      <c r="K486" s="191"/>
      <c r="L486" s="191"/>
      <c r="M486" s="191"/>
      <c r="N486" s="191"/>
      <c r="O486" s="191"/>
      <c r="P486" s="191"/>
      <c r="Q486" s="191"/>
      <c r="R486" s="191"/>
      <c r="S486" s="191"/>
      <c r="T486" s="191"/>
      <c r="U486" s="191"/>
      <c r="V486" s="191"/>
      <c r="W486" s="191"/>
      <c r="X486" s="191"/>
      <c r="Y486" s="191"/>
      <c r="Z486" s="191"/>
      <c r="AA486" s="191"/>
      <c r="AB486" s="191"/>
      <c r="AC486" s="191"/>
      <c r="AD486" s="191"/>
      <c r="AE486" s="191"/>
      <c r="AF486" s="191"/>
      <c r="AG486" s="191"/>
      <c r="AH486" s="191"/>
      <c r="AI486" s="191"/>
      <c r="AJ486" s="191"/>
      <c r="AK486" s="191"/>
      <c r="AL486" s="191"/>
      <c r="AM486" s="191"/>
      <c r="AN486" s="191"/>
      <c r="AO486" s="191"/>
      <c r="AP486" s="191"/>
      <c r="AQ486" s="191"/>
      <c r="AR486" s="191"/>
      <c r="AS486" s="191"/>
      <c r="AT486" s="191"/>
      <c r="AU486" s="191"/>
      <c r="AV486" s="191"/>
      <c r="AW486" s="191"/>
      <c r="AX486" s="191"/>
      <c r="AY486" s="191"/>
      <c r="AZ486" s="191"/>
      <c r="BA486" s="191"/>
      <c r="BB486" s="191"/>
      <c r="BC486" s="191"/>
      <c r="BD486" s="191"/>
      <c r="BE486" s="191"/>
      <c r="BF486" s="191"/>
      <c r="BG486" s="191"/>
      <c r="BH486" s="191"/>
      <c r="BI486" s="191"/>
      <c r="BJ486" s="191"/>
      <c r="BK486" s="191"/>
      <c r="BL486" s="191"/>
      <c r="BM486" s="191"/>
      <c r="BN486" s="191"/>
      <c r="BO486" s="191"/>
      <c r="BP486" s="191"/>
      <c r="BQ486" s="191"/>
    </row>
    <row r="487" spans="11:69">
      <c r="K487" s="191"/>
      <c r="L487" s="191"/>
      <c r="M487" s="191"/>
      <c r="N487" s="191"/>
      <c r="O487" s="191"/>
      <c r="P487" s="191"/>
      <c r="Q487" s="191"/>
      <c r="R487" s="191"/>
      <c r="S487" s="191"/>
      <c r="T487" s="191"/>
      <c r="U487" s="191"/>
      <c r="V487" s="191"/>
      <c r="W487" s="191"/>
      <c r="X487" s="191"/>
      <c r="Y487" s="191"/>
      <c r="Z487" s="191"/>
      <c r="AA487" s="191"/>
      <c r="AB487" s="191"/>
      <c r="AC487" s="191"/>
      <c r="AD487" s="191"/>
      <c r="AE487" s="191"/>
      <c r="AF487" s="191"/>
      <c r="AG487" s="191"/>
      <c r="AH487" s="191"/>
      <c r="AI487" s="191"/>
      <c r="AJ487" s="191"/>
      <c r="AK487" s="191"/>
      <c r="AL487" s="191"/>
      <c r="AM487" s="191"/>
      <c r="AN487" s="191"/>
      <c r="AO487" s="191"/>
      <c r="AP487" s="191"/>
      <c r="AQ487" s="191"/>
      <c r="AR487" s="191"/>
      <c r="AS487" s="191"/>
      <c r="AT487" s="191"/>
      <c r="AU487" s="191"/>
      <c r="AV487" s="191"/>
      <c r="AW487" s="191"/>
      <c r="AX487" s="191"/>
      <c r="AY487" s="191"/>
      <c r="AZ487" s="191"/>
      <c r="BA487" s="191"/>
      <c r="BB487" s="191"/>
      <c r="BC487" s="191"/>
      <c r="BD487" s="191"/>
      <c r="BE487" s="191"/>
      <c r="BF487" s="191"/>
      <c r="BG487" s="191"/>
      <c r="BH487" s="191"/>
      <c r="BI487" s="191"/>
      <c r="BJ487" s="191"/>
      <c r="BK487" s="191"/>
      <c r="BL487" s="191"/>
      <c r="BM487" s="191"/>
      <c r="BN487" s="191"/>
      <c r="BO487" s="191"/>
      <c r="BP487" s="191"/>
      <c r="BQ487" s="191"/>
    </row>
    <row r="488" spans="11:69">
      <c r="K488" s="191"/>
      <c r="L488" s="191"/>
      <c r="M488" s="191"/>
      <c r="N488" s="191"/>
      <c r="O488" s="191"/>
      <c r="P488" s="191"/>
      <c r="Q488" s="191"/>
      <c r="R488" s="191"/>
      <c r="S488" s="191"/>
      <c r="T488" s="191"/>
      <c r="U488" s="191"/>
      <c r="V488" s="191"/>
      <c r="W488" s="191"/>
      <c r="X488" s="191"/>
      <c r="Y488" s="191"/>
      <c r="Z488" s="191"/>
      <c r="AA488" s="191"/>
      <c r="AB488" s="191"/>
      <c r="AC488" s="191"/>
      <c r="AD488" s="191"/>
      <c r="AE488" s="191"/>
      <c r="AF488" s="191"/>
      <c r="AG488" s="191"/>
      <c r="AH488" s="191"/>
      <c r="AI488" s="191"/>
      <c r="AJ488" s="191"/>
      <c r="AK488" s="191"/>
      <c r="AL488" s="191"/>
      <c r="AM488" s="191"/>
      <c r="AN488" s="191"/>
      <c r="AO488" s="191"/>
      <c r="AP488" s="191"/>
      <c r="AQ488" s="191"/>
      <c r="AR488" s="191"/>
      <c r="AS488" s="191"/>
      <c r="AT488" s="191"/>
      <c r="AU488" s="191"/>
      <c r="AV488" s="191"/>
      <c r="AW488" s="191"/>
      <c r="AX488" s="191"/>
      <c r="AY488" s="191"/>
      <c r="AZ488" s="191"/>
      <c r="BA488" s="191"/>
      <c r="BB488" s="191"/>
      <c r="BC488" s="191"/>
      <c r="BD488" s="191"/>
      <c r="BE488" s="191"/>
      <c r="BF488" s="191"/>
      <c r="BG488" s="191"/>
      <c r="BH488" s="191"/>
      <c r="BI488" s="191"/>
      <c r="BJ488" s="191"/>
      <c r="BK488" s="191"/>
      <c r="BL488" s="191"/>
      <c r="BM488" s="191"/>
      <c r="BN488" s="191"/>
      <c r="BO488" s="191"/>
      <c r="BP488" s="191"/>
      <c r="BQ488" s="191"/>
    </row>
    <row r="489" spans="11:69">
      <c r="K489" s="191"/>
      <c r="L489" s="191"/>
      <c r="M489" s="191"/>
      <c r="N489" s="191"/>
      <c r="O489" s="191"/>
      <c r="P489" s="191"/>
      <c r="Q489" s="191"/>
      <c r="R489" s="191"/>
      <c r="S489" s="191"/>
      <c r="T489" s="191"/>
      <c r="U489" s="191"/>
      <c r="V489" s="191"/>
      <c r="W489" s="191"/>
      <c r="X489" s="191"/>
      <c r="Y489" s="191"/>
      <c r="Z489" s="191"/>
      <c r="AA489" s="191"/>
      <c r="AB489" s="191"/>
      <c r="AC489" s="191"/>
      <c r="AD489" s="191"/>
      <c r="AE489" s="191"/>
      <c r="AF489" s="191"/>
      <c r="AG489" s="191"/>
      <c r="AH489" s="191"/>
      <c r="AI489" s="191"/>
      <c r="AJ489" s="191"/>
      <c r="AK489" s="191"/>
      <c r="AL489" s="191"/>
      <c r="AM489" s="191"/>
      <c r="AN489" s="191"/>
      <c r="AO489" s="191"/>
      <c r="AP489" s="191"/>
      <c r="AQ489" s="191"/>
      <c r="AR489" s="191"/>
      <c r="AS489" s="191"/>
      <c r="AT489" s="191"/>
      <c r="AU489" s="191"/>
      <c r="AV489" s="191"/>
      <c r="AW489" s="191"/>
      <c r="AX489" s="191"/>
      <c r="AY489" s="191"/>
      <c r="AZ489" s="191"/>
      <c r="BA489" s="191"/>
      <c r="BB489" s="191"/>
      <c r="BC489" s="191"/>
      <c r="BD489" s="191"/>
      <c r="BE489" s="191"/>
      <c r="BF489" s="191"/>
      <c r="BG489" s="191"/>
      <c r="BH489" s="191"/>
      <c r="BI489" s="191"/>
      <c r="BJ489" s="191"/>
      <c r="BK489" s="191"/>
      <c r="BL489" s="191"/>
      <c r="BM489" s="191"/>
      <c r="BN489" s="191"/>
      <c r="BO489" s="191"/>
      <c r="BP489" s="191"/>
      <c r="BQ489" s="191"/>
    </row>
    <row r="490" spans="11:69">
      <c r="K490" s="191"/>
      <c r="L490" s="191"/>
      <c r="M490" s="191"/>
      <c r="N490" s="191"/>
      <c r="O490" s="191"/>
      <c r="P490" s="191"/>
      <c r="Q490" s="191"/>
      <c r="R490" s="191"/>
      <c r="S490" s="191"/>
      <c r="T490" s="191"/>
      <c r="U490" s="191"/>
      <c r="V490" s="191"/>
      <c r="W490" s="191"/>
      <c r="X490" s="191"/>
      <c r="Y490" s="191"/>
      <c r="Z490" s="191"/>
      <c r="AA490" s="191"/>
      <c r="AB490" s="191"/>
      <c r="AC490" s="191"/>
      <c r="AD490" s="191"/>
      <c r="AE490" s="191"/>
      <c r="AF490" s="191"/>
      <c r="AG490" s="191"/>
      <c r="AH490" s="191"/>
      <c r="AI490" s="191"/>
      <c r="AJ490" s="191"/>
      <c r="AK490" s="191"/>
      <c r="AL490" s="191"/>
      <c r="AM490" s="191"/>
      <c r="AN490" s="191"/>
      <c r="AO490" s="191"/>
      <c r="AP490" s="191"/>
      <c r="AQ490" s="191"/>
      <c r="AR490" s="191"/>
      <c r="AS490" s="191"/>
      <c r="AT490" s="191"/>
      <c r="AU490" s="191"/>
      <c r="AV490" s="191"/>
      <c r="AW490" s="191"/>
      <c r="AX490" s="191"/>
      <c r="AY490" s="191"/>
      <c r="AZ490" s="191"/>
      <c r="BA490" s="191"/>
      <c r="BB490" s="191"/>
      <c r="BC490" s="191"/>
      <c r="BD490" s="191"/>
      <c r="BE490" s="191"/>
      <c r="BF490" s="191"/>
      <c r="BG490" s="191"/>
      <c r="BH490" s="191"/>
      <c r="BI490" s="191"/>
      <c r="BJ490" s="191"/>
      <c r="BK490" s="191"/>
      <c r="BL490" s="191"/>
      <c r="BM490" s="191"/>
      <c r="BN490" s="191"/>
      <c r="BO490" s="191"/>
      <c r="BP490" s="191"/>
      <c r="BQ490" s="191"/>
    </row>
    <row r="491" spans="11:69">
      <c r="K491" s="191"/>
      <c r="L491" s="191"/>
      <c r="M491" s="191"/>
      <c r="N491" s="191"/>
      <c r="O491" s="191"/>
      <c r="P491" s="191"/>
      <c r="Q491" s="191"/>
      <c r="R491" s="191"/>
      <c r="S491" s="191"/>
      <c r="T491" s="191"/>
      <c r="U491" s="191"/>
      <c r="V491" s="191"/>
      <c r="W491" s="191"/>
      <c r="X491" s="191"/>
      <c r="Y491" s="191"/>
      <c r="Z491" s="191"/>
      <c r="AA491" s="191"/>
      <c r="AB491" s="191"/>
      <c r="AC491" s="191"/>
      <c r="AD491" s="191"/>
      <c r="AE491" s="191"/>
      <c r="AF491" s="191"/>
      <c r="AG491" s="191"/>
      <c r="AH491" s="191"/>
      <c r="AI491" s="191"/>
      <c r="AJ491" s="191"/>
      <c r="AK491" s="191"/>
      <c r="AL491" s="191"/>
      <c r="AM491" s="191"/>
      <c r="AN491" s="191"/>
      <c r="AO491" s="191"/>
      <c r="AP491" s="191"/>
      <c r="AQ491" s="191"/>
      <c r="AR491" s="191"/>
      <c r="AS491" s="191"/>
      <c r="AT491" s="191"/>
      <c r="AU491" s="191"/>
      <c r="AV491" s="191"/>
      <c r="AW491" s="191"/>
      <c r="AX491" s="191"/>
      <c r="AY491" s="191"/>
      <c r="AZ491" s="191"/>
      <c r="BA491" s="191"/>
      <c r="BB491" s="191"/>
      <c r="BC491" s="191"/>
      <c r="BD491" s="191"/>
      <c r="BE491" s="191"/>
      <c r="BF491" s="191"/>
      <c r="BG491" s="191"/>
      <c r="BH491" s="191"/>
      <c r="BI491" s="191"/>
      <c r="BJ491" s="191"/>
      <c r="BK491" s="191"/>
      <c r="BL491" s="191"/>
      <c r="BM491" s="191"/>
      <c r="BN491" s="191"/>
      <c r="BO491" s="191"/>
      <c r="BP491" s="191"/>
      <c r="BQ491" s="191"/>
    </row>
    <row r="492" spans="11:69">
      <c r="K492" s="191"/>
      <c r="L492" s="191"/>
      <c r="M492" s="191"/>
      <c r="N492" s="191"/>
      <c r="O492" s="191"/>
      <c r="P492" s="191"/>
      <c r="Q492" s="191"/>
      <c r="R492" s="191"/>
      <c r="S492" s="191"/>
      <c r="T492" s="191"/>
      <c r="U492" s="191"/>
      <c r="V492" s="191"/>
      <c r="W492" s="191"/>
      <c r="X492" s="191"/>
      <c r="Y492" s="191"/>
      <c r="Z492" s="191"/>
      <c r="AA492" s="191"/>
      <c r="AB492" s="191"/>
      <c r="AC492" s="191"/>
      <c r="AD492" s="191"/>
      <c r="AE492" s="191"/>
      <c r="AF492" s="191"/>
      <c r="AG492" s="191"/>
      <c r="AH492" s="191"/>
      <c r="AI492" s="191"/>
      <c r="AJ492" s="191"/>
      <c r="AK492" s="191"/>
      <c r="AL492" s="191"/>
      <c r="AM492" s="191"/>
      <c r="AN492" s="191"/>
      <c r="AO492" s="191"/>
      <c r="AP492" s="191"/>
      <c r="AQ492" s="191"/>
      <c r="AR492" s="191"/>
      <c r="AS492" s="191"/>
      <c r="AT492" s="191"/>
      <c r="AU492" s="191"/>
      <c r="AV492" s="191"/>
      <c r="AW492" s="191"/>
      <c r="AX492" s="191"/>
      <c r="AY492" s="191"/>
      <c r="AZ492" s="191"/>
      <c r="BA492" s="191"/>
      <c r="BB492" s="191"/>
      <c r="BC492" s="191"/>
      <c r="BD492" s="191"/>
      <c r="BE492" s="191"/>
      <c r="BF492" s="191"/>
      <c r="BG492" s="191"/>
      <c r="BH492" s="191"/>
      <c r="BI492" s="191"/>
      <c r="BJ492" s="191"/>
      <c r="BK492" s="191"/>
      <c r="BL492" s="191"/>
      <c r="BM492" s="191"/>
      <c r="BN492" s="191"/>
      <c r="BO492" s="191"/>
      <c r="BP492" s="191"/>
      <c r="BQ492" s="191"/>
    </row>
    <row r="493" spans="11:69">
      <c r="K493" s="191"/>
      <c r="L493" s="191"/>
      <c r="M493" s="191"/>
      <c r="N493" s="191"/>
      <c r="O493" s="191"/>
      <c r="P493" s="191"/>
      <c r="Q493" s="191"/>
      <c r="R493" s="191"/>
      <c r="S493" s="191"/>
      <c r="T493" s="191"/>
      <c r="U493" s="191"/>
      <c r="V493" s="191"/>
      <c r="W493" s="191"/>
      <c r="X493" s="191"/>
      <c r="Y493" s="191"/>
      <c r="Z493" s="191"/>
      <c r="AA493" s="191"/>
      <c r="AB493" s="191"/>
      <c r="AC493" s="191"/>
      <c r="AD493" s="191"/>
      <c r="AE493" s="191"/>
      <c r="AF493" s="191"/>
      <c r="AG493" s="191"/>
      <c r="AH493" s="191"/>
      <c r="AI493" s="191"/>
      <c r="AJ493" s="191"/>
      <c r="AK493" s="191"/>
      <c r="AL493" s="191"/>
      <c r="AM493" s="191"/>
      <c r="AN493" s="191"/>
      <c r="AO493" s="191"/>
      <c r="AP493" s="191"/>
      <c r="AQ493" s="191"/>
      <c r="AR493" s="191"/>
      <c r="AS493" s="191"/>
      <c r="AT493" s="191"/>
      <c r="AU493" s="191"/>
      <c r="AV493" s="191"/>
      <c r="AW493" s="191"/>
      <c r="AX493" s="191"/>
      <c r="AY493" s="191"/>
      <c r="AZ493" s="191"/>
      <c r="BA493" s="191"/>
      <c r="BB493" s="191"/>
      <c r="BC493" s="191"/>
      <c r="BD493" s="191"/>
      <c r="BE493" s="191"/>
      <c r="BF493" s="191"/>
      <c r="BG493" s="191"/>
      <c r="BH493" s="191"/>
      <c r="BI493" s="191"/>
      <c r="BJ493" s="191"/>
      <c r="BK493" s="191"/>
      <c r="BL493" s="191"/>
      <c r="BM493" s="191"/>
      <c r="BN493" s="191"/>
      <c r="BO493" s="191"/>
      <c r="BP493" s="191"/>
      <c r="BQ493" s="191"/>
    </row>
    <row r="494" spans="11:69">
      <c r="K494" s="191"/>
      <c r="L494" s="191"/>
      <c r="M494" s="191"/>
      <c r="N494" s="191"/>
      <c r="O494" s="191"/>
      <c r="P494" s="191"/>
      <c r="Q494" s="191"/>
      <c r="R494" s="191"/>
      <c r="S494" s="191"/>
      <c r="T494" s="191"/>
      <c r="U494" s="191"/>
      <c r="V494" s="191"/>
      <c r="W494" s="191"/>
      <c r="X494" s="191"/>
      <c r="Y494" s="191"/>
      <c r="Z494" s="191"/>
      <c r="AA494" s="191"/>
      <c r="AB494" s="191"/>
      <c r="AC494" s="191"/>
      <c r="AD494" s="191"/>
      <c r="AE494" s="191"/>
      <c r="AF494" s="191"/>
      <c r="AG494" s="191"/>
      <c r="AH494" s="191"/>
      <c r="AI494" s="191"/>
      <c r="AJ494" s="191"/>
      <c r="AK494" s="191"/>
      <c r="AL494" s="191"/>
      <c r="AM494" s="191"/>
      <c r="AN494" s="191"/>
      <c r="AO494" s="191"/>
      <c r="AP494" s="191"/>
      <c r="AQ494" s="191"/>
      <c r="AR494" s="191"/>
      <c r="AS494" s="191"/>
      <c r="AT494" s="191"/>
      <c r="AU494" s="191"/>
      <c r="AV494" s="191"/>
      <c r="AW494" s="191"/>
      <c r="AX494" s="191"/>
      <c r="AY494" s="191"/>
      <c r="AZ494" s="191"/>
      <c r="BA494" s="191"/>
      <c r="BB494" s="191"/>
      <c r="BC494" s="191"/>
      <c r="BD494" s="191"/>
      <c r="BE494" s="191"/>
      <c r="BF494" s="191"/>
      <c r="BG494" s="191"/>
      <c r="BH494" s="191"/>
      <c r="BI494" s="191"/>
      <c r="BJ494" s="191"/>
      <c r="BK494" s="191"/>
      <c r="BL494" s="191"/>
      <c r="BM494" s="191"/>
      <c r="BN494" s="191"/>
      <c r="BO494" s="191"/>
      <c r="BP494" s="191"/>
      <c r="BQ494" s="191"/>
    </row>
    <row r="495" spans="11:69">
      <c r="K495" s="191"/>
      <c r="L495" s="191"/>
      <c r="M495" s="191"/>
      <c r="N495" s="191"/>
      <c r="O495" s="191"/>
      <c r="P495" s="191"/>
      <c r="Q495" s="191"/>
      <c r="R495" s="191"/>
      <c r="S495" s="191"/>
      <c r="T495" s="191"/>
      <c r="U495" s="191"/>
      <c r="V495" s="191"/>
      <c r="W495" s="191"/>
      <c r="X495" s="191"/>
      <c r="Y495" s="191"/>
      <c r="Z495" s="191"/>
      <c r="AA495" s="191"/>
      <c r="AB495" s="191"/>
      <c r="AC495" s="191"/>
      <c r="AD495" s="191"/>
      <c r="AE495" s="191"/>
      <c r="AF495" s="191"/>
      <c r="AG495" s="191"/>
      <c r="AH495" s="191"/>
      <c r="AI495" s="191"/>
      <c r="AJ495" s="191"/>
      <c r="AK495" s="191"/>
      <c r="AL495" s="191"/>
      <c r="AM495" s="191"/>
      <c r="AN495" s="191"/>
      <c r="AO495" s="191"/>
      <c r="AP495" s="191"/>
      <c r="AQ495" s="191"/>
      <c r="AR495" s="191"/>
      <c r="AS495" s="191"/>
      <c r="AT495" s="191"/>
      <c r="AU495" s="191"/>
      <c r="AV495" s="191"/>
      <c r="AW495" s="191"/>
      <c r="AX495" s="191"/>
      <c r="AY495" s="191"/>
      <c r="AZ495" s="191"/>
      <c r="BA495" s="191"/>
      <c r="BB495" s="191"/>
      <c r="BC495" s="191"/>
      <c r="BD495" s="191"/>
      <c r="BE495" s="191"/>
      <c r="BF495" s="191"/>
      <c r="BG495" s="191"/>
      <c r="BH495" s="191"/>
      <c r="BI495" s="191"/>
      <c r="BJ495" s="191"/>
      <c r="BK495" s="191"/>
      <c r="BL495" s="191"/>
      <c r="BM495" s="191"/>
      <c r="BN495" s="191"/>
      <c r="BO495" s="191"/>
      <c r="BP495" s="191"/>
      <c r="BQ495" s="191"/>
    </row>
    <row r="496" spans="11:69">
      <c r="K496" s="191"/>
      <c r="L496" s="191"/>
      <c r="M496" s="191"/>
      <c r="N496" s="191"/>
      <c r="O496" s="191"/>
      <c r="P496" s="191"/>
      <c r="Q496" s="191"/>
      <c r="R496" s="191"/>
      <c r="S496" s="191"/>
      <c r="T496" s="191"/>
      <c r="U496" s="191"/>
      <c r="V496" s="191"/>
      <c r="W496" s="191"/>
      <c r="X496" s="191"/>
      <c r="Y496" s="191"/>
      <c r="Z496" s="191"/>
      <c r="AA496" s="191"/>
      <c r="AB496" s="191"/>
      <c r="AC496" s="191"/>
      <c r="AD496" s="191"/>
      <c r="AE496" s="191"/>
      <c r="AF496" s="191"/>
      <c r="AG496" s="191"/>
      <c r="AH496" s="191"/>
      <c r="AI496" s="191"/>
      <c r="AJ496" s="191"/>
      <c r="AK496" s="191"/>
      <c r="AL496" s="191"/>
      <c r="AM496" s="191"/>
      <c r="AN496" s="191"/>
      <c r="AO496" s="191"/>
      <c r="AP496" s="191"/>
      <c r="AQ496" s="191"/>
      <c r="AR496" s="191"/>
      <c r="AS496" s="191"/>
      <c r="AT496" s="191"/>
      <c r="AU496" s="191"/>
      <c r="AV496" s="191"/>
      <c r="AW496" s="191"/>
      <c r="AX496" s="191"/>
      <c r="AY496" s="191"/>
      <c r="AZ496" s="191"/>
      <c r="BA496" s="191"/>
      <c r="BB496" s="191"/>
      <c r="BC496" s="191"/>
      <c r="BD496" s="191"/>
      <c r="BE496" s="191"/>
      <c r="BF496" s="191"/>
      <c r="BG496" s="191"/>
      <c r="BH496" s="191"/>
      <c r="BI496" s="191"/>
      <c r="BJ496" s="191"/>
      <c r="BK496" s="191"/>
      <c r="BL496" s="191"/>
      <c r="BM496" s="191"/>
      <c r="BN496" s="191"/>
      <c r="BO496" s="191"/>
      <c r="BP496" s="191"/>
      <c r="BQ496" s="191"/>
    </row>
    <row r="497" spans="11:69">
      <c r="K497" s="191"/>
      <c r="L497" s="191"/>
      <c r="M497" s="191"/>
      <c r="N497" s="191"/>
      <c r="O497" s="191"/>
      <c r="P497" s="191"/>
      <c r="Q497" s="191"/>
      <c r="R497" s="191"/>
      <c r="S497" s="191"/>
      <c r="T497" s="191"/>
      <c r="U497" s="191"/>
      <c r="V497" s="191"/>
      <c r="W497" s="191"/>
      <c r="X497" s="191"/>
      <c r="Y497" s="191"/>
      <c r="Z497" s="191"/>
      <c r="AA497" s="191"/>
      <c r="AB497" s="191"/>
      <c r="AC497" s="191"/>
      <c r="AD497" s="191"/>
      <c r="AE497" s="191"/>
      <c r="AF497" s="191"/>
      <c r="AG497" s="191"/>
      <c r="AH497" s="191"/>
      <c r="AI497" s="191"/>
      <c r="AJ497" s="191"/>
      <c r="AK497" s="191"/>
      <c r="AL497" s="191"/>
      <c r="AM497" s="191"/>
      <c r="AN497" s="191"/>
      <c r="AO497" s="191"/>
      <c r="AP497" s="191"/>
      <c r="AQ497" s="191"/>
      <c r="AR497" s="191"/>
      <c r="AS497" s="191"/>
      <c r="AT497" s="191"/>
      <c r="AU497" s="191"/>
      <c r="AV497" s="191"/>
      <c r="AW497" s="191"/>
      <c r="AX497" s="191"/>
      <c r="AY497" s="191"/>
      <c r="AZ497" s="191"/>
      <c r="BA497" s="191"/>
      <c r="BB497" s="191"/>
      <c r="BC497" s="191"/>
      <c r="BD497" s="191"/>
      <c r="BE497" s="191"/>
      <c r="BF497" s="191"/>
      <c r="BG497" s="191"/>
      <c r="BH497" s="191"/>
      <c r="BI497" s="191"/>
      <c r="BJ497" s="191"/>
      <c r="BK497" s="191"/>
      <c r="BL497" s="191"/>
      <c r="BM497" s="191"/>
      <c r="BN497" s="191"/>
      <c r="BO497" s="191"/>
      <c r="BP497" s="191"/>
      <c r="BQ497" s="191"/>
    </row>
    <row r="498" spans="11:69">
      <c r="K498" s="191"/>
      <c r="L498" s="191"/>
      <c r="M498" s="191"/>
      <c r="N498" s="191"/>
      <c r="O498" s="191"/>
      <c r="P498" s="191"/>
      <c r="Q498" s="191"/>
      <c r="R498" s="191"/>
      <c r="S498" s="191"/>
      <c r="T498" s="191"/>
      <c r="U498" s="191"/>
      <c r="V498" s="191"/>
      <c r="W498" s="191"/>
      <c r="X498" s="191"/>
      <c r="Y498" s="191"/>
      <c r="Z498" s="191"/>
      <c r="AA498" s="191"/>
      <c r="AB498" s="191"/>
      <c r="AC498" s="191"/>
      <c r="AD498" s="191"/>
      <c r="AE498" s="191"/>
      <c r="AF498" s="191"/>
      <c r="AG498" s="191"/>
      <c r="AH498" s="191"/>
      <c r="AI498" s="191"/>
      <c r="AJ498" s="191"/>
      <c r="AK498" s="191"/>
      <c r="AL498" s="191"/>
      <c r="AM498" s="191"/>
      <c r="AN498" s="191"/>
      <c r="AO498" s="191"/>
      <c r="AP498" s="191"/>
      <c r="AQ498" s="191"/>
      <c r="AR498" s="191"/>
      <c r="AS498" s="191"/>
      <c r="AT498" s="191"/>
      <c r="AU498" s="191"/>
      <c r="AV498" s="191"/>
      <c r="AW498" s="191"/>
      <c r="AX498" s="191"/>
      <c r="AY498" s="191"/>
      <c r="AZ498" s="191"/>
      <c r="BA498" s="191"/>
      <c r="BB498" s="191"/>
      <c r="BC498" s="191"/>
      <c r="BD498" s="191"/>
      <c r="BE498" s="191"/>
      <c r="BF498" s="191"/>
      <c r="BG498" s="191"/>
      <c r="BH498" s="191"/>
      <c r="BI498" s="191"/>
      <c r="BJ498" s="191"/>
      <c r="BK498" s="191"/>
      <c r="BL498" s="191"/>
      <c r="BM498" s="191"/>
      <c r="BN498" s="191"/>
      <c r="BO498" s="191"/>
      <c r="BP498" s="191"/>
      <c r="BQ498" s="191"/>
    </row>
    <row r="499" spans="11:69">
      <c r="K499" s="191"/>
      <c r="L499" s="191"/>
      <c r="M499" s="191"/>
      <c r="N499" s="191"/>
      <c r="O499" s="191"/>
      <c r="P499" s="191"/>
      <c r="Q499" s="191"/>
      <c r="R499" s="191"/>
      <c r="S499" s="191"/>
      <c r="T499" s="191"/>
      <c r="U499" s="191"/>
      <c r="V499" s="191"/>
      <c r="W499" s="191"/>
      <c r="X499" s="191"/>
      <c r="Y499" s="191"/>
      <c r="Z499" s="191"/>
      <c r="AA499" s="191"/>
      <c r="AB499" s="191"/>
      <c r="AC499" s="191"/>
      <c r="AD499" s="191"/>
      <c r="AE499" s="191"/>
      <c r="AF499" s="191"/>
      <c r="AG499" s="191"/>
      <c r="AH499" s="191"/>
      <c r="AI499" s="191"/>
      <c r="AJ499" s="191"/>
      <c r="AK499" s="191"/>
      <c r="AL499" s="191"/>
      <c r="AM499" s="191"/>
      <c r="AN499" s="191"/>
      <c r="AO499" s="191"/>
      <c r="AP499" s="191"/>
      <c r="AQ499" s="191"/>
      <c r="AR499" s="191"/>
      <c r="AS499" s="191"/>
      <c r="AT499" s="191"/>
      <c r="AU499" s="191"/>
      <c r="AV499" s="191"/>
      <c r="AW499" s="191"/>
      <c r="AX499" s="191"/>
      <c r="AY499" s="191"/>
      <c r="AZ499" s="191"/>
      <c r="BA499" s="191"/>
      <c r="BB499" s="191"/>
      <c r="BC499" s="191"/>
      <c r="BD499" s="191"/>
      <c r="BE499" s="191"/>
      <c r="BF499" s="191"/>
      <c r="BG499" s="191"/>
      <c r="BH499" s="191"/>
      <c r="BI499" s="191"/>
      <c r="BJ499" s="191"/>
      <c r="BK499" s="191"/>
      <c r="BL499" s="191"/>
      <c r="BM499" s="191"/>
      <c r="BN499" s="191"/>
      <c r="BO499" s="191"/>
      <c r="BP499" s="191"/>
      <c r="BQ499" s="191"/>
    </row>
    <row r="500" spans="11:69">
      <c r="K500" s="191"/>
      <c r="L500" s="191"/>
      <c r="M500" s="191"/>
      <c r="N500" s="191"/>
      <c r="O500" s="191"/>
      <c r="P500" s="191"/>
      <c r="Q500" s="191"/>
      <c r="R500" s="191"/>
      <c r="S500" s="191"/>
      <c r="T500" s="191"/>
      <c r="U500" s="191"/>
      <c r="V500" s="191"/>
      <c r="W500" s="191"/>
      <c r="X500" s="191"/>
      <c r="Y500" s="191"/>
      <c r="Z500" s="191"/>
      <c r="AA500" s="191"/>
      <c r="AB500" s="191"/>
      <c r="AC500" s="191"/>
      <c r="AD500" s="191"/>
      <c r="AE500" s="191"/>
      <c r="AF500" s="191"/>
      <c r="AG500" s="191"/>
      <c r="AH500" s="191"/>
      <c r="AI500" s="191"/>
      <c r="AJ500" s="191"/>
      <c r="AK500" s="191"/>
      <c r="AL500" s="191"/>
      <c r="AM500" s="191"/>
      <c r="AN500" s="191"/>
      <c r="AO500" s="191"/>
      <c r="AP500" s="191"/>
      <c r="AQ500" s="191"/>
      <c r="AR500" s="191"/>
      <c r="AS500" s="191"/>
      <c r="AT500" s="191"/>
      <c r="AU500" s="191"/>
      <c r="AV500" s="191"/>
      <c r="AW500" s="191"/>
      <c r="AX500" s="191"/>
      <c r="AY500" s="191"/>
      <c r="AZ500" s="191"/>
      <c r="BA500" s="191"/>
      <c r="BB500" s="191"/>
      <c r="BC500" s="191"/>
      <c r="BD500" s="191"/>
      <c r="BE500" s="191"/>
      <c r="BF500" s="191"/>
      <c r="BG500" s="191"/>
      <c r="BH500" s="191"/>
      <c r="BI500" s="191"/>
      <c r="BJ500" s="191"/>
      <c r="BK500" s="191"/>
      <c r="BL500" s="191"/>
      <c r="BM500" s="191"/>
      <c r="BN500" s="191"/>
      <c r="BO500" s="191"/>
      <c r="BP500" s="191"/>
      <c r="BQ500" s="191"/>
    </row>
    <row r="501" spans="11:69">
      <c r="K501" s="191"/>
      <c r="L501" s="191"/>
      <c r="M501" s="191"/>
      <c r="N501" s="191"/>
      <c r="O501" s="191"/>
      <c r="P501" s="191"/>
      <c r="Q501" s="191"/>
      <c r="R501" s="191"/>
      <c r="S501" s="191"/>
      <c r="T501" s="191"/>
      <c r="U501" s="191"/>
      <c r="V501" s="191"/>
      <c r="W501" s="191"/>
      <c r="X501" s="191"/>
      <c r="Y501" s="191"/>
      <c r="Z501" s="191"/>
      <c r="AA501" s="191"/>
      <c r="AB501" s="191"/>
      <c r="AC501" s="191"/>
      <c r="AD501" s="191"/>
      <c r="AE501" s="191"/>
      <c r="AF501" s="191"/>
      <c r="AG501" s="191"/>
      <c r="AH501" s="191"/>
      <c r="AI501" s="191"/>
      <c r="AJ501" s="191"/>
      <c r="AK501" s="191"/>
      <c r="AL501" s="191"/>
      <c r="AM501" s="191"/>
      <c r="AN501" s="191"/>
      <c r="AO501" s="191"/>
      <c r="AP501" s="191"/>
      <c r="AQ501" s="191"/>
      <c r="AR501" s="191"/>
      <c r="AS501" s="191"/>
      <c r="AT501" s="191"/>
      <c r="AU501" s="191"/>
      <c r="AV501" s="191"/>
      <c r="AW501" s="191"/>
      <c r="AX501" s="191"/>
      <c r="AY501" s="191"/>
      <c r="AZ501" s="191"/>
      <c r="BA501" s="191"/>
      <c r="BB501" s="191"/>
      <c r="BC501" s="191"/>
      <c r="BD501" s="191"/>
      <c r="BE501" s="191"/>
      <c r="BF501" s="191"/>
      <c r="BG501" s="191"/>
      <c r="BH501" s="191"/>
      <c r="BI501" s="191"/>
      <c r="BJ501" s="191"/>
      <c r="BK501" s="191"/>
      <c r="BL501" s="191"/>
      <c r="BM501" s="191"/>
      <c r="BN501" s="191"/>
      <c r="BO501" s="191"/>
      <c r="BP501" s="191"/>
      <c r="BQ501" s="191"/>
    </row>
    <row r="502" spans="11:69">
      <c r="K502" s="191"/>
      <c r="L502" s="191"/>
      <c r="M502" s="191"/>
      <c r="N502" s="191"/>
      <c r="O502" s="191"/>
      <c r="P502" s="191"/>
      <c r="Q502" s="191"/>
      <c r="R502" s="191"/>
      <c r="S502" s="191"/>
      <c r="T502" s="191"/>
      <c r="U502" s="191"/>
      <c r="V502" s="191"/>
      <c r="W502" s="191"/>
      <c r="X502" s="191"/>
      <c r="Y502" s="191"/>
      <c r="Z502" s="191"/>
      <c r="AA502" s="191"/>
      <c r="AB502" s="191"/>
      <c r="AC502" s="191"/>
      <c r="AD502" s="191"/>
      <c r="AE502" s="191"/>
      <c r="AF502" s="191"/>
      <c r="AG502" s="191"/>
      <c r="AH502" s="191"/>
      <c r="AI502" s="191"/>
      <c r="AJ502" s="191"/>
      <c r="AK502" s="191"/>
      <c r="AL502" s="191"/>
      <c r="AM502" s="191"/>
      <c r="AN502" s="191"/>
      <c r="AO502" s="191"/>
      <c r="AP502" s="191"/>
      <c r="AQ502" s="191"/>
      <c r="AR502" s="191"/>
      <c r="AS502" s="191"/>
      <c r="AT502" s="191"/>
      <c r="AU502" s="191"/>
      <c r="AV502" s="191"/>
      <c r="AW502" s="191"/>
      <c r="AX502" s="191"/>
      <c r="AY502" s="191"/>
      <c r="AZ502" s="191"/>
      <c r="BA502" s="191"/>
      <c r="BB502" s="191"/>
      <c r="BC502" s="191"/>
      <c r="BD502" s="191"/>
      <c r="BE502" s="191"/>
      <c r="BF502" s="191"/>
      <c r="BG502" s="191"/>
      <c r="BH502" s="191"/>
      <c r="BI502" s="191"/>
      <c r="BJ502" s="191"/>
      <c r="BK502" s="191"/>
      <c r="BL502" s="191"/>
      <c r="BM502" s="191"/>
      <c r="BN502" s="191"/>
      <c r="BO502" s="191"/>
      <c r="BP502" s="191"/>
      <c r="BQ502" s="191"/>
    </row>
    <row r="503" spans="11:69">
      <c r="K503" s="191"/>
      <c r="L503" s="191"/>
      <c r="M503" s="191"/>
      <c r="N503" s="191"/>
      <c r="O503" s="191"/>
      <c r="P503" s="191"/>
      <c r="Q503" s="191"/>
      <c r="R503" s="191"/>
      <c r="S503" s="191"/>
      <c r="T503" s="191"/>
      <c r="U503" s="191"/>
      <c r="V503" s="191"/>
      <c r="W503" s="191"/>
      <c r="X503" s="191"/>
      <c r="Y503" s="191"/>
      <c r="Z503" s="191"/>
      <c r="AA503" s="191"/>
      <c r="AB503" s="191"/>
      <c r="AC503" s="191"/>
      <c r="AD503" s="191"/>
      <c r="AE503" s="191"/>
      <c r="AF503" s="191"/>
      <c r="AG503" s="191"/>
      <c r="AH503" s="191"/>
      <c r="AI503" s="191"/>
      <c r="AJ503" s="191"/>
      <c r="AK503" s="191"/>
      <c r="AL503" s="191"/>
      <c r="AM503" s="191"/>
      <c r="AN503" s="191"/>
      <c r="AO503" s="191"/>
      <c r="AP503" s="191"/>
      <c r="AQ503" s="191"/>
      <c r="AR503" s="191"/>
      <c r="AS503" s="191"/>
      <c r="AT503" s="191"/>
      <c r="AU503" s="191"/>
      <c r="AV503" s="191"/>
      <c r="AW503" s="191"/>
      <c r="AX503" s="191"/>
      <c r="AY503" s="191"/>
      <c r="AZ503" s="191"/>
      <c r="BA503" s="191"/>
      <c r="BB503" s="191"/>
      <c r="BC503" s="191"/>
      <c r="BD503" s="191"/>
      <c r="BE503" s="191"/>
      <c r="BF503" s="191"/>
      <c r="BG503" s="191"/>
      <c r="BH503" s="191"/>
      <c r="BI503" s="191"/>
      <c r="BJ503" s="191"/>
      <c r="BK503" s="191"/>
      <c r="BL503" s="191"/>
      <c r="BM503" s="191"/>
      <c r="BN503" s="191"/>
      <c r="BO503" s="191"/>
      <c r="BP503" s="191"/>
      <c r="BQ503" s="191"/>
    </row>
    <row r="504" spans="11:69">
      <c r="K504" s="191"/>
      <c r="L504" s="191"/>
      <c r="M504" s="191"/>
      <c r="N504" s="191"/>
      <c r="O504" s="191"/>
      <c r="P504" s="191"/>
      <c r="Q504" s="191"/>
      <c r="R504" s="191"/>
      <c r="S504" s="191"/>
      <c r="T504" s="191"/>
      <c r="U504" s="191"/>
      <c r="V504" s="191"/>
      <c r="W504" s="191"/>
      <c r="X504" s="191"/>
      <c r="Y504" s="191"/>
      <c r="Z504" s="191"/>
      <c r="AA504" s="191"/>
      <c r="AB504" s="191"/>
      <c r="AC504" s="191"/>
      <c r="AD504" s="191"/>
      <c r="AE504" s="191"/>
      <c r="AF504" s="191"/>
      <c r="AG504" s="191"/>
      <c r="AH504" s="191"/>
      <c r="AI504" s="191"/>
      <c r="AJ504" s="191"/>
      <c r="AK504" s="191"/>
      <c r="AL504" s="191"/>
      <c r="AM504" s="191"/>
      <c r="AN504" s="191"/>
      <c r="AO504" s="191"/>
      <c r="AP504" s="191"/>
      <c r="AQ504" s="191"/>
      <c r="AR504" s="191"/>
      <c r="AS504" s="191"/>
      <c r="AT504" s="191"/>
      <c r="AU504" s="191"/>
      <c r="AV504" s="191"/>
      <c r="AW504" s="191"/>
      <c r="AX504" s="191"/>
      <c r="AY504" s="191"/>
      <c r="AZ504" s="191"/>
      <c r="BA504" s="191"/>
      <c r="BB504" s="191"/>
      <c r="BC504" s="191"/>
      <c r="BD504" s="191"/>
      <c r="BE504" s="191"/>
      <c r="BF504" s="191"/>
      <c r="BG504" s="191"/>
      <c r="BH504" s="191"/>
      <c r="BI504" s="191"/>
      <c r="BJ504" s="191"/>
      <c r="BK504" s="191"/>
      <c r="BL504" s="191"/>
      <c r="BM504" s="191"/>
      <c r="BN504" s="191"/>
      <c r="BO504" s="191"/>
      <c r="BP504" s="191"/>
      <c r="BQ504" s="191"/>
    </row>
    <row r="505" spans="11:69">
      <c r="K505" s="191"/>
      <c r="L505" s="191"/>
      <c r="M505" s="191"/>
      <c r="N505" s="191"/>
      <c r="O505" s="191"/>
      <c r="P505" s="191"/>
      <c r="Q505" s="191"/>
      <c r="R505" s="191"/>
      <c r="S505" s="191"/>
      <c r="T505" s="191"/>
      <c r="U505" s="191"/>
      <c r="V505" s="191"/>
      <c r="W505" s="191"/>
      <c r="X505" s="191"/>
      <c r="Y505" s="191"/>
      <c r="Z505" s="191"/>
      <c r="AA505" s="191"/>
      <c r="AB505" s="191"/>
      <c r="AC505" s="191"/>
      <c r="AD505" s="191"/>
      <c r="AE505" s="191"/>
      <c r="AF505" s="191"/>
      <c r="AG505" s="191"/>
      <c r="AH505" s="191"/>
      <c r="AI505" s="191"/>
      <c r="AJ505" s="191"/>
      <c r="AK505" s="191"/>
      <c r="AL505" s="191"/>
      <c r="AM505" s="191"/>
      <c r="AN505" s="191"/>
      <c r="AO505" s="191"/>
      <c r="AP505" s="191"/>
      <c r="AQ505" s="191"/>
      <c r="AR505" s="191"/>
      <c r="AS505" s="191"/>
      <c r="AT505" s="191"/>
      <c r="AU505" s="191"/>
      <c r="AV505" s="191"/>
      <c r="AW505" s="191"/>
      <c r="AX505" s="191"/>
      <c r="AY505" s="191"/>
      <c r="AZ505" s="191"/>
      <c r="BA505" s="191"/>
      <c r="BB505" s="191"/>
      <c r="BC505" s="191"/>
      <c r="BD505" s="191"/>
      <c r="BE505" s="191"/>
      <c r="BF505" s="191"/>
      <c r="BG505" s="191"/>
      <c r="BH505" s="191"/>
      <c r="BI505" s="191"/>
      <c r="BJ505" s="191"/>
      <c r="BK505" s="191"/>
      <c r="BL505" s="191"/>
      <c r="BM505" s="191"/>
      <c r="BN505" s="191"/>
      <c r="BO505" s="191"/>
      <c r="BP505" s="191"/>
      <c r="BQ505" s="191"/>
    </row>
    <row r="506" spans="11:69">
      <c r="K506" s="191"/>
      <c r="L506" s="191"/>
      <c r="M506" s="191"/>
      <c r="N506" s="191"/>
      <c r="O506" s="191"/>
      <c r="P506" s="191"/>
      <c r="Q506" s="191"/>
      <c r="R506" s="191"/>
      <c r="S506" s="191"/>
      <c r="T506" s="191"/>
      <c r="U506" s="191"/>
      <c r="V506" s="191"/>
      <c r="W506" s="191"/>
      <c r="X506" s="191"/>
      <c r="Y506" s="191"/>
      <c r="Z506" s="191"/>
      <c r="AA506" s="191"/>
      <c r="AB506" s="191"/>
      <c r="AC506" s="191"/>
      <c r="AD506" s="191"/>
      <c r="AE506" s="191"/>
      <c r="AF506" s="191"/>
      <c r="AG506" s="191"/>
      <c r="AH506" s="191"/>
      <c r="AI506" s="191"/>
      <c r="AJ506" s="191"/>
      <c r="AK506" s="191"/>
      <c r="AL506" s="191"/>
      <c r="AM506" s="191"/>
      <c r="AN506" s="191"/>
      <c r="AO506" s="191"/>
      <c r="AP506" s="191"/>
      <c r="AQ506" s="191"/>
      <c r="AR506" s="191"/>
      <c r="AS506" s="191"/>
      <c r="AT506" s="191"/>
      <c r="AU506" s="191"/>
      <c r="AV506" s="191"/>
      <c r="AW506" s="191"/>
      <c r="AX506" s="191"/>
      <c r="AY506" s="191"/>
      <c r="AZ506" s="191"/>
      <c r="BA506" s="191"/>
      <c r="BB506" s="191"/>
      <c r="BC506" s="191"/>
      <c r="BD506" s="191"/>
      <c r="BE506" s="191"/>
      <c r="BF506" s="191"/>
      <c r="BG506" s="191"/>
      <c r="BH506" s="191"/>
      <c r="BI506" s="191"/>
      <c r="BJ506" s="191"/>
      <c r="BK506" s="191"/>
      <c r="BL506" s="191"/>
      <c r="BM506" s="191"/>
      <c r="BN506" s="191"/>
      <c r="BO506" s="191"/>
      <c r="BP506" s="191"/>
      <c r="BQ506" s="191"/>
    </row>
    <row r="507" spans="11:69">
      <c r="K507" s="191"/>
      <c r="L507" s="191"/>
      <c r="M507" s="191"/>
      <c r="N507" s="191"/>
      <c r="O507" s="191"/>
      <c r="P507" s="191"/>
      <c r="Q507" s="191"/>
      <c r="R507" s="191"/>
      <c r="S507" s="191"/>
      <c r="T507" s="191"/>
      <c r="U507" s="191"/>
      <c r="V507" s="191"/>
      <c r="W507" s="191"/>
      <c r="X507" s="191"/>
      <c r="Y507" s="191"/>
      <c r="Z507" s="191"/>
      <c r="AA507" s="191"/>
      <c r="AB507" s="191"/>
      <c r="AC507" s="191"/>
      <c r="AD507" s="191"/>
      <c r="AE507" s="191"/>
      <c r="AF507" s="191"/>
      <c r="AG507" s="191"/>
      <c r="AH507" s="191"/>
      <c r="AI507" s="191"/>
      <c r="AJ507" s="191"/>
      <c r="AK507" s="191"/>
      <c r="AL507" s="191"/>
      <c r="AM507" s="191"/>
      <c r="AN507" s="191"/>
      <c r="AO507" s="191"/>
      <c r="AP507" s="191"/>
      <c r="AQ507" s="191"/>
      <c r="AR507" s="191"/>
      <c r="AS507" s="191"/>
      <c r="AT507" s="191"/>
      <c r="AU507" s="191"/>
      <c r="AV507" s="191"/>
      <c r="AW507" s="191"/>
      <c r="AX507" s="191"/>
      <c r="AY507" s="191"/>
      <c r="AZ507" s="191"/>
      <c r="BA507" s="191"/>
      <c r="BB507" s="191"/>
      <c r="BC507" s="191"/>
      <c r="BD507" s="191"/>
      <c r="BE507" s="191"/>
      <c r="BF507" s="191"/>
      <c r="BG507" s="191"/>
      <c r="BH507" s="191"/>
      <c r="BI507" s="191"/>
      <c r="BJ507" s="191"/>
      <c r="BK507" s="191"/>
      <c r="BL507" s="191"/>
      <c r="BM507" s="191"/>
      <c r="BN507" s="191"/>
      <c r="BO507" s="191"/>
      <c r="BP507" s="191"/>
      <c r="BQ507" s="191"/>
    </row>
    <row r="508" spans="11:69">
      <c r="K508" s="191"/>
      <c r="L508" s="191"/>
      <c r="M508" s="191"/>
      <c r="N508" s="191"/>
      <c r="O508" s="191"/>
      <c r="P508" s="191"/>
      <c r="Q508" s="191"/>
      <c r="R508" s="191"/>
      <c r="S508" s="191"/>
      <c r="T508" s="191"/>
      <c r="U508" s="191"/>
      <c r="V508" s="191"/>
      <c r="W508" s="191"/>
      <c r="X508" s="191"/>
      <c r="Y508" s="191"/>
      <c r="Z508" s="191"/>
      <c r="AA508" s="191"/>
      <c r="AB508" s="191"/>
      <c r="AC508" s="191"/>
      <c r="AD508" s="191"/>
      <c r="AE508" s="191"/>
      <c r="AF508" s="191"/>
      <c r="AG508" s="191"/>
      <c r="AH508" s="191"/>
      <c r="AI508" s="191"/>
      <c r="AJ508" s="191"/>
      <c r="AK508" s="191"/>
      <c r="AL508" s="191"/>
      <c r="AM508" s="191"/>
      <c r="AN508" s="191"/>
      <c r="AO508" s="191"/>
      <c r="AP508" s="191"/>
      <c r="AQ508" s="191"/>
      <c r="AR508" s="191"/>
      <c r="AS508" s="191"/>
      <c r="AT508" s="191"/>
      <c r="AU508" s="191"/>
      <c r="AV508" s="191"/>
      <c r="AW508" s="191"/>
      <c r="AX508" s="191"/>
      <c r="AY508" s="191"/>
      <c r="AZ508" s="191"/>
      <c r="BA508" s="191"/>
      <c r="BB508" s="191"/>
      <c r="BC508" s="191"/>
      <c r="BD508" s="191"/>
      <c r="BE508" s="191"/>
      <c r="BF508" s="191"/>
      <c r="BG508" s="191"/>
      <c r="BH508" s="191"/>
      <c r="BI508" s="191"/>
      <c r="BJ508" s="191"/>
      <c r="BK508" s="191"/>
      <c r="BL508" s="191"/>
      <c r="BM508" s="191"/>
      <c r="BN508" s="191"/>
      <c r="BO508" s="191"/>
      <c r="BP508" s="191"/>
      <c r="BQ508" s="191"/>
    </row>
    <row r="509" spans="11:69">
      <c r="K509" s="191"/>
      <c r="L509" s="191"/>
      <c r="M509" s="191"/>
      <c r="N509" s="191"/>
      <c r="O509" s="191"/>
      <c r="P509" s="191"/>
      <c r="Q509" s="191"/>
      <c r="R509" s="191"/>
      <c r="S509" s="191"/>
      <c r="T509" s="191"/>
      <c r="U509" s="191"/>
      <c r="V509" s="191"/>
      <c r="W509" s="191"/>
      <c r="X509" s="191"/>
      <c r="Y509" s="191"/>
      <c r="Z509" s="191"/>
      <c r="AA509" s="191"/>
      <c r="AB509" s="191"/>
      <c r="AC509" s="191"/>
      <c r="AD509" s="191"/>
      <c r="AE509" s="191"/>
      <c r="AF509" s="191"/>
      <c r="AG509" s="191"/>
      <c r="AH509" s="191"/>
      <c r="AI509" s="191"/>
      <c r="AJ509" s="191"/>
      <c r="AK509" s="191"/>
      <c r="AL509" s="191"/>
      <c r="AM509" s="191"/>
      <c r="AN509" s="191"/>
      <c r="AO509" s="191"/>
      <c r="AP509" s="191"/>
      <c r="AQ509" s="191"/>
      <c r="AR509" s="191"/>
      <c r="AS509" s="191"/>
      <c r="AT509" s="191"/>
      <c r="AU509" s="191"/>
      <c r="AV509" s="191"/>
      <c r="AW509" s="191"/>
      <c r="AX509" s="191"/>
      <c r="AY509" s="191"/>
      <c r="AZ509" s="191"/>
      <c r="BA509" s="191"/>
      <c r="BB509" s="191"/>
      <c r="BC509" s="191"/>
      <c r="BD509" s="191"/>
      <c r="BE509" s="191"/>
      <c r="BF509" s="191"/>
      <c r="BG509" s="191"/>
      <c r="BH509" s="191"/>
      <c r="BI509" s="191"/>
      <c r="BJ509" s="191"/>
      <c r="BK509" s="191"/>
      <c r="BL509" s="191"/>
      <c r="BM509" s="191"/>
      <c r="BN509" s="191"/>
      <c r="BO509" s="191"/>
      <c r="BP509" s="191"/>
      <c r="BQ509" s="191"/>
    </row>
    <row r="510" spans="11:69">
      <c r="K510" s="191"/>
      <c r="L510" s="191"/>
      <c r="M510" s="191"/>
      <c r="N510" s="191"/>
      <c r="O510" s="191"/>
      <c r="P510" s="191"/>
      <c r="Q510" s="191"/>
      <c r="R510" s="191"/>
      <c r="S510" s="191"/>
      <c r="T510" s="191"/>
      <c r="U510" s="191"/>
      <c r="V510" s="191"/>
      <c r="W510" s="191"/>
      <c r="X510" s="191"/>
      <c r="Y510" s="191"/>
      <c r="Z510" s="191"/>
      <c r="AA510" s="191"/>
      <c r="AB510" s="191"/>
      <c r="AC510" s="191"/>
      <c r="AD510" s="191"/>
      <c r="AE510" s="191"/>
      <c r="AF510" s="191"/>
      <c r="AG510" s="191"/>
      <c r="AH510" s="191"/>
      <c r="AI510" s="191"/>
      <c r="AJ510" s="191"/>
      <c r="AK510" s="191"/>
      <c r="AL510" s="191"/>
      <c r="AM510" s="191"/>
      <c r="AN510" s="191"/>
      <c r="AO510" s="191"/>
      <c r="AP510" s="191"/>
      <c r="AQ510" s="191"/>
      <c r="AR510" s="191"/>
      <c r="AS510" s="191"/>
      <c r="AT510" s="191"/>
      <c r="AU510" s="191"/>
      <c r="AV510" s="191"/>
      <c r="AW510" s="191"/>
      <c r="AX510" s="191"/>
      <c r="AY510" s="191"/>
      <c r="AZ510" s="191"/>
      <c r="BA510" s="191"/>
      <c r="BB510" s="191"/>
      <c r="BC510" s="191"/>
      <c r="BD510" s="191"/>
      <c r="BE510" s="191"/>
      <c r="BF510" s="191"/>
      <c r="BG510" s="191"/>
      <c r="BH510" s="191"/>
      <c r="BI510" s="191"/>
      <c r="BJ510" s="191"/>
      <c r="BK510" s="191"/>
      <c r="BL510" s="191"/>
      <c r="BM510" s="191"/>
      <c r="BN510" s="191"/>
      <c r="BO510" s="191"/>
      <c r="BP510" s="191"/>
      <c r="BQ510" s="191"/>
    </row>
    <row r="511" spans="11:69">
      <c r="K511" s="191"/>
      <c r="L511" s="191"/>
      <c r="M511" s="191"/>
      <c r="N511" s="191"/>
      <c r="O511" s="191"/>
      <c r="P511" s="191"/>
      <c r="Q511" s="191"/>
      <c r="R511" s="191"/>
      <c r="S511" s="191"/>
      <c r="T511" s="191"/>
      <c r="U511" s="191"/>
      <c r="V511" s="191"/>
      <c r="W511" s="191"/>
      <c r="X511" s="191"/>
      <c r="Y511" s="191"/>
      <c r="Z511" s="191"/>
      <c r="AA511" s="191"/>
      <c r="AB511" s="191"/>
      <c r="AC511" s="191"/>
      <c r="AD511" s="191"/>
      <c r="AE511" s="191"/>
      <c r="AF511" s="191"/>
      <c r="AG511" s="191"/>
      <c r="AH511" s="191"/>
      <c r="AI511" s="191"/>
      <c r="AJ511" s="191"/>
      <c r="AK511" s="191"/>
      <c r="AL511" s="191"/>
      <c r="AM511" s="191"/>
      <c r="AN511" s="191"/>
      <c r="AO511" s="191"/>
      <c r="AP511" s="191"/>
      <c r="AQ511" s="191"/>
      <c r="AR511" s="191"/>
      <c r="AS511" s="191"/>
      <c r="AT511" s="191"/>
      <c r="AU511" s="191"/>
      <c r="AV511" s="191"/>
      <c r="AW511" s="191"/>
      <c r="AX511" s="191"/>
      <c r="AY511" s="191"/>
      <c r="AZ511" s="191"/>
      <c r="BA511" s="191"/>
      <c r="BB511" s="191"/>
      <c r="BC511" s="191"/>
      <c r="BD511" s="191"/>
      <c r="BE511" s="191"/>
      <c r="BF511" s="191"/>
      <c r="BG511" s="191"/>
      <c r="BH511" s="191"/>
      <c r="BI511" s="191"/>
      <c r="BJ511" s="191"/>
      <c r="BK511" s="191"/>
      <c r="BL511" s="191"/>
      <c r="BM511" s="191"/>
      <c r="BN511" s="191"/>
      <c r="BO511" s="191"/>
      <c r="BP511" s="191"/>
      <c r="BQ511" s="191"/>
    </row>
    <row r="512" spans="11:69">
      <c r="K512" s="191"/>
      <c r="L512" s="191"/>
      <c r="M512" s="191"/>
      <c r="N512" s="191"/>
      <c r="O512" s="191"/>
      <c r="P512" s="191"/>
      <c r="Q512" s="191"/>
      <c r="R512" s="191"/>
      <c r="S512" s="191"/>
      <c r="T512" s="191"/>
      <c r="U512" s="191"/>
      <c r="V512" s="191"/>
      <c r="W512" s="191"/>
      <c r="X512" s="191"/>
      <c r="Y512" s="191"/>
      <c r="Z512" s="191"/>
      <c r="AA512" s="191"/>
      <c r="AB512" s="191"/>
      <c r="AC512" s="191"/>
      <c r="AD512" s="191"/>
      <c r="AE512" s="191"/>
      <c r="AF512" s="191"/>
      <c r="AG512" s="191"/>
      <c r="AH512" s="191"/>
      <c r="AI512" s="191"/>
      <c r="AJ512" s="191"/>
      <c r="AK512" s="191"/>
      <c r="AL512" s="191"/>
      <c r="AM512" s="191"/>
      <c r="AN512" s="191"/>
      <c r="AO512" s="191"/>
      <c r="AP512" s="191"/>
      <c r="AQ512" s="191"/>
      <c r="AR512" s="191"/>
      <c r="AS512" s="191"/>
      <c r="AT512" s="191"/>
      <c r="AU512" s="191"/>
      <c r="AV512" s="191"/>
      <c r="AW512" s="191"/>
      <c r="AX512" s="191"/>
      <c r="AY512" s="191"/>
      <c r="AZ512" s="191"/>
      <c r="BA512" s="191"/>
      <c r="BB512" s="191"/>
      <c r="BC512" s="191"/>
      <c r="BD512" s="191"/>
      <c r="BE512" s="191"/>
      <c r="BF512" s="191"/>
      <c r="BG512" s="191"/>
      <c r="BH512" s="191"/>
      <c r="BI512" s="191"/>
      <c r="BJ512" s="191"/>
      <c r="BK512" s="191"/>
      <c r="BL512" s="191"/>
      <c r="BM512" s="191"/>
      <c r="BN512" s="191"/>
      <c r="BO512" s="191"/>
      <c r="BP512" s="191"/>
      <c r="BQ512" s="191"/>
    </row>
    <row r="513" spans="11:69">
      <c r="K513" s="191"/>
      <c r="L513" s="191"/>
      <c r="M513" s="191"/>
      <c r="N513" s="191"/>
      <c r="O513" s="191"/>
      <c r="P513" s="191"/>
      <c r="Q513" s="191"/>
      <c r="R513" s="191"/>
      <c r="S513" s="191"/>
      <c r="T513" s="191"/>
      <c r="U513" s="191"/>
      <c r="V513" s="191"/>
      <c r="W513" s="191"/>
      <c r="X513" s="191"/>
      <c r="Y513" s="191"/>
      <c r="Z513" s="191"/>
      <c r="AA513" s="191"/>
      <c r="AB513" s="191"/>
      <c r="AC513" s="191"/>
      <c r="AD513" s="191"/>
      <c r="AE513" s="191"/>
      <c r="AF513" s="191"/>
      <c r="AG513" s="191"/>
      <c r="AH513" s="191"/>
      <c r="AI513" s="191"/>
      <c r="AJ513" s="191"/>
      <c r="AK513" s="191"/>
      <c r="AL513" s="191"/>
      <c r="AM513" s="191"/>
      <c r="AN513" s="191"/>
      <c r="AO513" s="191"/>
      <c r="AP513" s="191"/>
      <c r="AQ513" s="191"/>
      <c r="AR513" s="191"/>
      <c r="AS513" s="191"/>
      <c r="AT513" s="191"/>
      <c r="AU513" s="191"/>
      <c r="AV513" s="191"/>
      <c r="AW513" s="191"/>
      <c r="AX513" s="191"/>
      <c r="AY513" s="191"/>
      <c r="AZ513" s="191"/>
      <c r="BA513" s="191"/>
      <c r="BB513" s="191"/>
      <c r="BC513" s="191"/>
      <c r="BD513" s="191"/>
      <c r="BE513" s="191"/>
      <c r="BF513" s="191"/>
      <c r="BG513" s="191"/>
      <c r="BH513" s="191"/>
      <c r="BI513" s="191"/>
      <c r="BJ513" s="191"/>
      <c r="BK513" s="191"/>
      <c r="BL513" s="191"/>
      <c r="BM513" s="191"/>
      <c r="BN513" s="191"/>
      <c r="BO513" s="191"/>
      <c r="BP513" s="191"/>
      <c r="BQ513" s="191"/>
    </row>
    <row r="514" spans="11:69">
      <c r="K514" s="191"/>
      <c r="L514" s="191"/>
      <c r="M514" s="191"/>
      <c r="N514" s="191"/>
      <c r="O514" s="191"/>
      <c r="P514" s="191"/>
      <c r="Q514" s="191"/>
      <c r="R514" s="191"/>
      <c r="S514" s="191"/>
      <c r="T514" s="191"/>
      <c r="U514" s="191"/>
      <c r="V514" s="191"/>
      <c r="W514" s="191"/>
      <c r="X514" s="191"/>
      <c r="Y514" s="191"/>
      <c r="Z514" s="191"/>
      <c r="AA514" s="191"/>
      <c r="AB514" s="191"/>
      <c r="AC514" s="191"/>
      <c r="AD514" s="191"/>
      <c r="AE514" s="191"/>
      <c r="AF514" s="191"/>
      <c r="AG514" s="191"/>
      <c r="AH514" s="191"/>
      <c r="AI514" s="191"/>
      <c r="AJ514" s="191"/>
      <c r="AK514" s="191"/>
      <c r="AL514" s="191"/>
      <c r="AM514" s="191"/>
      <c r="AN514" s="191"/>
      <c r="AO514" s="191"/>
      <c r="AP514" s="191"/>
      <c r="AQ514" s="191"/>
      <c r="AR514" s="191"/>
      <c r="AS514" s="191"/>
      <c r="AT514" s="191"/>
      <c r="AU514" s="191"/>
      <c r="AV514" s="191"/>
      <c r="AW514" s="191"/>
      <c r="AX514" s="191"/>
      <c r="AY514" s="191"/>
      <c r="AZ514" s="191"/>
      <c r="BA514" s="191"/>
      <c r="BB514" s="191"/>
      <c r="BC514" s="191"/>
      <c r="BD514" s="191"/>
      <c r="BE514" s="191"/>
      <c r="BF514" s="191"/>
      <c r="BG514" s="191"/>
      <c r="BH514" s="191"/>
      <c r="BI514" s="191"/>
      <c r="BJ514" s="191"/>
      <c r="BK514" s="191"/>
      <c r="BL514" s="191"/>
      <c r="BM514" s="191"/>
      <c r="BN514" s="191"/>
      <c r="BO514" s="191"/>
      <c r="BP514" s="191"/>
      <c r="BQ514" s="191"/>
    </row>
    <row r="515" spans="11:69"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191"/>
      <c r="V515" s="191"/>
      <c r="W515" s="191"/>
      <c r="X515" s="191"/>
      <c r="Y515" s="191"/>
      <c r="Z515" s="191"/>
      <c r="AA515" s="191"/>
      <c r="AB515" s="191"/>
      <c r="AC515" s="191"/>
      <c r="AD515" s="191"/>
      <c r="AE515" s="191"/>
      <c r="AF515" s="191"/>
      <c r="AG515" s="191"/>
      <c r="AH515" s="191"/>
      <c r="AI515" s="191"/>
      <c r="AJ515" s="191"/>
      <c r="AK515" s="191"/>
      <c r="AL515" s="191"/>
      <c r="AM515" s="191"/>
      <c r="AN515" s="191"/>
      <c r="AO515" s="191"/>
      <c r="AP515" s="191"/>
      <c r="AQ515" s="191"/>
      <c r="AR515" s="191"/>
      <c r="AS515" s="191"/>
      <c r="AT515" s="191"/>
      <c r="AU515" s="191"/>
      <c r="AV515" s="191"/>
      <c r="AW515" s="191"/>
      <c r="AX515" s="191"/>
      <c r="AY515" s="191"/>
      <c r="AZ515" s="191"/>
      <c r="BA515" s="191"/>
      <c r="BB515" s="191"/>
      <c r="BC515" s="191"/>
      <c r="BD515" s="191"/>
      <c r="BE515" s="191"/>
      <c r="BF515" s="191"/>
      <c r="BG515" s="191"/>
      <c r="BH515" s="191"/>
      <c r="BI515" s="191"/>
      <c r="BJ515" s="191"/>
      <c r="BK515" s="191"/>
      <c r="BL515" s="191"/>
      <c r="BM515" s="191"/>
      <c r="BN515" s="191"/>
      <c r="BO515" s="191"/>
      <c r="BP515" s="191"/>
      <c r="BQ515" s="191"/>
    </row>
    <row r="516" spans="11:69">
      <c r="K516" s="191"/>
      <c r="L516" s="191"/>
      <c r="M516" s="191"/>
      <c r="N516" s="191"/>
      <c r="O516" s="191"/>
      <c r="P516" s="191"/>
      <c r="Q516" s="191"/>
      <c r="R516" s="191"/>
      <c r="S516" s="191"/>
      <c r="T516" s="191"/>
      <c r="U516" s="191"/>
      <c r="V516" s="191"/>
      <c r="W516" s="191"/>
      <c r="X516" s="191"/>
      <c r="Y516" s="191"/>
      <c r="Z516" s="191"/>
      <c r="AA516" s="191"/>
      <c r="AB516" s="191"/>
      <c r="AC516" s="191"/>
      <c r="AD516" s="191"/>
      <c r="AE516" s="191"/>
      <c r="AF516" s="191"/>
      <c r="AG516" s="191"/>
      <c r="AH516" s="191"/>
      <c r="AI516" s="191"/>
      <c r="AJ516" s="191"/>
      <c r="AK516" s="191"/>
      <c r="AL516" s="191"/>
      <c r="AM516" s="191"/>
      <c r="AN516" s="191"/>
      <c r="AO516" s="191"/>
      <c r="AP516" s="191"/>
      <c r="AQ516" s="191"/>
      <c r="AR516" s="191"/>
      <c r="AS516" s="191"/>
      <c r="AT516" s="191"/>
      <c r="AU516" s="191"/>
      <c r="AV516" s="191"/>
      <c r="AW516" s="191"/>
      <c r="AX516" s="191"/>
      <c r="AY516" s="191"/>
      <c r="AZ516" s="191"/>
      <c r="BA516" s="191"/>
      <c r="BB516" s="191"/>
      <c r="BC516" s="191"/>
      <c r="BD516" s="191"/>
      <c r="BE516" s="191"/>
      <c r="BF516" s="191"/>
      <c r="BG516" s="191"/>
      <c r="BH516" s="191"/>
      <c r="BI516" s="191"/>
      <c r="BJ516" s="191"/>
      <c r="BK516" s="191"/>
      <c r="BL516" s="191"/>
      <c r="BM516" s="191"/>
      <c r="BN516" s="191"/>
      <c r="BO516" s="191"/>
      <c r="BP516" s="191"/>
      <c r="BQ516" s="191"/>
    </row>
    <row r="517" spans="11:69">
      <c r="K517" s="191"/>
      <c r="L517" s="191"/>
      <c r="M517" s="191"/>
      <c r="N517" s="191"/>
      <c r="O517" s="191"/>
      <c r="P517" s="191"/>
      <c r="Q517" s="191"/>
      <c r="R517" s="191"/>
      <c r="S517" s="191"/>
      <c r="T517" s="191"/>
      <c r="U517" s="191"/>
      <c r="V517" s="191"/>
      <c r="W517" s="191"/>
      <c r="X517" s="191"/>
      <c r="Y517" s="191"/>
      <c r="Z517" s="191"/>
      <c r="AA517" s="191"/>
      <c r="AB517" s="191"/>
      <c r="AC517" s="191"/>
      <c r="AD517" s="191"/>
      <c r="AE517" s="191"/>
      <c r="AF517" s="191"/>
      <c r="AG517" s="191"/>
      <c r="AH517" s="191"/>
      <c r="AI517" s="191"/>
      <c r="AJ517" s="191"/>
      <c r="AK517" s="191"/>
      <c r="AL517" s="191"/>
      <c r="AM517" s="191"/>
      <c r="AN517" s="191"/>
      <c r="AO517" s="191"/>
      <c r="AP517" s="191"/>
      <c r="AQ517" s="191"/>
      <c r="AR517" s="191"/>
      <c r="AS517" s="191"/>
      <c r="AT517" s="191"/>
      <c r="AU517" s="191"/>
      <c r="AV517" s="191"/>
      <c r="AW517" s="191"/>
      <c r="AX517" s="191"/>
      <c r="AY517" s="191"/>
      <c r="AZ517" s="191"/>
      <c r="BA517" s="191"/>
      <c r="BB517" s="191"/>
      <c r="BC517" s="191"/>
      <c r="BD517" s="191"/>
      <c r="BE517" s="191"/>
      <c r="BF517" s="191"/>
      <c r="BG517" s="191"/>
      <c r="BH517" s="191"/>
      <c r="BI517" s="191"/>
      <c r="BJ517" s="191"/>
      <c r="BK517" s="191"/>
      <c r="BL517" s="191"/>
      <c r="BM517" s="191"/>
      <c r="BN517" s="191"/>
      <c r="BO517" s="191"/>
      <c r="BP517" s="191"/>
      <c r="BQ517" s="191"/>
    </row>
    <row r="518" spans="11:69">
      <c r="K518" s="191"/>
      <c r="L518" s="191"/>
      <c r="M518" s="191"/>
      <c r="N518" s="191"/>
      <c r="O518" s="191"/>
      <c r="P518" s="191"/>
      <c r="Q518" s="191"/>
      <c r="R518" s="191"/>
      <c r="S518" s="191"/>
      <c r="T518" s="191"/>
      <c r="U518" s="191"/>
      <c r="V518" s="191"/>
      <c r="W518" s="191"/>
      <c r="X518" s="191"/>
      <c r="Y518" s="191"/>
      <c r="Z518" s="191"/>
      <c r="AA518" s="191"/>
      <c r="AB518" s="191"/>
      <c r="AC518" s="191"/>
      <c r="AD518" s="191"/>
      <c r="AE518" s="191"/>
      <c r="AF518" s="191"/>
      <c r="AG518" s="191"/>
      <c r="AH518" s="191"/>
      <c r="AI518" s="191"/>
      <c r="AJ518" s="191"/>
      <c r="AK518" s="191"/>
      <c r="AL518" s="191"/>
      <c r="AM518" s="191"/>
      <c r="AN518" s="191"/>
      <c r="AO518" s="191"/>
      <c r="AP518" s="191"/>
      <c r="AQ518" s="191"/>
      <c r="AR518" s="191"/>
      <c r="AS518" s="191"/>
      <c r="AT518" s="191"/>
      <c r="AU518" s="191"/>
      <c r="AV518" s="191"/>
      <c r="AW518" s="191"/>
      <c r="AX518" s="191"/>
      <c r="AY518" s="191"/>
      <c r="AZ518" s="191"/>
      <c r="BA518" s="191"/>
      <c r="BB518" s="191"/>
      <c r="BC518" s="191"/>
      <c r="BD518" s="191"/>
      <c r="BE518" s="191"/>
      <c r="BF518" s="191"/>
      <c r="BG518" s="191"/>
      <c r="BH518" s="191"/>
      <c r="BI518" s="191"/>
      <c r="BJ518" s="191"/>
      <c r="BK518" s="191"/>
      <c r="BL518" s="191"/>
      <c r="BM518" s="191"/>
      <c r="BN518" s="191"/>
      <c r="BO518" s="191"/>
      <c r="BP518" s="191"/>
      <c r="BQ518" s="191"/>
    </row>
    <row r="519" spans="11:69">
      <c r="K519" s="191"/>
      <c r="L519" s="191"/>
      <c r="M519" s="191"/>
      <c r="N519" s="191"/>
      <c r="O519" s="191"/>
      <c r="P519" s="191"/>
      <c r="Q519" s="191"/>
      <c r="R519" s="191"/>
      <c r="S519" s="191"/>
      <c r="T519" s="191"/>
      <c r="U519" s="191"/>
      <c r="V519" s="191"/>
      <c r="W519" s="191"/>
      <c r="X519" s="191"/>
      <c r="Y519" s="191"/>
      <c r="Z519" s="191"/>
      <c r="AA519" s="191"/>
      <c r="AB519" s="191"/>
      <c r="AC519" s="191"/>
      <c r="AD519" s="191"/>
      <c r="AE519" s="191"/>
      <c r="AF519" s="191"/>
      <c r="AG519" s="191"/>
      <c r="AH519" s="191"/>
      <c r="AI519" s="191"/>
      <c r="AJ519" s="191"/>
      <c r="AK519" s="191"/>
      <c r="AL519" s="191"/>
      <c r="AM519" s="191"/>
      <c r="AN519" s="191"/>
      <c r="AO519" s="191"/>
      <c r="AP519" s="191"/>
      <c r="AQ519" s="191"/>
      <c r="AR519" s="191"/>
      <c r="AS519" s="191"/>
      <c r="AT519" s="191"/>
      <c r="AU519" s="191"/>
      <c r="AV519" s="191"/>
      <c r="AW519" s="191"/>
      <c r="AX519" s="191"/>
      <c r="AY519" s="191"/>
      <c r="AZ519" s="191"/>
      <c r="BA519" s="191"/>
      <c r="BB519" s="191"/>
      <c r="BC519" s="191"/>
      <c r="BD519" s="191"/>
      <c r="BE519" s="191"/>
      <c r="BF519" s="191"/>
      <c r="BG519" s="191"/>
      <c r="BH519" s="191"/>
      <c r="BI519" s="191"/>
      <c r="BJ519" s="191"/>
      <c r="BK519" s="191"/>
      <c r="BL519" s="191"/>
      <c r="BM519" s="191"/>
      <c r="BN519" s="191"/>
      <c r="BO519" s="191"/>
      <c r="BP519" s="191"/>
      <c r="BQ519" s="191"/>
    </row>
    <row r="520" spans="11:69">
      <c r="K520" s="191"/>
      <c r="L520" s="191"/>
      <c r="M520" s="191"/>
      <c r="N520" s="191"/>
      <c r="O520" s="191"/>
      <c r="P520" s="191"/>
      <c r="Q520" s="191"/>
      <c r="R520" s="191"/>
      <c r="S520" s="191"/>
      <c r="T520" s="191"/>
      <c r="U520" s="191"/>
      <c r="V520" s="191"/>
      <c r="W520" s="191"/>
      <c r="X520" s="191"/>
      <c r="Y520" s="191"/>
      <c r="Z520" s="191"/>
      <c r="AA520" s="191"/>
      <c r="AB520" s="191"/>
      <c r="AC520" s="191"/>
      <c r="AD520" s="191"/>
      <c r="AE520" s="191"/>
      <c r="AF520" s="191"/>
      <c r="AG520" s="191"/>
      <c r="AH520" s="191"/>
      <c r="AI520" s="191"/>
      <c r="AJ520" s="191"/>
      <c r="AK520" s="191"/>
      <c r="AL520" s="191"/>
      <c r="AM520" s="191"/>
      <c r="AN520" s="191"/>
      <c r="AO520" s="191"/>
      <c r="AP520" s="191"/>
      <c r="AQ520" s="191"/>
      <c r="AR520" s="191"/>
      <c r="AS520" s="191"/>
      <c r="AT520" s="191"/>
      <c r="AU520" s="191"/>
      <c r="AV520" s="191"/>
      <c r="AW520" s="191"/>
      <c r="AX520" s="191"/>
      <c r="AY520" s="191"/>
      <c r="AZ520" s="191"/>
      <c r="BA520" s="191"/>
      <c r="BB520" s="191"/>
      <c r="BC520" s="191"/>
      <c r="BD520" s="191"/>
      <c r="BE520" s="191"/>
      <c r="BF520" s="191"/>
      <c r="BG520" s="191"/>
      <c r="BH520" s="191"/>
      <c r="BI520" s="191"/>
      <c r="BJ520" s="191"/>
      <c r="BK520" s="191"/>
      <c r="BL520" s="191"/>
      <c r="BM520" s="191"/>
      <c r="BN520" s="191"/>
      <c r="BO520" s="191"/>
      <c r="BP520" s="191"/>
      <c r="BQ520" s="191"/>
    </row>
    <row r="521" spans="11:69">
      <c r="K521" s="191"/>
      <c r="L521" s="191"/>
      <c r="M521" s="191"/>
      <c r="N521" s="191"/>
      <c r="O521" s="191"/>
      <c r="P521" s="191"/>
      <c r="Q521" s="191"/>
      <c r="R521" s="191"/>
      <c r="S521" s="191"/>
      <c r="T521" s="191"/>
      <c r="U521" s="191"/>
      <c r="V521" s="191"/>
      <c r="W521" s="191"/>
      <c r="X521" s="191"/>
      <c r="Y521" s="191"/>
      <c r="Z521" s="191"/>
      <c r="AA521" s="191"/>
      <c r="AB521" s="191"/>
      <c r="AC521" s="191"/>
      <c r="AD521" s="191"/>
      <c r="AE521" s="191"/>
      <c r="AF521" s="191"/>
      <c r="AG521" s="191"/>
      <c r="AH521" s="191"/>
      <c r="AI521" s="191"/>
      <c r="AJ521" s="191"/>
      <c r="AK521" s="191"/>
      <c r="AL521" s="191"/>
      <c r="AM521" s="191"/>
      <c r="AN521" s="191"/>
      <c r="AO521" s="191"/>
      <c r="AP521" s="191"/>
      <c r="AQ521" s="191"/>
      <c r="AR521" s="191"/>
      <c r="AS521" s="191"/>
      <c r="AT521" s="191"/>
      <c r="AU521" s="191"/>
      <c r="AV521" s="191"/>
      <c r="AW521" s="191"/>
      <c r="AX521" s="191"/>
      <c r="AY521" s="191"/>
      <c r="AZ521" s="191"/>
      <c r="BA521" s="191"/>
      <c r="BB521" s="191"/>
      <c r="BC521" s="191"/>
      <c r="BD521" s="191"/>
      <c r="BE521" s="191"/>
      <c r="BF521" s="191"/>
      <c r="BG521" s="191"/>
      <c r="BH521" s="191"/>
      <c r="BI521" s="191"/>
      <c r="BJ521" s="191"/>
      <c r="BK521" s="191"/>
      <c r="BL521" s="191"/>
      <c r="BM521" s="191"/>
      <c r="BN521" s="191"/>
      <c r="BO521" s="191"/>
      <c r="BP521" s="191"/>
      <c r="BQ521" s="191"/>
    </row>
    <row r="522" spans="11:69">
      <c r="K522" s="191"/>
      <c r="L522" s="191"/>
      <c r="M522" s="191"/>
      <c r="N522" s="191"/>
      <c r="O522" s="191"/>
      <c r="P522" s="191"/>
      <c r="Q522" s="191"/>
      <c r="R522" s="191"/>
      <c r="S522" s="191"/>
      <c r="T522" s="191"/>
      <c r="U522" s="191"/>
      <c r="V522" s="191"/>
      <c r="W522" s="191"/>
      <c r="X522" s="191"/>
      <c r="Y522" s="191"/>
      <c r="Z522" s="191"/>
      <c r="AA522" s="191"/>
      <c r="AB522" s="191"/>
      <c r="AC522" s="191"/>
      <c r="AD522" s="191"/>
      <c r="AE522" s="191"/>
      <c r="AF522" s="191"/>
      <c r="AG522" s="191"/>
      <c r="AH522" s="191"/>
      <c r="AI522" s="191"/>
      <c r="AJ522" s="191"/>
      <c r="AK522" s="191"/>
      <c r="AL522" s="191"/>
      <c r="AM522" s="191"/>
      <c r="AN522" s="191"/>
      <c r="AO522" s="191"/>
      <c r="AP522" s="191"/>
      <c r="AQ522" s="191"/>
      <c r="AR522" s="191"/>
      <c r="AS522" s="191"/>
      <c r="AT522" s="191"/>
      <c r="AU522" s="191"/>
      <c r="AV522" s="191"/>
      <c r="AW522" s="191"/>
      <c r="AX522" s="191"/>
      <c r="AY522" s="191"/>
      <c r="AZ522" s="191"/>
      <c r="BA522" s="191"/>
      <c r="BB522" s="191"/>
      <c r="BC522" s="191"/>
      <c r="BD522" s="191"/>
      <c r="BE522" s="191"/>
      <c r="BF522" s="191"/>
      <c r="BG522" s="191"/>
      <c r="BH522" s="191"/>
      <c r="BI522" s="191"/>
      <c r="BJ522" s="191"/>
      <c r="BK522" s="191"/>
      <c r="BL522" s="191"/>
      <c r="BM522" s="191"/>
      <c r="BN522" s="191"/>
      <c r="BO522" s="191"/>
      <c r="BP522" s="191"/>
      <c r="BQ522" s="191"/>
    </row>
    <row r="523" spans="11:69">
      <c r="K523" s="191"/>
      <c r="L523" s="191"/>
      <c r="M523" s="191"/>
      <c r="N523" s="191"/>
      <c r="O523" s="191"/>
      <c r="P523" s="191"/>
      <c r="Q523" s="191"/>
      <c r="R523" s="191"/>
      <c r="S523" s="191"/>
      <c r="T523" s="191"/>
      <c r="U523" s="191"/>
      <c r="V523" s="191"/>
      <c r="W523" s="191"/>
      <c r="X523" s="191"/>
      <c r="Y523" s="191"/>
      <c r="Z523" s="191"/>
      <c r="AA523" s="191"/>
      <c r="AB523" s="191"/>
      <c r="AC523" s="191"/>
      <c r="AD523" s="191"/>
      <c r="AE523" s="191"/>
      <c r="AF523" s="191"/>
      <c r="AG523" s="191"/>
      <c r="AH523" s="191"/>
      <c r="AI523" s="191"/>
      <c r="AJ523" s="191"/>
      <c r="AK523" s="191"/>
      <c r="AL523" s="191"/>
      <c r="AM523" s="191"/>
      <c r="AN523" s="191"/>
      <c r="AO523" s="191"/>
      <c r="AP523" s="191"/>
      <c r="AQ523" s="191"/>
      <c r="AR523" s="191"/>
      <c r="AS523" s="191"/>
      <c r="AT523" s="191"/>
      <c r="AU523" s="191"/>
      <c r="AV523" s="191"/>
      <c r="AW523" s="191"/>
      <c r="AX523" s="191"/>
      <c r="AY523" s="191"/>
      <c r="AZ523" s="191"/>
      <c r="BA523" s="191"/>
      <c r="BB523" s="191"/>
      <c r="BC523" s="191"/>
      <c r="BD523" s="191"/>
      <c r="BE523" s="191"/>
      <c r="BF523" s="191"/>
      <c r="BG523" s="191"/>
      <c r="BH523" s="191"/>
      <c r="BI523" s="191"/>
      <c r="BJ523" s="191"/>
      <c r="BK523" s="191"/>
      <c r="BL523" s="191"/>
      <c r="BM523" s="191"/>
      <c r="BN523" s="191"/>
      <c r="BO523" s="191"/>
      <c r="BP523" s="191"/>
      <c r="BQ523" s="191"/>
    </row>
    <row r="524" spans="11:69">
      <c r="K524" s="191"/>
      <c r="L524" s="191"/>
      <c r="M524" s="191"/>
      <c r="N524" s="191"/>
      <c r="O524" s="191"/>
      <c r="P524" s="191"/>
      <c r="Q524" s="191"/>
      <c r="R524" s="191"/>
      <c r="S524" s="191"/>
      <c r="T524" s="191"/>
      <c r="U524" s="191"/>
      <c r="V524" s="191"/>
      <c r="W524" s="191"/>
      <c r="X524" s="191"/>
      <c r="Y524" s="191"/>
      <c r="Z524" s="191"/>
      <c r="AA524" s="191"/>
      <c r="AB524" s="191"/>
      <c r="AC524" s="191"/>
      <c r="AD524" s="191"/>
      <c r="AE524" s="191"/>
      <c r="AF524" s="191"/>
      <c r="AG524" s="191"/>
      <c r="AH524" s="191"/>
      <c r="AI524" s="191"/>
      <c r="AJ524" s="191"/>
      <c r="AK524" s="191"/>
      <c r="AL524" s="191"/>
      <c r="AM524" s="191"/>
      <c r="AN524" s="191"/>
      <c r="AO524" s="191"/>
      <c r="AP524" s="191"/>
      <c r="AQ524" s="191"/>
      <c r="AR524" s="191"/>
      <c r="AS524" s="191"/>
      <c r="AT524" s="191"/>
      <c r="AU524" s="191"/>
      <c r="AV524" s="191"/>
      <c r="AW524" s="191"/>
      <c r="AX524" s="191"/>
      <c r="AY524" s="191"/>
      <c r="AZ524" s="191"/>
      <c r="BA524" s="191"/>
      <c r="BB524" s="191"/>
      <c r="BC524" s="191"/>
      <c r="BD524" s="191"/>
      <c r="BE524" s="191"/>
      <c r="BF524" s="191"/>
      <c r="BG524" s="191"/>
      <c r="BH524" s="191"/>
      <c r="BI524" s="191"/>
      <c r="BJ524" s="191"/>
      <c r="BK524" s="191"/>
      <c r="BL524" s="191"/>
      <c r="BM524" s="191"/>
      <c r="BN524" s="191"/>
      <c r="BO524" s="191"/>
      <c r="BP524" s="191"/>
      <c r="BQ524" s="191"/>
    </row>
    <row r="525" spans="11:69">
      <c r="K525" s="191"/>
      <c r="L525" s="191"/>
      <c r="M525" s="191"/>
      <c r="N525" s="191"/>
      <c r="O525" s="191"/>
      <c r="P525" s="191"/>
      <c r="Q525" s="191"/>
      <c r="R525" s="191"/>
      <c r="S525" s="191"/>
      <c r="T525" s="191"/>
      <c r="U525" s="191"/>
      <c r="V525" s="191"/>
      <c r="W525" s="191"/>
      <c r="X525" s="191"/>
      <c r="Y525" s="191"/>
      <c r="Z525" s="191"/>
      <c r="AA525" s="191"/>
      <c r="AB525" s="191"/>
      <c r="AC525" s="191"/>
      <c r="AD525" s="191"/>
      <c r="AE525" s="191"/>
      <c r="AF525" s="191"/>
      <c r="AG525" s="191"/>
      <c r="AH525" s="191"/>
      <c r="AI525" s="191"/>
      <c r="AJ525" s="191"/>
      <c r="AK525" s="191"/>
      <c r="AL525" s="191"/>
      <c r="AM525" s="191"/>
      <c r="AN525" s="191"/>
      <c r="AO525" s="191"/>
      <c r="AP525" s="191"/>
      <c r="AQ525" s="191"/>
      <c r="AR525" s="191"/>
      <c r="AS525" s="191"/>
      <c r="AT525" s="191"/>
      <c r="AU525" s="191"/>
      <c r="AV525" s="191"/>
      <c r="AW525" s="191"/>
      <c r="AX525" s="191"/>
      <c r="AY525" s="191"/>
      <c r="AZ525" s="191"/>
      <c r="BA525" s="191"/>
      <c r="BB525" s="191"/>
      <c r="BC525" s="191"/>
      <c r="BD525" s="191"/>
      <c r="BE525" s="191"/>
      <c r="BF525" s="191"/>
      <c r="BG525" s="191"/>
      <c r="BH525" s="191"/>
      <c r="BI525" s="191"/>
      <c r="BJ525" s="191"/>
      <c r="BK525" s="191"/>
      <c r="BL525" s="191"/>
      <c r="BM525" s="191"/>
      <c r="BN525" s="191"/>
      <c r="BO525" s="191"/>
      <c r="BP525" s="191"/>
      <c r="BQ525" s="191"/>
    </row>
    <row r="526" spans="11:69">
      <c r="K526" s="191"/>
      <c r="L526" s="191"/>
      <c r="M526" s="191"/>
      <c r="N526" s="191"/>
      <c r="O526" s="191"/>
      <c r="P526" s="191"/>
      <c r="Q526" s="191"/>
      <c r="R526" s="191"/>
      <c r="S526" s="191"/>
      <c r="T526" s="191"/>
      <c r="U526" s="191"/>
      <c r="V526" s="191"/>
      <c r="W526" s="191"/>
      <c r="X526" s="191"/>
      <c r="Y526" s="191"/>
      <c r="Z526" s="191"/>
      <c r="AA526" s="191"/>
      <c r="AB526" s="191"/>
      <c r="AC526" s="191"/>
      <c r="AD526" s="191"/>
      <c r="AE526" s="191"/>
      <c r="AF526" s="191"/>
      <c r="AG526" s="191"/>
      <c r="AH526" s="191"/>
      <c r="AI526" s="191"/>
      <c r="AJ526" s="191"/>
      <c r="AK526" s="191"/>
      <c r="AL526" s="191"/>
      <c r="AM526" s="191"/>
      <c r="AN526" s="191"/>
      <c r="AO526" s="191"/>
      <c r="AP526" s="191"/>
      <c r="AQ526" s="191"/>
      <c r="AR526" s="191"/>
      <c r="AS526" s="191"/>
      <c r="AT526" s="191"/>
      <c r="AU526" s="191"/>
      <c r="AV526" s="191"/>
      <c r="AW526" s="191"/>
      <c r="AX526" s="191"/>
      <c r="AY526" s="191"/>
      <c r="AZ526" s="191"/>
      <c r="BA526" s="191"/>
      <c r="BB526" s="191"/>
      <c r="BC526" s="191"/>
      <c r="BD526" s="191"/>
      <c r="BE526" s="191"/>
      <c r="BF526" s="191"/>
      <c r="BG526" s="191"/>
      <c r="BH526" s="191"/>
      <c r="BI526" s="191"/>
      <c r="BJ526" s="191"/>
      <c r="BK526" s="191"/>
      <c r="BL526" s="191"/>
      <c r="BM526" s="191"/>
      <c r="BN526" s="191"/>
      <c r="BO526" s="191"/>
      <c r="BP526" s="191"/>
      <c r="BQ526" s="191"/>
    </row>
    <row r="527" spans="11:69">
      <c r="K527" s="191"/>
      <c r="L527" s="191"/>
      <c r="M527" s="191"/>
      <c r="N527" s="191"/>
      <c r="O527" s="191"/>
      <c r="P527" s="191"/>
      <c r="Q527" s="191"/>
      <c r="R527" s="191"/>
      <c r="S527" s="191"/>
      <c r="T527" s="191"/>
      <c r="U527" s="191"/>
      <c r="V527" s="191"/>
      <c r="W527" s="191"/>
      <c r="X527" s="191"/>
      <c r="Y527" s="191"/>
      <c r="Z527" s="191"/>
      <c r="AA527" s="191"/>
      <c r="AB527" s="191"/>
      <c r="AC527" s="191"/>
      <c r="AD527" s="191"/>
      <c r="AE527" s="191"/>
      <c r="AF527" s="191"/>
      <c r="AG527" s="191"/>
      <c r="AH527" s="191"/>
      <c r="AI527" s="191"/>
      <c r="AJ527" s="191"/>
      <c r="AK527" s="191"/>
      <c r="AL527" s="191"/>
      <c r="AM527" s="191"/>
      <c r="AN527" s="191"/>
      <c r="AO527" s="191"/>
      <c r="AP527" s="191"/>
      <c r="AQ527" s="191"/>
      <c r="AR527" s="191"/>
      <c r="AS527" s="191"/>
      <c r="AT527" s="191"/>
      <c r="AU527" s="191"/>
      <c r="AV527" s="191"/>
      <c r="AW527" s="191"/>
      <c r="AX527" s="191"/>
      <c r="AY527" s="191"/>
      <c r="AZ527" s="191"/>
      <c r="BA527" s="191"/>
      <c r="BB527" s="191"/>
      <c r="BC527" s="191"/>
      <c r="BD527" s="191"/>
      <c r="BE527" s="191"/>
      <c r="BF527" s="191"/>
      <c r="BG527" s="191"/>
      <c r="BH527" s="191"/>
      <c r="BI527" s="191"/>
      <c r="BJ527" s="191"/>
      <c r="BK527" s="191"/>
      <c r="BL527" s="191"/>
      <c r="BM527" s="191"/>
      <c r="BN527" s="191"/>
      <c r="BO527" s="191"/>
      <c r="BP527" s="191"/>
      <c r="BQ527" s="191"/>
    </row>
    <row r="528" spans="11:69">
      <c r="K528" s="191"/>
      <c r="L528" s="191"/>
      <c r="M528" s="191"/>
      <c r="N528" s="191"/>
      <c r="O528" s="191"/>
      <c r="P528" s="191"/>
      <c r="Q528" s="191"/>
      <c r="R528" s="191"/>
      <c r="S528" s="191"/>
      <c r="T528" s="191"/>
      <c r="U528" s="191"/>
      <c r="V528" s="191"/>
      <c r="W528" s="191"/>
      <c r="X528" s="191"/>
      <c r="Y528" s="191"/>
      <c r="Z528" s="191"/>
      <c r="AA528" s="191"/>
      <c r="AB528" s="191"/>
      <c r="AC528" s="191"/>
      <c r="AD528" s="191"/>
      <c r="AE528" s="191"/>
      <c r="AF528" s="191"/>
      <c r="AG528" s="191"/>
      <c r="AH528" s="191"/>
      <c r="AI528" s="191"/>
      <c r="AJ528" s="191"/>
      <c r="AK528" s="191"/>
      <c r="AL528" s="191"/>
      <c r="AM528" s="191"/>
      <c r="AN528" s="191"/>
      <c r="AO528" s="191"/>
      <c r="AP528" s="191"/>
      <c r="AQ528" s="191"/>
      <c r="AR528" s="191"/>
      <c r="AS528" s="191"/>
      <c r="AT528" s="191"/>
      <c r="AU528" s="191"/>
      <c r="AV528" s="191"/>
      <c r="AW528" s="191"/>
      <c r="AX528" s="191"/>
      <c r="AY528" s="191"/>
      <c r="AZ528" s="191"/>
      <c r="BA528" s="191"/>
      <c r="BB528" s="191"/>
      <c r="BC528" s="191"/>
      <c r="BD528" s="191"/>
      <c r="BE528" s="191"/>
      <c r="BF528" s="191"/>
      <c r="BG528" s="191"/>
      <c r="BH528" s="191"/>
      <c r="BI528" s="191"/>
      <c r="BJ528" s="191"/>
      <c r="BK528" s="191"/>
      <c r="BL528" s="191"/>
      <c r="BM528" s="191"/>
      <c r="BN528" s="191"/>
      <c r="BO528" s="191"/>
      <c r="BP528" s="191"/>
      <c r="BQ528" s="191"/>
    </row>
    <row r="529" spans="11:69">
      <c r="K529" s="191"/>
      <c r="L529" s="191"/>
      <c r="M529" s="191"/>
      <c r="N529" s="191"/>
      <c r="O529" s="191"/>
      <c r="P529" s="191"/>
      <c r="Q529" s="191"/>
      <c r="R529" s="191"/>
      <c r="S529" s="191"/>
      <c r="T529" s="191"/>
      <c r="U529" s="191"/>
      <c r="V529" s="191"/>
      <c r="W529" s="191"/>
      <c r="X529" s="191"/>
      <c r="Y529" s="191"/>
      <c r="Z529" s="191"/>
      <c r="AA529" s="191"/>
      <c r="AB529" s="191"/>
      <c r="AC529" s="191"/>
      <c r="AD529" s="191"/>
      <c r="AE529" s="191"/>
      <c r="AF529" s="191"/>
      <c r="AG529" s="191"/>
      <c r="AH529" s="191"/>
      <c r="AI529" s="191"/>
      <c r="AJ529" s="191"/>
      <c r="AK529" s="191"/>
      <c r="AL529" s="191"/>
      <c r="AM529" s="191"/>
      <c r="AN529" s="191"/>
      <c r="AO529" s="191"/>
      <c r="AP529" s="191"/>
      <c r="AQ529" s="191"/>
      <c r="AR529" s="191"/>
      <c r="AS529" s="191"/>
      <c r="AT529" s="191"/>
      <c r="AU529" s="191"/>
      <c r="AV529" s="191"/>
      <c r="AW529" s="191"/>
      <c r="AX529" s="191"/>
      <c r="AY529" s="191"/>
      <c r="AZ529" s="191"/>
      <c r="BA529" s="191"/>
      <c r="BB529" s="191"/>
      <c r="BC529" s="191"/>
      <c r="BD529" s="191"/>
      <c r="BE529" s="191"/>
      <c r="BF529" s="191"/>
      <c r="BG529" s="191"/>
      <c r="BH529" s="191"/>
      <c r="BI529" s="191"/>
      <c r="BJ529" s="191"/>
      <c r="BK529" s="191"/>
      <c r="BL529" s="191"/>
      <c r="BM529" s="191"/>
      <c r="BN529" s="191"/>
      <c r="BO529" s="191"/>
      <c r="BP529" s="191"/>
      <c r="BQ529" s="191"/>
    </row>
    <row r="530" spans="11:69">
      <c r="K530" s="191"/>
      <c r="L530" s="191"/>
      <c r="M530" s="191"/>
      <c r="N530" s="191"/>
      <c r="O530" s="191"/>
      <c r="P530" s="191"/>
      <c r="Q530" s="191"/>
      <c r="R530" s="191"/>
      <c r="S530" s="191"/>
      <c r="T530" s="191"/>
      <c r="U530" s="191"/>
      <c r="V530" s="191"/>
      <c r="W530" s="191"/>
      <c r="X530" s="191"/>
      <c r="Y530" s="191"/>
      <c r="Z530" s="191"/>
      <c r="AA530" s="191"/>
      <c r="AB530" s="191"/>
      <c r="AC530" s="191"/>
      <c r="AD530" s="191"/>
      <c r="AE530" s="191"/>
      <c r="AF530" s="191"/>
      <c r="AG530" s="191"/>
      <c r="AH530" s="191"/>
      <c r="AI530" s="191"/>
      <c r="AJ530" s="191"/>
      <c r="AK530" s="191"/>
      <c r="AL530" s="191"/>
      <c r="AM530" s="191"/>
      <c r="AN530" s="191"/>
      <c r="AO530" s="191"/>
      <c r="AP530" s="191"/>
      <c r="AQ530" s="191"/>
      <c r="AR530" s="191"/>
      <c r="AS530" s="191"/>
      <c r="AT530" s="191"/>
      <c r="AU530" s="191"/>
      <c r="AV530" s="191"/>
      <c r="AW530" s="191"/>
      <c r="AX530" s="191"/>
      <c r="AY530" s="191"/>
      <c r="AZ530" s="191"/>
      <c r="BA530" s="191"/>
      <c r="BB530" s="191"/>
      <c r="BC530" s="191"/>
      <c r="BD530" s="191"/>
      <c r="BE530" s="191"/>
      <c r="BF530" s="191"/>
      <c r="BG530" s="191"/>
      <c r="BH530" s="191"/>
      <c r="BI530" s="191"/>
      <c r="BJ530" s="191"/>
      <c r="BK530" s="191"/>
      <c r="BL530" s="191"/>
      <c r="BM530" s="191"/>
      <c r="BN530" s="191"/>
      <c r="BO530" s="191"/>
      <c r="BP530" s="191"/>
      <c r="BQ530" s="191"/>
    </row>
    <row r="531" spans="11:69">
      <c r="K531" s="191"/>
      <c r="L531" s="191"/>
      <c r="M531" s="191"/>
      <c r="N531" s="191"/>
      <c r="O531" s="191"/>
      <c r="P531" s="191"/>
      <c r="Q531" s="191"/>
      <c r="R531" s="191"/>
      <c r="S531" s="191"/>
      <c r="T531" s="191"/>
      <c r="U531" s="191"/>
      <c r="V531" s="191"/>
      <c r="W531" s="191"/>
      <c r="X531" s="191"/>
      <c r="Y531" s="191"/>
      <c r="Z531" s="191"/>
      <c r="AA531" s="191"/>
      <c r="AB531" s="191"/>
      <c r="AC531" s="191"/>
      <c r="AD531" s="191"/>
      <c r="AE531" s="191"/>
      <c r="AF531" s="191"/>
      <c r="AG531" s="191"/>
      <c r="AH531" s="191"/>
      <c r="AI531" s="191"/>
      <c r="AJ531" s="191"/>
      <c r="AK531" s="191"/>
      <c r="AL531" s="191"/>
      <c r="AM531" s="191"/>
      <c r="AN531" s="191"/>
      <c r="AO531" s="191"/>
      <c r="AP531" s="191"/>
      <c r="AQ531" s="191"/>
      <c r="AR531" s="191"/>
      <c r="AS531" s="191"/>
      <c r="AT531" s="191"/>
      <c r="AU531" s="191"/>
      <c r="AV531" s="191"/>
      <c r="AW531" s="191"/>
      <c r="AX531" s="191"/>
      <c r="AY531" s="191"/>
      <c r="AZ531" s="191"/>
      <c r="BA531" s="191"/>
      <c r="BB531" s="191"/>
      <c r="BC531" s="191"/>
      <c r="BD531" s="191"/>
      <c r="BE531" s="191"/>
      <c r="BF531" s="191"/>
      <c r="BG531" s="191"/>
      <c r="BH531" s="191"/>
      <c r="BI531" s="191"/>
      <c r="BJ531" s="191"/>
      <c r="BK531" s="191"/>
      <c r="BL531" s="191"/>
      <c r="BM531" s="191"/>
      <c r="BN531" s="191"/>
      <c r="BO531" s="191"/>
      <c r="BP531" s="191"/>
      <c r="BQ531" s="191"/>
    </row>
    <row r="532" spans="11:69">
      <c r="K532" s="191"/>
      <c r="L532" s="191"/>
      <c r="M532" s="191"/>
      <c r="N532" s="191"/>
      <c r="O532" s="191"/>
      <c r="P532" s="191"/>
      <c r="Q532" s="191"/>
      <c r="R532" s="191"/>
      <c r="S532" s="191"/>
      <c r="T532" s="191"/>
      <c r="U532" s="191"/>
      <c r="V532" s="191"/>
      <c r="W532" s="191"/>
      <c r="X532" s="191"/>
      <c r="Y532" s="191"/>
      <c r="Z532" s="191"/>
      <c r="AA532" s="191"/>
      <c r="AB532" s="191"/>
      <c r="AC532" s="191"/>
      <c r="AD532" s="191"/>
      <c r="AE532" s="191"/>
      <c r="AF532" s="191"/>
      <c r="AG532" s="191"/>
      <c r="AH532" s="191"/>
      <c r="AI532" s="191"/>
      <c r="AJ532" s="191"/>
      <c r="AK532" s="191"/>
      <c r="AL532" s="191"/>
      <c r="AM532" s="191"/>
      <c r="AN532" s="191"/>
      <c r="AO532" s="191"/>
      <c r="AP532" s="191"/>
      <c r="AQ532" s="191"/>
      <c r="AR532" s="191"/>
      <c r="AS532" s="191"/>
      <c r="AT532" s="191"/>
      <c r="AU532" s="191"/>
      <c r="AV532" s="191"/>
      <c r="AW532" s="191"/>
      <c r="AX532" s="191"/>
      <c r="AY532" s="191"/>
      <c r="AZ532" s="191"/>
      <c r="BA532" s="191"/>
      <c r="BB532" s="191"/>
      <c r="BC532" s="191"/>
      <c r="BD532" s="191"/>
      <c r="BE532" s="191"/>
      <c r="BF532" s="191"/>
      <c r="BG532" s="191"/>
      <c r="BH532" s="191"/>
      <c r="BI532" s="191"/>
      <c r="BJ532" s="191"/>
      <c r="BK532" s="191"/>
      <c r="BL532" s="191"/>
      <c r="BM532" s="191"/>
      <c r="BN532" s="191"/>
      <c r="BO532" s="191"/>
      <c r="BP532" s="191"/>
      <c r="BQ532" s="191"/>
    </row>
    <row r="533" spans="11:69">
      <c r="K533" s="191"/>
      <c r="L533" s="191"/>
      <c r="M533" s="191"/>
      <c r="N533" s="191"/>
      <c r="O533" s="191"/>
      <c r="P533" s="191"/>
      <c r="Q533" s="191"/>
      <c r="R533" s="191"/>
      <c r="S533" s="191"/>
      <c r="T533" s="191"/>
      <c r="U533" s="191"/>
      <c r="V533" s="191"/>
      <c r="W533" s="191"/>
      <c r="X533" s="191"/>
      <c r="Y533" s="191"/>
      <c r="Z533" s="191"/>
      <c r="AA533" s="191"/>
      <c r="AB533" s="191"/>
      <c r="AC533" s="191"/>
      <c r="AD533" s="191"/>
      <c r="AE533" s="191"/>
      <c r="AF533" s="191"/>
      <c r="AG533" s="191"/>
      <c r="AH533" s="191"/>
      <c r="AI533" s="191"/>
      <c r="AJ533" s="191"/>
      <c r="AK533" s="191"/>
      <c r="AL533" s="191"/>
      <c r="AM533" s="191"/>
      <c r="AN533" s="191"/>
      <c r="AO533" s="191"/>
      <c r="AP533" s="191"/>
      <c r="AQ533" s="191"/>
      <c r="AR533" s="191"/>
      <c r="AS533" s="191"/>
      <c r="AT533" s="191"/>
      <c r="AU533" s="191"/>
      <c r="AV533" s="191"/>
      <c r="AW533" s="191"/>
      <c r="AX533" s="191"/>
      <c r="AY533" s="191"/>
      <c r="AZ533" s="191"/>
      <c r="BA533" s="191"/>
      <c r="BB533" s="191"/>
      <c r="BC533" s="191"/>
      <c r="BD533" s="191"/>
      <c r="BE533" s="191"/>
      <c r="BF533" s="191"/>
      <c r="BG533" s="191"/>
      <c r="BH533" s="191"/>
      <c r="BI533" s="191"/>
      <c r="BJ533" s="191"/>
      <c r="BK533" s="191"/>
      <c r="BL533" s="191"/>
      <c r="BM533" s="191"/>
      <c r="BN533" s="191"/>
      <c r="BO533" s="191"/>
      <c r="BP533" s="191"/>
      <c r="BQ533" s="191"/>
    </row>
    <row r="534" spans="11:69">
      <c r="K534" s="191"/>
      <c r="L534" s="191"/>
      <c r="M534" s="191"/>
      <c r="N534" s="191"/>
      <c r="O534" s="191"/>
      <c r="P534" s="191"/>
      <c r="Q534" s="191"/>
      <c r="R534" s="191"/>
      <c r="S534" s="191"/>
      <c r="T534" s="191"/>
      <c r="U534" s="191"/>
      <c r="V534" s="191"/>
      <c r="W534" s="191"/>
      <c r="X534" s="191"/>
      <c r="Y534" s="191"/>
      <c r="Z534" s="191"/>
      <c r="AA534" s="191"/>
      <c r="AB534" s="191"/>
      <c r="AC534" s="191"/>
      <c r="AD534" s="191"/>
      <c r="AE534" s="191"/>
      <c r="AF534" s="191"/>
      <c r="AG534" s="191"/>
      <c r="AH534" s="191"/>
      <c r="AI534" s="191"/>
      <c r="AJ534" s="191"/>
      <c r="AK534" s="191"/>
      <c r="AL534" s="191"/>
      <c r="AM534" s="191"/>
      <c r="AN534" s="191"/>
      <c r="AO534" s="191"/>
      <c r="AP534" s="191"/>
      <c r="AQ534" s="191"/>
      <c r="AR534" s="191"/>
      <c r="AS534" s="191"/>
      <c r="AT534" s="191"/>
      <c r="AU534" s="191"/>
      <c r="AV534" s="191"/>
      <c r="AW534" s="191"/>
      <c r="AX534" s="191"/>
      <c r="AY534" s="191"/>
      <c r="AZ534" s="191"/>
      <c r="BA534" s="191"/>
      <c r="BB534" s="191"/>
      <c r="BC534" s="191"/>
      <c r="BD534" s="191"/>
      <c r="BE534" s="191"/>
      <c r="BF534" s="191"/>
      <c r="BG534" s="191"/>
      <c r="BH534" s="191"/>
      <c r="BI534" s="191"/>
      <c r="BJ534" s="191"/>
      <c r="BK534" s="191"/>
      <c r="BL534" s="191"/>
      <c r="BM534" s="191"/>
      <c r="BN534" s="191"/>
      <c r="BO534" s="191"/>
      <c r="BP534" s="191"/>
      <c r="BQ534" s="191"/>
    </row>
    <row r="535" spans="11:69">
      <c r="K535" s="191"/>
      <c r="L535" s="191"/>
      <c r="M535" s="191"/>
      <c r="N535" s="191"/>
      <c r="O535" s="191"/>
      <c r="P535" s="191"/>
      <c r="Q535" s="191"/>
      <c r="R535" s="191"/>
      <c r="S535" s="191"/>
      <c r="T535" s="191"/>
      <c r="U535" s="191"/>
      <c r="V535" s="191"/>
      <c r="W535" s="191"/>
      <c r="X535" s="191"/>
      <c r="Y535" s="191"/>
      <c r="Z535" s="191"/>
      <c r="AA535" s="191"/>
      <c r="AB535" s="191"/>
      <c r="AC535" s="191"/>
      <c r="AD535" s="191"/>
      <c r="AE535" s="191"/>
      <c r="AF535" s="191"/>
      <c r="AG535" s="191"/>
      <c r="AH535" s="191"/>
      <c r="AI535" s="191"/>
      <c r="AJ535" s="191"/>
      <c r="AK535" s="191"/>
      <c r="AL535" s="191"/>
      <c r="AM535" s="191"/>
      <c r="AN535" s="191"/>
      <c r="AO535" s="191"/>
      <c r="AP535" s="191"/>
      <c r="AQ535" s="191"/>
      <c r="AR535" s="191"/>
      <c r="AS535" s="191"/>
      <c r="AT535" s="191"/>
      <c r="AU535" s="191"/>
      <c r="AV535" s="191"/>
      <c r="AW535" s="191"/>
      <c r="AX535" s="191"/>
      <c r="AY535" s="191"/>
      <c r="AZ535" s="191"/>
      <c r="BA535" s="191"/>
      <c r="BB535" s="191"/>
      <c r="BC535" s="191"/>
      <c r="BD535" s="191"/>
      <c r="BE535" s="191"/>
      <c r="BF535" s="191"/>
      <c r="BG535" s="191"/>
      <c r="BH535" s="191"/>
      <c r="BI535" s="191"/>
      <c r="BJ535" s="191"/>
      <c r="BK535" s="191"/>
      <c r="BL535" s="191"/>
      <c r="BM535" s="191"/>
      <c r="BN535" s="191"/>
      <c r="BO535" s="191"/>
      <c r="BP535" s="191"/>
      <c r="BQ535" s="191"/>
    </row>
    <row r="536" spans="11:69">
      <c r="K536" s="191"/>
      <c r="L536" s="191"/>
      <c r="M536" s="191"/>
      <c r="N536" s="191"/>
      <c r="O536" s="191"/>
      <c r="P536" s="191"/>
      <c r="Q536" s="191"/>
      <c r="R536" s="191"/>
      <c r="S536" s="191"/>
      <c r="T536" s="191"/>
      <c r="U536" s="191"/>
      <c r="V536" s="191"/>
      <c r="W536" s="191"/>
      <c r="X536" s="191"/>
      <c r="Y536" s="191"/>
      <c r="Z536" s="191"/>
      <c r="AA536" s="191"/>
      <c r="AB536" s="191"/>
      <c r="AC536" s="191"/>
      <c r="AD536" s="191"/>
      <c r="AE536" s="191"/>
      <c r="AF536" s="191"/>
      <c r="AG536" s="191"/>
      <c r="AH536" s="191"/>
      <c r="AI536" s="191"/>
      <c r="AJ536" s="191"/>
      <c r="AK536" s="191"/>
      <c r="AL536" s="191"/>
      <c r="AM536" s="191"/>
      <c r="AN536" s="191"/>
      <c r="AO536" s="191"/>
      <c r="AP536" s="191"/>
      <c r="AQ536" s="191"/>
      <c r="AR536" s="191"/>
      <c r="AS536" s="191"/>
      <c r="AT536" s="191"/>
      <c r="AU536" s="191"/>
      <c r="AV536" s="191"/>
      <c r="AW536" s="191"/>
      <c r="AX536" s="191"/>
      <c r="AY536" s="191"/>
      <c r="AZ536" s="191"/>
      <c r="BA536" s="191"/>
      <c r="BB536" s="191"/>
      <c r="BC536" s="191"/>
      <c r="BD536" s="191"/>
      <c r="BE536" s="191"/>
      <c r="BF536" s="191"/>
      <c r="BG536" s="191"/>
      <c r="BH536" s="191"/>
      <c r="BI536" s="191"/>
      <c r="BJ536" s="191"/>
      <c r="BK536" s="191"/>
      <c r="BL536" s="191"/>
      <c r="BM536" s="191"/>
      <c r="BN536" s="191"/>
      <c r="BO536" s="191"/>
      <c r="BP536" s="191"/>
      <c r="BQ536" s="191"/>
    </row>
    <row r="537" spans="11:69">
      <c r="K537" s="191"/>
      <c r="L537" s="191"/>
      <c r="M537" s="191"/>
      <c r="N537" s="191"/>
      <c r="O537" s="191"/>
      <c r="P537" s="191"/>
      <c r="Q537" s="191"/>
      <c r="R537" s="191"/>
      <c r="S537" s="191"/>
      <c r="T537" s="191"/>
      <c r="U537" s="191"/>
      <c r="V537" s="191"/>
      <c r="W537" s="191"/>
      <c r="X537" s="191"/>
      <c r="Y537" s="191"/>
      <c r="Z537" s="191"/>
      <c r="AA537" s="191"/>
      <c r="AB537" s="191"/>
      <c r="AC537" s="191"/>
      <c r="AD537" s="191"/>
      <c r="AE537" s="191"/>
      <c r="AF537" s="191"/>
      <c r="AG537" s="191"/>
      <c r="AH537" s="191"/>
      <c r="AI537" s="191"/>
      <c r="AJ537" s="191"/>
      <c r="AK537" s="191"/>
      <c r="AL537" s="191"/>
      <c r="AM537" s="191"/>
      <c r="AN537" s="191"/>
      <c r="AO537" s="191"/>
      <c r="AP537" s="191"/>
      <c r="AQ537" s="191"/>
      <c r="AR537" s="191"/>
      <c r="AS537" s="191"/>
      <c r="AT537" s="191"/>
      <c r="AU537" s="191"/>
      <c r="AV537" s="191"/>
      <c r="AW537" s="191"/>
      <c r="AX537" s="191"/>
      <c r="AY537" s="191"/>
      <c r="AZ537" s="191"/>
      <c r="BA537" s="191"/>
      <c r="BB537" s="191"/>
      <c r="BC537" s="191"/>
      <c r="BD537" s="191"/>
      <c r="BE537" s="191"/>
      <c r="BF537" s="191"/>
      <c r="BG537" s="191"/>
      <c r="BH537" s="191"/>
      <c r="BI537" s="191"/>
      <c r="BJ537" s="191"/>
      <c r="BK537" s="191"/>
      <c r="BL537" s="191"/>
      <c r="BM537" s="191"/>
      <c r="BN537" s="191"/>
      <c r="BO537" s="191"/>
      <c r="BP537" s="191"/>
      <c r="BQ537" s="191"/>
    </row>
    <row r="538" spans="11:69">
      <c r="K538" s="191"/>
      <c r="L538" s="191"/>
      <c r="M538" s="191"/>
      <c r="N538" s="191"/>
      <c r="O538" s="191"/>
      <c r="P538" s="191"/>
      <c r="Q538" s="191"/>
      <c r="R538" s="191"/>
      <c r="S538" s="191"/>
      <c r="T538" s="191"/>
      <c r="U538" s="191"/>
      <c r="V538" s="191"/>
      <c r="W538" s="191"/>
      <c r="X538" s="191"/>
      <c r="Y538" s="191"/>
      <c r="Z538" s="191"/>
      <c r="AA538" s="191"/>
      <c r="AB538" s="191"/>
      <c r="AC538" s="191"/>
      <c r="AD538" s="191"/>
      <c r="AE538" s="191"/>
      <c r="AF538" s="191"/>
      <c r="AG538" s="191"/>
      <c r="AH538" s="191"/>
      <c r="AI538" s="191"/>
      <c r="AJ538" s="191"/>
      <c r="AK538" s="191"/>
      <c r="AL538" s="191"/>
      <c r="AM538" s="191"/>
      <c r="AN538" s="191"/>
      <c r="AO538" s="191"/>
      <c r="AP538" s="191"/>
      <c r="AQ538" s="191"/>
      <c r="AR538" s="191"/>
      <c r="AS538" s="191"/>
      <c r="AT538" s="191"/>
      <c r="AU538" s="191"/>
      <c r="AV538" s="191"/>
      <c r="AW538" s="191"/>
      <c r="AX538" s="191"/>
      <c r="AY538" s="191"/>
      <c r="AZ538" s="191"/>
      <c r="BA538" s="191"/>
      <c r="BB538" s="191"/>
      <c r="BC538" s="191"/>
      <c r="BD538" s="191"/>
      <c r="BE538" s="191"/>
      <c r="BF538" s="191"/>
      <c r="BG538" s="191"/>
      <c r="BH538" s="191"/>
      <c r="BI538" s="191"/>
      <c r="BJ538" s="191"/>
      <c r="BK538" s="191"/>
      <c r="BL538" s="191"/>
      <c r="BM538" s="191"/>
      <c r="BN538" s="191"/>
      <c r="BO538" s="191"/>
      <c r="BP538" s="191"/>
      <c r="BQ538" s="191"/>
    </row>
    <row r="539" spans="11:69">
      <c r="K539" s="191"/>
      <c r="L539" s="191"/>
      <c r="M539" s="191"/>
      <c r="N539" s="191"/>
      <c r="O539" s="191"/>
      <c r="P539" s="191"/>
      <c r="Q539" s="191"/>
      <c r="R539" s="191"/>
      <c r="S539" s="191"/>
      <c r="T539" s="191"/>
      <c r="U539" s="191"/>
      <c r="V539" s="191"/>
      <c r="W539" s="191"/>
      <c r="X539" s="191"/>
      <c r="Y539" s="191"/>
      <c r="Z539" s="191"/>
      <c r="AA539" s="191"/>
      <c r="AB539" s="191"/>
      <c r="AC539" s="191"/>
      <c r="AD539" s="191"/>
      <c r="AE539" s="191"/>
      <c r="AF539" s="191"/>
      <c r="AG539" s="191"/>
      <c r="AH539" s="191"/>
      <c r="AI539" s="191"/>
      <c r="AJ539" s="191"/>
      <c r="AK539" s="191"/>
      <c r="AL539" s="191"/>
      <c r="AM539" s="191"/>
      <c r="AN539" s="191"/>
      <c r="AO539" s="191"/>
      <c r="AP539" s="191"/>
      <c r="AQ539" s="191"/>
      <c r="AR539" s="191"/>
      <c r="AS539" s="191"/>
      <c r="AT539" s="191"/>
      <c r="AU539" s="191"/>
      <c r="AV539" s="191"/>
      <c r="AW539" s="191"/>
      <c r="AX539" s="191"/>
      <c r="AY539" s="191"/>
      <c r="AZ539" s="191"/>
      <c r="BA539" s="191"/>
      <c r="BB539" s="191"/>
      <c r="BC539" s="191"/>
      <c r="BD539" s="191"/>
      <c r="BE539" s="191"/>
      <c r="BF539" s="191"/>
      <c r="BG539" s="191"/>
      <c r="BH539" s="191"/>
      <c r="BI539" s="191"/>
      <c r="BJ539" s="191"/>
      <c r="BK539" s="191"/>
      <c r="BL539" s="191"/>
      <c r="BM539" s="191"/>
      <c r="BN539" s="191"/>
      <c r="BO539" s="191"/>
      <c r="BP539" s="191"/>
      <c r="BQ539" s="191"/>
    </row>
    <row r="540" spans="11:69">
      <c r="K540" s="191"/>
      <c r="L540" s="191"/>
      <c r="M540" s="191"/>
      <c r="N540" s="191"/>
      <c r="O540" s="191"/>
      <c r="P540" s="191"/>
      <c r="Q540" s="191"/>
      <c r="R540" s="191"/>
      <c r="S540" s="191"/>
      <c r="T540" s="191"/>
      <c r="U540" s="191"/>
      <c r="V540" s="191"/>
      <c r="W540" s="191"/>
      <c r="X540" s="191"/>
      <c r="Y540" s="191"/>
      <c r="Z540" s="191"/>
      <c r="AA540" s="191"/>
      <c r="AB540" s="191"/>
      <c r="AC540" s="191"/>
      <c r="AD540" s="191"/>
      <c r="AE540" s="191"/>
      <c r="AF540" s="191"/>
      <c r="AG540" s="191"/>
      <c r="AH540" s="191"/>
      <c r="AI540" s="191"/>
      <c r="AJ540" s="191"/>
      <c r="AK540" s="191"/>
      <c r="AL540" s="191"/>
      <c r="AM540" s="191"/>
      <c r="AN540" s="191"/>
      <c r="AO540" s="191"/>
      <c r="AP540" s="191"/>
      <c r="AQ540" s="191"/>
      <c r="AR540" s="191"/>
      <c r="AS540" s="191"/>
      <c r="AT540" s="191"/>
      <c r="AU540" s="191"/>
      <c r="AV540" s="191"/>
      <c r="AW540" s="191"/>
      <c r="AX540" s="191"/>
      <c r="AY540" s="191"/>
      <c r="AZ540" s="191"/>
      <c r="BA540" s="191"/>
      <c r="BB540" s="191"/>
      <c r="BC540" s="191"/>
      <c r="BD540" s="191"/>
      <c r="BE540" s="191"/>
      <c r="BF540" s="191"/>
      <c r="BG540" s="191"/>
      <c r="BH540" s="191"/>
      <c r="BI540" s="191"/>
      <c r="BJ540" s="191"/>
      <c r="BK540" s="191"/>
      <c r="BL540" s="191"/>
      <c r="BM540" s="191"/>
      <c r="BN540" s="191"/>
      <c r="BO540" s="191"/>
      <c r="BP540" s="191"/>
      <c r="BQ540" s="191"/>
    </row>
    <row r="541" spans="11:69">
      <c r="K541" s="191"/>
      <c r="L541" s="191"/>
      <c r="M541" s="191"/>
      <c r="N541" s="191"/>
      <c r="O541" s="191"/>
      <c r="P541" s="191"/>
      <c r="Q541" s="191"/>
      <c r="R541" s="191"/>
      <c r="S541" s="191"/>
      <c r="T541" s="191"/>
      <c r="U541" s="191"/>
      <c r="V541" s="191"/>
      <c r="W541" s="191"/>
      <c r="X541" s="191"/>
      <c r="Y541" s="191"/>
      <c r="Z541" s="191"/>
      <c r="AA541" s="191"/>
      <c r="AB541" s="191"/>
      <c r="AC541" s="191"/>
      <c r="AD541" s="191"/>
      <c r="AE541" s="191"/>
      <c r="AF541" s="191"/>
      <c r="AG541" s="191"/>
      <c r="AH541" s="191"/>
      <c r="AI541" s="191"/>
      <c r="AJ541" s="191"/>
      <c r="AK541" s="191"/>
      <c r="AL541" s="191"/>
      <c r="AM541" s="191"/>
      <c r="AN541" s="191"/>
      <c r="AO541" s="191"/>
      <c r="AP541" s="191"/>
      <c r="AQ541" s="191"/>
      <c r="AR541" s="191"/>
      <c r="AS541" s="191"/>
      <c r="AT541" s="191"/>
      <c r="AU541" s="191"/>
      <c r="AV541" s="191"/>
      <c r="AW541" s="191"/>
      <c r="AX541" s="191"/>
      <c r="AY541" s="191"/>
      <c r="AZ541" s="191"/>
      <c r="BA541" s="191"/>
      <c r="BB541" s="191"/>
      <c r="BC541" s="191"/>
      <c r="BD541" s="191"/>
      <c r="BE541" s="191"/>
      <c r="BF541" s="191"/>
      <c r="BG541" s="191"/>
      <c r="BH541" s="191"/>
      <c r="BI541" s="191"/>
      <c r="BJ541" s="191"/>
      <c r="BK541" s="191"/>
      <c r="BL541" s="191"/>
      <c r="BM541" s="191"/>
      <c r="BN541" s="191"/>
      <c r="BO541" s="191"/>
      <c r="BP541" s="191"/>
      <c r="BQ541" s="191"/>
    </row>
    <row r="542" spans="11:69">
      <c r="K542" s="191"/>
      <c r="L542" s="191"/>
      <c r="M542" s="191"/>
      <c r="N542" s="191"/>
      <c r="O542" s="191"/>
      <c r="P542" s="191"/>
      <c r="Q542" s="191"/>
      <c r="R542" s="191"/>
      <c r="S542" s="191"/>
      <c r="T542" s="191"/>
      <c r="U542" s="191"/>
      <c r="V542" s="191"/>
      <c r="W542" s="191"/>
      <c r="X542" s="191"/>
      <c r="Y542" s="191"/>
      <c r="Z542" s="191"/>
      <c r="AA542" s="191"/>
      <c r="AB542" s="191"/>
      <c r="AC542" s="191"/>
      <c r="AD542" s="191"/>
      <c r="AE542" s="191"/>
      <c r="AF542" s="191"/>
      <c r="AG542" s="191"/>
      <c r="AH542" s="191"/>
      <c r="AI542" s="191"/>
      <c r="AJ542" s="191"/>
      <c r="AK542" s="191"/>
      <c r="AL542" s="191"/>
      <c r="AM542" s="191"/>
      <c r="AN542" s="191"/>
      <c r="AO542" s="191"/>
      <c r="AP542" s="191"/>
      <c r="AQ542" s="191"/>
      <c r="AR542" s="191"/>
      <c r="AS542" s="191"/>
      <c r="AT542" s="191"/>
      <c r="AU542" s="191"/>
      <c r="AV542" s="191"/>
      <c r="AW542" s="191"/>
      <c r="AX542" s="191"/>
      <c r="AY542" s="191"/>
      <c r="AZ542" s="191"/>
      <c r="BA542" s="191"/>
      <c r="BB542" s="191"/>
      <c r="BC542" s="191"/>
      <c r="BD542" s="191"/>
      <c r="BE542" s="191"/>
      <c r="BF542" s="191"/>
      <c r="BG542" s="191"/>
      <c r="BH542" s="191"/>
      <c r="BI542" s="191"/>
      <c r="BJ542" s="191"/>
      <c r="BK542" s="191"/>
      <c r="BL542" s="191"/>
      <c r="BM542" s="191"/>
      <c r="BN542" s="191"/>
      <c r="BO542" s="191"/>
      <c r="BP542" s="191"/>
      <c r="BQ542" s="191"/>
    </row>
    <row r="543" spans="11:69">
      <c r="K543" s="191"/>
      <c r="L543" s="191"/>
      <c r="M543" s="191"/>
      <c r="N543" s="191"/>
      <c r="O543" s="191"/>
      <c r="P543" s="191"/>
      <c r="Q543" s="191"/>
      <c r="R543" s="191"/>
      <c r="S543" s="191"/>
      <c r="T543" s="191"/>
      <c r="U543" s="191"/>
      <c r="V543" s="191"/>
      <c r="W543" s="191"/>
      <c r="X543" s="191"/>
      <c r="Y543" s="191"/>
      <c r="Z543" s="191"/>
      <c r="AA543" s="191"/>
      <c r="AB543" s="191"/>
      <c r="AC543" s="191"/>
      <c r="AD543" s="191"/>
      <c r="AE543" s="191"/>
      <c r="AF543" s="191"/>
      <c r="AG543" s="191"/>
      <c r="AH543" s="191"/>
      <c r="AI543" s="191"/>
      <c r="AJ543" s="191"/>
      <c r="AK543" s="191"/>
      <c r="AL543" s="191"/>
      <c r="AM543" s="191"/>
      <c r="AN543" s="191"/>
      <c r="AO543" s="191"/>
      <c r="AP543" s="191"/>
      <c r="AQ543" s="191"/>
      <c r="AR543" s="191"/>
      <c r="AS543" s="191"/>
      <c r="AT543" s="191"/>
      <c r="AU543" s="191"/>
      <c r="AV543" s="191"/>
      <c r="AW543" s="191"/>
      <c r="AX543" s="191"/>
      <c r="AY543" s="191"/>
      <c r="AZ543" s="191"/>
      <c r="BA543" s="191"/>
      <c r="BB543" s="191"/>
      <c r="BC543" s="191"/>
      <c r="BD543" s="191"/>
      <c r="BE543" s="191"/>
      <c r="BF543" s="191"/>
      <c r="BG543" s="191"/>
      <c r="BH543" s="191"/>
      <c r="BI543" s="191"/>
      <c r="BJ543" s="191"/>
      <c r="BK543" s="191"/>
      <c r="BL543" s="191"/>
      <c r="BM543" s="191"/>
      <c r="BN543" s="191"/>
      <c r="BO543" s="191"/>
      <c r="BP543" s="191"/>
      <c r="BQ543" s="191"/>
    </row>
    <row r="544" spans="11:69">
      <c r="K544" s="191"/>
      <c r="L544" s="191"/>
      <c r="M544" s="191"/>
      <c r="N544" s="191"/>
      <c r="O544" s="191"/>
      <c r="P544" s="191"/>
      <c r="Q544" s="191"/>
      <c r="R544" s="191"/>
      <c r="S544" s="191"/>
      <c r="T544" s="191"/>
      <c r="U544" s="191"/>
      <c r="V544" s="191"/>
      <c r="W544" s="191"/>
      <c r="X544" s="191"/>
      <c r="Y544" s="191"/>
      <c r="Z544" s="191"/>
      <c r="AA544" s="191"/>
      <c r="AB544" s="191"/>
      <c r="AC544" s="191"/>
      <c r="AD544" s="191"/>
      <c r="AE544" s="191"/>
      <c r="AF544" s="191"/>
      <c r="AG544" s="191"/>
      <c r="AH544" s="191"/>
      <c r="AI544" s="191"/>
      <c r="AJ544" s="191"/>
      <c r="AK544" s="191"/>
      <c r="AL544" s="191"/>
      <c r="AM544" s="191"/>
      <c r="AN544" s="191"/>
      <c r="AO544" s="191"/>
      <c r="AP544" s="191"/>
      <c r="AQ544" s="191"/>
      <c r="AR544" s="191"/>
      <c r="AS544" s="191"/>
      <c r="AT544" s="191"/>
      <c r="AU544" s="191"/>
      <c r="AV544" s="191"/>
      <c r="AW544" s="191"/>
      <c r="AX544" s="191"/>
      <c r="AY544" s="191"/>
      <c r="AZ544" s="191"/>
      <c r="BA544" s="191"/>
      <c r="BB544" s="191"/>
      <c r="BC544" s="191"/>
      <c r="BD544" s="191"/>
      <c r="BE544" s="191"/>
      <c r="BF544" s="191"/>
      <c r="BG544" s="191"/>
      <c r="BH544" s="191"/>
      <c r="BI544" s="191"/>
      <c r="BJ544" s="191"/>
      <c r="BK544" s="191"/>
      <c r="BL544" s="191"/>
      <c r="BM544" s="191"/>
      <c r="BN544" s="191"/>
      <c r="BO544" s="191"/>
      <c r="BP544" s="191"/>
      <c r="BQ544" s="191"/>
    </row>
    <row r="545" spans="11:69">
      <c r="K545" s="191"/>
      <c r="L545" s="191"/>
      <c r="M545" s="191"/>
      <c r="N545" s="191"/>
      <c r="O545" s="191"/>
      <c r="P545" s="191"/>
      <c r="Q545" s="191"/>
      <c r="R545" s="191"/>
      <c r="S545" s="191"/>
      <c r="T545" s="191"/>
      <c r="U545" s="191"/>
      <c r="V545" s="191"/>
      <c r="W545" s="191"/>
      <c r="X545" s="191"/>
      <c r="Y545" s="191"/>
      <c r="Z545" s="191"/>
      <c r="AA545" s="191"/>
      <c r="AB545" s="191"/>
      <c r="AC545" s="191"/>
      <c r="AD545" s="191"/>
      <c r="AE545" s="191"/>
      <c r="AF545" s="191"/>
      <c r="AG545" s="191"/>
      <c r="AH545" s="191"/>
      <c r="AI545" s="191"/>
      <c r="AJ545" s="191"/>
      <c r="AK545" s="191"/>
      <c r="AL545" s="191"/>
      <c r="AM545" s="191"/>
      <c r="AN545" s="191"/>
      <c r="AO545" s="191"/>
      <c r="AP545" s="191"/>
      <c r="AQ545" s="191"/>
      <c r="AR545" s="191"/>
      <c r="AS545" s="191"/>
      <c r="AT545" s="191"/>
      <c r="AU545" s="191"/>
      <c r="AV545" s="191"/>
      <c r="AW545" s="191"/>
      <c r="AX545" s="191"/>
      <c r="AY545" s="191"/>
      <c r="AZ545" s="191"/>
      <c r="BA545" s="191"/>
      <c r="BB545" s="191"/>
      <c r="BC545" s="191"/>
      <c r="BD545" s="191"/>
      <c r="BE545" s="191"/>
      <c r="BF545" s="191"/>
      <c r="BG545" s="191"/>
      <c r="BH545" s="191"/>
      <c r="BI545" s="191"/>
      <c r="BJ545" s="191"/>
      <c r="BK545" s="191"/>
      <c r="BL545" s="191"/>
      <c r="BM545" s="191"/>
      <c r="BN545" s="191"/>
      <c r="BO545" s="191"/>
      <c r="BP545" s="191"/>
      <c r="BQ545" s="191"/>
    </row>
    <row r="546" spans="11:69">
      <c r="K546" s="191"/>
      <c r="L546" s="191"/>
      <c r="M546" s="191"/>
      <c r="N546" s="191"/>
      <c r="O546" s="191"/>
      <c r="P546" s="191"/>
      <c r="Q546" s="191"/>
      <c r="R546" s="191"/>
      <c r="S546" s="191"/>
      <c r="T546" s="191"/>
      <c r="U546" s="191"/>
      <c r="V546" s="191"/>
      <c r="W546" s="191"/>
      <c r="X546" s="191"/>
      <c r="Y546" s="191"/>
      <c r="Z546" s="191"/>
      <c r="AA546" s="191"/>
      <c r="AB546" s="191"/>
      <c r="AC546" s="191"/>
      <c r="AD546" s="191"/>
      <c r="AE546" s="191"/>
      <c r="AF546" s="191"/>
      <c r="AG546" s="191"/>
      <c r="AH546" s="191"/>
      <c r="AI546" s="191"/>
      <c r="AJ546" s="191"/>
      <c r="AK546" s="191"/>
      <c r="AL546" s="191"/>
      <c r="AM546" s="191"/>
      <c r="AN546" s="191"/>
      <c r="AO546" s="191"/>
      <c r="AP546" s="191"/>
      <c r="AQ546" s="191"/>
      <c r="AR546" s="191"/>
      <c r="AS546" s="191"/>
      <c r="AT546" s="191"/>
      <c r="AU546" s="191"/>
      <c r="AV546" s="191"/>
      <c r="AW546" s="191"/>
      <c r="AX546" s="191"/>
      <c r="AY546" s="191"/>
      <c r="AZ546" s="191"/>
      <c r="BA546" s="191"/>
      <c r="BB546" s="191"/>
      <c r="BC546" s="191"/>
      <c r="BD546" s="191"/>
      <c r="BE546" s="191"/>
      <c r="BF546" s="191"/>
      <c r="BG546" s="191"/>
      <c r="BH546" s="191"/>
      <c r="BI546" s="191"/>
      <c r="BJ546" s="191"/>
      <c r="BK546" s="191"/>
      <c r="BL546" s="191"/>
      <c r="BM546" s="191"/>
      <c r="BN546" s="191"/>
      <c r="BO546" s="191"/>
      <c r="BP546" s="191"/>
      <c r="BQ546" s="191"/>
    </row>
    <row r="547" spans="11:69">
      <c r="K547" s="191"/>
      <c r="L547" s="191"/>
      <c r="M547" s="191"/>
      <c r="N547" s="191"/>
      <c r="O547" s="191"/>
      <c r="P547" s="191"/>
      <c r="Q547" s="191"/>
      <c r="R547" s="191"/>
      <c r="S547" s="191"/>
      <c r="T547" s="191"/>
      <c r="U547" s="191"/>
      <c r="V547" s="191"/>
      <c r="W547" s="191"/>
      <c r="X547" s="191"/>
      <c r="Y547" s="191"/>
      <c r="Z547" s="191"/>
      <c r="AA547" s="191"/>
      <c r="AB547" s="191"/>
      <c r="AC547" s="191"/>
      <c r="AD547" s="191"/>
      <c r="AE547" s="191"/>
      <c r="AF547" s="191"/>
      <c r="AG547" s="191"/>
      <c r="AH547" s="191"/>
      <c r="AI547" s="191"/>
      <c r="AJ547" s="191"/>
      <c r="AK547" s="191"/>
      <c r="AL547" s="191"/>
      <c r="AM547" s="191"/>
      <c r="AN547" s="191"/>
      <c r="AO547" s="191"/>
      <c r="AP547" s="191"/>
      <c r="AQ547" s="191"/>
      <c r="AR547" s="191"/>
      <c r="AS547" s="191"/>
      <c r="AT547" s="191"/>
      <c r="AU547" s="191"/>
      <c r="AV547" s="191"/>
      <c r="AW547" s="191"/>
      <c r="AX547" s="191"/>
      <c r="AY547" s="191"/>
      <c r="AZ547" s="191"/>
      <c r="BA547" s="191"/>
      <c r="BB547" s="191"/>
      <c r="BC547" s="191"/>
      <c r="BD547" s="191"/>
      <c r="BE547" s="191"/>
      <c r="BF547" s="191"/>
      <c r="BG547" s="191"/>
      <c r="BH547" s="191"/>
      <c r="BI547" s="191"/>
      <c r="BJ547" s="191"/>
      <c r="BK547" s="191"/>
      <c r="BL547" s="191"/>
      <c r="BM547" s="191"/>
      <c r="BN547" s="191"/>
      <c r="BO547" s="191"/>
      <c r="BP547" s="191"/>
      <c r="BQ547" s="191"/>
    </row>
    <row r="548" spans="11:69">
      <c r="K548" s="191"/>
      <c r="L548" s="191"/>
      <c r="M548" s="191"/>
      <c r="N548" s="191"/>
      <c r="O548" s="191"/>
      <c r="P548" s="191"/>
      <c r="Q548" s="191"/>
      <c r="R548" s="191"/>
      <c r="S548" s="191"/>
      <c r="T548" s="191"/>
      <c r="U548" s="191"/>
      <c r="V548" s="191"/>
      <c r="W548" s="191"/>
      <c r="X548" s="191"/>
      <c r="Y548" s="191"/>
      <c r="Z548" s="191"/>
      <c r="AA548" s="191"/>
      <c r="AB548" s="191"/>
      <c r="AC548" s="191"/>
      <c r="AD548" s="191"/>
      <c r="AE548" s="191"/>
      <c r="AF548" s="191"/>
      <c r="AG548" s="191"/>
      <c r="AH548" s="191"/>
      <c r="AI548" s="191"/>
      <c r="AJ548" s="191"/>
      <c r="AK548" s="191"/>
      <c r="AL548" s="191"/>
      <c r="AM548" s="191"/>
      <c r="AN548" s="191"/>
      <c r="AO548" s="191"/>
      <c r="AP548" s="191"/>
      <c r="AQ548" s="191"/>
      <c r="AR548" s="191"/>
      <c r="AS548" s="191"/>
      <c r="AT548" s="191"/>
      <c r="AU548" s="191"/>
      <c r="AV548" s="191"/>
      <c r="AW548" s="191"/>
      <c r="AX548" s="191"/>
      <c r="AY548" s="191"/>
      <c r="AZ548" s="191"/>
      <c r="BA548" s="191"/>
      <c r="BB548" s="191"/>
      <c r="BC548" s="191"/>
      <c r="BD548" s="191"/>
      <c r="BE548" s="191"/>
      <c r="BF548" s="191"/>
      <c r="BG548" s="191"/>
      <c r="BH548" s="191"/>
      <c r="BI548" s="191"/>
      <c r="BJ548" s="191"/>
      <c r="BK548" s="191"/>
      <c r="BL548" s="191"/>
      <c r="BM548" s="191"/>
      <c r="BN548" s="191"/>
      <c r="BO548" s="191"/>
      <c r="BP548" s="191"/>
      <c r="BQ548" s="191"/>
    </row>
    <row r="549" spans="11:69">
      <c r="K549" s="191"/>
      <c r="L549" s="191"/>
      <c r="M549" s="191"/>
      <c r="N549" s="191"/>
      <c r="O549" s="191"/>
      <c r="P549" s="191"/>
      <c r="Q549" s="191"/>
      <c r="R549" s="191"/>
      <c r="S549" s="191"/>
      <c r="T549" s="191"/>
      <c r="U549" s="191"/>
      <c r="V549" s="191"/>
      <c r="W549" s="191"/>
      <c r="X549" s="191"/>
      <c r="Y549" s="191"/>
      <c r="Z549" s="191"/>
      <c r="AA549" s="191"/>
      <c r="AB549" s="191"/>
      <c r="AC549" s="191"/>
      <c r="AD549" s="191"/>
      <c r="AE549" s="191"/>
      <c r="AF549" s="191"/>
      <c r="AG549" s="191"/>
      <c r="AH549" s="191"/>
      <c r="AI549" s="191"/>
      <c r="AJ549" s="191"/>
      <c r="AK549" s="191"/>
      <c r="AL549" s="191"/>
      <c r="AM549" s="191"/>
      <c r="AN549" s="191"/>
      <c r="AO549" s="191"/>
      <c r="AP549" s="191"/>
      <c r="AQ549" s="191"/>
      <c r="AR549" s="191"/>
      <c r="AS549" s="191"/>
      <c r="AT549" s="191"/>
      <c r="AU549" s="191"/>
      <c r="AV549" s="191"/>
      <c r="AW549" s="191"/>
      <c r="AX549" s="191"/>
      <c r="AY549" s="191"/>
      <c r="AZ549" s="191"/>
      <c r="BA549" s="191"/>
      <c r="BB549" s="191"/>
      <c r="BC549" s="191"/>
      <c r="BD549" s="191"/>
      <c r="BE549" s="191"/>
      <c r="BF549" s="191"/>
      <c r="BG549" s="191"/>
      <c r="BH549" s="191"/>
      <c r="BI549" s="191"/>
      <c r="BJ549" s="191"/>
      <c r="BK549" s="191"/>
      <c r="BL549" s="191"/>
      <c r="BM549" s="191"/>
      <c r="BN549" s="191"/>
      <c r="BO549" s="191"/>
      <c r="BP549" s="191"/>
      <c r="BQ549" s="191"/>
    </row>
    <row r="550" spans="11:69">
      <c r="K550" s="191"/>
      <c r="L550" s="191"/>
      <c r="M550" s="191"/>
      <c r="N550" s="191"/>
      <c r="O550" s="191"/>
      <c r="P550" s="191"/>
      <c r="Q550" s="191"/>
      <c r="R550" s="191"/>
      <c r="S550" s="191"/>
      <c r="T550" s="191"/>
      <c r="U550" s="191"/>
      <c r="V550" s="191"/>
      <c r="W550" s="191"/>
      <c r="X550" s="191"/>
      <c r="Y550" s="191"/>
      <c r="Z550" s="191"/>
      <c r="AA550" s="191"/>
      <c r="AB550" s="191"/>
      <c r="AC550" s="191"/>
      <c r="AD550" s="191"/>
      <c r="AE550" s="191"/>
      <c r="AF550" s="191"/>
      <c r="AG550" s="191"/>
      <c r="AH550" s="191"/>
      <c r="AI550" s="191"/>
      <c r="AJ550" s="191"/>
      <c r="AK550" s="191"/>
      <c r="AL550" s="191"/>
      <c r="AM550" s="191"/>
      <c r="AN550" s="191"/>
      <c r="AO550" s="191"/>
      <c r="AP550" s="191"/>
      <c r="AQ550" s="191"/>
      <c r="AR550" s="191"/>
      <c r="AS550" s="191"/>
      <c r="AT550" s="191"/>
      <c r="AU550" s="191"/>
      <c r="AV550" s="191"/>
      <c r="AW550" s="191"/>
      <c r="AX550" s="191"/>
      <c r="AY550" s="191"/>
      <c r="AZ550" s="191"/>
      <c r="BA550" s="191"/>
      <c r="BB550" s="191"/>
      <c r="BC550" s="191"/>
      <c r="BD550" s="191"/>
      <c r="BE550" s="191"/>
      <c r="BF550" s="191"/>
      <c r="BG550" s="191"/>
      <c r="BH550" s="191"/>
      <c r="BI550" s="191"/>
      <c r="BJ550" s="191"/>
      <c r="BK550" s="191"/>
      <c r="BL550" s="191"/>
      <c r="BM550" s="191"/>
      <c r="BN550" s="191"/>
      <c r="BO550" s="191"/>
      <c r="BP550" s="191"/>
      <c r="BQ550" s="191"/>
    </row>
    <row r="551" spans="11:69">
      <c r="K551" s="191"/>
      <c r="L551" s="191"/>
      <c r="M551" s="191"/>
      <c r="N551" s="191"/>
      <c r="O551" s="191"/>
      <c r="P551" s="191"/>
      <c r="Q551" s="191"/>
      <c r="R551" s="191"/>
      <c r="S551" s="191"/>
      <c r="T551" s="191"/>
      <c r="U551" s="191"/>
      <c r="V551" s="191"/>
      <c r="W551" s="191"/>
      <c r="X551" s="191"/>
      <c r="Y551" s="191"/>
      <c r="Z551" s="191"/>
      <c r="AA551" s="191"/>
      <c r="AB551" s="191"/>
      <c r="AC551" s="191"/>
      <c r="AD551" s="191"/>
      <c r="AE551" s="191"/>
      <c r="AF551" s="191"/>
      <c r="AG551" s="191"/>
      <c r="AH551" s="191"/>
      <c r="AI551" s="191"/>
      <c r="AJ551" s="191"/>
      <c r="AK551" s="191"/>
      <c r="AL551" s="191"/>
      <c r="AM551" s="191"/>
      <c r="AN551" s="191"/>
      <c r="AO551" s="191"/>
      <c r="AP551" s="191"/>
      <c r="AQ551" s="191"/>
      <c r="AR551" s="191"/>
      <c r="AS551" s="191"/>
      <c r="AT551" s="191"/>
      <c r="AU551" s="191"/>
      <c r="AV551" s="191"/>
      <c r="AW551" s="191"/>
      <c r="AX551" s="191"/>
      <c r="AY551" s="191"/>
      <c r="AZ551" s="191"/>
      <c r="BA551" s="191"/>
      <c r="BB551" s="191"/>
      <c r="BC551" s="191"/>
      <c r="BD551" s="191"/>
      <c r="BE551" s="191"/>
      <c r="BF551" s="191"/>
      <c r="BG551" s="191"/>
      <c r="BH551" s="191"/>
      <c r="BI551" s="191"/>
      <c r="BJ551" s="191"/>
      <c r="BK551" s="191"/>
      <c r="BL551" s="191"/>
      <c r="BM551" s="191"/>
      <c r="BN551" s="191"/>
      <c r="BO551" s="191"/>
      <c r="BP551" s="191"/>
      <c r="BQ551" s="191"/>
    </row>
    <row r="552" spans="11:69">
      <c r="K552" s="191"/>
      <c r="L552" s="191"/>
      <c r="M552" s="191"/>
      <c r="N552" s="191"/>
      <c r="O552" s="191"/>
      <c r="P552" s="191"/>
      <c r="Q552" s="191"/>
      <c r="R552" s="191"/>
      <c r="S552" s="191"/>
      <c r="T552" s="191"/>
      <c r="U552" s="191"/>
      <c r="V552" s="191"/>
      <c r="W552" s="191"/>
      <c r="X552" s="191"/>
      <c r="Y552" s="191"/>
      <c r="Z552" s="191"/>
      <c r="AA552" s="191"/>
      <c r="AB552" s="191"/>
      <c r="AC552" s="191"/>
      <c r="AD552" s="191"/>
      <c r="AE552" s="191"/>
      <c r="AF552" s="191"/>
      <c r="AG552" s="191"/>
      <c r="AH552" s="191"/>
      <c r="AI552" s="191"/>
      <c r="AJ552" s="191"/>
      <c r="AK552" s="191"/>
      <c r="AL552" s="191"/>
      <c r="AM552" s="191"/>
      <c r="AN552" s="191"/>
      <c r="AO552" s="191"/>
      <c r="AP552" s="191"/>
      <c r="AQ552" s="191"/>
      <c r="AR552" s="191"/>
      <c r="AS552" s="191"/>
      <c r="AT552" s="191"/>
      <c r="AU552" s="191"/>
      <c r="AV552" s="191"/>
      <c r="AW552" s="191"/>
      <c r="AX552" s="191"/>
      <c r="AY552" s="191"/>
      <c r="AZ552" s="191"/>
      <c r="BA552" s="191"/>
      <c r="BB552" s="191"/>
      <c r="BC552" s="191"/>
      <c r="BD552" s="191"/>
      <c r="BE552" s="191"/>
      <c r="BF552" s="191"/>
      <c r="BG552" s="191"/>
      <c r="BH552" s="191"/>
      <c r="BI552" s="191"/>
      <c r="BJ552" s="191"/>
      <c r="BK552" s="191"/>
      <c r="BL552" s="191"/>
      <c r="BM552" s="191"/>
      <c r="BN552" s="191"/>
      <c r="BO552" s="191"/>
      <c r="BP552" s="191"/>
      <c r="BQ552" s="191"/>
    </row>
    <row r="553" spans="11:69">
      <c r="K553" s="191"/>
      <c r="L553" s="191"/>
      <c r="M553" s="191"/>
      <c r="N553" s="191"/>
      <c r="O553" s="191"/>
      <c r="P553" s="191"/>
      <c r="Q553" s="191"/>
      <c r="R553" s="191"/>
      <c r="S553" s="191"/>
      <c r="T553" s="191"/>
      <c r="U553" s="191"/>
      <c r="V553" s="191"/>
      <c r="W553" s="191"/>
      <c r="X553" s="191"/>
      <c r="Y553" s="191"/>
      <c r="Z553" s="191"/>
      <c r="AA553" s="191"/>
      <c r="AB553" s="191"/>
      <c r="AC553" s="191"/>
      <c r="AD553" s="191"/>
      <c r="AE553" s="191"/>
      <c r="AF553" s="191"/>
      <c r="AG553" s="191"/>
      <c r="AH553" s="191"/>
      <c r="AI553" s="191"/>
      <c r="AJ553" s="191"/>
      <c r="AK553" s="191"/>
      <c r="AL553" s="191"/>
      <c r="AM553" s="191"/>
      <c r="AN553" s="191"/>
      <c r="AO553" s="191"/>
      <c r="AP553" s="191"/>
      <c r="AQ553" s="191"/>
      <c r="AR553" s="191"/>
      <c r="AS553" s="191"/>
      <c r="AT553" s="191"/>
      <c r="AU553" s="191"/>
      <c r="AV553" s="191"/>
      <c r="AW553" s="191"/>
      <c r="AX553" s="191"/>
      <c r="AY553" s="191"/>
      <c r="AZ553" s="191"/>
      <c r="BA553" s="191"/>
      <c r="BB553" s="191"/>
      <c r="BC553" s="191"/>
      <c r="BD553" s="191"/>
      <c r="BE553" s="191"/>
      <c r="BF553" s="191"/>
      <c r="BG553" s="191"/>
      <c r="BH553" s="191"/>
      <c r="BI553" s="191"/>
      <c r="BJ553" s="191"/>
      <c r="BK553" s="191"/>
      <c r="BL553" s="191"/>
      <c r="BM553" s="191"/>
      <c r="BN553" s="191"/>
      <c r="BO553" s="191"/>
      <c r="BP553" s="191"/>
      <c r="BQ553" s="191"/>
    </row>
    <row r="554" spans="11:69">
      <c r="K554" s="191"/>
      <c r="L554" s="191"/>
      <c r="M554" s="191"/>
      <c r="N554" s="191"/>
      <c r="O554" s="191"/>
      <c r="P554" s="191"/>
      <c r="Q554" s="191"/>
      <c r="R554" s="191"/>
      <c r="S554" s="191"/>
      <c r="T554" s="191"/>
      <c r="U554" s="191"/>
      <c r="V554" s="191"/>
      <c r="W554" s="191"/>
      <c r="X554" s="191"/>
      <c r="Y554" s="191"/>
      <c r="Z554" s="191"/>
      <c r="AA554" s="191"/>
      <c r="AB554" s="191"/>
      <c r="AC554" s="191"/>
      <c r="AD554" s="191"/>
      <c r="AE554" s="191"/>
      <c r="AF554" s="191"/>
      <c r="AG554" s="191"/>
      <c r="AH554" s="191"/>
      <c r="AI554" s="191"/>
      <c r="AJ554" s="191"/>
      <c r="AK554" s="191"/>
      <c r="AL554" s="191"/>
      <c r="AM554" s="191"/>
      <c r="AN554" s="191"/>
      <c r="AO554" s="191"/>
      <c r="AP554" s="191"/>
      <c r="AQ554" s="191"/>
      <c r="AR554" s="191"/>
      <c r="AS554" s="191"/>
      <c r="AT554" s="191"/>
      <c r="AU554" s="191"/>
      <c r="AV554" s="191"/>
      <c r="AW554" s="191"/>
      <c r="AX554" s="191"/>
      <c r="AY554" s="191"/>
      <c r="AZ554" s="191"/>
      <c r="BA554" s="191"/>
      <c r="BB554" s="191"/>
      <c r="BC554" s="191"/>
      <c r="BD554" s="191"/>
      <c r="BE554" s="191"/>
      <c r="BF554" s="191"/>
      <c r="BG554" s="191"/>
      <c r="BH554" s="191"/>
      <c r="BI554" s="191"/>
      <c r="BJ554" s="191"/>
      <c r="BK554" s="191"/>
      <c r="BL554" s="191"/>
      <c r="BM554" s="191"/>
      <c r="BN554" s="191"/>
      <c r="BO554" s="191"/>
      <c r="BP554" s="191"/>
      <c r="BQ554" s="191"/>
    </row>
    <row r="555" spans="11:69">
      <c r="K555" s="191"/>
      <c r="L555" s="191"/>
      <c r="M555" s="191"/>
      <c r="N555" s="191"/>
      <c r="O555" s="191"/>
      <c r="P555" s="191"/>
      <c r="Q555" s="191"/>
      <c r="R555" s="191"/>
      <c r="S555" s="191"/>
      <c r="T555" s="191"/>
      <c r="U555" s="191"/>
      <c r="V555" s="191"/>
      <c r="W555" s="191"/>
      <c r="X555" s="191"/>
      <c r="Y555" s="191"/>
      <c r="Z555" s="191"/>
      <c r="AA555" s="191"/>
      <c r="AB555" s="191"/>
      <c r="AC555" s="191"/>
      <c r="AD555" s="191"/>
      <c r="AE555" s="191"/>
      <c r="AF555" s="191"/>
      <c r="AG555" s="191"/>
      <c r="AH555" s="191"/>
      <c r="AI555" s="191"/>
      <c r="AJ555" s="191"/>
      <c r="AK555" s="191"/>
      <c r="AL555" s="191"/>
      <c r="AM555" s="191"/>
      <c r="AN555" s="191"/>
      <c r="AO555" s="191"/>
      <c r="AP555" s="191"/>
      <c r="AQ555" s="191"/>
      <c r="AR555" s="191"/>
      <c r="AS555" s="191"/>
      <c r="AT555" s="191"/>
      <c r="AU555" s="191"/>
      <c r="AV555" s="191"/>
      <c r="AW555" s="191"/>
      <c r="AX555" s="191"/>
      <c r="AY555" s="191"/>
      <c r="AZ555" s="191"/>
      <c r="BA555" s="191"/>
      <c r="BB555" s="191"/>
      <c r="BC555" s="191"/>
      <c r="BD555" s="191"/>
      <c r="BE555" s="191"/>
      <c r="BF555" s="191"/>
      <c r="BG555" s="191"/>
      <c r="BH555" s="191"/>
      <c r="BI555" s="191"/>
      <c r="BJ555" s="191"/>
      <c r="BK555" s="191"/>
      <c r="BL555" s="191"/>
      <c r="BM555" s="191"/>
      <c r="BN555" s="191"/>
      <c r="BO555" s="191"/>
      <c r="BP555" s="191"/>
      <c r="BQ555" s="191"/>
    </row>
    <row r="556" spans="11:69">
      <c r="K556" s="191"/>
      <c r="L556" s="191"/>
      <c r="M556" s="191"/>
      <c r="N556" s="191"/>
      <c r="O556" s="191"/>
      <c r="P556" s="191"/>
      <c r="Q556" s="191"/>
      <c r="R556" s="191"/>
      <c r="S556" s="191"/>
      <c r="T556" s="191"/>
      <c r="U556" s="191"/>
      <c r="V556" s="191"/>
      <c r="W556" s="191"/>
      <c r="X556" s="191"/>
      <c r="Y556" s="191"/>
      <c r="Z556" s="191"/>
      <c r="AA556" s="191"/>
      <c r="AB556" s="191"/>
      <c r="AC556" s="191"/>
      <c r="AD556" s="191"/>
      <c r="AE556" s="191"/>
      <c r="AF556" s="191"/>
      <c r="AG556" s="191"/>
      <c r="AH556" s="191"/>
      <c r="AI556" s="191"/>
      <c r="AJ556" s="191"/>
      <c r="AK556" s="191"/>
      <c r="AL556" s="191"/>
      <c r="AM556" s="191"/>
      <c r="AN556" s="191"/>
      <c r="AO556" s="191"/>
      <c r="AP556" s="191"/>
      <c r="AQ556" s="191"/>
      <c r="AR556" s="191"/>
      <c r="AS556" s="191"/>
      <c r="AT556" s="191"/>
      <c r="AU556" s="191"/>
      <c r="AV556" s="191"/>
      <c r="AW556" s="191"/>
      <c r="AX556" s="191"/>
      <c r="AY556" s="191"/>
      <c r="AZ556" s="191"/>
      <c r="BA556" s="191"/>
      <c r="BB556" s="191"/>
      <c r="BC556" s="191"/>
      <c r="BD556" s="191"/>
      <c r="BE556" s="191"/>
      <c r="BF556" s="191"/>
      <c r="BG556" s="191"/>
      <c r="BH556" s="191"/>
      <c r="BI556" s="191"/>
      <c r="BJ556" s="191"/>
      <c r="BK556" s="191"/>
      <c r="BL556" s="191"/>
      <c r="BM556" s="191"/>
      <c r="BN556" s="191"/>
      <c r="BO556" s="191"/>
      <c r="BP556" s="191"/>
      <c r="BQ556" s="191"/>
    </row>
    <row r="557" spans="11:69">
      <c r="K557" s="191"/>
      <c r="L557" s="191"/>
      <c r="M557" s="191"/>
      <c r="N557" s="191"/>
      <c r="O557" s="191"/>
      <c r="P557" s="191"/>
      <c r="Q557" s="191"/>
      <c r="R557" s="191"/>
      <c r="S557" s="191"/>
      <c r="T557" s="191"/>
      <c r="U557" s="191"/>
      <c r="V557" s="191"/>
      <c r="W557" s="191"/>
      <c r="X557" s="191"/>
      <c r="Y557" s="191"/>
      <c r="Z557" s="191"/>
      <c r="AA557" s="191"/>
      <c r="AB557" s="191"/>
      <c r="AC557" s="191"/>
      <c r="AD557" s="191"/>
      <c r="AE557" s="191"/>
      <c r="AF557" s="191"/>
      <c r="AG557" s="191"/>
      <c r="AH557" s="191"/>
      <c r="AI557" s="191"/>
      <c r="AJ557" s="191"/>
      <c r="AK557" s="191"/>
      <c r="AL557" s="191"/>
      <c r="AM557" s="191"/>
      <c r="AN557" s="191"/>
      <c r="AO557" s="191"/>
      <c r="AP557" s="191"/>
      <c r="AQ557" s="191"/>
      <c r="AR557" s="191"/>
      <c r="AS557" s="191"/>
      <c r="AT557" s="191"/>
      <c r="AU557" s="191"/>
      <c r="AV557" s="191"/>
      <c r="AW557" s="191"/>
      <c r="AX557" s="191"/>
      <c r="AY557" s="191"/>
      <c r="AZ557" s="191"/>
      <c r="BA557" s="191"/>
      <c r="BB557" s="191"/>
      <c r="BC557" s="191"/>
      <c r="BD557" s="191"/>
      <c r="BE557" s="191"/>
      <c r="BF557" s="191"/>
      <c r="BG557" s="191"/>
      <c r="BH557" s="191"/>
      <c r="BI557" s="191"/>
      <c r="BJ557" s="191"/>
      <c r="BK557" s="191"/>
      <c r="BL557" s="191"/>
      <c r="BM557" s="191"/>
      <c r="BN557" s="191"/>
      <c r="BO557" s="191"/>
      <c r="BP557" s="191"/>
      <c r="BQ557" s="191"/>
    </row>
    <row r="558" spans="11:69">
      <c r="K558" s="191"/>
      <c r="L558" s="191"/>
      <c r="M558" s="191"/>
      <c r="N558" s="191"/>
      <c r="O558" s="191"/>
      <c r="P558" s="191"/>
      <c r="Q558" s="191"/>
      <c r="R558" s="191"/>
      <c r="S558" s="191"/>
      <c r="T558" s="191"/>
      <c r="U558" s="191"/>
      <c r="V558" s="191"/>
      <c r="W558" s="191"/>
      <c r="X558" s="191"/>
      <c r="Y558" s="191"/>
      <c r="Z558" s="191"/>
      <c r="AA558" s="191"/>
      <c r="AB558" s="191"/>
      <c r="AC558" s="191"/>
      <c r="AD558" s="191"/>
      <c r="AE558" s="191"/>
      <c r="AF558" s="191"/>
      <c r="AG558" s="191"/>
      <c r="AH558" s="191"/>
      <c r="AI558" s="191"/>
      <c r="AJ558" s="191"/>
      <c r="AK558" s="191"/>
      <c r="AL558" s="191"/>
      <c r="AM558" s="191"/>
      <c r="AN558" s="191"/>
      <c r="AO558" s="191"/>
      <c r="AP558" s="191"/>
      <c r="AQ558" s="191"/>
      <c r="AR558" s="191"/>
      <c r="AS558" s="191"/>
      <c r="AT558" s="191"/>
      <c r="AU558" s="191"/>
      <c r="AV558" s="191"/>
      <c r="AW558" s="191"/>
      <c r="AX558" s="191"/>
      <c r="AY558" s="191"/>
      <c r="AZ558" s="191"/>
      <c r="BA558" s="191"/>
      <c r="BB558" s="191"/>
      <c r="BC558" s="191"/>
      <c r="BD558" s="191"/>
      <c r="BE558" s="191"/>
      <c r="BF558" s="191"/>
      <c r="BG558" s="191"/>
      <c r="BH558" s="191"/>
      <c r="BI558" s="191"/>
      <c r="BJ558" s="191"/>
      <c r="BK558" s="191"/>
      <c r="BL558" s="191"/>
      <c r="BM558" s="191"/>
      <c r="BN558" s="191"/>
      <c r="BO558" s="191"/>
      <c r="BP558" s="191"/>
      <c r="BQ558" s="191"/>
    </row>
    <row r="559" spans="11:69">
      <c r="K559" s="191"/>
      <c r="L559" s="191"/>
      <c r="M559" s="191"/>
      <c r="N559" s="191"/>
      <c r="O559" s="191"/>
      <c r="P559" s="191"/>
      <c r="Q559" s="191"/>
      <c r="R559" s="191"/>
      <c r="S559" s="191"/>
      <c r="T559" s="191"/>
      <c r="U559" s="191"/>
      <c r="V559" s="191"/>
      <c r="W559" s="191"/>
      <c r="X559" s="191"/>
      <c r="Y559" s="191"/>
      <c r="Z559" s="191"/>
      <c r="AA559" s="191"/>
      <c r="AB559" s="191"/>
      <c r="AC559" s="191"/>
      <c r="AD559" s="191"/>
      <c r="AE559" s="191"/>
      <c r="AF559" s="191"/>
      <c r="AG559" s="191"/>
      <c r="AH559" s="191"/>
      <c r="AI559" s="191"/>
      <c r="AJ559" s="191"/>
      <c r="AK559" s="191"/>
      <c r="AL559" s="191"/>
      <c r="AM559" s="191"/>
      <c r="AN559" s="191"/>
      <c r="AO559" s="191"/>
      <c r="AP559" s="191"/>
      <c r="AQ559" s="191"/>
      <c r="AR559" s="191"/>
      <c r="AS559" s="191"/>
      <c r="AT559" s="191"/>
      <c r="AU559" s="191"/>
      <c r="AV559" s="191"/>
      <c r="AW559" s="191"/>
      <c r="AX559" s="191"/>
      <c r="AY559" s="191"/>
      <c r="AZ559" s="191"/>
      <c r="BA559" s="191"/>
      <c r="BB559" s="191"/>
      <c r="BC559" s="191"/>
      <c r="BD559" s="191"/>
      <c r="BE559" s="191"/>
      <c r="BF559" s="191"/>
      <c r="BG559" s="191"/>
      <c r="BH559" s="191"/>
      <c r="BI559" s="191"/>
      <c r="BJ559" s="191"/>
      <c r="BK559" s="191"/>
      <c r="BL559" s="191"/>
      <c r="BM559" s="191"/>
      <c r="BN559" s="191"/>
      <c r="BO559" s="191"/>
      <c r="BP559" s="191"/>
      <c r="BQ559" s="191"/>
    </row>
    <row r="560" spans="11:69">
      <c r="K560" s="191"/>
      <c r="L560" s="191"/>
      <c r="M560" s="191"/>
      <c r="N560" s="191"/>
      <c r="O560" s="191"/>
      <c r="P560" s="191"/>
      <c r="Q560" s="191"/>
      <c r="R560" s="191"/>
      <c r="S560" s="191"/>
      <c r="T560" s="191"/>
      <c r="U560" s="191"/>
      <c r="V560" s="191"/>
      <c r="W560" s="191"/>
      <c r="X560" s="191"/>
      <c r="Y560" s="191"/>
      <c r="Z560" s="191"/>
      <c r="AA560" s="191"/>
      <c r="AB560" s="191"/>
      <c r="AC560" s="191"/>
      <c r="AD560" s="191"/>
      <c r="AE560" s="191"/>
      <c r="AF560" s="191"/>
      <c r="AG560" s="191"/>
      <c r="AH560" s="191"/>
      <c r="AI560" s="191"/>
      <c r="AJ560" s="191"/>
      <c r="AK560" s="191"/>
      <c r="AL560" s="191"/>
      <c r="AM560" s="191"/>
      <c r="AN560" s="191"/>
      <c r="AO560" s="191"/>
      <c r="AP560" s="191"/>
      <c r="AQ560" s="191"/>
      <c r="AR560" s="191"/>
      <c r="AS560" s="191"/>
      <c r="AT560" s="191"/>
      <c r="AU560" s="191"/>
      <c r="AV560" s="191"/>
      <c r="AW560" s="191"/>
      <c r="AX560" s="191"/>
      <c r="AY560" s="191"/>
      <c r="AZ560" s="191"/>
      <c r="BA560" s="191"/>
      <c r="BB560" s="191"/>
      <c r="BC560" s="191"/>
      <c r="BD560" s="191"/>
      <c r="BE560" s="191"/>
      <c r="BF560" s="191"/>
      <c r="BG560" s="191"/>
      <c r="BH560" s="191"/>
      <c r="BI560" s="191"/>
      <c r="BJ560" s="191"/>
      <c r="BK560" s="191"/>
      <c r="BL560" s="191"/>
      <c r="BM560" s="191"/>
      <c r="BN560" s="191"/>
      <c r="BO560" s="191"/>
      <c r="BP560" s="191"/>
      <c r="BQ560" s="191"/>
    </row>
    <row r="561" spans="11:69">
      <c r="K561" s="191"/>
      <c r="L561" s="191"/>
      <c r="M561" s="191"/>
      <c r="N561" s="191"/>
      <c r="O561" s="191"/>
      <c r="P561" s="191"/>
      <c r="Q561" s="191"/>
      <c r="R561" s="191"/>
      <c r="S561" s="191"/>
      <c r="T561" s="191"/>
      <c r="U561" s="191"/>
      <c r="V561" s="191"/>
      <c r="W561" s="191"/>
      <c r="X561" s="191"/>
      <c r="Y561" s="191"/>
      <c r="Z561" s="191"/>
      <c r="AA561" s="191"/>
      <c r="AB561" s="191"/>
      <c r="AC561" s="191"/>
      <c r="AD561" s="191"/>
      <c r="AE561" s="191"/>
      <c r="AF561" s="191"/>
      <c r="AG561" s="191"/>
      <c r="AH561" s="191"/>
      <c r="AI561" s="191"/>
      <c r="AJ561" s="191"/>
      <c r="AK561" s="191"/>
      <c r="AL561" s="191"/>
      <c r="AM561" s="191"/>
      <c r="AN561" s="191"/>
      <c r="AO561" s="191"/>
      <c r="AP561" s="191"/>
      <c r="AQ561" s="191"/>
      <c r="AR561" s="191"/>
      <c r="AS561" s="191"/>
      <c r="AT561" s="191"/>
      <c r="AU561" s="191"/>
      <c r="AV561" s="191"/>
      <c r="AW561" s="191"/>
      <c r="AX561" s="191"/>
      <c r="AY561" s="191"/>
      <c r="AZ561" s="191"/>
      <c r="BA561" s="191"/>
      <c r="BB561" s="191"/>
      <c r="BC561" s="191"/>
      <c r="BD561" s="191"/>
      <c r="BE561" s="191"/>
      <c r="BF561" s="191"/>
      <c r="BG561" s="191"/>
      <c r="BH561" s="191"/>
      <c r="BI561" s="191"/>
      <c r="BJ561" s="191"/>
      <c r="BK561" s="191"/>
      <c r="BL561" s="191"/>
      <c r="BM561" s="191"/>
      <c r="BN561" s="191"/>
      <c r="BO561" s="191"/>
      <c r="BP561" s="191"/>
      <c r="BQ561" s="191"/>
    </row>
    <row r="562" spans="11:69">
      <c r="K562" s="191"/>
      <c r="L562" s="191"/>
      <c r="M562" s="191"/>
      <c r="N562" s="191"/>
      <c r="O562" s="191"/>
      <c r="P562" s="191"/>
      <c r="Q562" s="191"/>
      <c r="R562" s="191"/>
      <c r="S562" s="191"/>
      <c r="T562" s="191"/>
      <c r="U562" s="191"/>
      <c r="V562" s="191"/>
      <c r="W562" s="191"/>
      <c r="X562" s="191"/>
      <c r="Y562" s="191"/>
      <c r="Z562" s="191"/>
      <c r="AA562" s="191"/>
      <c r="AB562" s="191"/>
      <c r="AC562" s="191"/>
      <c r="AD562" s="191"/>
      <c r="AE562" s="191"/>
      <c r="AF562" s="191"/>
      <c r="AG562" s="191"/>
      <c r="AH562" s="191"/>
      <c r="AI562" s="191"/>
      <c r="AJ562" s="191"/>
      <c r="AK562" s="191"/>
      <c r="AL562" s="191"/>
      <c r="AM562" s="191"/>
      <c r="AN562" s="191"/>
      <c r="AO562" s="191"/>
      <c r="AP562" s="191"/>
      <c r="AQ562" s="191"/>
      <c r="AR562" s="191"/>
      <c r="AS562" s="191"/>
      <c r="AT562" s="191"/>
      <c r="AU562" s="191"/>
      <c r="AV562" s="191"/>
      <c r="AW562" s="191"/>
      <c r="AX562" s="191"/>
      <c r="AY562" s="191"/>
      <c r="AZ562" s="191"/>
      <c r="BA562" s="191"/>
      <c r="BB562" s="191"/>
      <c r="BC562" s="191"/>
      <c r="BD562" s="191"/>
      <c r="BE562" s="191"/>
      <c r="BF562" s="191"/>
      <c r="BG562" s="191"/>
      <c r="BH562" s="191"/>
      <c r="BI562" s="191"/>
      <c r="BJ562" s="191"/>
      <c r="BK562" s="191"/>
      <c r="BL562" s="191"/>
      <c r="BM562" s="191"/>
      <c r="BN562" s="191"/>
      <c r="BO562" s="191"/>
      <c r="BP562" s="191"/>
      <c r="BQ562" s="191"/>
    </row>
    <row r="563" spans="11:69">
      <c r="K563" s="191"/>
      <c r="L563" s="191"/>
      <c r="M563" s="191"/>
      <c r="N563" s="191"/>
      <c r="O563" s="191"/>
      <c r="P563" s="191"/>
      <c r="Q563" s="191"/>
      <c r="R563" s="191"/>
      <c r="S563" s="191"/>
      <c r="T563" s="191"/>
      <c r="U563" s="191"/>
      <c r="V563" s="191"/>
      <c r="W563" s="191"/>
      <c r="X563" s="191"/>
      <c r="Y563" s="191"/>
      <c r="Z563" s="191"/>
      <c r="AA563" s="191"/>
      <c r="AB563" s="191"/>
      <c r="AC563" s="191"/>
      <c r="AD563" s="191"/>
      <c r="AE563" s="191"/>
      <c r="AF563" s="191"/>
      <c r="AG563" s="191"/>
      <c r="AH563" s="191"/>
      <c r="AI563" s="191"/>
      <c r="AJ563" s="191"/>
      <c r="AK563" s="191"/>
      <c r="AL563" s="191"/>
      <c r="AM563" s="191"/>
      <c r="AN563" s="191"/>
      <c r="AO563" s="191"/>
      <c r="AP563" s="191"/>
      <c r="AQ563" s="191"/>
      <c r="AR563" s="191"/>
      <c r="AS563" s="191"/>
      <c r="AT563" s="191"/>
      <c r="AU563" s="191"/>
      <c r="AV563" s="191"/>
      <c r="AW563" s="191"/>
      <c r="AX563" s="191"/>
      <c r="AY563" s="191"/>
      <c r="AZ563" s="191"/>
      <c r="BA563" s="191"/>
      <c r="BB563" s="191"/>
      <c r="BC563" s="191"/>
      <c r="BD563" s="191"/>
      <c r="BE563" s="191"/>
      <c r="BF563" s="191"/>
      <c r="BG563" s="191"/>
      <c r="BH563" s="191"/>
      <c r="BI563" s="191"/>
      <c r="BJ563" s="191"/>
      <c r="BK563" s="191"/>
      <c r="BL563" s="191"/>
      <c r="BM563" s="191"/>
      <c r="BN563" s="191"/>
      <c r="BO563" s="191"/>
      <c r="BP563" s="191"/>
      <c r="BQ563" s="191"/>
    </row>
    <row r="564" spans="11:69">
      <c r="K564" s="191"/>
      <c r="L564" s="191"/>
      <c r="M564" s="191"/>
      <c r="N564" s="191"/>
      <c r="O564" s="191"/>
      <c r="P564" s="191"/>
      <c r="Q564" s="191"/>
      <c r="R564" s="191"/>
      <c r="S564" s="191"/>
      <c r="T564" s="191"/>
      <c r="U564" s="191"/>
      <c r="V564" s="191"/>
      <c r="W564" s="191"/>
      <c r="X564" s="191"/>
      <c r="Y564" s="191"/>
      <c r="Z564" s="191"/>
      <c r="AA564" s="191"/>
      <c r="AB564" s="191"/>
      <c r="AC564" s="191"/>
      <c r="AD564" s="191"/>
      <c r="AE564" s="191"/>
      <c r="AF564" s="191"/>
      <c r="AG564" s="191"/>
      <c r="AH564" s="191"/>
      <c r="AI564" s="191"/>
      <c r="AJ564" s="191"/>
      <c r="AK564" s="191"/>
      <c r="AL564" s="191"/>
      <c r="AM564" s="191"/>
      <c r="AN564" s="191"/>
      <c r="AO564" s="191"/>
      <c r="AP564" s="191"/>
      <c r="AQ564" s="191"/>
      <c r="AR564" s="191"/>
      <c r="AS564" s="191"/>
      <c r="AT564" s="191"/>
      <c r="AU564" s="191"/>
      <c r="AV564" s="191"/>
      <c r="AW564" s="191"/>
      <c r="AX564" s="191"/>
      <c r="AY564" s="191"/>
      <c r="AZ564" s="191"/>
      <c r="BA564" s="191"/>
      <c r="BB564" s="191"/>
      <c r="BC564" s="191"/>
      <c r="BD564" s="191"/>
      <c r="BE564" s="191"/>
      <c r="BF564" s="191"/>
      <c r="BG564" s="191"/>
      <c r="BH564" s="191"/>
      <c r="BI564" s="191"/>
      <c r="BJ564" s="191"/>
      <c r="BK564" s="191"/>
      <c r="BL564" s="191"/>
      <c r="BM564" s="191"/>
      <c r="BN564" s="191"/>
      <c r="BO564" s="191"/>
      <c r="BP564" s="191"/>
      <c r="BQ564" s="191"/>
    </row>
    <row r="565" spans="11:69">
      <c r="K565" s="191"/>
      <c r="L565" s="191"/>
      <c r="M565" s="191"/>
      <c r="N565" s="191"/>
      <c r="O565" s="191"/>
      <c r="P565" s="191"/>
      <c r="Q565" s="191"/>
      <c r="R565" s="191"/>
      <c r="S565" s="191"/>
      <c r="T565" s="191"/>
      <c r="U565" s="191"/>
      <c r="V565" s="191"/>
      <c r="W565" s="191"/>
      <c r="X565" s="191"/>
      <c r="Y565" s="191"/>
      <c r="Z565" s="191"/>
      <c r="AA565" s="191"/>
      <c r="AB565" s="191"/>
      <c r="AC565" s="191"/>
      <c r="AD565" s="191"/>
      <c r="AE565" s="191"/>
      <c r="AF565" s="191"/>
      <c r="AG565" s="191"/>
      <c r="AH565" s="191"/>
      <c r="AI565" s="191"/>
      <c r="AJ565" s="191"/>
      <c r="AK565" s="191"/>
      <c r="AL565" s="191"/>
      <c r="AM565" s="191"/>
      <c r="AN565" s="191"/>
      <c r="AO565" s="191"/>
      <c r="AP565" s="191"/>
      <c r="AQ565" s="191"/>
      <c r="AR565" s="191"/>
      <c r="AS565" s="191"/>
      <c r="AT565" s="191"/>
      <c r="AU565" s="191"/>
      <c r="AV565" s="191"/>
      <c r="AW565" s="191"/>
      <c r="AX565" s="191"/>
      <c r="AY565" s="191"/>
      <c r="AZ565" s="191"/>
      <c r="BA565" s="191"/>
      <c r="BB565" s="191"/>
      <c r="BC565" s="191"/>
      <c r="BD565" s="191"/>
      <c r="BE565" s="191"/>
      <c r="BF565" s="191"/>
      <c r="BG565" s="191"/>
      <c r="BH565" s="191"/>
      <c r="BI565" s="191"/>
      <c r="BJ565" s="191"/>
      <c r="BK565" s="191"/>
      <c r="BL565" s="191"/>
      <c r="BM565" s="191"/>
      <c r="BN565" s="191"/>
      <c r="BO565" s="191"/>
      <c r="BP565" s="191"/>
      <c r="BQ565" s="191"/>
    </row>
    <row r="566" spans="11:69">
      <c r="K566" s="191"/>
      <c r="L566" s="191"/>
      <c r="M566" s="191"/>
      <c r="N566" s="191"/>
      <c r="O566" s="191"/>
      <c r="P566" s="191"/>
      <c r="Q566" s="191"/>
      <c r="R566" s="191"/>
      <c r="S566" s="191"/>
      <c r="T566" s="191"/>
      <c r="U566" s="191"/>
      <c r="V566" s="191"/>
      <c r="W566" s="191"/>
      <c r="X566" s="191"/>
      <c r="Y566" s="191"/>
      <c r="Z566" s="191"/>
      <c r="AA566" s="191"/>
      <c r="AB566" s="191"/>
      <c r="AC566" s="191"/>
      <c r="AD566" s="191"/>
      <c r="AE566" s="191"/>
      <c r="AF566" s="191"/>
      <c r="AG566" s="191"/>
      <c r="AH566" s="191"/>
      <c r="AI566" s="191"/>
      <c r="AJ566" s="191"/>
      <c r="AK566" s="191"/>
      <c r="AL566" s="191"/>
      <c r="AM566" s="191"/>
      <c r="AN566" s="191"/>
      <c r="AO566" s="191"/>
      <c r="AP566" s="191"/>
      <c r="AQ566" s="191"/>
      <c r="AR566" s="191"/>
      <c r="AS566" s="191"/>
      <c r="AT566" s="191"/>
      <c r="AU566" s="191"/>
      <c r="AV566" s="191"/>
      <c r="AW566" s="191"/>
      <c r="AX566" s="191"/>
      <c r="AY566" s="191"/>
      <c r="AZ566" s="191"/>
      <c r="BA566" s="191"/>
      <c r="BB566" s="191"/>
      <c r="BC566" s="191"/>
      <c r="BD566" s="191"/>
      <c r="BE566" s="191"/>
      <c r="BF566" s="191"/>
      <c r="BG566" s="191"/>
      <c r="BH566" s="191"/>
      <c r="BI566" s="191"/>
      <c r="BJ566" s="191"/>
      <c r="BK566" s="191"/>
      <c r="BL566" s="191"/>
      <c r="BM566" s="191"/>
      <c r="BN566" s="191"/>
      <c r="BO566" s="191"/>
      <c r="BP566" s="191"/>
      <c r="BQ566" s="191"/>
    </row>
    <row r="567" spans="11:69">
      <c r="K567" s="191"/>
      <c r="L567" s="191"/>
      <c r="M567" s="191"/>
      <c r="N567" s="191"/>
      <c r="O567" s="191"/>
      <c r="P567" s="191"/>
      <c r="Q567" s="191"/>
      <c r="R567" s="191"/>
      <c r="S567" s="191"/>
      <c r="T567" s="191"/>
      <c r="U567" s="191"/>
      <c r="V567" s="191"/>
      <c r="W567" s="191"/>
      <c r="X567" s="191"/>
      <c r="Y567" s="191"/>
      <c r="Z567" s="191"/>
      <c r="AA567" s="191"/>
      <c r="AB567" s="191"/>
      <c r="AC567" s="191"/>
      <c r="AD567" s="191"/>
      <c r="AE567" s="191"/>
      <c r="AF567" s="191"/>
      <c r="AG567" s="191"/>
      <c r="AH567" s="191"/>
      <c r="AI567" s="191"/>
      <c r="AJ567" s="191"/>
      <c r="AK567" s="191"/>
      <c r="AL567" s="191"/>
      <c r="AM567" s="191"/>
      <c r="AN567" s="191"/>
      <c r="AO567" s="191"/>
      <c r="AP567" s="191"/>
      <c r="AQ567" s="191"/>
      <c r="AR567" s="191"/>
      <c r="AS567" s="191"/>
      <c r="AT567" s="191"/>
      <c r="AU567" s="191"/>
      <c r="AV567" s="191"/>
      <c r="AW567" s="191"/>
      <c r="AX567" s="191"/>
      <c r="AY567" s="191"/>
      <c r="AZ567" s="191"/>
      <c r="BA567" s="191"/>
      <c r="BB567" s="191"/>
      <c r="BC567" s="191"/>
      <c r="BD567" s="191"/>
      <c r="BE567" s="191"/>
      <c r="BF567" s="191"/>
      <c r="BG567" s="191"/>
      <c r="BH567" s="191"/>
      <c r="BI567" s="191"/>
      <c r="BJ567" s="191"/>
      <c r="BK567" s="191"/>
      <c r="BL567" s="191"/>
      <c r="BM567" s="191"/>
      <c r="BN567" s="191"/>
      <c r="BO567" s="191"/>
      <c r="BP567" s="191"/>
      <c r="BQ567" s="191"/>
    </row>
    <row r="568" spans="11:69">
      <c r="K568" s="191"/>
      <c r="L568" s="191"/>
      <c r="M568" s="191"/>
      <c r="N568" s="191"/>
      <c r="O568" s="191"/>
      <c r="P568" s="191"/>
      <c r="Q568" s="191"/>
      <c r="R568" s="191"/>
      <c r="S568" s="191"/>
      <c r="T568" s="191"/>
      <c r="U568" s="191"/>
      <c r="V568" s="191"/>
      <c r="W568" s="191"/>
      <c r="X568" s="191"/>
      <c r="Y568" s="191"/>
      <c r="Z568" s="191"/>
      <c r="AA568" s="191"/>
      <c r="AB568" s="191"/>
      <c r="AC568" s="191"/>
      <c r="AD568" s="191"/>
      <c r="AE568" s="191"/>
      <c r="AF568" s="191"/>
      <c r="AG568" s="191"/>
      <c r="AH568" s="191"/>
      <c r="AI568" s="191"/>
      <c r="AJ568" s="191"/>
      <c r="AK568" s="191"/>
      <c r="AL568" s="191"/>
      <c r="AM568" s="191"/>
      <c r="AN568" s="191"/>
      <c r="AO568" s="191"/>
      <c r="AP568" s="191"/>
      <c r="AQ568" s="191"/>
      <c r="AR568" s="191"/>
      <c r="AS568" s="191"/>
      <c r="AT568" s="191"/>
      <c r="AU568" s="191"/>
      <c r="AV568" s="191"/>
      <c r="AW568" s="191"/>
      <c r="AX568" s="191"/>
      <c r="AY568" s="191"/>
      <c r="AZ568" s="191"/>
      <c r="BA568" s="191"/>
      <c r="BB568" s="191"/>
      <c r="BC568" s="191"/>
      <c r="BD568" s="191"/>
      <c r="BE568" s="191"/>
      <c r="BF568" s="191"/>
      <c r="BG568" s="191"/>
      <c r="BH568" s="191"/>
      <c r="BI568" s="191"/>
      <c r="BJ568" s="191"/>
      <c r="BK568" s="191"/>
      <c r="BL568" s="191"/>
      <c r="BM568" s="191"/>
      <c r="BN568" s="191"/>
      <c r="BO568" s="191"/>
      <c r="BP568" s="191"/>
      <c r="BQ568" s="191"/>
    </row>
    <row r="569" spans="11:69">
      <c r="K569" s="191"/>
      <c r="L569" s="191"/>
      <c r="M569" s="191"/>
      <c r="N569" s="191"/>
      <c r="O569" s="191"/>
      <c r="P569" s="191"/>
      <c r="Q569" s="191"/>
      <c r="R569" s="191"/>
      <c r="S569" s="191"/>
      <c r="T569" s="191"/>
      <c r="U569" s="191"/>
      <c r="V569" s="191"/>
      <c r="W569" s="191"/>
      <c r="X569" s="191"/>
      <c r="Y569" s="191"/>
      <c r="Z569" s="191"/>
      <c r="AA569" s="191"/>
      <c r="AB569" s="191"/>
      <c r="AC569" s="191"/>
      <c r="AD569" s="191"/>
      <c r="AE569" s="191"/>
      <c r="AF569" s="191"/>
      <c r="AG569" s="191"/>
      <c r="AH569" s="191"/>
      <c r="AI569" s="191"/>
      <c r="AJ569" s="191"/>
      <c r="AK569" s="191"/>
      <c r="AL569" s="191"/>
      <c r="AM569" s="191"/>
      <c r="AN569" s="191"/>
      <c r="AO569" s="191"/>
      <c r="AP569" s="191"/>
      <c r="AQ569" s="191"/>
      <c r="AR569" s="191"/>
      <c r="AS569" s="191"/>
      <c r="AT569" s="191"/>
      <c r="AU569" s="191"/>
      <c r="AV569" s="191"/>
      <c r="AW569" s="191"/>
      <c r="AX569" s="191"/>
      <c r="AY569" s="191"/>
      <c r="AZ569" s="191"/>
      <c r="BA569" s="191"/>
      <c r="BB569" s="191"/>
      <c r="BC569" s="191"/>
      <c r="BD569" s="191"/>
      <c r="BE569" s="191"/>
      <c r="BF569" s="191"/>
      <c r="BG569" s="191"/>
      <c r="BH569" s="191"/>
      <c r="BI569" s="191"/>
      <c r="BJ569" s="191"/>
      <c r="BK569" s="191"/>
      <c r="BL569" s="191"/>
      <c r="BM569" s="191"/>
      <c r="BN569" s="191"/>
      <c r="BO569" s="191"/>
      <c r="BP569" s="191"/>
      <c r="BQ569" s="191"/>
    </row>
    <row r="570" spans="11:69">
      <c r="K570" s="191"/>
      <c r="L570" s="191"/>
      <c r="M570" s="191"/>
      <c r="N570" s="191"/>
      <c r="O570" s="191"/>
      <c r="P570" s="191"/>
      <c r="Q570" s="191"/>
      <c r="R570" s="191"/>
      <c r="S570" s="191"/>
      <c r="T570" s="191"/>
      <c r="U570" s="191"/>
      <c r="V570" s="191"/>
      <c r="W570" s="191"/>
      <c r="X570" s="191"/>
      <c r="Y570" s="191"/>
      <c r="Z570" s="191"/>
      <c r="AA570" s="191"/>
      <c r="AB570" s="191"/>
      <c r="AC570" s="191"/>
      <c r="AD570" s="191"/>
      <c r="AE570" s="191"/>
      <c r="AF570" s="191"/>
      <c r="AG570" s="191"/>
      <c r="AH570" s="191"/>
      <c r="AI570" s="191"/>
      <c r="AJ570" s="191"/>
      <c r="AK570" s="191"/>
      <c r="AL570" s="191"/>
      <c r="AM570" s="191"/>
      <c r="AN570" s="191"/>
      <c r="AO570" s="191"/>
      <c r="AP570" s="191"/>
      <c r="AQ570" s="191"/>
      <c r="AR570" s="191"/>
      <c r="AS570" s="191"/>
      <c r="AT570" s="191"/>
      <c r="AU570" s="191"/>
      <c r="AV570" s="191"/>
      <c r="AW570" s="191"/>
      <c r="AX570" s="191"/>
      <c r="AY570" s="191"/>
      <c r="AZ570" s="191"/>
      <c r="BA570" s="191"/>
      <c r="BB570" s="191"/>
      <c r="BC570" s="191"/>
      <c r="BD570" s="191"/>
      <c r="BE570" s="191"/>
      <c r="BF570" s="191"/>
      <c r="BG570" s="191"/>
      <c r="BH570" s="191"/>
      <c r="BI570" s="191"/>
      <c r="BJ570" s="191"/>
      <c r="BK570" s="191"/>
      <c r="BL570" s="191"/>
      <c r="BM570" s="191"/>
      <c r="BN570" s="191"/>
      <c r="BO570" s="191"/>
      <c r="BP570" s="191"/>
      <c r="BQ570" s="191"/>
    </row>
    <row r="571" spans="11:69">
      <c r="K571" s="191"/>
      <c r="L571" s="191"/>
      <c r="M571" s="191"/>
      <c r="N571" s="191"/>
      <c r="O571" s="191"/>
      <c r="P571" s="191"/>
      <c r="Q571" s="191"/>
      <c r="R571" s="191"/>
      <c r="S571" s="191"/>
      <c r="T571" s="191"/>
      <c r="U571" s="191"/>
      <c r="V571" s="191"/>
      <c r="W571" s="191"/>
      <c r="X571" s="191"/>
      <c r="Y571" s="191"/>
      <c r="Z571" s="191"/>
      <c r="AA571" s="191"/>
      <c r="AB571" s="191"/>
      <c r="AC571" s="191"/>
      <c r="AD571" s="191"/>
      <c r="AE571" s="191"/>
      <c r="AF571" s="191"/>
      <c r="AG571" s="191"/>
      <c r="AH571" s="191"/>
      <c r="AI571" s="191"/>
      <c r="AJ571" s="191"/>
      <c r="AK571" s="191"/>
      <c r="AL571" s="191"/>
      <c r="AM571" s="191"/>
      <c r="AN571" s="191"/>
      <c r="AO571" s="191"/>
      <c r="AP571" s="191"/>
      <c r="AQ571" s="191"/>
      <c r="AR571" s="191"/>
      <c r="AS571" s="191"/>
      <c r="AT571" s="191"/>
      <c r="AU571" s="191"/>
      <c r="AV571" s="191"/>
      <c r="AW571" s="191"/>
      <c r="AX571" s="191"/>
      <c r="AY571" s="191"/>
      <c r="AZ571" s="191"/>
      <c r="BA571" s="191"/>
      <c r="BB571" s="191"/>
      <c r="BC571" s="191"/>
      <c r="BD571" s="191"/>
      <c r="BE571" s="191"/>
      <c r="BF571" s="191"/>
      <c r="BG571" s="191"/>
      <c r="BH571" s="191"/>
      <c r="BI571" s="191"/>
      <c r="BJ571" s="191"/>
      <c r="BK571" s="191"/>
      <c r="BL571" s="191"/>
      <c r="BM571" s="191"/>
      <c r="BN571" s="191"/>
      <c r="BO571" s="191"/>
      <c r="BP571" s="191"/>
      <c r="BQ571" s="191"/>
    </row>
    <row r="572" spans="11:69">
      <c r="K572" s="191"/>
      <c r="L572" s="191"/>
      <c r="M572" s="191"/>
      <c r="N572" s="191"/>
      <c r="O572" s="191"/>
      <c r="P572" s="191"/>
      <c r="Q572" s="191"/>
      <c r="R572" s="191"/>
      <c r="S572" s="191"/>
      <c r="T572" s="191"/>
      <c r="U572" s="191"/>
      <c r="V572" s="191"/>
      <c r="W572" s="191"/>
      <c r="X572" s="191"/>
      <c r="Y572" s="191"/>
      <c r="Z572" s="191"/>
      <c r="AA572" s="191"/>
      <c r="AB572" s="191"/>
      <c r="AC572" s="191"/>
      <c r="AD572" s="191"/>
      <c r="AE572" s="191"/>
      <c r="AF572" s="191"/>
      <c r="AG572" s="191"/>
      <c r="AH572" s="191"/>
      <c r="AI572" s="191"/>
      <c r="AJ572" s="191"/>
      <c r="AK572" s="191"/>
      <c r="AL572" s="191"/>
      <c r="AM572" s="191"/>
      <c r="AN572" s="191"/>
      <c r="AO572" s="191"/>
      <c r="AP572" s="191"/>
      <c r="AQ572" s="191"/>
      <c r="AR572" s="191"/>
      <c r="AS572" s="191"/>
      <c r="AT572" s="191"/>
      <c r="AU572" s="191"/>
      <c r="AV572" s="191"/>
      <c r="AW572" s="191"/>
      <c r="AX572" s="191"/>
      <c r="AY572" s="191"/>
      <c r="AZ572" s="191"/>
      <c r="BA572" s="191"/>
      <c r="BB572" s="191"/>
      <c r="BC572" s="191"/>
      <c r="BD572" s="191"/>
      <c r="BE572" s="191"/>
      <c r="BF572" s="191"/>
      <c r="BG572" s="191"/>
      <c r="BH572" s="191"/>
      <c r="BI572" s="191"/>
      <c r="BJ572" s="191"/>
      <c r="BK572" s="191"/>
      <c r="BL572" s="191"/>
      <c r="BM572" s="191"/>
      <c r="BN572" s="191"/>
      <c r="BO572" s="191"/>
      <c r="BP572" s="191"/>
      <c r="BQ572" s="191"/>
    </row>
    <row r="573" spans="11:69">
      <c r="K573" s="191"/>
      <c r="L573" s="191"/>
      <c r="M573" s="191"/>
      <c r="N573" s="191"/>
      <c r="O573" s="191"/>
      <c r="P573" s="191"/>
      <c r="Q573" s="191"/>
      <c r="R573" s="191"/>
      <c r="S573" s="191"/>
      <c r="T573" s="191"/>
      <c r="U573" s="191"/>
      <c r="V573" s="191"/>
      <c r="W573" s="191"/>
      <c r="X573" s="191"/>
      <c r="Y573" s="191"/>
      <c r="Z573" s="191"/>
      <c r="AA573" s="191"/>
      <c r="AB573" s="191"/>
      <c r="AC573" s="191"/>
      <c r="AD573" s="191"/>
      <c r="AE573" s="191"/>
      <c r="AF573" s="191"/>
      <c r="AG573" s="191"/>
      <c r="AH573" s="191"/>
      <c r="AI573" s="191"/>
      <c r="AJ573" s="191"/>
      <c r="AK573" s="191"/>
      <c r="AL573" s="191"/>
      <c r="AM573" s="191"/>
      <c r="AN573" s="191"/>
      <c r="AO573" s="191"/>
      <c r="AP573" s="191"/>
      <c r="AQ573" s="191"/>
      <c r="AR573" s="191"/>
      <c r="AS573" s="191"/>
      <c r="AT573" s="191"/>
      <c r="AU573" s="191"/>
      <c r="AV573" s="191"/>
      <c r="AW573" s="191"/>
      <c r="AX573" s="191"/>
      <c r="AY573" s="191"/>
      <c r="AZ573" s="191"/>
      <c r="BA573" s="191"/>
      <c r="BB573" s="191"/>
      <c r="BC573" s="191"/>
      <c r="BD573" s="191"/>
      <c r="BE573" s="191"/>
      <c r="BF573" s="191"/>
      <c r="BG573" s="191"/>
      <c r="BH573" s="191"/>
      <c r="BI573" s="191"/>
      <c r="BJ573" s="191"/>
      <c r="BK573" s="191"/>
      <c r="BL573" s="191"/>
      <c r="BM573" s="191"/>
      <c r="BN573" s="191"/>
      <c r="BO573" s="191"/>
      <c r="BP573" s="191"/>
      <c r="BQ573" s="191"/>
    </row>
    <row r="574" spans="11:69">
      <c r="K574" s="191"/>
      <c r="L574" s="191"/>
      <c r="M574" s="191"/>
      <c r="N574" s="191"/>
      <c r="O574" s="191"/>
      <c r="P574" s="191"/>
      <c r="Q574" s="191"/>
      <c r="R574" s="191"/>
      <c r="S574" s="191"/>
      <c r="T574" s="191"/>
      <c r="U574" s="191"/>
      <c r="V574" s="191"/>
      <c r="W574" s="191"/>
      <c r="X574" s="191"/>
      <c r="Y574" s="191"/>
      <c r="Z574" s="191"/>
      <c r="AA574" s="191"/>
      <c r="AB574" s="191"/>
      <c r="AC574" s="191"/>
      <c r="AD574" s="191"/>
      <c r="AE574" s="191"/>
      <c r="AF574" s="191"/>
      <c r="AG574" s="191"/>
      <c r="AH574" s="191"/>
      <c r="AI574" s="191"/>
      <c r="AJ574" s="191"/>
      <c r="AK574" s="191"/>
      <c r="AL574" s="191"/>
      <c r="AM574" s="191"/>
      <c r="AN574" s="191"/>
      <c r="AO574" s="191"/>
      <c r="AP574" s="191"/>
      <c r="AQ574" s="191"/>
      <c r="AR574" s="191"/>
      <c r="AS574" s="191"/>
      <c r="AT574" s="191"/>
      <c r="AU574" s="191"/>
      <c r="AV574" s="191"/>
      <c r="AW574" s="191"/>
      <c r="AX574" s="191"/>
      <c r="AY574" s="191"/>
      <c r="AZ574" s="191"/>
      <c r="BA574" s="191"/>
      <c r="BB574" s="191"/>
      <c r="BC574" s="191"/>
      <c r="BD574" s="191"/>
      <c r="BE574" s="191"/>
      <c r="BF574" s="191"/>
      <c r="BG574" s="191"/>
      <c r="BH574" s="191"/>
      <c r="BI574" s="191"/>
      <c r="BJ574" s="191"/>
      <c r="BK574" s="191"/>
      <c r="BL574" s="191"/>
      <c r="BM574" s="191"/>
      <c r="BN574" s="191"/>
      <c r="BO574" s="191"/>
      <c r="BP574" s="191"/>
      <c r="BQ574" s="191"/>
    </row>
    <row r="575" spans="11:69">
      <c r="K575" s="191"/>
      <c r="L575" s="191"/>
      <c r="M575" s="191"/>
      <c r="N575" s="191"/>
      <c r="O575" s="191"/>
      <c r="P575" s="191"/>
      <c r="Q575" s="191"/>
      <c r="R575" s="191"/>
      <c r="S575" s="191"/>
      <c r="T575" s="191"/>
      <c r="U575" s="191"/>
      <c r="V575" s="191"/>
      <c r="W575" s="191"/>
      <c r="X575" s="191"/>
      <c r="Y575" s="191"/>
      <c r="Z575" s="191"/>
      <c r="AA575" s="191"/>
      <c r="AB575" s="191"/>
      <c r="AC575" s="191"/>
      <c r="AD575" s="191"/>
      <c r="AE575" s="191"/>
      <c r="AF575" s="191"/>
      <c r="AG575" s="191"/>
      <c r="AH575" s="191"/>
      <c r="AI575" s="191"/>
      <c r="AJ575" s="191"/>
      <c r="AK575" s="191"/>
      <c r="AL575" s="191"/>
      <c r="AM575" s="191"/>
      <c r="AN575" s="191"/>
      <c r="AO575" s="191"/>
      <c r="AP575" s="191"/>
      <c r="AQ575" s="191"/>
      <c r="AR575" s="191"/>
      <c r="AS575" s="191"/>
      <c r="AT575" s="191"/>
      <c r="AU575" s="191"/>
      <c r="AV575" s="191"/>
      <c r="AW575" s="191"/>
      <c r="AX575" s="191"/>
      <c r="AY575" s="191"/>
      <c r="AZ575" s="191"/>
      <c r="BA575" s="191"/>
      <c r="BB575" s="191"/>
      <c r="BC575" s="191"/>
      <c r="BD575" s="191"/>
      <c r="BE575" s="191"/>
      <c r="BF575" s="191"/>
      <c r="BG575" s="191"/>
      <c r="BH575" s="191"/>
      <c r="BI575" s="191"/>
      <c r="BJ575" s="191"/>
      <c r="BK575" s="191"/>
      <c r="BL575" s="191"/>
      <c r="BM575" s="191"/>
      <c r="BN575" s="191"/>
      <c r="BO575" s="191"/>
      <c r="BP575" s="191"/>
      <c r="BQ575" s="191"/>
    </row>
    <row r="576" spans="11:69">
      <c r="K576" s="191"/>
      <c r="L576" s="191"/>
      <c r="M576" s="191"/>
      <c r="N576" s="191"/>
      <c r="O576" s="191"/>
      <c r="P576" s="191"/>
      <c r="Q576" s="191"/>
      <c r="R576" s="191"/>
      <c r="S576" s="191"/>
      <c r="T576" s="191"/>
      <c r="U576" s="191"/>
      <c r="V576" s="191"/>
      <c r="W576" s="191"/>
      <c r="X576" s="191"/>
      <c r="Y576" s="191"/>
      <c r="Z576" s="191"/>
      <c r="AA576" s="191"/>
      <c r="AB576" s="191"/>
      <c r="AC576" s="191"/>
      <c r="AD576" s="191"/>
      <c r="AE576" s="191"/>
      <c r="AF576" s="191"/>
      <c r="AG576" s="191"/>
      <c r="AH576" s="191"/>
      <c r="AI576" s="191"/>
      <c r="AJ576" s="191"/>
      <c r="AK576" s="191"/>
      <c r="AL576" s="191"/>
      <c r="AM576" s="191"/>
      <c r="AN576" s="191"/>
      <c r="AO576" s="191"/>
      <c r="AP576" s="191"/>
      <c r="AQ576" s="191"/>
      <c r="AR576" s="191"/>
      <c r="AS576" s="191"/>
      <c r="AT576" s="191"/>
      <c r="AU576" s="191"/>
      <c r="AV576" s="191"/>
      <c r="AW576" s="191"/>
      <c r="AX576" s="191"/>
      <c r="AY576" s="191"/>
      <c r="AZ576" s="191"/>
      <c r="BA576" s="191"/>
      <c r="BB576" s="191"/>
      <c r="BC576" s="191"/>
      <c r="BD576" s="191"/>
      <c r="BE576" s="191"/>
      <c r="BF576" s="191"/>
      <c r="BG576" s="191"/>
      <c r="BH576" s="191"/>
      <c r="BI576" s="191"/>
      <c r="BJ576" s="191"/>
      <c r="BK576" s="191"/>
      <c r="BL576" s="191"/>
      <c r="BM576" s="191"/>
      <c r="BN576" s="191"/>
      <c r="BO576" s="191"/>
      <c r="BP576" s="191"/>
      <c r="BQ576" s="191"/>
    </row>
    <row r="577" spans="11:69">
      <c r="K577" s="191"/>
      <c r="L577" s="191"/>
      <c r="M577" s="191"/>
      <c r="N577" s="191"/>
      <c r="O577" s="191"/>
      <c r="P577" s="191"/>
      <c r="Q577" s="191"/>
      <c r="R577" s="191"/>
      <c r="S577" s="191"/>
      <c r="T577" s="191"/>
      <c r="U577" s="191"/>
      <c r="V577" s="191"/>
      <c r="W577" s="191"/>
      <c r="X577" s="191"/>
      <c r="Y577" s="191"/>
      <c r="Z577" s="191"/>
      <c r="AA577" s="191"/>
      <c r="AB577" s="191"/>
      <c r="AC577" s="191"/>
      <c r="AD577" s="191"/>
      <c r="AE577" s="191"/>
      <c r="AF577" s="191"/>
      <c r="AG577" s="191"/>
      <c r="AH577" s="191"/>
      <c r="AI577" s="191"/>
      <c r="AJ577" s="191"/>
      <c r="AK577" s="191"/>
      <c r="AL577" s="191"/>
      <c r="AM577" s="191"/>
      <c r="AN577" s="191"/>
      <c r="AO577" s="191"/>
      <c r="AP577" s="191"/>
      <c r="AQ577" s="191"/>
      <c r="AR577" s="191"/>
      <c r="AS577" s="191"/>
      <c r="AT577" s="191"/>
      <c r="AU577" s="191"/>
      <c r="AV577" s="191"/>
      <c r="AW577" s="191"/>
      <c r="AX577" s="191"/>
      <c r="AY577" s="191"/>
      <c r="AZ577" s="191"/>
      <c r="BA577" s="191"/>
      <c r="BB577" s="191"/>
      <c r="BC577" s="191"/>
      <c r="BD577" s="191"/>
      <c r="BE577" s="191"/>
      <c r="BF577" s="191"/>
      <c r="BG577" s="191"/>
      <c r="BH577" s="191"/>
      <c r="BI577" s="191"/>
      <c r="BJ577" s="191"/>
      <c r="BK577" s="191"/>
      <c r="BL577" s="191"/>
      <c r="BM577" s="191"/>
      <c r="BN577" s="191"/>
      <c r="BO577" s="191"/>
      <c r="BP577" s="191"/>
      <c r="BQ577" s="191"/>
    </row>
    <row r="578" spans="11:69">
      <c r="K578" s="191"/>
      <c r="L578" s="191"/>
      <c r="M578" s="191"/>
      <c r="N578" s="191"/>
      <c r="O578" s="191"/>
      <c r="P578" s="191"/>
      <c r="Q578" s="191"/>
      <c r="R578" s="191"/>
      <c r="S578" s="191"/>
      <c r="T578" s="191"/>
      <c r="U578" s="191"/>
      <c r="V578" s="191"/>
      <c r="W578" s="191"/>
      <c r="X578" s="191"/>
      <c r="Y578" s="191"/>
      <c r="Z578" s="191"/>
      <c r="AA578" s="191"/>
      <c r="AB578" s="191"/>
      <c r="AC578" s="191"/>
      <c r="AD578" s="191"/>
      <c r="AE578" s="191"/>
      <c r="AF578" s="191"/>
      <c r="AG578" s="191"/>
      <c r="AH578" s="191"/>
      <c r="AI578" s="191"/>
      <c r="AJ578" s="191"/>
      <c r="AK578" s="191"/>
      <c r="AL578" s="191"/>
      <c r="AM578" s="191"/>
      <c r="AN578" s="191"/>
      <c r="AO578" s="191"/>
      <c r="AP578" s="191"/>
      <c r="AQ578" s="191"/>
      <c r="AR578" s="191"/>
      <c r="AS578" s="191"/>
      <c r="AT578" s="191"/>
      <c r="AU578" s="191"/>
      <c r="AV578" s="191"/>
      <c r="AW578" s="191"/>
      <c r="AX578" s="191"/>
      <c r="AY578" s="191"/>
      <c r="AZ578" s="191"/>
      <c r="BA578" s="191"/>
      <c r="BB578" s="191"/>
      <c r="BC578" s="191"/>
      <c r="BD578" s="191"/>
      <c r="BE578" s="191"/>
      <c r="BF578" s="191"/>
      <c r="BG578" s="191"/>
      <c r="BH578" s="191"/>
      <c r="BI578" s="191"/>
      <c r="BJ578" s="191"/>
      <c r="BK578" s="191"/>
      <c r="BL578" s="191"/>
      <c r="BM578" s="191"/>
      <c r="BN578" s="191"/>
      <c r="BO578" s="191"/>
      <c r="BP578" s="191"/>
      <c r="BQ578" s="191"/>
    </row>
    <row r="579" spans="11:69">
      <c r="K579" s="191"/>
      <c r="L579" s="191"/>
      <c r="M579" s="191"/>
      <c r="N579" s="191"/>
      <c r="O579" s="191"/>
      <c r="P579" s="191"/>
      <c r="Q579" s="191"/>
      <c r="R579" s="191"/>
      <c r="S579" s="191"/>
      <c r="T579" s="191"/>
      <c r="U579" s="191"/>
      <c r="V579" s="191"/>
      <c r="W579" s="191"/>
      <c r="X579" s="191"/>
      <c r="Y579" s="191"/>
      <c r="Z579" s="191"/>
      <c r="AA579" s="191"/>
      <c r="AB579" s="191"/>
      <c r="AC579" s="191"/>
      <c r="AD579" s="191"/>
      <c r="AE579" s="191"/>
      <c r="AF579" s="191"/>
      <c r="AG579" s="191"/>
      <c r="AH579" s="191"/>
      <c r="AI579" s="191"/>
      <c r="AJ579" s="191"/>
      <c r="AK579" s="191"/>
      <c r="AL579" s="191"/>
      <c r="AM579" s="191"/>
      <c r="AN579" s="191"/>
      <c r="AO579" s="191"/>
      <c r="AP579" s="191"/>
      <c r="AQ579" s="191"/>
      <c r="AR579" s="191"/>
      <c r="AS579" s="191"/>
      <c r="AT579" s="191"/>
      <c r="AU579" s="191"/>
      <c r="AV579" s="191"/>
      <c r="AW579" s="191"/>
      <c r="AX579" s="191"/>
      <c r="AY579" s="191"/>
      <c r="AZ579" s="191"/>
      <c r="BA579" s="191"/>
      <c r="BB579" s="191"/>
      <c r="BC579" s="191"/>
      <c r="BD579" s="191"/>
      <c r="BE579" s="191"/>
      <c r="BF579" s="191"/>
      <c r="BG579" s="191"/>
      <c r="BH579" s="191"/>
      <c r="BI579" s="191"/>
      <c r="BJ579" s="191"/>
      <c r="BK579" s="191"/>
      <c r="BL579" s="191"/>
      <c r="BM579" s="191"/>
      <c r="BN579" s="191"/>
      <c r="BO579" s="191"/>
      <c r="BP579" s="191"/>
      <c r="BQ579" s="191"/>
    </row>
    <row r="580" spans="11:69">
      <c r="K580" s="191"/>
      <c r="L580" s="191"/>
      <c r="M580" s="191"/>
      <c r="N580" s="191"/>
      <c r="O580" s="191"/>
      <c r="P580" s="191"/>
      <c r="Q580" s="191"/>
      <c r="R580" s="191"/>
      <c r="S580" s="191"/>
      <c r="T580" s="191"/>
      <c r="U580" s="191"/>
      <c r="V580" s="191"/>
      <c r="W580" s="191"/>
      <c r="X580" s="191"/>
      <c r="Y580" s="191"/>
      <c r="Z580" s="191"/>
      <c r="AA580" s="191"/>
      <c r="AB580" s="191"/>
      <c r="AC580" s="191"/>
      <c r="AD580" s="191"/>
      <c r="AE580" s="191"/>
      <c r="AF580" s="191"/>
      <c r="AG580" s="191"/>
      <c r="AH580" s="191"/>
      <c r="AI580" s="191"/>
      <c r="AJ580" s="191"/>
      <c r="AK580" s="191"/>
      <c r="AL580" s="191"/>
      <c r="AM580" s="191"/>
      <c r="AN580" s="191"/>
      <c r="AO580" s="191"/>
      <c r="AP580" s="191"/>
      <c r="AQ580" s="191"/>
      <c r="AR580" s="191"/>
      <c r="AS580" s="191"/>
      <c r="AT580" s="191"/>
      <c r="AU580" s="191"/>
      <c r="AV580" s="191"/>
      <c r="AW580" s="191"/>
      <c r="AX580" s="191"/>
      <c r="AY580" s="191"/>
      <c r="AZ580" s="191"/>
      <c r="BA580" s="191"/>
      <c r="BB580" s="191"/>
      <c r="BC580" s="191"/>
      <c r="BD580" s="191"/>
      <c r="BE580" s="191"/>
      <c r="BF580" s="191"/>
      <c r="BG580" s="191"/>
      <c r="BH580" s="191"/>
      <c r="BI580" s="191"/>
      <c r="BJ580" s="191"/>
      <c r="BK580" s="191"/>
      <c r="BL580" s="191"/>
      <c r="BM580" s="191"/>
      <c r="BN580" s="191"/>
      <c r="BO580" s="191"/>
      <c r="BP580" s="191"/>
      <c r="BQ580" s="191"/>
    </row>
    <row r="581" spans="11:69">
      <c r="K581" s="191"/>
      <c r="L581" s="191"/>
      <c r="M581" s="191"/>
      <c r="N581" s="191"/>
      <c r="O581" s="191"/>
      <c r="P581" s="191"/>
      <c r="Q581" s="191"/>
      <c r="R581" s="191"/>
      <c r="S581" s="191"/>
      <c r="T581" s="191"/>
      <c r="U581" s="191"/>
      <c r="V581" s="191"/>
      <c r="W581" s="191"/>
      <c r="X581" s="191"/>
      <c r="Y581" s="191"/>
      <c r="Z581" s="191"/>
      <c r="AA581" s="191"/>
      <c r="AB581" s="191"/>
      <c r="AC581" s="191"/>
      <c r="AD581" s="191"/>
      <c r="AE581" s="191"/>
      <c r="AF581" s="191"/>
      <c r="AG581" s="191"/>
      <c r="AH581" s="191"/>
      <c r="AI581" s="191"/>
      <c r="AJ581" s="191"/>
      <c r="AK581" s="191"/>
      <c r="AL581" s="191"/>
      <c r="AM581" s="191"/>
      <c r="AN581" s="191"/>
      <c r="AO581" s="191"/>
      <c r="AP581" s="191"/>
      <c r="AQ581" s="191"/>
      <c r="AR581" s="191"/>
      <c r="AS581" s="191"/>
      <c r="AT581" s="191"/>
      <c r="AU581" s="191"/>
      <c r="AV581" s="191"/>
      <c r="AW581" s="191"/>
      <c r="AX581" s="191"/>
      <c r="AY581" s="191"/>
      <c r="AZ581" s="191"/>
      <c r="BA581" s="191"/>
      <c r="BB581" s="191"/>
      <c r="BC581" s="191"/>
      <c r="BD581" s="191"/>
      <c r="BE581" s="191"/>
      <c r="BF581" s="191"/>
      <c r="BG581" s="191"/>
      <c r="BH581" s="191"/>
      <c r="BI581" s="191"/>
      <c r="BJ581" s="191"/>
      <c r="BK581" s="191"/>
      <c r="BL581" s="191"/>
      <c r="BM581" s="191"/>
      <c r="BN581" s="191"/>
      <c r="BO581" s="191"/>
      <c r="BP581" s="191"/>
      <c r="BQ581" s="191"/>
    </row>
    <row r="582" spans="11:69">
      <c r="K582" s="191"/>
      <c r="L582" s="191"/>
      <c r="M582" s="191"/>
      <c r="N582" s="191"/>
      <c r="O582" s="191"/>
      <c r="P582" s="191"/>
      <c r="Q582" s="191"/>
      <c r="R582" s="191"/>
      <c r="S582" s="191"/>
      <c r="T582" s="191"/>
      <c r="U582" s="191"/>
      <c r="V582" s="191"/>
      <c r="W582" s="191"/>
      <c r="X582" s="191"/>
      <c r="Y582" s="191"/>
      <c r="Z582" s="191"/>
      <c r="AA582" s="191"/>
      <c r="AB582" s="191"/>
      <c r="AC582" s="191"/>
      <c r="AD582" s="191"/>
      <c r="AE582" s="191"/>
      <c r="AF582" s="191"/>
      <c r="AG582" s="191"/>
      <c r="AH582" s="191"/>
      <c r="AI582" s="191"/>
      <c r="AJ582" s="191"/>
      <c r="AK582" s="191"/>
      <c r="AL582" s="191"/>
      <c r="AM582" s="191"/>
      <c r="AN582" s="191"/>
      <c r="AO582" s="191"/>
      <c r="AP582" s="191"/>
      <c r="AQ582" s="191"/>
      <c r="AR582" s="191"/>
      <c r="AS582" s="191"/>
      <c r="AT582" s="191"/>
      <c r="AU582" s="191"/>
      <c r="AV582" s="191"/>
      <c r="AW582" s="191"/>
      <c r="AX582" s="191"/>
      <c r="AY582" s="191"/>
      <c r="AZ582" s="191"/>
      <c r="BA582" s="191"/>
      <c r="BB582" s="191"/>
      <c r="BC582" s="191"/>
      <c r="BD582" s="191"/>
      <c r="BE582" s="191"/>
      <c r="BF582" s="191"/>
      <c r="BG582" s="191"/>
      <c r="BH582" s="191"/>
      <c r="BI582" s="191"/>
      <c r="BJ582" s="191"/>
      <c r="BK582" s="191"/>
      <c r="BL582" s="191"/>
      <c r="BM582" s="191"/>
      <c r="BN582" s="191"/>
      <c r="BO582" s="191"/>
      <c r="BP582" s="191"/>
      <c r="BQ582" s="191"/>
    </row>
    <row r="583" spans="11:69">
      <c r="K583" s="191"/>
      <c r="L583" s="191"/>
      <c r="M583" s="191"/>
      <c r="N583" s="191"/>
      <c r="O583" s="191"/>
      <c r="P583" s="191"/>
      <c r="Q583" s="191"/>
      <c r="R583" s="191"/>
      <c r="S583" s="191"/>
      <c r="T583" s="191"/>
      <c r="U583" s="191"/>
      <c r="V583" s="191"/>
      <c r="W583" s="191"/>
      <c r="X583" s="191"/>
      <c r="Y583" s="191"/>
      <c r="Z583" s="191"/>
      <c r="AA583" s="191"/>
      <c r="AB583" s="191"/>
      <c r="AC583" s="191"/>
      <c r="AD583" s="191"/>
      <c r="AE583" s="191"/>
      <c r="AF583" s="191"/>
      <c r="AG583" s="191"/>
      <c r="AH583" s="191"/>
      <c r="AI583" s="191"/>
      <c r="AJ583" s="191"/>
      <c r="AK583" s="191"/>
      <c r="AL583" s="191"/>
      <c r="AM583" s="191"/>
      <c r="AN583" s="191"/>
      <c r="AO583" s="191"/>
      <c r="AP583" s="191"/>
      <c r="AQ583" s="191"/>
      <c r="AR583" s="191"/>
      <c r="AS583" s="191"/>
      <c r="AT583" s="191"/>
      <c r="AU583" s="191"/>
      <c r="AV583" s="191"/>
      <c r="AW583" s="191"/>
      <c r="AX583" s="191"/>
      <c r="AY583" s="191"/>
      <c r="AZ583" s="191"/>
      <c r="BA583" s="191"/>
      <c r="BB583" s="191"/>
      <c r="BC583" s="191"/>
      <c r="BD583" s="191"/>
      <c r="BE583" s="191"/>
      <c r="BF583" s="191"/>
      <c r="BG583" s="191"/>
      <c r="BH583" s="191"/>
      <c r="BI583" s="191"/>
      <c r="BJ583" s="191"/>
      <c r="BK583" s="191"/>
      <c r="BL583" s="191"/>
      <c r="BM583" s="191"/>
      <c r="BN583" s="191"/>
      <c r="BO583" s="191"/>
      <c r="BP583" s="191"/>
      <c r="BQ583" s="191"/>
    </row>
    <row r="584" spans="11:69">
      <c r="K584" s="191"/>
      <c r="L584" s="191"/>
      <c r="M584" s="191"/>
      <c r="N584" s="191"/>
      <c r="O584" s="191"/>
      <c r="P584" s="191"/>
      <c r="Q584" s="191"/>
      <c r="R584" s="191"/>
      <c r="S584" s="191"/>
      <c r="T584" s="191"/>
      <c r="U584" s="191"/>
      <c r="V584" s="191"/>
      <c r="W584" s="191"/>
      <c r="X584" s="191"/>
      <c r="Y584" s="191"/>
      <c r="Z584" s="191"/>
      <c r="AA584" s="191"/>
      <c r="AB584" s="191"/>
      <c r="AC584" s="191"/>
      <c r="AD584" s="191"/>
      <c r="AE584" s="191"/>
      <c r="AF584" s="191"/>
      <c r="AG584" s="191"/>
      <c r="AH584" s="191"/>
      <c r="AI584" s="191"/>
      <c r="AJ584" s="191"/>
      <c r="AK584" s="191"/>
      <c r="AL584" s="191"/>
      <c r="AM584" s="191"/>
      <c r="AN584" s="191"/>
      <c r="AO584" s="191"/>
      <c r="AP584" s="191"/>
      <c r="AQ584" s="191"/>
      <c r="AR584" s="191"/>
      <c r="AS584" s="191"/>
      <c r="AT584" s="191"/>
      <c r="AU584" s="191"/>
      <c r="AV584" s="191"/>
      <c r="AW584" s="191"/>
      <c r="AX584" s="191"/>
      <c r="AY584" s="191"/>
      <c r="AZ584" s="191"/>
      <c r="BA584" s="191"/>
      <c r="BB584" s="191"/>
      <c r="BC584" s="191"/>
      <c r="BD584" s="191"/>
      <c r="BE584" s="191"/>
      <c r="BF584" s="191"/>
      <c r="BG584" s="191"/>
      <c r="BH584" s="191"/>
      <c r="BI584" s="191"/>
      <c r="BJ584" s="191"/>
      <c r="BK584" s="191"/>
      <c r="BL584" s="191"/>
      <c r="BM584" s="191"/>
      <c r="BN584" s="191"/>
      <c r="BO584" s="191"/>
      <c r="BP584" s="191"/>
      <c r="BQ584" s="191"/>
    </row>
    <row r="585" spans="11:69">
      <c r="K585" s="191"/>
      <c r="L585" s="191"/>
      <c r="M585" s="191"/>
      <c r="N585" s="191"/>
      <c r="O585" s="191"/>
      <c r="P585" s="191"/>
      <c r="Q585" s="191"/>
      <c r="R585" s="191"/>
      <c r="S585" s="191"/>
      <c r="T585" s="191"/>
      <c r="U585" s="191"/>
      <c r="V585" s="191"/>
      <c r="W585" s="191"/>
      <c r="X585" s="191"/>
      <c r="Y585" s="191"/>
      <c r="Z585" s="191"/>
      <c r="AA585" s="191"/>
      <c r="AB585" s="191"/>
      <c r="AC585" s="191"/>
      <c r="AD585" s="191"/>
      <c r="AE585" s="191"/>
      <c r="AF585" s="191"/>
      <c r="AG585" s="191"/>
      <c r="AH585" s="191"/>
      <c r="AI585" s="191"/>
      <c r="AJ585" s="191"/>
      <c r="AK585" s="191"/>
      <c r="AL585" s="191"/>
      <c r="AM585" s="191"/>
      <c r="AN585" s="191"/>
      <c r="AO585" s="191"/>
      <c r="AP585" s="191"/>
      <c r="AQ585" s="191"/>
      <c r="AR585" s="191"/>
      <c r="AS585" s="191"/>
      <c r="AT585" s="191"/>
      <c r="AU585" s="191"/>
      <c r="AV585" s="191"/>
      <c r="AW585" s="191"/>
      <c r="AX585" s="191"/>
      <c r="AY585" s="191"/>
      <c r="AZ585" s="191"/>
      <c r="BA585" s="191"/>
      <c r="BB585" s="191"/>
      <c r="BC585" s="191"/>
      <c r="BD585" s="191"/>
      <c r="BE585" s="191"/>
      <c r="BF585" s="191"/>
      <c r="BG585" s="191"/>
      <c r="BH585" s="191"/>
      <c r="BI585" s="191"/>
      <c r="BJ585" s="191"/>
      <c r="BK585" s="191"/>
      <c r="BL585" s="191"/>
      <c r="BM585" s="191"/>
      <c r="BN585" s="191"/>
      <c r="BO585" s="191"/>
      <c r="BP585" s="191"/>
      <c r="BQ585" s="191"/>
    </row>
  </sheetData>
  <phoneticPr fontId="4" type="noConversion"/>
  <pageMargins left="1" right="0.75" top="0.98425196850393704" bottom="0" header="0" footer="0"/>
  <pageSetup scale="59" orientation="portrait" r:id="rId1"/>
  <headerFooter alignWithMargins="0"/>
  <drawing r:id="rId2"/>
  <legacyDrawing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>
    <tabColor theme="7" tint="0.39997558519241921"/>
    <pageSetUpPr fitToPage="1"/>
  </sheetPr>
  <dimension ref="A1:Y76"/>
  <sheetViews>
    <sheetView zoomScale="75" workbookViewId="0"/>
  </sheetViews>
  <sheetFormatPr defaultColWidth="8" defaultRowHeight="15"/>
  <cols>
    <col min="1" max="1" width="9.33203125" style="1580" customWidth="1"/>
    <col min="2" max="2" width="19.109375" style="1580" customWidth="1"/>
    <col min="3" max="8" width="9.33203125" style="1580" customWidth="1"/>
    <col min="9" max="9" width="12.5546875" style="1580" customWidth="1"/>
    <col min="10" max="10" width="16.44140625" style="1580" customWidth="1"/>
    <col min="11" max="11" width="7.44140625" style="1580" customWidth="1"/>
    <col min="12" max="12" width="3.33203125" style="1580" customWidth="1"/>
    <col min="13" max="13" width="49.44140625" style="1580" customWidth="1"/>
    <col min="14" max="14" width="5.5546875" style="1580" customWidth="1"/>
    <col min="15" max="15" width="16.5546875" style="1580" customWidth="1"/>
    <col min="16" max="16" width="5" style="1580" customWidth="1"/>
    <col min="17" max="17" width="17.44140625" style="1580" customWidth="1"/>
    <col min="18" max="18" width="12.5546875" style="1580" customWidth="1"/>
    <col min="19" max="20" width="8" style="1580"/>
    <col min="21" max="25" width="16" style="1580" customWidth="1"/>
    <col min="26" max="16384" width="8" style="1580"/>
  </cols>
  <sheetData>
    <row r="1" spans="1:11">
      <c r="A1" s="3267" t="str">
        <f>COMPANY</f>
        <v>DUKE ENERGY KENTUCKY, INC.</v>
      </c>
      <c r="B1" s="3266"/>
      <c r="C1" s="3266"/>
      <c r="D1" s="3266"/>
      <c r="E1" s="3266"/>
      <c r="F1" s="3266"/>
      <c r="G1" s="3266"/>
      <c r="H1" s="3266"/>
      <c r="I1" s="3266"/>
      <c r="J1" s="3266"/>
    </row>
    <row r="2" spans="1:11">
      <c r="A2" s="3267" t="str">
        <f>CASE</f>
        <v>CASE NO. 2018-00261</v>
      </c>
      <c r="B2" s="3266"/>
      <c r="C2" s="3266"/>
      <c r="D2" s="3266"/>
      <c r="E2" s="3266"/>
      <c r="F2" s="3266"/>
      <c r="G2" s="3266"/>
      <c r="H2" s="3266"/>
      <c r="I2" s="3266"/>
      <c r="J2" s="3266"/>
    </row>
    <row r="3" spans="1:11">
      <c r="A3" s="3268" t="s">
        <v>1031</v>
      </c>
      <c r="B3" s="3266"/>
      <c r="C3" s="3266"/>
      <c r="D3" s="3266"/>
      <c r="E3" s="3266"/>
      <c r="F3" s="3266"/>
      <c r="G3" s="3266"/>
      <c r="H3" s="3266"/>
      <c r="I3" s="3266"/>
      <c r="J3" s="3266"/>
    </row>
    <row r="4" spans="1:11">
      <c r="A4" s="3267" t="str">
        <f>PeriodF</f>
        <v>FOR THE TWELVE MONTHS ENDED MARCH 31, 2020</v>
      </c>
      <c r="B4" s="3266"/>
      <c r="C4" s="3266"/>
      <c r="D4" s="3266"/>
      <c r="E4" s="3266"/>
      <c r="F4" s="3266"/>
      <c r="G4" s="3266"/>
      <c r="H4" s="3266"/>
      <c r="I4" s="3266"/>
      <c r="J4" s="3266"/>
    </row>
    <row r="6" spans="1:11">
      <c r="A6" s="3254" t="str">
        <f>DataF</f>
        <v>DATA:  BASE PERIOD  "X" FORECASTED PERIOD</v>
      </c>
      <c r="I6" s="1204" t="s">
        <v>9</v>
      </c>
    </row>
    <row r="7" spans="1:11">
      <c r="A7" s="3254" t="str">
        <f>Type</f>
        <v xml:space="preserve">TYPE OF FILING:  "X" ORIGINAL   UPDATED    REVISED  </v>
      </c>
      <c r="I7" s="1204" t="s">
        <v>564</v>
      </c>
    </row>
    <row r="8" spans="1:11">
      <c r="A8" s="1204" t="s">
        <v>440</v>
      </c>
      <c r="I8" s="1204" t="s">
        <v>566</v>
      </c>
    </row>
    <row r="9" spans="1:11">
      <c r="I9" s="1204" t="str">
        <f>_WIT4</f>
        <v>C. S. LEE</v>
      </c>
    </row>
    <row r="10" spans="1:11">
      <c r="A10" s="3265"/>
      <c r="B10" s="3265"/>
      <c r="C10" s="3265"/>
      <c r="D10" s="3265"/>
      <c r="E10" s="3265"/>
      <c r="F10" s="3265"/>
      <c r="G10" s="3265"/>
      <c r="H10" s="3265"/>
      <c r="I10" s="3265"/>
      <c r="J10" s="3265"/>
      <c r="K10" s="1204"/>
    </row>
    <row r="12" spans="1:11">
      <c r="A12" s="1204" t="s">
        <v>1942</v>
      </c>
      <c r="J12" s="1579" t="s">
        <v>2098</v>
      </c>
    </row>
    <row r="13" spans="1:11">
      <c r="A13" s="3265"/>
      <c r="B13" s="3265"/>
      <c r="C13" s="3265"/>
      <c r="D13" s="3265"/>
      <c r="E13" s="3265"/>
      <c r="F13" s="3265"/>
      <c r="G13" s="3265"/>
      <c r="H13" s="3265"/>
      <c r="I13" s="3265"/>
      <c r="J13" s="3265"/>
      <c r="K13" s="1204"/>
    </row>
    <row r="14" spans="1:11">
      <c r="J14" s="3264"/>
    </row>
    <row r="15" spans="1:11">
      <c r="A15" s="1204" t="s">
        <v>1176</v>
      </c>
    </row>
    <row r="16" spans="1:11">
      <c r="A16" s="1204" t="s">
        <v>1177</v>
      </c>
    </row>
    <row r="17" spans="1:10">
      <c r="A17" s="1204" t="str">
        <f>"Schedule B-3.2 based on 13 month average plant at "&amp;PROPER(LOGO!F17)&amp;"."</f>
        <v>Schedule B-3.2 based on 13 month average plant at March 31, 2020.</v>
      </c>
    </row>
    <row r="18" spans="1:10">
      <c r="J18" s="3247"/>
    </row>
    <row r="19" spans="1:10">
      <c r="J19" s="3247"/>
    </row>
    <row r="20" spans="1:10">
      <c r="J20" s="3247"/>
    </row>
    <row r="21" spans="1:10">
      <c r="A21" s="1204" t="s">
        <v>2153</v>
      </c>
      <c r="I21" s="3108"/>
      <c r="J21" s="3263">
        <f ca="1">Q53</f>
        <v>-1084440</v>
      </c>
    </row>
    <row r="22" spans="1:10">
      <c r="J22" s="3255"/>
    </row>
    <row r="24" spans="1:10">
      <c r="A24" s="1204" t="s">
        <v>349</v>
      </c>
      <c r="J24" s="800">
        <f>VLOOKUP(D30,ALLOCTABLE,2)/100</f>
        <v>1</v>
      </c>
    </row>
    <row r="25" spans="1:10">
      <c r="J25" s="3108"/>
    </row>
    <row r="27" spans="1:10" ht="16.8">
      <c r="A27" s="1204" t="s">
        <v>1934</v>
      </c>
      <c r="F27" s="3262" t="s">
        <v>492</v>
      </c>
      <c r="I27" s="3108"/>
      <c r="J27" s="210">
        <f ca="1">ROUND(J21*J24,0)</f>
        <v>-1084440</v>
      </c>
    </row>
    <row r="28" spans="1:10">
      <c r="J28" s="3255"/>
    </row>
    <row r="29" spans="1:10">
      <c r="A29" s="1204"/>
    </row>
    <row r="30" spans="1:10">
      <c r="A30" s="1204" t="s">
        <v>1935</v>
      </c>
      <c r="D30" s="801" t="s">
        <v>591</v>
      </c>
    </row>
    <row r="35" spans="11:25">
      <c r="K35" s="3254" t="str">
        <f>COMPANY</f>
        <v>DUKE ENERGY KENTUCKY, INC.</v>
      </c>
      <c r="Q35" s="1204" t="s">
        <v>10</v>
      </c>
    </row>
    <row r="36" spans="11:25">
      <c r="K36" s="3254" t="str">
        <f>DEPT</f>
        <v>GAS DEPARTMENT</v>
      </c>
      <c r="Q36" s="1204" t="s">
        <v>566</v>
      </c>
    </row>
    <row r="37" spans="11:25">
      <c r="K37" s="3254" t="str">
        <f>CASE</f>
        <v>CASE NO. 2018-00261</v>
      </c>
      <c r="Q37" s="1204" t="str">
        <f>_WIT4</f>
        <v>C. S. LEE</v>
      </c>
    </row>
    <row r="38" spans="11:25">
      <c r="K38" s="1204" t="s">
        <v>2</v>
      </c>
    </row>
    <row r="39" spans="11:25">
      <c r="K39" s="3254" t="str">
        <f>A4</f>
        <v>FOR THE TWELVE MONTHS ENDED MARCH 31, 2020</v>
      </c>
    </row>
    <row r="40" spans="11:25">
      <c r="Q40" s="3253"/>
    </row>
    <row r="42" spans="11:25">
      <c r="O42" s="1579" t="s">
        <v>1028</v>
      </c>
    </row>
    <row r="43" spans="11:25">
      <c r="K43" s="1579" t="s">
        <v>567</v>
      </c>
      <c r="O43" s="1579" t="s">
        <v>882</v>
      </c>
    </row>
    <row r="44" spans="11:25">
      <c r="K44" s="803" t="s">
        <v>766</v>
      </c>
      <c r="M44" s="804" t="s">
        <v>3</v>
      </c>
      <c r="O44" s="803" t="s">
        <v>742</v>
      </c>
      <c r="Q44" s="803" t="s">
        <v>2125</v>
      </c>
      <c r="U44" s="3478" t="s">
        <v>2993</v>
      </c>
      <c r="V44" s="3479" t="s">
        <v>2994</v>
      </c>
      <c r="W44" s="3479" t="s">
        <v>2995</v>
      </c>
      <c r="X44" s="3479" t="s">
        <v>2996</v>
      </c>
      <c r="Y44" s="3480" t="s">
        <v>2153</v>
      </c>
    </row>
    <row r="45" spans="11:25">
      <c r="K45" s="1579"/>
      <c r="M45" s="1579"/>
      <c r="N45" s="1204"/>
      <c r="O45" s="1579"/>
      <c r="Q45" s="3252" t="s">
        <v>1134</v>
      </c>
      <c r="U45" s="3481"/>
      <c r="V45" s="3482"/>
      <c r="W45" s="3482"/>
      <c r="X45" s="3482"/>
      <c r="Y45" s="3483"/>
    </row>
    <row r="46" spans="11:25">
      <c r="K46" s="1579"/>
      <c r="O46" s="3251"/>
      <c r="P46" s="3248"/>
      <c r="Q46" s="3250"/>
      <c r="U46" s="3481"/>
      <c r="V46" s="3482"/>
      <c r="W46" s="3482"/>
      <c r="X46" s="3482"/>
      <c r="Y46" s="3483"/>
    </row>
    <row r="47" spans="11:25">
      <c r="K47" s="3259">
        <v>1</v>
      </c>
      <c r="L47" s="3261"/>
      <c r="M47" s="3260" t="s">
        <v>4</v>
      </c>
      <c r="N47" s="3258"/>
      <c r="O47" s="3259" t="s">
        <v>5</v>
      </c>
      <c r="P47" s="3258"/>
      <c r="Q47" s="3257">
        <f>ROUND('SCH B-3.2 - Proposed Rate'!L202,0)</f>
        <v>14615192</v>
      </c>
      <c r="U47" s="3484">
        <f>'SCH B-3.2 - Proposed Rate'!L33</f>
        <v>217881</v>
      </c>
      <c r="V47" s="3485">
        <f>'SCH B-3.2 - Proposed Rate'!L92</f>
        <v>12074876</v>
      </c>
      <c r="W47" s="3485">
        <f>'SCH B-3.2 - Proposed Rate'!L139</f>
        <v>2195008</v>
      </c>
      <c r="X47" s="3485">
        <f>'SCH B-3.2 - Proposed Rate'!L199</f>
        <v>127427.06759999999</v>
      </c>
      <c r="Y47" s="3486">
        <f>SUM(U47:X47)</f>
        <v>14615192.067600001</v>
      </c>
    </row>
    <row r="48" spans="11:25">
      <c r="K48" s="1579"/>
      <c r="L48" s="3249"/>
      <c r="M48" s="3249"/>
      <c r="O48" s="3251"/>
      <c r="P48" s="3248"/>
      <c r="Q48" s="3250"/>
      <c r="U48" s="3481"/>
      <c r="V48" s="3482"/>
      <c r="W48" s="3482"/>
      <c r="X48" s="3482"/>
      <c r="Y48" s="3483"/>
    </row>
    <row r="49" spans="11:25">
      <c r="K49" s="1579"/>
      <c r="L49" s="3249"/>
      <c r="M49" s="3249"/>
      <c r="U49" s="3481"/>
      <c r="V49" s="3482"/>
      <c r="W49" s="3482"/>
      <c r="X49" s="3482"/>
      <c r="Y49" s="3483"/>
    </row>
    <row r="50" spans="11:25">
      <c r="K50" s="1579">
        <v>2</v>
      </c>
      <c r="L50" s="3249"/>
      <c r="M50" s="1204" t="s">
        <v>6</v>
      </c>
      <c r="O50" s="1579" t="s">
        <v>7</v>
      </c>
      <c r="P50" s="3248"/>
      <c r="Q50" s="811">
        <f ca="1">'SCH_C2.1 - Forecasted Period'!J249</f>
        <v>15699632</v>
      </c>
      <c r="R50" s="3247"/>
      <c r="U50" s="3487">
        <v>152793</v>
      </c>
      <c r="V50" s="3488">
        <v>13546446</v>
      </c>
      <c r="W50" s="3488">
        <f>650443+1349950</f>
        <v>2000393</v>
      </c>
      <c r="X50" s="3488">
        <v>0</v>
      </c>
      <c r="Y50" s="3489">
        <f>SUM(U50:X50)</f>
        <v>15699632</v>
      </c>
    </row>
    <row r="51" spans="11:25">
      <c r="K51" s="1579"/>
      <c r="L51" s="3249"/>
      <c r="M51" s="3249"/>
      <c r="Q51" s="3255"/>
      <c r="U51" s="3481"/>
      <c r="V51" s="3482"/>
      <c r="W51" s="3482"/>
      <c r="X51" s="3482"/>
      <c r="Y51" s="3483"/>
    </row>
    <row r="52" spans="11:25">
      <c r="K52" s="1579"/>
      <c r="L52" s="3249"/>
      <c r="M52" s="3249"/>
      <c r="U52" s="3481"/>
      <c r="V52" s="3482"/>
      <c r="W52" s="3482"/>
      <c r="X52" s="3482"/>
      <c r="Y52" s="3483"/>
    </row>
    <row r="53" spans="11:25">
      <c r="K53" s="1579">
        <v>3</v>
      </c>
      <c r="L53" s="3249"/>
      <c r="M53" s="1204" t="s">
        <v>8</v>
      </c>
      <c r="P53" s="3256"/>
      <c r="Q53" s="812">
        <f ca="1">Q47-Q50</f>
        <v>-1084440</v>
      </c>
      <c r="R53" s="1204" t="s">
        <v>11</v>
      </c>
      <c r="U53" s="3490">
        <f>U47-U50</f>
        <v>65088</v>
      </c>
      <c r="V53" s="3491">
        <f t="shared" ref="V53:X53" si="0">V47-V50</f>
        <v>-1471570</v>
      </c>
      <c r="W53" s="3491">
        <f t="shared" si="0"/>
        <v>194615</v>
      </c>
      <c r="X53" s="3491">
        <f t="shared" si="0"/>
        <v>127427.06759999999</v>
      </c>
      <c r="Y53" s="3492">
        <f>SUM(U53:X53)</f>
        <v>-1084439.9324</v>
      </c>
    </row>
    <row r="54" spans="11:25">
      <c r="K54" s="1579"/>
      <c r="L54" s="3249"/>
      <c r="M54" s="1204"/>
      <c r="P54" s="3256"/>
      <c r="Q54" s="812"/>
      <c r="R54" s="1252" t="s">
        <v>439</v>
      </c>
      <c r="U54" s="3493"/>
      <c r="V54" s="3494"/>
      <c r="W54" s="3494"/>
      <c r="X54" s="3494"/>
      <c r="Y54" s="3495"/>
    </row>
    <row r="55" spans="11:25">
      <c r="K55" s="3254"/>
      <c r="L55" s="3249"/>
      <c r="M55" s="3249"/>
      <c r="Q55" s="3255"/>
      <c r="R55" s="1252" t="s">
        <v>2991</v>
      </c>
    </row>
    <row r="56" spans="11:25">
      <c r="K56" s="1204"/>
      <c r="Q56" s="3247"/>
    </row>
    <row r="58" spans="11:25">
      <c r="K58" s="3254"/>
      <c r="Q58" s="1204"/>
    </row>
    <row r="59" spans="11:25">
      <c r="K59" s="3254"/>
      <c r="Q59" s="1204"/>
    </row>
    <row r="60" spans="11:25">
      <c r="K60" s="3254"/>
      <c r="Q60" s="1204"/>
    </row>
    <row r="61" spans="11:25">
      <c r="K61" s="1204"/>
    </row>
    <row r="62" spans="11:25">
      <c r="K62" s="3254"/>
    </row>
    <row r="63" spans="11:25">
      <c r="Q63" s="3253"/>
    </row>
    <row r="65" spans="11:18">
      <c r="O65" s="1579"/>
    </row>
    <row r="66" spans="11:18">
      <c r="K66" s="1579"/>
      <c r="O66" s="1579"/>
    </row>
    <row r="67" spans="11:18">
      <c r="K67" s="803"/>
      <c r="M67" s="804"/>
      <c r="O67" s="803"/>
      <c r="Q67" s="803"/>
    </row>
    <row r="68" spans="11:18">
      <c r="K68" s="803"/>
      <c r="M68" s="804"/>
      <c r="O68" s="803"/>
      <c r="Q68" s="3252"/>
    </row>
    <row r="69" spans="11:18">
      <c r="K69" s="1579"/>
      <c r="M69" s="1579"/>
      <c r="N69" s="1204"/>
      <c r="O69" s="1579"/>
    </row>
    <row r="70" spans="11:18">
      <c r="K70" s="1579"/>
      <c r="M70" s="1204"/>
      <c r="O70" s="1579"/>
      <c r="P70" s="3248"/>
      <c r="Q70" s="3247"/>
    </row>
    <row r="71" spans="11:18">
      <c r="K71" s="1579"/>
      <c r="M71" s="3249"/>
      <c r="O71" s="3251"/>
      <c r="P71" s="3248"/>
      <c r="Q71" s="3250"/>
    </row>
    <row r="72" spans="11:18">
      <c r="K72" s="1579"/>
      <c r="L72" s="3249"/>
      <c r="Q72" s="810"/>
    </row>
    <row r="73" spans="11:18">
      <c r="K73" s="1579"/>
      <c r="L73" s="3249"/>
      <c r="M73" s="3249"/>
      <c r="O73" s="3251"/>
      <c r="P73" s="3248"/>
      <c r="Q73" s="3247"/>
      <c r="R73" s="1204"/>
    </row>
    <row r="74" spans="11:18">
      <c r="K74" s="1579"/>
      <c r="L74" s="3249"/>
      <c r="M74" s="1204"/>
      <c r="O74" s="1579"/>
      <c r="P74" s="3248"/>
      <c r="Q74" s="3250"/>
    </row>
    <row r="75" spans="11:18">
      <c r="K75" s="1579"/>
      <c r="L75" s="3249"/>
      <c r="M75" s="3249"/>
    </row>
    <row r="76" spans="11:18">
      <c r="K76" s="1579"/>
      <c r="L76" s="3249"/>
      <c r="M76" s="3249"/>
      <c r="P76" s="3248"/>
      <c r="Q76" s="3247"/>
      <c r="R76" s="1204"/>
    </row>
  </sheetData>
  <pageMargins left="1" right="0.75" top="1" bottom="0" header="0" footer="0"/>
  <pageSetup scale="70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>
    <tabColor theme="7" tint="0.39997558519241921"/>
    <pageSetUpPr fitToPage="1"/>
  </sheetPr>
  <dimension ref="A1:W150"/>
  <sheetViews>
    <sheetView zoomScale="75" workbookViewId="0"/>
  </sheetViews>
  <sheetFormatPr defaultColWidth="8" defaultRowHeight="15"/>
  <cols>
    <col min="1" max="1" width="8" style="198" customWidth="1"/>
    <col min="2" max="2" width="25.109375" style="198" customWidth="1"/>
    <col min="3" max="3" width="8" style="198" customWidth="1"/>
    <col min="4" max="4" width="10.44140625" style="198" customWidth="1"/>
    <col min="5" max="7" width="8" style="198" customWidth="1"/>
    <col min="8" max="8" width="12.44140625" style="198" customWidth="1"/>
    <col min="9" max="9" width="10" style="198" customWidth="1"/>
    <col min="10" max="10" width="18.44140625" style="198" customWidth="1"/>
    <col min="11" max="12" width="8" style="198" customWidth="1"/>
    <col min="13" max="13" width="10.44140625" style="198" customWidth="1"/>
    <col min="14" max="14" width="8" style="198" customWidth="1"/>
    <col min="15" max="15" width="2.44140625" style="198" customWidth="1"/>
    <col min="16" max="16" width="42.109375" style="198" customWidth="1"/>
    <col min="17" max="17" width="3.88671875" style="198" customWidth="1"/>
    <col min="18" max="18" width="16.44140625" style="198" customWidth="1"/>
    <col min="19" max="19" width="1.88671875" style="198" customWidth="1"/>
    <col min="20" max="20" width="18.109375" style="198" customWidth="1"/>
    <col min="21" max="21" width="2.33203125" style="198" customWidth="1"/>
    <col min="22" max="22" width="16.44140625" style="198" customWidth="1"/>
    <col min="23" max="16384" width="8" style="198"/>
  </cols>
  <sheetData>
    <row r="1" spans="1:13">
      <c r="A1" s="196" t="str">
        <f>LOGO!B5</f>
        <v>DUKE ENERGY KENTUCKY, INC.</v>
      </c>
      <c r="B1" s="197"/>
      <c r="C1" s="197"/>
      <c r="D1" s="197"/>
      <c r="E1" s="197"/>
      <c r="F1" s="197"/>
      <c r="G1" s="197"/>
      <c r="H1" s="197"/>
      <c r="I1" s="197"/>
      <c r="J1" s="197"/>
    </row>
    <row r="2" spans="1:13">
      <c r="A2" s="196" t="str">
        <f>LOGO!B6</f>
        <v>CASE NO. 2018-00261</v>
      </c>
      <c r="B2" s="197"/>
      <c r="C2" s="197"/>
      <c r="D2" s="197"/>
      <c r="E2" s="197"/>
      <c r="F2" s="197"/>
      <c r="G2" s="197"/>
      <c r="H2" s="197"/>
      <c r="I2" s="197"/>
      <c r="J2" s="197"/>
    </row>
    <row r="3" spans="1:13">
      <c r="A3" s="1577" t="s">
        <v>2286</v>
      </c>
      <c r="B3" s="197"/>
      <c r="C3" s="197"/>
      <c r="D3" s="197"/>
      <c r="E3" s="197"/>
      <c r="F3" s="197"/>
      <c r="G3" s="197"/>
      <c r="H3" s="197"/>
      <c r="I3" s="197"/>
      <c r="J3" s="197"/>
    </row>
    <row r="4" spans="1:13">
      <c r="A4" s="163" t="str">
        <f>PeriodF</f>
        <v>FOR THE TWELVE MONTHS ENDED MARCH 31, 2020</v>
      </c>
      <c r="B4" s="197"/>
      <c r="C4" s="197"/>
      <c r="D4" s="197"/>
      <c r="E4" s="197"/>
      <c r="F4" s="197"/>
      <c r="G4" s="197"/>
      <c r="H4" s="197"/>
      <c r="I4" s="197"/>
      <c r="J4" s="197"/>
    </row>
    <row r="6" spans="1:13">
      <c r="A6" s="199" t="str">
        <f>DataF</f>
        <v>DATA:  BASE PERIOD  "X" FORECASTED PERIOD</v>
      </c>
      <c r="I6" s="200" t="s">
        <v>107</v>
      </c>
    </row>
    <row r="7" spans="1:13">
      <c r="A7" s="199" t="str">
        <f>LOGO!B15</f>
        <v xml:space="preserve">TYPE OF FILING:  "X" ORIGINAL   UPDATED    REVISED  </v>
      </c>
      <c r="I7" s="1228" t="s">
        <v>1032</v>
      </c>
    </row>
    <row r="8" spans="1:13">
      <c r="A8" s="201" t="s">
        <v>1184</v>
      </c>
      <c r="I8" s="201" t="s">
        <v>566</v>
      </c>
    </row>
    <row r="9" spans="1:13">
      <c r="I9" s="201" t="str">
        <f>_WIT1</f>
        <v>S. E. LAWLER</v>
      </c>
    </row>
    <row r="10" spans="1:13">
      <c r="A10" s="202"/>
      <c r="B10" s="202"/>
      <c r="C10" s="202"/>
      <c r="D10" s="202"/>
      <c r="E10" s="202"/>
      <c r="F10" s="202"/>
      <c r="G10" s="202"/>
      <c r="H10" s="202"/>
      <c r="I10" s="202"/>
      <c r="J10" s="202"/>
      <c r="K10" s="201"/>
      <c r="L10" s="201"/>
      <c r="M10" s="201"/>
    </row>
    <row r="12" spans="1:13">
      <c r="A12" s="201" t="s">
        <v>1942</v>
      </c>
      <c r="J12" s="203" t="s">
        <v>2098</v>
      </c>
    </row>
    <row r="13" spans="1:13">
      <c r="A13" s="202"/>
      <c r="B13" s="202"/>
      <c r="C13" s="202"/>
      <c r="D13" s="202"/>
      <c r="E13" s="202"/>
      <c r="F13" s="202"/>
      <c r="G13" s="202"/>
      <c r="H13" s="202"/>
      <c r="I13" s="202"/>
      <c r="J13" s="202"/>
      <c r="K13" s="201"/>
      <c r="L13" s="201"/>
      <c r="M13" s="201"/>
    </row>
    <row r="14" spans="1:13">
      <c r="J14" s="204"/>
    </row>
    <row r="15" spans="1:13">
      <c r="A15" s="66" t="s">
        <v>1180</v>
      </c>
    </row>
    <row r="16" spans="1:13">
      <c r="A16" s="66"/>
    </row>
    <row r="17" spans="1:10">
      <c r="A17" s="201"/>
    </row>
    <row r="18" spans="1:10">
      <c r="A18" s="201"/>
      <c r="H18" s="206"/>
    </row>
    <row r="20" spans="1:10">
      <c r="A20" s="201" t="s">
        <v>861</v>
      </c>
      <c r="J20" s="1021">
        <f>V118</f>
        <v>-309531</v>
      </c>
    </row>
    <row r="21" spans="1:10">
      <c r="A21" s="1228" t="s">
        <v>3020</v>
      </c>
      <c r="J21" s="1022">
        <f>V120</f>
        <v>-80547</v>
      </c>
    </row>
    <row r="22" spans="1:10">
      <c r="A22" s="201" t="s">
        <v>1181</v>
      </c>
      <c r="I22" s="208"/>
      <c r="J22" s="172">
        <f>SUM(J20:J21)</f>
        <v>-390078</v>
      </c>
    </row>
    <row r="24" spans="1:10">
      <c r="A24" s="201" t="s">
        <v>349</v>
      </c>
      <c r="J24" s="209">
        <f>VLOOKUP(D41,ALLOCTABLE,2)/100</f>
        <v>1</v>
      </c>
    </row>
    <row r="25" spans="1:10">
      <c r="J25" s="208"/>
    </row>
    <row r="27" spans="1:10" ht="16.8">
      <c r="A27" s="201" t="s">
        <v>1934</v>
      </c>
      <c r="F27" s="201" t="s">
        <v>383</v>
      </c>
      <c r="I27" s="208"/>
      <c r="J27" s="210">
        <f>ROUND(J22*J24,0)</f>
        <v>-390078</v>
      </c>
    </row>
    <row r="28" spans="1:10">
      <c r="J28" s="208"/>
    </row>
    <row r="29" spans="1:10">
      <c r="J29" s="208"/>
    </row>
    <row r="30" spans="1:10">
      <c r="A30" s="201" t="s">
        <v>1183</v>
      </c>
      <c r="I30" s="208"/>
      <c r="J30" s="172">
        <f>V124</f>
        <v>-80549</v>
      </c>
    </row>
    <row r="32" spans="1:10">
      <c r="A32" s="201" t="s">
        <v>349</v>
      </c>
      <c r="J32" s="209">
        <f>VLOOKUP(D41,ALLOCTABLE,2)/100</f>
        <v>1</v>
      </c>
    </row>
    <row r="33" spans="1:10">
      <c r="J33" s="208"/>
    </row>
    <row r="35" spans="1:10" ht="16.8">
      <c r="A35" s="201" t="s">
        <v>1934</v>
      </c>
      <c r="F35" s="201" t="s">
        <v>383</v>
      </c>
      <c r="I35" s="208"/>
      <c r="J35" s="210">
        <f>ROUND(J30*J32,0)</f>
        <v>-80549</v>
      </c>
    </row>
    <row r="36" spans="1:10">
      <c r="J36" s="208"/>
    </row>
    <row r="37" spans="1:10">
      <c r="J37" s="208"/>
    </row>
    <row r="38" spans="1:10">
      <c r="J38" s="208"/>
    </row>
    <row r="41" spans="1:10">
      <c r="A41" s="201" t="s">
        <v>1935</v>
      </c>
      <c r="D41" s="211" t="s">
        <v>591</v>
      </c>
    </row>
    <row r="42" spans="1:10">
      <c r="A42" s="201"/>
      <c r="D42" s="211"/>
    </row>
    <row r="43" spans="1:10">
      <c r="A43" s="201"/>
      <c r="D43" s="211"/>
    </row>
    <row r="44" spans="1:10">
      <c r="A44" s="790" t="str">
        <f>COMPANY</f>
        <v>DUKE ENERGY KENTUCKY, INC.</v>
      </c>
      <c r="B44" s="791"/>
      <c r="C44" s="791"/>
      <c r="D44" s="791"/>
      <c r="E44" s="791"/>
      <c r="F44" s="791"/>
      <c r="G44" s="791"/>
      <c r="H44" s="791"/>
      <c r="I44" s="791"/>
      <c r="J44" s="791"/>
    </row>
    <row r="45" spans="1:10">
      <c r="A45" s="790" t="str">
        <f>CASE</f>
        <v>CASE NO. 2018-00261</v>
      </c>
      <c r="B45" s="791"/>
      <c r="C45" s="791"/>
      <c r="D45" s="791"/>
      <c r="E45" s="791"/>
      <c r="F45" s="791"/>
      <c r="G45" s="791"/>
      <c r="H45" s="791"/>
      <c r="I45" s="791"/>
      <c r="J45" s="791"/>
    </row>
    <row r="46" spans="1:10">
      <c r="A46" s="1578" t="str">
        <f>A3</f>
        <v>ELIMINATE UNBILLED REVENUE AND GAS COSTS</v>
      </c>
      <c r="B46" s="791"/>
      <c r="C46" s="791"/>
      <c r="D46" s="791"/>
      <c r="E46" s="791"/>
      <c r="F46" s="791"/>
      <c r="G46" s="791"/>
      <c r="H46" s="791"/>
      <c r="I46" s="791"/>
      <c r="J46" s="791"/>
    </row>
    <row r="47" spans="1:10">
      <c r="A47" s="790" t="str">
        <f>PeriodF</f>
        <v>FOR THE TWELVE MONTHS ENDED MARCH 31, 2020</v>
      </c>
      <c r="B47" s="791"/>
      <c r="C47" s="791"/>
      <c r="D47" s="791"/>
      <c r="E47" s="791"/>
      <c r="F47" s="791"/>
      <c r="G47" s="791"/>
      <c r="H47" s="791"/>
      <c r="I47" s="791"/>
      <c r="J47" s="791"/>
    </row>
    <row r="48" spans="1:10">
      <c r="A48" s="298"/>
      <c r="B48" s="298"/>
      <c r="C48" s="298"/>
      <c r="D48" s="298"/>
      <c r="E48" s="298"/>
      <c r="F48" s="298"/>
      <c r="G48" s="298"/>
      <c r="H48" s="298"/>
      <c r="I48" s="298"/>
      <c r="J48" s="298"/>
    </row>
    <row r="49" spans="1:10">
      <c r="A49" s="792" t="str">
        <f>DataF</f>
        <v>DATA:  BASE PERIOD  "X" FORECASTED PERIOD</v>
      </c>
      <c r="B49" s="298"/>
      <c r="C49" s="298"/>
      <c r="D49" s="298"/>
      <c r="E49" s="298"/>
      <c r="F49" s="298"/>
      <c r="G49" s="298"/>
      <c r="H49" s="298"/>
      <c r="I49" s="1204" t="s">
        <v>107</v>
      </c>
      <c r="J49" s="298"/>
    </row>
    <row r="50" spans="1:10">
      <c r="A50" s="792" t="str">
        <f>Type</f>
        <v xml:space="preserve">TYPE OF FILING:  "X" ORIGINAL   UPDATED    REVISED  </v>
      </c>
      <c r="B50" s="298"/>
      <c r="C50" s="298"/>
      <c r="D50" s="298"/>
      <c r="E50" s="298"/>
      <c r="F50" s="298"/>
      <c r="G50" s="298"/>
      <c r="H50" s="298"/>
      <c r="I50" s="793" t="s">
        <v>1178</v>
      </c>
      <c r="J50" s="298"/>
    </row>
    <row r="51" spans="1:10">
      <c r="A51" s="1204" t="s">
        <v>2343</v>
      </c>
      <c r="B51" s="298"/>
      <c r="C51" s="298"/>
      <c r="D51" s="298"/>
      <c r="E51" s="298"/>
      <c r="F51" s="298"/>
      <c r="G51" s="298"/>
      <c r="H51" s="298"/>
      <c r="I51" s="793" t="s">
        <v>566</v>
      </c>
      <c r="J51" s="298"/>
    </row>
    <row r="52" spans="1:10">
      <c r="A52" s="298"/>
      <c r="B52" s="298"/>
      <c r="C52" s="298"/>
      <c r="D52" s="298"/>
      <c r="E52" s="298"/>
      <c r="F52" s="298"/>
      <c r="G52" s="298"/>
      <c r="H52" s="298"/>
      <c r="I52" s="793" t="str">
        <f>_WIT1</f>
        <v>S. E. LAWLER</v>
      </c>
      <c r="J52" s="298"/>
    </row>
    <row r="53" spans="1:10">
      <c r="A53" s="794"/>
      <c r="B53" s="794"/>
      <c r="C53" s="794"/>
      <c r="D53" s="794"/>
      <c r="E53" s="794"/>
      <c r="F53" s="794"/>
      <c r="G53" s="794"/>
      <c r="H53" s="794"/>
      <c r="I53" s="794"/>
      <c r="J53" s="794"/>
    </row>
    <row r="54" spans="1:10">
      <c r="A54" s="298"/>
      <c r="B54" s="298"/>
      <c r="C54" s="298"/>
      <c r="D54" s="298"/>
      <c r="E54" s="298"/>
      <c r="F54" s="298"/>
      <c r="G54" s="298"/>
      <c r="H54" s="298"/>
      <c r="I54" s="298"/>
      <c r="J54" s="298"/>
    </row>
    <row r="55" spans="1:10">
      <c r="A55" s="793" t="s">
        <v>1942</v>
      </c>
      <c r="B55" s="298"/>
      <c r="C55" s="298"/>
      <c r="D55" s="298"/>
      <c r="E55" s="298"/>
      <c r="F55" s="298"/>
      <c r="G55" s="298"/>
      <c r="H55" s="298"/>
      <c r="I55" s="298"/>
      <c r="J55" s="795" t="s">
        <v>2098</v>
      </c>
    </row>
    <row r="56" spans="1:10">
      <c r="A56" s="794"/>
      <c r="B56" s="794"/>
      <c r="C56" s="794"/>
      <c r="D56" s="794"/>
      <c r="E56" s="794"/>
      <c r="F56" s="794"/>
      <c r="G56" s="794"/>
      <c r="H56" s="794"/>
      <c r="I56" s="794"/>
      <c r="J56" s="794"/>
    </row>
    <row r="57" spans="1:10">
      <c r="A57" s="298"/>
      <c r="B57" s="298"/>
      <c r="C57" s="298"/>
      <c r="D57" s="298"/>
      <c r="E57" s="298"/>
      <c r="F57" s="298"/>
      <c r="G57" s="298"/>
      <c r="H57" s="298"/>
      <c r="I57" s="298"/>
      <c r="J57" s="796"/>
    </row>
    <row r="58" spans="1:10">
      <c r="A58" s="793" t="s">
        <v>1126</v>
      </c>
      <c r="B58" s="298"/>
      <c r="C58" s="298"/>
      <c r="D58" s="298"/>
      <c r="E58" s="298"/>
      <c r="F58" s="298"/>
      <c r="G58" s="298"/>
      <c r="H58" s="298"/>
      <c r="I58" s="298"/>
      <c r="J58" s="298"/>
    </row>
    <row r="59" spans="1:10">
      <c r="A59" s="1204" t="s">
        <v>2344</v>
      </c>
      <c r="B59" s="298"/>
      <c r="C59" s="298"/>
      <c r="D59" s="298"/>
      <c r="E59" s="298"/>
      <c r="F59" s="298"/>
      <c r="G59" s="298"/>
      <c r="H59" s="298"/>
      <c r="I59" s="298"/>
      <c r="J59" s="298"/>
    </row>
    <row r="60" spans="1:10">
      <c r="A60" s="793"/>
      <c r="B60" s="298"/>
      <c r="C60" s="298"/>
      <c r="D60" s="298"/>
      <c r="E60" s="298"/>
      <c r="F60" s="298"/>
      <c r="G60" s="298"/>
      <c r="H60" s="298"/>
      <c r="I60" s="298"/>
      <c r="J60" s="298"/>
    </row>
    <row r="61" spans="1:10">
      <c r="A61" s="298"/>
      <c r="B61" s="298"/>
      <c r="C61" s="298"/>
      <c r="D61" s="298"/>
      <c r="E61" s="298"/>
      <c r="F61" s="298"/>
      <c r="G61" s="298"/>
      <c r="H61" s="298"/>
      <c r="I61" s="298"/>
      <c r="J61" s="797"/>
    </row>
    <row r="62" spans="1:10">
      <c r="A62" s="298"/>
      <c r="B62" s="298"/>
      <c r="C62" s="298"/>
      <c r="D62" s="298"/>
      <c r="E62" s="298"/>
      <c r="F62" s="298"/>
      <c r="G62" s="298"/>
      <c r="H62" s="298"/>
      <c r="I62" s="298"/>
      <c r="J62" s="797"/>
    </row>
    <row r="63" spans="1:10">
      <c r="A63" s="298"/>
      <c r="B63" s="298"/>
      <c r="C63" s="298"/>
      <c r="D63" s="298"/>
      <c r="E63" s="298"/>
      <c r="F63" s="298"/>
      <c r="G63" s="298"/>
      <c r="H63" s="298"/>
      <c r="I63" s="298"/>
      <c r="J63" s="797"/>
    </row>
    <row r="64" spans="1:10">
      <c r="A64" s="1580" t="s">
        <v>2348</v>
      </c>
      <c r="B64" s="298"/>
      <c r="C64" s="298"/>
      <c r="D64" s="298"/>
      <c r="E64" s="298"/>
      <c r="F64" s="298"/>
      <c r="G64" s="298"/>
      <c r="H64" s="298"/>
      <c r="I64" s="798"/>
      <c r="J64" s="172">
        <f>T147</f>
        <v>4002</v>
      </c>
    </row>
    <row r="65" spans="1:10">
      <c r="A65" s="298"/>
      <c r="B65" s="298"/>
      <c r="C65" s="298"/>
      <c r="D65" s="298"/>
      <c r="E65" s="298"/>
      <c r="F65" s="298"/>
      <c r="G65" s="298"/>
      <c r="H65" s="298"/>
      <c r="I65" s="298"/>
      <c r="J65" s="799"/>
    </row>
    <row r="66" spans="1:10">
      <c r="A66" s="298"/>
      <c r="B66" s="298"/>
      <c r="C66" s="298"/>
      <c r="D66" s="298"/>
      <c r="E66" s="298"/>
      <c r="F66" s="298"/>
      <c r="G66" s="298"/>
      <c r="H66" s="298"/>
      <c r="I66" s="298"/>
      <c r="J66" s="298"/>
    </row>
    <row r="67" spans="1:10">
      <c r="A67" s="793" t="s">
        <v>349</v>
      </c>
      <c r="B67" s="298"/>
      <c r="C67" s="298"/>
      <c r="D67" s="298"/>
      <c r="E67" s="298"/>
      <c r="F67" s="298"/>
      <c r="G67" s="298"/>
      <c r="H67" s="298"/>
      <c r="I67" s="298"/>
      <c r="J67" s="800">
        <f>VLOOKUP(D73,ALLOCTABLE,2)/100</f>
        <v>1</v>
      </c>
    </row>
    <row r="68" spans="1:10">
      <c r="A68" s="298"/>
      <c r="B68" s="298"/>
      <c r="C68" s="298"/>
      <c r="D68" s="298"/>
      <c r="E68" s="298"/>
      <c r="F68" s="298"/>
      <c r="G68" s="298"/>
      <c r="H68" s="298"/>
      <c r="I68" s="298"/>
      <c r="J68" s="798"/>
    </row>
    <row r="69" spans="1:10">
      <c r="A69" s="298"/>
      <c r="B69" s="298"/>
      <c r="C69" s="298"/>
      <c r="D69" s="298"/>
      <c r="E69" s="298"/>
      <c r="F69" s="298"/>
      <c r="G69" s="298"/>
      <c r="H69" s="298"/>
      <c r="I69" s="298"/>
      <c r="J69" s="298"/>
    </row>
    <row r="70" spans="1:10" ht="16.8">
      <c r="A70" s="793" t="s">
        <v>1934</v>
      </c>
      <c r="B70" s="298"/>
      <c r="C70" s="298"/>
      <c r="D70" s="298"/>
      <c r="E70" s="298"/>
      <c r="F70" s="793" t="s">
        <v>1681</v>
      </c>
      <c r="G70" s="298"/>
      <c r="H70" s="298"/>
      <c r="I70" s="798"/>
      <c r="J70" s="210">
        <f>ROUND(+J64*J67,0)</f>
        <v>4002</v>
      </c>
    </row>
    <row r="71" spans="1:10">
      <c r="A71" s="298"/>
      <c r="B71" s="298"/>
      <c r="C71" s="298"/>
      <c r="D71" s="298"/>
      <c r="E71" s="298"/>
      <c r="F71" s="298"/>
      <c r="G71" s="298"/>
      <c r="H71" s="298"/>
      <c r="I71" s="298"/>
      <c r="J71" s="799"/>
    </row>
    <row r="72" spans="1:10">
      <c r="A72" s="793"/>
      <c r="B72" s="298"/>
      <c r="C72" s="298"/>
      <c r="D72" s="298"/>
      <c r="E72" s="298"/>
      <c r="F72" s="298"/>
      <c r="G72" s="298"/>
      <c r="H72" s="298"/>
      <c r="I72" s="298"/>
      <c r="J72" s="298"/>
    </row>
    <row r="73" spans="1:10">
      <c r="A73" s="793" t="s">
        <v>1935</v>
      </c>
      <c r="B73" s="298"/>
      <c r="C73" s="298"/>
      <c r="D73" s="801" t="s">
        <v>591</v>
      </c>
      <c r="E73" s="298"/>
      <c r="F73" s="298"/>
      <c r="G73" s="298"/>
      <c r="H73" s="298"/>
      <c r="I73" s="298"/>
      <c r="J73" s="298"/>
    </row>
    <row r="74" spans="1:10">
      <c r="A74" s="298"/>
      <c r="B74" s="298"/>
      <c r="C74" s="298"/>
      <c r="D74" s="298"/>
      <c r="E74" s="298"/>
      <c r="F74" s="298"/>
      <c r="G74" s="298"/>
      <c r="H74" s="298"/>
      <c r="I74" s="298"/>
      <c r="J74" s="298"/>
    </row>
    <row r="75" spans="1:10">
      <c r="A75" s="298"/>
      <c r="B75" s="298"/>
      <c r="C75" s="298"/>
      <c r="D75" s="298"/>
      <c r="E75" s="298"/>
      <c r="F75" s="298"/>
      <c r="G75" s="298"/>
      <c r="H75" s="298"/>
      <c r="I75" s="298"/>
      <c r="J75" s="298"/>
    </row>
    <row r="76" spans="1:10">
      <c r="A76" s="790" t="str">
        <f>COMPANY</f>
        <v>DUKE ENERGY KENTUCKY, INC.</v>
      </c>
      <c r="B76" s="791"/>
      <c r="C76" s="791"/>
      <c r="D76" s="791"/>
      <c r="E76" s="791"/>
      <c r="F76" s="791"/>
      <c r="G76" s="791"/>
      <c r="H76" s="791"/>
      <c r="I76" s="791"/>
      <c r="J76" s="791"/>
    </row>
    <row r="77" spans="1:10">
      <c r="A77" s="790" t="str">
        <f>CASE</f>
        <v>CASE NO. 2018-00261</v>
      </c>
      <c r="B77" s="791"/>
      <c r="C77" s="791"/>
      <c r="D77" s="791"/>
      <c r="E77" s="791"/>
      <c r="F77" s="791"/>
      <c r="G77" s="791"/>
      <c r="H77" s="791"/>
      <c r="I77" s="791"/>
      <c r="J77" s="791"/>
    </row>
    <row r="78" spans="1:10">
      <c r="A78" s="1578" t="str">
        <f>A3</f>
        <v>ELIMINATE UNBILLED REVENUE AND GAS COSTS</v>
      </c>
      <c r="B78" s="791"/>
      <c r="C78" s="791"/>
      <c r="D78" s="791"/>
      <c r="E78" s="791"/>
      <c r="F78" s="791"/>
      <c r="G78" s="791"/>
      <c r="H78" s="791"/>
      <c r="I78" s="791"/>
      <c r="J78" s="791"/>
    </row>
    <row r="79" spans="1:10">
      <c r="A79" s="790" t="str">
        <f>PeriodF</f>
        <v>FOR THE TWELVE MONTHS ENDED MARCH 31, 2020</v>
      </c>
      <c r="B79" s="791"/>
      <c r="C79" s="791"/>
      <c r="D79" s="791"/>
      <c r="E79" s="791"/>
      <c r="F79" s="791"/>
      <c r="G79" s="791"/>
      <c r="H79" s="791"/>
      <c r="I79" s="791"/>
      <c r="J79" s="791"/>
    </row>
    <row r="80" spans="1:10">
      <c r="A80" s="298"/>
      <c r="B80" s="298"/>
      <c r="C80" s="298"/>
      <c r="D80" s="298"/>
      <c r="E80" s="298"/>
      <c r="F80" s="298"/>
      <c r="G80" s="298"/>
      <c r="H80" s="298"/>
      <c r="I80" s="298"/>
      <c r="J80" s="298"/>
    </row>
    <row r="81" spans="1:10">
      <c r="A81" s="792" t="str">
        <f>DataF</f>
        <v>DATA:  BASE PERIOD  "X" FORECASTED PERIOD</v>
      </c>
      <c r="B81" s="298"/>
      <c r="C81" s="298"/>
      <c r="D81" s="298"/>
      <c r="E81" s="298"/>
      <c r="F81" s="298"/>
      <c r="G81" s="298"/>
      <c r="H81" s="298"/>
      <c r="I81" s="1204" t="s">
        <v>107</v>
      </c>
      <c r="J81" s="298"/>
    </row>
    <row r="82" spans="1:10">
      <c r="A82" s="792" t="str">
        <f>Type</f>
        <v xml:space="preserve">TYPE OF FILING:  "X" ORIGINAL   UPDATED    REVISED  </v>
      </c>
      <c r="B82" s="298"/>
      <c r="C82" s="298"/>
      <c r="D82" s="298"/>
      <c r="E82" s="298"/>
      <c r="F82" s="298"/>
      <c r="G82" s="298"/>
      <c r="H82" s="298"/>
      <c r="I82" s="793" t="s">
        <v>0</v>
      </c>
      <c r="J82" s="298"/>
    </row>
    <row r="83" spans="1:10">
      <c r="A83" s="1204" t="s">
        <v>2343</v>
      </c>
      <c r="B83" s="298"/>
      <c r="C83" s="298"/>
      <c r="D83" s="298"/>
      <c r="E83" s="298"/>
      <c r="F83" s="298"/>
      <c r="G83" s="298"/>
      <c r="H83" s="298"/>
      <c r="I83" s="793" t="s">
        <v>566</v>
      </c>
      <c r="J83" s="298"/>
    </row>
    <row r="84" spans="1:10">
      <c r="A84" s="298"/>
      <c r="B84" s="298"/>
      <c r="C84" s="298"/>
      <c r="D84" s="298"/>
      <c r="E84" s="298"/>
      <c r="F84" s="298"/>
      <c r="G84" s="298"/>
      <c r="H84" s="298"/>
      <c r="I84" s="793" t="str">
        <f>_WIT1</f>
        <v>S. E. LAWLER</v>
      </c>
      <c r="J84" s="298"/>
    </row>
    <row r="85" spans="1:10">
      <c r="A85" s="794"/>
      <c r="B85" s="794"/>
      <c r="C85" s="794"/>
      <c r="D85" s="794"/>
      <c r="E85" s="794"/>
      <c r="F85" s="794"/>
      <c r="G85" s="794"/>
      <c r="H85" s="794"/>
      <c r="I85" s="794"/>
      <c r="J85" s="794"/>
    </row>
    <row r="86" spans="1:10">
      <c r="A86" s="298"/>
      <c r="B86" s="298"/>
      <c r="C86" s="298"/>
      <c r="D86" s="298"/>
      <c r="E86" s="298"/>
      <c r="F86" s="298"/>
      <c r="G86" s="298"/>
      <c r="H86" s="298"/>
      <c r="I86" s="298"/>
      <c r="J86" s="298"/>
    </row>
    <row r="87" spans="1:10">
      <c r="A87" s="793" t="s">
        <v>1942</v>
      </c>
      <c r="B87" s="298"/>
      <c r="C87" s="298"/>
      <c r="D87" s="298"/>
      <c r="E87" s="298"/>
      <c r="F87" s="298"/>
      <c r="G87" s="298"/>
      <c r="H87" s="298"/>
      <c r="I87" s="298"/>
      <c r="J87" s="795" t="s">
        <v>2098</v>
      </c>
    </row>
    <row r="88" spans="1:10">
      <c r="A88" s="794"/>
      <c r="B88" s="794"/>
      <c r="C88" s="794"/>
      <c r="D88" s="794"/>
      <c r="E88" s="794"/>
      <c r="F88" s="794"/>
      <c r="G88" s="794"/>
      <c r="H88" s="794"/>
      <c r="I88" s="794"/>
      <c r="J88" s="794"/>
    </row>
    <row r="89" spans="1:10">
      <c r="A89" s="298"/>
      <c r="B89" s="298"/>
      <c r="C89" s="298"/>
      <c r="D89" s="298"/>
      <c r="E89" s="298"/>
      <c r="F89" s="298"/>
      <c r="G89" s="298"/>
      <c r="H89" s="298"/>
      <c r="I89" s="298"/>
      <c r="J89" s="796"/>
    </row>
    <row r="90" spans="1:10">
      <c r="A90" s="793" t="s">
        <v>1</v>
      </c>
      <c r="B90" s="298"/>
      <c r="C90" s="298"/>
      <c r="D90" s="298"/>
      <c r="E90" s="298"/>
      <c r="F90" s="298"/>
      <c r="G90" s="298"/>
      <c r="H90" s="298"/>
      <c r="I90" s="298"/>
      <c r="J90" s="298"/>
    </row>
    <row r="91" spans="1:10">
      <c r="A91" s="1204" t="s">
        <v>2344</v>
      </c>
      <c r="B91" s="298"/>
      <c r="C91" s="298"/>
      <c r="D91" s="298"/>
      <c r="E91" s="298"/>
      <c r="F91" s="298"/>
      <c r="G91" s="298"/>
      <c r="H91" s="298"/>
      <c r="I91" s="298"/>
      <c r="J91" s="298"/>
    </row>
    <row r="92" spans="1:10">
      <c r="A92" s="793"/>
      <c r="B92" s="298"/>
      <c r="C92" s="298"/>
      <c r="D92" s="298"/>
      <c r="E92" s="298"/>
      <c r="F92" s="298"/>
      <c r="G92" s="298"/>
      <c r="H92" s="298"/>
      <c r="I92" s="298"/>
      <c r="J92" s="298"/>
    </row>
    <row r="93" spans="1:10">
      <c r="A93" s="298"/>
      <c r="B93" s="298"/>
      <c r="C93" s="298"/>
      <c r="D93" s="298"/>
      <c r="E93" s="298"/>
      <c r="F93" s="298"/>
      <c r="G93" s="298"/>
      <c r="H93" s="298"/>
      <c r="I93" s="298"/>
      <c r="J93" s="797"/>
    </row>
    <row r="94" spans="1:10">
      <c r="A94" s="298"/>
      <c r="B94" s="298"/>
      <c r="C94" s="298"/>
      <c r="D94" s="298"/>
      <c r="E94" s="298"/>
      <c r="F94" s="298"/>
      <c r="G94" s="298"/>
      <c r="H94" s="298"/>
      <c r="I94" s="298"/>
      <c r="J94" s="797"/>
    </row>
    <row r="95" spans="1:10">
      <c r="A95" s="298"/>
      <c r="B95" s="298"/>
      <c r="C95" s="298"/>
      <c r="D95" s="298"/>
      <c r="E95" s="298"/>
      <c r="F95" s="298"/>
      <c r="G95" s="298"/>
      <c r="H95" s="298"/>
      <c r="I95" s="298"/>
      <c r="J95" s="797"/>
    </row>
    <row r="96" spans="1:10">
      <c r="A96" s="1580" t="s">
        <v>2349</v>
      </c>
      <c r="B96" s="298"/>
      <c r="C96" s="298"/>
      <c r="D96" s="298"/>
      <c r="E96" s="298"/>
      <c r="F96" s="298"/>
      <c r="G96" s="298"/>
      <c r="H96" s="298"/>
      <c r="I96" s="798"/>
      <c r="J96" s="172">
        <f>T150</f>
        <v>16075</v>
      </c>
    </row>
    <row r="97" spans="1:22">
      <c r="A97" s="298"/>
      <c r="B97" s="298"/>
      <c r="C97" s="298"/>
      <c r="D97" s="298"/>
      <c r="E97" s="298"/>
      <c r="F97" s="298"/>
      <c r="G97" s="298"/>
      <c r="H97" s="298"/>
      <c r="I97" s="298"/>
      <c r="J97" s="799"/>
    </row>
    <row r="98" spans="1:22">
      <c r="A98" s="298"/>
      <c r="B98" s="298"/>
      <c r="C98" s="298"/>
      <c r="D98" s="298"/>
      <c r="E98" s="298"/>
      <c r="F98" s="298"/>
      <c r="G98" s="298"/>
      <c r="H98" s="298"/>
      <c r="I98" s="298"/>
      <c r="J98" s="298"/>
    </row>
    <row r="99" spans="1:22">
      <c r="A99" s="793" t="s">
        <v>349</v>
      </c>
      <c r="B99" s="298"/>
      <c r="C99" s="298"/>
      <c r="D99" s="298"/>
      <c r="E99" s="298"/>
      <c r="F99" s="298"/>
      <c r="G99" s="298"/>
      <c r="H99" s="298"/>
      <c r="I99" s="298"/>
      <c r="J99" s="800">
        <f>VLOOKUP(D105,ALLOCTABLE,2)/100</f>
        <v>1</v>
      </c>
    </row>
    <row r="100" spans="1:22">
      <c r="A100" s="298"/>
      <c r="B100" s="298"/>
      <c r="C100" s="298"/>
      <c r="D100" s="298"/>
      <c r="E100" s="298"/>
      <c r="F100" s="298"/>
      <c r="G100" s="298"/>
      <c r="H100" s="298"/>
      <c r="I100" s="298"/>
      <c r="J100" s="798"/>
    </row>
    <row r="101" spans="1:22">
      <c r="A101" s="298"/>
      <c r="B101" s="298"/>
      <c r="C101" s="298"/>
      <c r="D101" s="298"/>
      <c r="E101" s="298"/>
      <c r="F101" s="298"/>
      <c r="G101" s="298"/>
      <c r="H101" s="298"/>
      <c r="I101" s="298"/>
      <c r="J101" s="298"/>
    </row>
    <row r="102" spans="1:22" ht="16.8">
      <c r="A102" s="793" t="s">
        <v>1934</v>
      </c>
      <c r="B102" s="298"/>
      <c r="C102" s="298"/>
      <c r="D102" s="298"/>
      <c r="E102" s="298"/>
      <c r="F102" s="793" t="s">
        <v>1681</v>
      </c>
      <c r="G102" s="298"/>
      <c r="H102" s="298"/>
      <c r="I102" s="798"/>
      <c r="J102" s="210">
        <f>ROUND(+J96*J99,0)</f>
        <v>16075</v>
      </c>
    </row>
    <row r="103" spans="1:22">
      <c r="A103" s="298"/>
      <c r="B103" s="298"/>
      <c r="C103" s="298"/>
      <c r="D103" s="298"/>
      <c r="E103" s="298"/>
      <c r="F103" s="298"/>
      <c r="G103" s="298"/>
      <c r="H103" s="298"/>
      <c r="I103" s="298"/>
      <c r="J103" s="799"/>
    </row>
    <row r="104" spans="1:22">
      <c r="A104" s="793"/>
      <c r="B104" s="298"/>
      <c r="C104" s="298"/>
      <c r="D104" s="298"/>
      <c r="E104" s="298"/>
      <c r="F104" s="298"/>
      <c r="G104" s="298"/>
      <c r="H104" s="298"/>
      <c r="I104" s="298"/>
      <c r="J104" s="298"/>
    </row>
    <row r="105" spans="1:22">
      <c r="A105" s="793" t="s">
        <v>1935</v>
      </c>
      <c r="B105" s="298"/>
      <c r="C105" s="298"/>
      <c r="D105" s="801" t="s">
        <v>591</v>
      </c>
      <c r="E105" s="298"/>
      <c r="F105" s="298"/>
      <c r="G105" s="298"/>
      <c r="H105" s="298"/>
      <c r="I105" s="298"/>
      <c r="J105" s="298"/>
    </row>
    <row r="106" spans="1:22">
      <c r="A106" s="298"/>
      <c r="B106" s="298"/>
      <c r="C106" s="298"/>
      <c r="D106" s="298"/>
      <c r="E106" s="298"/>
      <c r="F106" s="298"/>
      <c r="G106" s="298"/>
      <c r="H106" s="298"/>
      <c r="I106" s="298"/>
      <c r="J106" s="298"/>
    </row>
    <row r="107" spans="1:22">
      <c r="A107" s="298"/>
      <c r="B107" s="298"/>
      <c r="C107" s="298"/>
      <c r="D107" s="298"/>
      <c r="E107" s="298"/>
      <c r="F107" s="298"/>
      <c r="G107" s="298"/>
      <c r="H107" s="298"/>
      <c r="I107" s="298"/>
      <c r="J107" s="298"/>
    </row>
    <row r="108" spans="1:22">
      <c r="N108" s="181" t="str">
        <f>COMPANY</f>
        <v>DUKE ENERGY KENTUCKY, INC.</v>
      </c>
      <c r="O108" s="182"/>
      <c r="P108" s="182"/>
      <c r="Q108" s="182"/>
      <c r="R108" s="182"/>
      <c r="S108" s="182"/>
      <c r="T108" s="181" t="s">
        <v>108</v>
      </c>
      <c r="U108" s="182"/>
      <c r="V108" s="165"/>
    </row>
    <row r="109" spans="1:22">
      <c r="N109" s="181" t="str">
        <f>DEPT</f>
        <v>GAS DEPARTMENT</v>
      </c>
      <c r="O109" s="182"/>
      <c r="P109" s="182"/>
      <c r="Q109" s="182"/>
      <c r="R109" s="182"/>
      <c r="S109" s="182"/>
      <c r="T109" s="181" t="s">
        <v>1937</v>
      </c>
      <c r="U109" s="182"/>
      <c r="V109" s="165"/>
    </row>
    <row r="110" spans="1:22">
      <c r="N110" s="181" t="str">
        <f>CASE</f>
        <v>CASE NO. 2018-00261</v>
      </c>
      <c r="O110" s="182"/>
      <c r="P110" s="182"/>
      <c r="Q110" s="182"/>
      <c r="R110" s="182"/>
      <c r="S110" s="182"/>
      <c r="T110" s="182" t="str">
        <f>_WIT1</f>
        <v>S. E. LAWLER</v>
      </c>
      <c r="U110" s="182"/>
      <c r="V110" s="165"/>
    </row>
    <row r="111" spans="1:22">
      <c r="N111" s="181" t="str">
        <f>A3</f>
        <v>ELIMINATE UNBILLED REVENUE AND GAS COSTS</v>
      </c>
      <c r="O111" s="182"/>
      <c r="P111" s="182"/>
      <c r="Q111" s="182"/>
      <c r="R111" s="182"/>
      <c r="S111" s="182"/>
      <c r="T111" s="183"/>
      <c r="U111" s="182"/>
      <c r="V111" s="165"/>
    </row>
    <row r="112" spans="1:22">
      <c r="N112" s="181"/>
      <c r="O112" s="182"/>
      <c r="P112" s="182"/>
      <c r="Q112" s="182"/>
      <c r="R112" s="182"/>
      <c r="S112" s="182"/>
      <c r="T112" s="182"/>
      <c r="U112" s="182"/>
      <c r="V112" s="165"/>
    </row>
    <row r="113" spans="13:23">
      <c r="N113" s="165"/>
      <c r="O113" s="165"/>
      <c r="P113" s="165"/>
      <c r="Q113" s="165"/>
      <c r="R113" s="165"/>
      <c r="S113" s="165"/>
      <c r="T113" s="165"/>
      <c r="U113" s="165"/>
      <c r="V113" s="165"/>
    </row>
    <row r="114" spans="13:23">
      <c r="N114" s="165"/>
      <c r="O114" s="165"/>
      <c r="P114" s="165"/>
      <c r="Q114" s="165"/>
      <c r="R114" s="165"/>
      <c r="S114" s="165"/>
      <c r="T114" s="165"/>
      <c r="U114" s="165"/>
      <c r="V114" s="165"/>
    </row>
    <row r="115" spans="13:23">
      <c r="N115" s="184" t="s">
        <v>1938</v>
      </c>
      <c r="O115" s="184"/>
      <c r="P115" s="184"/>
      <c r="Q115" s="184"/>
      <c r="R115" s="184"/>
      <c r="S115" s="184"/>
      <c r="T115" s="1222" t="s">
        <v>1232</v>
      </c>
      <c r="U115" s="184"/>
      <c r="V115" s="184"/>
    </row>
    <row r="116" spans="13:23">
      <c r="N116" s="185" t="s">
        <v>1939</v>
      </c>
      <c r="O116" s="185"/>
      <c r="P116" s="185" t="s">
        <v>1988</v>
      </c>
      <c r="Q116" s="185"/>
      <c r="R116" s="185"/>
      <c r="S116" s="185"/>
      <c r="T116" s="185" t="s">
        <v>1989</v>
      </c>
      <c r="U116" s="185"/>
      <c r="V116" s="185" t="s">
        <v>1940</v>
      </c>
    </row>
    <row r="117" spans="13:23">
      <c r="N117" s="165"/>
      <c r="O117" s="165"/>
      <c r="P117" s="165"/>
      <c r="Q117" s="165"/>
      <c r="R117" s="165"/>
      <c r="S117" s="165"/>
      <c r="T117" s="165"/>
      <c r="U117" s="165"/>
      <c r="V117" s="165"/>
    </row>
    <row r="118" spans="13:23">
      <c r="N118" s="184">
        <v>1</v>
      </c>
      <c r="O118" s="165"/>
      <c r="P118" s="201" t="s">
        <v>861</v>
      </c>
      <c r="Q118" s="165"/>
      <c r="R118" s="178"/>
      <c r="S118" s="165"/>
      <c r="T118" s="264">
        <f>WPC_2!AM187</f>
        <v>309531</v>
      </c>
      <c r="U118" s="191"/>
      <c r="V118" s="264">
        <f>-T118</f>
        <v>-309531</v>
      </c>
      <c r="W118" s="198" t="s">
        <v>837</v>
      </c>
    </row>
    <row r="119" spans="13:23">
      <c r="N119" s="184"/>
      <c r="O119" s="165"/>
      <c r="P119" s="201"/>
      <c r="Q119" s="165"/>
      <c r="R119" s="178"/>
      <c r="S119" s="165"/>
      <c r="T119" s="264"/>
      <c r="U119" s="191"/>
      <c r="V119" s="264"/>
    </row>
    <row r="120" spans="13:23">
      <c r="N120" s="184">
        <v>2</v>
      </c>
      <c r="O120" s="165"/>
      <c r="P120" s="1228" t="s">
        <v>3020</v>
      </c>
      <c r="Q120" s="165"/>
      <c r="R120" s="178"/>
      <c r="S120" s="165"/>
      <c r="T120" s="188">
        <f>WPC_2!AM195</f>
        <v>80547</v>
      </c>
      <c r="U120" s="187"/>
      <c r="V120" s="188">
        <f>-T120</f>
        <v>-80547</v>
      </c>
      <c r="W120" s="198" t="s">
        <v>837</v>
      </c>
    </row>
    <row r="121" spans="13:23">
      <c r="N121" s="184"/>
      <c r="O121" s="165"/>
      <c r="P121" s="201"/>
      <c r="Q121" s="165"/>
      <c r="R121" s="178"/>
      <c r="S121" s="165"/>
      <c r="T121" s="264"/>
      <c r="U121" s="165"/>
      <c r="V121" s="264"/>
    </row>
    <row r="122" spans="13:23" ht="15.6" thickBot="1">
      <c r="N122" s="184">
        <v>3</v>
      </c>
      <c r="O122" s="165"/>
      <c r="P122" s="201" t="s">
        <v>1181</v>
      </c>
      <c r="Q122" s="165"/>
      <c r="R122" s="178"/>
      <c r="S122" s="165"/>
      <c r="T122" s="190">
        <f>SUM(T118:T120)</f>
        <v>390078</v>
      </c>
      <c r="U122" s="165"/>
      <c r="V122" s="190">
        <f>SUM(V118:V120)</f>
        <v>-390078</v>
      </c>
    </row>
    <row r="123" spans="13:23" ht="15.6" thickTop="1">
      <c r="N123" s="184"/>
      <c r="O123" s="165"/>
      <c r="P123" s="201"/>
      <c r="Q123" s="165"/>
      <c r="R123" s="178"/>
      <c r="S123" s="165"/>
      <c r="T123" s="264"/>
      <c r="U123" s="165"/>
      <c r="V123" s="264"/>
    </row>
    <row r="124" spans="13:23" ht="15.6" thickBot="1">
      <c r="M124" s="198">
        <v>805003</v>
      </c>
      <c r="N124" s="184">
        <v>4</v>
      </c>
      <c r="O124" s="165"/>
      <c r="P124" s="201" t="s">
        <v>1183</v>
      </c>
      <c r="Q124" s="165"/>
      <c r="R124" s="178"/>
      <c r="S124" s="165"/>
      <c r="T124" s="190">
        <f>ROUND(VLOOKUP(M124,FPERIOD,5,FALSE),0)</f>
        <v>80549</v>
      </c>
      <c r="U124" s="165"/>
      <c r="V124" s="190">
        <f>-T124</f>
        <v>-80549</v>
      </c>
      <c r="W124" s="198" t="s">
        <v>837</v>
      </c>
    </row>
    <row r="125" spans="13:23" ht="15.6" thickTop="1">
      <c r="N125" s="184"/>
      <c r="O125" s="165"/>
      <c r="P125" s="201"/>
      <c r="Q125" s="165"/>
      <c r="R125" s="178"/>
      <c r="S125" s="165"/>
      <c r="T125" s="264"/>
      <c r="U125" s="165"/>
      <c r="V125" s="264"/>
    </row>
    <row r="126" spans="13:23">
      <c r="N126" s="184"/>
      <c r="O126" s="165"/>
      <c r="P126" s="201"/>
      <c r="Q126" s="165"/>
      <c r="R126" s="178"/>
      <c r="S126" s="165"/>
      <c r="T126" s="264"/>
      <c r="U126" s="165"/>
      <c r="V126" s="264"/>
    </row>
    <row r="127" spans="13:23">
      <c r="N127" s="184"/>
      <c r="O127" s="165"/>
      <c r="P127" s="165"/>
      <c r="Q127" s="165"/>
      <c r="R127" s="165"/>
      <c r="S127" s="165"/>
      <c r="T127" s="165"/>
      <c r="U127" s="165"/>
      <c r="V127" s="165"/>
    </row>
    <row r="128" spans="13:23">
      <c r="N128" s="165"/>
      <c r="O128" s="165"/>
      <c r="P128" s="165"/>
      <c r="Q128" s="165"/>
      <c r="R128" s="165"/>
      <c r="S128" s="165"/>
      <c r="T128" s="165"/>
      <c r="U128" s="165"/>
      <c r="V128" s="165"/>
    </row>
    <row r="129" spans="14:22">
      <c r="N129" s="165"/>
      <c r="O129" s="165"/>
      <c r="P129" s="165" t="s">
        <v>1182</v>
      </c>
      <c r="Q129" s="165"/>
      <c r="R129" s="165"/>
      <c r="S129" s="165"/>
      <c r="T129" s="165"/>
      <c r="U129" s="165"/>
      <c r="V129" s="165"/>
    </row>
    <row r="130" spans="14:22">
      <c r="N130" s="165"/>
      <c r="O130" s="165"/>
      <c r="P130" s="165"/>
      <c r="Q130" s="165"/>
      <c r="R130" s="165"/>
      <c r="S130" s="165"/>
      <c r="T130" s="165"/>
      <c r="U130" s="165"/>
      <c r="V130" s="184"/>
    </row>
    <row r="133" spans="14:22">
      <c r="N133" s="181" t="str">
        <f>COMPANY</f>
        <v>DUKE ENERGY KENTUCKY, INC.</v>
      </c>
      <c r="O133" s="182"/>
      <c r="P133" s="182"/>
      <c r="Q133" s="182"/>
      <c r="R133" s="182"/>
      <c r="S133" s="182"/>
      <c r="T133" s="1190" t="s">
        <v>2345</v>
      </c>
      <c r="U133" s="182"/>
      <c r="V133" s="165"/>
    </row>
    <row r="134" spans="14:22">
      <c r="N134" s="181" t="str">
        <f>DEPT</f>
        <v>GAS DEPARTMENT</v>
      </c>
      <c r="O134" s="182"/>
      <c r="P134" s="182"/>
      <c r="Q134" s="182"/>
      <c r="R134" s="182"/>
      <c r="S134" s="182"/>
      <c r="T134" s="181" t="s">
        <v>1937</v>
      </c>
      <c r="U134" s="182"/>
      <c r="V134" s="165"/>
    </row>
    <row r="135" spans="14:22">
      <c r="N135" s="181" t="str">
        <f>CASE</f>
        <v>CASE NO. 2018-00261</v>
      </c>
      <c r="O135" s="182"/>
      <c r="P135" s="182"/>
      <c r="Q135" s="182"/>
      <c r="R135" s="182"/>
      <c r="S135" s="182"/>
      <c r="T135" s="182" t="str">
        <f>_WIT1</f>
        <v>S. E. LAWLER</v>
      </c>
      <c r="U135" s="182"/>
      <c r="V135" s="165"/>
    </row>
    <row r="136" spans="14:22">
      <c r="N136" s="181" t="str">
        <f>A3</f>
        <v>ELIMINATE UNBILLED REVENUE AND GAS COSTS</v>
      </c>
      <c r="O136" s="182"/>
      <c r="P136" s="182"/>
      <c r="Q136" s="182"/>
      <c r="R136" s="182"/>
      <c r="S136" s="182"/>
      <c r="T136" s="183"/>
      <c r="U136" s="182"/>
      <c r="V136" s="165"/>
    </row>
    <row r="139" spans="14:22">
      <c r="N139" s="298"/>
      <c r="O139" s="298"/>
      <c r="P139" s="298"/>
      <c r="Q139" s="298"/>
      <c r="R139" s="795" t="s">
        <v>1028</v>
      </c>
      <c r="S139" s="298"/>
      <c r="T139" s="298"/>
      <c r="U139" s="298"/>
      <c r="V139" s="298"/>
    </row>
    <row r="140" spans="14:22">
      <c r="N140" s="795" t="s">
        <v>567</v>
      </c>
      <c r="O140" s="298"/>
      <c r="P140" s="298"/>
      <c r="Q140" s="298"/>
      <c r="R140" s="795" t="s">
        <v>882</v>
      </c>
      <c r="S140" s="298"/>
      <c r="T140" s="298"/>
      <c r="U140" s="298"/>
      <c r="V140" s="298"/>
    </row>
    <row r="141" spans="14:22">
      <c r="N141" s="803" t="s">
        <v>766</v>
      </c>
      <c r="O141" s="298"/>
      <c r="P141" s="804" t="s">
        <v>3</v>
      </c>
      <c r="Q141" s="298"/>
      <c r="R141" s="803" t="s">
        <v>742</v>
      </c>
      <c r="S141" s="298"/>
      <c r="T141" s="803" t="s">
        <v>2125</v>
      </c>
      <c r="U141" s="298"/>
      <c r="V141" s="298"/>
    </row>
    <row r="142" spans="14:22">
      <c r="N142" s="803"/>
      <c r="O142" s="298"/>
      <c r="P142" s="804"/>
      <c r="Q142" s="298"/>
      <c r="R142" s="803"/>
      <c r="S142" s="298"/>
      <c r="T142" s="805" t="s">
        <v>1134</v>
      </c>
      <c r="U142" s="298"/>
      <c r="V142" s="298"/>
    </row>
    <row r="143" spans="14:22">
      <c r="N143" s="795"/>
      <c r="O143" s="298"/>
      <c r="P143" s="795"/>
      <c r="Q143" s="793"/>
      <c r="R143" s="795"/>
      <c r="S143" s="298"/>
      <c r="T143" s="298"/>
      <c r="U143" s="298"/>
      <c r="V143" s="298"/>
    </row>
    <row r="144" spans="14:22">
      <c r="N144" s="795">
        <v>1</v>
      </c>
      <c r="O144" s="298"/>
      <c r="P144" s="1204" t="s">
        <v>2346</v>
      </c>
      <c r="Q144" s="298"/>
      <c r="R144" s="1579" t="s">
        <v>108</v>
      </c>
      <c r="S144" s="807"/>
      <c r="T144" s="797">
        <f>V124</f>
        <v>-80549</v>
      </c>
      <c r="U144" s="298"/>
      <c r="V144" s="298"/>
    </row>
    <row r="145" spans="14:22">
      <c r="N145" s="795"/>
      <c r="O145" s="298"/>
      <c r="P145" s="809"/>
      <c r="Q145" s="298"/>
      <c r="R145" s="806"/>
      <c r="S145" s="807"/>
      <c r="T145" s="808"/>
      <c r="U145" s="298"/>
      <c r="V145" s="298"/>
    </row>
    <row r="146" spans="14:22">
      <c r="N146" s="795"/>
      <c r="O146" s="809"/>
      <c r="P146" s="298"/>
      <c r="Q146" s="298"/>
      <c r="R146" s="298"/>
      <c r="S146" s="298"/>
      <c r="T146" s="810"/>
      <c r="U146" s="298"/>
      <c r="V146" s="298"/>
    </row>
    <row r="147" spans="14:22">
      <c r="N147" s="795">
        <v>2</v>
      </c>
      <c r="O147" s="809"/>
      <c r="P147" s="809" t="str">
        <f>"State Deferred Tax Adjusment (Line 1 * "&amp;TEXT(SIT,"#.00%")&amp;" * "&amp;TEXT(APPORT,"0.000%")&amp;")"</f>
        <v>State Deferred Tax Adjusment (Line 1 * 5.00% * 99.370%)</v>
      </c>
      <c r="Q147" s="298"/>
      <c r="R147" s="806"/>
      <c r="S147" s="807"/>
      <c r="T147" s="797">
        <f>-ROUND(T144*SIT*APPORT,0)</f>
        <v>4002</v>
      </c>
      <c r="U147" s="1204" t="s">
        <v>2347</v>
      </c>
      <c r="V147" s="298"/>
    </row>
    <row r="148" spans="14:22">
      <c r="N148" s="795"/>
      <c r="O148" s="809"/>
      <c r="P148" s="793"/>
      <c r="Q148" s="298"/>
      <c r="R148" s="795"/>
      <c r="S148" s="807"/>
      <c r="T148" s="808"/>
      <c r="U148" s="298"/>
      <c r="V148" s="298"/>
    </row>
    <row r="149" spans="14:22">
      <c r="N149" s="795"/>
      <c r="O149" s="809"/>
      <c r="P149" s="809"/>
      <c r="Q149" s="298"/>
      <c r="R149" s="298"/>
      <c r="S149" s="298"/>
      <c r="T149" s="298"/>
      <c r="U149" s="298"/>
      <c r="V149" s="298"/>
    </row>
    <row r="150" spans="14:22">
      <c r="N150" s="795">
        <v>3</v>
      </c>
      <c r="O150" s="809"/>
      <c r="P150" s="809" t="str">
        <f>"Federal Deferred Tax Adjustment ((Line 1 + Line 2) * "&amp;TEXT(FIT,"##.00%")&amp;")"</f>
        <v>Federal Deferred Tax Adjustment ((Line 1 + Line 2) * 21.00%)</v>
      </c>
      <c r="Q150" s="298"/>
      <c r="R150" s="298"/>
      <c r="S150" s="807"/>
      <c r="T150" s="797">
        <f>-ROUND((T144+T147)*FIT,0)</f>
        <v>16075</v>
      </c>
      <c r="U150" s="1204" t="s">
        <v>2347</v>
      </c>
      <c r="V150" s="298"/>
    </row>
  </sheetData>
  <phoneticPr fontId="4" type="noConversion"/>
  <pageMargins left="1" right="0.75" top="0.78740157480314998" bottom="0" header="0" footer="0"/>
  <pageSetup scale="77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>
    <tabColor theme="7" tint="0.39997558519241921"/>
    <pageSetUpPr fitToPage="1"/>
  </sheetPr>
  <dimension ref="A1:U61"/>
  <sheetViews>
    <sheetView zoomScale="75" workbookViewId="0"/>
  </sheetViews>
  <sheetFormatPr defaultColWidth="8" defaultRowHeight="15"/>
  <cols>
    <col min="1" max="1" width="8" style="198" customWidth="1"/>
    <col min="2" max="2" width="25.109375" style="198" customWidth="1"/>
    <col min="3" max="3" width="8" style="198" customWidth="1"/>
    <col min="4" max="4" width="10.44140625" style="198" customWidth="1"/>
    <col min="5" max="7" width="8" style="198" customWidth="1"/>
    <col min="8" max="8" width="12.44140625" style="198" customWidth="1"/>
    <col min="9" max="9" width="10" style="198" customWidth="1"/>
    <col min="10" max="10" width="18.44140625" style="198" customWidth="1"/>
    <col min="11" max="12" width="8" style="198" customWidth="1"/>
    <col min="13" max="13" width="2.44140625" style="198" customWidth="1"/>
    <col min="14" max="14" width="42.109375" style="198" customWidth="1"/>
    <col min="15" max="15" width="3.88671875" style="198" customWidth="1"/>
    <col min="16" max="16" width="13.6640625" style="198" customWidth="1"/>
    <col min="17" max="17" width="1.88671875" style="198" customWidth="1"/>
    <col min="18" max="18" width="18.109375" style="198" customWidth="1"/>
    <col min="19" max="19" width="2.33203125" style="198" customWidth="1"/>
    <col min="20" max="20" width="16.44140625" style="198" customWidth="1"/>
    <col min="21" max="16384" width="8" style="198"/>
  </cols>
  <sheetData>
    <row r="1" spans="1:11">
      <c r="A1" s="196" t="str">
        <f>LOGO!B5</f>
        <v>DUKE ENERGY KENTUCKY, INC.</v>
      </c>
      <c r="B1" s="197"/>
      <c r="C1" s="197"/>
      <c r="D1" s="197"/>
      <c r="E1" s="197"/>
      <c r="F1" s="197"/>
      <c r="G1" s="197"/>
      <c r="H1" s="197"/>
      <c r="I1" s="197"/>
      <c r="J1" s="197"/>
    </row>
    <row r="2" spans="1:11">
      <c r="A2" s="196" t="str">
        <f>LOGO!B6</f>
        <v>CASE NO. 2018-00261</v>
      </c>
      <c r="B2" s="197"/>
      <c r="C2" s="197"/>
      <c r="D2" s="197"/>
      <c r="E2" s="197"/>
      <c r="F2" s="197"/>
      <c r="G2" s="197"/>
      <c r="H2" s="197"/>
      <c r="I2" s="197"/>
      <c r="J2" s="197"/>
    </row>
    <row r="3" spans="1:11">
      <c r="A3" s="1205" t="s">
        <v>3012</v>
      </c>
      <c r="B3" s="197"/>
      <c r="C3" s="197"/>
      <c r="D3" s="197"/>
      <c r="E3" s="197"/>
      <c r="F3" s="197"/>
      <c r="G3" s="197"/>
      <c r="H3" s="197"/>
      <c r="I3" s="197"/>
      <c r="J3" s="197"/>
    </row>
    <row r="4" spans="1:11">
      <c r="A4" s="163" t="str">
        <f>PeriodF</f>
        <v>FOR THE TWELVE MONTHS ENDED MARCH 31, 2020</v>
      </c>
      <c r="B4" s="197"/>
      <c r="C4" s="197"/>
      <c r="D4" s="197"/>
      <c r="E4" s="197"/>
      <c r="F4" s="197"/>
      <c r="G4" s="197"/>
      <c r="H4" s="197"/>
      <c r="I4" s="197"/>
      <c r="J4" s="197"/>
    </row>
    <row r="6" spans="1:11">
      <c r="A6" s="199" t="str">
        <f>DataF</f>
        <v>DATA:  BASE PERIOD  "X" FORECASTED PERIOD</v>
      </c>
      <c r="I6" s="200" t="s">
        <v>1521</v>
      </c>
    </row>
    <row r="7" spans="1:11">
      <c r="A7" s="199" t="str">
        <f>LOGO!B15</f>
        <v xml:space="preserve">TYPE OF FILING:  "X" ORIGINAL   UPDATED    REVISED  </v>
      </c>
      <c r="I7" s="201" t="s">
        <v>564</v>
      </c>
    </row>
    <row r="8" spans="1:11">
      <c r="A8" s="1228" t="s">
        <v>3013</v>
      </c>
      <c r="I8" s="201" t="s">
        <v>566</v>
      </c>
    </row>
    <row r="9" spans="1:11">
      <c r="I9" s="201" t="str">
        <f>_WIT9</f>
        <v>R. H. PRATT</v>
      </c>
    </row>
    <row r="10" spans="1:11">
      <c r="A10" s="202"/>
      <c r="B10" s="202"/>
      <c r="C10" s="202"/>
      <c r="D10" s="202"/>
      <c r="E10" s="202"/>
      <c r="F10" s="202"/>
      <c r="G10" s="202"/>
      <c r="H10" s="202"/>
      <c r="I10" s="202"/>
      <c r="J10" s="202"/>
      <c r="K10" s="201"/>
    </row>
    <row r="12" spans="1:11">
      <c r="A12" s="201" t="s">
        <v>1942</v>
      </c>
      <c r="J12" s="203" t="s">
        <v>2098</v>
      </c>
    </row>
    <row r="13" spans="1:11">
      <c r="A13" s="202"/>
      <c r="B13" s="202"/>
      <c r="C13" s="202"/>
      <c r="D13" s="202"/>
      <c r="E13" s="202"/>
      <c r="F13" s="202"/>
      <c r="G13" s="202"/>
      <c r="H13" s="202"/>
      <c r="I13" s="202"/>
      <c r="J13" s="202"/>
      <c r="K13" s="201"/>
    </row>
    <row r="14" spans="1:11">
      <c r="J14" s="204"/>
    </row>
    <row r="15" spans="1:11">
      <c r="A15" s="1206" t="s">
        <v>3014</v>
      </c>
    </row>
    <row r="16" spans="1:11">
      <c r="A16" s="1206" t="s">
        <v>3043</v>
      </c>
    </row>
    <row r="17" spans="1:10">
      <c r="A17" s="201"/>
    </row>
    <row r="18" spans="1:10">
      <c r="A18" s="201"/>
      <c r="H18" s="206"/>
    </row>
    <row r="20" spans="1:10">
      <c r="A20" s="1232" t="s">
        <v>2153</v>
      </c>
      <c r="J20" s="3509">
        <f>2394145-628135</f>
        <v>1766010</v>
      </c>
    </row>
    <row r="21" spans="1:10">
      <c r="A21" s="201"/>
      <c r="J21" s="1022"/>
    </row>
    <row r="23" spans="1:10">
      <c r="A23" s="201" t="s">
        <v>349</v>
      </c>
      <c r="J23" s="209">
        <f>VLOOKUP(D30,ALLOCTABLE,2)/100</f>
        <v>1</v>
      </c>
    </row>
    <row r="24" spans="1:10">
      <c r="J24" s="208"/>
    </row>
    <row r="26" spans="1:10" ht="16.8">
      <c r="A26" s="201" t="s">
        <v>1934</v>
      </c>
      <c r="F26" s="201" t="s">
        <v>383</v>
      </c>
      <c r="I26" s="208"/>
      <c r="J26" s="210">
        <f>ROUND(J20*J23,0)</f>
        <v>1766010</v>
      </c>
    </row>
    <row r="27" spans="1:10">
      <c r="J27" s="208"/>
    </row>
    <row r="30" spans="1:10">
      <c r="A30" s="201" t="s">
        <v>1935</v>
      </c>
      <c r="D30" s="211" t="s">
        <v>591</v>
      </c>
    </row>
    <row r="31" spans="1:10">
      <c r="A31" s="201"/>
    </row>
    <row r="32" spans="1:10">
      <c r="A32" s="201"/>
    </row>
    <row r="33" spans="1:21">
      <c r="A33" s="201"/>
    </row>
    <row r="34" spans="1:21">
      <c r="A34" s="201"/>
    </row>
    <row r="35" spans="1:21">
      <c r="A35" s="201"/>
    </row>
    <row r="36" spans="1:21">
      <c r="A36" s="201"/>
    </row>
    <row r="37" spans="1:21">
      <c r="L37" s="181"/>
      <c r="M37" s="182"/>
      <c r="N37" s="182"/>
      <c r="O37" s="182"/>
      <c r="P37" s="182"/>
      <c r="Q37" s="182"/>
      <c r="R37" s="181"/>
      <c r="S37" s="182"/>
      <c r="T37" s="165"/>
    </row>
    <row r="38" spans="1:21">
      <c r="L38" s="181"/>
      <c r="M38" s="182"/>
      <c r="N38" s="182"/>
      <c r="O38" s="182"/>
      <c r="P38" s="182"/>
      <c r="Q38" s="182"/>
      <c r="R38" s="181"/>
      <c r="S38" s="182"/>
      <c r="T38" s="165"/>
    </row>
    <row r="39" spans="1:21">
      <c r="L39" s="181"/>
      <c r="M39" s="182"/>
      <c r="N39" s="182"/>
      <c r="O39" s="182"/>
      <c r="P39" s="182"/>
      <c r="Q39" s="182"/>
      <c r="R39" s="182"/>
      <c r="S39" s="182"/>
      <c r="T39" s="165"/>
    </row>
    <row r="40" spans="1:21">
      <c r="L40" s="181"/>
      <c r="M40" s="182"/>
      <c r="N40" s="182"/>
      <c r="O40" s="182"/>
      <c r="P40" s="182"/>
      <c r="Q40" s="182"/>
      <c r="R40" s="183"/>
      <c r="S40" s="182"/>
      <c r="T40" s="165"/>
    </row>
    <row r="41" spans="1:21">
      <c r="L41" s="181"/>
      <c r="M41" s="182"/>
      <c r="N41" s="182"/>
      <c r="O41" s="182"/>
      <c r="P41" s="182"/>
      <c r="Q41" s="182"/>
      <c r="R41" s="182"/>
      <c r="S41" s="182"/>
      <c r="T41" s="165"/>
    </row>
    <row r="42" spans="1:21">
      <c r="L42" s="165"/>
      <c r="M42" s="165"/>
      <c r="N42" s="165"/>
      <c r="O42" s="165"/>
      <c r="P42" s="165"/>
      <c r="Q42" s="165"/>
      <c r="R42" s="165"/>
      <c r="S42" s="165"/>
      <c r="T42" s="165"/>
    </row>
    <row r="43" spans="1:21">
      <c r="L43" s="165"/>
      <c r="M43" s="165"/>
      <c r="N43" s="165"/>
      <c r="O43" s="165"/>
      <c r="P43" s="165"/>
      <c r="Q43" s="165"/>
      <c r="R43" s="165"/>
      <c r="S43" s="165"/>
      <c r="T43" s="165"/>
    </row>
    <row r="44" spans="1:21">
      <c r="L44" s="184"/>
      <c r="M44" s="184"/>
      <c r="N44" s="184"/>
      <c r="O44" s="184"/>
      <c r="P44" s="184"/>
      <c r="Q44" s="184"/>
      <c r="R44" s="184"/>
      <c r="S44" s="184"/>
      <c r="T44" s="184"/>
    </row>
    <row r="45" spans="1:21">
      <c r="L45" s="185"/>
      <c r="M45" s="185"/>
      <c r="N45" s="185"/>
      <c r="O45" s="185"/>
      <c r="P45" s="185"/>
      <c r="Q45" s="185"/>
      <c r="R45" s="185"/>
      <c r="S45" s="185"/>
      <c r="T45" s="185"/>
    </row>
    <row r="46" spans="1:21">
      <c r="L46" s="165"/>
      <c r="M46" s="165"/>
      <c r="N46" s="165"/>
      <c r="O46" s="165"/>
      <c r="P46" s="165"/>
      <c r="Q46" s="165"/>
      <c r="R46" s="165"/>
      <c r="S46" s="165"/>
      <c r="T46" s="165"/>
    </row>
    <row r="47" spans="1:21">
      <c r="L47" s="1229"/>
      <c r="M47" s="191"/>
      <c r="N47" s="776"/>
      <c r="O47" s="191"/>
      <c r="P47" s="264"/>
      <c r="Q47" s="191"/>
      <c r="R47" s="1031"/>
      <c r="S47" s="191"/>
      <c r="T47" s="264"/>
      <c r="U47" s="685"/>
    </row>
    <row r="48" spans="1:21">
      <c r="L48" s="1229"/>
      <c r="M48" s="191"/>
      <c r="N48" s="776"/>
      <c r="O48" s="191"/>
      <c r="P48" s="264"/>
      <c r="Q48" s="191"/>
      <c r="R48" s="1031"/>
      <c r="S48" s="191"/>
      <c r="T48" s="264"/>
      <c r="U48" s="685"/>
    </row>
    <row r="49" spans="12:21">
      <c r="L49" s="1229"/>
      <c r="M49" s="191"/>
      <c r="N49" s="776"/>
      <c r="O49" s="191"/>
      <c r="P49" s="264"/>
      <c r="Q49" s="191"/>
      <c r="R49" s="1230"/>
      <c r="S49" s="263"/>
      <c r="T49" s="263"/>
      <c r="U49" s="685"/>
    </row>
    <row r="50" spans="12:21">
      <c r="L50" s="1229"/>
      <c r="M50" s="191"/>
      <c r="N50" s="1231"/>
      <c r="O50" s="191"/>
      <c r="P50" s="264"/>
      <c r="Q50" s="191"/>
      <c r="R50" s="264"/>
      <c r="S50" s="191"/>
      <c r="T50" s="264"/>
      <c r="U50" s="685"/>
    </row>
    <row r="51" spans="12:21">
      <c r="L51" s="1229"/>
      <c r="M51" s="191"/>
      <c r="N51" s="1231"/>
      <c r="O51" s="191"/>
      <c r="P51" s="264"/>
      <c r="Q51" s="191"/>
      <c r="R51" s="264"/>
      <c r="S51" s="191"/>
      <c r="T51" s="264"/>
      <c r="U51" s="685"/>
    </row>
    <row r="52" spans="12:21">
      <c r="L52" s="184"/>
      <c r="M52" s="165"/>
      <c r="N52" s="201"/>
      <c r="O52" s="165"/>
      <c r="P52" s="178"/>
      <c r="Q52" s="165"/>
      <c r="R52" s="264"/>
      <c r="S52" s="165"/>
      <c r="T52" s="264"/>
    </row>
    <row r="53" spans="12:21">
      <c r="L53" s="184"/>
      <c r="M53" s="165"/>
      <c r="N53" s="201"/>
      <c r="O53" s="165"/>
      <c r="P53" s="178"/>
      <c r="Q53" s="165"/>
      <c r="R53" s="264"/>
      <c r="S53" s="165"/>
      <c r="T53" s="264"/>
    </row>
    <row r="54" spans="12:21">
      <c r="L54" s="184"/>
      <c r="M54" s="165"/>
      <c r="N54" s="201"/>
      <c r="O54" s="165"/>
      <c r="P54" s="178"/>
      <c r="Q54" s="165"/>
      <c r="R54" s="264"/>
      <c r="S54" s="165"/>
      <c r="T54" s="264"/>
    </row>
    <row r="55" spans="12:21">
      <c r="L55" s="184"/>
      <c r="M55" s="165"/>
      <c r="N55" s="165"/>
      <c r="O55" s="165"/>
      <c r="P55" s="165"/>
      <c r="Q55" s="165"/>
      <c r="R55" s="165"/>
      <c r="S55" s="165"/>
      <c r="T55" s="165"/>
    </row>
    <row r="56" spans="12:21">
      <c r="L56" s="165"/>
      <c r="M56" s="165"/>
      <c r="N56" s="165"/>
      <c r="O56" s="165"/>
      <c r="P56" s="165"/>
      <c r="Q56" s="165"/>
      <c r="R56" s="165"/>
      <c r="S56" s="165"/>
      <c r="T56" s="165"/>
    </row>
    <row r="57" spans="12:21">
      <c r="L57" s="165"/>
      <c r="M57" s="165"/>
      <c r="N57" s="165"/>
      <c r="O57" s="165"/>
      <c r="P57" s="165"/>
      <c r="Q57" s="165"/>
      <c r="R57" s="165"/>
      <c r="S57" s="165"/>
      <c r="T57" s="165"/>
    </row>
    <row r="58" spans="12:21">
      <c r="L58" s="165"/>
      <c r="M58" s="165"/>
      <c r="N58" s="165"/>
      <c r="O58" s="165"/>
      <c r="P58" s="165"/>
      <c r="Q58" s="165"/>
      <c r="R58" s="165"/>
      <c r="S58" s="165"/>
      <c r="T58" s="184"/>
    </row>
    <row r="61" spans="12:21">
      <c r="R61" s="213"/>
    </row>
  </sheetData>
  <phoneticPr fontId="4" type="noConversion"/>
  <pageMargins left="1" right="0.75" top="0.78740157480314998" bottom="0" header="0" footer="0"/>
  <pageSetup scale="74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>
    <tabColor theme="7" tint="0.39997558519241921"/>
    <pageSetUpPr fitToPage="1"/>
  </sheetPr>
  <dimension ref="A1:AM98"/>
  <sheetViews>
    <sheetView zoomScale="85" zoomScaleNormal="85" workbookViewId="0"/>
  </sheetViews>
  <sheetFormatPr defaultRowHeight="13.2"/>
  <cols>
    <col min="1" max="6" width="10.6640625" customWidth="1"/>
    <col min="7" max="7" width="18.33203125" customWidth="1"/>
    <col min="8" max="8" width="10.6640625" customWidth="1"/>
    <col min="9" max="9" width="9.88671875" customWidth="1"/>
    <col min="10" max="10" width="20.44140625" customWidth="1"/>
    <col min="13" max="13" width="2.88671875" customWidth="1"/>
    <col min="14" max="14" width="33.33203125" bestFit="1" customWidth="1"/>
    <col min="15" max="15" width="2.6640625" customWidth="1"/>
    <col min="16" max="16" width="14.88671875" customWidth="1"/>
    <col min="17" max="17" width="1.33203125" customWidth="1"/>
    <col min="18" max="18" width="14.109375" customWidth="1"/>
    <col min="19" max="19" width="15" customWidth="1"/>
    <col min="20" max="20" width="20.5546875" bestFit="1" customWidth="1"/>
    <col min="21" max="21" width="16.6640625" customWidth="1"/>
    <col min="22" max="22" width="16.109375" customWidth="1"/>
    <col min="23" max="23" width="2" customWidth="1"/>
    <col min="24" max="24" width="16" customWidth="1"/>
    <col min="25" max="25" width="7" customWidth="1"/>
    <col min="27" max="27" width="1.5546875" customWidth="1"/>
    <col min="28" max="28" width="38.109375" customWidth="1"/>
    <col min="29" max="29" width="2.88671875" customWidth="1"/>
    <col min="30" max="30" width="9" customWidth="1"/>
    <col min="31" max="31" width="1.6640625" customWidth="1"/>
    <col min="32" max="32" width="14.44140625" bestFit="1" customWidth="1"/>
    <col min="33" max="33" width="15.5546875" bestFit="1" customWidth="1"/>
    <col min="34" max="34" width="20.5546875" bestFit="1" customWidth="1"/>
    <col min="35" max="35" width="14.88671875" bestFit="1" customWidth="1"/>
    <col min="36" max="36" width="11.44140625" bestFit="1" customWidth="1"/>
    <col min="37" max="37" width="2.33203125" customWidth="1"/>
    <col min="38" max="38" width="17.6640625" customWidth="1"/>
  </cols>
  <sheetData>
    <row r="1" spans="1:22" ht="15">
      <c r="A1" s="1110" t="str">
        <f>COMPANY</f>
        <v>DUKE ENERGY KENTUCKY, INC.</v>
      </c>
      <c r="B1" s="1111"/>
      <c r="C1" s="1111"/>
      <c r="D1" s="1111"/>
      <c r="E1" s="1111"/>
      <c r="F1" s="1111"/>
      <c r="G1" s="1111"/>
      <c r="H1" s="1111"/>
      <c r="I1" s="1111"/>
      <c r="J1" s="1111"/>
      <c r="K1" s="1112"/>
      <c r="L1" s="1113"/>
      <c r="M1" s="1113"/>
      <c r="N1" s="1113"/>
      <c r="O1" s="1113"/>
      <c r="P1" s="1113"/>
      <c r="Q1" s="1113"/>
      <c r="R1" s="1113"/>
      <c r="S1" s="1113"/>
      <c r="T1" s="1113"/>
      <c r="U1" s="1113"/>
      <c r="V1" s="1113"/>
    </row>
    <row r="2" spans="1:22" ht="15">
      <c r="A2" s="1110" t="str">
        <f>CASE</f>
        <v>CASE NO. 2018-00261</v>
      </c>
      <c r="B2" s="1111"/>
      <c r="C2" s="1111"/>
      <c r="D2" s="1111"/>
      <c r="E2" s="1111"/>
      <c r="F2" s="1111"/>
      <c r="G2" s="1111"/>
      <c r="H2" s="1111"/>
      <c r="I2" s="1111"/>
      <c r="J2" s="1111"/>
      <c r="K2" s="1112"/>
      <c r="L2" s="1113"/>
      <c r="M2" s="1113"/>
      <c r="N2" s="1113"/>
      <c r="O2" s="1113"/>
      <c r="P2" s="1113"/>
      <c r="Q2" s="1113"/>
      <c r="R2" s="1113"/>
      <c r="S2" s="1113"/>
      <c r="T2" s="1113"/>
      <c r="U2" s="1113"/>
      <c r="V2" s="1113"/>
    </row>
    <row r="3" spans="1:22" ht="15">
      <c r="A3" s="1114" t="s">
        <v>1804</v>
      </c>
      <c r="B3" s="1111"/>
      <c r="C3" s="1111"/>
      <c r="D3" s="1111"/>
      <c r="E3" s="1115"/>
      <c r="F3" s="1111"/>
      <c r="G3" s="1111"/>
      <c r="H3" s="1111"/>
      <c r="I3" s="1111"/>
      <c r="J3" s="1111"/>
      <c r="K3" s="1112"/>
      <c r="L3" s="1113"/>
      <c r="M3" s="1113"/>
      <c r="N3" s="1113"/>
      <c r="O3" s="1113"/>
      <c r="P3" s="1113"/>
      <c r="Q3" s="1113"/>
      <c r="R3" s="1113"/>
      <c r="S3" s="1113"/>
      <c r="T3" s="1113"/>
      <c r="U3" s="1113"/>
      <c r="V3" s="1113"/>
    </row>
    <row r="4" spans="1:22" ht="15">
      <c r="A4" s="163" t="str">
        <f>PeriodF</f>
        <v>FOR THE TWELVE MONTHS ENDED MARCH 31, 2020</v>
      </c>
      <c r="B4" s="1111"/>
      <c r="C4" s="1111"/>
      <c r="D4" s="1111"/>
      <c r="E4" s="1111"/>
      <c r="F4" s="1111"/>
      <c r="G4" s="1111"/>
      <c r="H4" s="1111"/>
      <c r="I4" s="1111"/>
      <c r="J4" s="1111"/>
      <c r="K4" s="1112"/>
      <c r="L4" s="1113"/>
      <c r="M4" s="1113"/>
      <c r="N4" s="1113"/>
      <c r="O4" s="1113"/>
      <c r="P4" s="1113"/>
      <c r="Q4" s="1113"/>
      <c r="R4" s="1113"/>
      <c r="S4" s="1113"/>
      <c r="T4" s="1113"/>
      <c r="U4" s="1113"/>
      <c r="V4" s="1113"/>
    </row>
    <row r="5" spans="1:22" ht="15">
      <c r="A5" s="1112"/>
      <c r="B5" s="1112"/>
      <c r="C5" s="1112"/>
      <c r="D5" s="1112"/>
      <c r="E5" s="1112"/>
      <c r="F5" s="1112"/>
      <c r="G5" s="1112"/>
      <c r="H5" s="1112"/>
      <c r="I5" s="1112"/>
      <c r="J5" s="1112"/>
      <c r="K5" s="1112"/>
      <c r="L5" s="1113"/>
      <c r="M5" s="1113"/>
      <c r="N5" s="1113"/>
      <c r="O5" s="1113"/>
      <c r="P5" s="1113"/>
      <c r="Q5" s="1113"/>
      <c r="R5" s="1113"/>
      <c r="S5" s="1113"/>
      <c r="T5" s="1113"/>
      <c r="U5" s="1113"/>
      <c r="V5" s="1113"/>
    </row>
    <row r="6" spans="1:22" ht="15">
      <c r="A6" s="1116" t="str">
        <f>DataF</f>
        <v>DATA:  BASE PERIOD  "X" FORECASTED PERIOD</v>
      </c>
      <c r="B6" s="1112"/>
      <c r="C6" s="1112"/>
      <c r="D6" s="1112"/>
      <c r="E6" s="1112"/>
      <c r="F6" s="1112"/>
      <c r="G6" s="1112"/>
      <c r="H6" s="1112"/>
      <c r="I6" s="1116" t="s">
        <v>351</v>
      </c>
      <c r="J6" s="1113"/>
      <c r="K6" s="1112"/>
      <c r="L6" s="1113"/>
      <c r="M6" s="1113"/>
      <c r="N6" s="1113"/>
      <c r="O6" s="1113"/>
      <c r="P6" s="1113"/>
      <c r="Q6" s="1113"/>
      <c r="R6" s="1113"/>
      <c r="S6" s="1113"/>
      <c r="T6" s="1113"/>
      <c r="U6" s="1113"/>
      <c r="V6" s="1113"/>
    </row>
    <row r="7" spans="1:22" ht="15">
      <c r="A7" s="1116" t="str">
        <f>Type</f>
        <v xml:space="preserve">TYPE OF FILING:  "X" ORIGINAL   UPDATED    REVISED  </v>
      </c>
      <c r="B7" s="1112"/>
      <c r="C7" s="1112"/>
      <c r="D7" s="1112"/>
      <c r="E7" s="1112"/>
      <c r="F7" s="1112"/>
      <c r="G7" s="1112"/>
      <c r="H7" s="1112"/>
      <c r="I7" s="1116" t="s">
        <v>564</v>
      </c>
      <c r="J7" s="1113"/>
      <c r="K7" s="1112"/>
      <c r="L7" s="1113"/>
      <c r="M7" s="1113"/>
      <c r="N7" s="1113"/>
      <c r="O7" s="1113"/>
      <c r="P7" s="1113"/>
      <c r="Q7" s="1113"/>
      <c r="R7" s="1113"/>
      <c r="S7" s="1113"/>
      <c r="T7" s="1113"/>
      <c r="U7" s="1113"/>
      <c r="V7" s="1113"/>
    </row>
    <row r="8" spans="1:22" ht="15">
      <c r="A8" s="3114" t="s">
        <v>2822</v>
      </c>
      <c r="B8" s="1112"/>
      <c r="C8" s="1112"/>
      <c r="D8" s="1112"/>
      <c r="E8" s="1112"/>
      <c r="F8" s="1112"/>
      <c r="G8" s="1112"/>
      <c r="H8" s="1112"/>
      <c r="I8" s="1116" t="s">
        <v>566</v>
      </c>
      <c r="J8" s="1113"/>
      <c r="K8" s="1112"/>
      <c r="L8" s="1113"/>
      <c r="M8" s="1113"/>
      <c r="N8" s="1113"/>
      <c r="O8" s="1113"/>
      <c r="P8" s="1113"/>
      <c r="Q8" s="1113"/>
      <c r="R8" s="1113"/>
      <c r="S8" s="1113"/>
      <c r="T8" s="1113"/>
      <c r="U8" s="1113"/>
      <c r="V8" s="1113"/>
    </row>
    <row r="9" spans="1:22" ht="15">
      <c r="A9" s="1112"/>
      <c r="B9" s="1112"/>
      <c r="C9" s="1112"/>
      <c r="D9" s="1112"/>
      <c r="E9" s="1112"/>
      <c r="F9" s="1112"/>
      <c r="G9" s="1112"/>
      <c r="H9" s="1112"/>
      <c r="I9" s="1112" t="str">
        <f>_WIT1</f>
        <v>S. E. LAWLER</v>
      </c>
      <c r="J9" s="1113"/>
      <c r="K9" s="1112"/>
      <c r="L9" s="1113"/>
      <c r="M9" s="1113"/>
      <c r="N9" s="1113"/>
      <c r="O9" s="1113"/>
      <c r="P9" s="1113"/>
      <c r="Q9" s="1113"/>
      <c r="R9" s="1113"/>
      <c r="S9" s="1113"/>
      <c r="T9" s="1113"/>
      <c r="U9" s="1113"/>
      <c r="V9" s="1113"/>
    </row>
    <row r="10" spans="1:22" ht="15">
      <c r="A10" s="1117"/>
      <c r="B10" s="1117"/>
      <c r="C10" s="1117"/>
      <c r="D10" s="1117"/>
      <c r="E10" s="1117"/>
      <c r="F10" s="1117"/>
      <c r="G10" s="1117"/>
      <c r="H10" s="1117"/>
      <c r="I10" s="1117"/>
      <c r="J10" s="1117"/>
      <c r="K10" s="1116"/>
      <c r="L10" s="1113"/>
      <c r="M10" s="1113"/>
      <c r="N10" s="1113"/>
      <c r="O10" s="1113"/>
      <c r="P10" s="1113"/>
      <c r="Q10" s="1113"/>
      <c r="R10" s="1113"/>
      <c r="S10" s="1113"/>
      <c r="T10" s="1113"/>
      <c r="U10" s="1113"/>
      <c r="V10" s="1113"/>
    </row>
    <row r="11" spans="1:22" ht="15">
      <c r="A11" s="1112"/>
      <c r="B11" s="1112"/>
      <c r="C11" s="1112"/>
      <c r="D11" s="1112"/>
      <c r="E11" s="1112"/>
      <c r="F11" s="1112"/>
      <c r="G11" s="1112"/>
      <c r="H11" s="1112"/>
      <c r="I11" s="1112"/>
      <c r="J11" s="1112"/>
      <c r="K11" s="1112"/>
      <c r="L11" s="1113"/>
      <c r="M11" s="1113"/>
      <c r="N11" s="1113"/>
      <c r="O11" s="1113"/>
      <c r="P11" s="1113"/>
      <c r="Q11" s="1113"/>
      <c r="R11" s="1113"/>
      <c r="S11" s="1113"/>
      <c r="T11" s="1113"/>
      <c r="U11" s="1113"/>
      <c r="V11" s="1113"/>
    </row>
    <row r="12" spans="1:22" ht="15">
      <c r="A12" s="1112"/>
      <c r="B12" s="1112"/>
      <c r="C12" s="1118" t="s">
        <v>1942</v>
      </c>
      <c r="D12" s="1112"/>
      <c r="E12" s="1112"/>
      <c r="F12" s="1112"/>
      <c r="G12" s="1112"/>
      <c r="H12" s="1112"/>
      <c r="I12" s="1112"/>
      <c r="J12" s="1118" t="s">
        <v>2098</v>
      </c>
      <c r="K12" s="1112"/>
      <c r="L12" s="1113"/>
      <c r="M12" s="1113"/>
      <c r="N12" s="1113"/>
      <c r="O12" s="1113"/>
      <c r="P12" s="1113"/>
      <c r="Q12" s="1113"/>
      <c r="R12" s="1113"/>
      <c r="S12" s="1113"/>
      <c r="T12" s="1113"/>
      <c r="U12" s="1113"/>
      <c r="V12" s="1113"/>
    </row>
    <row r="13" spans="1:22" ht="15">
      <c r="A13" s="1117"/>
      <c r="B13" s="1117"/>
      <c r="C13" s="1117"/>
      <c r="D13" s="1117"/>
      <c r="E13" s="1117"/>
      <c r="F13" s="1117"/>
      <c r="G13" s="1117"/>
      <c r="H13" s="1117"/>
      <c r="I13" s="1117"/>
      <c r="J13" s="1117"/>
      <c r="K13" s="1116"/>
      <c r="L13" s="1113"/>
      <c r="M13" s="1113"/>
      <c r="N13" s="1113"/>
      <c r="O13" s="1113"/>
      <c r="P13" s="1113"/>
      <c r="Q13" s="1113"/>
      <c r="R13" s="1113"/>
      <c r="S13" s="1113"/>
      <c r="T13" s="1113"/>
      <c r="U13" s="1113"/>
      <c r="V13" s="1113"/>
    </row>
    <row r="14" spans="1:22" ht="15">
      <c r="A14" s="1112"/>
      <c r="B14" s="1112"/>
      <c r="C14" s="1112"/>
      <c r="D14" s="1112"/>
      <c r="E14" s="1112"/>
      <c r="F14" s="1112"/>
      <c r="G14" s="1112"/>
      <c r="H14" s="1112"/>
      <c r="I14" s="1112"/>
      <c r="J14" s="1119"/>
      <c r="K14" s="1112"/>
      <c r="L14" s="1113"/>
      <c r="M14" s="1113"/>
      <c r="N14" s="1113"/>
      <c r="O14" s="1113"/>
      <c r="P14" s="1113"/>
      <c r="Q14" s="1113"/>
      <c r="R14" s="1113"/>
      <c r="S14" s="1113"/>
      <c r="T14" s="1113"/>
      <c r="U14" s="1113"/>
      <c r="V14" s="1113"/>
    </row>
    <row r="15" spans="1:22" ht="15">
      <c r="A15" s="3518" t="s">
        <v>3027</v>
      </c>
      <c r="B15" s="288"/>
      <c r="C15" s="288"/>
      <c r="D15" s="288"/>
      <c r="E15" s="288"/>
      <c r="F15" s="288"/>
      <c r="G15" s="288"/>
      <c r="H15" s="288"/>
      <c r="I15" s="288"/>
      <c r="J15" s="288"/>
      <c r="K15" s="1112"/>
      <c r="L15" s="1113"/>
      <c r="M15" s="1113"/>
      <c r="N15" s="1113"/>
      <c r="O15" s="1113"/>
      <c r="P15" s="1113"/>
      <c r="Q15" s="1113"/>
      <c r="R15" s="1113"/>
      <c r="S15" s="1113"/>
      <c r="T15" s="1113"/>
      <c r="U15" s="1113"/>
      <c r="V15" s="1113"/>
    </row>
    <row r="16" spans="1:22" ht="15">
      <c r="A16" s="3518" t="s">
        <v>3028</v>
      </c>
      <c r="B16" s="288"/>
      <c r="C16" s="288"/>
      <c r="D16" s="288"/>
      <c r="E16" s="288"/>
      <c r="F16" s="288"/>
      <c r="G16" s="288"/>
      <c r="H16" s="288"/>
      <c r="I16" s="288"/>
      <c r="J16" s="288"/>
      <c r="K16" s="1112"/>
      <c r="L16" s="1113"/>
      <c r="M16" s="1113"/>
      <c r="N16" s="1113"/>
      <c r="O16" s="1113"/>
      <c r="P16" s="1113"/>
      <c r="Q16" s="1113"/>
      <c r="R16" s="1113"/>
      <c r="S16" s="1113"/>
      <c r="T16" s="1113"/>
      <c r="U16" s="1113"/>
      <c r="V16" s="1113"/>
    </row>
    <row r="17" spans="1:22" ht="15">
      <c r="A17" s="293"/>
      <c r="B17" s="288"/>
      <c r="C17" s="288"/>
      <c r="D17" s="288"/>
      <c r="E17" s="288"/>
      <c r="F17" s="288"/>
      <c r="G17" s="288"/>
      <c r="H17" s="288"/>
      <c r="I17" s="288"/>
      <c r="J17" s="288"/>
      <c r="K17" s="1112"/>
      <c r="L17" s="1113"/>
      <c r="M17" s="1113"/>
      <c r="N17" s="1113"/>
      <c r="O17" s="1113"/>
      <c r="P17" s="1113"/>
      <c r="Q17" s="1113"/>
      <c r="R17" s="1113"/>
      <c r="S17" s="1113"/>
      <c r="T17" s="1113"/>
      <c r="U17" s="1113"/>
      <c r="V17" s="1113"/>
    </row>
    <row r="18" spans="1:22" ht="15">
      <c r="B18" s="288"/>
      <c r="C18" s="288"/>
      <c r="D18" s="288"/>
      <c r="E18" s="288"/>
      <c r="F18" s="288"/>
      <c r="G18" s="288"/>
      <c r="H18" s="288"/>
      <c r="I18" s="288"/>
      <c r="J18" s="288"/>
      <c r="K18" s="1112"/>
      <c r="L18" s="1113"/>
      <c r="M18" s="1113"/>
      <c r="N18" s="1113"/>
      <c r="O18" s="1113"/>
      <c r="P18" s="1113"/>
      <c r="Q18" s="1113"/>
      <c r="R18" s="1113"/>
      <c r="S18" s="1113"/>
      <c r="T18" s="1113"/>
      <c r="U18" s="1113"/>
      <c r="V18" s="1113"/>
    </row>
    <row r="19" spans="1:22" ht="15">
      <c r="A19" s="293"/>
      <c r="B19" s="288"/>
      <c r="C19" s="288"/>
      <c r="D19" s="288"/>
      <c r="E19" s="288"/>
      <c r="F19" s="288"/>
      <c r="G19" s="288"/>
      <c r="H19" s="288"/>
      <c r="I19" s="288"/>
      <c r="J19" s="288"/>
      <c r="K19" s="1112"/>
      <c r="L19" s="1113"/>
      <c r="M19" s="1113"/>
      <c r="N19" s="1113"/>
      <c r="O19" s="1113"/>
      <c r="P19" s="1113"/>
      <c r="Q19" s="1113"/>
      <c r="R19" s="1113"/>
      <c r="S19" s="1113"/>
      <c r="T19" s="1113"/>
      <c r="U19" s="1113"/>
      <c r="V19" s="1113"/>
    </row>
    <row r="20" spans="1:22" ht="15">
      <c r="A20" s="292" t="s">
        <v>2153</v>
      </c>
      <c r="B20" s="288"/>
      <c r="C20" s="288"/>
      <c r="D20" s="288"/>
      <c r="E20" s="288"/>
      <c r="F20" s="288"/>
      <c r="G20" s="288"/>
      <c r="H20" s="288"/>
      <c r="I20" s="294"/>
      <c r="J20" s="223">
        <f>-X65-AL97</f>
        <v>-277270</v>
      </c>
      <c r="K20" s="1112"/>
      <c r="L20" s="1113"/>
      <c r="M20" s="1113"/>
      <c r="N20" s="1113"/>
      <c r="O20" s="1113"/>
      <c r="P20" s="1113"/>
      <c r="Q20" s="1113"/>
      <c r="R20" s="1113"/>
      <c r="S20" s="1113"/>
      <c r="T20" s="1113"/>
      <c r="U20" s="1113"/>
      <c r="V20" s="1113"/>
    </row>
    <row r="21" spans="1:22" ht="15">
      <c r="A21" s="293"/>
      <c r="B21" s="288"/>
      <c r="C21" s="288"/>
      <c r="D21" s="288"/>
      <c r="E21" s="288"/>
      <c r="F21" s="288"/>
      <c r="G21" s="288"/>
      <c r="H21" s="288"/>
      <c r="I21" s="288"/>
      <c r="J21" s="224"/>
      <c r="K21" s="1112"/>
      <c r="L21" s="1113"/>
      <c r="M21" s="1113"/>
      <c r="N21" s="1113"/>
      <c r="O21" s="1113"/>
      <c r="P21" s="1113"/>
      <c r="Q21" s="1113"/>
      <c r="R21" s="1113"/>
      <c r="S21" s="1113"/>
      <c r="T21" s="1113"/>
      <c r="U21" s="1113"/>
      <c r="V21" s="1113"/>
    </row>
    <row r="22" spans="1:22" ht="15">
      <c r="A22" s="293"/>
      <c r="B22" s="288"/>
      <c r="C22" s="288"/>
      <c r="D22" s="288"/>
      <c r="E22" s="288"/>
      <c r="F22" s="288"/>
      <c r="G22" s="288"/>
      <c r="H22" s="288"/>
      <c r="I22" s="288"/>
      <c r="J22" s="225"/>
      <c r="K22" s="1112"/>
      <c r="L22" s="1113"/>
      <c r="M22" s="1113"/>
      <c r="N22" s="1113"/>
      <c r="O22" s="1113"/>
      <c r="P22" s="1113"/>
      <c r="Q22" s="1113"/>
      <c r="R22" s="1113"/>
      <c r="S22" s="1113"/>
      <c r="T22" s="1113"/>
      <c r="U22" s="1113"/>
      <c r="V22" s="1113"/>
    </row>
    <row r="23" spans="1:22" ht="15">
      <c r="A23" s="292" t="s">
        <v>349</v>
      </c>
      <c r="B23" s="288"/>
      <c r="C23" s="288"/>
      <c r="D23" s="288"/>
      <c r="E23" s="288"/>
      <c r="F23" s="288"/>
      <c r="G23" s="288"/>
      <c r="H23" s="288"/>
      <c r="I23" s="288"/>
      <c r="J23" s="209">
        <f>VLOOKUP(D31,ALLOCTABLE,2)/100</f>
        <v>1</v>
      </c>
      <c r="K23" s="1112"/>
      <c r="L23" s="1113"/>
      <c r="M23" s="1113"/>
      <c r="N23" s="1113"/>
      <c r="O23" s="1113"/>
      <c r="P23" s="1113"/>
      <c r="Q23" s="1113"/>
      <c r="R23" s="1113"/>
      <c r="S23" s="1113"/>
      <c r="T23" s="1113"/>
      <c r="U23" s="1113"/>
      <c r="V23" s="1113"/>
    </row>
    <row r="24" spans="1:22" ht="15">
      <c r="A24" s="293"/>
      <c r="B24" s="288"/>
      <c r="C24" s="288"/>
      <c r="D24" s="288"/>
      <c r="E24" s="288"/>
      <c r="F24" s="288"/>
      <c r="G24" s="288"/>
      <c r="H24" s="288"/>
      <c r="I24" s="288"/>
      <c r="J24" s="224"/>
      <c r="K24" s="1112"/>
      <c r="L24" s="1113"/>
      <c r="M24" s="1113"/>
      <c r="N24" s="1113"/>
      <c r="O24" s="1113"/>
      <c r="P24" s="1113"/>
      <c r="Q24" s="1113"/>
      <c r="R24" s="1113"/>
      <c r="S24" s="1113"/>
      <c r="T24" s="1113"/>
      <c r="U24" s="1113"/>
      <c r="V24" s="1113"/>
    </row>
    <row r="25" spans="1:22" ht="15">
      <c r="A25" s="293"/>
      <c r="B25" s="288"/>
      <c r="C25" s="288"/>
      <c r="D25" s="288"/>
      <c r="E25" s="288"/>
      <c r="F25" s="288"/>
      <c r="G25" s="288"/>
      <c r="H25" s="288"/>
      <c r="I25" s="288"/>
      <c r="J25" s="227"/>
      <c r="K25" s="1112"/>
      <c r="L25" s="1113"/>
      <c r="M25" s="1113"/>
      <c r="N25" s="1113"/>
      <c r="O25" s="1113"/>
      <c r="P25" s="1113"/>
      <c r="Q25" s="1113"/>
      <c r="R25" s="1113"/>
      <c r="S25" s="1113"/>
      <c r="T25" s="1113"/>
      <c r="U25" s="1113"/>
      <c r="V25" s="1113"/>
    </row>
    <row r="26" spans="1:22" ht="16.8">
      <c r="A26" s="292" t="s">
        <v>1934</v>
      </c>
      <c r="B26" s="288"/>
      <c r="C26" s="288"/>
      <c r="D26" s="288"/>
      <c r="E26" s="288"/>
      <c r="F26" s="288"/>
      <c r="G26" s="295" t="s">
        <v>492</v>
      </c>
      <c r="H26" s="296"/>
      <c r="I26" s="297"/>
      <c r="J26" s="210">
        <f>ROUND(J20*J23,0)</f>
        <v>-277270</v>
      </c>
      <c r="K26" s="1112"/>
      <c r="L26" s="1113"/>
      <c r="M26" s="1113"/>
      <c r="N26" s="1113"/>
      <c r="O26" s="1113"/>
      <c r="P26" s="1113"/>
      <c r="Q26" s="1113"/>
      <c r="R26" s="1113"/>
      <c r="S26" s="1113"/>
      <c r="T26" s="1113"/>
      <c r="U26" s="1113"/>
      <c r="V26" s="1113"/>
    </row>
    <row r="27" spans="1:22" ht="15">
      <c r="A27" s="293"/>
      <c r="B27" s="288"/>
      <c r="C27" s="288"/>
      <c r="D27" s="288"/>
      <c r="E27" s="288"/>
      <c r="F27" s="288"/>
      <c r="G27" s="298"/>
      <c r="H27" s="296"/>
      <c r="I27" s="296"/>
      <c r="J27" s="299"/>
      <c r="K27" s="1112"/>
      <c r="L27" s="1113"/>
      <c r="M27" s="1113"/>
      <c r="N27" s="1113"/>
      <c r="O27" s="1113"/>
      <c r="P27" s="1113"/>
      <c r="Q27" s="1113"/>
      <c r="R27" s="1113"/>
      <c r="S27" s="1113"/>
      <c r="T27" s="1113"/>
      <c r="U27" s="1113"/>
      <c r="V27" s="1113"/>
    </row>
    <row r="28" spans="1:22" ht="15">
      <c r="A28" s="293"/>
      <c r="B28" s="288"/>
      <c r="C28" s="288"/>
      <c r="D28" s="288"/>
      <c r="E28" s="288"/>
      <c r="F28" s="288"/>
      <c r="G28" s="288"/>
      <c r="H28" s="288"/>
      <c r="I28" s="288"/>
      <c r="J28" s="288"/>
      <c r="K28" s="1112"/>
      <c r="L28" s="1113"/>
      <c r="M28" s="1113"/>
      <c r="N28" s="1113"/>
      <c r="O28" s="1113"/>
      <c r="P28" s="1113"/>
      <c r="Q28" s="1113"/>
      <c r="R28" s="1113"/>
      <c r="S28" s="1113"/>
      <c r="T28" s="1113"/>
      <c r="U28" s="1113"/>
      <c r="V28" s="1113"/>
    </row>
    <row r="29" spans="1:22" ht="15">
      <c r="A29" s="293"/>
      <c r="B29" s="288"/>
      <c r="C29" s="288"/>
      <c r="D29" s="288"/>
      <c r="E29" s="288"/>
      <c r="F29" s="288"/>
      <c r="G29" s="288"/>
      <c r="H29" s="288"/>
      <c r="I29" s="288"/>
      <c r="J29" s="288"/>
      <c r="K29" s="1112"/>
      <c r="L29" s="1113"/>
      <c r="M29" s="1113"/>
      <c r="N29" s="1113"/>
      <c r="O29" s="1113"/>
      <c r="P29" s="1113"/>
      <c r="Q29" s="1113"/>
      <c r="R29" s="1113"/>
      <c r="S29" s="1113"/>
      <c r="T29" s="1113"/>
      <c r="U29" s="1113"/>
      <c r="V29" s="1113"/>
    </row>
    <row r="30" spans="1:22" ht="15">
      <c r="A30" s="293"/>
      <c r="B30" s="288"/>
      <c r="C30" s="288"/>
      <c r="D30" s="288"/>
      <c r="E30" s="288"/>
      <c r="F30" s="288"/>
      <c r="G30" s="288"/>
      <c r="H30" s="288"/>
      <c r="I30" s="288"/>
      <c r="J30" s="288"/>
      <c r="K30" s="1112"/>
      <c r="L30" s="1113"/>
      <c r="M30" s="1113"/>
      <c r="N30" s="1113"/>
      <c r="O30" s="1113"/>
      <c r="P30" s="1113"/>
      <c r="Q30" s="1113"/>
      <c r="R30" s="1113"/>
      <c r="S30" s="1113"/>
      <c r="T30" s="1113"/>
      <c r="U30" s="1113"/>
      <c r="V30" s="1113"/>
    </row>
    <row r="31" spans="1:22" ht="15">
      <c r="A31" s="292" t="s">
        <v>1935</v>
      </c>
      <c r="B31" s="288"/>
      <c r="C31" s="288"/>
      <c r="D31" s="300" t="s">
        <v>591</v>
      </c>
      <c r="E31" s="288"/>
      <c r="F31" s="288"/>
      <c r="G31" s="288"/>
      <c r="H31" s="288"/>
      <c r="I31" s="288"/>
      <c r="J31" s="288"/>
      <c r="K31" s="1112"/>
      <c r="L31" s="1113"/>
      <c r="M31" s="1113"/>
      <c r="N31" s="1113"/>
      <c r="O31" s="1113"/>
      <c r="P31" s="1113"/>
      <c r="Q31" s="1113"/>
      <c r="R31" s="1113"/>
      <c r="S31" s="1113"/>
      <c r="T31" s="1113"/>
      <c r="U31" s="1113"/>
      <c r="V31" s="1113"/>
    </row>
    <row r="32" spans="1:22" ht="15">
      <c r="A32" s="1112"/>
      <c r="B32" s="1112"/>
      <c r="C32" s="1112"/>
      <c r="D32" s="1112"/>
      <c r="E32" s="1112"/>
      <c r="F32" s="1112"/>
      <c r="G32" s="1112"/>
      <c r="H32" s="1112"/>
      <c r="I32" s="1112"/>
      <c r="J32" s="1112"/>
      <c r="K32" s="1112"/>
      <c r="L32" s="1113"/>
      <c r="M32" s="1113"/>
      <c r="N32" s="1113"/>
      <c r="O32" s="1113"/>
      <c r="P32" s="1113"/>
      <c r="Q32" s="1113"/>
      <c r="R32" s="1113"/>
      <c r="S32" s="1113"/>
      <c r="T32" s="1113"/>
      <c r="U32" s="1113"/>
      <c r="V32" s="1113"/>
    </row>
    <row r="33" spans="1:25" ht="15">
      <c r="A33" s="1112"/>
      <c r="B33" s="1112"/>
      <c r="C33" s="1112"/>
      <c r="D33" s="1112"/>
      <c r="E33" s="1112"/>
      <c r="F33" s="1112"/>
      <c r="G33" s="1112"/>
      <c r="H33" s="1112"/>
      <c r="I33" s="1112"/>
      <c r="J33" s="1112"/>
      <c r="K33" s="1112"/>
      <c r="L33" s="1113"/>
      <c r="M33" s="1113"/>
      <c r="N33" s="1113"/>
      <c r="O33" s="1113"/>
      <c r="P33" s="1113"/>
      <c r="Q33" s="1113"/>
      <c r="R33" s="1113"/>
      <c r="S33" s="1113"/>
      <c r="T33" s="1113"/>
      <c r="U33" s="1113"/>
      <c r="V33" s="1113"/>
    </row>
    <row r="34" spans="1:25" ht="15">
      <c r="A34" s="1112"/>
      <c r="B34" s="1112"/>
      <c r="C34" s="1112"/>
      <c r="D34" s="1112"/>
      <c r="E34" s="1112"/>
      <c r="F34" s="1112"/>
      <c r="G34" s="1112"/>
      <c r="H34" s="1112"/>
      <c r="I34" s="1112"/>
      <c r="J34" s="1112"/>
      <c r="K34" s="1112"/>
      <c r="L34" s="1113"/>
      <c r="M34" s="1113"/>
      <c r="N34" s="1113"/>
      <c r="O34" s="1113"/>
      <c r="P34" s="1113"/>
      <c r="Q34" s="1113"/>
      <c r="R34" s="1113"/>
      <c r="S34" s="1113"/>
      <c r="T34" s="1113"/>
      <c r="U34" s="1113"/>
      <c r="V34" s="1113"/>
    </row>
    <row r="35" spans="1:25" ht="15">
      <c r="A35" s="1116"/>
      <c r="B35" s="1112"/>
      <c r="C35" s="1112"/>
      <c r="D35" s="1120"/>
      <c r="E35" s="1112"/>
      <c r="F35" s="1112"/>
      <c r="G35" s="1112"/>
      <c r="H35" s="1112"/>
      <c r="I35" s="1112"/>
      <c r="J35" s="1112"/>
      <c r="K35" s="1112"/>
      <c r="L35" s="1113"/>
      <c r="M35" s="1113"/>
      <c r="N35" s="1113"/>
      <c r="O35" s="1113"/>
      <c r="P35" s="1113"/>
      <c r="Q35" s="1113"/>
      <c r="R35" s="1113"/>
      <c r="S35" s="1113"/>
      <c r="T35" s="1113"/>
      <c r="U35" s="1113"/>
      <c r="V35" s="1113"/>
    </row>
    <row r="36" spans="1:25" ht="15">
      <c r="A36" s="1113"/>
      <c r="B36" s="1113"/>
      <c r="C36" s="1113"/>
      <c r="D36" s="1113"/>
      <c r="E36" s="1113"/>
      <c r="F36" s="1113"/>
      <c r="G36" s="1113"/>
      <c r="H36" s="1113"/>
      <c r="I36" s="1113"/>
      <c r="J36" s="1113"/>
      <c r="K36" s="1113"/>
      <c r="L36" s="792" t="str">
        <f>COMPANY</f>
        <v>DUKE ENERGY KENTUCKY, INC.</v>
      </c>
      <c r="M36" s="298"/>
      <c r="N36" s="298"/>
      <c r="O36" s="298"/>
      <c r="P36" s="298"/>
      <c r="Q36" s="298"/>
      <c r="R36" s="1113"/>
      <c r="S36" s="198"/>
      <c r="T36" s="1113"/>
      <c r="V36" s="1204" t="s">
        <v>2235</v>
      </c>
    </row>
    <row r="37" spans="1:25" ht="15">
      <c r="A37" s="1113"/>
      <c r="B37" s="1113"/>
      <c r="C37" s="1113"/>
      <c r="D37" s="1113"/>
      <c r="E37" s="1113"/>
      <c r="F37" s="1113"/>
      <c r="G37" s="1113"/>
      <c r="H37" s="1113"/>
      <c r="I37" s="1113"/>
      <c r="J37" s="1113"/>
      <c r="K37" s="1113"/>
      <c r="L37" s="792" t="str">
        <f>DEPT</f>
        <v>GAS DEPARTMENT</v>
      </c>
      <c r="M37" s="298"/>
      <c r="N37" s="298"/>
      <c r="O37" s="298"/>
      <c r="P37" s="298"/>
      <c r="Q37" s="298"/>
      <c r="R37" s="1113"/>
      <c r="S37" s="198"/>
      <c r="T37" s="1113"/>
      <c r="V37" s="793" t="s">
        <v>566</v>
      </c>
    </row>
    <row r="38" spans="1:25" ht="15">
      <c r="A38" s="1113"/>
      <c r="B38" s="1113"/>
      <c r="C38" s="1113"/>
      <c r="D38" s="1113"/>
      <c r="E38" s="1113"/>
      <c r="F38" s="1113"/>
      <c r="G38" s="1113"/>
      <c r="H38" s="1113"/>
      <c r="I38" s="1113"/>
      <c r="J38" s="1113"/>
      <c r="K38" s="1113"/>
      <c r="L38" s="792" t="str">
        <f>CASE</f>
        <v>CASE NO. 2018-00261</v>
      </c>
      <c r="M38" s="298"/>
      <c r="N38" s="298"/>
      <c r="O38" s="298"/>
      <c r="P38" s="298"/>
      <c r="Q38" s="298"/>
      <c r="R38" s="1113"/>
      <c r="S38" s="198"/>
      <c r="T38" s="1113"/>
      <c r="V38" s="793" t="str">
        <f>_WIT1</f>
        <v>S. E. LAWLER</v>
      </c>
    </row>
    <row r="39" spans="1:25" ht="15">
      <c r="A39" s="1113"/>
      <c r="B39" s="1113"/>
      <c r="C39" s="1113"/>
      <c r="D39" s="1113"/>
      <c r="E39" s="1113"/>
      <c r="F39" s="1113"/>
      <c r="G39" s="1113"/>
      <c r="H39" s="1113"/>
      <c r="I39" s="1113"/>
      <c r="J39" s="1113"/>
      <c r="K39" s="1113"/>
      <c r="L39" s="793" t="str">
        <f>A3</f>
        <v>INCENTIVE COMPENSATION</v>
      </c>
      <c r="M39" s="298"/>
      <c r="N39" s="298"/>
      <c r="O39" s="298"/>
      <c r="P39" s="298"/>
      <c r="Q39" s="298"/>
      <c r="R39" s="1113"/>
      <c r="S39" s="198"/>
      <c r="T39" s="1113"/>
      <c r="U39" s="1113"/>
      <c r="V39" s="1113"/>
    </row>
    <row r="40" spans="1:25" ht="15">
      <c r="A40" s="1113"/>
      <c r="B40" s="1113"/>
      <c r="C40" s="1113"/>
      <c r="D40" s="1113"/>
      <c r="E40" s="1113"/>
      <c r="F40" s="1113"/>
      <c r="G40" s="1113"/>
      <c r="H40" s="1113"/>
      <c r="I40" s="1113"/>
      <c r="J40" s="1113"/>
      <c r="K40" s="1113"/>
      <c r="L40" s="1580" t="s">
        <v>2800</v>
      </c>
      <c r="M40" s="298"/>
      <c r="N40" s="298"/>
      <c r="O40" s="298"/>
      <c r="P40" s="298"/>
      <c r="Q40" s="298"/>
      <c r="R40" s="802"/>
      <c r="S40" s="198"/>
      <c r="T40" s="1113"/>
      <c r="U40" s="1113"/>
      <c r="V40" s="1113"/>
    </row>
    <row r="41" spans="1:25" ht="15">
      <c r="A41" s="1113"/>
      <c r="B41" s="1113"/>
      <c r="C41" s="1113"/>
      <c r="D41" s="1113"/>
      <c r="E41" s="1113"/>
      <c r="F41" s="1113"/>
      <c r="G41" s="1113"/>
      <c r="H41" s="1113"/>
      <c r="I41" s="1113"/>
      <c r="J41" s="1113"/>
      <c r="K41" s="1113"/>
      <c r="L41" s="298"/>
      <c r="M41" s="298"/>
      <c r="N41" s="298"/>
      <c r="O41" s="298"/>
      <c r="P41" s="298"/>
      <c r="Q41" s="298"/>
      <c r="R41" s="298"/>
      <c r="S41" s="198"/>
      <c r="T41" s="1113"/>
      <c r="U41" s="1113"/>
      <c r="V41" s="1113"/>
    </row>
    <row r="42" spans="1:25" ht="15">
      <c r="A42" s="1113"/>
      <c r="B42" s="1113"/>
      <c r="C42" s="1113"/>
      <c r="D42" s="1113"/>
      <c r="E42" s="1113"/>
      <c r="F42" s="1113"/>
      <c r="G42" s="1113"/>
      <c r="H42" s="1113"/>
      <c r="I42" s="1113"/>
      <c r="J42" s="1113"/>
      <c r="K42" s="1113"/>
      <c r="L42" s="298"/>
      <c r="M42" s="298"/>
      <c r="N42" s="298"/>
      <c r="O42" s="298"/>
      <c r="P42" s="795"/>
      <c r="Q42" s="298"/>
      <c r="R42" s="298"/>
      <c r="S42" s="198"/>
      <c r="T42" s="1113"/>
      <c r="U42" s="1113"/>
      <c r="V42" s="1113"/>
    </row>
    <row r="43" spans="1:25" ht="15">
      <c r="A43" s="1113"/>
      <c r="B43" s="1113"/>
      <c r="C43" s="1113"/>
      <c r="D43" s="1113"/>
      <c r="E43" s="1113"/>
      <c r="F43" s="1113"/>
      <c r="G43" s="1113"/>
      <c r="H43" s="1113"/>
      <c r="I43" s="1113"/>
      <c r="J43" s="1113"/>
      <c r="K43" s="1113"/>
      <c r="L43" s="301"/>
      <c r="M43" s="301"/>
      <c r="N43" s="301"/>
      <c r="O43" s="301"/>
      <c r="P43" s="302"/>
      <c r="Q43" s="302"/>
      <c r="R43" s="302"/>
      <c r="S43" s="302"/>
      <c r="T43" s="291"/>
      <c r="U43" s="291"/>
      <c r="V43" s="301"/>
      <c r="X43" s="1588"/>
      <c r="Y43" s="1588"/>
    </row>
    <row r="44" spans="1:25" ht="15">
      <c r="A44" s="1113"/>
      <c r="B44" s="1113"/>
      <c r="C44" s="1113"/>
      <c r="D44" s="1113"/>
      <c r="E44" s="1113"/>
      <c r="F44" s="1113"/>
      <c r="G44" s="1113"/>
      <c r="H44" s="1113"/>
      <c r="I44" s="1113"/>
      <c r="J44" s="1113"/>
      <c r="K44" s="1113"/>
      <c r="L44" s="290" t="s">
        <v>1938</v>
      </c>
      <c r="M44" s="301"/>
      <c r="N44" s="291" t="s">
        <v>350</v>
      </c>
      <c r="O44" s="301"/>
      <c r="P44" s="302"/>
      <c r="Q44" s="302"/>
      <c r="R44" s="1121"/>
      <c r="S44" s="1121"/>
      <c r="T44" s="1121"/>
      <c r="U44" s="1121"/>
      <c r="V44" s="290"/>
      <c r="X44" s="3109" t="s">
        <v>2821</v>
      </c>
      <c r="Y44" s="1587"/>
    </row>
    <row r="45" spans="1:25" ht="15">
      <c r="A45" s="1113"/>
      <c r="B45" s="1113"/>
      <c r="C45" s="1113"/>
      <c r="D45" s="1113"/>
      <c r="E45" s="1113"/>
      <c r="F45" s="1113"/>
      <c r="G45" s="1113"/>
      <c r="H45" s="1113"/>
      <c r="I45" s="1113"/>
      <c r="J45" s="1113"/>
      <c r="K45" s="1113"/>
      <c r="L45" s="303" t="s">
        <v>1939</v>
      </c>
      <c r="M45" s="304"/>
      <c r="N45" s="303" t="s">
        <v>2799</v>
      </c>
      <c r="O45" s="288"/>
      <c r="P45" s="303" t="s">
        <v>2801</v>
      </c>
      <c r="Q45" s="303"/>
      <c r="R45" s="1122" t="s">
        <v>2802</v>
      </c>
      <c r="S45" s="303" t="s">
        <v>2803</v>
      </c>
      <c r="T45" s="1122" t="s">
        <v>2804</v>
      </c>
      <c r="U45" s="303" t="s">
        <v>2805</v>
      </c>
      <c r="V45" s="303" t="s">
        <v>2806</v>
      </c>
      <c r="X45" s="1589" t="s">
        <v>2802</v>
      </c>
      <c r="Y45" s="1589"/>
    </row>
    <row r="46" spans="1:25" ht="15.6">
      <c r="A46" s="1113"/>
      <c r="B46" s="1113"/>
      <c r="C46" s="1113"/>
      <c r="D46" s="1113"/>
      <c r="E46" s="1113"/>
      <c r="F46" s="1113"/>
      <c r="G46" s="1113"/>
      <c r="H46" s="1113"/>
      <c r="I46" s="1113"/>
      <c r="J46" s="1113"/>
      <c r="K46" s="1113"/>
      <c r="L46" s="301"/>
      <c r="M46" s="301"/>
      <c r="N46" s="301"/>
      <c r="O46" s="301"/>
      <c r="P46" s="1123"/>
      <c r="Q46" s="301"/>
      <c r="R46" s="301"/>
      <c r="S46" s="301"/>
      <c r="T46" s="301"/>
      <c r="U46" s="301"/>
      <c r="V46" s="301"/>
    </row>
    <row r="47" spans="1:25" ht="15">
      <c r="A47" s="1113"/>
      <c r="B47" s="1113"/>
      <c r="C47" s="1113"/>
      <c r="D47" s="1113"/>
      <c r="E47" s="1113"/>
      <c r="F47" s="1113"/>
      <c r="G47" s="1113"/>
      <c r="H47" s="1113"/>
      <c r="I47" s="1113"/>
      <c r="J47" s="1113"/>
      <c r="K47" s="1113"/>
      <c r="L47" s="290">
        <v>1</v>
      </c>
      <c r="M47" s="301"/>
      <c r="N47" s="1514" t="s">
        <v>2796</v>
      </c>
      <c r="O47" s="301"/>
      <c r="P47" s="3081">
        <v>0.3</v>
      </c>
      <c r="Q47" s="1024"/>
      <c r="R47" s="3110">
        <f>61864+185591</f>
        <v>247455</v>
      </c>
      <c r="S47" s="3111">
        <f>100</f>
        <v>100</v>
      </c>
      <c r="T47" s="3110">
        <f>11908+35723</f>
        <v>47631</v>
      </c>
      <c r="U47" s="3110">
        <f>-3</f>
        <v>-3</v>
      </c>
      <c r="V47" s="3110">
        <f>33743+11248</f>
        <v>44991</v>
      </c>
      <c r="W47" s="3084"/>
      <c r="X47" s="3083">
        <f>SUM(R47:W47)</f>
        <v>340174</v>
      </c>
      <c r="Y47" s="3083"/>
    </row>
    <row r="48" spans="1:25" ht="15">
      <c r="A48" s="1113"/>
      <c r="B48" s="1113"/>
      <c r="C48" s="1113"/>
      <c r="D48" s="1113"/>
      <c r="E48" s="1113"/>
      <c r="F48" s="1113"/>
      <c r="G48" s="1113"/>
      <c r="H48" s="1113"/>
      <c r="I48" s="1113"/>
      <c r="J48" s="1113"/>
      <c r="K48" s="1113"/>
      <c r="L48" s="291"/>
      <c r="M48" s="301"/>
      <c r="N48" s="301"/>
      <c r="O48" s="301"/>
      <c r="P48" s="3082"/>
      <c r="Q48" s="1024"/>
      <c r="R48" s="3110"/>
      <c r="S48" s="3111"/>
      <c r="T48" s="3112"/>
      <c r="U48" s="3112"/>
      <c r="V48" s="3112"/>
      <c r="W48" s="3084"/>
      <c r="X48" s="3085"/>
      <c r="Y48" s="3085"/>
    </row>
    <row r="49" spans="1:26" ht="15">
      <c r="A49" s="1113"/>
      <c r="B49" s="1113"/>
      <c r="C49" s="1113"/>
      <c r="D49" s="1113"/>
      <c r="E49" s="1113"/>
      <c r="F49" s="1113"/>
      <c r="G49" s="1113"/>
      <c r="H49" s="1113"/>
      <c r="I49" s="1113"/>
      <c r="J49" s="1113"/>
      <c r="K49" s="1113"/>
      <c r="L49" s="291">
        <v>2</v>
      </c>
      <c r="M49" s="301"/>
      <c r="N49" s="1514" t="s">
        <v>2817</v>
      </c>
      <c r="O49" s="301"/>
      <c r="P49" s="3081">
        <v>0.15</v>
      </c>
      <c r="Q49" s="1024"/>
      <c r="R49" s="3110">
        <f>30932+92796</f>
        <v>123728</v>
      </c>
      <c r="S49" s="3111">
        <f>38+13</f>
        <v>51</v>
      </c>
      <c r="T49" s="3110">
        <f>5954+17861</f>
        <v>23815</v>
      </c>
      <c r="U49" s="3110">
        <v>-1</v>
      </c>
      <c r="V49" s="3110">
        <f>16871+5624</f>
        <v>22495</v>
      </c>
      <c r="W49" s="3084"/>
      <c r="X49" s="3083">
        <f>SUM(R49:W49)</f>
        <v>170088</v>
      </c>
      <c r="Y49" s="3083"/>
    </row>
    <row r="50" spans="1:26" ht="15">
      <c r="A50" s="1113"/>
      <c r="B50" s="1113"/>
      <c r="C50" s="1113"/>
      <c r="D50" s="1113"/>
      <c r="E50" s="1113"/>
      <c r="F50" s="1113"/>
      <c r="G50" s="1113"/>
      <c r="H50" s="1113"/>
      <c r="I50" s="1113"/>
      <c r="J50" s="1113"/>
      <c r="K50" s="1113"/>
      <c r="L50" s="290"/>
      <c r="M50" s="301"/>
      <c r="N50" s="301"/>
      <c r="O50" s="301"/>
      <c r="P50" s="3082"/>
      <c r="Q50" s="1024"/>
      <c r="R50" s="3110"/>
      <c r="S50" s="3111"/>
      <c r="T50" s="3112"/>
      <c r="U50" s="3112"/>
      <c r="V50" s="3112"/>
      <c r="W50" s="3084"/>
      <c r="X50" s="3085"/>
      <c r="Y50" s="3085"/>
    </row>
    <row r="51" spans="1:26" ht="15">
      <c r="A51" s="1113"/>
      <c r="B51" s="1113"/>
      <c r="C51" s="1113"/>
      <c r="D51" s="1113"/>
      <c r="E51" s="1113"/>
      <c r="F51" s="1113"/>
      <c r="G51" s="1113"/>
      <c r="H51" s="1113"/>
      <c r="I51" s="1113"/>
      <c r="J51" s="1113"/>
      <c r="K51" s="1113"/>
      <c r="L51" s="291">
        <v>3</v>
      </c>
      <c r="M51" s="301"/>
      <c r="N51" s="3080" t="s">
        <v>2797</v>
      </c>
      <c r="O51" s="301"/>
      <c r="P51" s="3081">
        <v>0.05</v>
      </c>
      <c r="Q51" s="1024"/>
      <c r="R51" s="3110">
        <f>10311+30932-1</f>
        <v>41242</v>
      </c>
      <c r="S51" s="3110">
        <v>16</v>
      </c>
      <c r="T51" s="3110">
        <f>5954+1985-1</f>
        <v>7938</v>
      </c>
      <c r="U51" s="3110">
        <v>-1</v>
      </c>
      <c r="V51" s="3110">
        <f>5624+1875-2</f>
        <v>7497</v>
      </c>
      <c r="W51" s="3084"/>
      <c r="X51" s="3083">
        <f>SUM(R51:W51)</f>
        <v>56692</v>
      </c>
      <c r="Y51" s="3083"/>
    </row>
    <row r="52" spans="1:26" ht="15">
      <c r="A52" s="1113"/>
      <c r="B52" s="1113"/>
      <c r="C52" s="1113"/>
      <c r="D52" s="1113"/>
      <c r="E52" s="1113"/>
      <c r="F52" s="1113"/>
      <c r="G52" s="1113"/>
      <c r="H52" s="1113"/>
      <c r="I52" s="1113"/>
      <c r="J52" s="1113"/>
      <c r="K52" s="1113"/>
      <c r="L52" s="291"/>
      <c r="M52" s="301"/>
      <c r="N52" s="301"/>
      <c r="O52" s="301"/>
      <c r="P52" s="3082"/>
      <c r="Q52" s="1024"/>
      <c r="R52" s="3110"/>
      <c r="S52" s="3110"/>
      <c r="T52" s="3112"/>
      <c r="U52" s="3112"/>
      <c r="V52" s="3112"/>
      <c r="W52" s="3084"/>
      <c r="X52" s="3085"/>
      <c r="Y52" s="3085"/>
    </row>
    <row r="53" spans="1:26" ht="15">
      <c r="A53" s="1113"/>
      <c r="B53" s="1113"/>
      <c r="C53" s="1113"/>
      <c r="D53" s="1113"/>
      <c r="E53" s="1113"/>
      <c r="F53" s="1113"/>
      <c r="G53" s="1113"/>
      <c r="H53" s="1113"/>
      <c r="I53" s="1113"/>
      <c r="J53" s="1113"/>
      <c r="K53" s="1113"/>
      <c r="L53" s="290">
        <v>4</v>
      </c>
      <c r="M53" s="301"/>
      <c r="N53" s="1514" t="s">
        <v>2798</v>
      </c>
      <c r="O53" s="301"/>
      <c r="P53" s="3100">
        <v>0.5</v>
      </c>
      <c r="Q53" s="3101"/>
      <c r="R53" s="3113">
        <f>103106+309318</f>
        <v>412424</v>
      </c>
      <c r="S53" s="3113">
        <f>125+42</f>
        <v>167</v>
      </c>
      <c r="T53" s="3113">
        <f>19846+59538</f>
        <v>79384</v>
      </c>
      <c r="U53" s="3113">
        <v>-4</v>
      </c>
      <c r="V53" s="3113">
        <f>56238+18746</f>
        <v>74984</v>
      </c>
      <c r="W53" s="3103"/>
      <c r="X53" s="3102">
        <f>SUM(R53:W53)</f>
        <v>566955</v>
      </c>
      <c r="Y53" s="3088"/>
      <c r="Z53" s="1184"/>
    </row>
    <row r="54" spans="1:26" ht="15">
      <c r="A54" s="1113"/>
      <c r="B54" s="1113"/>
      <c r="C54" s="1113"/>
      <c r="D54" s="1113"/>
      <c r="E54" s="1113"/>
      <c r="F54" s="1113"/>
      <c r="G54" s="1113"/>
      <c r="H54" s="1113"/>
      <c r="I54" s="1113"/>
      <c r="J54" s="1113"/>
      <c r="K54" s="1113"/>
      <c r="L54" s="291"/>
      <c r="M54" s="301"/>
      <c r="N54" s="301"/>
      <c r="O54" s="301"/>
      <c r="P54" s="3089"/>
      <c r="Q54" s="3080"/>
      <c r="R54" s="3080"/>
      <c r="S54" s="3080"/>
      <c r="T54" s="3090"/>
      <c r="U54" s="3090"/>
      <c r="V54" s="3090"/>
      <c r="W54" s="1184"/>
      <c r="X54" s="1184"/>
      <c r="Y54" s="1184"/>
      <c r="Z54" s="1184"/>
    </row>
    <row r="55" spans="1:26" ht="15.6" thickBot="1">
      <c r="A55" s="1113"/>
      <c r="B55" s="1113"/>
      <c r="C55" s="1113"/>
      <c r="D55" s="1113"/>
      <c r="E55" s="1113"/>
      <c r="F55" s="1113"/>
      <c r="G55" s="1113"/>
      <c r="H55" s="1113"/>
      <c r="I55" s="1113"/>
      <c r="J55" s="1113"/>
      <c r="K55" s="1113"/>
      <c r="L55" s="291">
        <v>5</v>
      </c>
      <c r="M55" s="301"/>
      <c r="N55" s="289" t="s">
        <v>2153</v>
      </c>
      <c r="O55" s="301"/>
      <c r="P55" s="3091">
        <f>SUM(P47:P53)</f>
        <v>1</v>
      </c>
      <c r="Q55" s="3092"/>
      <c r="R55" s="3093">
        <f>SUM(R47:R53)</f>
        <v>824849</v>
      </c>
      <c r="S55" s="3093">
        <f>SUM(S47:S53)</f>
        <v>334</v>
      </c>
      <c r="T55" s="3094">
        <f>SUM(T47:T53)</f>
        <v>158768</v>
      </c>
      <c r="U55" s="3094">
        <f>SUM(U47:U53)</f>
        <v>-9</v>
      </c>
      <c r="V55" s="3094">
        <f>SUM(V47:V53)</f>
        <v>149967</v>
      </c>
      <c r="W55" s="3095"/>
      <c r="X55" s="3094">
        <f>SUM(X47:X53)</f>
        <v>1133909</v>
      </c>
      <c r="Y55" s="3096"/>
      <c r="Z55" s="1184"/>
    </row>
    <row r="56" spans="1:26" ht="15.6" thickTop="1">
      <c r="A56" s="1113"/>
      <c r="B56" s="1113"/>
      <c r="C56" s="1113"/>
      <c r="D56" s="1113"/>
      <c r="E56" s="1113"/>
      <c r="F56" s="1113"/>
      <c r="G56" s="1113"/>
      <c r="H56" s="1113"/>
      <c r="I56" s="1113"/>
      <c r="J56" s="1113"/>
      <c r="K56" s="1113"/>
      <c r="L56" s="685"/>
      <c r="M56" s="685"/>
      <c r="N56" s="685"/>
      <c r="O56" s="685"/>
      <c r="P56" s="3097"/>
      <c r="Q56" s="3097"/>
      <c r="R56" s="3098"/>
      <c r="S56" s="3099"/>
      <c r="T56" s="3099"/>
      <c r="U56" s="3099"/>
      <c r="V56" s="3099"/>
      <c r="W56" s="2987"/>
      <c r="X56" s="2987"/>
      <c r="Y56" s="2987"/>
      <c r="Z56" s="1184"/>
    </row>
    <row r="57" spans="1:26" ht="15">
      <c r="A57" s="1113"/>
      <c r="B57" s="1113"/>
      <c r="C57" s="1113"/>
      <c r="D57" s="1113"/>
      <c r="E57" s="1113"/>
      <c r="F57" s="1113"/>
      <c r="G57" s="1113"/>
      <c r="H57" s="1113"/>
      <c r="I57" s="1113"/>
      <c r="J57" s="1113"/>
      <c r="K57" s="1113"/>
      <c r="L57" s="204">
        <v>6</v>
      </c>
      <c r="M57" s="198"/>
      <c r="N57" s="1232" t="s">
        <v>2807</v>
      </c>
      <c r="O57" s="198"/>
      <c r="P57" s="1232"/>
      <c r="Q57" s="1232"/>
      <c r="R57" s="1232"/>
      <c r="S57" s="1232"/>
      <c r="T57" s="3086"/>
      <c r="U57" s="3086"/>
      <c r="V57" s="3086"/>
      <c r="W57" s="1184"/>
      <c r="X57" s="3110">
        <f>1133909-542473</f>
        <v>591436</v>
      </c>
      <c r="Y57" s="1184"/>
      <c r="Z57" s="1184"/>
    </row>
    <row r="58" spans="1:26" ht="15">
      <c r="A58" s="1113"/>
      <c r="B58" s="1113"/>
      <c r="C58" s="1113"/>
      <c r="D58" s="1113"/>
      <c r="E58" s="1113"/>
      <c r="F58" s="1113"/>
      <c r="G58" s="1113"/>
      <c r="H58" s="1113"/>
      <c r="I58" s="1113"/>
      <c r="J58" s="1113"/>
      <c r="K58" s="1113"/>
      <c r="L58" s="204"/>
      <c r="M58" s="198"/>
      <c r="N58" s="1232"/>
      <c r="O58" s="198"/>
      <c r="P58" s="1232"/>
      <c r="Q58" s="1232"/>
      <c r="R58" s="1232"/>
      <c r="S58" s="1232"/>
      <c r="T58" s="3086"/>
      <c r="U58" s="3086"/>
      <c r="V58" s="3086"/>
      <c r="W58" s="1184"/>
      <c r="X58" s="3088"/>
      <c r="Y58" s="1184"/>
      <c r="Z58" s="1184"/>
    </row>
    <row r="59" spans="1:26" ht="15">
      <c r="A59" s="1113"/>
      <c r="B59" s="1113"/>
      <c r="C59" s="1113"/>
      <c r="D59" s="1113"/>
      <c r="E59" s="1113"/>
      <c r="F59" s="1113"/>
      <c r="G59" s="1113"/>
      <c r="H59" s="1113"/>
      <c r="I59" s="1113"/>
      <c r="J59" s="1113"/>
      <c r="K59" s="1113"/>
      <c r="L59" s="204">
        <v>7</v>
      </c>
      <c r="M59" s="198"/>
      <c r="N59" s="1232" t="s">
        <v>2808</v>
      </c>
      <c r="O59" s="198"/>
      <c r="P59" s="1232"/>
      <c r="Q59" s="1232"/>
      <c r="R59" s="1232"/>
      <c r="S59" s="1232"/>
      <c r="T59" s="3086"/>
      <c r="U59" s="3086"/>
      <c r="V59" s="3086"/>
      <c r="W59" s="1184"/>
      <c r="X59" s="3113">
        <v>542473</v>
      </c>
      <c r="Y59" s="1184"/>
      <c r="Z59" s="1184"/>
    </row>
    <row r="60" spans="1:26" ht="15">
      <c r="A60" s="1113"/>
      <c r="B60" s="1113"/>
      <c r="C60" s="1113"/>
      <c r="D60" s="1113"/>
      <c r="E60" s="1113"/>
      <c r="F60" s="1113"/>
      <c r="G60" s="1113"/>
      <c r="H60" s="1113"/>
      <c r="I60" s="1113"/>
      <c r="J60" s="1113"/>
      <c r="K60" s="1113"/>
      <c r="L60" s="204"/>
      <c r="M60" s="198"/>
      <c r="N60" s="1232"/>
      <c r="O60" s="198"/>
      <c r="P60" s="1232"/>
      <c r="Q60" s="1232"/>
      <c r="R60" s="1232"/>
      <c r="S60" s="1232"/>
      <c r="T60" s="3086"/>
      <c r="U60" s="3086"/>
      <c r="V60" s="3086"/>
      <c r="W60" s="1184"/>
      <c r="X60" s="3088"/>
      <c r="Y60" s="1184"/>
      <c r="Z60" s="1184"/>
    </row>
    <row r="61" spans="1:26" ht="15.6" thickBot="1">
      <c r="A61" s="1113"/>
      <c r="B61" s="1113"/>
      <c r="C61" s="1113"/>
      <c r="D61" s="1113"/>
      <c r="E61" s="1113"/>
      <c r="F61" s="1113"/>
      <c r="G61" s="1113"/>
      <c r="H61" s="1113"/>
      <c r="I61" s="1113"/>
      <c r="J61" s="1113"/>
      <c r="K61" s="1113"/>
      <c r="L61" s="204">
        <v>8</v>
      </c>
      <c r="M61" s="198"/>
      <c r="N61" s="1232" t="s">
        <v>2153</v>
      </c>
      <c r="O61" s="198"/>
      <c r="P61" s="1232"/>
      <c r="Q61" s="1232"/>
      <c r="R61" s="1232"/>
      <c r="S61" s="1232"/>
      <c r="T61" s="3086"/>
      <c r="U61" s="3086"/>
      <c r="V61" s="3086"/>
      <c r="W61" s="1184"/>
      <c r="X61" s="3104">
        <f>SUM(X57:X59)</f>
        <v>1133909</v>
      </c>
      <c r="Y61" s="1184"/>
      <c r="Z61" s="1184"/>
    </row>
    <row r="62" spans="1:26" ht="15.6" thickTop="1">
      <c r="A62" s="1113"/>
      <c r="B62" s="1113"/>
      <c r="C62" s="1113"/>
      <c r="D62" s="1113"/>
      <c r="E62" s="1113"/>
      <c r="F62" s="1113"/>
      <c r="G62" s="1113"/>
      <c r="H62" s="1113"/>
      <c r="I62" s="1113"/>
      <c r="J62" s="1113"/>
      <c r="K62" s="1113"/>
      <c r="L62" s="204"/>
      <c r="M62" s="198"/>
      <c r="N62" s="1232"/>
      <c r="O62" s="198"/>
      <c r="P62" s="1232"/>
      <c r="Q62" s="1232"/>
      <c r="R62" s="1232"/>
      <c r="S62" s="1232"/>
      <c r="T62" s="3086"/>
      <c r="U62" s="3086"/>
      <c r="V62" s="3086"/>
      <c r="W62" s="1184"/>
      <c r="X62" s="3088"/>
      <c r="Y62" s="1184"/>
      <c r="Z62" s="1184"/>
    </row>
    <row r="63" spans="1:26" ht="15">
      <c r="A63" s="1113"/>
      <c r="B63" s="1113"/>
      <c r="C63" s="1113"/>
      <c r="D63" s="1113"/>
      <c r="E63" s="1113"/>
      <c r="F63" s="1113"/>
      <c r="G63" s="1113"/>
      <c r="H63" s="1113"/>
      <c r="I63" s="1113"/>
      <c r="J63" s="1113"/>
      <c r="K63" s="1113"/>
      <c r="L63" s="1119">
        <v>9</v>
      </c>
      <c r="M63" s="1113"/>
      <c r="N63" s="3086" t="s">
        <v>2809</v>
      </c>
      <c r="O63" s="1113"/>
      <c r="P63" s="3086"/>
      <c r="Q63" s="3086"/>
      <c r="R63" s="3086"/>
      <c r="S63" s="3086"/>
      <c r="T63" s="3086"/>
      <c r="U63" s="3086"/>
      <c r="V63" s="3086"/>
      <c r="W63" s="1184"/>
      <c r="X63" s="3087">
        <f>P47</f>
        <v>0.3</v>
      </c>
      <c r="Y63" s="1184"/>
      <c r="Z63" s="1184"/>
    </row>
    <row r="64" spans="1:26" ht="15">
      <c r="A64" s="1113"/>
      <c r="B64" s="1113"/>
      <c r="C64" s="1113"/>
      <c r="D64" s="1113"/>
      <c r="E64" s="1113"/>
      <c r="F64" s="1113"/>
      <c r="G64" s="1113"/>
      <c r="H64" s="1113"/>
      <c r="I64" s="1113"/>
      <c r="J64" s="1113"/>
      <c r="K64" s="1113"/>
      <c r="L64" s="1119"/>
      <c r="M64" s="1113"/>
      <c r="N64" s="3086"/>
      <c r="O64" s="1113"/>
      <c r="P64" s="3086"/>
      <c r="Q64" s="3086"/>
      <c r="R64" s="3086"/>
      <c r="S64" s="3086"/>
      <c r="T64" s="3086"/>
      <c r="U64" s="3086"/>
      <c r="V64" s="3086"/>
      <c r="W64" s="1184"/>
      <c r="X64" s="3087"/>
      <c r="Y64" s="1184"/>
      <c r="Z64" s="1184"/>
    </row>
    <row r="65" spans="1:39" ht="15.6" thickBot="1">
      <c r="A65" s="1113"/>
      <c r="B65" s="1113"/>
      <c r="C65" s="1113"/>
      <c r="D65" s="1113"/>
      <c r="E65" s="1113"/>
      <c r="F65" s="1113"/>
      <c r="G65" s="1113"/>
      <c r="H65" s="1113"/>
      <c r="I65" s="1113"/>
      <c r="J65" s="1113"/>
      <c r="K65" s="1113"/>
      <c r="L65" s="1119">
        <v>10</v>
      </c>
      <c r="M65" s="1113"/>
      <c r="N65" s="3086" t="s">
        <v>2814</v>
      </c>
      <c r="O65" s="1113"/>
      <c r="P65" s="3086"/>
      <c r="Q65" s="3086"/>
      <c r="R65" s="3086"/>
      <c r="S65" s="3086"/>
      <c r="T65" s="3086"/>
      <c r="U65" s="3086"/>
      <c r="W65" s="3108" t="s">
        <v>2820</v>
      </c>
      <c r="X65" s="3105">
        <f>ROUND(X59*X63,0)</f>
        <v>162742</v>
      </c>
      <c r="Z65" s="1184"/>
    </row>
    <row r="66" spans="1:39" ht="15.6" thickTop="1">
      <c r="A66" s="1113"/>
      <c r="B66" s="1113"/>
      <c r="C66" s="1113"/>
      <c r="D66" s="1113"/>
      <c r="E66" s="1113"/>
      <c r="F66" s="1113"/>
      <c r="G66" s="1113"/>
      <c r="H66" s="1113"/>
      <c r="I66" s="1113"/>
      <c r="J66" s="1113"/>
      <c r="K66" s="1113"/>
      <c r="L66" s="1113"/>
      <c r="M66" s="1113"/>
      <c r="N66" s="1113"/>
      <c r="O66" s="1113"/>
      <c r="P66" s="3086"/>
      <c r="Q66" s="3086"/>
      <c r="R66" s="3086"/>
      <c r="S66" s="3086"/>
      <c r="T66" s="3086"/>
      <c r="U66" s="3086"/>
      <c r="V66" s="3086"/>
      <c r="W66" s="1184"/>
      <c r="X66" s="1184"/>
      <c r="Y66" s="1184"/>
      <c r="Z66" s="1184"/>
    </row>
    <row r="67" spans="1:39" ht="15">
      <c r="A67" s="1113"/>
      <c r="B67" s="1113"/>
      <c r="C67" s="1113"/>
      <c r="D67" s="1113"/>
      <c r="E67" s="1113"/>
      <c r="F67" s="1113"/>
      <c r="G67" s="1113"/>
      <c r="H67" s="1113"/>
      <c r="I67" s="1113"/>
      <c r="J67" s="1113"/>
      <c r="K67" s="1113"/>
      <c r="L67" s="1113"/>
      <c r="M67" s="1113"/>
      <c r="N67" s="1113"/>
      <c r="O67" s="1113"/>
      <c r="P67" s="3086"/>
      <c r="Q67" s="3086"/>
      <c r="R67" s="3086"/>
      <c r="S67" s="3086"/>
      <c r="T67" s="3086"/>
      <c r="U67" s="3086"/>
      <c r="V67" s="3086"/>
      <c r="W67" s="1184"/>
      <c r="X67" s="1184"/>
      <c r="Y67" s="1184"/>
      <c r="Z67" s="1184"/>
    </row>
    <row r="68" spans="1:39" ht="15">
      <c r="A68" s="1113"/>
      <c r="B68" s="1113"/>
      <c r="C68" s="1113"/>
      <c r="D68" s="1113"/>
      <c r="E68" s="1113"/>
      <c r="F68" s="1113"/>
      <c r="G68" s="1113"/>
      <c r="H68" s="1113"/>
      <c r="I68" s="1113"/>
      <c r="J68" s="1113"/>
      <c r="K68" s="1113"/>
      <c r="L68" s="1113"/>
      <c r="M68" s="1113"/>
      <c r="N68" s="1113"/>
      <c r="O68" s="1113"/>
      <c r="P68" s="1113"/>
      <c r="Q68" s="1113"/>
      <c r="R68" s="1113"/>
      <c r="S68" s="1113"/>
      <c r="T68" s="1124"/>
      <c r="U68" s="1125"/>
      <c r="V68" s="1125"/>
      <c r="Z68" s="792" t="str">
        <f>COMPANY</f>
        <v>DUKE ENERGY KENTUCKY, INC.</v>
      </c>
      <c r="AA68" s="298"/>
      <c r="AB68" s="298"/>
      <c r="AC68" s="298"/>
      <c r="AD68" s="298"/>
      <c r="AE68" s="298"/>
      <c r="AF68" s="1113"/>
      <c r="AG68" s="198"/>
      <c r="AH68" s="1113"/>
      <c r="AJ68" s="1204" t="s">
        <v>2816</v>
      </c>
    </row>
    <row r="69" spans="1:39" ht="15">
      <c r="A69" s="1113"/>
      <c r="B69" s="1113"/>
      <c r="C69" s="1113"/>
      <c r="D69" s="1113"/>
      <c r="E69" s="1113"/>
      <c r="F69" s="1113"/>
      <c r="G69" s="1113"/>
      <c r="H69" s="1113"/>
      <c r="I69" s="1113"/>
      <c r="J69" s="1113"/>
      <c r="K69" s="1113"/>
      <c r="L69" s="1113"/>
      <c r="M69" s="1113"/>
      <c r="N69" s="1113"/>
      <c r="O69" s="1113"/>
      <c r="P69" s="1113"/>
      <c r="Q69" s="1113"/>
      <c r="R69" s="1113"/>
      <c r="S69" s="1113"/>
      <c r="T69" s="1124"/>
      <c r="U69" s="1125"/>
      <c r="V69" s="1125"/>
      <c r="Z69" s="792" t="str">
        <f>DEPT</f>
        <v>GAS DEPARTMENT</v>
      </c>
      <c r="AA69" s="298"/>
      <c r="AB69" s="298"/>
      <c r="AC69" s="298"/>
      <c r="AD69" s="298"/>
      <c r="AE69" s="298"/>
      <c r="AF69" s="1113"/>
      <c r="AG69" s="198"/>
      <c r="AH69" s="1113"/>
      <c r="AJ69" s="793" t="s">
        <v>566</v>
      </c>
    </row>
    <row r="70" spans="1:39" ht="15">
      <c r="A70" s="1113"/>
      <c r="B70" s="1113"/>
      <c r="C70" s="1113"/>
      <c r="D70" s="1113"/>
      <c r="E70" s="1113"/>
      <c r="F70" s="1113"/>
      <c r="G70" s="1113"/>
      <c r="H70" s="1113"/>
      <c r="I70" s="1113"/>
      <c r="J70" s="1113"/>
      <c r="K70" s="1113"/>
      <c r="L70" s="1113"/>
      <c r="M70" s="1113"/>
      <c r="N70" s="1113"/>
      <c r="O70" s="1113"/>
      <c r="P70" s="1113"/>
      <c r="Q70" s="1113"/>
      <c r="R70" s="1113"/>
      <c r="S70" s="1113"/>
      <c r="T70" s="1124"/>
      <c r="U70" s="1125"/>
      <c r="V70" s="1125"/>
      <c r="Z70" s="792" t="str">
        <f>CASE</f>
        <v>CASE NO. 2018-00261</v>
      </c>
      <c r="AA70" s="298"/>
      <c r="AB70" s="298"/>
      <c r="AC70" s="298"/>
      <c r="AD70" s="298"/>
      <c r="AE70" s="298"/>
      <c r="AF70" s="1113"/>
      <c r="AG70" s="198"/>
      <c r="AH70" s="1113"/>
      <c r="AJ70" s="793" t="str">
        <f>_WIT1</f>
        <v>S. E. LAWLER</v>
      </c>
    </row>
    <row r="71" spans="1:39" ht="15">
      <c r="Z71" s="793" t="str">
        <f>L39</f>
        <v>INCENTIVE COMPENSATION</v>
      </c>
      <c r="AA71" s="298"/>
      <c r="AB71" s="298"/>
      <c r="AC71" s="298"/>
      <c r="AD71" s="298"/>
      <c r="AE71" s="298"/>
      <c r="AF71" s="1113"/>
      <c r="AG71" s="198"/>
      <c r="AH71" s="1113"/>
      <c r="AI71" s="1113"/>
      <c r="AJ71" s="1113"/>
    </row>
    <row r="72" spans="1:39" ht="15">
      <c r="Z72" s="1580" t="s">
        <v>2811</v>
      </c>
      <c r="AA72" s="298"/>
      <c r="AB72" s="298"/>
      <c r="AC72" s="298"/>
      <c r="AD72" s="298"/>
      <c r="AE72" s="298"/>
      <c r="AF72" s="802"/>
      <c r="AG72" s="198"/>
      <c r="AH72" s="1113"/>
      <c r="AI72" s="1113"/>
      <c r="AJ72" s="1113"/>
    </row>
    <row r="73" spans="1:39" ht="15">
      <c r="Z73" s="298"/>
      <c r="AA73" s="298"/>
      <c r="AB73" s="298"/>
      <c r="AC73" s="298"/>
      <c r="AD73" s="298"/>
      <c r="AE73" s="298"/>
      <c r="AF73" s="298"/>
      <c r="AG73" s="198"/>
      <c r="AH73" s="1113"/>
      <c r="AI73" s="1113"/>
      <c r="AJ73" s="1113"/>
    </row>
    <row r="74" spans="1:39" ht="15">
      <c r="Z74" s="298"/>
      <c r="AA74" s="298"/>
      <c r="AB74" s="298"/>
      <c r="AC74" s="298"/>
      <c r="AD74" s="795"/>
      <c r="AE74" s="298"/>
      <c r="AF74" s="298"/>
      <c r="AG74" s="198"/>
      <c r="AH74" s="1113"/>
      <c r="AI74" s="1113"/>
      <c r="AJ74" s="1113"/>
    </row>
    <row r="75" spans="1:39" ht="15">
      <c r="Z75" s="301"/>
      <c r="AA75" s="301"/>
      <c r="AB75" s="301"/>
      <c r="AC75" s="301"/>
      <c r="AD75" s="302"/>
      <c r="AE75" s="302"/>
      <c r="AF75" s="302"/>
      <c r="AG75" s="302"/>
      <c r="AH75" s="291"/>
      <c r="AI75" s="291"/>
      <c r="AJ75" s="301"/>
      <c r="AL75" s="1588"/>
      <c r="AM75" s="1588"/>
    </row>
    <row r="76" spans="1:39" ht="15">
      <c r="Z76" s="290" t="s">
        <v>1938</v>
      </c>
      <c r="AA76" s="301"/>
      <c r="AB76" s="291" t="s">
        <v>350</v>
      </c>
      <c r="AC76" s="301"/>
      <c r="AD76" s="302"/>
      <c r="AE76" s="302"/>
      <c r="AF76" s="1121"/>
      <c r="AG76" s="1121"/>
      <c r="AH76" s="1121"/>
      <c r="AI76" s="1121"/>
      <c r="AJ76" s="290"/>
      <c r="AL76" s="3109" t="s">
        <v>2821</v>
      </c>
      <c r="AM76" s="1587"/>
    </row>
    <row r="77" spans="1:39" ht="15">
      <c r="Z77" s="303" t="s">
        <v>1939</v>
      </c>
      <c r="AA77" s="304"/>
      <c r="AB77" s="303" t="s">
        <v>2799</v>
      </c>
      <c r="AC77" s="288"/>
      <c r="AD77" s="303" t="s">
        <v>2801</v>
      </c>
      <c r="AE77" s="303"/>
      <c r="AF77" s="1122" t="s">
        <v>2802</v>
      </c>
      <c r="AG77" s="303" t="s">
        <v>2803</v>
      </c>
      <c r="AH77" s="1122" t="s">
        <v>2804</v>
      </c>
      <c r="AI77" s="303" t="s">
        <v>2805</v>
      </c>
      <c r="AJ77" s="303" t="s">
        <v>2806</v>
      </c>
      <c r="AL77" s="1589" t="s">
        <v>2802</v>
      </c>
      <c r="AM77" s="1589"/>
    </row>
    <row r="78" spans="1:39" ht="15.6">
      <c r="Z78" s="301"/>
      <c r="AA78" s="301"/>
      <c r="AB78" s="301"/>
      <c r="AC78" s="301"/>
      <c r="AD78" s="1123"/>
      <c r="AE78" s="301"/>
      <c r="AF78" s="301"/>
      <c r="AG78" s="301"/>
      <c r="AH78" s="301"/>
      <c r="AI78" s="301"/>
      <c r="AJ78" s="301"/>
    </row>
    <row r="79" spans="1:39" ht="15">
      <c r="Z79" s="290">
        <v>1</v>
      </c>
      <c r="AA79" s="301"/>
      <c r="AB79" s="1514" t="s">
        <v>2796</v>
      </c>
      <c r="AC79" s="301"/>
      <c r="AD79" s="3081">
        <f>AH79/$AH$87</f>
        <v>0.44518345171134921</v>
      </c>
      <c r="AE79" s="1024"/>
      <c r="AF79" s="3110"/>
      <c r="AG79" s="3111"/>
      <c r="AH79" s="3110">
        <f>65060</f>
        <v>65060</v>
      </c>
      <c r="AI79" s="3110"/>
      <c r="AJ79" s="3110"/>
      <c r="AK79" s="3084"/>
      <c r="AL79" s="3083">
        <f>SUM(AF79:AK79)</f>
        <v>65060</v>
      </c>
      <c r="AM79" s="3083"/>
    </row>
    <row r="80" spans="1:39" ht="15">
      <c r="Z80" s="291"/>
      <c r="AA80" s="301"/>
      <c r="AB80" s="301"/>
      <c r="AC80" s="301"/>
      <c r="AD80" s="3082"/>
      <c r="AE80" s="1024"/>
      <c r="AF80" s="3110"/>
      <c r="AG80" s="3111"/>
      <c r="AH80" s="3112"/>
      <c r="AI80" s="3112"/>
      <c r="AJ80" s="3112"/>
      <c r="AK80" s="3084"/>
      <c r="AL80" s="3085"/>
      <c r="AM80" s="3085"/>
    </row>
    <row r="81" spans="26:39" ht="15">
      <c r="Z81" s="291">
        <v>2</v>
      </c>
      <c r="AA81" s="301"/>
      <c r="AB81" s="1514" t="s">
        <v>2812</v>
      </c>
      <c r="AC81" s="301"/>
      <c r="AD81" s="3081">
        <f>AH81/$AH$87</f>
        <v>0.27792831629511022</v>
      </c>
      <c r="AE81" s="1024"/>
      <c r="AF81" s="3110"/>
      <c r="AG81" s="3111"/>
      <c r="AH81" s="3110">
        <v>40617</v>
      </c>
      <c r="AI81" s="3110"/>
      <c r="AJ81" s="3110"/>
      <c r="AK81" s="3084"/>
      <c r="AL81" s="3083">
        <f>SUM(AF81:AK81)</f>
        <v>40617</v>
      </c>
      <c r="AM81" s="3083"/>
    </row>
    <row r="82" spans="26:39" ht="15">
      <c r="Z82" s="290"/>
      <c r="AA82" s="301"/>
      <c r="AB82" s="301"/>
      <c r="AC82" s="301"/>
      <c r="AD82" s="3082"/>
      <c r="AE82" s="1024"/>
      <c r="AF82" s="3110"/>
      <c r="AG82" s="3111"/>
      <c r="AH82" s="3112"/>
      <c r="AI82" s="3112"/>
      <c r="AJ82" s="3112"/>
      <c r="AK82" s="3084"/>
      <c r="AL82" s="3085"/>
      <c r="AM82" s="3085"/>
    </row>
    <row r="83" spans="26:39" ht="15">
      <c r="Z83" s="291">
        <v>3</v>
      </c>
      <c r="AA83" s="301"/>
      <c r="AB83" s="3080" t="s">
        <v>2813</v>
      </c>
      <c r="AC83" s="301"/>
      <c r="AD83" s="3081">
        <f>AH83/$AH$87</f>
        <v>0.16725513541623899</v>
      </c>
      <c r="AE83" s="1024"/>
      <c r="AF83" s="3110"/>
      <c r="AG83" s="3110"/>
      <c r="AH83" s="3110">
        <v>24443</v>
      </c>
      <c r="AI83" s="3110"/>
      <c r="AJ83" s="3110"/>
      <c r="AK83" s="3084"/>
      <c r="AL83" s="3083">
        <f>SUM(AF83:AK83)</f>
        <v>24443</v>
      </c>
      <c r="AM83" s="3083"/>
    </row>
    <row r="84" spans="26:39" ht="15">
      <c r="Z84" s="291"/>
      <c r="AA84" s="301"/>
      <c r="AB84" s="301"/>
      <c r="AC84" s="301"/>
      <c r="AD84" s="3082"/>
      <c r="AE84" s="1024"/>
      <c r="AF84" s="3110"/>
      <c r="AG84" s="3110"/>
      <c r="AH84" s="3112"/>
      <c r="AI84" s="3112"/>
      <c r="AJ84" s="3112"/>
      <c r="AK84" s="3084"/>
      <c r="AL84" s="3085"/>
      <c r="AM84" s="3085"/>
    </row>
    <row r="85" spans="26:39" ht="15">
      <c r="Z85" s="290">
        <v>4</v>
      </c>
      <c r="AA85" s="301"/>
      <c r="AB85" s="1514" t="s">
        <v>2810</v>
      </c>
      <c r="AC85" s="301"/>
      <c r="AD85" s="3100">
        <f>AH85/$AH$87</f>
        <v>0.10963309657730153</v>
      </c>
      <c r="AE85" s="3101"/>
      <c r="AF85" s="3113"/>
      <c r="AG85" s="3113"/>
      <c r="AH85" s="3113">
        <v>16022</v>
      </c>
      <c r="AI85" s="3113"/>
      <c r="AJ85" s="3113"/>
      <c r="AK85" s="3103"/>
      <c r="AL85" s="3102">
        <f>SUM(AF85:AK85)</f>
        <v>16022</v>
      </c>
      <c r="AM85" s="3088"/>
    </row>
    <row r="86" spans="26:39" ht="15">
      <c r="Z86" s="291"/>
      <c r="AA86" s="301"/>
      <c r="AB86" s="301"/>
      <c r="AC86" s="301"/>
      <c r="AD86" s="3089"/>
      <c r="AE86" s="3080"/>
      <c r="AF86" s="3080"/>
      <c r="AG86" s="3080"/>
      <c r="AH86" s="3090"/>
      <c r="AI86" s="3090"/>
      <c r="AJ86" s="3090"/>
      <c r="AK86" s="1184"/>
      <c r="AL86" s="1184"/>
      <c r="AM86" s="1184"/>
    </row>
    <row r="87" spans="26:39" ht="15.6" thickBot="1">
      <c r="Z87" s="291">
        <v>5</v>
      </c>
      <c r="AA87" s="301"/>
      <c r="AB87" s="289" t="s">
        <v>2153</v>
      </c>
      <c r="AC87" s="301"/>
      <c r="AD87" s="3091">
        <f>SUM(AD79:AD85)</f>
        <v>1</v>
      </c>
      <c r="AE87" s="3092"/>
      <c r="AF87" s="3093">
        <f>SUM(AF79:AF85)</f>
        <v>0</v>
      </c>
      <c r="AG87" s="3093">
        <f>SUM(AG79:AG85)</f>
        <v>0</v>
      </c>
      <c r="AH87" s="3094">
        <f>SUM(AH79:AH85)</f>
        <v>146142</v>
      </c>
      <c r="AI87" s="3094">
        <f>SUM(AI79:AI85)</f>
        <v>0</v>
      </c>
      <c r="AJ87" s="3094">
        <f>SUM(AJ79:AJ85)</f>
        <v>0</v>
      </c>
      <c r="AK87" s="3095"/>
      <c r="AL87" s="3094">
        <f>SUM(AL79:AL85)</f>
        <v>146142</v>
      </c>
      <c r="AM87" s="3096"/>
    </row>
    <row r="88" spans="26:39" ht="15.6" thickTop="1">
      <c r="Z88" s="685"/>
      <c r="AA88" s="685"/>
      <c r="AB88" s="685"/>
      <c r="AC88" s="685"/>
      <c r="AD88" s="3097"/>
      <c r="AE88" s="3097"/>
      <c r="AF88" s="3098"/>
      <c r="AG88" s="3099"/>
      <c r="AH88" s="3099"/>
      <c r="AI88" s="3099"/>
      <c r="AJ88" s="3099"/>
      <c r="AK88" s="2987"/>
      <c r="AL88" s="2987"/>
      <c r="AM88" s="2987"/>
    </row>
    <row r="89" spans="26:39" ht="15">
      <c r="Z89" s="204">
        <v>6</v>
      </c>
      <c r="AA89" s="198"/>
      <c r="AB89" s="1232" t="s">
        <v>2807</v>
      </c>
      <c r="AC89" s="198"/>
      <c r="AD89" s="1232"/>
      <c r="AE89" s="1232"/>
      <c r="AF89" s="1232"/>
      <c r="AG89" s="1232"/>
      <c r="AH89" s="3086"/>
      <c r="AI89" s="3086"/>
      <c r="AJ89" s="3086"/>
      <c r="AK89" s="1184"/>
      <c r="AL89" s="3110">
        <v>8611</v>
      </c>
      <c r="AM89" s="1184"/>
    </row>
    <row r="90" spans="26:39" ht="15">
      <c r="Z90" s="204"/>
      <c r="AA90" s="198"/>
      <c r="AB90" s="1232"/>
      <c r="AC90" s="198"/>
      <c r="AD90" s="1232"/>
      <c r="AE90" s="1232"/>
      <c r="AF90" s="1232"/>
      <c r="AG90" s="1232"/>
      <c r="AH90" s="3086"/>
      <c r="AI90" s="3086"/>
      <c r="AJ90" s="3086"/>
      <c r="AK90" s="1184"/>
      <c r="AL90" s="3110"/>
      <c r="AM90" s="1184"/>
    </row>
    <row r="91" spans="26:39" ht="15">
      <c r="Z91" s="204">
        <v>7</v>
      </c>
      <c r="AA91" s="198"/>
      <c r="AB91" s="1232" t="s">
        <v>2808</v>
      </c>
      <c r="AC91" s="198"/>
      <c r="AD91" s="1232"/>
      <c r="AE91" s="1232"/>
      <c r="AF91" s="1232"/>
      <c r="AG91" s="1232"/>
      <c r="AH91" s="3086"/>
      <c r="AI91" s="3086"/>
      <c r="AJ91" s="3086"/>
      <c r="AK91" s="1184"/>
      <c r="AL91" s="3113">
        <v>137531</v>
      </c>
      <c r="AM91" s="1184"/>
    </row>
    <row r="92" spans="26:39" ht="15">
      <c r="Z92" s="204"/>
      <c r="AA92" s="198"/>
      <c r="AB92" s="1232"/>
      <c r="AC92" s="198"/>
      <c r="AD92" s="1232"/>
      <c r="AE92" s="1232"/>
      <c r="AF92" s="1232"/>
      <c r="AG92" s="1232"/>
      <c r="AH92" s="3086"/>
      <c r="AI92" s="3086"/>
      <c r="AJ92" s="3086"/>
      <c r="AK92" s="1184"/>
      <c r="AL92" s="3088"/>
      <c r="AM92" s="1184"/>
    </row>
    <row r="93" spans="26:39" ht="15.6" thickBot="1">
      <c r="Z93" s="204">
        <v>8</v>
      </c>
      <c r="AA93" s="198"/>
      <c r="AB93" s="1232" t="s">
        <v>2153</v>
      </c>
      <c r="AC93" s="198"/>
      <c r="AD93" s="1232"/>
      <c r="AE93" s="1232"/>
      <c r="AF93" s="1232"/>
      <c r="AG93" s="1232"/>
      <c r="AH93" s="3086"/>
      <c r="AI93" s="3086"/>
      <c r="AJ93" s="3086"/>
      <c r="AK93" s="1184"/>
      <c r="AL93" s="3104">
        <f>SUM(AL89:AL91)</f>
        <v>146142</v>
      </c>
      <c r="AM93" s="1184"/>
    </row>
    <row r="94" spans="26:39" ht="15.6" thickTop="1">
      <c r="Z94" s="204"/>
      <c r="AA94" s="198"/>
      <c r="AB94" s="1232"/>
      <c r="AC94" s="198"/>
      <c r="AD94" s="1232"/>
      <c r="AE94" s="1232"/>
      <c r="AF94" s="1232"/>
      <c r="AG94" s="1232"/>
      <c r="AH94" s="3086"/>
      <c r="AI94" s="3086"/>
      <c r="AJ94" s="3086"/>
      <c r="AK94" s="1184"/>
      <c r="AL94" s="3088"/>
      <c r="AM94" s="1184"/>
    </row>
    <row r="95" spans="26:39" ht="15">
      <c r="Z95" s="1119">
        <v>9</v>
      </c>
      <c r="AA95" s="1113"/>
      <c r="AB95" s="3086" t="s">
        <v>2815</v>
      </c>
      <c r="AC95" s="1113"/>
      <c r="AD95" s="3086"/>
      <c r="AE95" s="3086"/>
      <c r="AF95" s="3086"/>
      <c r="AG95" s="3086"/>
      <c r="AH95" s="3086"/>
      <c r="AI95" s="3086"/>
      <c r="AJ95" s="3086"/>
      <c r="AK95" s="1184"/>
      <c r="AL95" s="3087">
        <f>AD79+AD81+AD85</f>
        <v>0.83274486458376096</v>
      </c>
      <c r="AM95" s="1184"/>
    </row>
    <row r="96" spans="26:39" ht="15">
      <c r="Z96" s="1119"/>
      <c r="AA96" s="1113"/>
      <c r="AB96" s="3086"/>
      <c r="AC96" s="1113"/>
      <c r="AD96" s="3086"/>
      <c r="AE96" s="3086"/>
      <c r="AF96" s="3086"/>
      <c r="AG96" s="3086"/>
      <c r="AH96" s="3086"/>
      <c r="AI96" s="3086"/>
      <c r="AJ96" s="3086"/>
      <c r="AK96" s="1184"/>
      <c r="AL96" s="3087"/>
      <c r="AM96" s="1184"/>
    </row>
    <row r="97" spans="26:39" ht="15.6" thickBot="1">
      <c r="Z97" s="1119">
        <v>10</v>
      </c>
      <c r="AA97" s="1113"/>
      <c r="AB97" s="3086" t="s">
        <v>2818</v>
      </c>
      <c r="AC97" s="1113"/>
      <c r="AD97" s="3086"/>
      <c r="AE97" s="3086"/>
      <c r="AF97" s="3086"/>
      <c r="AG97" s="3086"/>
      <c r="AH97" s="3086"/>
      <c r="AI97" s="3086"/>
      <c r="AK97" s="3108" t="s">
        <v>2820</v>
      </c>
      <c r="AL97" s="3105">
        <f>ROUND(AL95*AL91,0)</f>
        <v>114528</v>
      </c>
      <c r="AM97" s="1204"/>
    </row>
    <row r="98" spans="26:39" ht="13.8" thickTop="1"/>
  </sheetData>
  <phoneticPr fontId="52" type="noConversion"/>
  <pageMargins left="1" right="0.75" top="1" bottom="1" header="0.5" footer="0.5"/>
  <pageSetup scale="74" orientation="landscape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>
    <tabColor theme="7" tint="0.39997558519241921"/>
    <pageSetUpPr fitToPage="1"/>
  </sheetPr>
  <dimension ref="A1:V65"/>
  <sheetViews>
    <sheetView zoomScale="75" workbookViewId="0"/>
  </sheetViews>
  <sheetFormatPr defaultColWidth="8" defaultRowHeight="15"/>
  <cols>
    <col min="1" max="8" width="10.5546875" style="182" customWidth="1"/>
    <col min="9" max="9" width="14.109375" style="182" customWidth="1"/>
    <col min="10" max="10" width="22" style="182" customWidth="1"/>
    <col min="11" max="11" width="10.44140625" style="182" customWidth="1"/>
    <col min="12" max="12" width="8.33203125" style="182" customWidth="1"/>
    <col min="13" max="13" width="6.5546875" style="182" customWidth="1"/>
    <col min="14" max="14" width="1" style="182" customWidth="1"/>
    <col min="15" max="15" width="47.109375" style="182" customWidth="1"/>
    <col min="16" max="16" width="11.33203125" style="182" customWidth="1"/>
    <col min="17" max="17" width="14.5546875" style="182" customWidth="1"/>
    <col min="18" max="18" width="14.44140625" style="182" customWidth="1"/>
    <col min="19" max="19" width="7.33203125" style="182" customWidth="1"/>
    <col min="20" max="20" width="20.109375" style="182" customWidth="1"/>
    <col min="21" max="21" width="8" style="182" customWidth="1"/>
    <col min="22" max="22" width="17.33203125" style="182" customWidth="1"/>
    <col min="23" max="16384" width="8" style="182"/>
  </cols>
  <sheetData>
    <row r="1" spans="1:11">
      <c r="A1" s="214" t="str">
        <f>LOGO!B5</f>
        <v>DUKE ENERGY KENTUCKY, INC.</v>
      </c>
      <c r="B1" s="215"/>
      <c r="C1" s="215"/>
      <c r="D1" s="215"/>
      <c r="E1" s="215"/>
      <c r="F1" s="215"/>
      <c r="G1" s="215"/>
      <c r="H1" s="215"/>
      <c r="I1" s="215"/>
      <c r="J1" s="215"/>
    </row>
    <row r="2" spans="1:11">
      <c r="A2" s="214" t="str">
        <f>LOGO!B6</f>
        <v>CASE NO. 2018-00261</v>
      </c>
      <c r="B2" s="215"/>
      <c r="C2" s="215"/>
      <c r="D2" s="215"/>
      <c r="E2" s="215"/>
      <c r="F2" s="215"/>
      <c r="G2" s="215"/>
      <c r="H2" s="215"/>
      <c r="I2" s="215"/>
      <c r="J2" s="215"/>
    </row>
    <row r="3" spans="1:11">
      <c r="A3" s="1205" t="s">
        <v>2191</v>
      </c>
      <c r="B3" s="215"/>
      <c r="C3" s="215"/>
      <c r="D3" s="215"/>
      <c r="E3" s="215"/>
      <c r="F3" s="215"/>
      <c r="G3" s="215"/>
      <c r="H3" s="215"/>
      <c r="I3" s="215"/>
      <c r="J3" s="215"/>
    </row>
    <row r="4" spans="1:11">
      <c r="A4" s="163" t="str">
        <f>PeriodF</f>
        <v>FOR THE TWELVE MONTHS ENDED MARCH 31, 2020</v>
      </c>
      <c r="B4" s="215"/>
      <c r="C4" s="215"/>
      <c r="D4" s="215"/>
      <c r="E4" s="215"/>
      <c r="F4" s="215"/>
      <c r="G4" s="215"/>
      <c r="H4" s="215"/>
      <c r="I4" s="215"/>
      <c r="J4" s="215"/>
    </row>
    <row r="6" spans="1:11">
      <c r="A6" s="216" t="str">
        <f>DataF</f>
        <v>DATA:  BASE PERIOD  "X" FORECASTED PERIOD</v>
      </c>
      <c r="I6" s="217" t="s">
        <v>1244</v>
      </c>
    </row>
    <row r="7" spans="1:11">
      <c r="A7" s="216" t="str">
        <f>LOGO!B15</f>
        <v xml:space="preserve">TYPE OF FILING:  "X" ORIGINAL   UPDATED    REVISED  </v>
      </c>
      <c r="I7" s="217" t="s">
        <v>1777</v>
      </c>
    </row>
    <row r="8" spans="1:11">
      <c r="A8" s="1190" t="s">
        <v>852</v>
      </c>
      <c r="I8" s="217" t="s">
        <v>1778</v>
      </c>
    </row>
    <row r="9" spans="1:11">
      <c r="I9" s="217" t="str">
        <f>"        "&amp;_WIT1</f>
        <v xml:space="preserve">        S. E. LAWLER</v>
      </c>
    </row>
    <row r="10" spans="1:11">
      <c r="A10" s="218"/>
      <c r="B10" s="218"/>
      <c r="C10" s="218"/>
      <c r="D10" s="218"/>
      <c r="E10" s="218"/>
      <c r="F10" s="218"/>
      <c r="G10" s="218"/>
      <c r="H10" s="218"/>
      <c r="I10" s="218"/>
      <c r="J10" s="218"/>
      <c r="K10" s="181"/>
    </row>
    <row r="12" spans="1:11">
      <c r="A12" s="181" t="s">
        <v>1942</v>
      </c>
      <c r="J12" s="219" t="s">
        <v>2098</v>
      </c>
    </row>
    <row r="13" spans="1:11">
      <c r="A13" s="218"/>
      <c r="B13" s="218"/>
      <c r="C13" s="218"/>
      <c r="D13" s="218"/>
      <c r="E13" s="218"/>
      <c r="F13" s="218"/>
      <c r="G13" s="218"/>
      <c r="H13" s="218"/>
      <c r="I13" s="218"/>
      <c r="J13" s="218"/>
      <c r="K13" s="181"/>
    </row>
    <row r="14" spans="1:11">
      <c r="J14" s="220"/>
    </row>
    <row r="15" spans="1:11">
      <c r="A15" s="1207" t="s">
        <v>2192</v>
      </c>
    </row>
    <row r="16" spans="1:11">
      <c r="A16" s="221"/>
    </row>
    <row r="19" spans="1:10">
      <c r="A19" s="181" t="s">
        <v>2153</v>
      </c>
      <c r="I19" s="222"/>
      <c r="J19" s="3144">
        <v>0</v>
      </c>
    </row>
    <row r="20" spans="1:10">
      <c r="J20" s="224"/>
    </row>
    <row r="21" spans="1:10">
      <c r="J21" s="225"/>
    </row>
    <row r="22" spans="1:10">
      <c r="A22" s="181" t="s">
        <v>349</v>
      </c>
      <c r="J22" s="226">
        <f>VLOOKUP(D29,ALLOCTABLE,2)/100</f>
        <v>1</v>
      </c>
    </row>
    <row r="23" spans="1:10">
      <c r="J23" s="224"/>
    </row>
    <row r="24" spans="1:10">
      <c r="J24" s="227"/>
    </row>
    <row r="25" spans="1:10" ht="16.8">
      <c r="A25" s="181" t="s">
        <v>1934</v>
      </c>
      <c r="G25" s="181" t="s">
        <v>352</v>
      </c>
      <c r="I25" s="222"/>
      <c r="J25" s="210">
        <f>ROUND(+J19*J22,0)</f>
        <v>0</v>
      </c>
    </row>
    <row r="26" spans="1:10">
      <c r="J26" s="228"/>
    </row>
    <row r="29" spans="1:10">
      <c r="A29" s="182" t="s">
        <v>1935</v>
      </c>
      <c r="D29" s="229" t="s">
        <v>591</v>
      </c>
    </row>
    <row r="30" spans="1:10">
      <c r="A30" s="181"/>
    </row>
    <row r="36" spans="12:20">
      <c r="M36" s="1479"/>
      <c r="N36" s="1480"/>
      <c r="O36" s="1480"/>
      <c r="P36" s="1480"/>
      <c r="Q36" s="1480"/>
      <c r="R36" s="1480"/>
      <c r="S36" s="1481"/>
      <c r="T36" s="1480"/>
    </row>
    <row r="37" spans="12:20">
      <c r="M37" s="1479"/>
      <c r="N37" s="1480"/>
      <c r="O37" s="1480"/>
      <c r="P37" s="1480"/>
      <c r="Q37" s="1480"/>
      <c r="R37" s="1480"/>
      <c r="S37" s="1482"/>
      <c r="T37" s="1480"/>
    </row>
    <row r="38" spans="12:20">
      <c r="M38" s="1479"/>
      <c r="N38" s="1480"/>
      <c r="O38" s="1480"/>
      <c r="P38" s="1480"/>
      <c r="Q38" s="1480"/>
      <c r="R38" s="1480"/>
      <c r="S38" s="1482"/>
      <c r="T38" s="1480"/>
    </row>
    <row r="39" spans="12:20">
      <c r="M39" s="1479"/>
      <c r="N39" s="1480"/>
      <c r="O39" s="1480"/>
      <c r="P39" s="1480"/>
      <c r="Q39" s="1480"/>
      <c r="R39" s="1480"/>
      <c r="S39" s="1482"/>
      <c r="T39" s="1480"/>
    </row>
    <row r="40" spans="12:20">
      <c r="M40" s="1479"/>
      <c r="N40" s="1480"/>
      <c r="O40" s="1480"/>
      <c r="P40" s="1480"/>
      <c r="Q40" s="1480"/>
      <c r="R40" s="1480"/>
      <c r="S40" s="1480"/>
      <c r="T40" s="1480"/>
    </row>
    <row r="41" spans="12:20">
      <c r="M41" s="1480"/>
      <c r="N41" s="1480"/>
      <c r="O41" s="1480"/>
      <c r="P41" s="1480"/>
      <c r="Q41" s="1480"/>
      <c r="R41" s="1480"/>
      <c r="S41" s="1480"/>
      <c r="T41" s="1480"/>
    </row>
    <row r="42" spans="12:20">
      <c r="M42" s="1480"/>
      <c r="N42" s="1480"/>
      <c r="O42" s="1480"/>
      <c r="P42" s="1480"/>
      <c r="Q42" s="1483"/>
      <c r="R42" s="1483"/>
      <c r="S42" s="1480"/>
      <c r="T42" s="1480"/>
    </row>
    <row r="43" spans="12:20">
      <c r="M43" s="1484"/>
      <c r="N43" s="1484"/>
      <c r="O43" s="1484"/>
      <c r="P43" s="1484"/>
      <c r="Q43" s="1485"/>
      <c r="R43" s="1485"/>
      <c r="S43" s="1484"/>
      <c r="T43" s="1484"/>
    </row>
    <row r="44" spans="12:20">
      <c r="M44" s="1486"/>
      <c r="N44" s="1486"/>
      <c r="O44" s="1486"/>
      <c r="P44" s="1486"/>
      <c r="Q44" s="1486"/>
      <c r="R44" s="1486"/>
      <c r="S44" s="1486"/>
      <c r="T44" s="1486"/>
    </row>
    <row r="45" spans="12:20">
      <c r="M45" s="1487"/>
      <c r="N45" s="1486"/>
      <c r="O45" s="1487"/>
      <c r="P45" s="1484"/>
      <c r="Q45" s="1487"/>
      <c r="R45" s="1487"/>
      <c r="S45" s="1486"/>
      <c r="T45" s="1487"/>
    </row>
    <row r="46" spans="12:20">
      <c r="M46" s="1265"/>
      <c r="N46" s="1265"/>
      <c r="O46" s="1265"/>
      <c r="P46" s="1265"/>
      <c r="Q46" s="1265"/>
      <c r="R46" s="1265"/>
      <c r="S46" s="1265"/>
      <c r="T46" s="1265"/>
    </row>
    <row r="47" spans="12:20">
      <c r="L47" s="1138"/>
      <c r="M47" s="1262"/>
      <c r="N47" s="1263"/>
      <c r="O47" s="1480"/>
      <c r="P47" s="1262"/>
      <c r="Q47" s="1262"/>
      <c r="R47" s="1265"/>
      <c r="S47" s="1265"/>
      <c r="T47" s="1488"/>
    </row>
    <row r="48" spans="12:20">
      <c r="L48" s="1138"/>
      <c r="M48" s="1262"/>
      <c r="N48" s="1263"/>
      <c r="O48" s="1480"/>
      <c r="P48" s="1262"/>
      <c r="Q48" s="1262"/>
      <c r="R48" s="1265"/>
      <c r="S48" s="1265"/>
      <c r="T48" s="1488"/>
    </row>
    <row r="49" spans="11:22">
      <c r="L49" s="1138"/>
      <c r="M49" s="1262"/>
      <c r="N49" s="1263"/>
      <c r="O49" s="1480"/>
      <c r="P49" s="1262"/>
      <c r="Q49" s="1262"/>
      <c r="R49" s="1265"/>
      <c r="S49" s="1265"/>
      <c r="T49" s="1488"/>
    </row>
    <row r="50" spans="11:22">
      <c r="L50" s="1138"/>
      <c r="M50" s="1262"/>
      <c r="N50" s="1263"/>
      <c r="O50" s="1480"/>
      <c r="P50" s="1262"/>
      <c r="Q50" s="1262"/>
      <c r="R50" s="1265"/>
      <c r="S50" s="1265"/>
      <c r="T50" s="1265"/>
      <c r="U50" s="181"/>
    </row>
    <row r="51" spans="11:22">
      <c r="L51" s="1138"/>
      <c r="M51" s="1262"/>
      <c r="N51" s="1263"/>
      <c r="O51" s="1480"/>
      <c r="P51" s="1262"/>
      <c r="Q51" s="1262"/>
      <c r="R51" s="1265"/>
      <c r="S51" s="1265"/>
      <c r="T51" s="1266"/>
      <c r="U51" s="181"/>
    </row>
    <row r="52" spans="11:22">
      <c r="L52" s="1138"/>
      <c r="M52" s="1262"/>
      <c r="N52" s="1263"/>
      <c r="O52" s="1480"/>
      <c r="P52" s="1262"/>
      <c r="Q52" s="1262"/>
      <c r="R52" s="1265"/>
      <c r="S52" s="1265"/>
      <c r="T52" s="1265"/>
      <c r="U52" s="181"/>
    </row>
    <row r="53" spans="11:22">
      <c r="L53" s="1138"/>
      <c r="M53" s="1262"/>
      <c r="N53" s="1263"/>
      <c r="O53" s="1480"/>
      <c r="P53" s="1262"/>
      <c r="Q53" s="1262"/>
      <c r="R53" s="1265"/>
      <c r="S53" s="1265"/>
      <c r="T53" s="1488"/>
      <c r="U53" s="181"/>
    </row>
    <row r="54" spans="11:22">
      <c r="L54" s="1138"/>
      <c r="M54" s="1262"/>
      <c r="N54" s="1263"/>
      <c r="O54" s="1263"/>
      <c r="P54" s="1263"/>
      <c r="Q54" s="1489"/>
      <c r="R54" s="1265"/>
      <c r="S54" s="1265"/>
      <c r="T54" s="1265"/>
      <c r="U54" s="181"/>
    </row>
    <row r="55" spans="11:22">
      <c r="L55" s="1138"/>
      <c r="M55" s="1262"/>
      <c r="N55" s="1263"/>
      <c r="O55" s="1264"/>
      <c r="P55" s="1107"/>
      <c r="Q55" s="3143"/>
      <c r="R55" s="1265"/>
      <c r="S55" s="1265"/>
      <c r="T55" s="1490"/>
      <c r="U55" s="181"/>
      <c r="V55" s="181"/>
    </row>
    <row r="56" spans="11:22">
      <c r="L56" s="1138"/>
      <c r="M56" s="1262"/>
      <c r="N56" s="1263"/>
      <c r="O56" s="1264"/>
      <c r="P56" s="1107"/>
      <c r="Q56" s="1108"/>
      <c r="R56" s="1265"/>
      <c r="S56" s="1265"/>
      <c r="T56" s="1265"/>
      <c r="U56" s="181"/>
    </row>
    <row r="57" spans="11:22">
      <c r="L57" s="1138"/>
      <c r="M57" s="1262"/>
      <c r="N57" s="1263"/>
      <c r="O57" s="1264"/>
      <c r="P57" s="1107"/>
      <c r="Q57" s="1108"/>
      <c r="R57" s="1265"/>
      <c r="S57" s="1265"/>
      <c r="T57" s="1488"/>
      <c r="U57" s="181"/>
    </row>
    <row r="58" spans="11:22">
      <c r="L58" s="1138"/>
      <c r="M58" s="1262"/>
      <c r="N58" s="1263"/>
      <c r="O58" s="1264"/>
      <c r="P58" s="1107"/>
      <c r="Q58" s="1108"/>
      <c r="R58" s="1265"/>
      <c r="S58" s="1265"/>
      <c r="T58" s="1265"/>
      <c r="U58" s="181"/>
    </row>
    <row r="59" spans="11:22">
      <c r="L59" s="1138"/>
      <c r="M59" s="1262"/>
      <c r="N59" s="1263"/>
      <c r="O59" s="1264"/>
      <c r="P59" s="1107"/>
      <c r="Q59" s="1262"/>
      <c r="R59" s="1265"/>
      <c r="S59" s="1265"/>
      <c r="T59" s="1266"/>
      <c r="U59" s="181"/>
    </row>
    <row r="60" spans="11:22">
      <c r="L60" s="1139"/>
      <c r="M60" s="1491"/>
      <c r="N60" s="1263"/>
      <c r="O60" s="1264"/>
      <c r="P60" s="1107"/>
      <c r="Q60" s="1108"/>
      <c r="R60" s="1265"/>
      <c r="S60" s="1265"/>
      <c r="T60" s="1265"/>
    </row>
    <row r="61" spans="11:22">
      <c r="L61" s="1138"/>
      <c r="M61" s="1262"/>
      <c r="N61" s="1263"/>
      <c r="O61" s="1264"/>
      <c r="P61" s="1107"/>
      <c r="Q61" s="1108"/>
      <c r="R61" s="1265"/>
      <c r="S61" s="1265"/>
      <c r="T61" s="1492"/>
    </row>
    <row r="62" spans="11:22">
      <c r="L62" s="1138"/>
      <c r="M62" s="1491"/>
      <c r="N62" s="1263"/>
      <c r="O62" s="1264"/>
      <c r="P62" s="1107"/>
      <c r="Q62" s="1108"/>
      <c r="R62" s="1265"/>
      <c r="S62" s="1265"/>
      <c r="T62" s="1265"/>
    </row>
    <row r="63" spans="11:22">
      <c r="K63" s="1138"/>
    </row>
    <row r="64" spans="11:22">
      <c r="K64" s="1138"/>
    </row>
    <row r="65" spans="14:14">
      <c r="N65" s="181"/>
    </row>
  </sheetData>
  <phoneticPr fontId="4" type="noConversion"/>
  <pageMargins left="1" right="0.75" top="0.78740157480314998" bottom="0" header="0" footer="0"/>
  <pageSetup scale="72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>
    <tabColor theme="7" tint="0.39997558519241921"/>
    <pageSetUpPr fitToPage="1"/>
  </sheetPr>
  <dimension ref="A1:U163"/>
  <sheetViews>
    <sheetView zoomScale="75" workbookViewId="0"/>
  </sheetViews>
  <sheetFormatPr defaultColWidth="8" defaultRowHeight="15"/>
  <cols>
    <col min="1" max="8" width="10.5546875" style="182" customWidth="1"/>
    <col min="9" max="9" width="14.109375" style="182" customWidth="1"/>
    <col min="10" max="10" width="22" style="182" customWidth="1"/>
    <col min="11" max="11" width="10.44140625" style="182" customWidth="1"/>
    <col min="12" max="12" width="8.33203125" style="182" customWidth="1"/>
    <col min="13" max="13" width="6.5546875" style="182" customWidth="1"/>
    <col min="14" max="14" width="1" style="182" customWidth="1"/>
    <col min="15" max="15" width="11.33203125" style="182" customWidth="1"/>
    <col min="16" max="16" width="41.88671875" style="182" customWidth="1"/>
    <col min="17" max="17" width="2.6640625" style="182" customWidth="1"/>
    <col min="18" max="18" width="19.6640625" style="182" customWidth="1"/>
    <col min="19" max="19" width="3.6640625" style="182" customWidth="1"/>
    <col min="20" max="20" width="18.5546875" style="182" customWidth="1"/>
    <col min="21" max="21" width="17.33203125" style="182" customWidth="1"/>
    <col min="22" max="16384" width="8" style="182"/>
  </cols>
  <sheetData>
    <row r="1" spans="1:11">
      <c r="A1" s="214" t="str">
        <f>LOGO!B5</f>
        <v>DUKE ENERGY KENTUCKY, INC.</v>
      </c>
      <c r="B1" s="215"/>
      <c r="C1" s="215"/>
      <c r="D1" s="215"/>
      <c r="E1" s="215"/>
      <c r="F1" s="215"/>
      <c r="G1" s="215"/>
      <c r="H1" s="215"/>
      <c r="I1" s="215"/>
      <c r="J1" s="215"/>
    </row>
    <row r="2" spans="1:11">
      <c r="A2" s="214" t="str">
        <f>LOGO!B6</f>
        <v>CASE NO. 2018-00261</v>
      </c>
      <c r="B2" s="215"/>
      <c r="C2" s="215"/>
      <c r="D2" s="215"/>
      <c r="E2" s="215"/>
      <c r="F2" s="215"/>
      <c r="G2" s="215"/>
      <c r="H2" s="215"/>
      <c r="I2" s="215"/>
      <c r="J2" s="215"/>
    </row>
    <row r="3" spans="1:11">
      <c r="A3" s="1205" t="s">
        <v>2191</v>
      </c>
      <c r="B3" s="215"/>
      <c r="C3" s="215"/>
      <c r="D3" s="215"/>
      <c r="E3" s="215"/>
      <c r="F3" s="215"/>
      <c r="G3" s="215"/>
      <c r="H3" s="215"/>
      <c r="I3" s="215"/>
      <c r="J3" s="215"/>
    </row>
    <row r="4" spans="1:11">
      <c r="A4" s="163" t="str">
        <f>PeriodF</f>
        <v>FOR THE TWELVE MONTHS ENDED MARCH 31, 2020</v>
      </c>
      <c r="B4" s="215"/>
      <c r="C4" s="215"/>
      <c r="D4" s="215"/>
      <c r="E4" s="215"/>
      <c r="F4" s="215"/>
      <c r="G4" s="215"/>
      <c r="H4" s="215"/>
      <c r="I4" s="215"/>
      <c r="J4" s="215"/>
    </row>
    <row r="6" spans="1:11">
      <c r="A6" s="216" t="str">
        <f>DataF</f>
        <v>DATA:  BASE PERIOD  "X" FORECASTED PERIOD</v>
      </c>
      <c r="I6" s="217" t="s">
        <v>1329</v>
      </c>
    </row>
    <row r="7" spans="1:11">
      <c r="A7" s="216" t="str">
        <f>LOGO!B15</f>
        <v xml:space="preserve">TYPE OF FILING:  "X" ORIGINAL   UPDATED    REVISED  </v>
      </c>
      <c r="I7" s="217" t="s">
        <v>1777</v>
      </c>
    </row>
    <row r="8" spans="1:11">
      <c r="A8" s="1190" t="s">
        <v>852</v>
      </c>
      <c r="I8" s="217" t="s">
        <v>1778</v>
      </c>
    </row>
    <row r="9" spans="1:11">
      <c r="I9" s="217" t="str">
        <f>"        "&amp;_WIT1</f>
        <v xml:space="preserve">        S. E. LAWLER</v>
      </c>
    </row>
    <row r="10" spans="1:11">
      <c r="A10" s="218"/>
      <c r="B10" s="218"/>
      <c r="C10" s="218"/>
      <c r="D10" s="218"/>
      <c r="E10" s="218"/>
      <c r="F10" s="218"/>
      <c r="G10" s="218"/>
      <c r="H10" s="218"/>
      <c r="I10" s="218"/>
      <c r="J10" s="218"/>
      <c r="K10" s="181"/>
    </row>
    <row r="12" spans="1:11">
      <c r="A12" s="181" t="s">
        <v>1942</v>
      </c>
      <c r="J12" s="219" t="s">
        <v>2098</v>
      </c>
    </row>
    <row r="13" spans="1:11">
      <c r="A13" s="218"/>
      <c r="B13" s="218"/>
      <c r="C13" s="218"/>
      <c r="D13" s="218"/>
      <c r="E13" s="218"/>
      <c r="F13" s="218"/>
      <c r="G13" s="218"/>
      <c r="H13" s="218"/>
      <c r="I13" s="218"/>
      <c r="J13" s="218"/>
      <c r="K13" s="181"/>
    </row>
    <row r="14" spans="1:11">
      <c r="J14" s="220"/>
    </row>
    <row r="15" spans="1:11">
      <c r="A15" s="1087" t="s">
        <v>2192</v>
      </c>
    </row>
    <row r="16" spans="1:11">
      <c r="A16" s="221"/>
    </row>
    <row r="19" spans="1:10">
      <c r="A19" s="181" t="s">
        <v>2153</v>
      </c>
      <c r="I19" s="222"/>
      <c r="J19" s="223">
        <v>0</v>
      </c>
    </row>
    <row r="20" spans="1:10">
      <c r="J20" s="225"/>
    </row>
    <row r="21" spans="1:10">
      <c r="A21" s="181" t="s">
        <v>349</v>
      </c>
      <c r="J21" s="226">
        <f>VLOOKUP(D30,ALLOCTABLE,2)/100</f>
        <v>1</v>
      </c>
    </row>
    <row r="22" spans="1:10">
      <c r="J22" s="227"/>
    </row>
    <row r="23" spans="1:10" ht="16.8">
      <c r="A23" s="181" t="s">
        <v>1934</v>
      </c>
      <c r="G23" s="181" t="s">
        <v>352</v>
      </c>
      <c r="I23" s="222"/>
      <c r="J23" s="210">
        <f>ROUND(+J19*J21,0)</f>
        <v>0</v>
      </c>
    </row>
    <row r="24" spans="1:10">
      <c r="J24" s="228"/>
    </row>
    <row r="30" spans="1:10">
      <c r="A30" s="182" t="s">
        <v>1935</v>
      </c>
      <c r="D30" s="229" t="s">
        <v>591</v>
      </c>
    </row>
    <row r="31" spans="1:10">
      <c r="A31" s="181"/>
    </row>
    <row r="36" spans="12:20">
      <c r="L36" s="1165"/>
      <c r="M36" s="1165"/>
      <c r="N36" s="1165"/>
      <c r="O36" s="1165"/>
      <c r="P36" s="1165"/>
      <c r="Q36" s="1165"/>
      <c r="R36" s="1165"/>
      <c r="S36" s="1165"/>
    </row>
    <row r="37" spans="12:20">
      <c r="L37" s="1165"/>
      <c r="M37" s="1106"/>
      <c r="N37" s="1097"/>
      <c r="O37" s="1097"/>
      <c r="P37" s="1097"/>
      <c r="Q37" s="1097"/>
      <c r="R37" s="1166"/>
      <c r="S37" s="1097"/>
    </row>
    <row r="38" spans="12:20">
      <c r="L38" s="1165"/>
      <c r="M38" s="1106"/>
      <c r="N38" s="1097"/>
      <c r="O38" s="1097"/>
      <c r="P38" s="1097"/>
      <c r="Q38" s="1097"/>
      <c r="R38" s="1167"/>
      <c r="S38" s="1097"/>
    </row>
    <row r="39" spans="12:20">
      <c r="L39" s="1165"/>
      <c r="M39" s="1106"/>
      <c r="N39" s="1097"/>
      <c r="O39" s="1097"/>
      <c r="P39" s="1097"/>
      <c r="Q39" s="1097"/>
      <c r="R39" s="1167"/>
      <c r="S39" s="1097"/>
    </row>
    <row r="40" spans="12:20">
      <c r="L40" s="1165"/>
      <c r="M40" s="181"/>
      <c r="R40" s="1190"/>
      <c r="T40" s="165"/>
    </row>
    <row r="41" spans="12:20">
      <c r="L41" s="1165"/>
      <c r="M41" s="181"/>
      <c r="R41" s="181"/>
      <c r="T41" s="165"/>
    </row>
    <row r="42" spans="12:20">
      <c r="L42" s="1165"/>
      <c r="M42" s="181"/>
      <c r="T42" s="165"/>
    </row>
    <row r="43" spans="12:20">
      <c r="L43" s="1165"/>
      <c r="M43" s="181"/>
      <c r="R43" s="183"/>
      <c r="T43" s="165"/>
    </row>
    <row r="44" spans="12:20">
      <c r="L44" s="1165"/>
      <c r="M44" s="181"/>
      <c r="T44" s="165"/>
    </row>
    <row r="45" spans="12:20">
      <c r="L45" s="1165"/>
      <c r="M45" s="165"/>
      <c r="N45" s="165"/>
      <c r="O45" s="165"/>
      <c r="P45" s="165"/>
      <c r="Q45" s="165"/>
      <c r="R45" s="165"/>
      <c r="S45" s="165"/>
      <c r="T45" s="165"/>
    </row>
    <row r="46" spans="12:20">
      <c r="L46" s="1165"/>
      <c r="M46" s="165"/>
      <c r="N46" s="165"/>
      <c r="O46" s="165"/>
      <c r="P46" s="165"/>
      <c r="Q46" s="165"/>
      <c r="R46" s="165"/>
      <c r="S46" s="165"/>
      <c r="T46" s="165"/>
    </row>
    <row r="47" spans="12:20">
      <c r="L47" s="1165"/>
      <c r="M47" s="184"/>
      <c r="N47" s="184"/>
      <c r="O47" s="184"/>
      <c r="P47" s="184"/>
      <c r="Q47" s="184"/>
      <c r="R47" s="1222"/>
      <c r="S47" s="184"/>
      <c r="T47" s="184"/>
    </row>
    <row r="48" spans="12:20">
      <c r="L48" s="1169"/>
      <c r="M48" s="185"/>
      <c r="N48" s="185"/>
      <c r="O48" s="727"/>
      <c r="P48" s="728"/>
      <c r="Q48" s="185"/>
      <c r="R48" s="185"/>
      <c r="S48" s="185"/>
      <c r="T48" s="185"/>
    </row>
    <row r="49" spans="11:21">
      <c r="L49" s="1169"/>
      <c r="M49" s="185"/>
      <c r="N49" s="185"/>
      <c r="O49" s="727"/>
      <c r="P49" s="728"/>
      <c r="Q49" s="185"/>
      <c r="R49" s="185"/>
      <c r="S49" s="185"/>
      <c r="T49" s="185"/>
    </row>
    <row r="50" spans="11:21">
      <c r="L50" s="1169"/>
      <c r="M50" s="184"/>
      <c r="N50" s="165"/>
      <c r="O50" s="729"/>
      <c r="P50" s="1190"/>
      <c r="Q50" s="165"/>
      <c r="R50" s="1173"/>
      <c r="S50" s="165"/>
      <c r="T50" s="178"/>
    </row>
    <row r="51" spans="11:21">
      <c r="L51" s="1169"/>
      <c r="M51" s="184"/>
      <c r="N51" s="165"/>
      <c r="O51" s="165"/>
      <c r="P51" s="165"/>
      <c r="Q51" s="165"/>
      <c r="R51" s="165"/>
      <c r="S51" s="165"/>
      <c r="T51" s="165"/>
    </row>
    <row r="52" spans="11:21">
      <c r="L52" s="1169"/>
      <c r="M52" s="165"/>
      <c r="N52" s="165"/>
      <c r="O52" s="165"/>
      <c r="P52" s="165"/>
      <c r="Q52" s="165"/>
      <c r="R52" s="165"/>
      <c r="S52" s="165"/>
      <c r="T52" s="165"/>
      <c r="U52" s="181"/>
    </row>
    <row r="53" spans="11:21">
      <c r="L53" s="1169"/>
      <c r="M53" s="165"/>
      <c r="N53" s="165"/>
      <c r="O53" s="165"/>
      <c r="P53" s="165"/>
      <c r="Q53" s="165"/>
      <c r="R53" s="165"/>
      <c r="S53" s="165"/>
      <c r="T53" s="165"/>
    </row>
    <row r="54" spans="11:21">
      <c r="L54" s="1169"/>
      <c r="M54" s="165"/>
      <c r="N54" s="165"/>
      <c r="O54" s="165"/>
      <c r="P54" s="165"/>
      <c r="Q54" s="165"/>
      <c r="R54" s="165"/>
      <c r="S54" s="165"/>
      <c r="T54" s="184"/>
    </row>
    <row r="55" spans="11:21">
      <c r="L55" s="1169"/>
      <c r="M55" s="1096"/>
      <c r="N55" s="1097"/>
      <c r="O55" s="1102"/>
      <c r="P55" s="1104"/>
      <c r="Q55" s="1165"/>
      <c r="R55" s="1165"/>
      <c r="S55" s="1165"/>
      <c r="T55" s="181"/>
    </row>
    <row r="56" spans="11:21">
      <c r="L56" s="1169"/>
      <c r="M56" s="1096"/>
      <c r="N56" s="1097"/>
      <c r="O56" s="1102"/>
      <c r="P56" s="1096"/>
      <c r="Q56" s="1165"/>
      <c r="R56" s="1165"/>
      <c r="S56" s="1147"/>
      <c r="T56" s="181"/>
    </row>
    <row r="57" spans="11:21">
      <c r="L57" s="1170"/>
      <c r="M57" s="1106"/>
      <c r="N57" s="1097"/>
      <c r="O57" s="1102"/>
      <c r="P57" s="1104"/>
      <c r="Q57" s="1165"/>
      <c r="R57" s="1165"/>
      <c r="S57" s="1165"/>
    </row>
    <row r="58" spans="11:21">
      <c r="L58" s="1169"/>
      <c r="M58" s="1096"/>
      <c r="N58" s="1097"/>
      <c r="O58" s="1102"/>
      <c r="P58" s="1104"/>
      <c r="Q58" s="1165"/>
      <c r="R58" s="1165"/>
      <c r="S58" s="1171"/>
    </row>
    <row r="59" spans="11:21">
      <c r="L59" s="1169"/>
      <c r="M59" s="1106"/>
      <c r="N59" s="1097"/>
      <c r="O59" s="1102"/>
      <c r="P59" s="1104"/>
      <c r="Q59" s="1165"/>
      <c r="R59" s="1165"/>
      <c r="S59" s="1165"/>
    </row>
    <row r="60" spans="11:21">
      <c r="K60" s="1138"/>
      <c r="L60" s="1165"/>
      <c r="M60" s="1165"/>
      <c r="N60" s="1165"/>
      <c r="O60" s="1165"/>
      <c r="P60" s="1165"/>
      <c r="Q60" s="1165"/>
      <c r="R60" s="1165"/>
      <c r="S60" s="1165"/>
    </row>
    <row r="61" spans="11:21">
      <c r="K61" s="1138"/>
      <c r="L61" s="1165"/>
      <c r="M61" s="1165"/>
      <c r="N61" s="1165"/>
      <c r="O61" s="1165"/>
      <c r="P61" s="1165"/>
      <c r="Q61" s="1165"/>
      <c r="R61" s="1165"/>
      <c r="S61" s="1165"/>
    </row>
    <row r="62" spans="11:21">
      <c r="L62" s="1165"/>
      <c r="M62" s="1165"/>
      <c r="N62" s="1172"/>
      <c r="O62" s="1165"/>
      <c r="P62" s="1165"/>
      <c r="Q62" s="1165"/>
      <c r="R62" s="1165"/>
      <c r="S62" s="1165"/>
    </row>
    <row r="63" spans="11:21">
      <c r="L63" s="1165"/>
      <c r="M63" s="1165"/>
      <c r="N63" s="1165"/>
      <c r="O63" s="1165"/>
      <c r="P63" s="1165"/>
      <c r="Q63" s="1165"/>
      <c r="R63" s="1165"/>
      <c r="S63" s="1165"/>
    </row>
    <row r="64" spans="11:21">
      <c r="L64" s="1165"/>
      <c r="M64" s="1165"/>
      <c r="N64" s="1165"/>
      <c r="O64" s="1165"/>
      <c r="P64" s="1165"/>
      <c r="Q64" s="1165"/>
      <c r="R64" s="1165"/>
      <c r="S64" s="1165"/>
    </row>
    <row r="65" spans="12:19">
      <c r="L65" s="1165"/>
      <c r="M65" s="1165"/>
      <c r="N65" s="1165"/>
      <c r="O65" s="1165"/>
      <c r="P65" s="1165"/>
      <c r="Q65" s="1165"/>
      <c r="R65" s="1165"/>
      <c r="S65" s="1165"/>
    </row>
    <row r="66" spans="12:19">
      <c r="L66" s="1165"/>
      <c r="M66" s="1165"/>
      <c r="N66" s="1165"/>
      <c r="O66" s="1165"/>
      <c r="P66" s="1165"/>
      <c r="Q66" s="1165"/>
      <c r="R66" s="1165"/>
      <c r="S66" s="1165"/>
    </row>
    <row r="67" spans="12:19">
      <c r="L67" s="1165"/>
      <c r="M67" s="1165"/>
      <c r="N67" s="1165"/>
      <c r="O67" s="1165"/>
      <c r="P67" s="1165"/>
      <c r="Q67" s="1165"/>
      <c r="R67" s="1165"/>
      <c r="S67" s="1165"/>
    </row>
    <row r="68" spans="12:19">
      <c r="L68" s="1165"/>
      <c r="M68" s="1165"/>
      <c r="N68" s="1165"/>
      <c r="O68" s="1165"/>
      <c r="P68" s="1165"/>
      <c r="Q68" s="1165"/>
      <c r="R68" s="1165"/>
      <c r="S68" s="1165"/>
    </row>
    <row r="69" spans="12:19">
      <c r="L69" s="1165"/>
      <c r="M69" s="1165"/>
      <c r="N69" s="1165"/>
      <c r="O69" s="1165"/>
      <c r="P69" s="1165"/>
      <c r="Q69" s="1165"/>
      <c r="R69" s="1165"/>
      <c r="S69" s="1165"/>
    </row>
    <row r="70" spans="12:19">
      <c r="L70" s="1165"/>
      <c r="M70" s="1165"/>
      <c r="N70" s="1165"/>
      <c r="O70" s="1165"/>
      <c r="P70" s="1165"/>
      <c r="Q70" s="1165"/>
      <c r="R70" s="1165"/>
      <c r="S70" s="1165"/>
    </row>
    <row r="71" spans="12:19">
      <c r="L71" s="1165"/>
      <c r="M71" s="1165"/>
      <c r="N71" s="1165"/>
      <c r="O71" s="1165"/>
      <c r="P71" s="1165"/>
      <c r="Q71" s="1165"/>
      <c r="R71" s="1165"/>
      <c r="S71" s="1165"/>
    </row>
    <row r="72" spans="12:19">
      <c r="L72" s="1165"/>
      <c r="M72" s="1165"/>
      <c r="N72" s="1165"/>
      <c r="O72" s="1165"/>
      <c r="P72" s="1165"/>
      <c r="Q72" s="1165"/>
      <c r="R72" s="1165"/>
      <c r="S72" s="1165"/>
    </row>
    <row r="73" spans="12:19">
      <c r="L73" s="1165"/>
      <c r="M73" s="1165"/>
      <c r="N73" s="1165"/>
      <c r="O73" s="1165"/>
      <c r="P73" s="1165"/>
      <c r="Q73" s="1165"/>
      <c r="R73" s="1165"/>
      <c r="S73" s="1165"/>
    </row>
    <row r="74" spans="12:19">
      <c r="L74" s="1165"/>
      <c r="M74" s="1165"/>
      <c r="N74" s="1165"/>
      <c r="O74" s="1165"/>
      <c r="P74" s="1165"/>
      <c r="Q74" s="1165"/>
      <c r="R74" s="1165"/>
      <c r="S74" s="1165"/>
    </row>
    <row r="75" spans="12:19">
      <c r="L75" s="1165"/>
      <c r="M75" s="1165"/>
      <c r="N75" s="1165"/>
      <c r="O75" s="1165"/>
      <c r="P75" s="1165"/>
      <c r="Q75" s="1165"/>
      <c r="R75" s="1165"/>
      <c r="S75" s="1165"/>
    </row>
    <row r="76" spans="12:19">
      <c r="L76" s="1165"/>
      <c r="M76" s="1165"/>
      <c r="N76" s="1165"/>
      <c r="O76" s="1165"/>
      <c r="P76" s="1165"/>
      <c r="Q76" s="1165"/>
      <c r="R76" s="1165"/>
      <c r="S76" s="1165"/>
    </row>
    <row r="77" spans="12:19">
      <c r="L77" s="1165"/>
      <c r="M77" s="1165"/>
      <c r="N77" s="1165"/>
      <c r="O77" s="1165"/>
      <c r="P77" s="1165"/>
      <c r="Q77" s="1165"/>
      <c r="R77" s="1165"/>
      <c r="S77" s="1165"/>
    </row>
    <row r="78" spans="12:19">
      <c r="L78" s="1165"/>
      <c r="M78" s="1165"/>
      <c r="N78" s="1165"/>
      <c r="O78" s="1165"/>
      <c r="P78" s="1165"/>
      <c r="Q78" s="1165"/>
      <c r="R78" s="1165"/>
      <c r="S78" s="1165"/>
    </row>
    <row r="79" spans="12:19">
      <c r="L79" s="1165"/>
      <c r="M79" s="1165"/>
      <c r="N79" s="1165"/>
      <c r="O79" s="1165"/>
      <c r="P79" s="1165"/>
      <c r="Q79" s="1165"/>
      <c r="R79" s="1165"/>
      <c r="S79" s="1165"/>
    </row>
    <row r="80" spans="12:19">
      <c r="L80" s="1165"/>
      <c r="M80" s="1165"/>
      <c r="N80" s="1165"/>
      <c r="O80" s="1165"/>
      <c r="P80" s="1165"/>
      <c r="Q80" s="1165"/>
      <c r="R80" s="1165"/>
      <c r="S80" s="1165"/>
    </row>
    <row r="81" spans="12:19">
      <c r="L81" s="1165"/>
      <c r="M81" s="1165"/>
      <c r="N81" s="1165"/>
      <c r="O81" s="1165"/>
      <c r="P81" s="1165"/>
      <c r="Q81" s="1165"/>
      <c r="R81" s="1165"/>
      <c r="S81" s="1165"/>
    </row>
    <row r="82" spans="12:19">
      <c r="L82" s="1165"/>
      <c r="M82" s="1165"/>
      <c r="N82" s="1165"/>
      <c r="O82" s="1165"/>
      <c r="P82" s="1165"/>
      <c r="Q82" s="1165"/>
      <c r="R82" s="1165"/>
      <c r="S82" s="1165"/>
    </row>
    <row r="83" spans="12:19">
      <c r="L83" s="1165"/>
      <c r="M83" s="1165"/>
      <c r="N83" s="1165"/>
      <c r="O83" s="1165"/>
      <c r="P83" s="1165"/>
      <c r="Q83" s="1165"/>
      <c r="R83" s="1165"/>
      <c r="S83" s="1165"/>
    </row>
    <row r="84" spans="12:19">
      <c r="L84" s="1165"/>
      <c r="M84" s="1165"/>
      <c r="N84" s="1165"/>
      <c r="O84" s="1165"/>
      <c r="P84" s="1165"/>
      <c r="Q84" s="1165"/>
      <c r="R84" s="1165"/>
      <c r="S84" s="1165"/>
    </row>
    <row r="85" spans="12:19">
      <c r="L85" s="1165"/>
      <c r="M85" s="1165"/>
      <c r="N85" s="1165"/>
      <c r="O85" s="1165"/>
      <c r="P85" s="1165"/>
      <c r="Q85" s="1165"/>
      <c r="R85" s="1165"/>
      <c r="S85" s="1165"/>
    </row>
    <row r="86" spans="12:19">
      <c r="L86" s="1165"/>
      <c r="M86" s="1165"/>
      <c r="N86" s="1165"/>
      <c r="O86" s="1165"/>
      <c r="P86" s="1165"/>
      <c r="Q86" s="1165"/>
      <c r="R86" s="1165"/>
      <c r="S86" s="1165"/>
    </row>
    <row r="87" spans="12:19">
      <c r="L87" s="1165"/>
      <c r="M87" s="1165"/>
      <c r="N87" s="1165"/>
      <c r="O87" s="1165"/>
      <c r="P87" s="1165"/>
      <c r="Q87" s="1165"/>
      <c r="R87" s="1165"/>
      <c r="S87" s="1165"/>
    </row>
    <row r="88" spans="12:19">
      <c r="L88" s="1165"/>
      <c r="M88" s="1165"/>
      <c r="N88" s="1165"/>
      <c r="O88" s="1165"/>
      <c r="P88" s="1165"/>
      <c r="Q88" s="1165"/>
      <c r="R88" s="1165"/>
      <c r="S88" s="1165"/>
    </row>
    <row r="89" spans="12:19">
      <c r="L89" s="1165"/>
      <c r="M89" s="1165"/>
      <c r="N89" s="1165"/>
      <c r="O89" s="1165"/>
      <c r="P89" s="1165"/>
      <c r="Q89" s="1165"/>
      <c r="R89" s="1165"/>
      <c r="S89" s="1165"/>
    </row>
    <row r="90" spans="12:19">
      <c r="L90" s="1165"/>
      <c r="M90" s="1165"/>
      <c r="N90" s="1165"/>
      <c r="O90" s="1165"/>
      <c r="P90" s="1165"/>
      <c r="Q90" s="1165"/>
      <c r="R90" s="1165"/>
      <c r="S90" s="1165"/>
    </row>
    <row r="91" spans="12:19">
      <c r="L91" s="1165"/>
      <c r="M91" s="1165"/>
      <c r="N91" s="1165"/>
      <c r="O91" s="1165"/>
      <c r="P91" s="1165"/>
      <c r="Q91" s="1165"/>
      <c r="R91" s="1165"/>
      <c r="S91" s="1165"/>
    </row>
    <row r="92" spans="12:19">
      <c r="L92" s="1165"/>
      <c r="M92" s="1165"/>
      <c r="N92" s="1165"/>
      <c r="O92" s="1165"/>
      <c r="P92" s="1165"/>
      <c r="Q92" s="1165"/>
      <c r="R92" s="1165"/>
      <c r="S92" s="1165"/>
    </row>
    <row r="93" spans="12:19">
      <c r="L93" s="1165"/>
      <c r="M93" s="1165"/>
      <c r="N93" s="1165"/>
      <c r="O93" s="1165"/>
      <c r="P93" s="1165"/>
      <c r="Q93" s="1165"/>
      <c r="R93" s="1165"/>
      <c r="S93" s="1165"/>
    </row>
    <row r="94" spans="12:19">
      <c r="L94" s="1165"/>
      <c r="M94" s="1165"/>
      <c r="N94" s="1165"/>
      <c r="O94" s="1165"/>
      <c r="P94" s="1165"/>
      <c r="Q94" s="1165"/>
      <c r="R94" s="1165"/>
      <c r="S94" s="1165"/>
    </row>
    <row r="95" spans="12:19">
      <c r="L95" s="1165"/>
      <c r="M95" s="1165"/>
      <c r="N95" s="1165"/>
      <c r="O95" s="1165"/>
      <c r="P95" s="1165"/>
      <c r="Q95" s="1165"/>
      <c r="R95" s="1165"/>
      <c r="S95" s="1165"/>
    </row>
    <row r="96" spans="12:19">
      <c r="L96" s="1165"/>
      <c r="M96" s="1165"/>
      <c r="N96" s="1165"/>
      <c r="O96" s="1165"/>
      <c r="P96" s="1165"/>
      <c r="Q96" s="1165"/>
      <c r="R96" s="1165"/>
      <c r="S96" s="1165"/>
    </row>
    <row r="97" spans="12:19">
      <c r="L97" s="1165"/>
      <c r="M97" s="1165"/>
      <c r="N97" s="1165"/>
      <c r="O97" s="1165"/>
      <c r="P97" s="1165"/>
      <c r="Q97" s="1165"/>
      <c r="R97" s="1165"/>
      <c r="S97" s="1165"/>
    </row>
    <row r="98" spans="12:19">
      <c r="L98" s="1165"/>
      <c r="M98" s="1165"/>
      <c r="N98" s="1165"/>
      <c r="O98" s="1165"/>
      <c r="P98" s="1165"/>
      <c r="Q98" s="1165"/>
      <c r="R98" s="1165"/>
      <c r="S98" s="1165"/>
    </row>
    <row r="99" spans="12:19">
      <c r="L99" s="1165"/>
      <c r="M99" s="1165"/>
      <c r="N99" s="1165"/>
      <c r="O99" s="1165"/>
      <c r="P99" s="1165"/>
      <c r="Q99" s="1165"/>
      <c r="R99" s="1165"/>
      <c r="S99" s="1165"/>
    </row>
    <row r="100" spans="12:19">
      <c r="L100" s="1165"/>
      <c r="M100" s="1165"/>
      <c r="N100" s="1165"/>
      <c r="O100" s="1165"/>
      <c r="P100" s="1165"/>
      <c r="Q100" s="1165"/>
      <c r="R100" s="1165"/>
      <c r="S100" s="1165"/>
    </row>
    <row r="101" spans="12:19">
      <c r="L101" s="1165"/>
      <c r="M101" s="1165"/>
      <c r="N101" s="1165"/>
      <c r="O101" s="1165"/>
      <c r="P101" s="1165"/>
      <c r="Q101" s="1165"/>
      <c r="R101" s="1165"/>
      <c r="S101" s="1165"/>
    </row>
    <row r="102" spans="12:19">
      <c r="L102" s="1165"/>
      <c r="M102" s="1165"/>
      <c r="N102" s="1165"/>
      <c r="O102" s="1165"/>
      <c r="P102" s="1165"/>
      <c r="Q102" s="1165"/>
      <c r="R102" s="1165"/>
      <c r="S102" s="1165"/>
    </row>
    <row r="103" spans="12:19">
      <c r="L103" s="1165"/>
      <c r="M103" s="1165"/>
      <c r="N103" s="1165"/>
      <c r="O103" s="1165"/>
      <c r="P103" s="1165"/>
      <c r="Q103" s="1165"/>
      <c r="R103" s="1165"/>
      <c r="S103" s="1165"/>
    </row>
    <row r="104" spans="12:19">
      <c r="L104" s="1165"/>
      <c r="M104" s="1165"/>
      <c r="N104" s="1165"/>
      <c r="O104" s="1165"/>
      <c r="P104" s="1165"/>
      <c r="Q104" s="1165"/>
      <c r="R104" s="1165"/>
      <c r="S104" s="1165"/>
    </row>
    <row r="105" spans="12:19">
      <c r="L105" s="1165"/>
      <c r="M105" s="1165"/>
      <c r="N105" s="1165"/>
      <c r="O105" s="1165"/>
      <c r="P105" s="1165"/>
      <c r="Q105" s="1165"/>
      <c r="R105" s="1165"/>
      <c r="S105" s="1165"/>
    </row>
    <row r="106" spans="12:19">
      <c r="L106" s="1165"/>
      <c r="M106" s="1165"/>
      <c r="N106" s="1165"/>
      <c r="O106" s="1165"/>
      <c r="P106" s="1165"/>
      <c r="Q106" s="1165"/>
      <c r="R106" s="1165"/>
      <c r="S106" s="1165"/>
    </row>
    <row r="107" spans="12:19">
      <c r="L107" s="1165"/>
      <c r="M107" s="1165"/>
      <c r="N107" s="1165"/>
      <c r="O107" s="1165"/>
      <c r="P107" s="1165"/>
      <c r="Q107" s="1165"/>
      <c r="R107" s="1165"/>
      <c r="S107" s="1165"/>
    </row>
    <row r="108" spans="12:19">
      <c r="L108" s="1165"/>
      <c r="M108" s="1165"/>
      <c r="N108" s="1165"/>
      <c r="O108" s="1165"/>
      <c r="P108" s="1165"/>
      <c r="Q108" s="1165"/>
      <c r="R108" s="1165"/>
      <c r="S108" s="1165"/>
    </row>
    <row r="109" spans="12:19">
      <c r="L109" s="1165"/>
      <c r="M109" s="1165"/>
      <c r="N109" s="1165"/>
      <c r="O109" s="1165"/>
      <c r="P109" s="1165"/>
      <c r="Q109" s="1165"/>
      <c r="R109" s="1165"/>
      <c r="S109" s="1165"/>
    </row>
    <row r="110" spans="12:19">
      <c r="L110" s="1165"/>
      <c r="M110" s="1165"/>
      <c r="N110" s="1165"/>
      <c r="O110" s="1165"/>
      <c r="P110" s="1165"/>
      <c r="Q110" s="1165"/>
      <c r="R110" s="1165"/>
      <c r="S110" s="1165"/>
    </row>
    <row r="111" spans="12:19">
      <c r="L111" s="1165"/>
      <c r="M111" s="1165"/>
      <c r="N111" s="1165"/>
      <c r="O111" s="1165"/>
      <c r="P111" s="1165"/>
      <c r="Q111" s="1165"/>
      <c r="R111" s="1165"/>
      <c r="S111" s="1165"/>
    </row>
    <row r="112" spans="12:19">
      <c r="L112" s="1165"/>
      <c r="M112" s="1165"/>
      <c r="N112" s="1165"/>
      <c r="O112" s="1165"/>
      <c r="P112" s="1165"/>
      <c r="Q112" s="1165"/>
      <c r="R112" s="1165"/>
      <c r="S112" s="1165"/>
    </row>
    <row r="113" spans="12:19">
      <c r="L113" s="1165"/>
      <c r="M113" s="1165"/>
      <c r="N113" s="1165"/>
      <c r="O113" s="1165"/>
      <c r="P113" s="1165"/>
      <c r="Q113" s="1165"/>
      <c r="R113" s="1165"/>
      <c r="S113" s="1165"/>
    </row>
    <row r="114" spans="12:19">
      <c r="L114" s="1165"/>
      <c r="M114" s="1165"/>
      <c r="N114" s="1165"/>
      <c r="O114" s="1165"/>
      <c r="P114" s="1165"/>
      <c r="Q114" s="1165"/>
      <c r="R114" s="1165"/>
      <c r="S114" s="1165"/>
    </row>
    <row r="115" spans="12:19">
      <c r="L115" s="1165"/>
      <c r="M115" s="1165"/>
      <c r="N115" s="1165"/>
      <c r="O115" s="1165"/>
      <c r="P115" s="1165"/>
      <c r="Q115" s="1165"/>
      <c r="R115" s="1165"/>
      <c r="S115" s="1165"/>
    </row>
    <row r="116" spans="12:19">
      <c r="L116" s="1165"/>
      <c r="M116" s="1165"/>
      <c r="N116" s="1165"/>
      <c r="O116" s="1165"/>
      <c r="P116" s="1165"/>
      <c r="Q116" s="1165"/>
      <c r="R116" s="1165"/>
      <c r="S116" s="1165"/>
    </row>
    <row r="117" spans="12:19">
      <c r="L117" s="1165"/>
      <c r="M117" s="1165"/>
      <c r="N117" s="1165"/>
      <c r="O117" s="1165"/>
      <c r="P117" s="1165"/>
      <c r="Q117" s="1165"/>
      <c r="R117" s="1165"/>
      <c r="S117" s="1165"/>
    </row>
    <row r="118" spans="12:19">
      <c r="L118" s="1165"/>
      <c r="M118" s="1165"/>
      <c r="N118" s="1165"/>
      <c r="O118" s="1165"/>
      <c r="P118" s="1165"/>
      <c r="Q118" s="1165"/>
      <c r="R118" s="1165"/>
      <c r="S118" s="1165"/>
    </row>
    <row r="119" spans="12:19">
      <c r="L119" s="1165"/>
      <c r="M119" s="1165"/>
      <c r="N119" s="1165"/>
      <c r="O119" s="1165"/>
      <c r="P119" s="1165"/>
      <c r="Q119" s="1165"/>
      <c r="R119" s="1165"/>
      <c r="S119" s="1165"/>
    </row>
    <row r="120" spans="12:19">
      <c r="L120" s="1165"/>
      <c r="M120" s="1165"/>
      <c r="N120" s="1165"/>
      <c r="O120" s="1165"/>
      <c r="P120" s="1165"/>
      <c r="Q120" s="1165"/>
      <c r="R120" s="1165"/>
      <c r="S120" s="1165"/>
    </row>
    <row r="121" spans="12:19">
      <c r="L121" s="1165"/>
      <c r="M121" s="1165"/>
      <c r="N121" s="1165"/>
      <c r="O121" s="1165"/>
      <c r="P121" s="1165"/>
      <c r="Q121" s="1165"/>
      <c r="R121" s="1165"/>
      <c r="S121" s="1165"/>
    </row>
    <row r="122" spans="12:19">
      <c r="L122" s="1165"/>
      <c r="M122" s="1165"/>
      <c r="N122" s="1165"/>
      <c r="O122" s="1165"/>
      <c r="P122" s="1165"/>
      <c r="Q122" s="1165"/>
      <c r="R122" s="1165"/>
      <c r="S122" s="1165"/>
    </row>
    <row r="123" spans="12:19">
      <c r="L123" s="1165"/>
      <c r="M123" s="1165"/>
      <c r="N123" s="1165"/>
      <c r="O123" s="1165"/>
      <c r="P123" s="1165"/>
      <c r="Q123" s="1165"/>
      <c r="R123" s="1165"/>
      <c r="S123" s="1165"/>
    </row>
    <row r="124" spans="12:19">
      <c r="L124" s="1165"/>
      <c r="M124" s="1165"/>
      <c r="N124" s="1165"/>
      <c r="O124" s="1165"/>
      <c r="P124" s="1165"/>
      <c r="Q124" s="1165"/>
      <c r="R124" s="1165"/>
      <c r="S124" s="1165"/>
    </row>
    <row r="125" spans="12:19">
      <c r="L125" s="1165"/>
      <c r="M125" s="1165"/>
      <c r="N125" s="1165"/>
      <c r="O125" s="1165"/>
      <c r="P125" s="1165"/>
      <c r="Q125" s="1165"/>
      <c r="R125" s="1165"/>
      <c r="S125" s="1165"/>
    </row>
    <row r="126" spans="12:19">
      <c r="L126" s="1165"/>
      <c r="M126" s="1165"/>
      <c r="N126" s="1165"/>
      <c r="O126" s="1165"/>
      <c r="P126" s="1165"/>
      <c r="Q126" s="1165"/>
      <c r="R126" s="1165"/>
      <c r="S126" s="1165"/>
    </row>
    <row r="127" spans="12:19">
      <c r="L127" s="1165"/>
      <c r="M127" s="1165"/>
      <c r="N127" s="1165"/>
      <c r="O127" s="1165"/>
      <c r="P127" s="1165"/>
      <c r="Q127" s="1165"/>
      <c r="R127" s="1165"/>
      <c r="S127" s="1165"/>
    </row>
    <row r="128" spans="12:19">
      <c r="L128" s="1165"/>
      <c r="M128" s="1165"/>
      <c r="N128" s="1165"/>
      <c r="O128" s="1165"/>
      <c r="P128" s="1165"/>
      <c r="Q128" s="1165"/>
      <c r="R128" s="1165"/>
      <c r="S128" s="1165"/>
    </row>
    <row r="129" spans="12:19">
      <c r="L129" s="1165"/>
      <c r="M129" s="1165"/>
      <c r="N129" s="1165"/>
      <c r="O129" s="1165"/>
      <c r="P129" s="1165"/>
      <c r="Q129" s="1165"/>
      <c r="R129" s="1165"/>
      <c r="S129" s="1165"/>
    </row>
    <row r="130" spans="12:19">
      <c r="L130" s="1165"/>
      <c r="M130" s="1165"/>
      <c r="N130" s="1165"/>
      <c r="O130" s="1165"/>
      <c r="P130" s="1165"/>
      <c r="Q130" s="1165"/>
      <c r="R130" s="1165"/>
      <c r="S130" s="1165"/>
    </row>
    <row r="131" spans="12:19">
      <c r="L131" s="1165"/>
      <c r="M131" s="1165"/>
      <c r="N131" s="1165"/>
      <c r="O131" s="1165"/>
      <c r="P131" s="1165"/>
      <c r="Q131" s="1165"/>
      <c r="R131" s="1165"/>
      <c r="S131" s="1165"/>
    </row>
    <row r="132" spans="12:19">
      <c r="L132" s="1165"/>
      <c r="M132" s="1165"/>
      <c r="N132" s="1165"/>
      <c r="O132" s="1165"/>
      <c r="P132" s="1165"/>
      <c r="Q132" s="1165"/>
      <c r="R132" s="1165"/>
      <c r="S132" s="1165"/>
    </row>
    <row r="133" spans="12:19">
      <c r="L133" s="1165"/>
      <c r="M133" s="1165"/>
      <c r="N133" s="1165"/>
      <c r="O133" s="1165"/>
      <c r="P133" s="1165"/>
      <c r="Q133" s="1165"/>
      <c r="R133" s="1165"/>
      <c r="S133" s="1165"/>
    </row>
    <row r="134" spans="12:19">
      <c r="L134" s="1165"/>
      <c r="M134" s="1165"/>
      <c r="N134" s="1165"/>
      <c r="O134" s="1165"/>
      <c r="P134" s="1165"/>
      <c r="Q134" s="1165"/>
      <c r="R134" s="1165"/>
      <c r="S134" s="1165"/>
    </row>
    <row r="135" spans="12:19">
      <c r="L135" s="1165"/>
      <c r="M135" s="1165"/>
      <c r="N135" s="1165"/>
      <c r="O135" s="1165"/>
      <c r="P135" s="1165"/>
      <c r="Q135" s="1165"/>
      <c r="R135" s="1165"/>
      <c r="S135" s="1165"/>
    </row>
    <row r="136" spans="12:19">
      <c r="L136" s="1165"/>
      <c r="M136" s="1165"/>
      <c r="N136" s="1165"/>
      <c r="O136" s="1165"/>
      <c r="P136" s="1165"/>
      <c r="Q136" s="1165"/>
      <c r="R136" s="1165"/>
      <c r="S136" s="1165"/>
    </row>
    <row r="137" spans="12:19">
      <c r="L137" s="1165"/>
      <c r="M137" s="1165"/>
      <c r="N137" s="1165"/>
      <c r="O137" s="1165"/>
      <c r="P137" s="1165"/>
      <c r="Q137" s="1165"/>
      <c r="R137" s="1165"/>
      <c r="S137" s="1165"/>
    </row>
    <row r="138" spans="12:19">
      <c r="L138" s="1165"/>
      <c r="M138" s="1165"/>
      <c r="N138" s="1165"/>
      <c r="O138" s="1165"/>
      <c r="P138" s="1165"/>
      <c r="Q138" s="1165"/>
      <c r="R138" s="1165"/>
      <c r="S138" s="1165"/>
    </row>
    <row r="139" spans="12:19">
      <c r="L139" s="1165"/>
      <c r="M139" s="1165"/>
      <c r="N139" s="1165"/>
      <c r="O139" s="1165"/>
      <c r="P139" s="1165"/>
      <c r="Q139" s="1165"/>
      <c r="R139" s="1165"/>
      <c r="S139" s="1165"/>
    </row>
    <row r="140" spans="12:19">
      <c r="L140" s="1165"/>
      <c r="M140" s="1165"/>
      <c r="N140" s="1165"/>
      <c r="O140" s="1165"/>
      <c r="P140" s="1165"/>
      <c r="Q140" s="1165"/>
      <c r="R140" s="1165"/>
      <c r="S140" s="1165"/>
    </row>
    <row r="141" spans="12:19">
      <c r="L141" s="1165"/>
      <c r="M141" s="1165"/>
      <c r="N141" s="1165"/>
      <c r="O141" s="1165"/>
      <c r="P141" s="1165"/>
      <c r="Q141" s="1165"/>
      <c r="R141" s="1165"/>
      <c r="S141" s="1165"/>
    </row>
    <row r="142" spans="12:19">
      <c r="L142" s="1165"/>
      <c r="M142" s="1165"/>
      <c r="N142" s="1165"/>
      <c r="O142" s="1165"/>
      <c r="P142" s="1165"/>
      <c r="Q142" s="1165"/>
      <c r="R142" s="1165"/>
      <c r="S142" s="1165"/>
    </row>
    <row r="143" spans="12:19">
      <c r="L143" s="1165"/>
      <c r="M143" s="1165"/>
      <c r="N143" s="1165"/>
      <c r="O143" s="1165"/>
      <c r="P143" s="1165"/>
      <c r="Q143" s="1165"/>
      <c r="R143" s="1165"/>
      <c r="S143" s="1165"/>
    </row>
    <row r="144" spans="12:19">
      <c r="L144" s="1165"/>
      <c r="M144" s="1165"/>
      <c r="N144" s="1165"/>
      <c r="O144" s="1165"/>
      <c r="P144" s="1165"/>
      <c r="Q144" s="1165"/>
      <c r="R144" s="1165"/>
      <c r="S144" s="1165"/>
    </row>
    <row r="145" spans="12:19">
      <c r="L145" s="1165"/>
      <c r="M145" s="1165"/>
      <c r="N145" s="1165"/>
      <c r="O145" s="1165"/>
      <c r="P145" s="1165"/>
      <c r="Q145" s="1165"/>
      <c r="R145" s="1165"/>
      <c r="S145" s="1165"/>
    </row>
    <row r="146" spans="12:19">
      <c r="L146" s="1165"/>
      <c r="M146" s="1165"/>
      <c r="N146" s="1165"/>
      <c r="O146" s="1165"/>
      <c r="P146" s="1165"/>
      <c r="Q146" s="1165"/>
      <c r="R146" s="1165"/>
      <c r="S146" s="1165"/>
    </row>
    <row r="147" spans="12:19">
      <c r="L147" s="1165"/>
      <c r="M147" s="1165"/>
      <c r="N147" s="1165"/>
      <c r="O147" s="1165"/>
      <c r="P147" s="1165"/>
      <c r="Q147" s="1165"/>
      <c r="R147" s="1165"/>
      <c r="S147" s="1165"/>
    </row>
    <row r="148" spans="12:19">
      <c r="L148" s="1165"/>
      <c r="M148" s="1165"/>
      <c r="N148" s="1165"/>
      <c r="O148" s="1165"/>
      <c r="P148" s="1165"/>
      <c r="Q148" s="1165"/>
      <c r="R148" s="1165"/>
      <c r="S148" s="1165"/>
    </row>
    <row r="149" spans="12:19">
      <c r="L149" s="1165"/>
      <c r="M149" s="1165"/>
      <c r="N149" s="1165"/>
      <c r="O149" s="1165"/>
      <c r="P149" s="1165"/>
      <c r="Q149" s="1165"/>
      <c r="R149" s="1165"/>
      <c r="S149" s="1165"/>
    </row>
    <row r="150" spans="12:19">
      <c r="L150" s="1165"/>
      <c r="M150" s="1165"/>
      <c r="N150" s="1165"/>
      <c r="O150" s="1165"/>
      <c r="P150" s="1165"/>
      <c r="Q150" s="1165"/>
      <c r="R150" s="1165"/>
      <c r="S150" s="1165"/>
    </row>
    <row r="151" spans="12:19">
      <c r="L151" s="1165"/>
      <c r="M151" s="1165"/>
      <c r="N151" s="1165"/>
      <c r="O151" s="1165"/>
      <c r="P151" s="1165"/>
      <c r="Q151" s="1165"/>
      <c r="R151" s="1165"/>
      <c r="S151" s="1165"/>
    </row>
    <row r="152" spans="12:19">
      <c r="L152" s="1165"/>
      <c r="M152" s="1165"/>
      <c r="N152" s="1165"/>
      <c r="O152" s="1165"/>
      <c r="P152" s="1165"/>
      <c r="Q152" s="1165"/>
      <c r="R152" s="1165"/>
      <c r="S152" s="1165"/>
    </row>
    <row r="153" spans="12:19">
      <c r="L153" s="1165"/>
      <c r="M153" s="1165"/>
      <c r="N153" s="1165"/>
      <c r="O153" s="1165"/>
      <c r="P153" s="1165"/>
      <c r="Q153" s="1165"/>
      <c r="R153" s="1165"/>
      <c r="S153" s="1165"/>
    </row>
    <row r="154" spans="12:19">
      <c r="L154" s="1165"/>
      <c r="M154" s="1165"/>
      <c r="N154" s="1165"/>
      <c r="O154" s="1165"/>
      <c r="P154" s="1165"/>
      <c r="Q154" s="1165"/>
      <c r="R154" s="1165"/>
      <c r="S154" s="1165"/>
    </row>
    <row r="155" spans="12:19">
      <c r="L155" s="1165"/>
      <c r="M155" s="1165"/>
      <c r="N155" s="1165"/>
      <c r="O155" s="1165"/>
      <c r="P155" s="1165"/>
      <c r="Q155" s="1165"/>
      <c r="R155" s="1165"/>
      <c r="S155" s="1165"/>
    </row>
    <row r="156" spans="12:19">
      <c r="L156" s="1165"/>
      <c r="M156" s="1165"/>
      <c r="N156" s="1165"/>
      <c r="O156" s="1165"/>
      <c r="P156" s="1165"/>
      <c r="Q156" s="1165"/>
      <c r="R156" s="1165"/>
      <c r="S156" s="1165"/>
    </row>
    <row r="157" spans="12:19">
      <c r="L157" s="1165"/>
      <c r="M157" s="1165"/>
      <c r="N157" s="1165"/>
      <c r="O157" s="1165"/>
      <c r="P157" s="1165"/>
      <c r="Q157" s="1165"/>
      <c r="R157" s="1165"/>
      <c r="S157" s="1165"/>
    </row>
    <row r="158" spans="12:19">
      <c r="L158" s="1165"/>
      <c r="M158" s="1165"/>
      <c r="N158" s="1165"/>
      <c r="O158" s="1165"/>
      <c r="P158" s="1165"/>
      <c r="Q158" s="1165"/>
      <c r="R158" s="1165"/>
      <c r="S158" s="1165"/>
    </row>
    <row r="159" spans="12:19">
      <c r="L159" s="1165"/>
      <c r="M159" s="1165"/>
      <c r="N159" s="1165"/>
      <c r="O159" s="1165"/>
      <c r="P159" s="1165"/>
      <c r="Q159" s="1165"/>
      <c r="R159" s="1165"/>
      <c r="S159" s="1165"/>
    </row>
    <row r="160" spans="12:19">
      <c r="L160" s="1165"/>
      <c r="M160" s="1165"/>
      <c r="N160" s="1165"/>
      <c r="O160" s="1165"/>
      <c r="P160" s="1165"/>
      <c r="Q160" s="1165"/>
      <c r="R160" s="1165"/>
      <c r="S160" s="1165"/>
    </row>
    <row r="161" spans="12:19">
      <c r="L161" s="1165"/>
      <c r="M161" s="1165"/>
      <c r="N161" s="1165"/>
      <c r="O161" s="1165"/>
      <c r="P161" s="1165"/>
      <c r="Q161" s="1165"/>
      <c r="R161" s="1165"/>
      <c r="S161" s="1165"/>
    </row>
    <row r="162" spans="12:19">
      <c r="L162" s="1165"/>
      <c r="M162" s="1165"/>
      <c r="N162" s="1165"/>
      <c r="O162" s="1165"/>
      <c r="P162" s="1165"/>
      <c r="Q162" s="1165"/>
      <c r="R162" s="1165"/>
      <c r="S162" s="1165"/>
    </row>
    <row r="163" spans="12:19">
      <c r="L163" s="1165"/>
      <c r="M163" s="1165"/>
      <c r="N163" s="1165"/>
      <c r="O163" s="1165"/>
      <c r="P163" s="1165"/>
      <c r="Q163" s="1165"/>
      <c r="R163" s="1165"/>
      <c r="S163" s="1165"/>
    </row>
  </sheetData>
  <phoneticPr fontId="4" type="noConversion"/>
  <pageMargins left="1" right="0.75" top="0.78740157480314998" bottom="0" header="0" footer="0"/>
  <pageSetup scale="72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>
    <tabColor theme="7" tint="0.39997558519241921"/>
    <pageSetUpPr fitToPage="1"/>
  </sheetPr>
  <dimension ref="A1:V166"/>
  <sheetViews>
    <sheetView zoomScale="75" workbookViewId="0"/>
  </sheetViews>
  <sheetFormatPr defaultColWidth="8" defaultRowHeight="15"/>
  <cols>
    <col min="1" max="8" width="10.5546875" style="182" customWidth="1"/>
    <col min="9" max="9" width="14.109375" style="182" customWidth="1"/>
    <col min="10" max="10" width="22" style="182" customWidth="1"/>
    <col min="11" max="11" width="10.44140625" style="182" customWidth="1"/>
    <col min="12" max="12" width="8.33203125" style="182" customWidth="1"/>
    <col min="13" max="13" width="6.5546875" style="182" customWidth="1"/>
    <col min="14" max="14" width="1" style="182" customWidth="1"/>
    <col min="15" max="15" width="44.5546875" style="182" customWidth="1"/>
    <col min="16" max="16" width="11.33203125" style="182" customWidth="1"/>
    <col min="17" max="17" width="14.5546875" style="182" customWidth="1"/>
    <col min="18" max="18" width="14.44140625" style="182" customWidth="1"/>
    <col min="19" max="19" width="7.33203125" style="182" customWidth="1"/>
    <col min="20" max="20" width="20.109375" style="182" customWidth="1"/>
    <col min="21" max="21" width="8" style="182" customWidth="1"/>
    <col min="22" max="22" width="17.33203125" style="182" customWidth="1"/>
    <col min="23" max="16384" width="8" style="182"/>
  </cols>
  <sheetData>
    <row r="1" spans="1:11">
      <c r="A1" s="214" t="str">
        <f>LOGO!B5</f>
        <v>DUKE ENERGY KENTUCKY, INC.</v>
      </c>
      <c r="B1" s="215"/>
      <c r="C1" s="215"/>
      <c r="D1" s="215"/>
      <c r="E1" s="215"/>
      <c r="F1" s="215"/>
      <c r="G1" s="215"/>
      <c r="H1" s="215"/>
      <c r="I1" s="215"/>
      <c r="J1" s="215"/>
    </row>
    <row r="2" spans="1:11">
      <c r="A2" s="214" t="str">
        <f>LOGO!B6</f>
        <v>CASE NO. 2018-00261</v>
      </c>
      <c r="B2" s="215"/>
      <c r="C2" s="215"/>
      <c r="D2" s="215"/>
      <c r="E2" s="215"/>
      <c r="F2" s="215"/>
      <c r="G2" s="215"/>
      <c r="H2" s="215"/>
      <c r="I2" s="215"/>
      <c r="J2" s="215"/>
    </row>
    <row r="3" spans="1:11">
      <c r="A3" s="1086" t="s">
        <v>2191</v>
      </c>
      <c r="B3" s="215"/>
      <c r="C3" s="215"/>
      <c r="D3" s="215"/>
      <c r="E3" s="215"/>
      <c r="F3" s="215"/>
      <c r="G3" s="215"/>
      <c r="H3" s="215"/>
      <c r="I3" s="215"/>
      <c r="J3" s="215"/>
    </row>
    <row r="4" spans="1:11">
      <c r="A4" s="163" t="str">
        <f>PeriodF</f>
        <v>FOR THE TWELVE MONTHS ENDED MARCH 31, 2020</v>
      </c>
      <c r="B4" s="215"/>
      <c r="C4" s="215"/>
      <c r="D4" s="215"/>
      <c r="E4" s="215"/>
      <c r="F4" s="215"/>
      <c r="G4" s="215"/>
      <c r="H4" s="215"/>
      <c r="I4" s="215"/>
      <c r="J4" s="215"/>
    </row>
    <row r="6" spans="1:11">
      <c r="A6" s="216" t="str">
        <f>DataF</f>
        <v>DATA:  BASE PERIOD  "X" FORECASTED PERIOD</v>
      </c>
      <c r="I6" s="217" t="s">
        <v>123</v>
      </c>
    </row>
    <row r="7" spans="1:11">
      <c r="A7" s="216" t="str">
        <f>LOGO!B15</f>
        <v xml:space="preserve">TYPE OF FILING:  "X" ORIGINAL   UPDATED    REVISED  </v>
      </c>
      <c r="I7" s="217" t="s">
        <v>1777</v>
      </c>
    </row>
    <row r="8" spans="1:11">
      <c r="A8" s="181" t="s">
        <v>852</v>
      </c>
      <c r="I8" s="217" t="s">
        <v>1778</v>
      </c>
    </row>
    <row r="9" spans="1:11">
      <c r="I9" s="217"/>
    </row>
    <row r="10" spans="1:11">
      <c r="A10" s="218"/>
      <c r="B10" s="218"/>
      <c r="C10" s="218"/>
      <c r="D10" s="218"/>
      <c r="E10" s="218"/>
      <c r="F10" s="218"/>
      <c r="G10" s="218"/>
      <c r="H10" s="218"/>
      <c r="I10" s="218"/>
      <c r="J10" s="218"/>
      <c r="K10" s="181"/>
    </row>
    <row r="12" spans="1:11">
      <c r="A12" s="181" t="s">
        <v>1942</v>
      </c>
      <c r="J12" s="219" t="s">
        <v>2098</v>
      </c>
    </row>
    <row r="13" spans="1:11">
      <c r="A13" s="218"/>
      <c r="B13" s="218"/>
      <c r="C13" s="218"/>
      <c r="D13" s="218"/>
      <c r="E13" s="218"/>
      <c r="F13" s="218"/>
      <c r="G13" s="218"/>
      <c r="H13" s="218"/>
      <c r="I13" s="218"/>
      <c r="J13" s="218"/>
      <c r="K13" s="181"/>
    </row>
    <row r="14" spans="1:11">
      <c r="J14" s="220"/>
    </row>
    <row r="15" spans="1:11">
      <c r="A15" s="1087" t="s">
        <v>2192</v>
      </c>
    </row>
    <row r="16" spans="1:11">
      <c r="A16" s="221"/>
    </row>
    <row r="19" spans="1:10">
      <c r="A19" s="181" t="s">
        <v>2153</v>
      </c>
      <c r="I19" s="222"/>
      <c r="J19" s="223">
        <v>0</v>
      </c>
    </row>
    <row r="20" spans="1:10">
      <c r="J20" s="224"/>
    </row>
    <row r="21" spans="1:10">
      <c r="J21" s="225"/>
    </row>
    <row r="22" spans="1:10">
      <c r="A22" s="181" t="s">
        <v>349</v>
      </c>
      <c r="J22" s="226">
        <f>VLOOKUP(D29,ALLOCTABLE,2)/100</f>
        <v>1</v>
      </c>
    </row>
    <row r="23" spans="1:10">
      <c r="J23" s="224"/>
    </row>
    <row r="24" spans="1:10">
      <c r="J24" s="227"/>
    </row>
    <row r="25" spans="1:10" ht="16.8">
      <c r="A25" s="181" t="s">
        <v>1934</v>
      </c>
      <c r="G25" s="181" t="s">
        <v>352</v>
      </c>
      <c r="I25" s="222"/>
      <c r="J25" s="210">
        <f>ROUND(+J19*J22,0)</f>
        <v>0</v>
      </c>
    </row>
    <row r="26" spans="1:10">
      <c r="J26" s="228"/>
    </row>
    <row r="29" spans="1:10">
      <c r="A29" s="182" t="s">
        <v>1935</v>
      </c>
      <c r="D29" s="229" t="s">
        <v>591</v>
      </c>
    </row>
    <row r="30" spans="1:10">
      <c r="A30" s="181"/>
    </row>
    <row r="35" spans="12:20">
      <c r="L35" s="1165"/>
      <c r="M35" s="1165"/>
      <c r="N35" s="1165"/>
      <c r="O35" s="1165"/>
      <c r="P35" s="1165"/>
      <c r="Q35" s="1165"/>
      <c r="R35" s="1165"/>
      <c r="S35" s="1165"/>
      <c r="T35" s="1165"/>
    </row>
    <row r="36" spans="12:20">
      <c r="L36" s="1165"/>
      <c r="M36" s="1106"/>
      <c r="N36" s="1097"/>
      <c r="O36" s="1097"/>
      <c r="P36" s="1097"/>
      <c r="Q36" s="1097"/>
      <c r="R36" s="1097"/>
      <c r="S36" s="1166"/>
      <c r="T36" s="1097"/>
    </row>
    <row r="37" spans="12:20">
      <c r="L37" s="1165"/>
      <c r="M37" s="1106"/>
      <c r="N37" s="1097"/>
      <c r="O37" s="1097"/>
      <c r="P37" s="1097"/>
      <c r="Q37" s="1097"/>
      <c r="R37" s="1097"/>
      <c r="S37" s="1167"/>
      <c r="T37" s="1097"/>
    </row>
    <row r="38" spans="12:20">
      <c r="L38" s="1165"/>
      <c r="M38" s="1106"/>
      <c r="N38" s="1097"/>
      <c r="O38" s="1097"/>
      <c r="P38" s="1097"/>
      <c r="Q38" s="1097"/>
      <c r="R38" s="1097"/>
      <c r="S38" s="1167"/>
      <c r="T38" s="1097"/>
    </row>
    <row r="39" spans="12:20">
      <c r="L39" s="1165"/>
      <c r="M39" s="1106"/>
      <c r="N39" s="1097"/>
      <c r="O39" s="1097"/>
      <c r="P39" s="1097"/>
      <c r="Q39" s="1097"/>
      <c r="R39" s="1097"/>
      <c r="S39" s="1167"/>
      <c r="T39" s="1097"/>
    </row>
    <row r="40" spans="12:20">
      <c r="L40" s="1165"/>
      <c r="M40" s="1106"/>
      <c r="N40" s="1097"/>
      <c r="O40" s="1097"/>
      <c r="P40" s="1097"/>
      <c r="Q40" s="1097"/>
      <c r="R40" s="1097"/>
      <c r="S40" s="1097"/>
      <c r="T40" s="1097"/>
    </row>
    <row r="41" spans="12:20">
      <c r="L41" s="1165"/>
      <c r="M41" s="1097"/>
      <c r="N41" s="1097"/>
      <c r="O41" s="1097"/>
      <c r="P41" s="1097"/>
      <c r="Q41" s="1097"/>
      <c r="R41" s="1097"/>
      <c r="S41" s="1097"/>
      <c r="T41" s="1097"/>
    </row>
    <row r="42" spans="12:20">
      <c r="L42" s="1165"/>
      <c r="M42" s="1097"/>
      <c r="N42" s="1097"/>
      <c r="O42" s="1097"/>
      <c r="P42" s="1097"/>
      <c r="Q42" s="1100"/>
      <c r="R42" s="1100"/>
      <c r="S42" s="1097"/>
      <c r="T42" s="1097"/>
    </row>
    <row r="43" spans="12:20">
      <c r="L43" s="1165"/>
      <c r="M43" s="1094"/>
      <c r="N43" s="1094"/>
      <c r="O43" s="1094"/>
      <c r="P43" s="1094"/>
      <c r="Q43" s="1168"/>
      <c r="R43" s="1168"/>
      <c r="S43" s="1094"/>
      <c r="T43" s="1094"/>
    </row>
    <row r="44" spans="12:20">
      <c r="L44" s="1165"/>
      <c r="M44" s="1094"/>
      <c r="N44" s="1094"/>
      <c r="O44" s="1094"/>
      <c r="P44" s="1094"/>
      <c r="Q44" s="1094"/>
      <c r="R44" s="1094"/>
      <c r="S44" s="1094"/>
      <c r="T44" s="1094"/>
    </row>
    <row r="45" spans="12:20">
      <c r="L45" s="1165"/>
      <c r="M45" s="1095"/>
      <c r="N45" s="1094"/>
      <c r="O45" s="1095"/>
      <c r="P45" s="1094"/>
      <c r="Q45" s="1095"/>
      <c r="R45" s="1095"/>
      <c r="S45" s="1094"/>
      <c r="T45" s="1095"/>
    </row>
    <row r="46" spans="12:20">
      <c r="L46" s="1165"/>
      <c r="M46" s="1165"/>
      <c r="N46" s="1165"/>
      <c r="O46" s="1165"/>
      <c r="P46" s="1165"/>
      <c r="Q46" s="1165"/>
      <c r="R46" s="1165"/>
      <c r="S46" s="1165"/>
      <c r="T46" s="1165"/>
    </row>
    <row r="47" spans="12:20">
      <c r="L47" s="1169"/>
      <c r="M47" s="1096"/>
      <c r="N47" s="1097"/>
      <c r="O47" s="1097"/>
      <c r="P47" s="1096"/>
      <c r="Q47" s="1096"/>
      <c r="R47" s="1165"/>
      <c r="S47" s="1165"/>
      <c r="T47" s="1098"/>
    </row>
    <row r="48" spans="12:20">
      <c r="L48" s="1169"/>
      <c r="M48" s="1096"/>
      <c r="N48" s="1097"/>
      <c r="O48" s="1097"/>
      <c r="P48" s="1096"/>
      <c r="Q48" s="1096"/>
      <c r="R48" s="1165"/>
      <c r="S48" s="1165"/>
      <c r="T48" s="1098"/>
    </row>
    <row r="49" spans="11:22">
      <c r="L49" s="1169"/>
      <c r="M49" s="1096"/>
      <c r="N49" s="1097"/>
      <c r="O49" s="1097"/>
      <c r="P49" s="1096"/>
      <c r="Q49" s="1096"/>
      <c r="R49" s="1165"/>
      <c r="S49" s="1165"/>
      <c r="T49" s="1098"/>
    </row>
    <row r="50" spans="11:22">
      <c r="L50" s="1169"/>
      <c r="M50" s="1096"/>
      <c r="N50" s="1097"/>
      <c r="O50" s="1097"/>
      <c r="P50" s="1096"/>
      <c r="Q50" s="1096"/>
      <c r="R50" s="1165"/>
      <c r="S50" s="1165"/>
      <c r="T50" s="1165"/>
      <c r="U50" s="181"/>
    </row>
    <row r="51" spans="11:22">
      <c r="L51" s="1169"/>
      <c r="M51" s="1096"/>
      <c r="N51" s="1097"/>
      <c r="O51" s="1097"/>
      <c r="P51" s="1096"/>
      <c r="Q51" s="1096"/>
      <c r="R51" s="1165"/>
      <c r="S51" s="1165"/>
      <c r="T51" s="1099"/>
      <c r="U51" s="181"/>
    </row>
    <row r="52" spans="11:22">
      <c r="L52" s="1169"/>
      <c r="M52" s="1096"/>
      <c r="N52" s="1097"/>
      <c r="O52" s="1097"/>
      <c r="P52" s="1096"/>
      <c r="Q52" s="1096"/>
      <c r="R52" s="1165"/>
      <c r="S52" s="1165"/>
      <c r="T52" s="1165"/>
      <c r="U52" s="181"/>
    </row>
    <row r="53" spans="11:22">
      <c r="L53" s="1169"/>
      <c r="M53" s="1096"/>
      <c r="N53" s="1097"/>
      <c r="O53" s="1097"/>
      <c r="P53" s="1096"/>
      <c r="Q53" s="1096"/>
      <c r="R53" s="1165"/>
      <c r="S53" s="1165"/>
      <c r="T53" s="1098"/>
      <c r="U53" s="181"/>
    </row>
    <row r="54" spans="11:22">
      <c r="L54" s="1169"/>
      <c r="M54" s="1096"/>
      <c r="N54" s="1097"/>
      <c r="O54" s="1097"/>
      <c r="P54" s="1097"/>
      <c r="Q54" s="1100"/>
      <c r="R54" s="1165"/>
      <c r="S54" s="1165"/>
      <c r="T54" s="1165"/>
      <c r="U54" s="181"/>
    </row>
    <row r="55" spans="11:22">
      <c r="L55" s="1169"/>
      <c r="M55" s="1096"/>
      <c r="N55" s="1097"/>
      <c r="O55" s="1101"/>
      <c r="P55" s="1102"/>
      <c r="Q55" s="1103"/>
      <c r="R55" s="1165"/>
      <c r="S55" s="1165"/>
      <c r="T55" s="1105"/>
      <c r="U55" s="181"/>
      <c r="V55" s="181"/>
    </row>
    <row r="56" spans="11:22">
      <c r="L56" s="1169"/>
      <c r="M56" s="1096"/>
      <c r="N56" s="1097"/>
      <c r="O56" s="1101"/>
      <c r="P56" s="1102"/>
      <c r="Q56" s="1104"/>
      <c r="R56" s="1165"/>
      <c r="S56" s="1165"/>
      <c r="T56" s="1165"/>
      <c r="U56" s="181"/>
    </row>
    <row r="57" spans="11:22">
      <c r="L57" s="1169"/>
      <c r="M57" s="1096"/>
      <c r="N57" s="1097"/>
      <c r="O57" s="1101"/>
      <c r="P57" s="1102"/>
      <c r="Q57" s="1104"/>
      <c r="R57" s="1165"/>
      <c r="S57" s="1165"/>
      <c r="T57" s="1098"/>
      <c r="U57" s="181"/>
    </row>
    <row r="58" spans="11:22">
      <c r="L58" s="1169"/>
      <c r="M58" s="1096"/>
      <c r="N58" s="1097"/>
      <c r="O58" s="1101"/>
      <c r="P58" s="1102"/>
      <c r="Q58" s="1104"/>
      <c r="R58" s="1165"/>
      <c r="S58" s="1165"/>
      <c r="T58" s="1165"/>
      <c r="U58" s="181"/>
    </row>
    <row r="59" spans="11:22">
      <c r="L59" s="1169"/>
      <c r="M59" s="1096"/>
      <c r="N59" s="1097"/>
      <c r="O59" s="1101"/>
      <c r="P59" s="1102"/>
      <c r="Q59" s="1096"/>
      <c r="R59" s="1165"/>
      <c r="S59" s="1165"/>
      <c r="T59" s="1147"/>
      <c r="U59" s="181"/>
    </row>
    <row r="60" spans="11:22">
      <c r="L60" s="1170"/>
      <c r="M60" s="1106"/>
      <c r="N60" s="1097"/>
      <c r="O60" s="1101"/>
      <c r="P60" s="1102"/>
      <c r="Q60" s="1104"/>
      <c r="R60" s="1165"/>
      <c r="S60" s="1165"/>
      <c r="T60" s="1165"/>
    </row>
    <row r="61" spans="11:22">
      <c r="L61" s="1169"/>
      <c r="M61" s="1096"/>
      <c r="N61" s="1097"/>
      <c r="O61" s="1101"/>
      <c r="P61" s="1102"/>
      <c r="Q61" s="1104"/>
      <c r="R61" s="1165"/>
      <c r="S61" s="1165"/>
      <c r="T61" s="1171"/>
    </row>
    <row r="62" spans="11:22">
      <c r="L62" s="1169"/>
      <c r="M62" s="1106"/>
      <c r="N62" s="1097"/>
      <c r="O62" s="1101"/>
      <c r="P62" s="1102"/>
      <c r="Q62" s="1104"/>
      <c r="R62" s="1165"/>
      <c r="S62" s="1165"/>
      <c r="T62" s="1165"/>
    </row>
    <row r="63" spans="11:22">
      <c r="K63" s="1138"/>
      <c r="L63" s="1165"/>
      <c r="M63" s="1165"/>
      <c r="N63" s="1165"/>
      <c r="O63" s="1165"/>
      <c r="P63" s="1165"/>
      <c r="Q63" s="1165"/>
      <c r="R63" s="1165"/>
      <c r="S63" s="1165"/>
      <c r="T63" s="1165"/>
    </row>
    <row r="64" spans="11:22">
      <c r="K64" s="1138"/>
      <c r="L64" s="1165"/>
      <c r="M64" s="1165"/>
      <c r="N64" s="1165"/>
      <c r="O64" s="1165"/>
      <c r="P64" s="1165"/>
      <c r="Q64" s="1165"/>
      <c r="R64" s="1165"/>
      <c r="S64" s="1165"/>
      <c r="T64" s="1165"/>
    </row>
    <row r="65" spans="12:20">
      <c r="L65" s="1165"/>
      <c r="M65" s="1165"/>
      <c r="N65" s="1172"/>
      <c r="O65" s="1165"/>
      <c r="P65" s="1165"/>
      <c r="Q65" s="1165"/>
      <c r="R65" s="1165"/>
      <c r="S65" s="1165"/>
      <c r="T65" s="1165"/>
    </row>
    <row r="66" spans="12:20">
      <c r="L66" s="1165"/>
      <c r="M66" s="1165"/>
      <c r="N66" s="1165"/>
      <c r="O66" s="1165"/>
      <c r="P66" s="1165"/>
      <c r="Q66" s="1165"/>
      <c r="R66" s="1165"/>
      <c r="S66" s="1165"/>
      <c r="T66" s="1165"/>
    </row>
    <row r="67" spans="12:20">
      <c r="L67" s="1165"/>
      <c r="M67" s="1165"/>
      <c r="N67" s="1165"/>
      <c r="O67" s="1165"/>
      <c r="P67" s="1165"/>
      <c r="Q67" s="1165"/>
      <c r="R67" s="1165"/>
      <c r="S67" s="1165"/>
      <c r="T67" s="1165"/>
    </row>
    <row r="68" spans="12:20">
      <c r="L68" s="1165"/>
      <c r="M68" s="1165"/>
      <c r="N68" s="1165"/>
      <c r="O68" s="1165"/>
      <c r="P68" s="1165"/>
      <c r="Q68" s="1165"/>
      <c r="R68" s="1165"/>
      <c r="S68" s="1165"/>
      <c r="T68" s="1165"/>
    </row>
    <row r="69" spans="12:20">
      <c r="L69" s="1165"/>
      <c r="M69" s="1165"/>
      <c r="N69" s="1165"/>
      <c r="O69" s="1165"/>
      <c r="P69" s="1165"/>
      <c r="Q69" s="1165"/>
      <c r="R69" s="1165"/>
      <c r="S69" s="1165"/>
      <c r="T69" s="1165"/>
    </row>
    <row r="70" spans="12:20">
      <c r="L70" s="1165"/>
      <c r="M70" s="1165"/>
      <c r="N70" s="1165"/>
      <c r="O70" s="1165"/>
      <c r="P70" s="1165"/>
      <c r="Q70" s="1165"/>
      <c r="R70" s="1165"/>
      <c r="S70" s="1165"/>
      <c r="T70" s="1165"/>
    </row>
    <row r="71" spans="12:20">
      <c r="L71" s="1165"/>
      <c r="M71" s="1165"/>
      <c r="N71" s="1165"/>
      <c r="O71" s="1165"/>
      <c r="P71" s="1165"/>
      <c r="Q71" s="1165"/>
      <c r="R71" s="1165"/>
      <c r="S71" s="1165"/>
      <c r="T71" s="1165"/>
    </row>
    <row r="72" spans="12:20">
      <c r="L72" s="1165"/>
      <c r="M72" s="1165"/>
      <c r="N72" s="1165"/>
      <c r="O72" s="1165"/>
      <c r="P72" s="1165"/>
      <c r="Q72" s="1165"/>
      <c r="R72" s="1165"/>
      <c r="S72" s="1165"/>
      <c r="T72" s="1165"/>
    </row>
    <row r="73" spans="12:20">
      <c r="L73" s="1165"/>
      <c r="M73" s="1165"/>
      <c r="N73" s="1165"/>
      <c r="O73" s="1165"/>
      <c r="P73" s="1165"/>
      <c r="Q73" s="1165"/>
      <c r="R73" s="1165"/>
      <c r="S73" s="1165"/>
      <c r="T73" s="1165"/>
    </row>
    <row r="74" spans="12:20">
      <c r="L74" s="1165"/>
      <c r="M74" s="1165"/>
      <c r="N74" s="1165"/>
      <c r="O74" s="1165"/>
      <c r="P74" s="1165"/>
      <c r="Q74" s="1165"/>
      <c r="R74" s="1165"/>
      <c r="S74" s="1165"/>
      <c r="T74" s="1165"/>
    </row>
    <row r="75" spans="12:20">
      <c r="L75" s="1165"/>
      <c r="M75" s="1165"/>
      <c r="N75" s="1165"/>
      <c r="O75" s="1165"/>
      <c r="P75" s="1165"/>
      <c r="Q75" s="1165"/>
      <c r="R75" s="1165"/>
      <c r="S75" s="1165"/>
      <c r="T75" s="1165"/>
    </row>
    <row r="76" spans="12:20">
      <c r="L76" s="1165"/>
      <c r="M76" s="1165"/>
      <c r="N76" s="1165"/>
      <c r="O76" s="1165"/>
      <c r="P76" s="1165"/>
      <c r="Q76" s="1165"/>
      <c r="R76" s="1165"/>
      <c r="S76" s="1165"/>
      <c r="T76" s="1165"/>
    </row>
    <row r="77" spans="12:20">
      <c r="L77" s="1165"/>
      <c r="M77" s="1165"/>
      <c r="N77" s="1165"/>
      <c r="O77" s="1165"/>
      <c r="P77" s="1165"/>
      <c r="Q77" s="1165"/>
      <c r="R77" s="1165"/>
      <c r="S77" s="1165"/>
      <c r="T77" s="1165"/>
    </row>
    <row r="78" spans="12:20">
      <c r="L78" s="1165"/>
      <c r="M78" s="1165"/>
      <c r="N78" s="1165"/>
      <c r="O78" s="1165"/>
      <c r="P78" s="1165"/>
      <c r="Q78" s="1165"/>
      <c r="R78" s="1165"/>
      <c r="S78" s="1165"/>
      <c r="T78" s="1165"/>
    </row>
    <row r="79" spans="12:20">
      <c r="L79" s="1165"/>
      <c r="M79" s="1165"/>
      <c r="N79" s="1165"/>
      <c r="O79" s="1165"/>
      <c r="P79" s="1165"/>
      <c r="Q79" s="1165"/>
      <c r="R79" s="1165"/>
      <c r="S79" s="1165"/>
      <c r="T79" s="1165"/>
    </row>
    <row r="80" spans="12:20">
      <c r="L80" s="1165"/>
      <c r="M80" s="1165"/>
      <c r="N80" s="1165"/>
      <c r="O80" s="1165"/>
      <c r="P80" s="1165"/>
      <c r="Q80" s="1165"/>
      <c r="R80" s="1165"/>
      <c r="S80" s="1165"/>
      <c r="T80" s="1165"/>
    </row>
    <row r="81" spans="12:20">
      <c r="L81" s="1165"/>
      <c r="M81" s="1165"/>
      <c r="N81" s="1165"/>
      <c r="O81" s="1165"/>
      <c r="P81" s="1165"/>
      <c r="Q81" s="1165"/>
      <c r="R81" s="1165"/>
      <c r="S81" s="1165"/>
      <c r="T81" s="1165"/>
    </row>
    <row r="82" spans="12:20">
      <c r="L82" s="1165"/>
      <c r="M82" s="1165"/>
      <c r="N82" s="1165"/>
      <c r="O82" s="1165"/>
      <c r="P82" s="1165"/>
      <c r="Q82" s="1165"/>
      <c r="R82" s="1165"/>
      <c r="S82" s="1165"/>
      <c r="T82" s="1165"/>
    </row>
    <row r="83" spans="12:20">
      <c r="L83" s="1165"/>
      <c r="M83" s="1165"/>
      <c r="N83" s="1165"/>
      <c r="O83" s="1165"/>
      <c r="P83" s="1165"/>
      <c r="Q83" s="1165"/>
      <c r="R83" s="1165"/>
      <c r="S83" s="1165"/>
      <c r="T83" s="1165"/>
    </row>
    <row r="84" spans="12:20">
      <c r="L84" s="1165"/>
      <c r="M84" s="1165"/>
      <c r="N84" s="1165"/>
      <c r="O84" s="1165"/>
      <c r="P84" s="1165"/>
      <c r="Q84" s="1165"/>
      <c r="R84" s="1165"/>
      <c r="S84" s="1165"/>
      <c r="T84" s="1165"/>
    </row>
    <row r="85" spans="12:20">
      <c r="L85" s="1165"/>
      <c r="M85" s="1165"/>
      <c r="N85" s="1165"/>
      <c r="O85" s="1165"/>
      <c r="P85" s="1165"/>
      <c r="Q85" s="1165"/>
      <c r="R85" s="1165"/>
      <c r="S85" s="1165"/>
      <c r="T85" s="1165"/>
    </row>
    <row r="86" spans="12:20">
      <c r="L86" s="1165"/>
      <c r="M86" s="1165"/>
      <c r="N86" s="1165"/>
      <c r="O86" s="1165"/>
      <c r="P86" s="1165"/>
      <c r="Q86" s="1165"/>
      <c r="R86" s="1165"/>
      <c r="S86" s="1165"/>
      <c r="T86" s="1165"/>
    </row>
    <row r="87" spans="12:20">
      <c r="L87" s="1165"/>
      <c r="M87" s="1165"/>
      <c r="N87" s="1165"/>
      <c r="O87" s="1165"/>
      <c r="P87" s="1165"/>
      <c r="Q87" s="1165"/>
      <c r="R87" s="1165"/>
      <c r="S87" s="1165"/>
      <c r="T87" s="1165"/>
    </row>
    <row r="88" spans="12:20">
      <c r="L88" s="1165"/>
      <c r="M88" s="1165"/>
      <c r="N88" s="1165"/>
      <c r="O88" s="1165"/>
      <c r="P88" s="1165"/>
      <c r="Q88" s="1165"/>
      <c r="R88" s="1165"/>
      <c r="S88" s="1165"/>
      <c r="T88" s="1165"/>
    </row>
    <row r="89" spans="12:20">
      <c r="L89" s="1165"/>
      <c r="M89" s="1165"/>
      <c r="N89" s="1165"/>
      <c r="O89" s="1165"/>
      <c r="P89" s="1165"/>
      <c r="Q89" s="1165"/>
      <c r="R89" s="1165"/>
      <c r="S89" s="1165"/>
      <c r="T89" s="1165"/>
    </row>
    <row r="90" spans="12:20">
      <c r="L90" s="1165"/>
      <c r="M90" s="1165"/>
      <c r="N90" s="1165"/>
      <c r="O90" s="1165"/>
      <c r="P90" s="1165"/>
      <c r="Q90" s="1165"/>
      <c r="R90" s="1165"/>
      <c r="S90" s="1165"/>
      <c r="T90" s="1165"/>
    </row>
    <row r="91" spans="12:20">
      <c r="L91" s="1165"/>
      <c r="M91" s="1165"/>
      <c r="N91" s="1165"/>
      <c r="O91" s="1165"/>
      <c r="P91" s="1165"/>
      <c r="Q91" s="1165"/>
      <c r="R91" s="1165"/>
      <c r="S91" s="1165"/>
      <c r="T91" s="1165"/>
    </row>
    <row r="92" spans="12:20">
      <c r="L92" s="1165"/>
      <c r="M92" s="1165"/>
      <c r="N92" s="1165"/>
      <c r="O92" s="1165"/>
      <c r="P92" s="1165"/>
      <c r="Q92" s="1165"/>
      <c r="R92" s="1165"/>
      <c r="S92" s="1165"/>
      <c r="T92" s="1165"/>
    </row>
    <row r="93" spans="12:20">
      <c r="L93" s="1165"/>
      <c r="M93" s="1165"/>
      <c r="N93" s="1165"/>
      <c r="O93" s="1165"/>
      <c r="P93" s="1165"/>
      <c r="Q93" s="1165"/>
      <c r="R93" s="1165"/>
      <c r="S93" s="1165"/>
      <c r="T93" s="1165"/>
    </row>
    <row r="94" spans="12:20">
      <c r="L94" s="1165"/>
      <c r="M94" s="1165"/>
      <c r="N94" s="1165"/>
      <c r="O94" s="1165"/>
      <c r="P94" s="1165"/>
      <c r="Q94" s="1165"/>
      <c r="R94" s="1165"/>
      <c r="S94" s="1165"/>
      <c r="T94" s="1165"/>
    </row>
    <row r="95" spans="12:20">
      <c r="L95" s="1165"/>
      <c r="M95" s="1165"/>
      <c r="N95" s="1165"/>
      <c r="O95" s="1165"/>
      <c r="P95" s="1165"/>
      <c r="Q95" s="1165"/>
      <c r="R95" s="1165"/>
      <c r="S95" s="1165"/>
      <c r="T95" s="1165"/>
    </row>
    <row r="96" spans="12:20">
      <c r="L96" s="1165"/>
      <c r="M96" s="1165"/>
      <c r="N96" s="1165"/>
      <c r="O96" s="1165"/>
      <c r="P96" s="1165"/>
      <c r="Q96" s="1165"/>
      <c r="R96" s="1165"/>
      <c r="S96" s="1165"/>
      <c r="T96" s="1165"/>
    </row>
    <row r="97" spans="12:20">
      <c r="L97" s="1165"/>
      <c r="M97" s="1165"/>
      <c r="N97" s="1165"/>
      <c r="O97" s="1165"/>
      <c r="P97" s="1165"/>
      <c r="Q97" s="1165"/>
      <c r="R97" s="1165"/>
      <c r="S97" s="1165"/>
      <c r="T97" s="1165"/>
    </row>
    <row r="98" spans="12:20">
      <c r="L98" s="1165"/>
      <c r="M98" s="1165"/>
      <c r="N98" s="1165"/>
      <c r="O98" s="1165"/>
      <c r="P98" s="1165"/>
      <c r="Q98" s="1165"/>
      <c r="R98" s="1165"/>
      <c r="S98" s="1165"/>
      <c r="T98" s="1165"/>
    </row>
    <row r="99" spans="12:20">
      <c r="L99" s="1165"/>
      <c r="M99" s="1165"/>
      <c r="N99" s="1165"/>
      <c r="O99" s="1165"/>
      <c r="P99" s="1165"/>
      <c r="Q99" s="1165"/>
      <c r="R99" s="1165"/>
      <c r="S99" s="1165"/>
      <c r="T99" s="1165"/>
    </row>
    <row r="100" spans="12:20">
      <c r="L100" s="1165"/>
      <c r="M100" s="1165"/>
      <c r="N100" s="1165"/>
      <c r="O100" s="1165"/>
      <c r="P100" s="1165"/>
      <c r="Q100" s="1165"/>
      <c r="R100" s="1165"/>
      <c r="S100" s="1165"/>
      <c r="T100" s="1165"/>
    </row>
    <row r="101" spans="12:20">
      <c r="L101" s="1165"/>
      <c r="M101" s="1165"/>
      <c r="N101" s="1165"/>
      <c r="O101" s="1165"/>
      <c r="P101" s="1165"/>
      <c r="Q101" s="1165"/>
      <c r="R101" s="1165"/>
      <c r="S101" s="1165"/>
      <c r="T101" s="1165"/>
    </row>
    <row r="102" spans="12:20">
      <c r="L102" s="1165"/>
      <c r="M102" s="1165"/>
      <c r="N102" s="1165"/>
      <c r="O102" s="1165"/>
      <c r="P102" s="1165"/>
      <c r="Q102" s="1165"/>
      <c r="R102" s="1165"/>
      <c r="S102" s="1165"/>
      <c r="T102" s="1165"/>
    </row>
    <row r="103" spans="12:20">
      <c r="L103" s="1165"/>
      <c r="M103" s="1165"/>
      <c r="N103" s="1165"/>
      <c r="O103" s="1165"/>
      <c r="P103" s="1165"/>
      <c r="Q103" s="1165"/>
      <c r="R103" s="1165"/>
      <c r="S103" s="1165"/>
      <c r="T103" s="1165"/>
    </row>
    <row r="104" spans="12:20">
      <c r="L104" s="1165"/>
      <c r="M104" s="1165"/>
      <c r="N104" s="1165"/>
      <c r="O104" s="1165"/>
      <c r="P104" s="1165"/>
      <c r="Q104" s="1165"/>
      <c r="R104" s="1165"/>
      <c r="S104" s="1165"/>
      <c r="T104" s="1165"/>
    </row>
    <row r="105" spans="12:20">
      <c r="L105" s="1165"/>
      <c r="M105" s="1165"/>
      <c r="N105" s="1165"/>
      <c r="O105" s="1165"/>
      <c r="P105" s="1165"/>
      <c r="Q105" s="1165"/>
      <c r="R105" s="1165"/>
      <c r="S105" s="1165"/>
      <c r="T105" s="1165"/>
    </row>
    <row r="106" spans="12:20">
      <c r="L106" s="1165"/>
      <c r="M106" s="1165"/>
      <c r="N106" s="1165"/>
      <c r="O106" s="1165"/>
      <c r="P106" s="1165"/>
      <c r="Q106" s="1165"/>
      <c r="R106" s="1165"/>
      <c r="S106" s="1165"/>
      <c r="T106" s="1165"/>
    </row>
    <row r="107" spans="12:20">
      <c r="L107" s="1165"/>
      <c r="M107" s="1165"/>
      <c r="N107" s="1165"/>
      <c r="O107" s="1165"/>
      <c r="P107" s="1165"/>
      <c r="Q107" s="1165"/>
      <c r="R107" s="1165"/>
      <c r="S107" s="1165"/>
      <c r="T107" s="1165"/>
    </row>
    <row r="108" spans="12:20">
      <c r="L108" s="1165"/>
      <c r="M108" s="1165"/>
      <c r="N108" s="1165"/>
      <c r="O108" s="1165"/>
      <c r="P108" s="1165"/>
      <c r="Q108" s="1165"/>
      <c r="R108" s="1165"/>
      <c r="S108" s="1165"/>
      <c r="T108" s="1165"/>
    </row>
    <row r="109" spans="12:20">
      <c r="L109" s="1165"/>
      <c r="M109" s="1165"/>
      <c r="N109" s="1165"/>
      <c r="O109" s="1165"/>
      <c r="P109" s="1165"/>
      <c r="Q109" s="1165"/>
      <c r="R109" s="1165"/>
      <c r="S109" s="1165"/>
      <c r="T109" s="1165"/>
    </row>
    <row r="110" spans="12:20">
      <c r="L110" s="1165"/>
      <c r="M110" s="1165"/>
      <c r="N110" s="1165"/>
      <c r="O110" s="1165"/>
      <c r="P110" s="1165"/>
      <c r="Q110" s="1165"/>
      <c r="R110" s="1165"/>
      <c r="S110" s="1165"/>
      <c r="T110" s="1165"/>
    </row>
    <row r="111" spans="12:20">
      <c r="L111" s="1165"/>
      <c r="M111" s="1165"/>
      <c r="N111" s="1165"/>
      <c r="O111" s="1165"/>
      <c r="P111" s="1165"/>
      <c r="Q111" s="1165"/>
      <c r="R111" s="1165"/>
      <c r="S111" s="1165"/>
      <c r="T111" s="1165"/>
    </row>
    <row r="112" spans="12:20">
      <c r="L112" s="1165"/>
      <c r="M112" s="1165"/>
      <c r="N112" s="1165"/>
      <c r="O112" s="1165"/>
      <c r="P112" s="1165"/>
      <c r="Q112" s="1165"/>
      <c r="R112" s="1165"/>
      <c r="S112" s="1165"/>
      <c r="T112" s="1165"/>
    </row>
    <row r="113" spans="12:20">
      <c r="L113" s="1165"/>
      <c r="M113" s="1165"/>
      <c r="N113" s="1165"/>
      <c r="O113" s="1165"/>
      <c r="P113" s="1165"/>
      <c r="Q113" s="1165"/>
      <c r="R113" s="1165"/>
      <c r="S113" s="1165"/>
      <c r="T113" s="1165"/>
    </row>
    <row r="114" spans="12:20">
      <c r="L114" s="1165"/>
      <c r="M114" s="1165"/>
      <c r="N114" s="1165"/>
      <c r="O114" s="1165"/>
      <c r="P114" s="1165"/>
      <c r="Q114" s="1165"/>
      <c r="R114" s="1165"/>
      <c r="S114" s="1165"/>
      <c r="T114" s="1165"/>
    </row>
    <row r="115" spans="12:20">
      <c r="L115" s="1165"/>
      <c r="M115" s="1165"/>
      <c r="N115" s="1165"/>
      <c r="O115" s="1165"/>
      <c r="P115" s="1165"/>
      <c r="Q115" s="1165"/>
      <c r="R115" s="1165"/>
      <c r="S115" s="1165"/>
      <c r="T115" s="1165"/>
    </row>
    <row r="116" spans="12:20">
      <c r="L116" s="1165"/>
      <c r="M116" s="1165"/>
      <c r="N116" s="1165"/>
      <c r="O116" s="1165"/>
      <c r="P116" s="1165"/>
      <c r="Q116" s="1165"/>
      <c r="R116" s="1165"/>
      <c r="S116" s="1165"/>
      <c r="T116" s="1165"/>
    </row>
    <row r="117" spans="12:20">
      <c r="L117" s="1165"/>
      <c r="M117" s="1165"/>
      <c r="N117" s="1165"/>
      <c r="O117" s="1165"/>
      <c r="P117" s="1165"/>
      <c r="Q117" s="1165"/>
      <c r="R117" s="1165"/>
      <c r="S117" s="1165"/>
      <c r="T117" s="1165"/>
    </row>
    <row r="118" spans="12:20">
      <c r="L118" s="1165"/>
      <c r="M118" s="1165"/>
      <c r="N118" s="1165"/>
      <c r="O118" s="1165"/>
      <c r="P118" s="1165"/>
      <c r="Q118" s="1165"/>
      <c r="R118" s="1165"/>
      <c r="S118" s="1165"/>
      <c r="T118" s="1165"/>
    </row>
    <row r="119" spans="12:20">
      <c r="L119" s="1165"/>
      <c r="M119" s="1165"/>
      <c r="N119" s="1165"/>
      <c r="O119" s="1165"/>
      <c r="P119" s="1165"/>
      <c r="Q119" s="1165"/>
      <c r="R119" s="1165"/>
      <c r="S119" s="1165"/>
      <c r="T119" s="1165"/>
    </row>
    <row r="120" spans="12:20">
      <c r="L120" s="1165"/>
      <c r="M120" s="1165"/>
      <c r="N120" s="1165"/>
      <c r="O120" s="1165"/>
      <c r="P120" s="1165"/>
      <c r="Q120" s="1165"/>
      <c r="R120" s="1165"/>
      <c r="S120" s="1165"/>
      <c r="T120" s="1165"/>
    </row>
    <row r="121" spans="12:20">
      <c r="L121" s="1165"/>
      <c r="M121" s="1165"/>
      <c r="N121" s="1165"/>
      <c r="O121" s="1165"/>
      <c r="P121" s="1165"/>
      <c r="Q121" s="1165"/>
      <c r="R121" s="1165"/>
      <c r="S121" s="1165"/>
      <c r="T121" s="1165"/>
    </row>
    <row r="122" spans="12:20">
      <c r="L122" s="1165"/>
      <c r="M122" s="1165"/>
      <c r="N122" s="1165"/>
      <c r="O122" s="1165"/>
      <c r="P122" s="1165"/>
      <c r="Q122" s="1165"/>
      <c r="R122" s="1165"/>
      <c r="S122" s="1165"/>
      <c r="T122" s="1165"/>
    </row>
    <row r="123" spans="12:20">
      <c r="L123" s="1165"/>
      <c r="M123" s="1165"/>
      <c r="N123" s="1165"/>
      <c r="O123" s="1165"/>
      <c r="P123" s="1165"/>
      <c r="Q123" s="1165"/>
      <c r="R123" s="1165"/>
      <c r="S123" s="1165"/>
      <c r="T123" s="1165"/>
    </row>
    <row r="124" spans="12:20">
      <c r="L124" s="1165"/>
      <c r="M124" s="1165"/>
      <c r="N124" s="1165"/>
      <c r="O124" s="1165"/>
      <c r="P124" s="1165"/>
      <c r="Q124" s="1165"/>
      <c r="R124" s="1165"/>
      <c r="S124" s="1165"/>
      <c r="T124" s="1165"/>
    </row>
    <row r="125" spans="12:20">
      <c r="L125" s="1165"/>
      <c r="M125" s="1165"/>
      <c r="N125" s="1165"/>
      <c r="O125" s="1165"/>
      <c r="P125" s="1165"/>
      <c r="Q125" s="1165"/>
      <c r="R125" s="1165"/>
      <c r="S125" s="1165"/>
      <c r="T125" s="1165"/>
    </row>
    <row r="126" spans="12:20">
      <c r="L126" s="1165"/>
      <c r="M126" s="1165"/>
      <c r="N126" s="1165"/>
      <c r="O126" s="1165"/>
      <c r="P126" s="1165"/>
      <c r="Q126" s="1165"/>
      <c r="R126" s="1165"/>
      <c r="S126" s="1165"/>
      <c r="T126" s="1165"/>
    </row>
    <row r="127" spans="12:20">
      <c r="L127" s="1165"/>
      <c r="M127" s="1165"/>
      <c r="N127" s="1165"/>
      <c r="O127" s="1165"/>
      <c r="P127" s="1165"/>
      <c r="Q127" s="1165"/>
      <c r="R127" s="1165"/>
      <c r="S127" s="1165"/>
      <c r="T127" s="1165"/>
    </row>
    <row r="128" spans="12:20">
      <c r="L128" s="1165"/>
      <c r="M128" s="1165"/>
      <c r="N128" s="1165"/>
      <c r="O128" s="1165"/>
      <c r="P128" s="1165"/>
      <c r="Q128" s="1165"/>
      <c r="R128" s="1165"/>
      <c r="S128" s="1165"/>
      <c r="T128" s="1165"/>
    </row>
    <row r="129" spans="12:20">
      <c r="L129" s="1165"/>
      <c r="M129" s="1165"/>
      <c r="N129" s="1165"/>
      <c r="O129" s="1165"/>
      <c r="P129" s="1165"/>
      <c r="Q129" s="1165"/>
      <c r="R129" s="1165"/>
      <c r="S129" s="1165"/>
      <c r="T129" s="1165"/>
    </row>
    <row r="130" spans="12:20">
      <c r="L130" s="1165"/>
      <c r="M130" s="1165"/>
      <c r="N130" s="1165"/>
      <c r="O130" s="1165"/>
      <c r="P130" s="1165"/>
      <c r="Q130" s="1165"/>
      <c r="R130" s="1165"/>
      <c r="S130" s="1165"/>
      <c r="T130" s="1165"/>
    </row>
    <row r="131" spans="12:20">
      <c r="L131" s="1165"/>
      <c r="M131" s="1165"/>
      <c r="N131" s="1165"/>
      <c r="O131" s="1165"/>
      <c r="P131" s="1165"/>
      <c r="Q131" s="1165"/>
      <c r="R131" s="1165"/>
      <c r="S131" s="1165"/>
      <c r="T131" s="1165"/>
    </row>
    <row r="132" spans="12:20">
      <c r="L132" s="1165"/>
      <c r="M132" s="1165"/>
      <c r="N132" s="1165"/>
      <c r="O132" s="1165"/>
      <c r="P132" s="1165"/>
      <c r="Q132" s="1165"/>
      <c r="R132" s="1165"/>
      <c r="S132" s="1165"/>
      <c r="T132" s="1165"/>
    </row>
    <row r="133" spans="12:20">
      <c r="L133" s="1165"/>
      <c r="M133" s="1165"/>
      <c r="N133" s="1165"/>
      <c r="O133" s="1165"/>
      <c r="P133" s="1165"/>
      <c r="Q133" s="1165"/>
      <c r="R133" s="1165"/>
      <c r="S133" s="1165"/>
      <c r="T133" s="1165"/>
    </row>
    <row r="134" spans="12:20">
      <c r="L134" s="1165"/>
      <c r="M134" s="1165"/>
      <c r="N134" s="1165"/>
      <c r="O134" s="1165"/>
      <c r="P134" s="1165"/>
      <c r="Q134" s="1165"/>
      <c r="R134" s="1165"/>
      <c r="S134" s="1165"/>
      <c r="T134" s="1165"/>
    </row>
    <row r="135" spans="12:20">
      <c r="L135" s="1165"/>
      <c r="M135" s="1165"/>
      <c r="N135" s="1165"/>
      <c r="O135" s="1165"/>
      <c r="P135" s="1165"/>
      <c r="Q135" s="1165"/>
      <c r="R135" s="1165"/>
      <c r="S135" s="1165"/>
      <c r="T135" s="1165"/>
    </row>
    <row r="136" spans="12:20">
      <c r="L136" s="1165"/>
      <c r="M136" s="1165"/>
      <c r="N136" s="1165"/>
      <c r="O136" s="1165"/>
      <c r="P136" s="1165"/>
      <c r="Q136" s="1165"/>
      <c r="R136" s="1165"/>
      <c r="S136" s="1165"/>
      <c r="T136" s="1165"/>
    </row>
    <row r="137" spans="12:20">
      <c r="L137" s="1165"/>
      <c r="M137" s="1165"/>
      <c r="N137" s="1165"/>
      <c r="O137" s="1165"/>
      <c r="P137" s="1165"/>
      <c r="Q137" s="1165"/>
      <c r="R137" s="1165"/>
      <c r="S137" s="1165"/>
      <c r="T137" s="1165"/>
    </row>
    <row r="138" spans="12:20">
      <c r="L138" s="1165"/>
      <c r="M138" s="1165"/>
      <c r="N138" s="1165"/>
      <c r="O138" s="1165"/>
      <c r="P138" s="1165"/>
      <c r="Q138" s="1165"/>
      <c r="R138" s="1165"/>
      <c r="S138" s="1165"/>
      <c r="T138" s="1165"/>
    </row>
    <row r="139" spans="12:20">
      <c r="L139" s="1165"/>
      <c r="M139" s="1165"/>
      <c r="N139" s="1165"/>
      <c r="O139" s="1165"/>
      <c r="P139" s="1165"/>
      <c r="Q139" s="1165"/>
      <c r="R139" s="1165"/>
      <c r="S139" s="1165"/>
      <c r="T139" s="1165"/>
    </row>
    <row r="140" spans="12:20">
      <c r="L140" s="1165"/>
      <c r="M140" s="1165"/>
      <c r="N140" s="1165"/>
      <c r="O140" s="1165"/>
      <c r="P140" s="1165"/>
      <c r="Q140" s="1165"/>
      <c r="R140" s="1165"/>
      <c r="S140" s="1165"/>
      <c r="T140" s="1165"/>
    </row>
    <row r="141" spans="12:20">
      <c r="L141" s="1165"/>
      <c r="M141" s="1165"/>
      <c r="N141" s="1165"/>
      <c r="O141" s="1165"/>
      <c r="P141" s="1165"/>
      <c r="Q141" s="1165"/>
      <c r="R141" s="1165"/>
      <c r="S141" s="1165"/>
      <c r="T141" s="1165"/>
    </row>
    <row r="142" spans="12:20">
      <c r="L142" s="1165"/>
      <c r="M142" s="1165"/>
      <c r="N142" s="1165"/>
      <c r="O142" s="1165"/>
      <c r="P142" s="1165"/>
      <c r="Q142" s="1165"/>
      <c r="R142" s="1165"/>
      <c r="S142" s="1165"/>
      <c r="T142" s="1165"/>
    </row>
    <row r="143" spans="12:20">
      <c r="L143" s="1165"/>
      <c r="M143" s="1165"/>
      <c r="N143" s="1165"/>
      <c r="O143" s="1165"/>
      <c r="P143" s="1165"/>
      <c r="Q143" s="1165"/>
      <c r="R143" s="1165"/>
      <c r="S143" s="1165"/>
      <c r="T143" s="1165"/>
    </row>
    <row r="144" spans="12:20">
      <c r="L144" s="1165"/>
      <c r="M144" s="1165"/>
      <c r="N144" s="1165"/>
      <c r="O144" s="1165"/>
      <c r="P144" s="1165"/>
      <c r="Q144" s="1165"/>
      <c r="R144" s="1165"/>
      <c r="S144" s="1165"/>
      <c r="T144" s="1165"/>
    </row>
    <row r="145" spans="12:20">
      <c r="L145" s="1165"/>
      <c r="M145" s="1165"/>
      <c r="N145" s="1165"/>
      <c r="O145" s="1165"/>
      <c r="P145" s="1165"/>
      <c r="Q145" s="1165"/>
      <c r="R145" s="1165"/>
      <c r="S145" s="1165"/>
      <c r="T145" s="1165"/>
    </row>
    <row r="146" spans="12:20">
      <c r="L146" s="1165"/>
      <c r="M146" s="1165"/>
      <c r="N146" s="1165"/>
      <c r="O146" s="1165"/>
      <c r="P146" s="1165"/>
      <c r="Q146" s="1165"/>
      <c r="R146" s="1165"/>
      <c r="S146" s="1165"/>
      <c r="T146" s="1165"/>
    </row>
    <row r="147" spans="12:20">
      <c r="L147" s="1165"/>
      <c r="M147" s="1165"/>
      <c r="N147" s="1165"/>
      <c r="O147" s="1165"/>
      <c r="P147" s="1165"/>
      <c r="Q147" s="1165"/>
      <c r="R147" s="1165"/>
      <c r="S147" s="1165"/>
      <c r="T147" s="1165"/>
    </row>
    <row r="148" spans="12:20">
      <c r="L148" s="1165"/>
      <c r="M148" s="1165"/>
      <c r="N148" s="1165"/>
      <c r="O148" s="1165"/>
      <c r="P148" s="1165"/>
      <c r="Q148" s="1165"/>
      <c r="R148" s="1165"/>
      <c r="S148" s="1165"/>
      <c r="T148" s="1165"/>
    </row>
    <row r="149" spans="12:20">
      <c r="L149" s="1165"/>
      <c r="M149" s="1165"/>
      <c r="N149" s="1165"/>
      <c r="O149" s="1165"/>
      <c r="P149" s="1165"/>
      <c r="Q149" s="1165"/>
      <c r="R149" s="1165"/>
      <c r="S149" s="1165"/>
      <c r="T149" s="1165"/>
    </row>
    <row r="150" spans="12:20">
      <c r="L150" s="1165"/>
      <c r="M150" s="1165"/>
      <c r="N150" s="1165"/>
      <c r="O150" s="1165"/>
      <c r="P150" s="1165"/>
      <c r="Q150" s="1165"/>
      <c r="R150" s="1165"/>
      <c r="S150" s="1165"/>
      <c r="T150" s="1165"/>
    </row>
    <row r="151" spans="12:20">
      <c r="L151" s="1165"/>
      <c r="M151" s="1165"/>
      <c r="N151" s="1165"/>
      <c r="O151" s="1165"/>
      <c r="P151" s="1165"/>
      <c r="Q151" s="1165"/>
      <c r="R151" s="1165"/>
      <c r="S151" s="1165"/>
      <c r="T151" s="1165"/>
    </row>
    <row r="152" spans="12:20">
      <c r="L152" s="1165"/>
      <c r="M152" s="1165"/>
      <c r="N152" s="1165"/>
      <c r="O152" s="1165"/>
      <c r="P152" s="1165"/>
      <c r="Q152" s="1165"/>
      <c r="R152" s="1165"/>
      <c r="S152" s="1165"/>
      <c r="T152" s="1165"/>
    </row>
    <row r="153" spans="12:20">
      <c r="L153" s="1165"/>
      <c r="M153" s="1165"/>
      <c r="N153" s="1165"/>
      <c r="O153" s="1165"/>
      <c r="P153" s="1165"/>
      <c r="Q153" s="1165"/>
      <c r="R153" s="1165"/>
      <c r="S153" s="1165"/>
      <c r="T153" s="1165"/>
    </row>
    <row r="154" spans="12:20">
      <c r="L154" s="1165"/>
      <c r="M154" s="1165"/>
      <c r="N154" s="1165"/>
      <c r="O154" s="1165"/>
      <c r="P154" s="1165"/>
      <c r="Q154" s="1165"/>
      <c r="R154" s="1165"/>
      <c r="S154" s="1165"/>
      <c r="T154" s="1165"/>
    </row>
    <row r="155" spans="12:20">
      <c r="L155" s="1165"/>
      <c r="M155" s="1165"/>
      <c r="N155" s="1165"/>
      <c r="O155" s="1165"/>
      <c r="P155" s="1165"/>
      <c r="Q155" s="1165"/>
      <c r="R155" s="1165"/>
      <c r="S155" s="1165"/>
      <c r="T155" s="1165"/>
    </row>
    <row r="156" spans="12:20">
      <c r="L156" s="1165"/>
      <c r="M156" s="1165"/>
      <c r="N156" s="1165"/>
      <c r="O156" s="1165"/>
      <c r="P156" s="1165"/>
      <c r="Q156" s="1165"/>
      <c r="R156" s="1165"/>
      <c r="S156" s="1165"/>
      <c r="T156" s="1165"/>
    </row>
    <row r="157" spans="12:20">
      <c r="L157" s="1165"/>
      <c r="M157" s="1165"/>
      <c r="N157" s="1165"/>
      <c r="O157" s="1165"/>
      <c r="P157" s="1165"/>
      <c r="Q157" s="1165"/>
      <c r="R157" s="1165"/>
      <c r="S157" s="1165"/>
      <c r="T157" s="1165"/>
    </row>
    <row r="158" spans="12:20">
      <c r="L158" s="1165"/>
      <c r="M158" s="1165"/>
      <c r="N158" s="1165"/>
      <c r="O158" s="1165"/>
      <c r="P158" s="1165"/>
      <c r="Q158" s="1165"/>
      <c r="R158" s="1165"/>
      <c r="S158" s="1165"/>
      <c r="T158" s="1165"/>
    </row>
    <row r="159" spans="12:20">
      <c r="L159" s="1165"/>
      <c r="M159" s="1165"/>
      <c r="N159" s="1165"/>
      <c r="O159" s="1165"/>
      <c r="P159" s="1165"/>
      <c r="Q159" s="1165"/>
      <c r="R159" s="1165"/>
      <c r="S159" s="1165"/>
      <c r="T159" s="1165"/>
    </row>
    <row r="160" spans="12:20">
      <c r="L160" s="1165"/>
      <c r="M160" s="1165"/>
      <c r="N160" s="1165"/>
      <c r="O160" s="1165"/>
      <c r="P160" s="1165"/>
      <c r="Q160" s="1165"/>
      <c r="R160" s="1165"/>
      <c r="S160" s="1165"/>
      <c r="T160" s="1165"/>
    </row>
    <row r="161" spans="12:20">
      <c r="L161" s="1165"/>
      <c r="M161" s="1165"/>
      <c r="N161" s="1165"/>
      <c r="O161" s="1165"/>
      <c r="P161" s="1165"/>
      <c r="Q161" s="1165"/>
      <c r="R161" s="1165"/>
      <c r="S161" s="1165"/>
      <c r="T161" s="1165"/>
    </row>
    <row r="162" spans="12:20">
      <c r="L162" s="1165"/>
      <c r="M162" s="1165"/>
      <c r="N162" s="1165"/>
      <c r="O162" s="1165"/>
      <c r="P162" s="1165"/>
      <c r="Q162" s="1165"/>
      <c r="R162" s="1165"/>
      <c r="S162" s="1165"/>
      <c r="T162" s="1165"/>
    </row>
    <row r="163" spans="12:20">
      <c r="L163" s="1165"/>
      <c r="M163" s="1165"/>
      <c r="N163" s="1165"/>
      <c r="O163" s="1165"/>
      <c r="P163" s="1165"/>
      <c r="Q163" s="1165"/>
      <c r="R163" s="1165"/>
      <c r="S163" s="1165"/>
      <c r="T163" s="1165"/>
    </row>
    <row r="164" spans="12:20">
      <c r="L164" s="1165"/>
      <c r="M164" s="1165"/>
      <c r="N164" s="1165"/>
      <c r="O164" s="1165"/>
      <c r="P164" s="1165"/>
      <c r="Q164" s="1165"/>
      <c r="R164" s="1165"/>
      <c r="S164" s="1165"/>
      <c r="T164" s="1165"/>
    </row>
    <row r="165" spans="12:20">
      <c r="L165" s="1165"/>
      <c r="M165" s="1165"/>
      <c r="N165" s="1165"/>
      <c r="O165" s="1165"/>
      <c r="P165" s="1165"/>
      <c r="Q165" s="1165"/>
      <c r="R165" s="1165"/>
      <c r="S165" s="1165"/>
      <c r="T165" s="1165"/>
    </row>
    <row r="166" spans="12:20">
      <c r="L166" s="1165"/>
      <c r="M166" s="1165"/>
      <c r="N166" s="1165"/>
      <c r="O166" s="1165"/>
      <c r="P166" s="1165"/>
      <c r="Q166" s="1165"/>
      <c r="R166" s="1165"/>
      <c r="S166" s="1165"/>
      <c r="T166" s="1165"/>
    </row>
  </sheetData>
  <phoneticPr fontId="4" type="noConversion"/>
  <pageMargins left="1" right="0" top="0.78740157480314965" bottom="0" header="0" footer="0"/>
  <pageSetup scale="7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pageSetUpPr fitToPage="1"/>
  </sheetPr>
  <dimension ref="A1:BE124"/>
  <sheetViews>
    <sheetView zoomScale="75" workbookViewId="0"/>
  </sheetViews>
  <sheetFormatPr defaultColWidth="8" defaultRowHeight="15"/>
  <cols>
    <col min="1" max="1" width="6.44140625" style="307" customWidth="1"/>
    <col min="2" max="2" width="1" style="307" customWidth="1"/>
    <col min="3" max="3" width="11.44140625" style="307" customWidth="1"/>
    <col min="4" max="4" width="1" style="307" customWidth="1"/>
    <col min="5" max="5" width="49" style="307" customWidth="1"/>
    <col min="6" max="6" width="2.88671875" style="307" customWidth="1"/>
    <col min="7" max="7" width="16.33203125" style="307" customWidth="1"/>
    <col min="8" max="8" width="0.88671875" style="307" customWidth="1"/>
    <col min="9" max="9" width="17.88671875" style="307" customWidth="1"/>
    <col min="10" max="10" width="0.5546875" style="307" customWidth="1"/>
    <col min="11" max="11" width="57.88671875" style="307" customWidth="1"/>
    <col min="12" max="12" width="6.33203125" style="307" customWidth="1"/>
    <col min="13" max="13" width="1.109375" style="307" customWidth="1"/>
    <col min="14" max="14" width="16.109375" style="307" customWidth="1"/>
    <col min="15" max="15" width="63" style="307" customWidth="1"/>
    <col min="16" max="16" width="23" style="307" customWidth="1"/>
    <col min="17" max="17" width="5.33203125" style="307" customWidth="1"/>
    <col min="18" max="18" width="2.6640625" style="307" customWidth="1"/>
    <col min="19" max="19" width="22.6640625" style="307" customWidth="1"/>
    <col min="20" max="20" width="5.109375" style="307" customWidth="1"/>
    <col min="21" max="21" width="19.44140625" style="307" customWidth="1"/>
    <col min="22" max="22" width="16.6640625" style="307" customWidth="1"/>
    <col min="23" max="23" width="8.33203125" style="307" customWidth="1"/>
    <col min="24" max="24" width="2.44140625" style="307" customWidth="1"/>
    <col min="25" max="25" width="8" style="307" customWidth="1"/>
    <col min="26" max="26" width="3.5546875" style="307" customWidth="1"/>
    <col min="27" max="27" width="46.88671875" style="307" customWidth="1"/>
    <col min="28" max="28" width="49.6640625" style="307" customWidth="1"/>
    <col min="29" max="29" width="5.44140625" style="307" customWidth="1"/>
    <col min="30" max="30" width="44.44140625" style="307" customWidth="1"/>
    <col min="31" max="16384" width="8" style="307"/>
  </cols>
  <sheetData>
    <row r="1" spans="1:12">
      <c r="A1" s="305" t="str">
        <f>COMPANY</f>
        <v>DUKE ENERGY KENTUCKY, INC.</v>
      </c>
      <c r="B1" s="306"/>
      <c r="C1" s="306"/>
      <c r="D1" s="306"/>
      <c r="E1" s="306"/>
      <c r="F1" s="306"/>
      <c r="G1" s="306"/>
      <c r="H1" s="306"/>
      <c r="I1" s="306"/>
      <c r="J1" s="306"/>
      <c r="K1" s="306"/>
      <c r="L1" s="306"/>
    </row>
    <row r="2" spans="1:12">
      <c r="A2" s="305" t="str">
        <f>CASE</f>
        <v>CASE NO. 2018-00261</v>
      </c>
      <c r="B2" s="306"/>
      <c r="C2" s="306"/>
      <c r="D2" s="306"/>
      <c r="E2" s="306"/>
      <c r="F2" s="306"/>
      <c r="G2" s="306"/>
      <c r="H2" s="306"/>
      <c r="I2" s="306"/>
      <c r="J2" s="306"/>
      <c r="K2" s="306"/>
      <c r="L2" s="306"/>
    </row>
    <row r="3" spans="1:12">
      <c r="A3" s="305" t="s">
        <v>399</v>
      </c>
      <c r="B3" s="306"/>
      <c r="C3" s="306"/>
      <c r="D3" s="306"/>
      <c r="E3" s="306"/>
      <c r="F3" s="306"/>
      <c r="G3" s="306"/>
      <c r="H3" s="306"/>
      <c r="I3" s="306"/>
      <c r="J3" s="306"/>
      <c r="K3" s="306"/>
      <c r="L3" s="306"/>
    </row>
    <row r="4" spans="1:12">
      <c r="A4" s="305" t="s">
        <v>400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</row>
    <row r="5" spans="1:12">
      <c r="A5" s="305" t="str">
        <f>PeriodF</f>
        <v>FOR THE TWELVE MONTHS ENDED MARCH 31, 2020</v>
      </c>
      <c r="B5" s="306"/>
      <c r="C5" s="306"/>
      <c r="D5" s="306"/>
      <c r="E5" s="306"/>
      <c r="F5" s="306"/>
      <c r="G5" s="306"/>
      <c r="H5" s="306"/>
      <c r="I5" s="306"/>
      <c r="J5" s="306"/>
      <c r="K5" s="306"/>
      <c r="L5" s="306"/>
    </row>
    <row r="7" spans="1:12">
      <c r="A7" s="308" t="str">
        <f>DataF</f>
        <v>DATA:  BASE PERIOD  "X" FORECASTED PERIOD</v>
      </c>
      <c r="K7" s="309" t="s">
        <v>401</v>
      </c>
    </row>
    <row r="8" spans="1:12">
      <c r="A8" s="308" t="str">
        <f>Type</f>
        <v xml:space="preserve">TYPE OF FILING:  "X" ORIGINAL   UPDATED    REVISED  </v>
      </c>
      <c r="K8" s="309" t="s">
        <v>402</v>
      </c>
    </row>
    <row r="9" spans="1:12">
      <c r="A9" s="309" t="s">
        <v>655</v>
      </c>
      <c r="K9" s="309" t="s">
        <v>403</v>
      </c>
    </row>
    <row r="10" spans="1:12">
      <c r="K10" s="309" t="str">
        <f>"                       "&amp;_WIT2</f>
        <v xml:space="preserve">                       J. E. ZIOLKOWSKI</v>
      </c>
    </row>
    <row r="11" spans="1:12">
      <c r="A11" s="310"/>
      <c r="B11" s="310"/>
      <c r="C11" s="310"/>
      <c r="D11" s="310"/>
      <c r="E11" s="310"/>
      <c r="F11" s="310"/>
      <c r="G11" s="310"/>
      <c r="H11" s="310"/>
      <c r="I11" s="310"/>
      <c r="J11" s="310"/>
      <c r="K11" s="310"/>
      <c r="L11" s="311"/>
    </row>
    <row r="12" spans="1:12">
      <c r="J12" s="312"/>
      <c r="K12" s="312" t="s">
        <v>657</v>
      </c>
      <c r="L12" s="313"/>
    </row>
    <row r="13" spans="1:12">
      <c r="A13" s="312" t="s">
        <v>567</v>
      </c>
      <c r="C13" s="312" t="s">
        <v>2160</v>
      </c>
      <c r="E13" s="312" t="s">
        <v>2160</v>
      </c>
      <c r="G13" s="312" t="s">
        <v>906</v>
      </c>
      <c r="I13" s="312" t="s">
        <v>686</v>
      </c>
      <c r="J13" s="312"/>
      <c r="K13" s="312" t="s">
        <v>658</v>
      </c>
      <c r="L13" s="313"/>
    </row>
    <row r="14" spans="1:12">
      <c r="A14" s="312" t="s">
        <v>2169</v>
      </c>
      <c r="C14" s="312" t="s">
        <v>693</v>
      </c>
      <c r="E14" s="312" t="s">
        <v>659</v>
      </c>
      <c r="G14" s="312" t="s">
        <v>910</v>
      </c>
      <c r="I14" s="312" t="s">
        <v>404</v>
      </c>
      <c r="J14" s="312"/>
      <c r="K14" s="312" t="s">
        <v>906</v>
      </c>
      <c r="L14" s="313"/>
    </row>
    <row r="15" spans="1:12">
      <c r="A15" s="310"/>
      <c r="B15" s="310"/>
      <c r="C15" s="310"/>
      <c r="D15" s="310"/>
      <c r="E15" s="310"/>
      <c r="F15" s="310"/>
      <c r="G15" s="310"/>
      <c r="H15" s="310"/>
      <c r="I15" s="310"/>
      <c r="J15" s="310"/>
      <c r="K15" s="310"/>
      <c r="L15" s="311"/>
    </row>
    <row r="16" spans="1:12">
      <c r="A16" s="314"/>
      <c r="C16" s="312"/>
      <c r="E16" s="312"/>
      <c r="G16" s="312"/>
      <c r="I16" s="312"/>
      <c r="K16" s="312"/>
      <c r="L16" s="313"/>
    </row>
    <row r="17" spans="1:12">
      <c r="E17" s="307" t="s">
        <v>660</v>
      </c>
      <c r="L17" s="313"/>
    </row>
    <row r="18" spans="1:12">
      <c r="A18" s="315"/>
      <c r="C18" s="314"/>
      <c r="E18" s="309"/>
      <c r="G18" s="316"/>
      <c r="I18" s="317"/>
      <c r="J18" s="318"/>
      <c r="K18" s="319"/>
    </row>
    <row r="19" spans="1:12">
      <c r="A19" s="315"/>
      <c r="C19" s="320"/>
      <c r="G19" s="321"/>
      <c r="I19" s="318"/>
    </row>
    <row r="20" spans="1:12">
      <c r="A20" s="315"/>
      <c r="C20" s="314"/>
      <c r="E20" s="309"/>
      <c r="G20" s="316"/>
      <c r="I20" s="318"/>
    </row>
    <row r="21" spans="1:12">
      <c r="A21" s="315"/>
      <c r="C21" s="314"/>
      <c r="E21" s="309"/>
      <c r="G21" s="316"/>
      <c r="I21" s="317"/>
      <c r="J21" s="318"/>
      <c r="K21" s="319"/>
    </row>
    <row r="22" spans="1:12">
      <c r="A22" s="315"/>
      <c r="C22" s="320"/>
      <c r="G22" s="321"/>
      <c r="I22" s="318"/>
    </row>
    <row r="23" spans="1:12">
      <c r="A23" s="315"/>
      <c r="C23" s="312"/>
      <c r="E23" s="309"/>
      <c r="G23" s="316"/>
      <c r="I23" s="317"/>
      <c r="J23" s="318"/>
      <c r="K23" s="319"/>
    </row>
    <row r="24" spans="1:12">
      <c r="A24" s="315"/>
      <c r="E24" s="309"/>
      <c r="G24" s="316"/>
      <c r="I24" s="317"/>
      <c r="J24" s="318"/>
      <c r="K24" s="319"/>
    </row>
    <row r="25" spans="1:12">
      <c r="A25" s="315"/>
      <c r="G25" s="321"/>
      <c r="I25" s="318"/>
    </row>
    <row r="26" spans="1:12">
      <c r="A26" s="315"/>
      <c r="C26" s="312"/>
      <c r="E26" s="309"/>
      <c r="G26" s="321"/>
      <c r="I26" s="318"/>
    </row>
    <row r="27" spans="1:12">
      <c r="A27" s="315"/>
      <c r="E27" s="309"/>
      <c r="G27" s="316"/>
      <c r="I27" s="317"/>
      <c r="J27" s="318"/>
      <c r="K27" s="319"/>
    </row>
    <row r="28" spans="1:12">
      <c r="A28" s="315"/>
      <c r="E28" s="309"/>
      <c r="G28" s="316"/>
      <c r="I28" s="317"/>
      <c r="J28" s="318"/>
      <c r="K28" s="319"/>
    </row>
    <row r="29" spans="1:12">
      <c r="A29" s="315"/>
      <c r="E29" s="309"/>
      <c r="G29" s="316"/>
      <c r="I29" s="317"/>
      <c r="J29" s="318"/>
      <c r="K29" s="319"/>
    </row>
    <row r="30" spans="1:12">
      <c r="A30" s="315"/>
      <c r="G30" s="321"/>
      <c r="I30" s="318"/>
    </row>
    <row r="31" spans="1:12">
      <c r="A31" s="315"/>
      <c r="C31" s="312"/>
      <c r="E31" s="309"/>
      <c r="G31" s="321"/>
      <c r="I31" s="318"/>
    </row>
    <row r="32" spans="1:12">
      <c r="A32" s="315"/>
      <c r="E32" s="309"/>
      <c r="G32" s="322"/>
      <c r="I32" s="317"/>
      <c r="J32" s="318"/>
      <c r="K32" s="319"/>
    </row>
    <row r="33" spans="1:57">
      <c r="A33" s="315"/>
      <c r="E33" s="309"/>
      <c r="G33" s="322"/>
      <c r="I33" s="317"/>
      <c r="J33" s="318"/>
      <c r="K33" s="319"/>
    </row>
    <row r="34" spans="1:57">
      <c r="A34" s="315"/>
      <c r="E34" s="309"/>
      <c r="G34" s="322"/>
      <c r="I34" s="317"/>
      <c r="J34" s="318"/>
      <c r="K34" s="319"/>
    </row>
    <row r="35" spans="1:57">
      <c r="A35" s="315"/>
      <c r="E35" s="309"/>
      <c r="G35" s="322"/>
      <c r="I35" s="323"/>
      <c r="J35" s="318"/>
      <c r="K35" s="319"/>
    </row>
    <row r="36" spans="1:57">
      <c r="A36" s="309"/>
      <c r="E36" s="321"/>
    </row>
    <row r="37" spans="1:57">
      <c r="E37" s="321"/>
    </row>
    <row r="38" spans="1:57">
      <c r="E38" s="321"/>
    </row>
    <row r="39" spans="1:57">
      <c r="E39" s="321"/>
    </row>
    <row r="40" spans="1:57">
      <c r="E40" s="321"/>
    </row>
    <row r="41" spans="1:57">
      <c r="E41" s="321"/>
      <c r="L41" s="324"/>
      <c r="M41" s="325"/>
      <c r="N41" s="325"/>
      <c r="O41" s="325"/>
      <c r="P41" s="325"/>
      <c r="Q41" s="325"/>
      <c r="R41" s="325"/>
      <c r="S41" s="325"/>
      <c r="T41" s="325"/>
      <c r="U41" s="325"/>
      <c r="V41" s="325"/>
      <c r="W41" s="313"/>
      <c r="X41" s="313"/>
      <c r="Y41" s="313"/>
      <c r="Z41" s="313"/>
      <c r="AA41" s="313"/>
      <c r="AB41" s="313"/>
      <c r="AC41" s="313"/>
      <c r="AD41" s="313"/>
      <c r="AE41" s="313"/>
      <c r="AF41" s="313"/>
      <c r="AG41" s="313"/>
      <c r="AH41" s="313"/>
      <c r="AI41" s="313"/>
      <c r="AJ41" s="313"/>
      <c r="AK41" s="313"/>
      <c r="AL41" s="313"/>
      <c r="AM41" s="313"/>
      <c r="AN41" s="313"/>
      <c r="AO41" s="313"/>
      <c r="AP41" s="313"/>
      <c r="AQ41" s="313"/>
      <c r="AR41" s="313"/>
      <c r="AS41" s="313"/>
      <c r="AT41" s="313"/>
      <c r="AU41" s="313"/>
      <c r="AV41" s="313"/>
      <c r="AW41" s="313"/>
      <c r="AX41" s="313"/>
      <c r="AY41" s="313"/>
      <c r="AZ41" s="313"/>
      <c r="BA41" s="313"/>
      <c r="BB41" s="313"/>
      <c r="BC41" s="313"/>
      <c r="BD41" s="313"/>
      <c r="BE41" s="313"/>
    </row>
    <row r="42" spans="1:57">
      <c r="E42" s="321"/>
      <c r="L42" s="324"/>
      <c r="M42" s="325"/>
      <c r="N42" s="325"/>
      <c r="O42" s="325"/>
      <c r="P42" s="325"/>
      <c r="Q42" s="325"/>
      <c r="R42" s="325"/>
      <c r="S42" s="325"/>
      <c r="T42" s="325"/>
      <c r="U42" s="325"/>
      <c r="V42" s="325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  <c r="AG42" s="313"/>
      <c r="AH42" s="313"/>
      <c r="AI42" s="313"/>
      <c r="AJ42" s="313"/>
      <c r="AK42" s="313"/>
      <c r="AL42" s="313"/>
      <c r="AM42" s="313"/>
      <c r="AN42" s="313"/>
      <c r="AO42" s="313"/>
      <c r="AP42" s="313"/>
      <c r="AQ42" s="313"/>
      <c r="AR42" s="313"/>
      <c r="AS42" s="313"/>
      <c r="AT42" s="313"/>
      <c r="AU42" s="313"/>
      <c r="AV42" s="313"/>
      <c r="AW42" s="313"/>
      <c r="AX42" s="313"/>
      <c r="AY42" s="313"/>
      <c r="AZ42" s="313"/>
      <c r="BA42" s="313"/>
      <c r="BB42" s="313"/>
      <c r="BC42" s="313"/>
      <c r="BD42" s="313"/>
      <c r="BE42" s="313"/>
    </row>
    <row r="43" spans="1:57">
      <c r="E43" s="321"/>
      <c r="L43" s="324"/>
      <c r="M43" s="325"/>
      <c r="N43" s="325"/>
      <c r="O43" s="325"/>
      <c r="P43" s="325"/>
      <c r="Q43" s="325"/>
      <c r="R43" s="325"/>
      <c r="S43" s="325"/>
      <c r="T43" s="325"/>
      <c r="U43" s="325"/>
      <c r="V43" s="325"/>
      <c r="W43" s="313"/>
      <c r="X43" s="313"/>
      <c r="Y43" s="313"/>
      <c r="Z43" s="313"/>
      <c r="AA43" s="313"/>
      <c r="AB43" s="313"/>
      <c r="AC43" s="313"/>
      <c r="AD43" s="313"/>
      <c r="AE43" s="313"/>
      <c r="AF43" s="313"/>
      <c r="AG43" s="313"/>
      <c r="AH43" s="313"/>
      <c r="AI43" s="313"/>
      <c r="AJ43" s="313"/>
      <c r="AK43" s="313"/>
      <c r="AL43" s="313"/>
      <c r="AM43" s="313"/>
      <c r="AN43" s="313"/>
      <c r="AO43" s="313"/>
      <c r="AP43" s="313"/>
      <c r="AQ43" s="313"/>
      <c r="AR43" s="313"/>
      <c r="AS43" s="313"/>
      <c r="AT43" s="313"/>
      <c r="AU43" s="313"/>
      <c r="AV43" s="313"/>
      <c r="AW43" s="313"/>
      <c r="AX43" s="313"/>
      <c r="AY43" s="313"/>
      <c r="AZ43" s="313"/>
      <c r="BA43" s="313"/>
      <c r="BB43" s="313"/>
      <c r="BC43" s="313"/>
      <c r="BD43" s="313"/>
      <c r="BE43" s="313"/>
    </row>
    <row r="44" spans="1:57">
      <c r="E44" s="321"/>
      <c r="L44" s="325"/>
      <c r="M44" s="325"/>
      <c r="N44" s="325"/>
      <c r="O44" s="325"/>
      <c r="P44" s="325"/>
      <c r="Q44" s="325"/>
      <c r="R44" s="325"/>
      <c r="S44" s="325"/>
      <c r="T44" s="325"/>
      <c r="U44" s="325"/>
      <c r="V44" s="325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13"/>
      <c r="AI44" s="313"/>
      <c r="AJ44" s="313"/>
      <c r="AK44" s="313"/>
      <c r="AL44" s="313"/>
      <c r="AM44" s="313"/>
      <c r="AN44" s="313"/>
      <c r="AO44" s="313"/>
      <c r="AP44" s="313"/>
      <c r="AQ44" s="313"/>
      <c r="AR44" s="313"/>
      <c r="AS44" s="313"/>
      <c r="AT44" s="313"/>
      <c r="AU44" s="313"/>
      <c r="AV44" s="313"/>
      <c r="AW44" s="313"/>
      <c r="AX44" s="313"/>
      <c r="AY44" s="313"/>
      <c r="AZ44" s="313"/>
      <c r="BA44" s="313"/>
      <c r="BB44" s="313"/>
      <c r="BC44" s="313"/>
      <c r="BD44" s="313"/>
      <c r="BE44" s="313"/>
    </row>
    <row r="45" spans="1:57">
      <c r="E45" s="321"/>
      <c r="L45" s="313"/>
      <c r="M45" s="313"/>
      <c r="N45" s="313"/>
      <c r="O45" s="313"/>
      <c r="P45" s="313"/>
      <c r="Q45" s="313"/>
      <c r="R45" s="313"/>
      <c r="S45" s="313"/>
      <c r="T45" s="313"/>
      <c r="U45" s="313"/>
      <c r="V45" s="313"/>
      <c r="W45" s="313"/>
      <c r="X45" s="313"/>
      <c r="Y45" s="313"/>
      <c r="Z45" s="313"/>
      <c r="AA45" s="313"/>
      <c r="AB45" s="313"/>
      <c r="AC45" s="313"/>
      <c r="AD45" s="313"/>
      <c r="AE45" s="313"/>
      <c r="AF45" s="313"/>
      <c r="AG45" s="313"/>
      <c r="AH45" s="313"/>
      <c r="AI45" s="313"/>
      <c r="AJ45" s="313"/>
      <c r="AK45" s="313"/>
      <c r="AL45" s="313"/>
      <c r="AM45" s="313"/>
      <c r="AN45" s="313"/>
      <c r="AO45" s="313"/>
      <c r="AP45" s="313"/>
      <c r="AQ45" s="313"/>
      <c r="AR45" s="313"/>
      <c r="AS45" s="313"/>
      <c r="AT45" s="313"/>
      <c r="AU45" s="313"/>
      <c r="AV45" s="313"/>
      <c r="AW45" s="313"/>
      <c r="AX45" s="313"/>
      <c r="AY45" s="313"/>
      <c r="AZ45" s="313"/>
      <c r="BA45" s="313"/>
      <c r="BB45" s="313"/>
      <c r="BC45" s="313"/>
      <c r="BD45" s="313"/>
      <c r="BE45" s="313"/>
    </row>
    <row r="46" spans="1:57">
      <c r="E46" s="321"/>
      <c r="L46" s="326"/>
      <c r="M46" s="313"/>
      <c r="N46" s="313"/>
      <c r="O46" s="313"/>
      <c r="P46" s="313"/>
      <c r="Q46" s="313"/>
      <c r="R46" s="313"/>
      <c r="S46" s="313"/>
      <c r="T46" s="313"/>
      <c r="U46" s="327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  <c r="AF46" s="313"/>
      <c r="AG46" s="313"/>
      <c r="AH46" s="313"/>
      <c r="AI46" s="313"/>
      <c r="AJ46" s="313"/>
      <c r="AK46" s="313"/>
      <c r="AL46" s="313"/>
      <c r="AM46" s="313"/>
      <c r="AN46" s="313"/>
      <c r="AO46" s="313"/>
      <c r="AP46" s="313"/>
      <c r="AQ46" s="313"/>
      <c r="AR46" s="313"/>
      <c r="AS46" s="313"/>
      <c r="AT46" s="313"/>
      <c r="AU46" s="313"/>
      <c r="AV46" s="313"/>
      <c r="AW46" s="313"/>
      <c r="AX46" s="313"/>
      <c r="AY46" s="313"/>
      <c r="AZ46" s="313"/>
      <c r="BA46" s="313"/>
      <c r="BB46" s="313"/>
      <c r="BC46" s="313"/>
      <c r="BD46" s="313"/>
      <c r="BE46" s="313"/>
    </row>
    <row r="47" spans="1:57">
      <c r="E47" s="321"/>
      <c r="L47" s="326"/>
      <c r="M47" s="313"/>
      <c r="N47" s="313"/>
      <c r="O47" s="313"/>
      <c r="P47" s="313"/>
      <c r="Q47" s="313"/>
      <c r="R47" s="313"/>
      <c r="S47" s="313"/>
      <c r="T47" s="313"/>
      <c r="U47" s="327"/>
      <c r="V47" s="313"/>
      <c r="W47" s="313"/>
      <c r="X47" s="313"/>
      <c r="Y47" s="313"/>
      <c r="Z47" s="313"/>
      <c r="AA47" s="313"/>
      <c r="AB47" s="313"/>
      <c r="AC47" s="313"/>
      <c r="AD47" s="313"/>
      <c r="AE47" s="313"/>
      <c r="AF47" s="313"/>
      <c r="AG47" s="313"/>
      <c r="AH47" s="313"/>
      <c r="AI47" s="313"/>
      <c r="AJ47" s="313"/>
      <c r="AK47" s="313"/>
      <c r="AL47" s="313"/>
      <c r="AM47" s="313"/>
      <c r="AN47" s="313"/>
      <c r="AO47" s="313"/>
      <c r="AP47" s="313"/>
      <c r="AQ47" s="313"/>
      <c r="AR47" s="313"/>
      <c r="AS47" s="313"/>
      <c r="AT47" s="313"/>
      <c r="AU47" s="313"/>
      <c r="AV47" s="313"/>
      <c r="AW47" s="313"/>
      <c r="AX47" s="313"/>
      <c r="AY47" s="313"/>
      <c r="AZ47" s="313"/>
      <c r="BA47" s="313"/>
      <c r="BB47" s="313"/>
      <c r="BC47" s="313"/>
      <c r="BD47" s="313"/>
      <c r="BE47" s="313"/>
    </row>
    <row r="48" spans="1:57">
      <c r="L48" s="327"/>
      <c r="M48" s="313"/>
      <c r="N48" s="313"/>
      <c r="O48" s="313"/>
      <c r="P48" s="313"/>
      <c r="Q48" s="313"/>
      <c r="R48" s="313"/>
      <c r="S48" s="313"/>
      <c r="T48" s="313"/>
      <c r="U48" s="327"/>
      <c r="V48" s="313"/>
      <c r="W48" s="313"/>
      <c r="X48" s="313"/>
      <c r="Y48" s="313"/>
      <c r="Z48" s="313"/>
      <c r="AA48" s="313"/>
      <c r="AB48" s="313"/>
      <c r="AC48" s="313"/>
      <c r="AD48" s="313"/>
      <c r="AE48" s="313"/>
      <c r="AF48" s="313"/>
      <c r="AG48" s="313"/>
      <c r="AH48" s="313"/>
      <c r="AI48" s="313"/>
      <c r="AJ48" s="313"/>
      <c r="AK48" s="313"/>
      <c r="AL48" s="313"/>
      <c r="AM48" s="313"/>
      <c r="AN48" s="313"/>
      <c r="AO48" s="313"/>
      <c r="AP48" s="313"/>
      <c r="AQ48" s="313"/>
      <c r="AR48" s="313"/>
      <c r="AS48" s="313"/>
      <c r="AT48" s="313"/>
      <c r="AU48" s="313"/>
      <c r="AV48" s="313"/>
      <c r="AW48" s="313"/>
      <c r="AX48" s="313"/>
      <c r="AY48" s="313"/>
      <c r="AZ48" s="313"/>
      <c r="BA48" s="313"/>
      <c r="BB48" s="313"/>
      <c r="BC48" s="313"/>
      <c r="BD48" s="313"/>
      <c r="BE48" s="313"/>
    </row>
    <row r="49" spans="12:57">
      <c r="L49" s="313"/>
      <c r="M49" s="313"/>
      <c r="N49" s="313"/>
      <c r="O49" s="313"/>
      <c r="P49" s="313"/>
      <c r="Q49" s="313"/>
      <c r="R49" s="313"/>
      <c r="S49" s="313"/>
      <c r="T49" s="313"/>
      <c r="U49" s="313"/>
      <c r="V49" s="327"/>
      <c r="W49" s="313"/>
      <c r="X49" s="313"/>
      <c r="Y49" s="313"/>
      <c r="Z49" s="313"/>
      <c r="AA49" s="313"/>
      <c r="AB49" s="313"/>
      <c r="AC49" s="313"/>
      <c r="AD49" s="313"/>
      <c r="AE49" s="313"/>
      <c r="AF49" s="313"/>
      <c r="AG49" s="313"/>
      <c r="AH49" s="313"/>
      <c r="AI49" s="313"/>
      <c r="AJ49" s="313"/>
      <c r="AK49" s="313"/>
      <c r="AL49" s="313"/>
      <c r="AM49" s="313"/>
      <c r="AN49" s="313"/>
      <c r="AO49" s="313"/>
      <c r="AP49" s="313"/>
      <c r="AQ49" s="313"/>
      <c r="AR49" s="313"/>
      <c r="AS49" s="313"/>
      <c r="AT49" s="313"/>
      <c r="AU49" s="313"/>
      <c r="AV49" s="313"/>
      <c r="AW49" s="313"/>
      <c r="AX49" s="313"/>
      <c r="AY49" s="313"/>
      <c r="AZ49" s="313"/>
      <c r="BA49" s="313"/>
      <c r="BB49" s="313"/>
      <c r="BC49" s="313"/>
      <c r="BD49" s="313"/>
      <c r="BE49" s="313"/>
    </row>
    <row r="50" spans="12:57">
      <c r="L50" s="311"/>
      <c r="M50" s="311"/>
      <c r="N50" s="311"/>
      <c r="O50" s="311"/>
      <c r="P50" s="311"/>
      <c r="Q50" s="311"/>
      <c r="R50" s="311"/>
      <c r="S50" s="311"/>
      <c r="T50" s="311"/>
      <c r="U50" s="311"/>
      <c r="V50" s="311"/>
      <c r="W50" s="327"/>
      <c r="X50" s="313"/>
      <c r="Y50" s="313"/>
      <c r="Z50" s="313"/>
      <c r="AA50" s="313"/>
      <c r="AB50" s="313"/>
      <c r="AC50" s="313"/>
      <c r="AD50" s="313"/>
      <c r="AE50" s="313"/>
      <c r="AF50" s="313"/>
      <c r="AG50" s="313"/>
      <c r="AH50" s="313"/>
      <c r="AI50" s="313"/>
      <c r="AJ50" s="313"/>
      <c r="AK50" s="313"/>
      <c r="AL50" s="313"/>
      <c r="AM50" s="313"/>
      <c r="AN50" s="313"/>
      <c r="AO50" s="313"/>
      <c r="AP50" s="313"/>
      <c r="AQ50" s="313"/>
      <c r="AR50" s="313"/>
      <c r="AS50" s="313"/>
      <c r="AT50" s="313"/>
      <c r="AU50" s="313"/>
      <c r="AV50" s="313"/>
      <c r="AW50" s="313"/>
      <c r="AX50" s="313"/>
      <c r="AY50" s="313"/>
      <c r="AZ50" s="313"/>
      <c r="BA50" s="313"/>
      <c r="BB50" s="313"/>
      <c r="BC50" s="313"/>
      <c r="BD50" s="313"/>
      <c r="BE50" s="313"/>
    </row>
    <row r="51" spans="12:57">
      <c r="L51" s="313"/>
      <c r="M51" s="313"/>
      <c r="N51" s="313"/>
      <c r="O51" s="313"/>
      <c r="P51" s="328"/>
      <c r="Q51" s="313"/>
      <c r="R51" s="328"/>
      <c r="S51" s="313"/>
      <c r="T51" s="313"/>
      <c r="U51" s="313"/>
      <c r="V51" s="313"/>
      <c r="W51" s="313"/>
      <c r="X51" s="313"/>
      <c r="Y51" s="313"/>
      <c r="Z51" s="313"/>
      <c r="AA51" s="313"/>
      <c r="AB51" s="313"/>
      <c r="AC51" s="313"/>
      <c r="AD51" s="313"/>
      <c r="AE51" s="313"/>
      <c r="AF51" s="313"/>
      <c r="AG51" s="313"/>
      <c r="AH51" s="313"/>
      <c r="AI51" s="313"/>
      <c r="AJ51" s="313"/>
      <c r="AK51" s="313"/>
      <c r="AL51" s="313"/>
      <c r="AM51" s="313"/>
      <c r="AN51" s="313"/>
      <c r="AO51" s="313"/>
      <c r="AP51" s="313"/>
      <c r="AQ51" s="313"/>
      <c r="AR51" s="313"/>
      <c r="AS51" s="313"/>
      <c r="AT51" s="313"/>
      <c r="AU51" s="313"/>
      <c r="AV51" s="313"/>
      <c r="AW51" s="313"/>
      <c r="AX51" s="313"/>
      <c r="AY51" s="313"/>
      <c r="AZ51" s="313"/>
      <c r="BA51" s="313"/>
      <c r="BB51" s="313"/>
      <c r="BC51" s="313"/>
      <c r="BD51" s="313"/>
      <c r="BE51" s="313"/>
    </row>
    <row r="52" spans="12:57">
      <c r="L52" s="328"/>
      <c r="M52" s="313"/>
      <c r="N52" s="328"/>
      <c r="O52" s="313"/>
      <c r="P52" s="328"/>
      <c r="Q52" s="313"/>
      <c r="R52" s="328"/>
      <c r="S52" s="328"/>
      <c r="T52" s="328"/>
      <c r="U52" s="328"/>
      <c r="V52" s="329"/>
      <c r="W52" s="313"/>
      <c r="X52" s="313"/>
      <c r="Y52" s="313"/>
      <c r="Z52" s="313"/>
      <c r="AA52" s="313"/>
      <c r="AB52" s="313"/>
      <c r="AC52" s="313"/>
      <c r="AD52" s="313"/>
      <c r="AE52" s="313"/>
      <c r="AF52" s="313"/>
      <c r="AG52" s="313"/>
      <c r="AH52" s="313"/>
      <c r="AI52" s="313"/>
      <c r="AJ52" s="313"/>
      <c r="AK52" s="313"/>
      <c r="AL52" s="313"/>
      <c r="AM52" s="313"/>
      <c r="AN52" s="313"/>
      <c r="AO52" s="313"/>
      <c r="AP52" s="313"/>
      <c r="AQ52" s="313"/>
      <c r="AR52" s="313"/>
      <c r="AS52" s="313"/>
      <c r="AT52" s="313"/>
      <c r="AU52" s="313"/>
      <c r="AV52" s="313"/>
      <c r="AW52" s="313"/>
      <c r="AX52" s="313"/>
      <c r="AY52" s="313"/>
      <c r="AZ52" s="313"/>
      <c r="BA52" s="313"/>
      <c r="BB52" s="313"/>
      <c r="BC52" s="313"/>
      <c r="BD52" s="313"/>
      <c r="BE52" s="313"/>
    </row>
    <row r="53" spans="12:57">
      <c r="L53" s="328"/>
      <c r="M53" s="313"/>
      <c r="N53" s="328"/>
      <c r="O53" s="313"/>
      <c r="P53" s="328"/>
      <c r="Q53" s="313"/>
      <c r="R53" s="328"/>
      <c r="S53" s="328"/>
      <c r="T53" s="328"/>
      <c r="U53" s="328"/>
      <c r="V53" s="329"/>
      <c r="W53" s="313"/>
      <c r="X53" s="313"/>
      <c r="Y53" s="313"/>
      <c r="Z53" s="313"/>
      <c r="AA53" s="313"/>
      <c r="AB53" s="313"/>
      <c r="AC53" s="313"/>
      <c r="AD53" s="313"/>
      <c r="AE53" s="313"/>
      <c r="AF53" s="313"/>
      <c r="AG53" s="313"/>
      <c r="AH53" s="313"/>
      <c r="AI53" s="313"/>
      <c r="AJ53" s="313"/>
      <c r="AK53" s="313"/>
      <c r="AL53" s="313"/>
      <c r="AM53" s="313"/>
      <c r="AN53" s="313"/>
      <c r="AO53" s="313"/>
      <c r="AP53" s="313"/>
      <c r="AQ53" s="313"/>
      <c r="AR53" s="313"/>
      <c r="AS53" s="313"/>
      <c r="AT53" s="313"/>
      <c r="AU53" s="313"/>
      <c r="AV53" s="313"/>
      <c r="AW53" s="313"/>
      <c r="AX53" s="313"/>
      <c r="AY53" s="313"/>
      <c r="AZ53" s="313"/>
      <c r="BA53" s="313"/>
      <c r="BB53" s="313"/>
      <c r="BC53" s="313"/>
      <c r="BD53" s="313"/>
      <c r="BE53" s="313"/>
    </row>
    <row r="54" spans="12:57">
      <c r="L54" s="311"/>
      <c r="M54" s="311"/>
      <c r="N54" s="311"/>
      <c r="O54" s="311"/>
      <c r="P54" s="311"/>
      <c r="Q54" s="311"/>
      <c r="R54" s="311"/>
      <c r="S54" s="311"/>
      <c r="T54" s="311"/>
      <c r="U54" s="328"/>
      <c r="V54" s="313"/>
      <c r="W54" s="327"/>
      <c r="X54" s="313"/>
      <c r="Y54" s="313"/>
      <c r="Z54" s="313"/>
      <c r="AA54" s="313"/>
      <c r="AB54" s="313"/>
      <c r="AC54" s="313"/>
      <c r="AD54" s="313"/>
      <c r="AE54" s="313"/>
      <c r="AF54" s="313"/>
      <c r="AG54" s="313"/>
      <c r="AH54" s="313"/>
      <c r="AI54" s="313"/>
      <c r="AJ54" s="313"/>
      <c r="AK54" s="313"/>
      <c r="AL54" s="313"/>
      <c r="AM54" s="313"/>
      <c r="AN54" s="313"/>
      <c r="AO54" s="313"/>
      <c r="AP54" s="313"/>
      <c r="AQ54" s="313"/>
      <c r="AR54" s="313"/>
      <c r="AS54" s="313"/>
      <c r="AT54" s="313"/>
      <c r="AU54" s="313"/>
      <c r="AV54" s="313"/>
      <c r="AW54" s="313"/>
      <c r="AX54" s="313"/>
      <c r="AY54" s="313"/>
      <c r="AZ54" s="313"/>
      <c r="BA54" s="313"/>
      <c r="BB54" s="313"/>
      <c r="BC54" s="313"/>
      <c r="BD54" s="313"/>
      <c r="BE54" s="313"/>
    </row>
    <row r="55" spans="12:57" ht="15.6">
      <c r="L55" s="313"/>
      <c r="M55" s="313"/>
      <c r="N55" s="313"/>
      <c r="O55" s="313"/>
      <c r="P55" s="330"/>
      <c r="Q55" s="313"/>
      <c r="R55" s="313"/>
      <c r="S55" s="313"/>
      <c r="T55" s="313"/>
      <c r="U55" s="313"/>
      <c r="V55" s="331"/>
      <c r="W55" s="313"/>
      <c r="X55" s="313"/>
      <c r="Y55" s="313"/>
      <c r="Z55" s="313"/>
      <c r="AA55" s="313"/>
      <c r="AB55" s="313"/>
      <c r="AC55" s="313"/>
      <c r="AD55" s="313"/>
      <c r="AE55" s="313"/>
      <c r="AF55" s="313"/>
      <c r="AG55" s="313"/>
      <c r="AH55" s="313"/>
      <c r="AI55" s="313"/>
      <c r="AJ55" s="313"/>
      <c r="AK55" s="313"/>
      <c r="AL55" s="313"/>
      <c r="AM55" s="313"/>
      <c r="AN55" s="313"/>
      <c r="AO55" s="313"/>
      <c r="AP55" s="313"/>
      <c r="AQ55" s="313"/>
      <c r="AR55" s="313"/>
      <c r="AS55" s="313"/>
      <c r="AT55" s="313"/>
      <c r="AU55" s="313"/>
      <c r="AV55" s="313"/>
      <c r="AW55" s="313"/>
      <c r="AX55" s="313"/>
      <c r="AY55" s="313"/>
      <c r="AZ55" s="313"/>
      <c r="BA55" s="313"/>
      <c r="BB55" s="313"/>
      <c r="BC55" s="313"/>
      <c r="BD55" s="313"/>
      <c r="BE55" s="313"/>
    </row>
    <row r="56" spans="12:57">
      <c r="L56" s="326"/>
      <c r="M56" s="313"/>
      <c r="N56" s="328"/>
      <c r="O56" s="327"/>
      <c r="P56" s="332"/>
      <c r="Q56" s="333"/>
      <c r="R56" s="333"/>
      <c r="S56" s="332"/>
      <c r="T56" s="333"/>
      <c r="U56" s="334"/>
      <c r="V56" s="335"/>
      <c r="W56" s="313"/>
      <c r="X56" s="313"/>
      <c r="Y56" s="313"/>
      <c r="Z56" s="313"/>
      <c r="AA56" s="313"/>
      <c r="AB56" s="313"/>
      <c r="AC56" s="313"/>
      <c r="AD56" s="313"/>
      <c r="AE56" s="313"/>
      <c r="AF56" s="313"/>
      <c r="AG56" s="313"/>
      <c r="AH56" s="313"/>
      <c r="AI56" s="313"/>
      <c r="AJ56" s="313"/>
      <c r="AK56" s="313"/>
      <c r="AL56" s="313"/>
      <c r="AM56" s="313"/>
      <c r="AN56" s="313"/>
      <c r="AO56" s="313"/>
      <c r="AP56" s="313"/>
      <c r="AQ56" s="313"/>
      <c r="AR56" s="313"/>
      <c r="AS56" s="313"/>
      <c r="AT56" s="313"/>
      <c r="AU56" s="313"/>
      <c r="AV56" s="313"/>
      <c r="AW56" s="313"/>
      <c r="AX56" s="313"/>
      <c r="AY56" s="313"/>
      <c r="AZ56" s="313"/>
      <c r="BA56" s="313"/>
      <c r="BB56" s="313"/>
      <c r="BC56" s="313"/>
      <c r="BD56" s="313"/>
      <c r="BE56" s="313"/>
    </row>
    <row r="57" spans="12:57">
      <c r="L57" s="326"/>
      <c r="M57" s="313"/>
      <c r="N57" s="335"/>
      <c r="O57" s="327"/>
      <c r="P57" s="336"/>
      <c r="Q57" s="337"/>
      <c r="R57" s="337"/>
      <c r="S57" s="336"/>
      <c r="T57" s="337"/>
      <c r="U57" s="334"/>
      <c r="V57" s="335"/>
      <c r="W57" s="313"/>
      <c r="X57" s="313"/>
      <c r="Y57" s="313"/>
      <c r="Z57" s="313"/>
      <c r="AA57" s="313"/>
      <c r="AB57" s="313"/>
      <c r="AC57" s="313"/>
      <c r="AD57" s="313"/>
      <c r="AE57" s="313"/>
      <c r="AF57" s="313"/>
      <c r="AG57" s="313"/>
      <c r="AH57" s="313"/>
      <c r="AI57" s="313"/>
      <c r="AJ57" s="313"/>
      <c r="AK57" s="313"/>
      <c r="AL57" s="313"/>
      <c r="AM57" s="313"/>
      <c r="AN57" s="313"/>
      <c r="AO57" s="313"/>
      <c r="AP57" s="313"/>
      <c r="AQ57" s="313"/>
      <c r="AR57" s="313"/>
      <c r="AS57" s="313"/>
      <c r="AT57" s="313"/>
      <c r="AU57" s="313"/>
      <c r="AV57" s="313"/>
      <c r="AW57" s="313"/>
      <c r="AX57" s="313"/>
      <c r="AY57" s="313"/>
      <c r="AZ57" s="313"/>
      <c r="BA57" s="313"/>
      <c r="BB57" s="313"/>
      <c r="BC57" s="313"/>
      <c r="BD57" s="313"/>
      <c r="BE57" s="313"/>
    </row>
    <row r="58" spans="12:57">
      <c r="L58" s="326"/>
      <c r="M58" s="313"/>
      <c r="N58" s="328"/>
      <c r="O58" s="327"/>
      <c r="P58" s="338"/>
      <c r="Q58" s="333"/>
      <c r="R58" s="333"/>
      <c r="S58" s="338"/>
      <c r="T58" s="333"/>
      <c r="U58" s="334"/>
      <c r="V58" s="335"/>
      <c r="W58" s="313"/>
      <c r="X58" s="313"/>
      <c r="Y58" s="313"/>
      <c r="Z58" s="313"/>
      <c r="AA58" s="313"/>
      <c r="AB58" s="313"/>
      <c r="AC58" s="313"/>
      <c r="AD58" s="313"/>
      <c r="AE58" s="313"/>
      <c r="AF58" s="313"/>
      <c r="AG58" s="313"/>
      <c r="AH58" s="313"/>
      <c r="AI58" s="313"/>
      <c r="AJ58" s="313"/>
      <c r="AK58" s="313"/>
      <c r="AL58" s="313"/>
      <c r="AM58" s="313"/>
      <c r="AN58" s="313"/>
      <c r="AO58" s="313"/>
      <c r="AP58" s="313"/>
      <c r="AQ58" s="313"/>
      <c r="AR58" s="313"/>
      <c r="AS58" s="313"/>
      <c r="AT58" s="313"/>
      <c r="AU58" s="313"/>
      <c r="AV58" s="313"/>
      <c r="AW58" s="313"/>
      <c r="AX58" s="313"/>
      <c r="AY58" s="313"/>
      <c r="AZ58" s="313"/>
      <c r="BA58" s="313"/>
      <c r="BB58" s="313"/>
      <c r="BC58" s="313"/>
      <c r="BD58" s="313"/>
      <c r="BE58" s="313"/>
    </row>
    <row r="59" spans="12:57">
      <c r="L59" s="326"/>
      <c r="M59" s="313"/>
      <c r="N59" s="328"/>
      <c r="O59" s="327"/>
      <c r="P59" s="336"/>
      <c r="Q59" s="313"/>
      <c r="R59" s="313"/>
      <c r="S59" s="336"/>
      <c r="T59" s="313"/>
      <c r="U59" s="334"/>
      <c r="V59" s="335"/>
      <c r="W59" s="313"/>
      <c r="X59" s="313"/>
      <c r="Y59" s="313"/>
      <c r="Z59" s="313"/>
      <c r="AA59" s="313"/>
      <c r="AB59" s="313"/>
      <c r="AC59" s="313"/>
      <c r="AD59" s="313"/>
      <c r="AE59" s="313"/>
      <c r="AF59" s="313"/>
      <c r="AG59" s="313"/>
      <c r="AH59" s="313"/>
      <c r="AI59" s="313"/>
      <c r="AJ59" s="313"/>
      <c r="AK59" s="313"/>
      <c r="AL59" s="313"/>
      <c r="AM59" s="313"/>
      <c r="AN59" s="313"/>
      <c r="AO59" s="313"/>
      <c r="AP59" s="313"/>
      <c r="AQ59" s="313"/>
      <c r="AR59" s="313"/>
      <c r="AS59" s="313"/>
      <c r="AT59" s="313"/>
      <c r="AU59" s="313"/>
      <c r="AV59" s="313"/>
      <c r="AW59" s="313"/>
      <c r="AX59" s="313"/>
      <c r="AY59" s="313"/>
      <c r="AZ59" s="313"/>
      <c r="BA59" s="313"/>
      <c r="BB59" s="313"/>
      <c r="BC59" s="313"/>
      <c r="BD59" s="313"/>
      <c r="BE59" s="313"/>
    </row>
    <row r="60" spans="12:57">
      <c r="L60" s="326"/>
      <c r="M60" s="313"/>
      <c r="N60" s="329"/>
      <c r="O60" s="327"/>
      <c r="P60" s="338"/>
      <c r="Q60" s="333"/>
      <c r="R60" s="333"/>
      <c r="S60" s="338"/>
      <c r="T60" s="333"/>
      <c r="U60" s="334"/>
      <c r="V60" s="329"/>
      <c r="W60" s="313"/>
      <c r="X60" s="313"/>
      <c r="Y60" s="313"/>
      <c r="Z60" s="313"/>
      <c r="AA60" s="313"/>
      <c r="AB60" s="313"/>
      <c r="AC60" s="313"/>
      <c r="AD60" s="313"/>
      <c r="AE60" s="313"/>
      <c r="AF60" s="313"/>
      <c r="AG60" s="313"/>
      <c r="AH60" s="313"/>
      <c r="AI60" s="313"/>
      <c r="AJ60" s="313"/>
      <c r="AK60" s="313"/>
      <c r="AL60" s="313"/>
      <c r="AM60" s="313"/>
      <c r="AN60" s="313"/>
      <c r="AO60" s="313"/>
      <c r="AP60" s="313"/>
      <c r="AQ60" s="313"/>
      <c r="AR60" s="313"/>
      <c r="AS60" s="313"/>
      <c r="AT60" s="313"/>
      <c r="AU60" s="313"/>
      <c r="AV60" s="313"/>
      <c r="AW60" s="313"/>
      <c r="AX60" s="313"/>
      <c r="AY60" s="313"/>
      <c r="AZ60" s="313"/>
      <c r="BA60" s="313"/>
      <c r="BB60" s="313"/>
      <c r="BC60" s="313"/>
      <c r="BD60" s="313"/>
      <c r="BE60" s="313"/>
    </row>
    <row r="61" spans="12:57">
      <c r="L61" s="326"/>
      <c r="M61" s="313"/>
      <c r="N61" s="335"/>
      <c r="O61" s="327"/>
      <c r="P61" s="339"/>
      <c r="Q61" s="327"/>
      <c r="R61" s="327"/>
      <c r="S61" s="340"/>
      <c r="T61" s="327"/>
      <c r="U61" s="334"/>
      <c r="V61" s="335"/>
      <c r="W61" s="313"/>
      <c r="X61" s="313"/>
      <c r="Y61" s="313"/>
      <c r="Z61" s="313"/>
      <c r="AA61" s="313"/>
      <c r="AB61" s="313"/>
      <c r="AC61" s="313"/>
      <c r="AD61" s="313"/>
      <c r="AE61" s="313"/>
      <c r="AF61" s="313"/>
      <c r="AG61" s="313"/>
      <c r="AH61" s="313"/>
      <c r="AI61" s="313"/>
      <c r="AJ61" s="313"/>
      <c r="AK61" s="313"/>
      <c r="AL61" s="313"/>
      <c r="AM61" s="313"/>
      <c r="AN61" s="313"/>
      <c r="AO61" s="313"/>
      <c r="AP61" s="313"/>
      <c r="AQ61" s="313"/>
      <c r="AR61" s="313"/>
      <c r="AS61" s="313"/>
      <c r="AT61" s="313"/>
      <c r="AU61" s="313"/>
      <c r="AV61" s="313"/>
      <c r="AW61" s="313"/>
      <c r="AX61" s="313"/>
      <c r="AY61" s="313"/>
      <c r="AZ61" s="313"/>
      <c r="BA61" s="313"/>
      <c r="BB61" s="313"/>
      <c r="BC61" s="313"/>
      <c r="BD61" s="313"/>
      <c r="BE61" s="313"/>
    </row>
    <row r="62" spans="12:57">
      <c r="L62" s="326"/>
      <c r="M62" s="313"/>
      <c r="N62" s="328"/>
      <c r="O62" s="327"/>
      <c r="P62" s="339"/>
      <c r="Q62" s="333"/>
      <c r="R62" s="333"/>
      <c r="S62" s="340"/>
      <c r="T62" s="333"/>
      <c r="U62" s="334"/>
      <c r="V62" s="335"/>
      <c r="W62" s="313"/>
      <c r="X62" s="313"/>
      <c r="Y62" s="313"/>
      <c r="Z62" s="313"/>
      <c r="AA62" s="313"/>
      <c r="AB62" s="313"/>
      <c r="AC62" s="313"/>
      <c r="AD62" s="313"/>
      <c r="AE62" s="313"/>
      <c r="AF62" s="313"/>
      <c r="AG62" s="313"/>
      <c r="AH62" s="313"/>
      <c r="AI62" s="313"/>
      <c r="AJ62" s="313"/>
      <c r="AK62" s="313"/>
      <c r="AL62" s="313"/>
      <c r="AM62" s="313"/>
      <c r="AN62" s="313"/>
      <c r="AO62" s="313"/>
      <c r="AP62" s="313"/>
      <c r="AQ62" s="313"/>
      <c r="AR62" s="313"/>
      <c r="AS62" s="313"/>
      <c r="AT62" s="313"/>
      <c r="AU62" s="313"/>
      <c r="AV62" s="313"/>
      <c r="AW62" s="313"/>
      <c r="AX62" s="313"/>
      <c r="AY62" s="313"/>
      <c r="AZ62" s="313"/>
      <c r="BA62" s="313"/>
      <c r="BB62" s="313"/>
      <c r="BC62" s="313"/>
      <c r="BD62" s="313"/>
      <c r="BE62" s="313"/>
    </row>
    <row r="63" spans="12:57">
      <c r="L63" s="326"/>
      <c r="M63" s="313"/>
      <c r="N63" s="328"/>
      <c r="O63" s="327"/>
      <c r="P63" s="341"/>
      <c r="Q63" s="333"/>
      <c r="R63" s="333"/>
      <c r="S63" s="341"/>
      <c r="T63" s="333"/>
      <c r="U63" s="334"/>
      <c r="V63" s="335"/>
      <c r="W63" s="313"/>
      <c r="X63" s="313"/>
      <c r="Y63" s="313"/>
      <c r="Z63" s="313"/>
      <c r="AA63" s="313"/>
      <c r="AB63" s="313"/>
      <c r="AC63" s="313"/>
      <c r="AD63" s="313"/>
      <c r="AE63" s="313"/>
      <c r="AF63" s="313"/>
      <c r="AG63" s="313"/>
      <c r="AH63" s="313"/>
      <c r="AI63" s="313"/>
      <c r="AJ63" s="313"/>
      <c r="AK63" s="313"/>
      <c r="AL63" s="313"/>
      <c r="AM63" s="313"/>
      <c r="AN63" s="313"/>
      <c r="AO63" s="313"/>
      <c r="AP63" s="313"/>
      <c r="AQ63" s="313"/>
      <c r="AR63" s="313"/>
      <c r="AS63" s="313"/>
      <c r="AT63" s="313"/>
      <c r="AU63" s="313"/>
      <c r="AV63" s="313"/>
      <c r="AW63" s="313"/>
      <c r="AX63" s="313"/>
      <c r="AY63" s="313"/>
      <c r="AZ63" s="313"/>
      <c r="BA63" s="313"/>
      <c r="BB63" s="313"/>
      <c r="BC63" s="313"/>
      <c r="BD63" s="313"/>
      <c r="BE63" s="313"/>
    </row>
    <row r="64" spans="12:57">
      <c r="L64" s="326"/>
      <c r="M64" s="313"/>
      <c r="N64" s="335"/>
      <c r="O64" s="327"/>
      <c r="P64" s="336"/>
      <c r="Q64" s="337"/>
      <c r="R64" s="337"/>
      <c r="S64" s="336"/>
      <c r="T64" s="337"/>
      <c r="U64" s="334"/>
      <c r="V64" s="335"/>
      <c r="W64" s="313"/>
      <c r="X64" s="313"/>
      <c r="Y64" s="313"/>
      <c r="Z64" s="313"/>
      <c r="AA64" s="313"/>
      <c r="AB64" s="313"/>
      <c r="AC64" s="313"/>
      <c r="AD64" s="313"/>
      <c r="AE64" s="313"/>
      <c r="AF64" s="313"/>
      <c r="AG64" s="313"/>
      <c r="AH64" s="313"/>
      <c r="AI64" s="313"/>
      <c r="AJ64" s="313"/>
      <c r="AK64" s="313"/>
      <c r="AL64" s="313"/>
      <c r="AM64" s="313"/>
      <c r="AN64" s="313"/>
      <c r="AO64" s="313"/>
      <c r="AP64" s="313"/>
      <c r="AQ64" s="313"/>
      <c r="AR64" s="313"/>
      <c r="AS64" s="313"/>
      <c r="AT64" s="313"/>
      <c r="AU64" s="313"/>
      <c r="AV64" s="313"/>
      <c r="AW64" s="313"/>
      <c r="AX64" s="313"/>
      <c r="AY64" s="313"/>
      <c r="AZ64" s="313"/>
      <c r="BA64" s="313"/>
      <c r="BB64" s="313"/>
      <c r="BC64" s="313"/>
      <c r="BD64" s="313"/>
      <c r="BE64" s="313"/>
    </row>
    <row r="65" spans="12:57">
      <c r="L65" s="326"/>
      <c r="M65" s="313"/>
      <c r="N65" s="328"/>
      <c r="O65" s="327"/>
      <c r="P65" s="338"/>
      <c r="Q65" s="333"/>
      <c r="R65" s="337"/>
      <c r="S65" s="338"/>
      <c r="T65" s="333"/>
      <c r="U65" s="334"/>
      <c r="V65" s="328"/>
      <c r="W65" s="313"/>
      <c r="X65" s="313"/>
      <c r="Y65" s="313"/>
      <c r="Z65" s="313"/>
      <c r="AA65" s="313"/>
      <c r="AB65" s="313"/>
      <c r="AC65" s="313"/>
      <c r="AD65" s="313"/>
      <c r="AE65" s="313"/>
      <c r="AF65" s="313"/>
      <c r="AG65" s="313"/>
      <c r="AH65" s="313"/>
      <c r="AI65" s="313"/>
      <c r="AJ65" s="313"/>
      <c r="AK65" s="313"/>
      <c r="AL65" s="313"/>
      <c r="AM65" s="313"/>
      <c r="AN65" s="313"/>
      <c r="AO65" s="313"/>
      <c r="AP65" s="313"/>
      <c r="AQ65" s="313"/>
      <c r="AR65" s="313"/>
      <c r="AS65" s="313"/>
      <c r="AT65" s="313"/>
      <c r="AU65" s="313"/>
      <c r="AV65" s="313"/>
      <c r="AW65" s="313"/>
      <c r="AX65" s="313"/>
      <c r="AY65" s="313"/>
      <c r="AZ65" s="313"/>
      <c r="BA65" s="313"/>
      <c r="BB65" s="313"/>
      <c r="BC65" s="313"/>
      <c r="BD65" s="313"/>
      <c r="BE65" s="313"/>
    </row>
    <row r="66" spans="12:57">
      <c r="L66" s="326"/>
      <c r="M66" s="313"/>
      <c r="N66" s="328"/>
      <c r="O66" s="327"/>
      <c r="P66" s="337"/>
      <c r="Q66" s="337"/>
      <c r="R66" s="337"/>
      <c r="S66" s="337"/>
      <c r="T66" s="337"/>
      <c r="U66" s="338"/>
      <c r="V66" s="327"/>
      <c r="W66" s="313"/>
      <c r="X66" s="313"/>
      <c r="Y66" s="313"/>
      <c r="Z66" s="313"/>
      <c r="AA66" s="313"/>
      <c r="AB66" s="313"/>
      <c r="AC66" s="313"/>
      <c r="AD66" s="313"/>
      <c r="AE66" s="313"/>
      <c r="AF66" s="313"/>
      <c r="AG66" s="313"/>
      <c r="AH66" s="313"/>
      <c r="AI66" s="313"/>
      <c r="AJ66" s="313"/>
      <c r="AK66" s="313"/>
      <c r="AL66" s="313"/>
      <c r="AM66" s="313"/>
      <c r="AN66" s="313"/>
      <c r="AO66" s="313"/>
      <c r="AP66" s="313"/>
      <c r="AQ66" s="313"/>
      <c r="AR66" s="313"/>
      <c r="AS66" s="313"/>
      <c r="AT66" s="313"/>
      <c r="AU66" s="313"/>
      <c r="AV66" s="313"/>
      <c r="AW66" s="313"/>
      <c r="AX66" s="313"/>
      <c r="AY66" s="313"/>
      <c r="AZ66" s="313"/>
      <c r="BA66" s="313"/>
      <c r="BB66" s="313"/>
      <c r="BC66" s="313"/>
      <c r="BD66" s="313"/>
      <c r="BE66" s="313"/>
    </row>
    <row r="67" spans="12:57">
      <c r="L67" s="326"/>
      <c r="M67" s="313"/>
      <c r="N67" s="328"/>
      <c r="O67" s="327"/>
      <c r="P67" s="337"/>
      <c r="Q67" s="337"/>
      <c r="R67" s="337"/>
      <c r="S67" s="337"/>
      <c r="T67" s="337"/>
      <c r="U67" s="338"/>
      <c r="V67" s="327"/>
      <c r="W67" s="313"/>
      <c r="X67" s="313"/>
      <c r="Y67" s="313"/>
      <c r="Z67" s="313"/>
      <c r="AA67" s="313"/>
      <c r="AB67" s="313"/>
      <c r="AC67" s="313"/>
      <c r="AD67" s="313"/>
      <c r="AE67" s="313"/>
      <c r="AF67" s="313"/>
      <c r="AG67" s="313"/>
      <c r="AH67" s="313"/>
      <c r="AI67" s="313"/>
      <c r="AJ67" s="313"/>
      <c r="AK67" s="313"/>
      <c r="AL67" s="313"/>
      <c r="AM67" s="313"/>
      <c r="AN67" s="313"/>
      <c r="AO67" s="313"/>
      <c r="AP67" s="313"/>
      <c r="AQ67" s="313"/>
      <c r="AR67" s="313"/>
      <c r="AS67" s="313"/>
      <c r="AT67" s="313"/>
      <c r="AU67" s="313"/>
      <c r="AV67" s="313"/>
      <c r="AW67" s="313"/>
      <c r="AX67" s="313"/>
      <c r="AY67" s="313"/>
      <c r="AZ67" s="313"/>
      <c r="BA67" s="313"/>
      <c r="BB67" s="313"/>
      <c r="BC67" s="313"/>
      <c r="BD67" s="313"/>
      <c r="BE67" s="313"/>
    </row>
    <row r="68" spans="12:57">
      <c r="L68" s="326"/>
      <c r="M68" s="313"/>
      <c r="N68" s="328"/>
      <c r="O68" s="327"/>
      <c r="P68" s="337"/>
      <c r="Q68" s="337"/>
      <c r="R68" s="337"/>
      <c r="S68" s="337"/>
      <c r="T68" s="337"/>
      <c r="U68" s="338"/>
      <c r="V68" s="327"/>
      <c r="W68" s="313"/>
      <c r="X68" s="313"/>
      <c r="Y68" s="313"/>
      <c r="Z68" s="313"/>
      <c r="AA68" s="313"/>
      <c r="AB68" s="313"/>
      <c r="AC68" s="313"/>
      <c r="AD68" s="313"/>
      <c r="AE68" s="313"/>
      <c r="AF68" s="313"/>
      <c r="AG68" s="313"/>
      <c r="AH68" s="313"/>
      <c r="AI68" s="313"/>
      <c r="AJ68" s="313"/>
      <c r="AK68" s="313"/>
      <c r="AL68" s="313"/>
      <c r="AM68" s="313"/>
      <c r="AN68" s="313"/>
      <c r="AO68" s="313"/>
      <c r="AP68" s="313"/>
      <c r="AQ68" s="313"/>
      <c r="AR68" s="313"/>
      <c r="AS68" s="313"/>
      <c r="AT68" s="313"/>
      <c r="AU68" s="313"/>
      <c r="AV68" s="313"/>
      <c r="AW68" s="313"/>
      <c r="AX68" s="313"/>
      <c r="AY68" s="313"/>
      <c r="AZ68" s="313"/>
      <c r="BA68" s="313"/>
      <c r="BB68" s="313"/>
      <c r="BC68" s="313"/>
      <c r="BD68" s="313"/>
      <c r="BE68" s="313"/>
    </row>
    <row r="69" spans="12:57">
      <c r="L69" s="326"/>
      <c r="M69" s="313"/>
      <c r="N69" s="313"/>
      <c r="O69" s="327"/>
      <c r="P69" s="337"/>
      <c r="Q69" s="337"/>
      <c r="R69" s="337"/>
      <c r="S69" s="337"/>
      <c r="T69" s="337"/>
      <c r="U69" s="338"/>
      <c r="V69" s="327"/>
      <c r="W69" s="313"/>
      <c r="X69" s="313"/>
      <c r="Y69" s="313"/>
      <c r="Z69" s="313"/>
      <c r="AA69" s="313"/>
      <c r="AB69" s="313"/>
      <c r="AC69" s="313"/>
      <c r="AD69" s="313"/>
      <c r="AE69" s="313"/>
      <c r="AF69" s="313"/>
      <c r="AG69" s="313"/>
      <c r="AH69" s="313"/>
      <c r="AI69" s="313"/>
      <c r="AJ69" s="313"/>
      <c r="AK69" s="313"/>
      <c r="AL69" s="313"/>
      <c r="AM69" s="313"/>
      <c r="AN69" s="313"/>
      <c r="AO69" s="313"/>
      <c r="AP69" s="313"/>
      <c r="AQ69" s="313"/>
      <c r="AR69" s="313"/>
      <c r="AS69" s="313"/>
      <c r="AT69" s="313"/>
      <c r="AU69" s="313"/>
      <c r="AV69" s="313"/>
      <c r="AW69" s="313"/>
      <c r="AX69" s="313"/>
      <c r="AY69" s="313"/>
      <c r="AZ69" s="313"/>
      <c r="BA69" s="313"/>
      <c r="BB69" s="313"/>
      <c r="BC69" s="313"/>
      <c r="BD69" s="313"/>
      <c r="BE69" s="313"/>
    </row>
    <row r="70" spans="12:57">
      <c r="L70" s="313"/>
      <c r="M70" s="313"/>
      <c r="N70" s="313"/>
      <c r="O70" s="313"/>
      <c r="P70" s="313"/>
      <c r="Q70" s="313"/>
      <c r="R70" s="313"/>
      <c r="S70" s="313"/>
      <c r="T70" s="313"/>
      <c r="U70" s="313"/>
      <c r="V70" s="313"/>
      <c r="W70" s="313"/>
      <c r="X70" s="313"/>
      <c r="Y70" s="313"/>
      <c r="Z70" s="313"/>
      <c r="AA70" s="313"/>
      <c r="AB70" s="313"/>
      <c r="AC70" s="313"/>
      <c r="AD70" s="313"/>
      <c r="AE70" s="313"/>
      <c r="AF70" s="313"/>
      <c r="AG70" s="313"/>
      <c r="AH70" s="313"/>
      <c r="AI70" s="313"/>
      <c r="AJ70" s="313"/>
      <c r="AK70" s="313"/>
      <c r="AL70" s="313"/>
      <c r="AM70" s="313"/>
      <c r="AN70" s="313"/>
      <c r="AO70" s="313"/>
      <c r="AP70" s="313"/>
      <c r="AQ70" s="313"/>
      <c r="AR70" s="313"/>
      <c r="AS70" s="313"/>
      <c r="AT70" s="313"/>
      <c r="AU70" s="313"/>
      <c r="AV70" s="313"/>
      <c r="AW70" s="313"/>
      <c r="AX70" s="313"/>
      <c r="AY70" s="313"/>
      <c r="AZ70" s="313"/>
      <c r="BA70" s="313"/>
      <c r="BB70" s="313"/>
      <c r="BC70" s="313"/>
      <c r="BD70" s="313"/>
      <c r="BE70" s="313"/>
    </row>
    <row r="71" spans="12:57">
      <c r="L71" s="313"/>
      <c r="M71" s="313"/>
      <c r="N71" s="313"/>
      <c r="O71" s="313"/>
      <c r="P71" s="313"/>
      <c r="Q71" s="313"/>
      <c r="R71" s="313"/>
      <c r="S71" s="313"/>
      <c r="T71" s="313"/>
      <c r="U71" s="313"/>
      <c r="V71" s="313"/>
      <c r="W71" s="313"/>
      <c r="X71" s="313"/>
      <c r="Y71" s="313"/>
      <c r="Z71" s="313"/>
      <c r="AA71" s="313"/>
      <c r="AB71" s="313"/>
      <c r="AC71" s="313"/>
      <c r="AD71" s="313"/>
      <c r="AE71" s="313"/>
      <c r="AF71" s="313"/>
      <c r="AG71" s="313"/>
      <c r="AH71" s="313"/>
      <c r="AI71" s="313"/>
      <c r="AJ71" s="313"/>
      <c r="AK71" s="313"/>
      <c r="AL71" s="313"/>
      <c r="AM71" s="313"/>
      <c r="AN71" s="313"/>
      <c r="AO71" s="313"/>
      <c r="AP71" s="313"/>
      <c r="AQ71" s="313"/>
      <c r="AR71" s="313"/>
      <c r="AS71" s="313"/>
      <c r="AT71" s="313"/>
      <c r="AU71" s="313"/>
      <c r="AV71" s="313"/>
      <c r="AW71" s="313"/>
      <c r="AX71" s="313"/>
      <c r="AY71" s="313"/>
      <c r="AZ71" s="313"/>
      <c r="BA71" s="313"/>
      <c r="BB71" s="313"/>
      <c r="BC71" s="313"/>
      <c r="BD71" s="313"/>
      <c r="BE71" s="313"/>
    </row>
    <row r="72" spans="12:57">
      <c r="L72" s="313"/>
      <c r="M72" s="313"/>
      <c r="N72" s="313"/>
      <c r="O72" s="313"/>
      <c r="P72" s="313"/>
      <c r="Q72" s="313"/>
      <c r="R72" s="313"/>
      <c r="S72" s="313"/>
      <c r="T72" s="313"/>
      <c r="U72" s="313"/>
      <c r="V72" s="313"/>
      <c r="W72" s="325"/>
      <c r="X72" s="325"/>
      <c r="Y72" s="325"/>
      <c r="Z72" s="325"/>
      <c r="AA72" s="324"/>
      <c r="AB72" s="325"/>
      <c r="AC72" s="325"/>
      <c r="AD72" s="325"/>
      <c r="AE72" s="313"/>
      <c r="AF72" s="313"/>
      <c r="AG72" s="313"/>
      <c r="AH72" s="313"/>
      <c r="AI72" s="313"/>
      <c r="AJ72" s="313"/>
      <c r="AK72" s="313"/>
      <c r="AL72" s="313"/>
      <c r="AM72" s="313"/>
      <c r="AN72" s="313"/>
      <c r="AO72" s="313"/>
      <c r="AP72" s="313"/>
      <c r="AQ72" s="313"/>
      <c r="AR72" s="313"/>
      <c r="AS72" s="313"/>
      <c r="AT72" s="313"/>
      <c r="AU72" s="313"/>
      <c r="AV72" s="313"/>
      <c r="AW72" s="313"/>
      <c r="AX72" s="313"/>
      <c r="AY72" s="313"/>
      <c r="AZ72" s="313"/>
      <c r="BA72" s="313"/>
      <c r="BB72" s="313"/>
      <c r="BC72" s="313"/>
      <c r="BD72" s="313"/>
      <c r="BE72" s="313"/>
    </row>
    <row r="73" spans="12:57">
      <c r="L73" s="313"/>
      <c r="M73" s="313"/>
      <c r="N73" s="313"/>
      <c r="O73" s="313"/>
      <c r="P73" s="313"/>
      <c r="Q73" s="313"/>
      <c r="R73" s="313"/>
      <c r="S73" s="313"/>
      <c r="T73" s="313"/>
      <c r="U73" s="313"/>
      <c r="V73" s="313"/>
      <c r="W73" s="325"/>
      <c r="X73" s="325"/>
      <c r="Y73" s="325"/>
      <c r="Z73" s="325"/>
      <c r="AA73" s="324"/>
      <c r="AB73" s="325"/>
      <c r="AC73" s="325"/>
      <c r="AD73" s="325"/>
      <c r="AE73" s="313"/>
      <c r="AF73" s="313"/>
      <c r="AG73" s="313"/>
      <c r="AH73" s="313"/>
      <c r="AI73" s="313"/>
      <c r="AJ73" s="313"/>
      <c r="AK73" s="313"/>
      <c r="AL73" s="313"/>
      <c r="AM73" s="313"/>
      <c r="AN73" s="313"/>
      <c r="AO73" s="313"/>
      <c r="AP73" s="313"/>
      <c r="AQ73" s="313"/>
      <c r="AR73" s="313"/>
      <c r="AS73" s="313"/>
      <c r="AT73" s="313"/>
      <c r="AU73" s="313"/>
      <c r="AV73" s="313"/>
      <c r="AW73" s="313"/>
      <c r="AX73" s="313"/>
      <c r="AY73" s="313"/>
      <c r="AZ73" s="313"/>
      <c r="BA73" s="313"/>
      <c r="BB73" s="313"/>
      <c r="BC73" s="313"/>
      <c r="BD73" s="313"/>
      <c r="BE73" s="313"/>
    </row>
    <row r="74" spans="12:57">
      <c r="L74" s="313"/>
      <c r="M74" s="313"/>
      <c r="N74" s="313"/>
      <c r="O74" s="313"/>
      <c r="P74" s="313"/>
      <c r="Q74" s="313"/>
      <c r="R74" s="313"/>
      <c r="S74" s="313"/>
      <c r="T74" s="313"/>
      <c r="U74" s="313"/>
      <c r="V74" s="313"/>
      <c r="W74" s="324"/>
      <c r="X74" s="325"/>
      <c r="Y74" s="325"/>
      <c r="Z74" s="325"/>
      <c r="AA74" s="325"/>
      <c r="AB74" s="325"/>
      <c r="AC74" s="325"/>
      <c r="AD74" s="325"/>
      <c r="AE74" s="313"/>
      <c r="AF74" s="313"/>
      <c r="AG74" s="313"/>
      <c r="AH74" s="313"/>
      <c r="AI74" s="313"/>
      <c r="AJ74" s="313"/>
      <c r="AK74" s="313"/>
      <c r="AL74" s="313"/>
      <c r="AM74" s="313"/>
      <c r="AN74" s="313"/>
      <c r="AO74" s="313"/>
      <c r="AP74" s="313"/>
      <c r="AQ74" s="313"/>
      <c r="AR74" s="313"/>
      <c r="AS74" s="313"/>
      <c r="AT74" s="313"/>
      <c r="AU74" s="313"/>
      <c r="AV74" s="313"/>
      <c r="AW74" s="313"/>
      <c r="AX74" s="313"/>
      <c r="AY74" s="313"/>
      <c r="AZ74" s="313"/>
      <c r="BA74" s="313"/>
      <c r="BB74" s="313"/>
      <c r="BC74" s="313"/>
      <c r="BD74" s="313"/>
      <c r="BE74" s="313"/>
    </row>
    <row r="75" spans="12:57">
      <c r="L75" s="313"/>
      <c r="M75" s="313"/>
      <c r="N75" s="313"/>
      <c r="O75" s="313"/>
      <c r="P75" s="313"/>
      <c r="Q75" s="313"/>
      <c r="R75" s="313"/>
      <c r="S75" s="313"/>
      <c r="T75" s="313"/>
      <c r="U75" s="313"/>
      <c r="V75" s="313"/>
      <c r="W75" s="325"/>
      <c r="X75" s="325"/>
      <c r="Y75" s="325"/>
      <c r="Z75" s="325"/>
      <c r="AA75" s="325"/>
      <c r="AB75" s="325"/>
      <c r="AC75" s="325"/>
      <c r="AD75" s="325"/>
      <c r="AE75" s="313"/>
      <c r="AF75" s="313"/>
      <c r="AG75" s="313"/>
      <c r="AH75" s="313"/>
      <c r="AI75" s="313"/>
      <c r="AJ75" s="313"/>
      <c r="AK75" s="313"/>
      <c r="AL75" s="313"/>
      <c r="AM75" s="313"/>
      <c r="AN75" s="313"/>
      <c r="AO75" s="313"/>
      <c r="AP75" s="313"/>
      <c r="AQ75" s="313"/>
      <c r="AR75" s="313"/>
      <c r="AS75" s="313"/>
      <c r="AT75" s="313"/>
      <c r="AU75" s="313"/>
      <c r="AV75" s="313"/>
      <c r="AW75" s="313"/>
      <c r="AX75" s="313"/>
      <c r="AY75" s="313"/>
      <c r="AZ75" s="313"/>
      <c r="BA75" s="313"/>
      <c r="BB75" s="313"/>
      <c r="BC75" s="313"/>
      <c r="BD75" s="313"/>
      <c r="BE75" s="313"/>
    </row>
    <row r="76" spans="12:57">
      <c r="L76" s="313"/>
      <c r="M76" s="313"/>
      <c r="N76" s="313"/>
      <c r="O76" s="313"/>
      <c r="P76" s="313"/>
      <c r="Q76" s="313"/>
      <c r="R76" s="313"/>
      <c r="S76" s="313"/>
      <c r="T76" s="313"/>
      <c r="U76" s="313"/>
      <c r="V76" s="313"/>
      <c r="W76" s="324"/>
      <c r="X76" s="325"/>
      <c r="Y76" s="325"/>
      <c r="Z76" s="325"/>
      <c r="AA76" s="325"/>
      <c r="AB76" s="325"/>
      <c r="AC76" s="325"/>
      <c r="AD76" s="325"/>
      <c r="AE76" s="313"/>
      <c r="AF76" s="313"/>
      <c r="AG76" s="313"/>
      <c r="AH76" s="313"/>
      <c r="AI76" s="313"/>
      <c r="AJ76" s="313"/>
      <c r="AK76" s="313"/>
      <c r="AL76" s="313"/>
      <c r="AM76" s="313"/>
      <c r="AN76" s="313"/>
      <c r="AO76" s="313"/>
      <c r="AP76" s="313"/>
      <c r="AQ76" s="313"/>
      <c r="AR76" s="313"/>
      <c r="AS76" s="313"/>
      <c r="AT76" s="313"/>
      <c r="AU76" s="313"/>
      <c r="AV76" s="313"/>
      <c r="AW76" s="313"/>
      <c r="AX76" s="313"/>
      <c r="AY76" s="313"/>
      <c r="AZ76" s="313"/>
      <c r="BA76" s="313"/>
      <c r="BB76" s="313"/>
      <c r="BC76" s="313"/>
      <c r="BD76" s="313"/>
      <c r="BE76" s="313"/>
    </row>
    <row r="77" spans="12:57">
      <c r="L77" s="313"/>
      <c r="M77" s="313"/>
      <c r="N77" s="313"/>
      <c r="O77" s="313"/>
      <c r="P77" s="313"/>
      <c r="Q77" s="313"/>
      <c r="R77" s="313"/>
      <c r="S77" s="313"/>
      <c r="T77" s="313"/>
      <c r="U77" s="313"/>
      <c r="V77" s="313"/>
      <c r="W77" s="313"/>
      <c r="X77" s="313"/>
      <c r="Y77" s="313"/>
      <c r="Z77" s="313"/>
      <c r="AA77" s="313"/>
      <c r="AB77" s="313"/>
      <c r="AC77" s="313"/>
      <c r="AD77" s="313"/>
      <c r="AE77" s="313"/>
      <c r="AF77" s="313"/>
      <c r="AG77" s="313"/>
      <c r="AH77" s="313"/>
      <c r="AI77" s="313"/>
      <c r="AJ77" s="313"/>
      <c r="AK77" s="313"/>
      <c r="AL77" s="313"/>
      <c r="AM77" s="313"/>
      <c r="AN77" s="313"/>
      <c r="AO77" s="313"/>
      <c r="AP77" s="313"/>
      <c r="AQ77" s="313"/>
      <c r="AR77" s="313"/>
      <c r="AS77" s="313"/>
      <c r="AT77" s="313"/>
      <c r="AU77" s="313"/>
      <c r="AV77" s="313"/>
      <c r="AW77" s="313"/>
      <c r="AX77" s="313"/>
      <c r="AY77" s="313"/>
      <c r="AZ77" s="313"/>
      <c r="BA77" s="313"/>
      <c r="BB77" s="313"/>
      <c r="BC77" s="313"/>
      <c r="BD77" s="313"/>
      <c r="BE77" s="313"/>
    </row>
    <row r="78" spans="12:57">
      <c r="L78" s="313"/>
      <c r="M78" s="313"/>
      <c r="N78" s="313"/>
      <c r="O78" s="313"/>
      <c r="P78" s="313"/>
      <c r="Q78" s="313"/>
      <c r="R78" s="313"/>
      <c r="S78" s="313"/>
      <c r="T78" s="313"/>
      <c r="U78" s="313"/>
      <c r="V78" s="313"/>
      <c r="W78" s="313"/>
      <c r="X78" s="313"/>
      <c r="Y78" s="313"/>
      <c r="Z78" s="313"/>
      <c r="AA78" s="313"/>
      <c r="AB78" s="313"/>
      <c r="AC78" s="313"/>
      <c r="AD78" s="313"/>
      <c r="AE78" s="313"/>
      <c r="AF78" s="313"/>
      <c r="AG78" s="313"/>
      <c r="AH78" s="313"/>
      <c r="AI78" s="313"/>
      <c r="AJ78" s="313"/>
      <c r="AK78" s="313"/>
      <c r="AL78" s="313"/>
      <c r="AM78" s="313"/>
      <c r="AN78" s="313"/>
      <c r="AO78" s="313"/>
      <c r="AP78" s="313"/>
      <c r="AQ78" s="313"/>
      <c r="AR78" s="313"/>
      <c r="AS78" s="313"/>
      <c r="AT78" s="313"/>
      <c r="AU78" s="313"/>
      <c r="AV78" s="313"/>
      <c r="AW78" s="313"/>
      <c r="AX78" s="313"/>
      <c r="AY78" s="313"/>
      <c r="AZ78" s="313"/>
      <c r="BA78" s="313"/>
      <c r="BB78" s="313"/>
      <c r="BC78" s="313"/>
      <c r="BD78" s="313"/>
      <c r="BE78" s="313"/>
    </row>
    <row r="79" spans="12:57">
      <c r="L79" s="313"/>
      <c r="M79" s="313"/>
      <c r="N79" s="313"/>
      <c r="O79" s="313"/>
      <c r="P79" s="313"/>
      <c r="Q79" s="313"/>
      <c r="R79" s="313"/>
      <c r="S79" s="313"/>
      <c r="T79" s="313"/>
      <c r="U79" s="313"/>
      <c r="V79" s="313"/>
      <c r="W79" s="326"/>
      <c r="X79" s="313"/>
      <c r="Y79" s="313"/>
      <c r="Z79" s="313"/>
      <c r="AA79" s="313"/>
      <c r="AB79" s="313"/>
      <c r="AC79" s="313"/>
      <c r="AD79" s="327"/>
      <c r="AE79" s="313"/>
      <c r="AF79" s="313"/>
      <c r="AG79" s="313"/>
      <c r="AH79" s="313"/>
      <c r="AI79" s="313"/>
      <c r="AJ79" s="313"/>
      <c r="AK79" s="313"/>
      <c r="AL79" s="313"/>
      <c r="AM79" s="313"/>
      <c r="AN79" s="313"/>
      <c r="AO79" s="313"/>
      <c r="AP79" s="313"/>
      <c r="AQ79" s="313"/>
      <c r="AR79" s="313"/>
      <c r="AS79" s="313"/>
      <c r="AT79" s="313"/>
      <c r="AU79" s="313"/>
      <c r="AV79" s="313"/>
      <c r="AW79" s="313"/>
      <c r="AX79" s="313"/>
      <c r="AY79" s="313"/>
      <c r="AZ79" s="313"/>
      <c r="BA79" s="313"/>
      <c r="BB79" s="313"/>
      <c r="BC79" s="313"/>
      <c r="BD79" s="313"/>
      <c r="BE79" s="313"/>
    </row>
    <row r="80" spans="12:57">
      <c r="L80" s="313"/>
      <c r="M80" s="313"/>
      <c r="N80" s="313"/>
      <c r="O80" s="313"/>
      <c r="P80" s="313"/>
      <c r="Q80" s="313"/>
      <c r="R80" s="313"/>
      <c r="S80" s="313"/>
      <c r="T80" s="313"/>
      <c r="U80" s="313"/>
      <c r="V80" s="313"/>
      <c r="W80" s="326"/>
      <c r="X80" s="313"/>
      <c r="Y80" s="313"/>
      <c r="Z80" s="313"/>
      <c r="AA80" s="313"/>
      <c r="AB80" s="313"/>
      <c r="AC80" s="313"/>
      <c r="AD80" s="327"/>
      <c r="AE80" s="313"/>
      <c r="AF80" s="313"/>
      <c r="AG80" s="313"/>
      <c r="AH80" s="313"/>
      <c r="AI80" s="313"/>
      <c r="AJ80" s="313"/>
      <c r="AK80" s="313"/>
      <c r="AL80" s="313"/>
      <c r="AM80" s="313"/>
      <c r="AN80" s="313"/>
      <c r="AO80" s="313"/>
      <c r="AP80" s="313"/>
      <c r="AQ80" s="313"/>
      <c r="AR80" s="313"/>
      <c r="AS80" s="313"/>
      <c r="AT80" s="313"/>
      <c r="AU80" s="313"/>
      <c r="AV80" s="313"/>
      <c r="AW80" s="313"/>
      <c r="AX80" s="313"/>
      <c r="AY80" s="313"/>
      <c r="AZ80" s="313"/>
      <c r="BA80" s="313"/>
      <c r="BB80" s="313"/>
      <c r="BC80" s="313"/>
      <c r="BD80" s="313"/>
      <c r="BE80" s="313"/>
    </row>
    <row r="81" spans="12:57">
      <c r="L81" s="313"/>
      <c r="M81" s="313"/>
      <c r="N81" s="313"/>
      <c r="O81" s="313"/>
      <c r="P81" s="313"/>
      <c r="Q81" s="313"/>
      <c r="R81" s="313"/>
      <c r="S81" s="313"/>
      <c r="T81" s="313"/>
      <c r="U81" s="313"/>
      <c r="V81" s="313"/>
      <c r="W81" s="327"/>
      <c r="X81" s="313"/>
      <c r="Y81" s="313"/>
      <c r="Z81" s="313"/>
      <c r="AA81" s="313"/>
      <c r="AB81" s="313"/>
      <c r="AC81" s="313"/>
      <c r="AD81" s="327"/>
      <c r="AE81" s="313"/>
      <c r="AF81" s="313"/>
      <c r="AG81" s="313"/>
      <c r="AH81" s="313"/>
      <c r="AI81" s="313"/>
      <c r="AJ81" s="313"/>
      <c r="AK81" s="313"/>
      <c r="AL81" s="313"/>
      <c r="AM81" s="313"/>
      <c r="AN81" s="313"/>
      <c r="AO81" s="313"/>
      <c r="AP81" s="313"/>
      <c r="AQ81" s="313"/>
      <c r="AR81" s="313"/>
      <c r="AS81" s="313"/>
      <c r="AT81" s="313"/>
      <c r="AU81" s="313"/>
      <c r="AV81" s="313"/>
      <c r="AW81" s="313"/>
      <c r="AX81" s="313"/>
      <c r="AY81" s="313"/>
      <c r="AZ81" s="313"/>
      <c r="BA81" s="313"/>
      <c r="BB81" s="313"/>
      <c r="BC81" s="313"/>
      <c r="BD81" s="313"/>
      <c r="BE81" s="313"/>
    </row>
    <row r="82" spans="12:57">
      <c r="L82" s="313"/>
      <c r="M82" s="313"/>
      <c r="N82" s="313"/>
      <c r="O82" s="313"/>
      <c r="P82" s="313"/>
      <c r="Q82" s="313"/>
      <c r="R82" s="313"/>
      <c r="S82" s="313"/>
      <c r="T82" s="313"/>
      <c r="U82" s="313"/>
      <c r="V82" s="313"/>
      <c r="W82" s="313"/>
      <c r="X82" s="313"/>
      <c r="Y82" s="313"/>
      <c r="Z82" s="313"/>
      <c r="AA82" s="313"/>
      <c r="AB82" s="313"/>
      <c r="AC82" s="313"/>
      <c r="AD82" s="313"/>
      <c r="AE82" s="313"/>
      <c r="AF82" s="313"/>
      <c r="AG82" s="313"/>
      <c r="AH82" s="313"/>
      <c r="AI82" s="313"/>
      <c r="AJ82" s="313"/>
      <c r="AK82" s="313"/>
      <c r="AL82" s="313"/>
      <c r="AM82" s="313"/>
      <c r="AN82" s="313"/>
      <c r="AO82" s="313"/>
      <c r="AP82" s="313"/>
      <c r="AQ82" s="313"/>
      <c r="AR82" s="313"/>
      <c r="AS82" s="313"/>
      <c r="AT82" s="313"/>
      <c r="AU82" s="313"/>
      <c r="AV82" s="313"/>
      <c r="AW82" s="313"/>
      <c r="AX82" s="313"/>
      <c r="AY82" s="313"/>
      <c r="AZ82" s="313"/>
      <c r="BA82" s="313"/>
      <c r="BB82" s="313"/>
      <c r="BC82" s="313"/>
      <c r="BD82" s="313"/>
      <c r="BE82" s="313"/>
    </row>
    <row r="83" spans="12:57">
      <c r="L83" s="313"/>
      <c r="M83" s="313"/>
      <c r="N83" s="313"/>
      <c r="O83" s="313"/>
      <c r="P83" s="313"/>
      <c r="Q83" s="313"/>
      <c r="R83" s="313"/>
      <c r="S83" s="313"/>
      <c r="T83" s="313"/>
      <c r="U83" s="313"/>
      <c r="V83" s="313"/>
      <c r="W83" s="311"/>
      <c r="X83" s="311"/>
      <c r="Y83" s="311"/>
      <c r="Z83" s="311"/>
      <c r="AA83" s="311"/>
      <c r="AB83" s="311"/>
      <c r="AC83" s="311"/>
      <c r="AD83" s="311"/>
      <c r="AE83" s="313"/>
      <c r="AF83" s="313"/>
      <c r="AG83" s="313"/>
      <c r="AH83" s="313"/>
      <c r="AI83" s="313"/>
      <c r="AJ83" s="313"/>
      <c r="AK83" s="313"/>
      <c r="AL83" s="313"/>
      <c r="AM83" s="313"/>
      <c r="AN83" s="313"/>
      <c r="AO83" s="313"/>
      <c r="AP83" s="313"/>
      <c r="AQ83" s="313"/>
      <c r="AR83" s="313"/>
      <c r="AS83" s="313"/>
      <c r="AT83" s="313"/>
      <c r="AU83" s="313"/>
      <c r="AV83" s="313"/>
      <c r="AW83" s="313"/>
      <c r="AX83" s="313"/>
      <c r="AY83" s="313"/>
      <c r="AZ83" s="313"/>
      <c r="BA83" s="313"/>
      <c r="BB83" s="313"/>
      <c r="BC83" s="313"/>
      <c r="BD83" s="313"/>
      <c r="BE83" s="313"/>
    </row>
    <row r="84" spans="12:57">
      <c r="L84" s="313"/>
      <c r="M84" s="313"/>
      <c r="N84" s="313"/>
      <c r="O84" s="313"/>
      <c r="P84" s="313"/>
      <c r="Q84" s="313"/>
      <c r="R84" s="313"/>
      <c r="S84" s="313"/>
      <c r="T84" s="313"/>
      <c r="U84" s="313"/>
      <c r="V84" s="313"/>
      <c r="W84" s="313"/>
      <c r="X84" s="313"/>
      <c r="Y84" s="313"/>
      <c r="Z84" s="313"/>
      <c r="AA84" s="313"/>
      <c r="AB84" s="313"/>
      <c r="AC84" s="313"/>
      <c r="AD84" s="313"/>
      <c r="AE84" s="313"/>
      <c r="AF84" s="313"/>
      <c r="AG84" s="313"/>
      <c r="AH84" s="313"/>
      <c r="AI84" s="313"/>
      <c r="AJ84" s="313"/>
      <c r="AK84" s="313"/>
      <c r="AL84" s="313"/>
      <c r="AM84" s="313"/>
      <c r="AN84" s="313"/>
      <c r="AO84" s="313"/>
      <c r="AP84" s="313"/>
      <c r="AQ84" s="313"/>
      <c r="AR84" s="313"/>
      <c r="AS84" s="313"/>
      <c r="AT84" s="313"/>
      <c r="AU84" s="313"/>
      <c r="AV84" s="313"/>
      <c r="AW84" s="313"/>
      <c r="AX84" s="313"/>
      <c r="AY84" s="313"/>
      <c r="AZ84" s="313"/>
      <c r="BA84" s="313"/>
      <c r="BB84" s="313"/>
      <c r="BC84" s="313"/>
      <c r="BD84" s="313"/>
      <c r="BE84" s="313"/>
    </row>
    <row r="85" spans="12:57">
      <c r="L85" s="313"/>
      <c r="M85" s="313"/>
      <c r="N85" s="313"/>
      <c r="O85" s="313"/>
      <c r="P85" s="313"/>
      <c r="Q85" s="313"/>
      <c r="R85" s="313"/>
      <c r="S85" s="313"/>
      <c r="T85" s="313"/>
      <c r="U85" s="313"/>
      <c r="V85" s="313"/>
      <c r="W85" s="328"/>
      <c r="X85" s="313"/>
      <c r="Y85" s="328"/>
      <c r="Z85" s="313"/>
      <c r="AA85" s="313"/>
      <c r="AB85" s="313"/>
      <c r="AC85" s="313"/>
      <c r="AD85" s="313"/>
      <c r="AE85" s="313"/>
      <c r="AF85" s="313"/>
      <c r="AG85" s="313"/>
      <c r="AH85" s="313"/>
      <c r="AI85" s="313"/>
      <c r="AJ85" s="313"/>
      <c r="AK85" s="313"/>
      <c r="AL85" s="313"/>
      <c r="AM85" s="313"/>
      <c r="AN85" s="313"/>
      <c r="AO85" s="313"/>
      <c r="AP85" s="313"/>
      <c r="AQ85" s="313"/>
      <c r="AR85" s="313"/>
      <c r="AS85" s="313"/>
      <c r="AT85" s="313"/>
      <c r="AU85" s="313"/>
      <c r="AV85" s="313"/>
      <c r="AW85" s="313"/>
      <c r="AX85" s="313"/>
      <c r="AY85" s="313"/>
      <c r="AZ85" s="313"/>
      <c r="BA85" s="313"/>
      <c r="BB85" s="313"/>
      <c r="BC85" s="313"/>
      <c r="BD85" s="313"/>
      <c r="BE85" s="313"/>
    </row>
    <row r="86" spans="12:57">
      <c r="L86" s="313"/>
      <c r="M86" s="313"/>
      <c r="N86" s="313"/>
      <c r="O86" s="313"/>
      <c r="P86" s="313"/>
      <c r="Q86" s="313"/>
      <c r="R86" s="313"/>
      <c r="S86" s="313"/>
      <c r="T86" s="313"/>
      <c r="U86" s="313"/>
      <c r="V86" s="313"/>
      <c r="W86" s="328"/>
      <c r="X86" s="313"/>
      <c r="Y86" s="328"/>
      <c r="Z86" s="313"/>
      <c r="AA86" s="328"/>
      <c r="AB86" s="328"/>
      <c r="AC86" s="313"/>
      <c r="AD86" s="328"/>
      <c r="AE86" s="313"/>
      <c r="AF86" s="313"/>
      <c r="AG86" s="313"/>
      <c r="AH86" s="313"/>
      <c r="AI86" s="313"/>
      <c r="AJ86" s="313"/>
      <c r="AK86" s="313"/>
      <c r="AL86" s="313"/>
      <c r="AM86" s="313"/>
      <c r="AN86" s="313"/>
      <c r="AO86" s="313"/>
      <c r="AP86" s="313"/>
      <c r="AQ86" s="313"/>
      <c r="AR86" s="313"/>
      <c r="AS86" s="313"/>
      <c r="AT86" s="313"/>
      <c r="AU86" s="313"/>
      <c r="AV86" s="313"/>
      <c r="AW86" s="313"/>
      <c r="AX86" s="313"/>
      <c r="AY86" s="313"/>
      <c r="AZ86" s="313"/>
      <c r="BA86" s="313"/>
      <c r="BB86" s="313"/>
      <c r="BC86" s="313"/>
      <c r="BD86" s="313"/>
      <c r="BE86" s="313"/>
    </row>
    <row r="87" spans="12:57">
      <c r="L87" s="313"/>
      <c r="M87" s="313"/>
      <c r="N87" s="313"/>
      <c r="O87" s="313"/>
      <c r="P87" s="313"/>
      <c r="Q87" s="313"/>
      <c r="R87" s="313"/>
      <c r="S87" s="313"/>
      <c r="T87" s="313"/>
      <c r="U87" s="313"/>
      <c r="V87" s="313"/>
      <c r="W87" s="311"/>
      <c r="X87" s="311"/>
      <c r="Y87" s="311"/>
      <c r="Z87" s="311"/>
      <c r="AA87" s="311"/>
      <c r="AB87" s="311"/>
      <c r="AC87" s="311"/>
      <c r="AD87" s="311"/>
      <c r="AE87" s="313"/>
      <c r="AF87" s="313"/>
      <c r="AG87" s="313"/>
      <c r="AH87" s="313"/>
      <c r="AI87" s="313"/>
      <c r="AJ87" s="313"/>
      <c r="AK87" s="313"/>
      <c r="AL87" s="313"/>
      <c r="AM87" s="313"/>
      <c r="AN87" s="313"/>
      <c r="AO87" s="313"/>
      <c r="AP87" s="313"/>
      <c r="AQ87" s="313"/>
      <c r="AR87" s="313"/>
      <c r="AS87" s="313"/>
      <c r="AT87" s="313"/>
      <c r="AU87" s="313"/>
      <c r="AV87" s="313"/>
      <c r="AW87" s="313"/>
      <c r="AX87" s="313"/>
      <c r="AY87" s="313"/>
      <c r="AZ87" s="313"/>
      <c r="BA87" s="313"/>
      <c r="BB87" s="313"/>
      <c r="BC87" s="313"/>
      <c r="BD87" s="313"/>
      <c r="BE87" s="313"/>
    </row>
    <row r="88" spans="12:57">
      <c r="L88" s="313"/>
      <c r="M88" s="313"/>
      <c r="N88" s="313"/>
      <c r="O88" s="313"/>
      <c r="P88" s="313"/>
      <c r="Q88" s="313"/>
      <c r="R88" s="313"/>
      <c r="S88" s="313"/>
      <c r="T88" s="313"/>
      <c r="U88" s="313"/>
      <c r="V88" s="313"/>
      <c r="W88" s="313"/>
      <c r="X88" s="313"/>
      <c r="Y88" s="313"/>
      <c r="Z88" s="313"/>
      <c r="AA88" s="313"/>
      <c r="AB88" s="313"/>
      <c r="AC88" s="313"/>
      <c r="AD88" s="313"/>
      <c r="AE88" s="313"/>
      <c r="AF88" s="313"/>
      <c r="AG88" s="313"/>
      <c r="AH88" s="313"/>
      <c r="AI88" s="313"/>
      <c r="AJ88" s="313"/>
      <c r="AK88" s="313"/>
      <c r="AL88" s="313"/>
      <c r="AM88" s="313"/>
      <c r="AN88" s="313"/>
      <c r="AO88" s="313"/>
      <c r="AP88" s="313"/>
      <c r="AQ88" s="313"/>
      <c r="AR88" s="313"/>
      <c r="AS88" s="313"/>
      <c r="AT88" s="313"/>
      <c r="AU88" s="313"/>
      <c r="AV88" s="313"/>
      <c r="AW88" s="313"/>
      <c r="AX88" s="313"/>
      <c r="AY88" s="313"/>
      <c r="AZ88" s="313"/>
      <c r="BA88" s="313"/>
      <c r="BB88" s="313"/>
      <c r="BC88" s="313"/>
      <c r="BD88" s="313"/>
      <c r="BE88" s="313"/>
    </row>
    <row r="89" spans="12:57">
      <c r="L89" s="313"/>
      <c r="M89" s="313"/>
      <c r="N89" s="313"/>
      <c r="O89" s="313"/>
      <c r="P89" s="313"/>
      <c r="Q89" s="313"/>
      <c r="R89" s="313"/>
      <c r="S89" s="313"/>
      <c r="T89" s="313"/>
      <c r="U89" s="313"/>
      <c r="V89" s="313"/>
      <c r="W89" s="326"/>
      <c r="X89" s="313"/>
      <c r="Y89" s="313"/>
      <c r="Z89" s="327"/>
      <c r="AA89" s="342"/>
      <c r="AB89" s="339"/>
      <c r="AC89" s="339"/>
      <c r="AD89" s="339"/>
      <c r="AE89" s="313"/>
      <c r="AF89" s="313"/>
      <c r="AG89" s="313"/>
      <c r="AH89" s="313"/>
      <c r="AI89" s="313"/>
      <c r="AJ89" s="313"/>
      <c r="AK89" s="313"/>
      <c r="AL89" s="313"/>
      <c r="AM89" s="313"/>
      <c r="AN89" s="313"/>
      <c r="AO89" s="313"/>
      <c r="AP89" s="313"/>
      <c r="AQ89" s="313"/>
      <c r="AR89" s="313"/>
      <c r="AS89" s="313"/>
      <c r="AT89" s="313"/>
      <c r="AU89" s="313"/>
      <c r="AV89" s="313"/>
      <c r="AW89" s="313"/>
      <c r="AX89" s="313"/>
      <c r="AY89" s="313"/>
      <c r="AZ89" s="313"/>
      <c r="BA89" s="313"/>
      <c r="BB89" s="313"/>
      <c r="BC89" s="313"/>
      <c r="BD89" s="313"/>
      <c r="BE89" s="313"/>
    </row>
    <row r="90" spans="12:57">
      <c r="L90" s="313"/>
      <c r="M90" s="313"/>
      <c r="N90" s="313"/>
      <c r="O90" s="313"/>
      <c r="P90" s="313"/>
      <c r="Q90" s="313"/>
      <c r="R90" s="313"/>
      <c r="S90" s="313"/>
      <c r="T90" s="313"/>
      <c r="U90" s="313"/>
      <c r="V90" s="313"/>
      <c r="W90" s="326"/>
      <c r="X90" s="313"/>
      <c r="Y90" s="313"/>
      <c r="Z90" s="313"/>
      <c r="AA90" s="342"/>
      <c r="AB90" s="339"/>
      <c r="AC90" s="339"/>
      <c r="AD90" s="339"/>
      <c r="AE90" s="313"/>
      <c r="AF90" s="313"/>
      <c r="AG90" s="313"/>
      <c r="AH90" s="313"/>
      <c r="AI90" s="313"/>
      <c r="AJ90" s="313"/>
      <c r="AK90" s="313"/>
      <c r="AL90" s="313"/>
      <c r="AM90" s="313"/>
      <c r="AN90" s="313"/>
      <c r="AO90" s="313"/>
      <c r="AP90" s="313"/>
      <c r="AQ90" s="313"/>
      <c r="AR90" s="313"/>
      <c r="AS90" s="313"/>
      <c r="AT90" s="313"/>
      <c r="AU90" s="313"/>
      <c r="AV90" s="313"/>
      <c r="AW90" s="313"/>
      <c r="AX90" s="313"/>
      <c r="AY90" s="313"/>
      <c r="AZ90" s="313"/>
      <c r="BA90" s="313"/>
      <c r="BB90" s="313"/>
      <c r="BC90" s="313"/>
      <c r="BD90" s="313"/>
      <c r="BE90" s="313"/>
    </row>
    <row r="91" spans="12:57">
      <c r="L91" s="313"/>
      <c r="M91" s="313"/>
      <c r="N91" s="313"/>
      <c r="O91" s="313"/>
      <c r="P91" s="313"/>
      <c r="Q91" s="313"/>
      <c r="R91" s="313"/>
      <c r="S91" s="313"/>
      <c r="T91" s="313"/>
      <c r="U91" s="313"/>
      <c r="V91" s="313"/>
      <c r="W91" s="326"/>
      <c r="X91" s="331"/>
      <c r="Y91" s="331"/>
      <c r="Z91" s="327"/>
      <c r="AA91" s="342"/>
      <c r="AB91" s="339"/>
      <c r="AC91" s="339"/>
      <c r="AD91" s="339"/>
      <c r="AE91" s="313"/>
      <c r="AF91" s="313"/>
      <c r="AG91" s="313"/>
      <c r="AH91" s="313"/>
      <c r="AI91" s="313"/>
      <c r="AJ91" s="313"/>
      <c r="AK91" s="313"/>
      <c r="AL91" s="313"/>
      <c r="AM91" s="313"/>
      <c r="AN91" s="313"/>
      <c r="AO91" s="313"/>
      <c r="AP91" s="313"/>
      <c r="AQ91" s="313"/>
      <c r="AR91" s="313"/>
      <c r="AS91" s="313"/>
      <c r="AT91" s="313"/>
      <c r="AU91" s="313"/>
      <c r="AV91" s="313"/>
      <c r="AW91" s="313"/>
      <c r="AX91" s="313"/>
      <c r="AY91" s="313"/>
      <c r="AZ91" s="313"/>
      <c r="BA91" s="313"/>
      <c r="BB91" s="313"/>
      <c r="BC91" s="313"/>
      <c r="BD91" s="313"/>
      <c r="BE91" s="313"/>
    </row>
    <row r="92" spans="12:57">
      <c r="L92" s="313"/>
      <c r="M92" s="313"/>
      <c r="N92" s="313"/>
      <c r="O92" s="313"/>
      <c r="P92" s="313"/>
      <c r="Q92" s="313"/>
      <c r="R92" s="313"/>
      <c r="S92" s="313"/>
      <c r="T92" s="313"/>
      <c r="U92" s="313"/>
      <c r="V92" s="313"/>
      <c r="W92" s="326"/>
      <c r="X92" s="335"/>
      <c r="Y92" s="335"/>
      <c r="Z92" s="327"/>
      <c r="AA92" s="313"/>
      <c r="AB92" s="342"/>
      <c r="AC92" s="339"/>
      <c r="AD92" s="333"/>
      <c r="AE92" s="313"/>
      <c r="AF92" s="313"/>
      <c r="AG92" s="313"/>
      <c r="AH92" s="313"/>
      <c r="AI92" s="313"/>
      <c r="AJ92" s="313"/>
      <c r="AK92" s="313"/>
      <c r="AL92" s="313"/>
      <c r="AM92" s="313"/>
      <c r="AN92" s="313"/>
      <c r="AO92" s="313"/>
      <c r="AP92" s="313"/>
      <c r="AQ92" s="313"/>
      <c r="AR92" s="313"/>
      <c r="AS92" s="313"/>
      <c r="AT92" s="313"/>
      <c r="AU92" s="313"/>
      <c r="AV92" s="313"/>
      <c r="AW92" s="313"/>
      <c r="AX92" s="313"/>
      <c r="AY92" s="313"/>
      <c r="AZ92" s="313"/>
      <c r="BA92" s="313"/>
      <c r="BB92" s="313"/>
      <c r="BC92" s="313"/>
      <c r="BD92" s="313"/>
      <c r="BE92" s="313"/>
    </row>
    <row r="93" spans="12:57">
      <c r="L93" s="313"/>
      <c r="M93" s="313"/>
      <c r="N93" s="313"/>
      <c r="O93" s="313"/>
      <c r="P93" s="313"/>
      <c r="Q93" s="313"/>
      <c r="R93" s="313"/>
      <c r="S93" s="313"/>
      <c r="T93" s="313"/>
      <c r="U93" s="313"/>
      <c r="V93" s="313"/>
      <c r="W93" s="326"/>
      <c r="X93" s="335"/>
      <c r="Y93" s="335"/>
      <c r="Z93" s="327"/>
      <c r="AA93" s="313"/>
      <c r="AB93" s="342"/>
      <c r="AC93" s="339"/>
      <c r="AD93" s="333"/>
      <c r="AE93" s="313"/>
      <c r="AF93" s="313"/>
      <c r="AG93" s="313"/>
      <c r="AH93" s="313"/>
      <c r="AI93" s="313"/>
      <c r="AJ93" s="313"/>
      <c r="AK93" s="313"/>
      <c r="AL93" s="313"/>
      <c r="AM93" s="313"/>
      <c r="AN93" s="313"/>
      <c r="AO93" s="313"/>
      <c r="AP93" s="313"/>
      <c r="AQ93" s="313"/>
      <c r="AR93" s="313"/>
      <c r="AS93" s="313"/>
      <c r="AT93" s="313"/>
      <c r="AU93" s="313"/>
      <c r="AV93" s="313"/>
      <c r="AW93" s="313"/>
      <c r="AX93" s="313"/>
      <c r="AY93" s="313"/>
      <c r="AZ93" s="313"/>
      <c r="BA93" s="313"/>
      <c r="BB93" s="313"/>
      <c r="BC93" s="313"/>
      <c r="BD93" s="313"/>
      <c r="BE93" s="313"/>
    </row>
    <row r="94" spans="12:57">
      <c r="L94" s="313"/>
      <c r="M94" s="313"/>
      <c r="N94" s="313"/>
      <c r="O94" s="313"/>
      <c r="P94" s="313"/>
      <c r="Q94" s="313"/>
      <c r="R94" s="313"/>
      <c r="S94" s="313"/>
      <c r="T94" s="313"/>
      <c r="U94" s="313"/>
      <c r="V94" s="313"/>
      <c r="W94" s="326"/>
      <c r="X94" s="331"/>
      <c r="Y94" s="331"/>
      <c r="Z94" s="313"/>
      <c r="AA94" s="313"/>
      <c r="AB94" s="342"/>
      <c r="AC94" s="339"/>
      <c r="AD94" s="339"/>
      <c r="AE94" s="313"/>
      <c r="AF94" s="313"/>
      <c r="AG94" s="313"/>
      <c r="AH94" s="313"/>
      <c r="AI94" s="313"/>
      <c r="AJ94" s="313"/>
      <c r="AK94" s="313"/>
      <c r="AL94" s="313"/>
      <c r="AM94" s="313"/>
      <c r="AN94" s="313"/>
      <c r="AO94" s="313"/>
      <c r="AP94" s="313"/>
      <c r="AQ94" s="313"/>
      <c r="AR94" s="313"/>
      <c r="AS94" s="313"/>
      <c r="AT94" s="313"/>
      <c r="AU94" s="313"/>
      <c r="AV94" s="313"/>
      <c r="AW94" s="313"/>
      <c r="AX94" s="313"/>
      <c r="AY94" s="313"/>
      <c r="AZ94" s="313"/>
      <c r="BA94" s="313"/>
      <c r="BB94" s="313"/>
      <c r="BC94" s="313"/>
      <c r="BD94" s="313"/>
      <c r="BE94" s="313"/>
    </row>
    <row r="95" spans="12:57">
      <c r="L95" s="313"/>
      <c r="M95" s="313"/>
      <c r="N95" s="313"/>
      <c r="O95" s="313"/>
      <c r="P95" s="313"/>
      <c r="Q95" s="313"/>
      <c r="R95" s="313"/>
      <c r="S95" s="313"/>
      <c r="T95" s="313"/>
      <c r="U95" s="313"/>
      <c r="V95" s="313"/>
      <c r="W95" s="326"/>
      <c r="X95" s="335"/>
      <c r="Y95" s="335"/>
      <c r="Z95" s="327"/>
      <c r="AA95" s="313"/>
      <c r="AB95" s="342"/>
      <c r="AC95" s="339"/>
      <c r="AD95" s="339"/>
      <c r="AE95" s="313"/>
      <c r="AF95" s="313"/>
      <c r="AG95" s="313"/>
      <c r="AH95" s="313"/>
      <c r="AI95" s="313"/>
      <c r="AJ95" s="313"/>
      <c r="AK95" s="313"/>
      <c r="AL95" s="313"/>
      <c r="AM95" s="313"/>
      <c r="AN95" s="313"/>
      <c r="AO95" s="313"/>
      <c r="AP95" s="313"/>
      <c r="AQ95" s="313"/>
      <c r="AR95" s="313"/>
      <c r="AS95" s="313"/>
      <c r="AT95" s="313"/>
      <c r="AU95" s="313"/>
      <c r="AV95" s="313"/>
      <c r="AW95" s="313"/>
      <c r="AX95" s="313"/>
      <c r="AY95" s="313"/>
      <c r="AZ95" s="313"/>
      <c r="BA95" s="313"/>
      <c r="BB95" s="313"/>
      <c r="BC95" s="313"/>
      <c r="BD95" s="313"/>
      <c r="BE95" s="313"/>
    </row>
    <row r="96" spans="12:57">
      <c r="L96" s="313"/>
      <c r="M96" s="313"/>
      <c r="N96" s="313"/>
      <c r="O96" s="313"/>
      <c r="P96" s="313"/>
      <c r="Q96" s="313"/>
      <c r="R96" s="313"/>
      <c r="S96" s="313"/>
      <c r="T96" s="313"/>
      <c r="U96" s="313"/>
      <c r="V96" s="313"/>
      <c r="W96" s="326"/>
      <c r="X96" s="313"/>
      <c r="Y96" s="313"/>
      <c r="Z96" s="327"/>
      <c r="AA96" s="313"/>
      <c r="AB96" s="342"/>
      <c r="AC96" s="339"/>
      <c r="AD96" s="333"/>
      <c r="AE96" s="313"/>
      <c r="AF96" s="313"/>
      <c r="AG96" s="313"/>
      <c r="AH96" s="313"/>
      <c r="AI96" s="313"/>
      <c r="AJ96" s="313"/>
      <c r="AK96" s="313"/>
      <c r="AL96" s="313"/>
      <c r="AM96" s="313"/>
      <c r="AN96" s="313"/>
      <c r="AO96" s="313"/>
      <c r="AP96" s="313"/>
      <c r="AQ96" s="313"/>
      <c r="AR96" s="313"/>
      <c r="AS96" s="313"/>
      <c r="AT96" s="313"/>
      <c r="AU96" s="313"/>
      <c r="AV96" s="313"/>
      <c r="AW96" s="313"/>
      <c r="AX96" s="313"/>
      <c r="AY96" s="313"/>
      <c r="AZ96" s="313"/>
      <c r="BA96" s="313"/>
      <c r="BB96" s="313"/>
      <c r="BC96" s="313"/>
      <c r="BD96" s="313"/>
      <c r="BE96" s="313"/>
    </row>
    <row r="97" spans="12:57">
      <c r="L97" s="313"/>
      <c r="M97" s="313"/>
      <c r="N97" s="313"/>
      <c r="O97" s="313"/>
      <c r="P97" s="313"/>
      <c r="Q97" s="313"/>
      <c r="R97" s="313"/>
      <c r="S97" s="313"/>
      <c r="T97" s="313"/>
      <c r="U97" s="313"/>
      <c r="V97" s="313"/>
      <c r="W97" s="326"/>
      <c r="X97" s="313"/>
      <c r="Y97" s="313"/>
      <c r="Z97" s="313"/>
      <c r="AA97" s="313"/>
      <c r="AB97" s="342"/>
      <c r="AC97" s="339"/>
      <c r="AD97" s="339"/>
      <c r="AE97" s="313"/>
      <c r="AF97" s="313"/>
      <c r="AG97" s="313"/>
      <c r="AH97" s="313"/>
      <c r="AI97" s="313"/>
      <c r="AJ97" s="313"/>
      <c r="AK97" s="313"/>
      <c r="AL97" s="313"/>
      <c r="AM97" s="313"/>
      <c r="AN97" s="313"/>
      <c r="AO97" s="313"/>
      <c r="AP97" s="313"/>
      <c r="AQ97" s="313"/>
      <c r="AR97" s="313"/>
      <c r="AS97" s="313"/>
      <c r="AT97" s="313"/>
      <c r="AU97" s="313"/>
      <c r="AV97" s="313"/>
      <c r="AW97" s="313"/>
      <c r="AX97" s="313"/>
      <c r="AY97" s="313"/>
      <c r="AZ97" s="313"/>
      <c r="BA97" s="313"/>
      <c r="BB97" s="313"/>
      <c r="BC97" s="313"/>
      <c r="BD97" s="313"/>
      <c r="BE97" s="313"/>
    </row>
    <row r="98" spans="12:57">
      <c r="L98" s="313"/>
      <c r="M98" s="313"/>
      <c r="N98" s="313"/>
      <c r="O98" s="313"/>
      <c r="P98" s="313"/>
      <c r="Q98" s="313"/>
      <c r="R98" s="313"/>
      <c r="S98" s="313"/>
      <c r="T98" s="313"/>
      <c r="U98" s="313"/>
      <c r="V98" s="313"/>
      <c r="W98" s="326"/>
      <c r="X98" s="313"/>
      <c r="Y98" s="313"/>
      <c r="Z98" s="313"/>
      <c r="AA98" s="313"/>
      <c r="AB98" s="342"/>
      <c r="AC98" s="339"/>
      <c r="AD98" s="337"/>
      <c r="AE98" s="313"/>
      <c r="AF98" s="313"/>
      <c r="AG98" s="313"/>
      <c r="AH98" s="313"/>
      <c r="AI98" s="313"/>
      <c r="AJ98" s="313"/>
      <c r="AK98" s="313"/>
      <c r="AL98" s="313"/>
      <c r="AM98" s="313"/>
      <c r="AN98" s="313"/>
      <c r="AO98" s="313"/>
      <c r="AP98" s="313"/>
      <c r="AQ98" s="313"/>
      <c r="AR98" s="313"/>
      <c r="AS98" s="313"/>
      <c r="AT98" s="313"/>
      <c r="AU98" s="313"/>
      <c r="AV98" s="313"/>
      <c r="AW98" s="313"/>
      <c r="AX98" s="313"/>
      <c r="AY98" s="313"/>
      <c r="AZ98" s="313"/>
      <c r="BA98" s="313"/>
      <c r="BB98" s="313"/>
      <c r="BC98" s="313"/>
      <c r="BD98" s="313"/>
      <c r="BE98" s="313"/>
    </row>
    <row r="99" spans="12:57">
      <c r="L99" s="313"/>
      <c r="M99" s="313"/>
      <c r="N99" s="313"/>
      <c r="O99" s="313"/>
      <c r="P99" s="313"/>
      <c r="Q99" s="313"/>
      <c r="R99" s="313"/>
      <c r="S99" s="313"/>
      <c r="T99" s="313"/>
      <c r="U99" s="313"/>
      <c r="V99" s="313"/>
      <c r="W99" s="326"/>
      <c r="X99" s="313"/>
      <c r="Y99" s="313"/>
      <c r="Z99" s="327"/>
      <c r="AA99" s="313"/>
      <c r="AB99" s="342"/>
      <c r="AC99" s="339"/>
      <c r="AD99" s="337"/>
      <c r="AE99" s="313"/>
      <c r="AF99" s="313"/>
      <c r="AG99" s="313"/>
      <c r="AH99" s="313"/>
      <c r="AI99" s="313"/>
      <c r="AJ99" s="313"/>
      <c r="AK99" s="313"/>
      <c r="AL99" s="313"/>
      <c r="AM99" s="313"/>
      <c r="AN99" s="313"/>
      <c r="AO99" s="313"/>
      <c r="AP99" s="313"/>
      <c r="AQ99" s="313"/>
      <c r="AR99" s="313"/>
      <c r="AS99" s="313"/>
      <c r="AT99" s="313"/>
      <c r="AU99" s="313"/>
      <c r="AV99" s="313"/>
      <c r="AW99" s="313"/>
      <c r="AX99" s="313"/>
      <c r="AY99" s="313"/>
      <c r="AZ99" s="313"/>
      <c r="BA99" s="313"/>
      <c r="BB99" s="313"/>
      <c r="BC99" s="313"/>
      <c r="BD99" s="313"/>
      <c r="BE99" s="313"/>
    </row>
    <row r="100" spans="12:57">
      <c r="L100" s="313"/>
      <c r="M100" s="313"/>
      <c r="N100" s="313"/>
      <c r="O100" s="313"/>
      <c r="P100" s="313"/>
      <c r="Q100" s="313"/>
      <c r="R100" s="313"/>
      <c r="S100" s="313"/>
      <c r="T100" s="313"/>
      <c r="U100" s="313"/>
      <c r="V100" s="313"/>
      <c r="W100" s="326"/>
      <c r="X100" s="313"/>
      <c r="Y100" s="313"/>
      <c r="Z100" s="313"/>
      <c r="AA100" s="313"/>
      <c r="AB100" s="337"/>
      <c r="AC100" s="339"/>
      <c r="AD100" s="337"/>
      <c r="AE100" s="313"/>
      <c r="AF100" s="313"/>
      <c r="AG100" s="313"/>
      <c r="AH100" s="313"/>
      <c r="AI100" s="313"/>
      <c r="AJ100" s="313"/>
      <c r="AK100" s="313"/>
      <c r="AL100" s="313"/>
      <c r="AM100" s="313"/>
      <c r="AN100" s="313"/>
      <c r="AO100" s="313"/>
      <c r="AP100" s="313"/>
      <c r="AQ100" s="313"/>
      <c r="AR100" s="313"/>
      <c r="AS100" s="313"/>
      <c r="AT100" s="313"/>
      <c r="AU100" s="313"/>
      <c r="AV100" s="313"/>
      <c r="AW100" s="313"/>
      <c r="AX100" s="313"/>
      <c r="AY100" s="313"/>
      <c r="AZ100" s="313"/>
      <c r="BA100" s="313"/>
      <c r="BB100" s="313"/>
      <c r="BC100" s="313"/>
      <c r="BD100" s="313"/>
      <c r="BE100" s="313"/>
    </row>
    <row r="101" spans="12:57">
      <c r="L101" s="313"/>
      <c r="M101" s="313"/>
      <c r="N101" s="313"/>
      <c r="O101" s="313"/>
      <c r="P101" s="313"/>
      <c r="Q101" s="313"/>
      <c r="R101" s="313"/>
      <c r="S101" s="313"/>
      <c r="T101" s="313"/>
      <c r="U101" s="313"/>
      <c r="V101" s="313"/>
      <c r="W101" s="326"/>
      <c r="X101" s="335"/>
      <c r="Y101" s="335"/>
      <c r="Z101" s="327"/>
      <c r="AA101" s="313"/>
      <c r="AB101" s="337"/>
      <c r="AC101" s="339"/>
      <c r="AD101" s="337"/>
      <c r="AE101" s="313"/>
      <c r="AF101" s="313"/>
      <c r="AG101" s="313"/>
      <c r="AH101" s="313"/>
      <c r="AI101" s="313"/>
      <c r="AJ101" s="313"/>
      <c r="AK101" s="313"/>
      <c r="AL101" s="313"/>
      <c r="AM101" s="313"/>
      <c r="AN101" s="313"/>
      <c r="AO101" s="313"/>
      <c r="AP101" s="313"/>
      <c r="AQ101" s="313"/>
      <c r="AR101" s="313"/>
      <c r="AS101" s="313"/>
      <c r="AT101" s="313"/>
      <c r="AU101" s="313"/>
      <c r="AV101" s="313"/>
      <c r="AW101" s="313"/>
      <c r="AX101" s="313"/>
      <c r="AY101" s="313"/>
      <c r="AZ101" s="313"/>
      <c r="BA101" s="313"/>
      <c r="BB101" s="313"/>
      <c r="BC101" s="313"/>
      <c r="BD101" s="313"/>
      <c r="BE101" s="313"/>
    </row>
    <row r="102" spans="12:57">
      <c r="L102" s="313"/>
      <c r="M102" s="313"/>
      <c r="N102" s="313"/>
      <c r="O102" s="313"/>
      <c r="P102" s="313"/>
      <c r="Q102" s="313"/>
      <c r="R102" s="313"/>
      <c r="S102" s="313"/>
      <c r="T102" s="313"/>
      <c r="U102" s="313"/>
      <c r="V102" s="313"/>
      <c r="W102" s="326"/>
      <c r="X102" s="331"/>
      <c r="Y102" s="331"/>
      <c r="Z102" s="327"/>
      <c r="AA102" s="313"/>
      <c r="AB102" s="342"/>
      <c r="AC102" s="339"/>
      <c r="AD102" s="333"/>
      <c r="AE102" s="313"/>
      <c r="AF102" s="313"/>
      <c r="AG102" s="313"/>
      <c r="AH102" s="313"/>
      <c r="AI102" s="313"/>
      <c r="AJ102" s="313"/>
      <c r="AK102" s="313"/>
      <c r="AL102" s="313"/>
      <c r="AM102" s="313"/>
      <c r="AN102" s="313"/>
      <c r="AO102" s="313"/>
      <c r="AP102" s="313"/>
      <c r="AQ102" s="313"/>
      <c r="AR102" s="313"/>
      <c r="AS102" s="313"/>
      <c r="AT102" s="313"/>
      <c r="AU102" s="313"/>
      <c r="AV102" s="313"/>
      <c r="AW102" s="313"/>
      <c r="AX102" s="313"/>
      <c r="AY102" s="313"/>
      <c r="AZ102" s="313"/>
      <c r="BA102" s="313"/>
      <c r="BB102" s="313"/>
      <c r="BC102" s="313"/>
      <c r="BD102" s="313"/>
      <c r="BE102" s="313"/>
    </row>
    <row r="103" spans="12:57">
      <c r="L103" s="313"/>
      <c r="M103" s="313"/>
      <c r="N103" s="313"/>
      <c r="O103" s="313"/>
      <c r="P103" s="313"/>
      <c r="Q103" s="313"/>
      <c r="R103" s="313"/>
      <c r="S103" s="313"/>
      <c r="T103" s="313"/>
      <c r="U103" s="313"/>
      <c r="V103" s="313"/>
      <c r="W103" s="326"/>
      <c r="X103" s="331"/>
      <c r="Y103" s="331"/>
      <c r="Z103" s="313"/>
      <c r="AA103" s="313"/>
      <c r="AB103" s="337"/>
      <c r="AC103" s="339"/>
      <c r="AD103" s="337"/>
      <c r="AE103" s="313"/>
      <c r="AF103" s="313"/>
      <c r="AG103" s="313"/>
      <c r="AH103" s="313"/>
      <c r="AI103" s="313"/>
      <c r="AJ103" s="313"/>
      <c r="AK103" s="313"/>
      <c r="AL103" s="313"/>
      <c r="AM103" s="313"/>
      <c r="AN103" s="313"/>
      <c r="AO103" s="313"/>
      <c r="AP103" s="313"/>
      <c r="AQ103" s="313"/>
      <c r="AR103" s="313"/>
      <c r="AS103" s="313"/>
      <c r="AT103" s="313"/>
      <c r="AU103" s="313"/>
      <c r="AV103" s="313"/>
      <c r="AW103" s="313"/>
      <c r="AX103" s="313"/>
      <c r="AY103" s="313"/>
      <c r="AZ103" s="313"/>
      <c r="BA103" s="313"/>
      <c r="BB103" s="313"/>
      <c r="BC103" s="313"/>
      <c r="BD103" s="313"/>
      <c r="BE103" s="313"/>
    </row>
    <row r="104" spans="12:57">
      <c r="L104" s="313"/>
      <c r="M104" s="313"/>
      <c r="N104" s="313"/>
      <c r="O104" s="313"/>
      <c r="P104" s="313"/>
      <c r="Q104" s="313"/>
      <c r="R104" s="313"/>
      <c r="S104" s="313"/>
      <c r="T104" s="313"/>
      <c r="U104" s="313"/>
      <c r="V104" s="313"/>
      <c r="W104" s="326"/>
      <c r="X104" s="335"/>
      <c r="Y104" s="335"/>
      <c r="Z104" s="327"/>
      <c r="AA104" s="313"/>
      <c r="AB104" s="342"/>
      <c r="AC104" s="339"/>
      <c r="AD104" s="333"/>
      <c r="AE104" s="313"/>
      <c r="AF104" s="313"/>
      <c r="AG104" s="313"/>
      <c r="AH104" s="313"/>
      <c r="AI104" s="313"/>
      <c r="AJ104" s="313"/>
      <c r="AK104" s="313"/>
      <c r="AL104" s="313"/>
      <c r="AM104" s="313"/>
      <c r="AN104" s="313"/>
      <c r="AO104" s="313"/>
      <c r="AP104" s="313"/>
      <c r="AQ104" s="313"/>
      <c r="AR104" s="313"/>
      <c r="AS104" s="313"/>
      <c r="AT104" s="313"/>
      <c r="AU104" s="313"/>
      <c r="AV104" s="313"/>
      <c r="AW104" s="313"/>
      <c r="AX104" s="313"/>
      <c r="AY104" s="313"/>
      <c r="AZ104" s="313"/>
      <c r="BA104" s="313"/>
      <c r="BB104" s="313"/>
      <c r="BC104" s="313"/>
      <c r="BD104" s="313"/>
      <c r="BE104" s="313"/>
    </row>
    <row r="105" spans="12:57">
      <c r="L105" s="313"/>
      <c r="M105" s="313"/>
      <c r="N105" s="313"/>
      <c r="O105" s="313"/>
      <c r="P105" s="313"/>
      <c r="Q105" s="313"/>
      <c r="R105" s="313"/>
      <c r="S105" s="313"/>
      <c r="T105" s="313"/>
      <c r="U105" s="313"/>
      <c r="V105" s="313"/>
      <c r="W105" s="313"/>
      <c r="X105" s="313"/>
      <c r="Y105" s="313"/>
      <c r="Z105" s="313"/>
      <c r="AA105" s="313"/>
      <c r="AB105" s="313"/>
      <c r="AC105" s="313"/>
      <c r="AD105" s="313"/>
      <c r="AE105" s="313"/>
      <c r="AF105" s="313"/>
      <c r="AG105" s="313"/>
      <c r="AH105" s="313"/>
      <c r="AI105" s="313"/>
      <c r="AJ105" s="313"/>
      <c r="AK105" s="313"/>
      <c r="AL105" s="313"/>
      <c r="AM105" s="313"/>
      <c r="AN105" s="313"/>
      <c r="AO105" s="313"/>
      <c r="AP105" s="313"/>
      <c r="AQ105" s="313"/>
      <c r="AR105" s="313"/>
      <c r="AS105" s="313"/>
      <c r="AT105" s="313"/>
      <c r="AU105" s="313"/>
      <c r="AV105" s="313"/>
      <c r="AW105" s="313"/>
      <c r="AX105" s="313"/>
      <c r="AY105" s="313"/>
      <c r="AZ105" s="313"/>
      <c r="BA105" s="313"/>
      <c r="BB105" s="313"/>
      <c r="BC105" s="313"/>
      <c r="BD105" s="313"/>
      <c r="BE105" s="313"/>
    </row>
    <row r="106" spans="12:57">
      <c r="L106" s="313"/>
      <c r="M106" s="313"/>
      <c r="N106" s="313"/>
      <c r="O106" s="313"/>
      <c r="P106" s="313"/>
      <c r="Q106" s="313"/>
      <c r="R106" s="313"/>
      <c r="S106" s="313"/>
      <c r="T106" s="313"/>
      <c r="U106" s="313"/>
      <c r="V106" s="313"/>
      <c r="W106" s="313"/>
      <c r="X106" s="313"/>
      <c r="Y106" s="313"/>
      <c r="Z106" s="313"/>
      <c r="AA106" s="313"/>
      <c r="AB106" s="313"/>
      <c r="AC106" s="313"/>
      <c r="AD106" s="313"/>
      <c r="AE106" s="313"/>
      <c r="AF106" s="313"/>
      <c r="AG106" s="313"/>
      <c r="AH106" s="313"/>
      <c r="AI106" s="313"/>
      <c r="AJ106" s="313"/>
      <c r="AK106" s="313"/>
      <c r="AL106" s="313"/>
      <c r="AM106" s="313"/>
      <c r="AN106" s="313"/>
      <c r="AO106" s="313"/>
      <c r="AP106" s="313"/>
      <c r="AQ106" s="313"/>
      <c r="AR106" s="313"/>
      <c r="AS106" s="313"/>
      <c r="AT106" s="313"/>
      <c r="AU106" s="313"/>
      <c r="AV106" s="313"/>
      <c r="AW106" s="313"/>
      <c r="AX106" s="313"/>
      <c r="AY106" s="313"/>
      <c r="AZ106" s="313"/>
      <c r="BA106" s="313"/>
      <c r="BB106" s="313"/>
      <c r="BC106" s="313"/>
      <c r="BD106" s="313"/>
      <c r="BE106" s="313"/>
    </row>
    <row r="107" spans="12:57">
      <c r="L107" s="313"/>
      <c r="M107" s="313"/>
      <c r="N107" s="313"/>
      <c r="O107" s="313"/>
      <c r="P107" s="313"/>
      <c r="Q107" s="313"/>
      <c r="R107" s="313"/>
      <c r="S107" s="313"/>
      <c r="T107" s="313"/>
      <c r="U107" s="313"/>
      <c r="V107" s="313"/>
      <c r="W107" s="313"/>
      <c r="X107" s="313"/>
      <c r="Y107" s="313"/>
      <c r="Z107" s="313"/>
      <c r="AA107" s="313"/>
      <c r="AB107" s="313"/>
      <c r="AC107" s="313"/>
      <c r="AD107" s="313"/>
      <c r="AE107" s="313"/>
      <c r="AF107" s="313"/>
      <c r="AG107" s="313"/>
      <c r="AH107" s="313"/>
      <c r="AI107" s="313"/>
      <c r="AJ107" s="313"/>
      <c r="AK107" s="313"/>
      <c r="AL107" s="313"/>
      <c r="AM107" s="313"/>
      <c r="AN107" s="313"/>
      <c r="AO107" s="313"/>
      <c r="AP107" s="313"/>
      <c r="AQ107" s="313"/>
      <c r="AR107" s="313"/>
      <c r="AS107" s="313"/>
      <c r="AT107" s="313"/>
      <c r="AU107" s="313"/>
      <c r="AV107" s="313"/>
      <c r="AW107" s="313"/>
      <c r="AX107" s="313"/>
      <c r="AY107" s="313"/>
      <c r="AZ107" s="313"/>
      <c r="BA107" s="313"/>
      <c r="BB107" s="313"/>
      <c r="BC107" s="313"/>
      <c r="BD107" s="313"/>
      <c r="BE107" s="313"/>
    </row>
    <row r="108" spans="12:57">
      <c r="L108" s="313"/>
      <c r="M108" s="313"/>
      <c r="N108" s="313"/>
      <c r="O108" s="313"/>
      <c r="P108" s="313"/>
      <c r="Q108" s="313"/>
      <c r="R108" s="313"/>
      <c r="S108" s="313"/>
      <c r="T108" s="313"/>
      <c r="U108" s="313"/>
      <c r="V108" s="313"/>
      <c r="W108" s="313"/>
      <c r="X108" s="313"/>
      <c r="Y108" s="313"/>
      <c r="Z108" s="313"/>
      <c r="AA108" s="313"/>
      <c r="AB108" s="313"/>
      <c r="AC108" s="313"/>
      <c r="AD108" s="313"/>
      <c r="AE108" s="313"/>
      <c r="AF108" s="313"/>
      <c r="AG108" s="313"/>
      <c r="AH108" s="313"/>
      <c r="AI108" s="313"/>
      <c r="AJ108" s="313"/>
      <c r="AK108" s="313"/>
      <c r="AL108" s="313"/>
      <c r="AM108" s="313"/>
      <c r="AN108" s="313"/>
      <c r="AO108" s="313"/>
      <c r="AP108" s="313"/>
      <c r="AQ108" s="313"/>
      <c r="AR108" s="313"/>
      <c r="AS108" s="313"/>
      <c r="AT108" s="313"/>
      <c r="AU108" s="313"/>
      <c r="AV108" s="313"/>
      <c r="AW108" s="313"/>
      <c r="AX108" s="313"/>
      <c r="AY108" s="313"/>
      <c r="AZ108" s="313"/>
      <c r="BA108" s="313"/>
      <c r="BB108" s="313"/>
      <c r="BC108" s="313"/>
      <c r="BD108" s="313"/>
      <c r="BE108" s="313"/>
    </row>
    <row r="109" spans="12:57">
      <c r="L109" s="313"/>
      <c r="M109" s="313"/>
      <c r="N109" s="313"/>
      <c r="O109" s="313"/>
      <c r="P109" s="313"/>
      <c r="Q109" s="313"/>
      <c r="R109" s="313"/>
      <c r="S109" s="313"/>
      <c r="T109" s="313"/>
      <c r="U109" s="313"/>
      <c r="V109" s="313"/>
      <c r="W109" s="313"/>
      <c r="X109" s="313"/>
      <c r="Y109" s="313"/>
      <c r="Z109" s="313"/>
      <c r="AA109" s="313"/>
      <c r="AB109" s="313"/>
      <c r="AC109" s="313"/>
      <c r="AD109" s="313"/>
      <c r="AE109" s="313"/>
      <c r="AF109" s="313"/>
      <c r="AG109" s="313"/>
      <c r="AH109" s="313"/>
      <c r="AI109" s="313"/>
      <c r="AJ109" s="313"/>
      <c r="AK109" s="313"/>
      <c r="AL109" s="313"/>
      <c r="AM109" s="313"/>
      <c r="AN109" s="313"/>
      <c r="AO109" s="313"/>
      <c r="AP109" s="313"/>
      <c r="AQ109" s="313"/>
      <c r="AR109" s="313"/>
      <c r="AS109" s="313"/>
      <c r="AT109" s="313"/>
      <c r="AU109" s="313"/>
      <c r="AV109" s="313"/>
      <c r="AW109" s="313"/>
      <c r="AX109" s="313"/>
      <c r="AY109" s="313"/>
      <c r="AZ109" s="313"/>
      <c r="BA109" s="313"/>
      <c r="BB109" s="313"/>
      <c r="BC109" s="313"/>
      <c r="BD109" s="313"/>
      <c r="BE109" s="313"/>
    </row>
    <row r="110" spans="12:57">
      <c r="L110" s="313"/>
      <c r="M110" s="313"/>
      <c r="N110" s="313"/>
      <c r="O110" s="313"/>
      <c r="P110" s="313"/>
      <c r="Q110" s="313"/>
      <c r="R110" s="313"/>
      <c r="S110" s="313"/>
      <c r="T110" s="313"/>
      <c r="U110" s="313"/>
      <c r="V110" s="313"/>
      <c r="W110" s="313"/>
      <c r="X110" s="313"/>
      <c r="Y110" s="313"/>
      <c r="Z110" s="313"/>
      <c r="AA110" s="313"/>
      <c r="AB110" s="313"/>
      <c r="AC110" s="313"/>
      <c r="AD110" s="313"/>
      <c r="AE110" s="313"/>
      <c r="AF110" s="313"/>
      <c r="AG110" s="313"/>
      <c r="AH110" s="313"/>
      <c r="AI110" s="313"/>
      <c r="AJ110" s="313"/>
      <c r="AK110" s="313"/>
      <c r="AL110" s="313"/>
      <c r="AM110" s="313"/>
      <c r="AN110" s="313"/>
      <c r="AO110" s="313"/>
      <c r="AP110" s="313"/>
      <c r="AQ110" s="313"/>
      <c r="AR110" s="313"/>
      <c r="AS110" s="313"/>
      <c r="AT110" s="313"/>
      <c r="AU110" s="313"/>
      <c r="AV110" s="313"/>
      <c r="AW110" s="313"/>
      <c r="AX110" s="313"/>
      <c r="AY110" s="313"/>
      <c r="AZ110" s="313"/>
      <c r="BA110" s="313"/>
      <c r="BB110" s="313"/>
      <c r="BC110" s="313"/>
      <c r="BD110" s="313"/>
      <c r="BE110" s="313"/>
    </row>
    <row r="111" spans="12:57">
      <c r="L111" s="313"/>
      <c r="M111" s="313"/>
      <c r="N111" s="313"/>
      <c r="O111" s="313"/>
      <c r="P111" s="313"/>
      <c r="Q111" s="313"/>
      <c r="R111" s="313"/>
      <c r="S111" s="313"/>
      <c r="T111" s="313"/>
      <c r="U111" s="313"/>
      <c r="V111" s="313"/>
      <c r="W111" s="313"/>
      <c r="X111" s="313"/>
      <c r="Y111" s="313"/>
      <c r="Z111" s="313"/>
      <c r="AA111" s="313"/>
      <c r="AB111" s="313"/>
      <c r="AC111" s="313"/>
      <c r="AD111" s="313"/>
      <c r="AE111" s="313"/>
      <c r="AF111" s="313"/>
      <c r="AG111" s="313"/>
      <c r="AH111" s="313"/>
      <c r="AI111" s="313"/>
      <c r="AJ111" s="313"/>
      <c r="AK111" s="313"/>
      <c r="AL111" s="313"/>
      <c r="AM111" s="313"/>
      <c r="AN111" s="313"/>
      <c r="AO111" s="313"/>
      <c r="AP111" s="313"/>
      <c r="AQ111" s="313"/>
      <c r="AR111" s="313"/>
      <c r="AS111" s="313"/>
      <c r="AT111" s="313"/>
      <c r="AU111" s="313"/>
      <c r="AV111" s="313"/>
      <c r="AW111" s="313"/>
      <c r="AX111" s="313"/>
      <c r="AY111" s="313"/>
      <c r="AZ111" s="313"/>
      <c r="BA111" s="313"/>
      <c r="BB111" s="313"/>
      <c r="BC111" s="313"/>
      <c r="BD111" s="313"/>
      <c r="BE111" s="313"/>
    </row>
    <row r="112" spans="12:57">
      <c r="L112" s="313"/>
      <c r="M112" s="313"/>
      <c r="N112" s="313"/>
      <c r="O112" s="313"/>
      <c r="P112" s="313"/>
      <c r="Q112" s="313"/>
      <c r="R112" s="313"/>
      <c r="S112" s="313"/>
      <c r="T112" s="313"/>
      <c r="U112" s="313"/>
      <c r="V112" s="313"/>
      <c r="W112" s="313"/>
      <c r="X112" s="313"/>
      <c r="Y112" s="313"/>
      <c r="Z112" s="313"/>
      <c r="AA112" s="313"/>
      <c r="AB112" s="313"/>
      <c r="AC112" s="313"/>
      <c r="AD112" s="313"/>
      <c r="AE112" s="313"/>
      <c r="AF112" s="313"/>
      <c r="AG112" s="313"/>
      <c r="AH112" s="313"/>
      <c r="AI112" s="313"/>
      <c r="AJ112" s="313"/>
      <c r="AK112" s="313"/>
      <c r="AL112" s="313"/>
      <c r="AM112" s="313"/>
      <c r="AN112" s="313"/>
      <c r="AO112" s="313"/>
      <c r="AP112" s="313"/>
      <c r="AQ112" s="313"/>
      <c r="AR112" s="313"/>
      <c r="AS112" s="313"/>
      <c r="AT112" s="313"/>
      <c r="AU112" s="313"/>
      <c r="AV112" s="313"/>
      <c r="AW112" s="313"/>
      <c r="AX112" s="313"/>
      <c r="AY112" s="313"/>
      <c r="AZ112" s="313"/>
      <c r="BA112" s="313"/>
      <c r="BB112" s="313"/>
      <c r="BC112" s="313"/>
      <c r="BD112" s="313"/>
      <c r="BE112" s="313"/>
    </row>
    <row r="113" spans="12:57">
      <c r="L113" s="313"/>
      <c r="M113" s="313"/>
      <c r="N113" s="313"/>
      <c r="O113" s="313"/>
      <c r="P113" s="313"/>
      <c r="Q113" s="313"/>
      <c r="R113" s="313"/>
      <c r="S113" s="313"/>
      <c r="T113" s="313"/>
      <c r="U113" s="313"/>
      <c r="V113" s="313"/>
      <c r="W113" s="313"/>
      <c r="X113" s="313"/>
      <c r="Y113" s="313"/>
      <c r="Z113" s="313"/>
      <c r="AA113" s="313"/>
      <c r="AB113" s="313"/>
      <c r="AC113" s="313"/>
      <c r="AD113" s="313"/>
      <c r="AE113" s="313"/>
      <c r="AF113" s="313"/>
      <c r="AG113" s="313"/>
      <c r="AH113" s="313"/>
      <c r="AI113" s="313"/>
      <c r="AJ113" s="313"/>
      <c r="AK113" s="313"/>
      <c r="AL113" s="313"/>
      <c r="AM113" s="313"/>
      <c r="AN113" s="313"/>
      <c r="AO113" s="313"/>
      <c r="AP113" s="313"/>
      <c r="AQ113" s="313"/>
      <c r="AR113" s="313"/>
      <c r="AS113" s="313"/>
      <c r="AT113" s="313"/>
      <c r="AU113" s="313"/>
      <c r="AV113" s="313"/>
      <c r="AW113" s="313"/>
      <c r="AX113" s="313"/>
      <c r="AY113" s="313"/>
      <c r="AZ113" s="313"/>
      <c r="BA113" s="313"/>
      <c r="BB113" s="313"/>
      <c r="BC113" s="313"/>
      <c r="BD113" s="313"/>
      <c r="BE113" s="313"/>
    </row>
    <row r="114" spans="12:57">
      <c r="L114" s="313"/>
      <c r="M114" s="313"/>
      <c r="N114" s="313"/>
      <c r="O114" s="313"/>
      <c r="P114" s="313"/>
      <c r="Q114" s="313"/>
      <c r="R114" s="313"/>
      <c r="S114" s="313"/>
      <c r="T114" s="313"/>
      <c r="U114" s="313"/>
      <c r="V114" s="313"/>
      <c r="W114" s="313"/>
      <c r="X114" s="313"/>
      <c r="Y114" s="313"/>
      <c r="Z114" s="313"/>
      <c r="AA114" s="313"/>
      <c r="AB114" s="313"/>
      <c r="AC114" s="313"/>
      <c r="AD114" s="313"/>
      <c r="AE114" s="313"/>
      <c r="AF114" s="313"/>
      <c r="AG114" s="313"/>
      <c r="AH114" s="313"/>
      <c r="AI114" s="313"/>
      <c r="AJ114" s="313"/>
      <c r="AK114" s="313"/>
      <c r="AL114" s="313"/>
      <c r="AM114" s="313"/>
      <c r="AN114" s="313"/>
      <c r="AO114" s="313"/>
      <c r="AP114" s="313"/>
      <c r="AQ114" s="313"/>
      <c r="AR114" s="313"/>
      <c r="AS114" s="313"/>
      <c r="AT114" s="313"/>
      <c r="AU114" s="313"/>
      <c r="AV114" s="313"/>
      <c r="AW114" s="313"/>
      <c r="AX114" s="313"/>
      <c r="AY114" s="313"/>
      <c r="AZ114" s="313"/>
      <c r="BA114" s="313"/>
      <c r="BB114" s="313"/>
      <c r="BC114" s="313"/>
      <c r="BD114" s="313"/>
      <c r="BE114" s="313"/>
    </row>
    <row r="115" spans="12:57">
      <c r="L115" s="313"/>
      <c r="M115" s="313"/>
      <c r="N115" s="313"/>
      <c r="O115" s="313"/>
      <c r="P115" s="313"/>
      <c r="Q115" s="313"/>
      <c r="R115" s="313"/>
      <c r="S115" s="313"/>
      <c r="T115" s="313"/>
      <c r="U115" s="313"/>
      <c r="V115" s="313"/>
      <c r="W115" s="313"/>
      <c r="X115" s="313"/>
      <c r="Y115" s="313"/>
      <c r="Z115" s="313"/>
      <c r="AA115" s="313"/>
      <c r="AB115" s="313"/>
      <c r="AC115" s="313"/>
      <c r="AD115" s="313"/>
      <c r="AE115" s="313"/>
      <c r="AF115" s="313"/>
      <c r="AG115" s="313"/>
      <c r="AH115" s="313"/>
      <c r="AI115" s="313"/>
      <c r="AJ115" s="313"/>
      <c r="AK115" s="313"/>
      <c r="AL115" s="313"/>
      <c r="AM115" s="313"/>
      <c r="AN115" s="313"/>
      <c r="AO115" s="313"/>
      <c r="AP115" s="313"/>
      <c r="AQ115" s="313"/>
      <c r="AR115" s="313"/>
      <c r="AS115" s="313"/>
      <c r="AT115" s="313"/>
      <c r="AU115" s="313"/>
      <c r="AV115" s="313"/>
      <c r="AW115" s="313"/>
      <c r="AX115" s="313"/>
      <c r="AY115" s="313"/>
      <c r="AZ115" s="313"/>
      <c r="BA115" s="313"/>
      <c r="BB115" s="313"/>
      <c r="BC115" s="313"/>
      <c r="BD115" s="313"/>
      <c r="BE115" s="313"/>
    </row>
    <row r="116" spans="12:57">
      <c r="L116" s="313"/>
      <c r="M116" s="313"/>
      <c r="N116" s="313"/>
      <c r="O116" s="313"/>
      <c r="P116" s="313"/>
      <c r="Q116" s="313"/>
      <c r="R116" s="313"/>
      <c r="S116" s="313"/>
      <c r="T116" s="313"/>
      <c r="U116" s="313"/>
      <c r="V116" s="313"/>
      <c r="W116" s="313"/>
      <c r="X116" s="313"/>
      <c r="Y116" s="313"/>
      <c r="Z116" s="313"/>
      <c r="AA116" s="313"/>
      <c r="AB116" s="313"/>
      <c r="AC116" s="313"/>
      <c r="AD116" s="313"/>
      <c r="AE116" s="313"/>
      <c r="AF116" s="313"/>
      <c r="AG116" s="313"/>
      <c r="AH116" s="313"/>
      <c r="AI116" s="313"/>
      <c r="AJ116" s="313"/>
      <c r="AK116" s="313"/>
      <c r="AL116" s="313"/>
      <c r="AM116" s="313"/>
      <c r="AN116" s="313"/>
      <c r="AO116" s="313"/>
      <c r="AP116" s="313"/>
      <c r="AQ116" s="313"/>
      <c r="AR116" s="313"/>
      <c r="AS116" s="313"/>
      <c r="AT116" s="313"/>
      <c r="AU116" s="313"/>
      <c r="AV116" s="313"/>
      <c r="AW116" s="313"/>
      <c r="AX116" s="313"/>
      <c r="AY116" s="313"/>
      <c r="AZ116" s="313"/>
      <c r="BA116" s="313"/>
      <c r="BB116" s="313"/>
      <c r="BC116" s="313"/>
      <c r="BD116" s="313"/>
      <c r="BE116" s="313"/>
    </row>
    <row r="117" spans="12:57">
      <c r="L117" s="313"/>
      <c r="M117" s="313"/>
      <c r="N117" s="313"/>
      <c r="O117" s="313"/>
      <c r="P117" s="313"/>
      <c r="Q117" s="313"/>
      <c r="R117" s="313"/>
      <c r="S117" s="313"/>
      <c r="T117" s="313"/>
      <c r="U117" s="313"/>
      <c r="V117" s="313"/>
      <c r="W117" s="313"/>
      <c r="X117" s="313"/>
      <c r="Y117" s="313"/>
      <c r="Z117" s="313"/>
      <c r="AA117" s="313"/>
      <c r="AB117" s="313"/>
      <c r="AC117" s="313"/>
      <c r="AD117" s="313"/>
      <c r="AE117" s="313"/>
      <c r="AF117" s="313"/>
      <c r="AG117" s="313"/>
      <c r="AH117" s="313"/>
      <c r="AI117" s="313"/>
      <c r="AJ117" s="313"/>
      <c r="AK117" s="313"/>
      <c r="AL117" s="313"/>
      <c r="AM117" s="313"/>
      <c r="AN117" s="313"/>
      <c r="AO117" s="313"/>
      <c r="AP117" s="313"/>
      <c r="AQ117" s="313"/>
      <c r="AR117" s="313"/>
      <c r="AS117" s="313"/>
      <c r="AT117" s="313"/>
      <c r="AU117" s="313"/>
      <c r="AV117" s="313"/>
      <c r="AW117" s="313"/>
      <c r="AX117" s="313"/>
      <c r="AY117" s="313"/>
      <c r="AZ117" s="313"/>
      <c r="BA117" s="313"/>
      <c r="BB117" s="313"/>
      <c r="BC117" s="313"/>
      <c r="BD117" s="313"/>
      <c r="BE117" s="313"/>
    </row>
    <row r="118" spans="12:57">
      <c r="L118" s="313"/>
      <c r="M118" s="313"/>
      <c r="N118" s="313"/>
      <c r="O118" s="313"/>
      <c r="P118" s="313"/>
      <c r="Q118" s="313"/>
      <c r="R118" s="313"/>
      <c r="S118" s="313"/>
      <c r="T118" s="313"/>
      <c r="U118" s="313"/>
      <c r="V118" s="313"/>
      <c r="W118" s="313"/>
      <c r="X118" s="313"/>
      <c r="Y118" s="313"/>
      <c r="Z118" s="313"/>
      <c r="AA118" s="313"/>
      <c r="AB118" s="313"/>
      <c r="AC118" s="313"/>
      <c r="AD118" s="313"/>
      <c r="AE118" s="313"/>
      <c r="AF118" s="313"/>
      <c r="AG118" s="313"/>
      <c r="AH118" s="313"/>
      <c r="AI118" s="313"/>
      <c r="AJ118" s="313"/>
      <c r="AK118" s="313"/>
      <c r="AL118" s="313"/>
      <c r="AM118" s="313"/>
      <c r="AN118" s="313"/>
      <c r="AO118" s="313"/>
      <c r="AP118" s="313"/>
      <c r="AQ118" s="313"/>
      <c r="AR118" s="313"/>
      <c r="AS118" s="313"/>
      <c r="AT118" s="313"/>
      <c r="AU118" s="313"/>
      <c r="AV118" s="313"/>
      <c r="AW118" s="313"/>
      <c r="AX118" s="313"/>
      <c r="AY118" s="313"/>
      <c r="AZ118" s="313"/>
      <c r="BA118" s="313"/>
      <c r="BB118" s="313"/>
      <c r="BC118" s="313"/>
      <c r="BD118" s="313"/>
      <c r="BE118" s="313"/>
    </row>
    <row r="119" spans="12:57">
      <c r="L119" s="313"/>
      <c r="M119" s="313"/>
      <c r="N119" s="313"/>
      <c r="O119" s="313"/>
      <c r="P119" s="313"/>
      <c r="Q119" s="313"/>
      <c r="R119" s="313"/>
      <c r="S119" s="313"/>
      <c r="T119" s="313"/>
      <c r="U119" s="313"/>
      <c r="V119" s="313"/>
      <c r="W119" s="313"/>
      <c r="X119" s="313"/>
      <c r="Y119" s="313"/>
      <c r="Z119" s="313"/>
      <c r="AA119" s="313"/>
      <c r="AB119" s="313"/>
      <c r="AC119" s="313"/>
      <c r="AD119" s="313"/>
      <c r="AE119" s="313"/>
      <c r="AF119" s="313"/>
      <c r="AG119" s="313"/>
      <c r="AH119" s="313"/>
      <c r="AI119" s="313"/>
      <c r="AJ119" s="313"/>
      <c r="AK119" s="313"/>
      <c r="AL119" s="313"/>
      <c r="AM119" s="313"/>
      <c r="AN119" s="313"/>
      <c r="AO119" s="313"/>
      <c r="AP119" s="313"/>
      <c r="AQ119" s="313"/>
      <c r="AR119" s="313"/>
      <c r="AS119" s="313"/>
      <c r="AT119" s="313"/>
      <c r="AU119" s="313"/>
      <c r="AV119" s="313"/>
      <c r="AW119" s="313"/>
      <c r="AX119" s="313"/>
      <c r="AY119" s="313"/>
      <c r="AZ119" s="313"/>
      <c r="BA119" s="313"/>
      <c r="BB119" s="313"/>
      <c r="BC119" s="313"/>
      <c r="BD119" s="313"/>
      <c r="BE119" s="313"/>
    </row>
    <row r="120" spans="12:57">
      <c r="L120" s="313"/>
      <c r="M120" s="313"/>
      <c r="N120" s="313"/>
      <c r="O120" s="313"/>
      <c r="P120" s="313"/>
      <c r="Q120" s="313"/>
      <c r="R120" s="313"/>
      <c r="S120" s="313"/>
      <c r="T120" s="313"/>
      <c r="U120" s="313"/>
      <c r="V120" s="313"/>
      <c r="W120" s="313"/>
      <c r="X120" s="313"/>
      <c r="Y120" s="313"/>
      <c r="Z120" s="313"/>
      <c r="AA120" s="313"/>
      <c r="AB120" s="313"/>
      <c r="AC120" s="313"/>
      <c r="AD120" s="313"/>
      <c r="AE120" s="313"/>
      <c r="AF120" s="313"/>
      <c r="AG120" s="313"/>
      <c r="AH120" s="313"/>
      <c r="AI120" s="313"/>
      <c r="AJ120" s="313"/>
      <c r="AK120" s="313"/>
      <c r="AL120" s="313"/>
      <c r="AM120" s="313"/>
      <c r="AN120" s="313"/>
      <c r="AO120" s="313"/>
      <c r="AP120" s="313"/>
      <c r="AQ120" s="313"/>
      <c r="AR120" s="313"/>
      <c r="AS120" s="313"/>
      <c r="AT120" s="313"/>
      <c r="AU120" s="313"/>
      <c r="AV120" s="313"/>
      <c r="AW120" s="313"/>
      <c r="AX120" s="313"/>
      <c r="AY120" s="313"/>
      <c r="AZ120" s="313"/>
      <c r="BA120" s="313"/>
      <c r="BB120" s="313"/>
      <c r="BC120" s="313"/>
      <c r="BD120" s="313"/>
      <c r="BE120" s="313"/>
    </row>
    <row r="121" spans="12:57">
      <c r="L121" s="313"/>
      <c r="M121" s="313"/>
      <c r="N121" s="313"/>
      <c r="O121" s="313"/>
      <c r="P121" s="313"/>
      <c r="Q121" s="313"/>
      <c r="R121" s="313"/>
      <c r="S121" s="313"/>
      <c r="T121" s="313"/>
      <c r="U121" s="313"/>
      <c r="V121" s="313"/>
      <c r="W121" s="313"/>
      <c r="X121" s="313"/>
      <c r="Y121" s="313"/>
      <c r="Z121" s="313"/>
      <c r="AA121" s="313"/>
      <c r="AB121" s="313"/>
      <c r="AC121" s="313"/>
      <c r="AD121" s="313"/>
      <c r="AE121" s="313"/>
      <c r="AF121" s="313"/>
      <c r="AG121" s="313"/>
      <c r="AH121" s="313"/>
      <c r="AI121" s="313"/>
      <c r="AJ121" s="313"/>
      <c r="AK121" s="313"/>
      <c r="AL121" s="313"/>
      <c r="AM121" s="313"/>
      <c r="AN121" s="313"/>
      <c r="AO121" s="313"/>
      <c r="AP121" s="313"/>
      <c r="AQ121" s="313"/>
      <c r="AR121" s="313"/>
      <c r="AS121" s="313"/>
      <c r="AT121" s="313"/>
      <c r="AU121" s="313"/>
      <c r="AV121" s="313"/>
      <c r="AW121" s="313"/>
      <c r="AX121" s="313"/>
      <c r="AY121" s="313"/>
      <c r="AZ121" s="313"/>
      <c r="BA121" s="313"/>
      <c r="BB121" s="313"/>
      <c r="BC121" s="313"/>
      <c r="BD121" s="313"/>
      <c r="BE121" s="313"/>
    </row>
    <row r="122" spans="12:57">
      <c r="L122" s="313"/>
      <c r="M122" s="313"/>
      <c r="N122" s="313"/>
      <c r="O122" s="313"/>
      <c r="P122" s="313"/>
      <c r="Q122" s="313"/>
      <c r="R122" s="313"/>
      <c r="S122" s="313"/>
      <c r="T122" s="313"/>
      <c r="U122" s="313"/>
      <c r="V122" s="313"/>
      <c r="W122" s="313"/>
      <c r="X122" s="313"/>
      <c r="Y122" s="313"/>
      <c r="Z122" s="313"/>
      <c r="AA122" s="313"/>
      <c r="AB122" s="313"/>
      <c r="AC122" s="313"/>
      <c r="AD122" s="313"/>
      <c r="AE122" s="313"/>
      <c r="AF122" s="313"/>
      <c r="AG122" s="313"/>
      <c r="AH122" s="313"/>
      <c r="AI122" s="313"/>
      <c r="AJ122" s="313"/>
      <c r="AK122" s="313"/>
      <c r="AL122" s="313"/>
      <c r="AM122" s="313"/>
      <c r="AN122" s="313"/>
      <c r="AO122" s="313"/>
      <c r="AP122" s="313"/>
      <c r="AQ122" s="313"/>
      <c r="AR122" s="313"/>
      <c r="AS122" s="313"/>
      <c r="AT122" s="313"/>
      <c r="AU122" s="313"/>
      <c r="AV122" s="313"/>
      <c r="AW122" s="313"/>
      <c r="AX122" s="313"/>
      <c r="AY122" s="313"/>
      <c r="AZ122" s="313"/>
      <c r="BA122" s="313"/>
      <c r="BB122" s="313"/>
      <c r="BC122" s="313"/>
      <c r="BD122" s="313"/>
      <c r="BE122" s="313"/>
    </row>
    <row r="123" spans="12:57">
      <c r="L123" s="313"/>
      <c r="M123" s="313"/>
      <c r="N123" s="313"/>
      <c r="O123" s="313"/>
      <c r="P123" s="313"/>
      <c r="Q123" s="313"/>
      <c r="R123" s="313"/>
      <c r="S123" s="313"/>
      <c r="T123" s="313"/>
      <c r="U123" s="313"/>
      <c r="V123" s="313"/>
      <c r="W123" s="313"/>
      <c r="X123" s="313"/>
      <c r="Y123" s="313"/>
      <c r="Z123" s="313"/>
      <c r="AA123" s="313"/>
      <c r="AB123" s="313"/>
      <c r="AC123" s="313"/>
      <c r="AD123" s="313"/>
      <c r="AE123" s="313"/>
      <c r="AF123" s="313"/>
      <c r="AG123" s="313"/>
      <c r="AH123" s="313"/>
      <c r="AI123" s="313"/>
      <c r="AJ123" s="313"/>
      <c r="AK123" s="313"/>
      <c r="AL123" s="313"/>
      <c r="AM123" s="313"/>
      <c r="AN123" s="313"/>
      <c r="AO123" s="313"/>
      <c r="AP123" s="313"/>
      <c r="AQ123" s="313"/>
      <c r="AR123" s="313"/>
      <c r="AS123" s="313"/>
      <c r="AT123" s="313"/>
      <c r="AU123" s="313"/>
      <c r="AV123" s="313"/>
      <c r="AW123" s="313"/>
      <c r="AX123" s="313"/>
      <c r="AY123" s="313"/>
      <c r="AZ123" s="313"/>
      <c r="BA123" s="313"/>
      <c r="BB123" s="313"/>
      <c r="BC123" s="313"/>
      <c r="BD123" s="313"/>
      <c r="BE123" s="313"/>
    </row>
    <row r="124" spans="12:57">
      <c r="L124" s="313"/>
      <c r="M124" s="313"/>
      <c r="N124" s="313"/>
      <c r="O124" s="313"/>
      <c r="P124" s="313"/>
      <c r="Q124" s="313"/>
      <c r="R124" s="313"/>
      <c r="S124" s="313"/>
      <c r="T124" s="313"/>
      <c r="U124" s="313"/>
      <c r="V124" s="313"/>
      <c r="W124" s="313"/>
      <c r="X124" s="313"/>
      <c r="Y124" s="313"/>
      <c r="Z124" s="313"/>
      <c r="AA124" s="313"/>
      <c r="AB124" s="313"/>
      <c r="AC124" s="313"/>
      <c r="AD124" s="313"/>
      <c r="AE124" s="313"/>
      <c r="AF124" s="313"/>
      <c r="AG124" s="313"/>
      <c r="AH124" s="313"/>
      <c r="AI124" s="313"/>
      <c r="AJ124" s="313"/>
      <c r="AK124" s="313"/>
      <c r="AL124" s="313"/>
      <c r="AM124" s="313"/>
      <c r="AN124" s="313"/>
      <c r="AO124" s="313"/>
      <c r="AP124" s="313"/>
      <c r="AQ124" s="313"/>
      <c r="AR124" s="313"/>
      <c r="AS124" s="313"/>
      <c r="AT124" s="313"/>
      <c r="AU124" s="313"/>
      <c r="AV124" s="313"/>
      <c r="AW124" s="313"/>
      <c r="AX124" s="313"/>
      <c r="AY124" s="313"/>
      <c r="AZ124" s="313"/>
      <c r="BA124" s="313"/>
      <c r="BB124" s="313"/>
      <c r="BC124" s="313"/>
      <c r="BD124" s="313"/>
      <c r="BE124" s="313"/>
    </row>
  </sheetData>
  <phoneticPr fontId="4" type="noConversion"/>
  <pageMargins left="1" right="0.75" top="0.98425196850393704" bottom="0" header="0" footer="0"/>
  <pageSetup scale="72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 enableFormatConditionsCalculation="0">
    <tabColor indexed="10"/>
    <pageSetUpPr fitToPage="1"/>
  </sheetPr>
  <dimension ref="A1:AA89"/>
  <sheetViews>
    <sheetView tabSelected="1" topLeftCell="A4" zoomScale="90" zoomScaleNormal="90" workbookViewId="0"/>
  </sheetViews>
  <sheetFormatPr defaultColWidth="8" defaultRowHeight="13.2"/>
  <cols>
    <col min="1" max="1" width="5.5546875" style="1973" customWidth="1"/>
    <col min="2" max="2" width="2.44140625" style="1973" customWidth="1"/>
    <col min="3" max="3" width="39.33203125" style="1973" customWidth="1"/>
    <col min="4" max="4" width="2.44140625" style="1973" customWidth="1"/>
    <col min="5" max="5" width="14.5546875" style="1973" customWidth="1"/>
    <col min="6" max="6" width="2.5546875" style="1973" customWidth="1"/>
    <col min="7" max="7" width="17.6640625" style="1973" customWidth="1"/>
    <col min="8" max="8" width="4.44140625" style="1973" customWidth="1"/>
    <col min="9" max="9" width="18.88671875" style="1973" customWidth="1"/>
    <col min="10" max="10" width="4" style="1973" customWidth="1"/>
    <col min="11" max="11" width="4" style="1998" customWidth="1"/>
    <col min="12" max="12" width="17.44140625" style="1998" customWidth="1"/>
    <col min="13" max="13" width="4" style="1998" customWidth="1"/>
    <col min="14" max="14" width="15.88671875" style="1998" customWidth="1"/>
    <col min="15" max="15" width="4" style="1998" customWidth="1"/>
    <col min="16" max="16" width="4" style="1973" customWidth="1"/>
    <col min="17" max="17" width="7.88671875" style="1973" customWidth="1"/>
    <col min="18" max="18" width="6.5546875" style="1973" customWidth="1"/>
    <col min="19" max="19" width="40.5546875" style="1973" customWidth="1"/>
    <col min="20" max="20" width="8" style="1973" customWidth="1"/>
    <col min="21" max="21" width="16.5546875" style="1973" customWidth="1"/>
    <col min="22" max="22" width="2.6640625" style="1973" customWidth="1"/>
    <col min="23" max="23" width="16" style="1973" customWidth="1"/>
    <col min="24" max="26" width="8" style="1973" customWidth="1"/>
    <col min="27" max="27" width="35.88671875" style="1973" customWidth="1"/>
    <col min="28" max="16384" width="8" style="1973"/>
  </cols>
  <sheetData>
    <row r="1" spans="1:14">
      <c r="A1" s="1971" t="str">
        <f>COMPANY</f>
        <v>DUKE ENERGY KENTUCKY, INC.</v>
      </c>
      <c r="B1" s="1972"/>
      <c r="C1" s="1972"/>
      <c r="D1" s="1972"/>
      <c r="E1" s="1972"/>
      <c r="F1" s="1972"/>
      <c r="G1" s="1972"/>
      <c r="H1" s="1972"/>
      <c r="I1" s="1972"/>
    </row>
    <row r="2" spans="1:14">
      <c r="A2" s="1974" t="str">
        <f>CASE</f>
        <v>CASE NO. 2018-00261</v>
      </c>
      <c r="B2" s="1972"/>
      <c r="C2" s="1972"/>
      <c r="D2" s="1972"/>
      <c r="E2" s="1972"/>
      <c r="F2" s="1972"/>
      <c r="G2" s="1972"/>
      <c r="H2" s="1972"/>
      <c r="I2" s="1972"/>
    </row>
    <row r="3" spans="1:14">
      <c r="A3" s="1974" t="s">
        <v>2170</v>
      </c>
      <c r="B3" s="1972"/>
      <c r="C3" s="1972"/>
      <c r="D3" s="1972"/>
      <c r="E3" s="1972"/>
      <c r="F3" s="1972"/>
      <c r="G3" s="1972"/>
      <c r="H3" s="1972"/>
      <c r="I3" s="1972"/>
    </row>
    <row r="4" spans="1:14">
      <c r="A4" s="1974" t="str">
        <f>PERIOD</f>
        <v>FOR THE TWELVE MONTHS ENDED NOVEMBER 30, 2018</v>
      </c>
      <c r="B4" s="1972"/>
      <c r="C4" s="1972"/>
      <c r="D4" s="1972"/>
      <c r="E4" s="1972"/>
      <c r="F4" s="1972"/>
      <c r="G4" s="1972"/>
      <c r="H4" s="1972"/>
      <c r="I4" s="1972"/>
    </row>
    <row r="5" spans="1:14">
      <c r="A5" s="1974" t="str">
        <f>PeriodF</f>
        <v>FOR THE TWELVE MONTHS ENDED MARCH 31, 2020</v>
      </c>
      <c r="B5" s="1972"/>
      <c r="C5" s="1972"/>
      <c r="D5" s="1972"/>
      <c r="E5" s="1972"/>
      <c r="F5" s="1972"/>
      <c r="G5" s="1972"/>
      <c r="H5" s="1972"/>
      <c r="I5" s="1972"/>
    </row>
    <row r="7" spans="1:14">
      <c r="A7" s="1975" t="str">
        <f>DataB</f>
        <v>DATA: "X" BASE PERIOD  "X" FORECASTED PERIOD</v>
      </c>
      <c r="H7" s="1976" t="s">
        <v>563</v>
      </c>
    </row>
    <row r="8" spans="1:14">
      <c r="A8" s="1975" t="str">
        <f>Type</f>
        <v xml:space="preserve">TYPE OF FILING:  "X" ORIGINAL   UPDATED    REVISED  </v>
      </c>
      <c r="H8" s="1976" t="s">
        <v>564</v>
      </c>
    </row>
    <row r="9" spans="1:14">
      <c r="A9" s="1976" t="s">
        <v>565</v>
      </c>
      <c r="H9" s="1976" t="s">
        <v>566</v>
      </c>
      <c r="L9" s="1970"/>
      <c r="M9" s="1970"/>
      <c r="N9" s="1970"/>
    </row>
    <row r="10" spans="1:14">
      <c r="H10" s="1976" t="str">
        <f>_WIT1</f>
        <v>S. E. LAWLER</v>
      </c>
      <c r="L10" s="1970"/>
      <c r="M10" s="1970"/>
      <c r="N10" s="2002"/>
    </row>
    <row r="11" spans="1:14">
      <c r="A11" s="1977"/>
      <c r="B11" s="1977"/>
      <c r="C11" s="1977"/>
      <c r="D11" s="1977"/>
      <c r="E11" s="1977"/>
      <c r="F11" s="1977"/>
      <c r="G11" s="1978"/>
      <c r="H11" s="1978"/>
      <c r="I11" s="1977"/>
      <c r="L11" s="1970"/>
      <c r="M11" s="1970"/>
      <c r="N11" s="1970"/>
    </row>
    <row r="12" spans="1:14">
      <c r="E12" s="1979" t="s">
        <v>2171</v>
      </c>
      <c r="G12" s="1980" t="s">
        <v>2172</v>
      </c>
      <c r="H12" s="1974"/>
      <c r="I12" s="1981"/>
    </row>
    <row r="13" spans="1:14">
      <c r="A13" s="1979" t="s">
        <v>567</v>
      </c>
      <c r="E13" s="1979" t="s">
        <v>739</v>
      </c>
      <c r="G13" s="1979" t="s">
        <v>740</v>
      </c>
      <c r="I13" s="1982" t="s">
        <v>1127</v>
      </c>
    </row>
    <row r="14" spans="1:14">
      <c r="A14" s="1979" t="s">
        <v>2169</v>
      </c>
      <c r="C14" s="1979" t="s">
        <v>741</v>
      </c>
      <c r="E14" s="1979" t="s">
        <v>742</v>
      </c>
      <c r="G14" s="1979" t="s">
        <v>743</v>
      </c>
      <c r="I14" s="1982" t="s">
        <v>743</v>
      </c>
      <c r="L14" s="2003"/>
      <c r="N14" s="2003"/>
    </row>
    <row r="15" spans="1:14">
      <c r="A15" s="1977"/>
      <c r="B15" s="1977"/>
      <c r="C15" s="1977"/>
      <c r="D15" s="1977"/>
      <c r="E15" s="1977"/>
      <c r="F15" s="1977"/>
      <c r="G15" s="1977"/>
      <c r="H15" s="1977"/>
      <c r="I15" s="1978"/>
    </row>
    <row r="16" spans="1:14">
      <c r="G16" s="1986"/>
    </row>
    <row r="17" spans="1:19">
      <c r="A17" s="1979">
        <v>1</v>
      </c>
      <c r="C17" s="1983" t="s">
        <v>1649</v>
      </c>
      <c r="E17" s="1984" t="s">
        <v>1650</v>
      </c>
      <c r="G17" s="1985">
        <f>SCH_B1!G42</f>
        <v>301171564</v>
      </c>
      <c r="I17" s="1987">
        <f ca="1">SCH_B1!I42</f>
        <v>313675239</v>
      </c>
      <c r="L17" s="2004"/>
      <c r="N17" s="2004"/>
      <c r="S17" s="1988"/>
    </row>
    <row r="18" spans="1:19">
      <c r="A18" s="1982"/>
      <c r="C18" s="1989"/>
      <c r="E18" s="1990"/>
      <c r="G18" s="1985"/>
      <c r="I18" s="1986"/>
    </row>
    <row r="19" spans="1:19">
      <c r="A19" s="1979">
        <v>2</v>
      </c>
      <c r="C19" s="1983" t="s">
        <v>744</v>
      </c>
      <c r="E19" s="1979" t="s">
        <v>768</v>
      </c>
      <c r="G19" s="1985">
        <f>SCH_C2!E62</f>
        <v>12958566</v>
      </c>
      <c r="I19" s="1985">
        <f ca="1">ROUND(SCH_C2!N62,0)</f>
        <v>14626290</v>
      </c>
      <c r="L19" s="2000"/>
      <c r="N19" s="2000"/>
      <c r="S19" s="1990"/>
    </row>
    <row r="20" spans="1:19">
      <c r="A20" s="1979"/>
      <c r="C20" s="1989"/>
      <c r="G20" s="1985"/>
    </row>
    <row r="21" spans="1:19">
      <c r="A21" s="1982">
        <v>3</v>
      </c>
      <c r="C21" s="1983" t="s">
        <v>746</v>
      </c>
      <c r="E21" s="1990"/>
      <c r="G21" s="1993">
        <f>ROUND(G19/G17,4)</f>
        <v>4.2999999999999997E-2</v>
      </c>
      <c r="H21" s="3517"/>
      <c r="I21" s="1993">
        <f ca="1">ROUND(I19/I17,4)</f>
        <v>4.6600000000000003E-2</v>
      </c>
      <c r="L21" s="2005"/>
      <c r="N21" s="2005"/>
      <c r="S21" s="1991"/>
    </row>
    <row r="22" spans="1:19">
      <c r="A22" s="1979"/>
      <c r="C22" s="1989"/>
      <c r="E22" s="1990"/>
      <c r="G22" s="1985"/>
    </row>
    <row r="23" spans="1:19">
      <c r="A23" s="1982">
        <v>4</v>
      </c>
      <c r="C23" s="1983" t="s">
        <v>3017</v>
      </c>
      <c r="E23" s="1979" t="s">
        <v>747</v>
      </c>
      <c r="G23" s="1992">
        <f>'SCH_J1 - Base'!M33</f>
        <v>7.1129999999999999E-2</v>
      </c>
      <c r="H23" s="1986"/>
      <c r="I23" s="1992">
        <f>'SCH_J1 - Forecast'!M34</f>
        <v>7.1809999999999999E-2</v>
      </c>
      <c r="J23" s="1992"/>
      <c r="K23" s="1970"/>
      <c r="L23" s="2006"/>
      <c r="N23" s="2006"/>
      <c r="S23" s="1993"/>
    </row>
    <row r="24" spans="1:19">
      <c r="A24" s="1979"/>
      <c r="C24" s="1989"/>
      <c r="E24" s="1990"/>
      <c r="G24" s="1985"/>
    </row>
    <row r="25" spans="1:19">
      <c r="A25" s="1979">
        <v>5</v>
      </c>
      <c r="C25" s="1983" t="s">
        <v>748</v>
      </c>
      <c r="E25" s="1990"/>
      <c r="G25" s="1990">
        <f>ROUND(G17*G23,0)</f>
        <v>21422333</v>
      </c>
      <c r="I25" s="1990">
        <f ca="1">ROUND(I17*I23,0)</f>
        <v>22525019</v>
      </c>
      <c r="L25" s="2000"/>
      <c r="N25" s="2000"/>
      <c r="S25" s="1990"/>
    </row>
    <row r="26" spans="1:19">
      <c r="A26" s="1979" t="s">
        <v>749</v>
      </c>
      <c r="C26" s="1989"/>
      <c r="E26" s="1990"/>
    </row>
    <row r="27" spans="1:19">
      <c r="A27" s="1982">
        <v>6</v>
      </c>
      <c r="C27" s="1983" t="s">
        <v>750</v>
      </c>
      <c r="E27" s="1990"/>
      <c r="G27" s="1990">
        <f>G25-G19</f>
        <v>8463767</v>
      </c>
      <c r="I27" s="1990">
        <f ca="1">I25-I19</f>
        <v>7898729</v>
      </c>
      <c r="L27" s="2000"/>
      <c r="N27" s="2000"/>
      <c r="S27" s="1990"/>
    </row>
    <row r="28" spans="1:19">
      <c r="A28" s="1979" t="s">
        <v>749</v>
      </c>
      <c r="C28" s="1989"/>
      <c r="E28" s="1990"/>
      <c r="G28" s="1985"/>
    </row>
    <row r="29" spans="1:19">
      <c r="A29" s="1979">
        <v>7</v>
      </c>
      <c r="C29" s="1983" t="s">
        <v>751</v>
      </c>
      <c r="E29" s="1984" t="s">
        <v>2138</v>
      </c>
      <c r="G29" s="1994">
        <f>GROSS_REVENUE_CONVERSION_FACTOR</f>
        <v>1.334673</v>
      </c>
      <c r="I29" s="1994">
        <f>SCH_H!$I$33</f>
        <v>1.334673</v>
      </c>
      <c r="J29" s="1994"/>
      <c r="K29" s="1970"/>
      <c r="L29" s="2007"/>
      <c r="N29" s="2008"/>
      <c r="S29" s="1995"/>
    </row>
    <row r="30" spans="1:19">
      <c r="A30" s="1982"/>
      <c r="C30" s="1989"/>
      <c r="E30" s="1990"/>
      <c r="G30" s="1985"/>
    </row>
    <row r="31" spans="1:19">
      <c r="A31" s="1979">
        <v>8</v>
      </c>
      <c r="C31" s="1983" t="s">
        <v>2165</v>
      </c>
      <c r="E31" s="1990"/>
      <c r="G31" s="1985">
        <f>ROUND(G29*G27,0)</f>
        <v>11296361</v>
      </c>
      <c r="H31" s="1986"/>
      <c r="I31" s="1985">
        <f ca="1">ROUND(I29*I27,0)</f>
        <v>10542220</v>
      </c>
      <c r="L31" s="2000"/>
      <c r="N31" s="2000"/>
      <c r="S31" s="1990"/>
    </row>
    <row r="32" spans="1:19">
      <c r="A32" s="1979"/>
      <c r="C32" s="1989"/>
      <c r="G32" s="1985"/>
      <c r="I32" s="1990"/>
      <c r="L32" s="2000"/>
      <c r="N32" s="2000"/>
      <c r="S32" s="1990"/>
    </row>
    <row r="33" spans="1:27">
      <c r="A33" s="1982">
        <v>9</v>
      </c>
      <c r="C33" s="1983" t="s">
        <v>2166</v>
      </c>
      <c r="E33" s="1984" t="s">
        <v>745</v>
      </c>
      <c r="G33" s="1996" t="s">
        <v>725</v>
      </c>
      <c r="I33" s="1990">
        <f>MINCR</f>
        <v>10542199</v>
      </c>
      <c r="J33" s="1997"/>
      <c r="K33" s="2009"/>
      <c r="L33" s="2000"/>
      <c r="M33" s="2009"/>
      <c r="N33" s="2000"/>
      <c r="O33" s="2009"/>
      <c r="P33" s="1997"/>
      <c r="S33" s="1990"/>
    </row>
    <row r="34" spans="1:27">
      <c r="A34" s="1979"/>
      <c r="C34" s="1983"/>
      <c r="G34" s="1985"/>
      <c r="I34" s="1990"/>
      <c r="L34" s="2000"/>
      <c r="N34" s="2000"/>
      <c r="S34" s="1990"/>
    </row>
    <row r="35" spans="1:27">
      <c r="A35" s="1979">
        <v>10</v>
      </c>
      <c r="C35" s="1983" t="s">
        <v>2149</v>
      </c>
      <c r="E35" s="1979" t="s">
        <v>745</v>
      </c>
      <c r="G35" s="1996" t="s">
        <v>725</v>
      </c>
      <c r="I35" s="1990">
        <f ca="1">SCH_C1!E17</f>
        <v>95382130</v>
      </c>
      <c r="L35" s="2000"/>
      <c r="N35" s="2000"/>
      <c r="S35" s="1990"/>
    </row>
    <row r="36" spans="1:27">
      <c r="A36" s="1982"/>
      <c r="C36" s="1989"/>
      <c r="G36" s="1986"/>
    </row>
    <row r="37" spans="1:27">
      <c r="A37" s="1979">
        <v>11</v>
      </c>
      <c r="C37" s="1983" t="s">
        <v>685</v>
      </c>
      <c r="G37" s="1996" t="s">
        <v>725</v>
      </c>
      <c r="I37" s="1990">
        <f ca="1">I33+I35</f>
        <v>105924329</v>
      </c>
      <c r="L37" s="2000"/>
      <c r="N37" s="2000"/>
      <c r="S37" s="1990"/>
    </row>
    <row r="38" spans="1:27">
      <c r="A38" s="1982"/>
      <c r="C38" s="1989"/>
      <c r="E38" s="1990"/>
    </row>
    <row r="39" spans="1:27">
      <c r="C39" s="1989"/>
    </row>
    <row r="40" spans="1:27">
      <c r="I40" s="1990"/>
      <c r="J40" s="1998"/>
      <c r="P40" s="1998"/>
      <c r="Q40" s="2014"/>
      <c r="R40" s="2011"/>
      <c r="S40" s="1970"/>
      <c r="T40" s="2011"/>
      <c r="U40" s="2011"/>
      <c r="V40" s="2011"/>
      <c r="W40" s="2017"/>
      <c r="X40" s="2001"/>
      <c r="Y40" s="1674"/>
      <c r="Z40" s="1998"/>
      <c r="AA40" s="1998"/>
    </row>
    <row r="41" spans="1:27">
      <c r="I41" s="1990"/>
      <c r="J41" s="1998"/>
      <c r="P41" s="1998"/>
      <c r="Q41" s="2014"/>
      <c r="R41" s="2011"/>
      <c r="S41" s="1970"/>
      <c r="T41" s="2011"/>
      <c r="U41" s="2017"/>
      <c r="V41" s="2011"/>
      <c r="W41" s="2021"/>
      <c r="X41" s="2001"/>
      <c r="Y41" s="1674"/>
      <c r="Z41" s="1998"/>
      <c r="AA41" s="1998"/>
    </row>
    <row r="42" spans="1:27">
      <c r="I42" s="1990"/>
      <c r="Q42" s="2014"/>
      <c r="R42" s="2014"/>
      <c r="S42" s="2011"/>
      <c r="T42" s="2011"/>
      <c r="U42" s="2011"/>
      <c r="V42" s="2011"/>
      <c r="W42" s="2011"/>
      <c r="X42" s="1673"/>
      <c r="Y42" s="1674"/>
    </row>
    <row r="43" spans="1:27">
      <c r="I43" s="1990"/>
      <c r="Q43" s="2014"/>
      <c r="R43" s="2014"/>
      <c r="S43" s="2011"/>
      <c r="T43" s="2011"/>
      <c r="U43" s="2011"/>
      <c r="V43" s="2011"/>
      <c r="W43" s="2011"/>
      <c r="X43" s="1673"/>
      <c r="Y43" s="1674"/>
    </row>
    <row r="44" spans="1:27">
      <c r="I44" s="1990"/>
      <c r="Q44" s="2014"/>
      <c r="R44" s="2014"/>
      <c r="S44" s="2011"/>
      <c r="T44" s="2011"/>
      <c r="U44" s="2011"/>
      <c r="V44" s="2011"/>
      <c r="W44" s="2014"/>
      <c r="X44" s="1673"/>
      <c r="Y44" s="1674"/>
    </row>
    <row r="45" spans="1:27">
      <c r="I45" s="1990"/>
      <c r="Q45" s="2011"/>
      <c r="R45" s="2011"/>
      <c r="S45" s="2011"/>
      <c r="T45" s="2011"/>
      <c r="U45" s="2011"/>
      <c r="V45" s="2011"/>
      <c r="W45" s="2014"/>
      <c r="X45" s="1673"/>
      <c r="Y45" s="1673"/>
    </row>
    <row r="46" spans="1:27">
      <c r="I46" s="1990"/>
      <c r="Q46" s="2011"/>
      <c r="R46" s="2011"/>
      <c r="S46" s="2011"/>
      <c r="T46" s="2011"/>
      <c r="U46" s="2011"/>
      <c r="V46" s="2011"/>
      <c r="W46" s="2014"/>
      <c r="X46" s="1673"/>
      <c r="Y46" s="1673"/>
    </row>
    <row r="47" spans="1:27">
      <c r="I47" s="1990"/>
      <c r="Q47" s="2011"/>
      <c r="R47" s="2011"/>
      <c r="S47" s="2011"/>
      <c r="T47" s="2011"/>
      <c r="U47" s="2011"/>
      <c r="V47" s="2011"/>
      <c r="W47" s="2014"/>
      <c r="X47" s="1673"/>
      <c r="Y47" s="1673"/>
    </row>
    <row r="48" spans="1:27">
      <c r="I48" s="1990"/>
      <c r="Q48" s="2011"/>
      <c r="R48" s="2011"/>
      <c r="S48" s="2011"/>
      <c r="T48" s="2011"/>
      <c r="U48" s="2011"/>
      <c r="V48" s="2011"/>
      <c r="W48" s="2011"/>
      <c r="X48" s="1673"/>
      <c r="Y48" s="1673"/>
    </row>
    <row r="49" spans="9:25">
      <c r="I49" s="1990"/>
      <c r="Q49" s="2011"/>
      <c r="R49" s="2011"/>
      <c r="S49" s="2022"/>
      <c r="T49" s="2011"/>
      <c r="U49" s="2011"/>
      <c r="V49" s="2011"/>
      <c r="W49" s="2011"/>
      <c r="X49" s="1673"/>
      <c r="Y49" s="1673"/>
    </row>
    <row r="50" spans="9:25">
      <c r="I50" s="1990"/>
      <c r="Q50" s="2011"/>
      <c r="R50" s="2011"/>
      <c r="S50" s="2022"/>
      <c r="T50" s="2011"/>
      <c r="U50" s="2011"/>
      <c r="V50" s="2011"/>
      <c r="W50" s="2011"/>
      <c r="X50" s="1673"/>
      <c r="Y50" s="1673"/>
    </row>
    <row r="51" spans="9:25">
      <c r="I51" s="1990"/>
      <c r="Q51" s="2011"/>
      <c r="R51" s="2011"/>
      <c r="S51" s="2022"/>
      <c r="T51" s="2011"/>
      <c r="U51" s="2011"/>
      <c r="V51" s="2011"/>
      <c r="W51" s="2011"/>
      <c r="X51" s="1673"/>
      <c r="Y51" s="1673"/>
    </row>
    <row r="52" spans="9:25">
      <c r="I52" s="1990"/>
      <c r="Q52" s="1637"/>
      <c r="R52" s="1637"/>
      <c r="S52" s="1637"/>
      <c r="T52" s="1637"/>
      <c r="U52" s="1637"/>
      <c r="V52" s="1637"/>
      <c r="W52" s="1637"/>
      <c r="X52" s="1632"/>
      <c r="Y52" s="1632"/>
    </row>
    <row r="53" spans="9:25">
      <c r="I53" s="1990"/>
      <c r="Q53" s="1637"/>
      <c r="R53" s="1637"/>
      <c r="S53" s="1637"/>
      <c r="T53" s="1637"/>
      <c r="U53" s="1637"/>
      <c r="V53" s="1637"/>
      <c r="W53" s="1637"/>
      <c r="X53" s="1632"/>
      <c r="Y53" s="1632"/>
    </row>
    <row r="54" spans="9:25">
      <c r="I54" s="1990"/>
      <c r="Q54" s="2010"/>
      <c r="R54" s="2010"/>
      <c r="S54" s="2011"/>
      <c r="T54" s="2011"/>
      <c r="U54" s="2011"/>
      <c r="V54" s="2011"/>
      <c r="W54" s="2012"/>
      <c r="X54" s="1673"/>
      <c r="Y54" s="1632"/>
    </row>
    <row r="55" spans="9:25">
      <c r="I55" s="1990"/>
      <c r="Q55" s="2010"/>
      <c r="R55" s="2010"/>
      <c r="S55" s="2011"/>
      <c r="T55" s="2011"/>
      <c r="U55" s="2011"/>
      <c r="V55" s="2011"/>
      <c r="W55" s="2012"/>
      <c r="X55" s="1673"/>
      <c r="Y55" s="1632"/>
    </row>
    <row r="56" spans="9:25">
      <c r="I56" s="1990"/>
      <c r="Q56" s="2010"/>
      <c r="R56" s="2010"/>
      <c r="S56" s="2011"/>
      <c r="T56" s="2011"/>
      <c r="U56" s="2011"/>
      <c r="V56" s="2011"/>
      <c r="W56" s="1899"/>
      <c r="X56" s="1673"/>
      <c r="Y56" s="1632"/>
    </row>
    <row r="57" spans="9:25">
      <c r="I57" s="1990"/>
      <c r="Q57" s="2011"/>
      <c r="R57" s="2011"/>
      <c r="S57" s="2011"/>
      <c r="T57" s="2011"/>
      <c r="U57" s="2011"/>
      <c r="V57" s="2011"/>
      <c r="W57" s="2011"/>
      <c r="X57" s="1673"/>
      <c r="Y57" s="1673"/>
    </row>
    <row r="58" spans="9:25">
      <c r="I58" s="1990"/>
      <c r="Q58" s="2013"/>
      <c r="R58" s="2013"/>
      <c r="S58" s="2011"/>
      <c r="T58" s="2011"/>
      <c r="U58" s="2011"/>
      <c r="V58" s="2011"/>
      <c r="W58" s="2011"/>
      <c r="X58" s="1673"/>
      <c r="Y58" s="1673"/>
    </row>
    <row r="59" spans="9:25">
      <c r="I59" s="1990"/>
      <c r="Q59" s="2011"/>
      <c r="R59" s="2011"/>
      <c r="S59" s="2011"/>
      <c r="T59" s="2011"/>
      <c r="U59" s="2011"/>
      <c r="V59" s="2011"/>
      <c r="W59" s="2011"/>
      <c r="X59" s="1673"/>
      <c r="Y59" s="1673"/>
    </row>
    <row r="60" spans="9:25">
      <c r="Q60" s="2011"/>
      <c r="R60" s="2011"/>
      <c r="S60" s="2011"/>
      <c r="T60" s="2011"/>
      <c r="U60" s="2011"/>
      <c r="V60" s="2011"/>
      <c r="W60" s="2011"/>
      <c r="X60" s="1673"/>
      <c r="Y60" s="1673"/>
    </row>
    <row r="61" spans="9:25">
      <c r="Q61" s="2011"/>
      <c r="R61" s="2011"/>
      <c r="S61" s="2011"/>
      <c r="T61" s="2011"/>
      <c r="U61" s="1674"/>
      <c r="V61" s="1674"/>
      <c r="W61" s="1674"/>
      <c r="X61" s="1673"/>
      <c r="Y61" s="1673"/>
    </row>
    <row r="62" spans="9:25">
      <c r="Q62" s="2014"/>
      <c r="R62" s="2014"/>
      <c r="S62" s="2014"/>
      <c r="T62" s="2014"/>
      <c r="U62" s="1674"/>
      <c r="V62" s="1674"/>
      <c r="W62" s="1674"/>
      <c r="X62" s="1999"/>
      <c r="Y62" s="1674"/>
    </row>
    <row r="63" spans="9:25">
      <c r="Q63" s="2015"/>
      <c r="R63" s="2015"/>
      <c r="S63" s="2015"/>
      <c r="T63" s="2015"/>
      <c r="U63" s="2015"/>
      <c r="V63" s="2015"/>
      <c r="W63" s="2015"/>
      <c r="X63" s="1999"/>
      <c r="Y63" s="1674"/>
    </row>
    <row r="64" spans="9:25">
      <c r="Q64" s="2011"/>
      <c r="R64" s="2011"/>
      <c r="S64" s="2011"/>
      <c r="T64" s="2011"/>
      <c r="U64" s="2011"/>
      <c r="V64" s="2011"/>
      <c r="W64" s="2011"/>
      <c r="X64" s="1673"/>
      <c r="Y64" s="1674"/>
    </row>
    <row r="65" spans="17:25">
      <c r="Q65" s="2014"/>
      <c r="R65" s="2011"/>
      <c r="S65" s="1970"/>
      <c r="T65" s="2016"/>
      <c r="U65" s="2017"/>
      <c r="V65" s="2011"/>
      <c r="W65" s="2011"/>
      <c r="X65" s="1673"/>
      <c r="Y65" s="1674"/>
    </row>
    <row r="66" spans="17:25">
      <c r="Q66" s="2014"/>
      <c r="R66" s="2011"/>
      <c r="S66" s="1970"/>
      <c r="T66" s="2011"/>
      <c r="U66" s="2011"/>
      <c r="V66" s="2011"/>
      <c r="W66" s="2011"/>
      <c r="X66" s="1673"/>
      <c r="Y66" s="1674"/>
    </row>
    <row r="67" spans="17:25">
      <c r="Q67" s="2014"/>
      <c r="R67" s="2011"/>
      <c r="S67" s="1970"/>
      <c r="T67" s="2011"/>
      <c r="U67" s="2017"/>
      <c r="V67" s="2011"/>
      <c r="W67" s="2011"/>
      <c r="X67" s="1673"/>
      <c r="Y67" s="1674"/>
    </row>
    <row r="68" spans="17:25">
      <c r="Q68" s="2014"/>
      <c r="R68" s="1970"/>
      <c r="S68" s="2011"/>
      <c r="T68" s="2011"/>
      <c r="U68" s="2017"/>
      <c r="V68" s="2011"/>
      <c r="W68" s="2011"/>
      <c r="X68" s="1673"/>
      <c r="Y68" s="1674"/>
    </row>
    <row r="69" spans="17:25">
      <c r="Q69" s="2014"/>
      <c r="R69" s="1970"/>
      <c r="S69" s="2011"/>
      <c r="T69" s="2011"/>
      <c r="U69" s="2017"/>
      <c r="V69" s="2011"/>
      <c r="W69" s="2011"/>
      <c r="X69" s="1673"/>
      <c r="Y69" s="1674"/>
    </row>
    <row r="70" spans="17:25">
      <c r="Q70" s="2014"/>
      <c r="R70" s="1970"/>
      <c r="S70" s="2011"/>
      <c r="T70" s="2011"/>
      <c r="U70" s="2017"/>
      <c r="V70" s="2011"/>
      <c r="W70" s="2011"/>
      <c r="X70" s="1673"/>
      <c r="Y70" s="1674"/>
    </row>
    <row r="71" spans="17:25">
      <c r="Q71" s="2014"/>
      <c r="R71" s="2011"/>
      <c r="S71" s="1970"/>
      <c r="T71" s="2011"/>
      <c r="U71" s="2011"/>
      <c r="V71" s="2011"/>
      <c r="W71" s="2011"/>
      <c r="X71" s="1673"/>
      <c r="Y71" s="1674"/>
    </row>
    <row r="72" spans="17:25">
      <c r="Q72" s="2014"/>
      <c r="R72" s="2011"/>
      <c r="S72" s="1970"/>
      <c r="T72" s="2011"/>
      <c r="U72" s="2017"/>
      <c r="V72" s="2011"/>
      <c r="W72" s="2011"/>
      <c r="X72" s="1673"/>
      <c r="Y72" s="1674"/>
    </row>
    <row r="73" spans="17:25">
      <c r="Q73" s="2014"/>
      <c r="R73" s="2011"/>
      <c r="S73" s="1970"/>
      <c r="T73" s="2011"/>
      <c r="U73" s="2011"/>
      <c r="V73" s="2011"/>
      <c r="W73" s="2011"/>
      <c r="X73" s="1673"/>
      <c r="Y73" s="1674"/>
    </row>
    <row r="74" spans="17:25">
      <c r="Q74" s="2014"/>
      <c r="R74" s="2011"/>
      <c r="S74" s="1970"/>
      <c r="T74" s="2016"/>
      <c r="U74" s="2018"/>
      <c r="V74" s="2011"/>
      <c r="W74" s="2017"/>
      <c r="X74" s="2001"/>
      <c r="Y74" s="1674"/>
    </row>
    <row r="75" spans="17:25">
      <c r="Q75" s="2014"/>
      <c r="R75" s="2011"/>
      <c r="S75" s="1970"/>
      <c r="T75" s="2011"/>
      <c r="U75" s="2019"/>
      <c r="V75" s="2011"/>
      <c r="W75" s="2017"/>
      <c r="X75" s="2001"/>
      <c r="Y75" s="1674"/>
    </row>
    <row r="76" spans="17:25">
      <c r="Q76" s="2014"/>
      <c r="R76" s="2011"/>
      <c r="S76" s="1970"/>
      <c r="T76" s="2016"/>
      <c r="U76" s="2018"/>
      <c r="V76" s="2011"/>
      <c r="W76" s="2020"/>
      <c r="X76" s="2001"/>
      <c r="Y76" s="1674"/>
    </row>
    <row r="77" spans="17:25">
      <c r="Q77" s="2014"/>
      <c r="R77" s="2011"/>
      <c r="S77" s="1970"/>
      <c r="T77" s="2011"/>
      <c r="U77" s="2011"/>
      <c r="V77" s="2011"/>
      <c r="W77" s="2017"/>
      <c r="X77" s="2001"/>
      <c r="Y77" s="1674"/>
    </row>
    <row r="78" spans="17:25">
      <c r="Q78" s="2014"/>
      <c r="R78" s="2011"/>
      <c r="S78" s="1970"/>
      <c r="T78" s="2011"/>
      <c r="U78" s="2017"/>
      <c r="V78" s="2011"/>
      <c r="W78" s="2021"/>
      <c r="X78" s="2001"/>
      <c r="Y78" s="1674"/>
    </row>
    <row r="79" spans="17:25">
      <c r="Q79" s="2014"/>
      <c r="R79" s="2014"/>
      <c r="S79" s="2011"/>
      <c r="T79" s="2011"/>
      <c r="U79" s="2011"/>
      <c r="V79" s="2011"/>
      <c r="W79" s="2011"/>
      <c r="X79" s="1673"/>
      <c r="Y79" s="1674"/>
    </row>
    <row r="80" spans="17:25">
      <c r="Q80" s="2014"/>
      <c r="R80" s="2014"/>
      <c r="S80" s="2011"/>
      <c r="T80" s="2011"/>
      <c r="U80" s="2011"/>
      <c r="V80" s="2011"/>
      <c r="W80" s="2011"/>
      <c r="X80" s="1673"/>
      <c r="Y80" s="1674"/>
    </row>
    <row r="81" spans="17:25">
      <c r="Q81" s="2014"/>
      <c r="R81" s="2014"/>
      <c r="S81" s="2011"/>
      <c r="T81" s="2011"/>
      <c r="U81" s="2011"/>
      <c r="V81" s="2011"/>
      <c r="W81" s="2014"/>
      <c r="X81" s="1673"/>
      <c r="Y81" s="1674"/>
    </row>
    <row r="82" spans="17:25">
      <c r="Q82" s="2014"/>
      <c r="R82" s="2014"/>
      <c r="S82" s="2011"/>
      <c r="T82" s="2011"/>
      <c r="U82" s="2011"/>
      <c r="V82" s="2011"/>
      <c r="W82" s="2011"/>
      <c r="X82" s="1673"/>
      <c r="Y82" s="1674"/>
    </row>
    <row r="83" spans="17:25">
      <c r="Q83" s="2014"/>
      <c r="R83" s="2014"/>
      <c r="S83" s="2011"/>
      <c r="T83" s="2011"/>
      <c r="U83" s="2023"/>
      <c r="V83" s="2011"/>
      <c r="W83" s="2017"/>
      <c r="X83" s="2001"/>
      <c r="Y83" s="1674"/>
    </row>
    <row r="84" spans="17:25">
      <c r="Q84" s="2011"/>
      <c r="R84" s="2011"/>
      <c r="S84" s="2011"/>
      <c r="T84" s="2011"/>
      <c r="U84" s="2011"/>
      <c r="V84" s="2011"/>
      <c r="W84" s="2014"/>
      <c r="X84" s="1673"/>
      <c r="Y84" s="1673"/>
    </row>
    <row r="85" spans="17:25">
      <c r="Q85" s="2011"/>
      <c r="R85" s="2011"/>
      <c r="S85" s="2011"/>
      <c r="T85" s="2011"/>
      <c r="U85" s="2011"/>
      <c r="V85" s="2011"/>
      <c r="W85" s="2011"/>
      <c r="X85" s="1673"/>
      <c r="Y85" s="1673"/>
    </row>
    <row r="86" spans="17:25">
      <c r="Q86" s="2011"/>
      <c r="R86" s="2011"/>
      <c r="S86" s="2022"/>
      <c r="T86" s="2011"/>
      <c r="U86" s="2011"/>
      <c r="V86" s="2011"/>
      <c r="W86" s="2011"/>
      <c r="X86" s="1673"/>
      <c r="Y86" s="1673"/>
    </row>
    <row r="87" spans="17:25">
      <c r="Q87" s="2011"/>
      <c r="R87" s="2011"/>
      <c r="S87" s="2022"/>
      <c r="T87" s="2011"/>
      <c r="U87" s="2011"/>
      <c r="V87" s="2011"/>
      <c r="W87" s="2011"/>
      <c r="X87" s="1673"/>
      <c r="Y87" s="1673"/>
    </row>
    <row r="88" spans="17:25">
      <c r="Q88" s="2011"/>
      <c r="R88" s="2011"/>
      <c r="S88" s="2022"/>
      <c r="T88" s="2011"/>
      <c r="U88" s="2011"/>
      <c r="V88" s="2011"/>
      <c r="W88" s="2011"/>
      <c r="X88" s="1673"/>
      <c r="Y88" s="1673"/>
    </row>
    <row r="89" spans="17:25">
      <c r="Q89" s="1637"/>
      <c r="R89" s="1637"/>
      <c r="S89" s="1637"/>
      <c r="T89" s="1637"/>
      <c r="U89" s="1637"/>
      <c r="V89" s="1637"/>
      <c r="W89" s="1637"/>
      <c r="X89" s="1632"/>
      <c r="Y89" s="1632"/>
    </row>
  </sheetData>
  <phoneticPr fontId="4" type="noConversion"/>
  <pageMargins left="1" right="0.75" top="1" bottom="1" header="0.5" footer="0.5"/>
  <pageSetup scale="77" orientation="portrait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pageSetUpPr fitToPage="1"/>
  </sheetPr>
  <dimension ref="A1:S44"/>
  <sheetViews>
    <sheetView zoomScale="75" workbookViewId="0"/>
  </sheetViews>
  <sheetFormatPr defaultColWidth="8" defaultRowHeight="15"/>
  <cols>
    <col min="1" max="1" width="6.33203125" style="345" customWidth="1"/>
    <col min="2" max="2" width="1.109375" style="345" customWidth="1"/>
    <col min="3" max="3" width="16.109375" style="345" customWidth="1"/>
    <col min="4" max="4" width="63" style="345" customWidth="1"/>
    <col min="5" max="5" width="23" style="345" customWidth="1"/>
    <col min="6" max="6" width="5.33203125" style="345" customWidth="1"/>
    <col min="7" max="7" width="2.6640625" style="345" customWidth="1"/>
    <col min="8" max="8" width="22.6640625" style="345" customWidth="1"/>
    <col min="9" max="9" width="5.109375" style="345" customWidth="1"/>
    <col min="10" max="10" width="19.44140625" style="345" customWidth="1"/>
    <col min="11" max="11" width="18.88671875" style="345" customWidth="1"/>
    <col min="12" max="12" width="8.33203125" style="345" customWidth="1"/>
    <col min="13" max="13" width="2.44140625" style="345" customWidth="1"/>
    <col min="14" max="14" width="8" style="345" customWidth="1"/>
    <col min="15" max="15" width="3.5546875" style="345" customWidth="1"/>
    <col min="16" max="16" width="46.88671875" style="345" customWidth="1"/>
    <col min="17" max="17" width="49.6640625" style="345" customWidth="1"/>
    <col min="18" max="18" width="5.44140625" style="345" customWidth="1"/>
    <col min="19" max="19" width="44.44140625" style="345" customWidth="1"/>
    <col min="20" max="16384" width="8" style="345"/>
  </cols>
  <sheetData>
    <row r="1" spans="1:12">
      <c r="A1" s="343" t="str">
        <f>COMPANY</f>
        <v>DUKE ENERGY KENTUCKY, INC.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</row>
    <row r="2" spans="1:12">
      <c r="A2" s="343" t="str">
        <f>CASE</f>
        <v>CASE NO. 2018-00261</v>
      </c>
      <c r="B2" s="344"/>
      <c r="C2" s="344"/>
      <c r="D2" s="344"/>
      <c r="E2" s="344"/>
      <c r="F2" s="344"/>
      <c r="G2" s="344"/>
      <c r="H2" s="344"/>
      <c r="I2" s="344"/>
      <c r="J2" s="344"/>
      <c r="K2" s="344"/>
    </row>
    <row r="3" spans="1:12">
      <c r="A3" s="343" t="s">
        <v>417</v>
      </c>
      <c r="B3" s="344"/>
      <c r="C3" s="344"/>
      <c r="D3" s="344"/>
      <c r="E3" s="344"/>
      <c r="F3" s="344"/>
      <c r="G3" s="344"/>
      <c r="H3" s="344"/>
      <c r="I3" s="344"/>
      <c r="J3" s="344"/>
      <c r="K3" s="344"/>
    </row>
    <row r="4" spans="1:12">
      <c r="A4" s="344" t="s">
        <v>400</v>
      </c>
      <c r="B4" s="344"/>
      <c r="C4" s="344"/>
      <c r="D4" s="344"/>
      <c r="E4" s="344"/>
      <c r="F4" s="344"/>
      <c r="G4" s="344"/>
      <c r="H4" s="344"/>
      <c r="I4" s="344"/>
      <c r="J4" s="344"/>
      <c r="K4" s="344"/>
    </row>
    <row r="5" spans="1:12">
      <c r="A5" s="344" t="str">
        <f>PeriodF</f>
        <v>FOR THE TWELVE MONTHS ENDED MARCH 31, 2020</v>
      </c>
      <c r="B5" s="344"/>
      <c r="C5" s="344"/>
      <c r="D5" s="344"/>
      <c r="E5" s="344"/>
      <c r="F5" s="344"/>
      <c r="G5" s="344"/>
      <c r="H5" s="344"/>
      <c r="I5" s="344"/>
      <c r="J5" s="344"/>
      <c r="K5" s="344"/>
    </row>
    <row r="7" spans="1:12">
      <c r="A7" s="346" t="str">
        <f>DataF</f>
        <v>DATA:  BASE PERIOD  "X" FORECASTED PERIOD</v>
      </c>
      <c r="J7" s="347" t="s">
        <v>418</v>
      </c>
    </row>
    <row r="8" spans="1:12">
      <c r="A8" s="346" t="str">
        <f>LOGO!B15</f>
        <v xml:space="preserve">TYPE OF FILING:  "X" ORIGINAL   UPDATED    REVISED  </v>
      </c>
      <c r="J8" s="347" t="s">
        <v>419</v>
      </c>
    </row>
    <row r="9" spans="1:12">
      <c r="A9" s="347" t="s">
        <v>655</v>
      </c>
      <c r="J9" s="347" t="s">
        <v>420</v>
      </c>
    </row>
    <row r="10" spans="1:12">
      <c r="J10" s="309" t="str">
        <f>"    "&amp;_WIT2</f>
        <v xml:space="preserve">    J. E. ZIOLKOWSKI</v>
      </c>
    </row>
    <row r="11" spans="1:12">
      <c r="A11" s="348"/>
      <c r="B11" s="348"/>
      <c r="C11" s="348"/>
      <c r="D11" s="348"/>
      <c r="E11" s="348"/>
      <c r="F11" s="348"/>
      <c r="G11" s="348"/>
      <c r="H11" s="348"/>
      <c r="I11" s="348"/>
      <c r="J11" s="348"/>
      <c r="K11" s="348"/>
      <c r="L11" s="347"/>
    </row>
    <row r="12" spans="1:12">
      <c r="E12" s="349" t="s">
        <v>663</v>
      </c>
      <c r="G12" s="349"/>
    </row>
    <row r="13" spans="1:12">
      <c r="A13" s="349" t="s">
        <v>567</v>
      </c>
      <c r="C13" s="349" t="s">
        <v>906</v>
      </c>
      <c r="E13" s="349" t="s">
        <v>884</v>
      </c>
      <c r="G13" s="349"/>
      <c r="H13" s="349" t="s">
        <v>869</v>
      </c>
      <c r="I13" s="349"/>
      <c r="J13" s="349" t="s">
        <v>906</v>
      </c>
      <c r="K13" s="350" t="s">
        <v>882</v>
      </c>
    </row>
    <row r="14" spans="1:12">
      <c r="A14" s="349" t="s">
        <v>2169</v>
      </c>
      <c r="C14" s="349" t="s">
        <v>421</v>
      </c>
      <c r="E14" s="349" t="s">
        <v>694</v>
      </c>
      <c r="G14" s="349"/>
      <c r="H14" s="349" t="s">
        <v>872</v>
      </c>
      <c r="I14" s="349"/>
      <c r="J14" s="349" t="s">
        <v>421</v>
      </c>
      <c r="K14" s="350" t="s">
        <v>742</v>
      </c>
    </row>
    <row r="15" spans="1:12">
      <c r="A15" s="348"/>
      <c r="B15" s="348"/>
      <c r="C15" s="348"/>
      <c r="D15" s="348"/>
      <c r="E15" s="348"/>
      <c r="F15" s="348"/>
      <c r="G15" s="348"/>
      <c r="H15" s="348"/>
      <c r="I15" s="348"/>
      <c r="J15" s="351" t="s">
        <v>2097</v>
      </c>
      <c r="K15" s="352"/>
      <c r="L15" s="347"/>
    </row>
    <row r="16" spans="1:12" ht="15.6">
      <c r="E16" s="353"/>
      <c r="K16" s="354"/>
    </row>
    <row r="17" spans="1:11">
      <c r="A17" s="346"/>
      <c r="C17" s="349"/>
      <c r="D17" s="347" t="s">
        <v>660</v>
      </c>
      <c r="E17" s="355"/>
      <c r="F17" s="356"/>
      <c r="G17" s="356"/>
      <c r="H17" s="355"/>
      <c r="I17" s="356"/>
      <c r="J17" s="357"/>
      <c r="K17" s="358"/>
    </row>
    <row r="18" spans="1:11">
      <c r="A18" s="346"/>
      <c r="C18" s="358"/>
      <c r="D18" s="347"/>
      <c r="E18" s="359"/>
      <c r="F18" s="360"/>
      <c r="G18" s="360"/>
      <c r="H18" s="359"/>
      <c r="I18" s="360"/>
      <c r="J18" s="357"/>
      <c r="K18" s="358"/>
    </row>
    <row r="19" spans="1:11">
      <c r="A19" s="346"/>
      <c r="C19" s="349"/>
      <c r="D19" s="347"/>
      <c r="E19" s="361"/>
      <c r="F19" s="356"/>
      <c r="G19" s="356"/>
      <c r="H19" s="361"/>
      <c r="I19" s="356"/>
      <c r="J19" s="357"/>
      <c r="K19" s="358"/>
    </row>
    <row r="20" spans="1:11">
      <c r="A20" s="346"/>
      <c r="C20" s="349"/>
      <c r="D20" s="347"/>
      <c r="E20" s="359"/>
      <c r="H20" s="359"/>
      <c r="J20" s="357"/>
      <c r="K20" s="358"/>
    </row>
    <row r="21" spans="1:11">
      <c r="A21" s="346"/>
      <c r="C21" s="350"/>
      <c r="D21" s="347"/>
      <c r="E21" s="361"/>
      <c r="F21" s="356"/>
      <c r="G21" s="356"/>
      <c r="H21" s="361"/>
      <c r="I21" s="356"/>
      <c r="J21" s="357"/>
      <c r="K21" s="350"/>
    </row>
    <row r="22" spans="1:11">
      <c r="A22" s="346"/>
      <c r="C22" s="358"/>
      <c r="D22" s="347"/>
      <c r="E22" s="362"/>
      <c r="F22" s="347"/>
      <c r="G22" s="347"/>
      <c r="H22" s="363"/>
      <c r="I22" s="347"/>
      <c r="J22" s="357"/>
      <c r="K22" s="358"/>
    </row>
    <row r="23" spans="1:11">
      <c r="A23" s="346"/>
      <c r="C23" s="349"/>
      <c r="D23" s="347"/>
      <c r="E23" s="362"/>
      <c r="F23" s="356"/>
      <c r="G23" s="356"/>
      <c r="H23" s="363"/>
      <c r="I23" s="356"/>
      <c r="J23" s="357"/>
      <c r="K23" s="358"/>
    </row>
    <row r="24" spans="1:11">
      <c r="A24" s="346"/>
      <c r="C24" s="349"/>
      <c r="D24" s="347"/>
      <c r="E24" s="364"/>
      <c r="F24" s="356"/>
      <c r="G24" s="356"/>
      <c r="H24" s="364"/>
      <c r="I24" s="356"/>
      <c r="J24" s="357"/>
      <c r="K24" s="358"/>
    </row>
    <row r="25" spans="1:11">
      <c r="A25" s="346"/>
      <c r="C25" s="358"/>
      <c r="D25" s="347"/>
      <c r="E25" s="359"/>
      <c r="F25" s="360"/>
      <c r="G25" s="360"/>
      <c r="H25" s="359"/>
      <c r="I25" s="360"/>
      <c r="J25" s="357"/>
      <c r="K25" s="358"/>
    </row>
    <row r="26" spans="1:11">
      <c r="A26" s="346"/>
      <c r="C26" s="349"/>
      <c r="D26" s="347"/>
      <c r="E26" s="361"/>
      <c r="F26" s="356"/>
      <c r="G26" s="360"/>
      <c r="H26" s="361"/>
      <c r="I26" s="356"/>
      <c r="J26" s="357"/>
      <c r="K26" s="349"/>
    </row>
    <row r="27" spans="1:11">
      <c r="A27" s="346"/>
      <c r="C27" s="349"/>
      <c r="D27" s="347"/>
      <c r="E27" s="360"/>
      <c r="F27" s="360"/>
      <c r="G27" s="360"/>
      <c r="H27" s="360"/>
      <c r="I27" s="360"/>
      <c r="J27" s="361"/>
      <c r="K27" s="347"/>
    </row>
    <row r="28" spans="1:11">
      <c r="A28" s="346"/>
      <c r="C28" s="349"/>
      <c r="D28" s="347"/>
      <c r="E28" s="360"/>
      <c r="F28" s="360"/>
      <c r="G28" s="360"/>
      <c r="H28" s="360"/>
      <c r="I28" s="360"/>
      <c r="J28" s="361"/>
      <c r="K28" s="347"/>
    </row>
    <row r="29" spans="1:11">
      <c r="A29" s="346"/>
      <c r="C29" s="349"/>
      <c r="D29" s="347"/>
      <c r="E29" s="360"/>
      <c r="F29" s="360"/>
      <c r="G29" s="360"/>
      <c r="H29" s="360"/>
      <c r="I29" s="360"/>
      <c r="J29" s="361"/>
      <c r="K29" s="347"/>
    </row>
    <row r="30" spans="1:11">
      <c r="A30" s="346"/>
      <c r="D30" s="347"/>
      <c r="E30" s="360"/>
      <c r="F30" s="360"/>
      <c r="G30" s="360"/>
      <c r="H30" s="360"/>
      <c r="I30" s="360"/>
      <c r="J30" s="361"/>
      <c r="K30" s="347"/>
    </row>
    <row r="33" spans="12:19">
      <c r="L33" s="346"/>
      <c r="M33" s="358"/>
      <c r="N33" s="358"/>
      <c r="O33" s="347"/>
      <c r="Q33" s="365"/>
      <c r="R33" s="362"/>
      <c r="S33" s="356"/>
    </row>
    <row r="34" spans="12:19">
      <c r="L34" s="346"/>
      <c r="M34" s="354"/>
      <c r="N34" s="354"/>
      <c r="Q34" s="365"/>
      <c r="R34" s="362"/>
      <c r="S34" s="362"/>
    </row>
    <row r="35" spans="12:19">
      <c r="L35" s="346"/>
      <c r="M35" s="358"/>
      <c r="N35" s="358"/>
      <c r="O35" s="347"/>
      <c r="Q35" s="365"/>
      <c r="R35" s="362"/>
      <c r="S35" s="362"/>
    </row>
    <row r="36" spans="12:19">
      <c r="L36" s="346"/>
      <c r="O36" s="347"/>
      <c r="Q36" s="365"/>
      <c r="R36" s="362"/>
      <c r="S36" s="356"/>
    </row>
    <row r="37" spans="12:19">
      <c r="L37" s="346"/>
      <c r="Q37" s="365"/>
      <c r="R37" s="362"/>
      <c r="S37" s="362"/>
    </row>
    <row r="38" spans="12:19">
      <c r="L38" s="346"/>
      <c r="Q38" s="365"/>
      <c r="R38" s="362"/>
      <c r="S38" s="360"/>
    </row>
    <row r="39" spans="12:19">
      <c r="L39" s="346"/>
      <c r="O39" s="347"/>
      <c r="Q39" s="365"/>
      <c r="R39" s="362"/>
      <c r="S39" s="360"/>
    </row>
    <row r="40" spans="12:19">
      <c r="L40" s="346"/>
      <c r="Q40" s="360"/>
      <c r="R40" s="362"/>
      <c r="S40" s="360"/>
    </row>
    <row r="41" spans="12:19">
      <c r="L41" s="346"/>
      <c r="M41" s="358"/>
      <c r="N41" s="358"/>
      <c r="O41" s="347"/>
      <c r="Q41" s="360"/>
      <c r="R41" s="362"/>
      <c r="S41" s="360"/>
    </row>
    <row r="42" spans="12:19">
      <c r="L42" s="346"/>
      <c r="M42" s="354"/>
      <c r="N42" s="354"/>
      <c r="O42" s="347"/>
      <c r="Q42" s="365"/>
      <c r="R42" s="362"/>
      <c r="S42" s="356"/>
    </row>
    <row r="43" spans="12:19">
      <c r="L43" s="346"/>
      <c r="M43" s="354"/>
      <c r="N43" s="354"/>
      <c r="Q43" s="360"/>
      <c r="R43" s="362"/>
      <c r="S43" s="360"/>
    </row>
    <row r="44" spans="12:19">
      <c r="L44" s="346"/>
      <c r="M44" s="358"/>
      <c r="N44" s="358"/>
      <c r="O44" s="347"/>
      <c r="Q44" s="365"/>
      <c r="R44" s="362"/>
      <c r="S44" s="356"/>
    </row>
  </sheetData>
  <phoneticPr fontId="4" type="noConversion"/>
  <pageMargins left="1" right="0.75" top="0.98425196850393704" bottom="0" header="0" footer="0"/>
  <pageSetup scale="64" orientation="landscape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A1:H33"/>
  <sheetViews>
    <sheetView zoomScale="75" workbookViewId="0"/>
  </sheetViews>
  <sheetFormatPr defaultColWidth="8" defaultRowHeight="15"/>
  <cols>
    <col min="1" max="1" width="8.33203125" style="345" customWidth="1"/>
    <col min="2" max="2" width="2.44140625" style="345" customWidth="1"/>
    <col min="3" max="3" width="8" style="345" customWidth="1"/>
    <col min="4" max="4" width="3.5546875" style="345" customWidth="1"/>
    <col min="5" max="5" width="46.88671875" style="345" customWidth="1"/>
    <col min="6" max="6" width="49.6640625" style="345" customWidth="1"/>
    <col min="7" max="7" width="5.44140625" style="345" customWidth="1"/>
    <col min="8" max="8" width="44.44140625" style="345" customWidth="1"/>
    <col min="9" max="16384" width="8" style="345"/>
  </cols>
  <sheetData>
    <row r="1" spans="1:8">
      <c r="A1" s="344" t="str">
        <f>COMPANY</f>
        <v>DUKE ENERGY KENTUCKY, INC.</v>
      </c>
      <c r="B1" s="344"/>
      <c r="C1" s="344"/>
      <c r="D1" s="344"/>
      <c r="E1" s="343"/>
      <c r="F1" s="344"/>
      <c r="G1" s="344"/>
      <c r="H1" s="344"/>
    </row>
    <row r="2" spans="1:8">
      <c r="A2" s="344" t="str">
        <f>CASE</f>
        <v>CASE NO. 2018-00261</v>
      </c>
      <c r="B2" s="344"/>
      <c r="C2" s="344"/>
      <c r="D2" s="344"/>
      <c r="E2" s="343"/>
      <c r="F2" s="344"/>
      <c r="G2" s="344"/>
      <c r="H2" s="344"/>
    </row>
    <row r="3" spans="1:8">
      <c r="A3" s="343" t="s">
        <v>1291</v>
      </c>
      <c r="B3" s="344"/>
      <c r="C3" s="344"/>
      <c r="D3" s="344"/>
      <c r="E3" s="344"/>
      <c r="F3" s="344"/>
      <c r="G3" s="344"/>
      <c r="H3" s="344"/>
    </row>
    <row r="4" spans="1:8">
      <c r="A4" s="344" t="s">
        <v>400</v>
      </c>
      <c r="B4" s="344"/>
      <c r="C4" s="344"/>
      <c r="D4" s="344"/>
      <c r="E4" s="344"/>
      <c r="F4" s="344"/>
      <c r="G4" s="344"/>
      <c r="H4" s="344"/>
    </row>
    <row r="5" spans="1:8">
      <c r="A5" s="343" t="str">
        <f>PeriodF</f>
        <v>FOR THE TWELVE MONTHS ENDED MARCH 31, 2020</v>
      </c>
      <c r="B5" s="344"/>
      <c r="C5" s="344"/>
      <c r="D5" s="344"/>
      <c r="E5" s="344"/>
      <c r="F5" s="344"/>
      <c r="G5" s="344"/>
      <c r="H5" s="344"/>
    </row>
    <row r="8" spans="1:8">
      <c r="A8" s="346" t="str">
        <f>DataF</f>
        <v>DATA:  BASE PERIOD  "X" FORECASTED PERIOD</v>
      </c>
      <c r="H8" s="347" t="s">
        <v>422</v>
      </c>
    </row>
    <row r="9" spans="1:8">
      <c r="A9" s="346" t="str">
        <f>Type</f>
        <v xml:space="preserve">TYPE OF FILING:  "X" ORIGINAL   UPDATED    REVISED  </v>
      </c>
      <c r="H9" s="347" t="s">
        <v>419</v>
      </c>
    </row>
    <row r="10" spans="1:8">
      <c r="A10" s="347" t="s">
        <v>655</v>
      </c>
      <c r="H10" s="347" t="s">
        <v>420</v>
      </c>
    </row>
    <row r="11" spans="1:8">
      <c r="H11" s="345" t="str">
        <f>"    "&amp;_WIT2</f>
        <v xml:space="preserve">    J. E. ZIOLKOWSKI</v>
      </c>
    </row>
    <row r="12" spans="1:8">
      <c r="A12" s="348"/>
      <c r="B12" s="348"/>
      <c r="C12" s="348"/>
      <c r="D12" s="348"/>
      <c r="E12" s="348"/>
      <c r="F12" s="348"/>
      <c r="G12" s="348"/>
      <c r="H12" s="348"/>
    </row>
    <row r="14" spans="1:8">
      <c r="A14" s="349" t="s">
        <v>567</v>
      </c>
      <c r="C14" s="349" t="s">
        <v>2160</v>
      </c>
      <c r="F14" s="349" t="s">
        <v>424</v>
      </c>
    </row>
    <row r="15" spans="1:8">
      <c r="A15" s="349" t="s">
        <v>2169</v>
      </c>
      <c r="C15" s="349" t="s">
        <v>693</v>
      </c>
      <c r="E15" s="349" t="s">
        <v>741</v>
      </c>
      <c r="F15" s="349" t="s">
        <v>423</v>
      </c>
      <c r="H15" s="349" t="s">
        <v>1723</v>
      </c>
    </row>
    <row r="16" spans="1:8">
      <c r="A16" s="348"/>
      <c r="B16" s="348"/>
      <c r="C16" s="348"/>
      <c r="D16" s="348"/>
      <c r="E16" s="348"/>
      <c r="F16" s="348"/>
      <c r="G16" s="348"/>
      <c r="H16" s="348"/>
    </row>
    <row r="18" spans="1:8">
      <c r="A18" s="346"/>
      <c r="C18" s="1253" t="s">
        <v>2921</v>
      </c>
      <c r="D18" s="347"/>
      <c r="E18" s="365"/>
      <c r="F18" s="362"/>
      <c r="G18" s="362"/>
      <c r="H18" s="362"/>
    </row>
    <row r="19" spans="1:8">
      <c r="A19" s="346"/>
      <c r="E19" s="365"/>
      <c r="F19" s="362"/>
      <c r="G19" s="362"/>
      <c r="H19" s="362"/>
    </row>
    <row r="20" spans="1:8">
      <c r="A20" s="346"/>
      <c r="B20" s="354"/>
      <c r="C20" s="354"/>
      <c r="D20" s="347"/>
      <c r="E20" s="365"/>
      <c r="F20" s="362"/>
      <c r="G20" s="362"/>
      <c r="H20" s="362"/>
    </row>
    <row r="21" spans="1:8">
      <c r="A21" s="346"/>
      <c r="B21" s="358"/>
      <c r="C21" s="358"/>
      <c r="D21" s="347"/>
      <c r="F21" s="365"/>
      <c r="G21" s="362"/>
      <c r="H21" s="356"/>
    </row>
    <row r="22" spans="1:8">
      <c r="A22" s="346"/>
      <c r="B22" s="358"/>
      <c r="C22" s="358"/>
      <c r="D22" s="347"/>
      <c r="F22" s="365"/>
      <c r="G22" s="362"/>
      <c r="H22" s="356"/>
    </row>
    <row r="23" spans="1:8">
      <c r="A23" s="346"/>
      <c r="B23" s="354"/>
      <c r="C23" s="354"/>
      <c r="F23" s="365"/>
      <c r="G23" s="362"/>
      <c r="H23" s="362"/>
    </row>
    <row r="24" spans="1:8">
      <c r="A24" s="346"/>
      <c r="B24" s="358"/>
      <c r="C24" s="358"/>
      <c r="D24" s="347"/>
      <c r="F24" s="365"/>
      <c r="G24" s="362"/>
      <c r="H24" s="362"/>
    </row>
    <row r="25" spans="1:8">
      <c r="A25" s="346"/>
      <c r="D25" s="347"/>
      <c r="F25" s="365"/>
      <c r="G25" s="362"/>
      <c r="H25" s="356"/>
    </row>
    <row r="26" spans="1:8">
      <c r="A26" s="346"/>
      <c r="F26" s="365"/>
      <c r="G26" s="362"/>
      <c r="H26" s="362"/>
    </row>
    <row r="27" spans="1:8">
      <c r="A27" s="346"/>
      <c r="F27" s="365"/>
      <c r="G27" s="362"/>
      <c r="H27" s="360"/>
    </row>
    <row r="28" spans="1:8">
      <c r="A28" s="346"/>
      <c r="D28" s="347"/>
      <c r="F28" s="365"/>
      <c r="G28" s="362"/>
      <c r="H28" s="360"/>
    </row>
    <row r="29" spans="1:8">
      <c r="A29" s="346"/>
      <c r="F29" s="360"/>
      <c r="G29" s="362"/>
      <c r="H29" s="360"/>
    </row>
    <row r="30" spans="1:8">
      <c r="A30" s="346"/>
      <c r="B30" s="358"/>
      <c r="C30" s="358"/>
      <c r="D30" s="347"/>
      <c r="F30" s="360"/>
      <c r="G30" s="362"/>
      <c r="H30" s="360"/>
    </row>
    <row r="31" spans="1:8">
      <c r="A31" s="346"/>
      <c r="B31" s="354"/>
      <c r="C31" s="354"/>
      <c r="D31" s="347"/>
      <c r="F31" s="365"/>
      <c r="G31" s="362"/>
      <c r="H31" s="356"/>
    </row>
    <row r="32" spans="1:8">
      <c r="A32" s="346"/>
      <c r="B32" s="354"/>
      <c r="C32" s="354"/>
      <c r="F32" s="360"/>
      <c r="G32" s="362"/>
      <c r="H32" s="360"/>
    </row>
    <row r="33" spans="1:8">
      <c r="A33" s="346"/>
      <c r="B33" s="358"/>
      <c r="C33" s="358"/>
      <c r="D33" s="347"/>
      <c r="F33" s="365"/>
      <c r="G33" s="362"/>
      <c r="H33" s="356"/>
    </row>
  </sheetData>
  <phoneticPr fontId="4" type="noConversion"/>
  <pageMargins left="1" right="0.75" top="0.98425196850393704" bottom="0" header="0" footer="0"/>
  <pageSetup scale="70" orientation="landscape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syncVertical="1" syncRef="A1" transitionEvaluation="1" transitionEntry="1" codeName="Sheet47">
    <tabColor rgb="FFFFFF99"/>
    <pageSetUpPr fitToPage="1"/>
  </sheetPr>
  <dimension ref="A1:BT486"/>
  <sheetViews>
    <sheetView zoomScale="80" zoomScaleNormal="80" workbookViewId="0"/>
  </sheetViews>
  <sheetFormatPr defaultColWidth="16.109375" defaultRowHeight="15"/>
  <cols>
    <col min="1" max="1" width="10.5546875" style="757" customWidth="1"/>
    <col min="2" max="2" width="9.88671875" style="757" customWidth="1"/>
    <col min="3" max="3" width="6.44140625" style="757" customWidth="1"/>
    <col min="4" max="4" width="1" style="757" customWidth="1"/>
    <col min="5" max="5" width="61.88671875" style="757" customWidth="1"/>
    <col min="6" max="6" width="1" style="757" customWidth="1"/>
    <col min="7" max="7" width="19" style="757" customWidth="1"/>
    <col min="8" max="8" width="0.5546875" style="757" customWidth="1"/>
    <col min="9" max="9" width="20" style="757" customWidth="1"/>
    <col min="10" max="10" width="0.5546875" style="757" customWidth="1"/>
    <col min="11" max="13" width="22.6640625" style="757" customWidth="1"/>
    <col min="14" max="14" width="1.109375" style="757" customWidth="1"/>
    <col min="15" max="15" width="17.88671875" style="757" customWidth="1"/>
    <col min="16" max="16" width="0.5546875" style="757" customWidth="1"/>
    <col min="17" max="17" width="20" style="757" customWidth="1"/>
    <col min="18" max="18" width="9.6640625" style="757" customWidth="1"/>
    <col min="19" max="19" width="6.88671875" style="757" customWidth="1"/>
    <col min="20" max="20" width="9.5546875" style="757" customWidth="1"/>
    <col min="21" max="21" width="52.6640625" style="757" customWidth="1"/>
    <col min="22" max="22" width="1.5546875" style="757" customWidth="1"/>
    <col min="23" max="23" width="15.6640625" style="757" customWidth="1"/>
    <col min="24" max="24" width="6.6640625" style="757" customWidth="1"/>
    <col min="25" max="25" width="25.33203125" style="757" customWidth="1"/>
    <col min="26" max="26" width="26.44140625" style="757" customWidth="1"/>
    <col min="27" max="27" width="6.33203125" style="757" customWidth="1"/>
    <col min="28" max="28" width="8.33203125" style="757" customWidth="1"/>
    <col min="29" max="29" width="9.5546875" style="757" customWidth="1"/>
    <col min="30" max="30" width="61.88671875" style="757" customWidth="1"/>
    <col min="31" max="33" width="19.33203125" style="757" customWidth="1"/>
    <col min="34" max="34" width="22.6640625" style="757" customWidth="1"/>
    <col min="35" max="35" width="1.88671875" style="757" customWidth="1"/>
    <col min="36" max="36" width="22" style="757" customWidth="1"/>
    <col min="37" max="38" width="18.44140625" style="757" customWidth="1"/>
    <col min="39" max="39" width="18.88671875" style="757" customWidth="1"/>
    <col min="40" max="40" width="22.5546875" style="757" customWidth="1"/>
    <col min="41" max="41" width="25.109375" style="757" customWidth="1"/>
    <col min="42" max="42" width="16.109375" style="757"/>
    <col min="43" max="43" width="4.5546875" style="757" customWidth="1"/>
    <col min="44" max="44" width="3.33203125" style="757" customWidth="1"/>
    <col min="45" max="45" width="13.5546875" style="757" customWidth="1"/>
    <col min="46" max="46" width="20" style="757" customWidth="1"/>
    <col min="47" max="47" width="2" style="757" customWidth="1"/>
    <col min="48" max="48" width="16.109375" style="757" customWidth="1"/>
    <col min="49" max="49" width="3.33203125" style="757" customWidth="1"/>
    <col min="50" max="50" width="18.6640625" style="757" customWidth="1"/>
    <col min="51" max="51" width="2" style="757" customWidth="1"/>
    <col min="52" max="52" width="17.44140625" style="757" customWidth="1"/>
    <col min="53" max="53" width="3.33203125" style="757" customWidth="1"/>
    <col min="54" max="54" width="14.88671875" style="757" customWidth="1"/>
    <col min="55" max="55" width="2" style="757" customWidth="1"/>
    <col min="56" max="56" width="18.6640625" style="757" customWidth="1"/>
    <col min="57" max="57" width="7.109375" style="757" customWidth="1"/>
    <col min="58" max="58" width="20" style="757" customWidth="1"/>
    <col min="59" max="59" width="16.109375" style="757" customWidth="1"/>
    <col min="60" max="60" width="13.5546875" style="757" customWidth="1"/>
    <col min="61" max="61" width="5.88671875" style="757" customWidth="1"/>
    <col min="62" max="62" width="16.109375" style="757" customWidth="1"/>
    <col min="63" max="63" width="27.6640625" style="757" customWidth="1"/>
    <col min="64" max="64" width="9.6640625" style="757" customWidth="1"/>
    <col min="65" max="65" width="20" style="757" customWidth="1"/>
    <col min="66" max="66" width="11" style="757" customWidth="1"/>
    <col min="67" max="67" width="13.5546875" style="757" customWidth="1"/>
    <col min="68" max="68" width="5.88671875" style="757" customWidth="1"/>
    <col min="69" max="71" width="16.109375" style="757" customWidth="1"/>
    <col min="72" max="16384" width="16.109375" style="757"/>
  </cols>
  <sheetData>
    <row r="1" spans="3:71">
      <c r="C1" s="920" t="str">
        <f>COMPANY</f>
        <v>DUKE ENERGY KENTUCKY, INC.</v>
      </c>
      <c r="D1" s="921"/>
      <c r="E1" s="921"/>
      <c r="F1" s="921"/>
      <c r="G1" s="921"/>
      <c r="H1" s="921"/>
      <c r="I1" s="921"/>
      <c r="J1" s="921"/>
      <c r="K1" s="921"/>
      <c r="L1" s="921"/>
      <c r="M1" s="921"/>
      <c r="N1" s="921"/>
      <c r="O1" s="921"/>
      <c r="P1" s="921"/>
      <c r="Q1" s="921"/>
    </row>
    <row r="2" spans="3:71">
      <c r="C2" s="920" t="str">
        <f>CASE</f>
        <v>CASE NO. 2018-00261</v>
      </c>
      <c r="D2" s="921"/>
      <c r="E2" s="921"/>
      <c r="F2" s="921"/>
      <c r="G2" s="921"/>
      <c r="H2" s="921"/>
      <c r="I2" s="921"/>
      <c r="J2" s="921"/>
      <c r="K2" s="921"/>
      <c r="L2" s="921"/>
      <c r="M2" s="921"/>
      <c r="N2" s="921"/>
      <c r="O2" s="921"/>
      <c r="P2" s="921"/>
      <c r="Q2" s="921"/>
    </row>
    <row r="3" spans="3:71">
      <c r="C3" s="920" t="s">
        <v>425</v>
      </c>
      <c r="D3" s="921"/>
      <c r="E3" s="921"/>
      <c r="F3" s="921"/>
      <c r="G3" s="921"/>
      <c r="H3" s="921"/>
      <c r="I3" s="921"/>
      <c r="J3" s="921"/>
      <c r="K3" s="921"/>
      <c r="L3" s="921"/>
      <c r="M3" s="921"/>
      <c r="N3" s="921"/>
      <c r="O3" s="921"/>
      <c r="P3" s="921"/>
      <c r="Q3" s="921"/>
    </row>
    <row r="4" spans="3:71">
      <c r="C4" s="920" t="str">
        <f>PERIOD</f>
        <v>FOR THE TWELVE MONTHS ENDED NOVEMBER 30, 2018</v>
      </c>
      <c r="D4" s="921"/>
      <c r="E4" s="921"/>
      <c r="F4" s="921"/>
      <c r="G4" s="921"/>
      <c r="H4" s="921"/>
      <c r="I4" s="921"/>
      <c r="J4" s="921"/>
      <c r="K4" s="921"/>
      <c r="L4" s="921"/>
      <c r="M4" s="921"/>
      <c r="N4" s="921"/>
      <c r="O4" s="921"/>
      <c r="P4" s="921"/>
      <c r="Q4" s="921"/>
    </row>
    <row r="5" spans="3:71">
      <c r="C5" s="920" t="str">
        <f>PeriodF</f>
        <v>FOR THE TWELVE MONTHS ENDED MARCH 31, 2020</v>
      </c>
      <c r="D5" s="921"/>
      <c r="E5" s="921"/>
      <c r="F5" s="921"/>
      <c r="G5" s="921"/>
      <c r="H5" s="921"/>
      <c r="I5" s="921"/>
      <c r="J5" s="921"/>
      <c r="K5" s="921"/>
      <c r="L5" s="921"/>
      <c r="M5" s="921"/>
      <c r="N5" s="921"/>
      <c r="O5" s="921"/>
      <c r="P5" s="921"/>
      <c r="Q5" s="921"/>
    </row>
    <row r="6" spans="3:71">
      <c r="E6" s="922"/>
    </row>
    <row r="7" spans="3:71">
      <c r="C7" s="923" t="str">
        <f>DataB</f>
        <v>DATA: "X" BASE PERIOD  "X" FORECASTED PERIOD</v>
      </c>
      <c r="E7" s="922"/>
      <c r="O7" s="924" t="s">
        <v>426</v>
      </c>
      <c r="P7" s="924"/>
    </row>
    <row r="8" spans="3:71">
      <c r="C8" s="923" t="str">
        <f>Type</f>
        <v xml:space="preserve">TYPE OF FILING:  "X" ORIGINAL   UPDATED    REVISED  </v>
      </c>
      <c r="E8" s="922"/>
      <c r="O8" s="924" t="s">
        <v>1032</v>
      </c>
      <c r="P8" s="924"/>
    </row>
    <row r="9" spans="3:71">
      <c r="C9" s="924" t="s">
        <v>826</v>
      </c>
      <c r="E9" s="922"/>
      <c r="O9" s="924" t="s">
        <v>566</v>
      </c>
      <c r="P9" s="924"/>
    </row>
    <row r="10" spans="3:71">
      <c r="E10" s="922"/>
      <c r="O10" s="924" t="str">
        <f>_WIT3</f>
        <v>J. R. PANIZZA</v>
      </c>
      <c r="P10" s="925"/>
      <c r="BM10" s="1302"/>
      <c r="BO10" s="1302"/>
    </row>
    <row r="11" spans="3:71">
      <c r="E11" s="922"/>
      <c r="O11" s="924"/>
      <c r="P11" s="925"/>
      <c r="BM11" s="1302"/>
      <c r="BO11" s="1302"/>
    </row>
    <row r="12" spans="3:71">
      <c r="C12" s="545"/>
      <c r="D12" s="545"/>
      <c r="E12" s="546"/>
      <c r="F12" s="545"/>
      <c r="G12" s="547" t="s">
        <v>1821</v>
      </c>
      <c r="H12" s="547"/>
      <c r="I12" s="548"/>
      <c r="J12" s="548"/>
      <c r="K12" s="549"/>
      <c r="L12" s="549"/>
      <c r="M12" s="549"/>
      <c r="N12" s="545"/>
      <c r="O12" s="547" t="s">
        <v>1822</v>
      </c>
      <c r="P12" s="547"/>
      <c r="Q12" s="548"/>
      <c r="R12" s="550"/>
      <c r="BM12" s="1302"/>
      <c r="BO12" s="1302"/>
    </row>
    <row r="13" spans="3:71">
      <c r="C13" s="925" t="s">
        <v>567</v>
      </c>
      <c r="E13" s="922"/>
      <c r="G13" s="551" t="s">
        <v>740</v>
      </c>
      <c r="H13" s="545"/>
      <c r="I13" s="552"/>
      <c r="J13" s="553"/>
      <c r="K13" s="554" t="s">
        <v>1127</v>
      </c>
      <c r="L13" s="554" t="s">
        <v>732</v>
      </c>
      <c r="M13" s="554" t="s">
        <v>732</v>
      </c>
      <c r="O13" s="552"/>
      <c r="P13" s="552"/>
      <c r="Q13" s="545"/>
      <c r="R13" s="555"/>
      <c r="BM13" s="1302"/>
      <c r="BO13" s="1302"/>
    </row>
    <row r="14" spans="3:71">
      <c r="C14" s="925" t="s">
        <v>2169</v>
      </c>
      <c r="E14" s="924" t="s">
        <v>2095</v>
      </c>
      <c r="G14" s="925" t="s">
        <v>743</v>
      </c>
      <c r="H14" s="925"/>
      <c r="I14" s="925" t="s">
        <v>731</v>
      </c>
      <c r="J14" s="925"/>
      <c r="K14" s="925" t="s">
        <v>743</v>
      </c>
      <c r="L14" s="925" t="s">
        <v>582</v>
      </c>
      <c r="M14" s="554" t="s">
        <v>1127</v>
      </c>
      <c r="O14" s="925" t="s">
        <v>731</v>
      </c>
      <c r="P14" s="925"/>
      <c r="Q14" s="925" t="s">
        <v>816</v>
      </c>
      <c r="R14" s="925"/>
      <c r="AT14" s="1303"/>
      <c r="AV14" s="1303"/>
      <c r="AX14" s="1303"/>
      <c r="AZ14" s="1303"/>
      <c r="BB14" s="1303"/>
      <c r="BD14" s="1303"/>
      <c r="BF14" s="1303"/>
      <c r="BM14" s="1302"/>
      <c r="BO14" s="1302"/>
      <c r="BS14" s="1302"/>
    </row>
    <row r="15" spans="3:71">
      <c r="C15" s="926"/>
      <c r="D15" s="926"/>
      <c r="E15" s="927"/>
      <c r="F15" s="926"/>
      <c r="G15" s="928" t="s">
        <v>2099</v>
      </c>
      <c r="H15" s="928"/>
      <c r="I15" s="929" t="s">
        <v>678</v>
      </c>
      <c r="J15" s="929"/>
      <c r="K15" s="929" t="s">
        <v>679</v>
      </c>
      <c r="L15" s="554" t="s">
        <v>1127</v>
      </c>
      <c r="M15" s="928" t="s">
        <v>743</v>
      </c>
      <c r="N15" s="926"/>
      <c r="O15" s="929" t="s">
        <v>680</v>
      </c>
      <c r="P15" s="929"/>
      <c r="Q15" s="929" t="s">
        <v>681</v>
      </c>
      <c r="R15" s="1304"/>
      <c r="AT15" s="1303"/>
      <c r="AV15" s="1303"/>
      <c r="AX15" s="1303"/>
      <c r="AZ15" s="1303"/>
      <c r="BB15" s="1303"/>
      <c r="BD15" s="1303"/>
      <c r="BF15" s="1303"/>
      <c r="BK15" s="1305"/>
      <c r="BM15" s="1306"/>
      <c r="BO15" s="1306"/>
      <c r="BS15" s="1302"/>
    </row>
    <row r="16" spans="3:71">
      <c r="C16" s="555"/>
      <c r="D16" s="555"/>
      <c r="E16" s="555"/>
      <c r="F16" s="555"/>
      <c r="G16" s="550" t="s">
        <v>1134</v>
      </c>
      <c r="H16" s="550"/>
      <c r="I16" s="550" t="s">
        <v>1134</v>
      </c>
      <c r="J16" s="550"/>
      <c r="K16" s="550" t="s">
        <v>1134</v>
      </c>
      <c r="L16" s="552" t="s">
        <v>1134</v>
      </c>
      <c r="M16" s="550" t="s">
        <v>1134</v>
      </c>
      <c r="N16" s="554"/>
      <c r="O16" s="550" t="s">
        <v>1134</v>
      </c>
      <c r="P16" s="550"/>
      <c r="Q16" s="550" t="s">
        <v>1134</v>
      </c>
      <c r="R16" s="550"/>
      <c r="AT16" s="1303"/>
      <c r="AV16" s="1303"/>
      <c r="AX16" s="1303"/>
      <c r="AZ16" s="1303"/>
      <c r="BB16" s="1303"/>
      <c r="BD16" s="1303"/>
      <c r="BF16" s="1303"/>
      <c r="BK16" s="1305"/>
      <c r="BM16" s="1306"/>
      <c r="BO16" s="1306"/>
      <c r="BS16" s="1302"/>
    </row>
    <row r="17" spans="1:71">
      <c r="C17" s="925">
        <v>1</v>
      </c>
      <c r="E17" s="924" t="s">
        <v>1823</v>
      </c>
      <c r="F17" s="555"/>
      <c r="G17" s="555"/>
      <c r="H17" s="555"/>
      <c r="I17" s="555"/>
      <c r="J17" s="555"/>
      <c r="K17" s="555"/>
      <c r="L17" s="555"/>
      <c r="M17" s="555"/>
      <c r="N17" s="555"/>
      <c r="O17" s="555"/>
      <c r="P17" s="555"/>
      <c r="Q17" s="555"/>
      <c r="AT17" s="1303"/>
      <c r="AV17" s="1303"/>
      <c r="AX17" s="1303"/>
      <c r="AZ17" s="1303"/>
      <c r="BB17" s="1303"/>
      <c r="BD17" s="1303"/>
      <c r="BF17" s="1303"/>
      <c r="BK17" s="1305"/>
      <c r="BM17" s="1306"/>
      <c r="BO17" s="1306"/>
      <c r="BS17" s="1302"/>
    </row>
    <row r="18" spans="1:71">
      <c r="C18" s="925">
        <f t="shared" ref="C18:C34" si="0">1+C17</f>
        <v>2</v>
      </c>
      <c r="E18" s="924" t="s">
        <v>1824</v>
      </c>
      <c r="F18" s="555"/>
      <c r="G18" s="930">
        <f>'SCH_C2.1 - Base Period'!$J$64-'SCH_C2.1 - Base Period'!$J$240-'SCH_C2.1 - Base Period'!$J$244-'SCH_C2.1 - Base Period'!$J$249-'SCH_C2.1 - Base Period'!$J$286</f>
        <v>16821405</v>
      </c>
      <c r="H18" s="931"/>
      <c r="I18" s="931">
        <f ca="1">K18-G18</f>
        <v>-2728517</v>
      </c>
      <c r="J18" s="931"/>
      <c r="K18" s="930">
        <f ca="1">'SCH_C2.1 - Forecasted Period'!$J$64-'SCH_C2.1 - Forecasted Period'!$J$240-'SCH_C2.1 - Forecasted Period'!$J$249-'SCH_C2.1 - Forecasted Period'!$J$286</f>
        <v>14092888</v>
      </c>
      <c r="L18" s="930">
        <f ca="1">SCH_C2!J20-SCH_C2!J40-SCH_C2!J42-SCH_C2!J47</f>
        <v>2068395</v>
      </c>
      <c r="M18" s="930">
        <f ca="1">K18+L18</f>
        <v>16161283</v>
      </c>
      <c r="N18" s="932"/>
      <c r="O18" s="931">
        <f>MINCR-C_1_PROEXP</f>
        <v>10521115</v>
      </c>
      <c r="P18" s="931"/>
      <c r="Q18" s="931">
        <f ca="1">M18+O18</f>
        <v>26682398</v>
      </c>
      <c r="R18" s="931"/>
      <c r="AT18" s="1303"/>
      <c r="AV18" s="1303"/>
      <c r="AX18" s="1303"/>
      <c r="AZ18" s="1303"/>
      <c r="BB18" s="1303"/>
      <c r="BD18" s="1303"/>
      <c r="BF18" s="1303"/>
      <c r="BK18" s="1305"/>
      <c r="BM18" s="1306"/>
      <c r="BO18" s="1306"/>
      <c r="BS18" s="1302"/>
    </row>
    <row r="19" spans="1:71">
      <c r="C19" s="925">
        <f t="shared" si="0"/>
        <v>3</v>
      </c>
      <c r="F19" s="555"/>
      <c r="G19" s="933"/>
      <c r="H19" s="933"/>
      <c r="I19" s="933"/>
      <c r="J19" s="933"/>
      <c r="K19" s="933"/>
      <c r="L19" s="933"/>
      <c r="M19" s="933"/>
      <c r="N19" s="932"/>
      <c r="O19" s="933"/>
      <c r="P19" s="933"/>
      <c r="Q19" s="933"/>
      <c r="R19" s="1307"/>
      <c r="AT19" s="1303"/>
      <c r="AV19" s="1303"/>
      <c r="AX19" s="1303"/>
      <c r="AZ19" s="1303"/>
      <c r="BB19" s="1303"/>
      <c r="BD19" s="1303"/>
      <c r="BF19" s="1303"/>
      <c r="BK19" s="1305"/>
      <c r="BM19" s="1306"/>
      <c r="BO19" s="1306"/>
      <c r="BS19" s="1302"/>
    </row>
    <row r="20" spans="1:71">
      <c r="C20" s="925">
        <f t="shared" si="0"/>
        <v>4</v>
      </c>
      <c r="E20" s="924" t="s">
        <v>1825</v>
      </c>
      <c r="F20" s="555"/>
      <c r="G20" s="932"/>
      <c r="H20" s="932"/>
      <c r="I20" s="932"/>
      <c r="J20" s="932"/>
      <c r="K20" s="932"/>
      <c r="L20" s="932"/>
      <c r="M20" s="932"/>
      <c r="N20" s="932"/>
      <c r="O20" s="932"/>
      <c r="P20" s="932"/>
      <c r="Q20" s="932"/>
      <c r="R20" s="834"/>
      <c r="AT20" s="1303"/>
      <c r="AV20" s="1303"/>
      <c r="AX20" s="1303"/>
      <c r="AZ20" s="1303"/>
      <c r="BB20" s="1303"/>
      <c r="BD20" s="1303"/>
      <c r="BF20" s="1303"/>
      <c r="BK20" s="1305"/>
      <c r="BM20" s="1306"/>
      <c r="BO20" s="1306"/>
    </row>
    <row r="21" spans="1:71">
      <c r="A21" s="735"/>
      <c r="B21" s="765">
        <v>1107</v>
      </c>
      <c r="C21" s="925">
        <f t="shared" si="0"/>
        <v>5</v>
      </c>
      <c r="E21" s="924" t="s">
        <v>1826</v>
      </c>
      <c r="F21" s="555"/>
      <c r="G21" s="586">
        <f>VLOOKUP(B21,T150:Z158,6)</f>
        <v>-5484283</v>
      </c>
      <c r="H21" s="931"/>
      <c r="I21" s="934">
        <f>K21-G21</f>
        <v>-1602639</v>
      </c>
      <c r="J21" s="931"/>
      <c r="K21" s="586">
        <f>VLOOKUP(B21,T150:Z158,7)</f>
        <v>-7086922</v>
      </c>
      <c r="L21" s="586">
        <f ca="1">-D_1_INTADJ</f>
        <v>325419</v>
      </c>
      <c r="M21" s="586">
        <f ca="1">K21+L21</f>
        <v>-6761503</v>
      </c>
      <c r="N21" s="932"/>
      <c r="O21" s="931">
        <v>0</v>
      </c>
      <c r="P21" s="931"/>
      <c r="Q21" s="931">
        <f ca="1">M21+O21</f>
        <v>-6761503</v>
      </c>
      <c r="R21" s="931"/>
      <c r="AT21" s="1303"/>
      <c r="AV21" s="1303"/>
      <c r="AX21" s="1303"/>
      <c r="AZ21" s="1303"/>
      <c r="BB21" s="1303"/>
      <c r="BD21" s="1303"/>
      <c r="BF21" s="1303"/>
      <c r="BK21" s="1305"/>
      <c r="BM21" s="1306"/>
      <c r="BO21" s="1306"/>
      <c r="BS21" s="1302"/>
    </row>
    <row r="22" spans="1:71">
      <c r="A22" s="735"/>
      <c r="B22" s="735"/>
      <c r="C22" s="925">
        <f t="shared" si="0"/>
        <v>6</v>
      </c>
      <c r="E22" s="924" t="s">
        <v>1827</v>
      </c>
      <c r="F22" s="555"/>
      <c r="G22" s="935">
        <f>SUM(G21:G21)</f>
        <v>-5484283</v>
      </c>
      <c r="H22" s="931"/>
      <c r="I22" s="935">
        <f>SUM(I21:I21)</f>
        <v>-1602639</v>
      </c>
      <c r="J22" s="933"/>
      <c r="K22" s="935">
        <f>SUM(K21:K21)</f>
        <v>-7086922</v>
      </c>
      <c r="L22" s="935">
        <f ca="1">SUM(L21:L21)</f>
        <v>325419</v>
      </c>
      <c r="M22" s="935">
        <f ca="1">SUM(M21:M21)</f>
        <v>-6761503</v>
      </c>
      <c r="N22" s="932"/>
      <c r="O22" s="935">
        <f>SUM(O21:O21)</f>
        <v>0</v>
      </c>
      <c r="P22" s="933"/>
      <c r="Q22" s="935">
        <f ca="1">SUM(Q21:Q21)</f>
        <v>-6761503</v>
      </c>
      <c r="R22" s="1307"/>
      <c r="AT22" s="1303"/>
      <c r="AV22" s="1303"/>
      <c r="AX22" s="1303"/>
      <c r="AZ22" s="1303"/>
      <c r="BB22" s="1303"/>
      <c r="BD22" s="1303"/>
      <c r="BF22" s="1303"/>
      <c r="BK22" s="1305"/>
      <c r="BM22" s="1306"/>
      <c r="BO22" s="1306"/>
      <c r="BS22" s="1302"/>
    </row>
    <row r="23" spans="1:71">
      <c r="A23" s="735"/>
      <c r="B23" s="735"/>
      <c r="C23" s="925">
        <f t="shared" si="0"/>
        <v>7</v>
      </c>
      <c r="F23" s="555"/>
      <c r="G23" s="931"/>
      <c r="H23" s="931"/>
      <c r="I23" s="936"/>
      <c r="J23" s="936"/>
      <c r="K23" s="931"/>
      <c r="L23" s="931"/>
      <c r="M23" s="931"/>
      <c r="N23" s="932"/>
      <c r="O23" s="931"/>
      <c r="P23" s="931"/>
      <c r="Q23" s="931"/>
      <c r="R23" s="1302"/>
      <c r="AT23" s="1303"/>
      <c r="AV23" s="1303"/>
      <c r="AX23" s="1303"/>
      <c r="AZ23" s="1303"/>
      <c r="BB23" s="1303"/>
      <c r="BD23" s="1303"/>
      <c r="BF23" s="1303"/>
      <c r="BM23" s="1302"/>
      <c r="BO23" s="1302"/>
      <c r="BS23" s="1302"/>
    </row>
    <row r="24" spans="1:71">
      <c r="A24" s="735"/>
      <c r="B24" s="1187" t="s">
        <v>2259</v>
      </c>
      <c r="C24" s="925">
        <f t="shared" si="0"/>
        <v>8</v>
      </c>
      <c r="E24" s="1233" t="s">
        <v>2258</v>
      </c>
      <c r="F24" s="555"/>
      <c r="G24" s="586">
        <f>VLOOKUP($B$24,T150:Z158,6)</f>
        <v>100868</v>
      </c>
      <c r="H24" s="931"/>
      <c r="I24" s="931">
        <f>K24-G24</f>
        <v>-1217</v>
      </c>
      <c r="J24" s="936"/>
      <c r="K24" s="586">
        <f>VLOOKUP($B$24,T150:Z158,7)</f>
        <v>99651</v>
      </c>
      <c r="L24" s="931"/>
      <c r="M24" s="586">
        <f>K24+L24</f>
        <v>99651</v>
      </c>
      <c r="N24" s="932"/>
      <c r="O24" s="931"/>
      <c r="P24" s="931"/>
      <c r="Q24" s="931">
        <f>M24+O24</f>
        <v>99651</v>
      </c>
      <c r="R24" s="1302"/>
      <c r="AT24" s="1303"/>
      <c r="AV24" s="1303"/>
      <c r="AX24" s="1303"/>
      <c r="AZ24" s="1303"/>
      <c r="BB24" s="1303"/>
      <c r="BD24" s="1303"/>
      <c r="BF24" s="1303"/>
      <c r="BM24" s="1302"/>
      <c r="BO24" s="1302"/>
      <c r="BS24" s="1302"/>
    </row>
    <row r="25" spans="1:71">
      <c r="A25" s="735"/>
      <c r="B25" s="735"/>
      <c r="C25" s="925">
        <f t="shared" si="0"/>
        <v>9</v>
      </c>
      <c r="F25" s="555"/>
      <c r="H25" s="931"/>
      <c r="I25" s="931"/>
      <c r="J25" s="931"/>
      <c r="K25" s="931"/>
      <c r="L25" s="931"/>
      <c r="M25" s="931"/>
      <c r="N25" s="932"/>
      <c r="O25" s="931"/>
      <c r="P25" s="931"/>
      <c r="Q25" s="931"/>
      <c r="R25" s="1302"/>
      <c r="AT25" s="1303"/>
      <c r="AV25" s="1303"/>
      <c r="AX25" s="1303"/>
      <c r="AZ25" s="1303"/>
      <c r="BB25" s="1303"/>
      <c r="BD25" s="1303"/>
      <c r="BF25" s="1303"/>
      <c r="BM25" s="1302"/>
      <c r="BO25" s="1302"/>
      <c r="BS25" s="1302"/>
    </row>
    <row r="26" spans="1:71">
      <c r="A26" s="735"/>
      <c r="B26" s="1308" t="s">
        <v>2202</v>
      </c>
      <c r="C26" s="925">
        <f t="shared" si="0"/>
        <v>10</v>
      </c>
      <c r="E26" s="924" t="s">
        <v>479</v>
      </c>
      <c r="F26" s="555"/>
      <c r="G26" s="586">
        <f>VLOOKUP($B$26,T150:Z158,6)</f>
        <v>-14429319</v>
      </c>
      <c r="H26" s="931"/>
      <c r="I26" s="931">
        <f>K26-G26</f>
        <v>-6879681</v>
      </c>
      <c r="J26" s="931"/>
      <c r="K26" s="586">
        <f>VLOOKUP($B$26,T150:Z158,7)</f>
        <v>-21309000</v>
      </c>
      <c r="L26" s="586">
        <f ca="1">-SCH_D2.19!AW192</f>
        <v>227678</v>
      </c>
      <c r="M26" s="586">
        <f ca="1">K26+L26</f>
        <v>-21081322</v>
      </c>
      <c r="N26" s="932"/>
      <c r="O26" s="931">
        <v>0</v>
      </c>
      <c r="P26" s="931"/>
      <c r="Q26" s="931">
        <f ca="1">M26+O26</f>
        <v>-21081322</v>
      </c>
      <c r="R26" s="931"/>
      <c r="BS26" s="1302"/>
    </row>
    <row r="27" spans="1:71">
      <c r="A27" s="735"/>
      <c r="B27" s="1308" t="s">
        <v>2199</v>
      </c>
      <c r="C27" s="925">
        <f t="shared" si="0"/>
        <v>11</v>
      </c>
      <c r="E27" s="924" t="s">
        <v>1828</v>
      </c>
      <c r="F27" s="555"/>
      <c r="G27" s="586">
        <f>VLOOKUP($B$27,T150:$Z$158,6,FALSE)</f>
        <v>14395737</v>
      </c>
      <c r="H27" s="931"/>
      <c r="I27" s="934">
        <f ca="1">K27-G27</f>
        <v>1303895</v>
      </c>
      <c r="J27" s="933"/>
      <c r="K27" s="586">
        <f ca="1">VLOOKUP($B$27,T150:Z158,7,FALSE)</f>
        <v>15699632</v>
      </c>
      <c r="L27" s="586">
        <f ca="1">SCH_D2.23!J27</f>
        <v>-1084440</v>
      </c>
      <c r="M27" s="586">
        <f ca="1">K27+L27</f>
        <v>14615192</v>
      </c>
      <c r="N27" s="932"/>
      <c r="O27" s="931">
        <v>0</v>
      </c>
      <c r="P27" s="933"/>
      <c r="Q27" s="931">
        <f ca="1">M27+O27</f>
        <v>14615192</v>
      </c>
      <c r="R27" s="933"/>
      <c r="AT27" s="1309"/>
      <c r="AV27" s="1309"/>
      <c r="AX27" s="1309"/>
      <c r="AZ27" s="1309"/>
      <c r="BB27" s="1309"/>
      <c r="BD27" s="1309"/>
      <c r="BF27" s="1309"/>
      <c r="BG27" s="1302">
        <f>ROUND(BF27,0)</f>
        <v>0</v>
      </c>
      <c r="BS27" s="1302"/>
    </row>
    <row r="28" spans="1:71">
      <c r="A28" s="735"/>
      <c r="B28" s="735"/>
      <c r="C28" s="925">
        <f t="shared" si="0"/>
        <v>12</v>
      </c>
      <c r="E28" s="924" t="s">
        <v>1829</v>
      </c>
      <c r="F28" s="555"/>
      <c r="G28" s="935">
        <f>SUM(G26:G27)</f>
        <v>-33582</v>
      </c>
      <c r="H28" s="931"/>
      <c r="I28" s="935">
        <f ca="1">SUM(I26:I27)</f>
        <v>-5575786</v>
      </c>
      <c r="J28" s="932"/>
      <c r="K28" s="935">
        <f ca="1">SUM(K26:K27)</f>
        <v>-5609368</v>
      </c>
      <c r="L28" s="935">
        <f ca="1">SUM(L26:L27)</f>
        <v>-856762</v>
      </c>
      <c r="M28" s="935">
        <f ca="1">SUM(M26:M27)</f>
        <v>-6466130</v>
      </c>
      <c r="N28" s="932"/>
      <c r="O28" s="935">
        <f>SUM(O26:O27)</f>
        <v>0</v>
      </c>
      <c r="P28" s="932"/>
      <c r="Q28" s="935">
        <f ca="1">SUM(Q26:Q27)</f>
        <v>-6466130</v>
      </c>
      <c r="R28" s="834"/>
      <c r="AV28" s="1302"/>
      <c r="AX28" s="1302"/>
      <c r="AZ28" s="1302"/>
      <c r="BB28" s="1302"/>
      <c r="BD28" s="1302"/>
      <c r="BF28" s="1302"/>
      <c r="BS28" s="1302"/>
    </row>
    <row r="29" spans="1:71">
      <c r="A29" s="735"/>
      <c r="B29" s="735"/>
      <c r="C29" s="925">
        <f t="shared" si="0"/>
        <v>13</v>
      </c>
      <c r="F29" s="555"/>
      <c r="G29" s="931"/>
      <c r="H29" s="931"/>
      <c r="I29" s="931"/>
      <c r="J29" s="931"/>
      <c r="K29" s="931"/>
      <c r="L29" s="931"/>
      <c r="M29" s="931"/>
      <c r="N29" s="932"/>
      <c r="O29" s="931"/>
      <c r="P29" s="931"/>
      <c r="Q29" s="931"/>
      <c r="R29" s="1302"/>
      <c r="BS29" s="1302"/>
    </row>
    <row r="30" spans="1:71">
      <c r="A30" s="735"/>
      <c r="B30" s="735"/>
      <c r="C30" s="925">
        <f t="shared" si="0"/>
        <v>14</v>
      </c>
      <c r="E30" s="924" t="s">
        <v>1830</v>
      </c>
      <c r="F30" s="555"/>
      <c r="G30" s="931"/>
      <c r="H30" s="931"/>
      <c r="I30" s="936"/>
      <c r="J30" s="936"/>
      <c r="K30" s="931"/>
      <c r="L30" s="931"/>
      <c r="M30" s="931"/>
      <c r="N30" s="932"/>
      <c r="O30" s="931"/>
      <c r="P30" s="931"/>
      <c r="Q30" s="931"/>
      <c r="R30" s="1302"/>
      <c r="BS30" s="1302"/>
    </row>
    <row r="31" spans="1:71">
      <c r="A31" s="735"/>
      <c r="B31" s="1308" t="s">
        <v>2205</v>
      </c>
      <c r="C31" s="925">
        <f t="shared" si="0"/>
        <v>15</v>
      </c>
      <c r="E31" s="1295" t="s">
        <v>2892</v>
      </c>
      <c r="F31" s="555"/>
      <c r="G31" s="586">
        <f>VLOOKUP($B$31,T150:Z158,6)</f>
        <v>21927</v>
      </c>
      <c r="H31" s="931"/>
      <c r="I31" s="586">
        <f>K31-G31</f>
        <v>58622</v>
      </c>
      <c r="J31" s="931"/>
      <c r="K31" s="586">
        <f>VLOOKUP($B$31,T157:Z165,7)</f>
        <v>80549</v>
      </c>
      <c r="L31" s="586">
        <f>SCH_D2.24!J35</f>
        <v>-80549</v>
      </c>
      <c r="M31" s="586">
        <f>K31+L31</f>
        <v>0</v>
      </c>
      <c r="N31" s="932"/>
      <c r="O31" s="931">
        <v>0</v>
      </c>
      <c r="P31" s="931"/>
      <c r="Q31" s="931">
        <f>M31+O31</f>
        <v>0</v>
      </c>
      <c r="R31" s="1302"/>
      <c r="S31" s="1302"/>
      <c r="AT31" s="1306"/>
      <c r="AV31" s="1306"/>
      <c r="AX31" s="1306"/>
      <c r="AZ31" s="1306"/>
      <c r="BB31" s="1306"/>
      <c r="BD31" s="1306"/>
      <c r="BF31" s="1306"/>
    </row>
    <row r="32" spans="1:71">
      <c r="A32" s="735"/>
      <c r="B32" s="745" t="s">
        <v>967</v>
      </c>
      <c r="C32" s="925">
        <f t="shared" si="0"/>
        <v>16</v>
      </c>
      <c r="E32" s="586" t="str">
        <f>"   "&amp;VLOOKUP(B32,T150:Z158,2,FALSE)</f>
        <v xml:space="preserve">   Other</v>
      </c>
      <c r="F32" s="555"/>
      <c r="G32" s="586">
        <f>VLOOKUP(B32,T150:Z158,6)</f>
        <v>46169</v>
      </c>
      <c r="H32" s="931"/>
      <c r="I32" s="586">
        <f>K32-G32</f>
        <v>-280718</v>
      </c>
      <c r="J32" s="931"/>
      <c r="K32" s="586">
        <f>VLOOKUP(B32,T150:Z158,7)</f>
        <v>-234549</v>
      </c>
      <c r="L32" s="586">
        <v>0</v>
      </c>
      <c r="M32" s="586">
        <f>K32+L32</f>
        <v>-234549</v>
      </c>
      <c r="N32" s="932"/>
      <c r="O32" s="931">
        <v>0</v>
      </c>
      <c r="P32" s="931"/>
      <c r="Q32" s="931">
        <f>M32+O32</f>
        <v>-234549</v>
      </c>
      <c r="R32" s="931"/>
      <c r="S32" s="1302"/>
    </row>
    <row r="33" spans="3:72">
      <c r="C33" s="925">
        <f t="shared" si="0"/>
        <v>17</v>
      </c>
      <c r="E33" s="924" t="s">
        <v>1831</v>
      </c>
      <c r="F33" s="556"/>
      <c r="G33" s="935">
        <f>SUM(G31:G32)</f>
        <v>68096</v>
      </c>
      <c r="H33" s="931"/>
      <c r="I33" s="935">
        <f>SUM(I31:I32)</f>
        <v>-222096</v>
      </c>
      <c r="J33" s="556"/>
      <c r="K33" s="935">
        <f>SUM(K31:K32)</f>
        <v>-154000</v>
      </c>
      <c r="L33" s="935">
        <f>SUM(L31:L32)</f>
        <v>-80549</v>
      </c>
      <c r="M33" s="935">
        <f>SUM(M31:M32)</f>
        <v>-234549</v>
      </c>
      <c r="N33" s="932"/>
      <c r="O33" s="935">
        <f>SUM(O31:O32)</f>
        <v>0</v>
      </c>
      <c r="P33" s="556"/>
      <c r="Q33" s="935">
        <f>SUM(Q31:Q32)</f>
        <v>-234549</v>
      </c>
      <c r="R33" s="921"/>
      <c r="S33" s="1302"/>
    </row>
    <row r="34" spans="3:72" ht="15.6" thickBot="1">
      <c r="C34" s="925">
        <f t="shared" si="0"/>
        <v>18</v>
      </c>
      <c r="E34" s="924" t="s">
        <v>1832</v>
      </c>
      <c r="F34" s="556"/>
      <c r="G34" s="937">
        <f>G22+G24+G28+G33</f>
        <v>-5348901</v>
      </c>
      <c r="H34" s="931"/>
      <c r="I34" s="937">
        <f ca="1">I22+I24+I28+I33</f>
        <v>-7401738</v>
      </c>
      <c r="J34" s="556"/>
      <c r="K34" s="937">
        <f ca="1">K22+K24+K28+K33</f>
        <v>-12750639</v>
      </c>
      <c r="L34" s="937">
        <f ca="1">L22+L24+L28+L33</f>
        <v>-611892</v>
      </c>
      <c r="M34" s="937">
        <f ca="1">M22+M24+M28+M33</f>
        <v>-13362531</v>
      </c>
      <c r="N34" s="932"/>
      <c r="O34" s="937">
        <f>O22+O24+O28+O33</f>
        <v>0</v>
      </c>
      <c r="P34" s="556"/>
      <c r="Q34" s="937">
        <f ca="1">Q22+Q24+Q28+Q33</f>
        <v>-13362531</v>
      </c>
      <c r="R34" s="921"/>
      <c r="S34" s="1302"/>
    </row>
    <row r="35" spans="3:72" ht="15.6" thickTop="1">
      <c r="C35" s="923"/>
      <c r="F35" s="556"/>
      <c r="G35" s="938"/>
      <c r="H35" s="556"/>
      <c r="I35" s="556"/>
      <c r="J35" s="556"/>
      <c r="K35" s="556"/>
      <c r="L35" s="556"/>
      <c r="M35" s="556"/>
      <c r="N35" s="556"/>
      <c r="O35" s="556"/>
      <c r="P35" s="556"/>
      <c r="Q35" s="556"/>
      <c r="R35" s="921"/>
      <c r="S35" s="1302"/>
    </row>
    <row r="36" spans="3:72">
      <c r="C36" s="939"/>
      <c r="D36" s="556"/>
      <c r="F36" s="556"/>
      <c r="G36" s="556"/>
      <c r="H36" s="556"/>
      <c r="I36" s="556"/>
      <c r="J36" s="556"/>
      <c r="K36" s="556"/>
      <c r="L36" s="556"/>
      <c r="M36" s="556"/>
      <c r="N36" s="556"/>
      <c r="O36" s="556"/>
      <c r="P36" s="556"/>
      <c r="Q36" s="556"/>
      <c r="R36" s="921"/>
      <c r="S36" s="1302"/>
    </row>
    <row r="37" spans="3:72">
      <c r="C37" s="920" t="str">
        <f>COMPANY</f>
        <v>DUKE ENERGY KENTUCKY, INC.</v>
      </c>
      <c r="D37" s="921"/>
      <c r="E37" s="556"/>
      <c r="F37" s="921"/>
      <c r="G37" s="921"/>
      <c r="H37" s="921"/>
      <c r="I37" s="921"/>
      <c r="J37" s="921"/>
      <c r="K37" s="921"/>
      <c r="L37" s="921"/>
      <c r="M37" s="921"/>
      <c r="N37" s="921"/>
      <c r="O37" s="921"/>
      <c r="P37" s="921"/>
      <c r="Q37" s="921"/>
      <c r="S37" s="1302"/>
    </row>
    <row r="38" spans="3:72">
      <c r="C38" s="920" t="str">
        <f>CASE</f>
        <v>CASE NO. 2018-00261</v>
      </c>
      <c r="D38" s="921"/>
      <c r="E38" s="921"/>
      <c r="F38" s="921"/>
      <c r="G38" s="921"/>
      <c r="H38" s="921"/>
      <c r="I38" s="921"/>
      <c r="J38" s="921"/>
      <c r="K38" s="921"/>
      <c r="L38" s="921"/>
      <c r="M38" s="921"/>
      <c r="N38" s="921"/>
      <c r="O38" s="921"/>
      <c r="P38" s="921"/>
      <c r="Q38" s="921"/>
      <c r="S38" s="1302"/>
      <c r="AJ38" s="1302"/>
    </row>
    <row r="39" spans="3:72">
      <c r="C39" s="920" t="s">
        <v>425</v>
      </c>
      <c r="D39" s="921"/>
      <c r="E39" s="921"/>
      <c r="F39" s="921"/>
      <c r="G39" s="921"/>
      <c r="H39" s="921"/>
      <c r="I39" s="921"/>
      <c r="J39" s="921"/>
      <c r="K39" s="921"/>
      <c r="L39" s="921"/>
      <c r="M39" s="921"/>
      <c r="N39" s="921"/>
      <c r="O39" s="921"/>
      <c r="P39" s="921"/>
      <c r="Q39" s="921"/>
      <c r="S39" s="1302"/>
      <c r="AH39" s="924"/>
    </row>
    <row r="40" spans="3:72">
      <c r="C40" s="920" t="str">
        <f>PERIOD</f>
        <v>FOR THE TWELVE MONTHS ENDED NOVEMBER 30, 2018</v>
      </c>
      <c r="D40" s="921"/>
      <c r="E40" s="921"/>
      <c r="F40" s="921"/>
      <c r="G40" s="921"/>
      <c r="H40" s="921"/>
      <c r="I40" s="921"/>
      <c r="J40" s="921"/>
      <c r="K40" s="921"/>
      <c r="L40" s="921"/>
      <c r="M40" s="921"/>
      <c r="N40" s="921"/>
      <c r="O40" s="921"/>
      <c r="P40" s="921"/>
      <c r="Q40" s="921"/>
      <c r="S40" s="1302"/>
      <c r="AH40" s="924"/>
    </row>
    <row r="41" spans="3:72">
      <c r="C41" s="920" t="str">
        <f>PeriodF</f>
        <v>FOR THE TWELVE MONTHS ENDED MARCH 31, 2020</v>
      </c>
      <c r="D41" s="921"/>
      <c r="E41" s="921"/>
      <c r="F41" s="921"/>
      <c r="G41" s="921"/>
      <c r="H41" s="921"/>
      <c r="I41" s="921"/>
      <c r="J41" s="921"/>
      <c r="K41" s="921"/>
      <c r="L41" s="921"/>
      <c r="M41" s="921"/>
      <c r="N41" s="921"/>
      <c r="O41" s="921"/>
      <c r="P41" s="921"/>
      <c r="Q41" s="921"/>
      <c r="S41" s="1302"/>
    </row>
    <row r="42" spans="3:72">
      <c r="E42" s="921"/>
      <c r="S42" s="1302"/>
    </row>
    <row r="43" spans="3:72">
      <c r="C43" s="923" t="str">
        <f>DataB</f>
        <v>DATA: "X" BASE PERIOD  "X" FORECASTED PERIOD</v>
      </c>
      <c r="E43" s="922"/>
      <c r="O43" s="924" t="s">
        <v>426</v>
      </c>
      <c r="P43" s="924"/>
      <c r="R43" s="556"/>
      <c r="S43" s="1302"/>
      <c r="BH43" s="555"/>
      <c r="BI43" s="555"/>
      <c r="BJ43" s="555"/>
      <c r="BK43" s="555"/>
      <c r="BL43" s="1310"/>
      <c r="BM43" s="555"/>
      <c r="BN43" s="555"/>
      <c r="BO43" s="555"/>
      <c r="BP43" s="555"/>
      <c r="BQ43" s="555"/>
      <c r="BR43" s="555"/>
      <c r="BS43" s="555"/>
      <c r="BT43" s="555"/>
    </row>
    <row r="44" spans="3:72">
      <c r="C44" s="923" t="str">
        <f>Type</f>
        <v xml:space="preserve">TYPE OF FILING:  "X" ORIGINAL   UPDATED    REVISED  </v>
      </c>
      <c r="E44" s="922"/>
      <c r="O44" s="924" t="s">
        <v>1178</v>
      </c>
      <c r="P44" s="924"/>
      <c r="R44" s="555"/>
      <c r="S44" s="1302"/>
      <c r="BH44" s="555"/>
      <c r="BI44" s="555"/>
      <c r="BJ44" s="555"/>
      <c r="BK44" s="555"/>
      <c r="BL44" s="1310"/>
      <c r="BM44" s="555"/>
      <c r="BN44" s="555"/>
      <c r="BO44" s="555"/>
      <c r="BP44" s="555"/>
      <c r="BQ44" s="555"/>
      <c r="BR44" s="555"/>
      <c r="BS44" s="555"/>
      <c r="BT44" s="555"/>
    </row>
    <row r="45" spans="3:72">
      <c r="C45" s="924" t="str">
        <f>$C$9</f>
        <v>WORK PAPER REFERENCE NO(S).:  WPE-1a, WPE-1b</v>
      </c>
      <c r="E45" s="922"/>
      <c r="O45" s="924" t="s">
        <v>566</v>
      </c>
      <c r="P45" s="924"/>
      <c r="R45" s="925"/>
      <c r="S45" s="1302"/>
      <c r="BH45" s="555"/>
      <c r="BI45" s="555"/>
      <c r="BJ45" s="555"/>
      <c r="BK45" s="557"/>
      <c r="BL45" s="555"/>
      <c r="BM45" s="555"/>
      <c r="BN45" s="555"/>
      <c r="BO45" s="555"/>
      <c r="BP45" s="555"/>
      <c r="BQ45" s="555"/>
      <c r="BR45" s="555"/>
      <c r="BS45" s="555"/>
      <c r="BT45" s="555"/>
    </row>
    <row r="46" spans="3:72">
      <c r="E46" s="922"/>
      <c r="O46" s="924" t="str">
        <f>O10</f>
        <v>J. R. PANIZZA</v>
      </c>
      <c r="P46" s="925"/>
      <c r="R46" s="1311"/>
      <c r="BH46" s="555"/>
      <c r="BI46" s="555"/>
      <c r="BJ46" s="555"/>
      <c r="BK46" s="555"/>
      <c r="BL46" s="555"/>
      <c r="BM46" s="557"/>
      <c r="BN46" s="555"/>
      <c r="BO46" s="555"/>
      <c r="BP46" s="555"/>
      <c r="BQ46" s="555"/>
      <c r="BR46" s="555"/>
      <c r="BS46" s="555"/>
      <c r="BT46" s="555"/>
    </row>
    <row r="47" spans="3:72">
      <c r="E47" s="922"/>
      <c r="O47" s="924"/>
      <c r="P47" s="925"/>
      <c r="R47" s="1311"/>
      <c r="BH47" s="555"/>
      <c r="BI47" s="555"/>
      <c r="BJ47" s="555"/>
      <c r="BK47" s="555"/>
      <c r="BL47" s="555"/>
      <c r="BM47" s="557"/>
      <c r="BN47" s="555"/>
      <c r="BO47" s="555"/>
      <c r="BP47" s="555"/>
      <c r="BQ47" s="555"/>
      <c r="BR47" s="555"/>
      <c r="BS47" s="555"/>
      <c r="BT47" s="555"/>
    </row>
    <row r="48" spans="3:72">
      <c r="C48" s="545"/>
      <c r="D48" s="545"/>
      <c r="E48" s="546"/>
      <c r="F48" s="545"/>
      <c r="G48" s="547" t="s">
        <v>1821</v>
      </c>
      <c r="H48" s="547"/>
      <c r="I48" s="548"/>
      <c r="J48" s="548"/>
      <c r="K48" s="548"/>
      <c r="L48" s="549"/>
      <c r="M48" s="548"/>
      <c r="N48" s="545"/>
      <c r="O48" s="547" t="s">
        <v>1822</v>
      </c>
      <c r="P48" s="547"/>
      <c r="Q48" s="548"/>
      <c r="R48" s="550"/>
      <c r="BH48" s="555"/>
      <c r="BI48" s="555"/>
      <c r="BJ48" s="555"/>
      <c r="BK48" s="555"/>
      <c r="BL48" s="1310"/>
      <c r="BM48" s="555"/>
      <c r="BN48" s="555"/>
      <c r="BO48" s="555"/>
      <c r="BP48" s="555"/>
      <c r="BQ48" s="555"/>
      <c r="BR48" s="555"/>
      <c r="BS48" s="555"/>
      <c r="BT48" s="555"/>
    </row>
    <row r="49" spans="3:72">
      <c r="C49" s="925" t="s">
        <v>567</v>
      </c>
      <c r="E49" s="922"/>
      <c r="G49" s="545"/>
      <c r="H49" s="545"/>
      <c r="I49" s="552"/>
      <c r="J49" s="553"/>
      <c r="K49" s="551" t="s">
        <v>1127</v>
      </c>
      <c r="L49" s="554" t="s">
        <v>732</v>
      </c>
      <c r="M49" s="551" t="s">
        <v>732</v>
      </c>
      <c r="O49" s="552"/>
      <c r="P49" s="552"/>
      <c r="Q49" s="545"/>
      <c r="BH49" s="555"/>
      <c r="BI49" s="555"/>
      <c r="BJ49" s="555"/>
      <c r="BK49" s="555"/>
      <c r="BL49" s="555"/>
      <c r="BM49" s="555"/>
      <c r="BN49" s="555"/>
      <c r="BO49" s="555"/>
      <c r="BP49" s="555"/>
      <c r="BQ49" s="555"/>
      <c r="BR49" s="555"/>
      <c r="BS49" s="555"/>
      <c r="BT49" s="555"/>
    </row>
    <row r="50" spans="3:72">
      <c r="C50" s="925" t="s">
        <v>2169</v>
      </c>
      <c r="E50" s="924" t="s">
        <v>2095</v>
      </c>
      <c r="G50" s="925" t="s">
        <v>1726</v>
      </c>
      <c r="H50" s="925"/>
      <c r="I50" s="925" t="s">
        <v>731</v>
      </c>
      <c r="J50" s="925"/>
      <c r="K50" s="925" t="s">
        <v>743</v>
      </c>
      <c r="L50" s="925" t="s">
        <v>582</v>
      </c>
      <c r="M50" s="554" t="s">
        <v>1127</v>
      </c>
      <c r="O50" s="925" t="s">
        <v>731</v>
      </c>
      <c r="P50" s="925"/>
      <c r="Q50" s="925" t="s">
        <v>816</v>
      </c>
      <c r="R50" s="931"/>
      <c r="BH50" s="555"/>
      <c r="BI50" s="1310"/>
      <c r="BJ50" s="555"/>
      <c r="BK50" s="555"/>
      <c r="BL50" s="555"/>
      <c r="BM50" s="555"/>
      <c r="BN50" s="555"/>
      <c r="BO50" s="555"/>
      <c r="BP50" s="555"/>
      <c r="BQ50" s="555"/>
      <c r="BR50" s="557"/>
      <c r="BS50" s="555"/>
      <c r="BT50" s="555"/>
    </row>
    <row r="51" spans="3:72">
      <c r="C51" s="926"/>
      <c r="D51" s="926"/>
      <c r="E51" s="927"/>
      <c r="F51" s="926"/>
      <c r="G51" s="928" t="s">
        <v>2099</v>
      </c>
      <c r="H51" s="928"/>
      <c r="I51" s="929" t="s">
        <v>678</v>
      </c>
      <c r="J51" s="929"/>
      <c r="K51" s="929" t="s">
        <v>679</v>
      </c>
      <c r="L51" s="554" t="s">
        <v>1127</v>
      </c>
      <c r="M51" s="928" t="s">
        <v>743</v>
      </c>
      <c r="N51" s="926"/>
      <c r="O51" s="929" t="s">
        <v>680</v>
      </c>
      <c r="P51" s="929"/>
      <c r="Q51" s="929" t="s">
        <v>681</v>
      </c>
      <c r="R51" s="1302"/>
      <c r="S51" s="1312"/>
      <c r="BH51" s="555"/>
      <c r="BI51" s="1310"/>
      <c r="BJ51" s="555"/>
      <c r="BK51" s="555"/>
      <c r="BL51" s="555"/>
      <c r="BM51" s="555"/>
      <c r="BN51" s="555"/>
      <c r="BO51" s="555"/>
      <c r="BP51" s="555"/>
      <c r="BQ51" s="555"/>
      <c r="BR51" s="557"/>
      <c r="BS51" s="555"/>
      <c r="BT51" s="555"/>
    </row>
    <row r="52" spans="3:72">
      <c r="C52" s="555"/>
      <c r="D52" s="555"/>
      <c r="E52" s="555"/>
      <c r="F52" s="555"/>
      <c r="G52" s="550" t="s">
        <v>1134</v>
      </c>
      <c r="H52" s="550"/>
      <c r="I52" s="550" t="s">
        <v>1134</v>
      </c>
      <c r="J52" s="550"/>
      <c r="K52" s="550" t="s">
        <v>1134</v>
      </c>
      <c r="L52" s="552"/>
      <c r="M52" s="550"/>
      <c r="N52" s="554"/>
      <c r="O52" s="550" t="s">
        <v>1134</v>
      </c>
      <c r="P52" s="550"/>
      <c r="Q52" s="550" t="s">
        <v>1134</v>
      </c>
      <c r="R52" s="834"/>
      <c r="S52" s="1312"/>
      <c r="BH52" s="555"/>
      <c r="BI52" s="557"/>
      <c r="BJ52" s="555"/>
      <c r="BK52" s="555"/>
      <c r="BL52" s="555"/>
      <c r="BM52" s="555"/>
      <c r="BN52" s="555"/>
      <c r="BO52" s="555"/>
      <c r="BP52" s="555"/>
      <c r="BQ52" s="555"/>
      <c r="BR52" s="557"/>
      <c r="BS52" s="555"/>
      <c r="BT52" s="555"/>
    </row>
    <row r="53" spans="3:72">
      <c r="C53" s="1310"/>
      <c r="D53" s="555"/>
      <c r="E53" s="557"/>
      <c r="F53" s="555"/>
      <c r="G53" s="931"/>
      <c r="H53" s="931"/>
      <c r="I53" s="932"/>
      <c r="J53" s="932"/>
      <c r="K53" s="931"/>
      <c r="L53" s="931"/>
      <c r="M53" s="931"/>
      <c r="N53" s="932"/>
      <c r="O53" s="932"/>
      <c r="P53" s="932"/>
      <c r="Q53" s="931"/>
      <c r="R53" s="1302"/>
      <c r="S53" s="1312"/>
      <c r="BH53" s="555"/>
      <c r="BI53" s="555"/>
      <c r="BJ53" s="555"/>
      <c r="BK53" s="555"/>
      <c r="BL53" s="555"/>
      <c r="BM53" s="555"/>
      <c r="BN53" s="555"/>
      <c r="BO53" s="555"/>
      <c r="BP53" s="555"/>
      <c r="BQ53" s="555"/>
      <c r="BR53" s="550"/>
      <c r="BS53" s="555"/>
      <c r="BT53" s="555"/>
    </row>
    <row r="54" spans="3:72">
      <c r="C54" s="925">
        <v>1</v>
      </c>
      <c r="E54" s="924" t="s">
        <v>1823</v>
      </c>
      <c r="F54" s="555"/>
      <c r="G54" s="931"/>
      <c r="H54" s="931"/>
      <c r="I54" s="932"/>
      <c r="J54" s="932"/>
      <c r="K54" s="931"/>
      <c r="L54" s="931"/>
      <c r="M54" s="931"/>
      <c r="N54" s="932"/>
      <c r="O54" s="932"/>
      <c r="P54" s="932"/>
      <c r="Q54" s="931"/>
      <c r="R54" s="1302"/>
      <c r="BH54" s="555"/>
      <c r="BI54" s="1313"/>
      <c r="BJ54" s="1313"/>
      <c r="BK54" s="1313"/>
      <c r="BL54" s="1313"/>
      <c r="BM54" s="1313"/>
      <c r="BN54" s="1313"/>
      <c r="BO54" s="1313"/>
      <c r="BP54" s="1313"/>
      <c r="BQ54" s="1313"/>
      <c r="BR54" s="1313"/>
      <c r="BS54" s="1313"/>
      <c r="BT54" s="555"/>
    </row>
    <row r="55" spans="3:72">
      <c r="C55" s="925">
        <f t="shared" ref="C55:C75" si="1">1+C54</f>
        <v>2</v>
      </c>
      <c r="E55" s="924" t="s">
        <v>1833</v>
      </c>
      <c r="F55" s="555"/>
      <c r="G55" s="931">
        <f>G18</f>
        <v>16821405</v>
      </c>
      <c r="H55" s="931"/>
      <c r="I55" s="931">
        <f ca="1">I18</f>
        <v>-2728517</v>
      </c>
      <c r="J55" s="932"/>
      <c r="K55" s="931">
        <f ca="1">K18</f>
        <v>14092888</v>
      </c>
      <c r="L55" s="931">
        <f ca="1">L18</f>
        <v>2068395</v>
      </c>
      <c r="M55" s="931">
        <f ca="1">M18</f>
        <v>16161283</v>
      </c>
      <c r="N55" s="932"/>
      <c r="O55" s="931">
        <f>O18</f>
        <v>10521115</v>
      </c>
      <c r="P55" s="932"/>
      <c r="Q55" s="931">
        <f ca="1">Q18</f>
        <v>26682398</v>
      </c>
      <c r="R55" s="1302"/>
      <c r="BH55" s="555"/>
      <c r="BI55" s="555"/>
      <c r="BJ55" s="555"/>
      <c r="BK55" s="555"/>
      <c r="BL55" s="555"/>
      <c r="BM55" s="555"/>
      <c r="BN55" s="555"/>
      <c r="BO55" s="555"/>
      <c r="BP55" s="555"/>
      <c r="BQ55" s="555"/>
      <c r="BR55" s="555"/>
      <c r="BS55" s="550"/>
      <c r="BT55" s="555"/>
    </row>
    <row r="56" spans="3:72">
      <c r="C56" s="925">
        <f t="shared" si="1"/>
        <v>3</v>
      </c>
      <c r="F56" s="555"/>
      <c r="G56" s="931"/>
      <c r="H56" s="931"/>
      <c r="I56" s="932"/>
      <c r="J56" s="932"/>
      <c r="K56" s="931"/>
      <c r="L56" s="931"/>
      <c r="M56" s="931"/>
      <c r="N56" s="932"/>
      <c r="O56" s="932"/>
      <c r="P56" s="932"/>
      <c r="Q56" s="931"/>
      <c r="R56" s="1302"/>
      <c r="AE56" s="1305"/>
      <c r="AF56" s="1305"/>
      <c r="AG56" s="1305"/>
      <c r="BH56" s="555"/>
      <c r="BI56" s="550"/>
      <c r="BJ56" s="550"/>
      <c r="BK56" s="555"/>
      <c r="BL56" s="555"/>
      <c r="BM56" s="555"/>
      <c r="BN56" s="555"/>
      <c r="BO56" s="555"/>
      <c r="BP56" s="555"/>
      <c r="BQ56" s="555"/>
      <c r="BR56" s="550"/>
      <c r="BS56" s="550"/>
      <c r="BT56" s="555"/>
    </row>
    <row r="57" spans="3:72">
      <c r="C57" s="925">
        <f t="shared" si="1"/>
        <v>4</v>
      </c>
      <c r="E57" s="924" t="s">
        <v>1834</v>
      </c>
      <c r="F57" s="555"/>
      <c r="G57" s="934">
        <f>G34</f>
        <v>-5348901</v>
      </c>
      <c r="H57" s="934"/>
      <c r="I57" s="1235">
        <f ca="1">I34</f>
        <v>-7401738</v>
      </c>
      <c r="J57" s="1235"/>
      <c r="K57" s="1235">
        <f ca="1">K34</f>
        <v>-12750639</v>
      </c>
      <c r="L57" s="1235">
        <f ca="1">L34</f>
        <v>-611892</v>
      </c>
      <c r="M57" s="1235">
        <f ca="1">M34</f>
        <v>-13362531</v>
      </c>
      <c r="N57" s="932"/>
      <c r="O57" s="1235">
        <f>O34</f>
        <v>0</v>
      </c>
      <c r="P57" s="1235"/>
      <c r="Q57" s="1235">
        <f ca="1">Q34</f>
        <v>-13362531</v>
      </c>
      <c r="R57" s="1302"/>
      <c r="AE57" s="1305"/>
      <c r="AF57" s="1305"/>
      <c r="AG57" s="1305"/>
      <c r="BH57" s="555"/>
      <c r="BI57" s="550"/>
      <c r="BJ57" s="550"/>
      <c r="BK57" s="550"/>
      <c r="BL57" s="555"/>
      <c r="BM57" s="555"/>
      <c r="BN57" s="555"/>
      <c r="BO57" s="555"/>
      <c r="BP57" s="555"/>
      <c r="BQ57" s="550"/>
      <c r="BR57" s="550"/>
      <c r="BS57" s="550"/>
      <c r="BT57" s="555"/>
    </row>
    <row r="58" spans="3:72">
      <c r="C58" s="925">
        <f>1+C57</f>
        <v>5</v>
      </c>
      <c r="E58" s="924"/>
      <c r="F58" s="555"/>
      <c r="G58" s="931"/>
      <c r="H58" s="931"/>
      <c r="I58" s="932"/>
      <c r="J58" s="932"/>
      <c r="K58" s="932"/>
      <c r="L58" s="932"/>
      <c r="M58" s="932"/>
      <c r="N58" s="932"/>
      <c r="O58" s="932"/>
      <c r="P58" s="932"/>
      <c r="Q58" s="932"/>
      <c r="R58" s="1302"/>
      <c r="AE58" s="1305"/>
      <c r="AF58" s="1305"/>
      <c r="AG58" s="1305"/>
      <c r="BH58" s="555"/>
      <c r="BI58" s="550"/>
      <c r="BJ58" s="550"/>
      <c r="BK58" s="550"/>
      <c r="BL58" s="555"/>
      <c r="BM58" s="555"/>
      <c r="BN58" s="555"/>
      <c r="BO58" s="555"/>
      <c r="BP58" s="555"/>
      <c r="BQ58" s="550"/>
      <c r="BR58" s="550"/>
      <c r="BS58" s="550"/>
      <c r="BT58" s="555"/>
    </row>
    <row r="59" spans="3:72">
      <c r="C59" s="925">
        <f t="shared" si="1"/>
        <v>6</v>
      </c>
      <c r="E59" s="924" t="s">
        <v>1835</v>
      </c>
      <c r="F59" s="555"/>
      <c r="G59" s="931"/>
      <c r="H59" s="931"/>
      <c r="I59" s="932"/>
      <c r="J59" s="932"/>
      <c r="K59" s="932"/>
      <c r="L59" s="932"/>
      <c r="M59" s="932"/>
      <c r="N59" s="932"/>
      <c r="O59" s="932"/>
      <c r="P59" s="932"/>
      <c r="Q59" s="932"/>
      <c r="R59" s="1302"/>
      <c r="BH59" s="555"/>
      <c r="BI59" s="555"/>
      <c r="BJ59" s="555"/>
      <c r="BK59" s="555"/>
      <c r="BL59" s="555"/>
      <c r="BM59" s="555"/>
      <c r="BN59" s="555"/>
      <c r="BO59" s="555"/>
      <c r="BP59" s="555"/>
      <c r="BQ59" s="555"/>
      <c r="BR59" s="555"/>
      <c r="BS59" s="550"/>
      <c r="BT59" s="555"/>
    </row>
    <row r="60" spans="3:72">
      <c r="C60" s="925">
        <f t="shared" si="1"/>
        <v>7</v>
      </c>
      <c r="E60" s="924" t="s">
        <v>919</v>
      </c>
      <c r="F60" s="555"/>
      <c r="G60" s="934">
        <f>G55+G57</f>
        <v>11472504</v>
      </c>
      <c r="H60" s="931"/>
      <c r="I60" s="934">
        <f ca="1">I55+I57</f>
        <v>-10130255</v>
      </c>
      <c r="J60" s="934" t="e">
        <f>J55+J57+#REF!</f>
        <v>#REF!</v>
      </c>
      <c r="K60" s="934">
        <f ca="1">K55+K57</f>
        <v>1342249</v>
      </c>
      <c r="L60" s="934">
        <f ca="1">L55+L57</f>
        <v>1456503</v>
      </c>
      <c r="M60" s="934">
        <f ca="1">M55+M57</f>
        <v>2798752</v>
      </c>
      <c r="N60" s="932"/>
      <c r="O60" s="934">
        <f>O55+O57</f>
        <v>10521115</v>
      </c>
      <c r="P60" s="934" t="e">
        <f>P55+P57+#REF!</f>
        <v>#REF!</v>
      </c>
      <c r="Q60" s="934">
        <f ca="1">Q55+Q57</f>
        <v>13319867</v>
      </c>
      <c r="R60" s="1302"/>
      <c r="BH60" s="555"/>
      <c r="BI60" s="1313"/>
      <c r="BJ60" s="1313"/>
      <c r="BK60" s="1313"/>
      <c r="BL60" s="1313"/>
      <c r="BM60" s="1313"/>
      <c r="BN60" s="1313"/>
      <c r="BO60" s="1313"/>
      <c r="BP60" s="1313"/>
      <c r="BQ60" s="1313"/>
      <c r="BR60" s="1313"/>
      <c r="BS60" s="1313"/>
      <c r="BT60" s="555"/>
    </row>
    <row r="61" spans="3:72">
      <c r="C61" s="925">
        <f t="shared" si="1"/>
        <v>8</v>
      </c>
      <c r="F61" s="557"/>
      <c r="G61" s="931"/>
      <c r="H61" s="931"/>
      <c r="I61" s="931"/>
      <c r="J61" s="931"/>
      <c r="K61" s="931"/>
      <c r="L61" s="931"/>
      <c r="M61" s="931"/>
      <c r="N61" s="932"/>
      <c r="O61" s="931"/>
      <c r="P61" s="931"/>
      <c r="Q61" s="931"/>
      <c r="R61" s="1302"/>
      <c r="BH61" s="555"/>
      <c r="BI61" s="555"/>
      <c r="BJ61" s="555"/>
      <c r="BK61" s="555"/>
      <c r="BL61" s="555"/>
      <c r="BM61" s="555"/>
      <c r="BN61" s="555"/>
      <c r="BO61" s="555"/>
      <c r="BP61" s="555"/>
      <c r="BQ61" s="550"/>
      <c r="BR61" s="550"/>
      <c r="BS61" s="550"/>
      <c r="BT61" s="555"/>
    </row>
    <row r="62" spans="3:72">
      <c r="C62" s="925">
        <f t="shared" si="1"/>
        <v>9</v>
      </c>
      <c r="E62" s="924" t="s">
        <v>2147</v>
      </c>
      <c r="F62" s="555"/>
      <c r="G62" s="931"/>
      <c r="H62" s="931"/>
      <c r="I62" s="931"/>
      <c r="J62" s="931"/>
      <c r="K62" s="931"/>
      <c r="L62" s="931"/>
      <c r="M62" s="931"/>
      <c r="N62" s="931"/>
      <c r="O62" s="931"/>
      <c r="P62" s="931"/>
      <c r="Q62" s="931"/>
      <c r="R62" s="931"/>
      <c r="BH62" s="555"/>
      <c r="BI62" s="1310"/>
      <c r="BJ62" s="555"/>
      <c r="BK62" s="557"/>
      <c r="BL62" s="555"/>
      <c r="BM62" s="555"/>
      <c r="BN62" s="555"/>
      <c r="BO62" s="555"/>
      <c r="BP62" s="555"/>
      <c r="BQ62" s="555"/>
      <c r="BR62" s="555"/>
      <c r="BS62" s="555"/>
      <c r="BT62" s="555"/>
    </row>
    <row r="63" spans="3:72">
      <c r="C63" s="925">
        <f t="shared" si="1"/>
        <v>10</v>
      </c>
      <c r="E63" s="1225" t="s">
        <v>2281</v>
      </c>
      <c r="F63" s="555"/>
      <c r="G63" s="931">
        <f>AK246</f>
        <v>-9908033</v>
      </c>
      <c r="H63" s="931"/>
      <c r="I63" s="586">
        <f>K63-G63</f>
        <v>4226944</v>
      </c>
      <c r="J63" s="933"/>
      <c r="K63" s="931">
        <f>SCH_E1!Z164</f>
        <v>-5681089</v>
      </c>
      <c r="L63" s="931">
        <v>0</v>
      </c>
      <c r="M63" s="930">
        <f>K63+L63</f>
        <v>-5681089</v>
      </c>
      <c r="N63" s="932"/>
      <c r="O63" s="931">
        <v>0</v>
      </c>
      <c r="P63" s="933"/>
      <c r="Q63" s="931">
        <f>M63+O63</f>
        <v>-5681089</v>
      </c>
      <c r="R63" s="1307"/>
      <c r="S63" s="1312"/>
      <c r="BH63" s="555"/>
      <c r="BI63" s="555"/>
      <c r="BJ63" s="555"/>
      <c r="BK63" s="555"/>
      <c r="BL63" s="555"/>
      <c r="BM63" s="555"/>
      <c r="BN63" s="555"/>
      <c r="BO63" s="555"/>
      <c r="BP63" s="555"/>
      <c r="BQ63" s="555"/>
      <c r="BR63" s="555"/>
      <c r="BS63" s="555"/>
      <c r="BT63" s="555"/>
    </row>
    <row r="64" spans="3:72">
      <c r="C64" s="925">
        <f t="shared" si="1"/>
        <v>11</v>
      </c>
      <c r="E64" s="924" t="s">
        <v>2148</v>
      </c>
      <c r="F64" s="555"/>
      <c r="G64" s="935">
        <f>SUM(G63:G63)</f>
        <v>-9908033</v>
      </c>
      <c r="H64" s="931"/>
      <c r="I64" s="935">
        <f>SUM(I63:I63)</f>
        <v>4226944</v>
      </c>
      <c r="J64" s="931"/>
      <c r="K64" s="935">
        <f>SUM(K63:K63)</f>
        <v>-5681089</v>
      </c>
      <c r="L64" s="935">
        <f>SUM(L63:L63)</f>
        <v>0</v>
      </c>
      <c r="M64" s="935">
        <f>SUM(M63:M63)</f>
        <v>-5681089</v>
      </c>
      <c r="N64" s="932"/>
      <c r="O64" s="935">
        <f>SUM(O63:O63)</f>
        <v>0</v>
      </c>
      <c r="P64" s="931"/>
      <c r="Q64" s="935">
        <f>SUM(Q63:Q63)</f>
        <v>-5681089</v>
      </c>
      <c r="R64" s="1302"/>
      <c r="S64" s="1312"/>
      <c r="AE64" s="1305"/>
      <c r="AF64" s="1305"/>
      <c r="AG64" s="1305"/>
      <c r="BH64" s="555"/>
      <c r="BI64" s="555"/>
      <c r="BJ64" s="555"/>
      <c r="BK64" s="555"/>
      <c r="BL64" s="555"/>
      <c r="BM64" s="555"/>
      <c r="BN64" s="555"/>
      <c r="BO64" s="555"/>
      <c r="BP64" s="555"/>
      <c r="BQ64" s="1314"/>
      <c r="BR64" s="1314"/>
      <c r="BS64" s="1314"/>
      <c r="BT64" s="555"/>
    </row>
    <row r="65" spans="3:72">
      <c r="C65" s="925">
        <f t="shared" si="1"/>
        <v>12</v>
      </c>
      <c r="F65" s="555"/>
      <c r="G65" s="931"/>
      <c r="H65" s="931"/>
      <c r="I65" s="931"/>
      <c r="J65" s="931"/>
      <c r="K65" s="931"/>
      <c r="L65" s="931"/>
      <c r="M65" s="931"/>
      <c r="N65" s="931"/>
      <c r="O65" s="931"/>
      <c r="P65" s="931"/>
      <c r="Q65" s="931"/>
      <c r="R65" s="1302"/>
      <c r="S65" s="1312"/>
      <c r="AE65" s="1305"/>
      <c r="AF65" s="1305"/>
      <c r="AG65" s="1305"/>
      <c r="BH65" s="555"/>
      <c r="BI65" s="1310"/>
      <c r="BJ65" s="555"/>
      <c r="BK65" s="557"/>
      <c r="BL65" s="555"/>
      <c r="BM65" s="555"/>
      <c r="BN65" s="555"/>
      <c r="BO65" s="555"/>
      <c r="BP65" s="555"/>
      <c r="BQ65" s="931"/>
      <c r="BR65" s="931"/>
      <c r="BS65" s="931"/>
      <c r="BT65" s="555"/>
    </row>
    <row r="66" spans="3:72">
      <c r="C66" s="925">
        <f t="shared" si="1"/>
        <v>13</v>
      </c>
      <c r="E66" s="924" t="s">
        <v>2144</v>
      </c>
      <c r="F66" s="555"/>
      <c r="G66" s="934">
        <f>G60+G64</f>
        <v>1564471</v>
      </c>
      <c r="H66" s="931"/>
      <c r="I66" s="934">
        <f ca="1">I60+I64</f>
        <v>-5903311</v>
      </c>
      <c r="J66" s="931"/>
      <c r="K66" s="934">
        <f ca="1">K60+K64</f>
        <v>-4338840</v>
      </c>
      <c r="L66" s="934">
        <f ca="1">L60+L64</f>
        <v>1456503</v>
      </c>
      <c r="M66" s="934">
        <f ca="1">M60+M64</f>
        <v>-2882337</v>
      </c>
      <c r="N66" s="932"/>
      <c r="O66" s="934">
        <f>O60+O64</f>
        <v>10521115</v>
      </c>
      <c r="P66" s="931"/>
      <c r="Q66" s="934">
        <f ca="1">Q60+Q64</f>
        <v>7638778</v>
      </c>
      <c r="R66" s="1302"/>
      <c r="S66" s="1312"/>
      <c r="BH66" s="555"/>
      <c r="BI66" s="555"/>
      <c r="BJ66" s="555"/>
      <c r="BK66" s="555"/>
      <c r="BL66" s="555"/>
      <c r="BM66" s="555"/>
      <c r="BN66" s="555"/>
      <c r="BO66" s="555"/>
      <c r="BP66" s="555"/>
      <c r="BQ66" s="1314"/>
      <c r="BR66" s="1314"/>
      <c r="BS66" s="1315"/>
      <c r="BT66" s="555"/>
    </row>
    <row r="67" spans="3:72">
      <c r="C67" s="925">
        <f t="shared" si="1"/>
        <v>14</v>
      </c>
      <c r="F67" s="555"/>
      <c r="G67" s="931"/>
      <c r="H67" s="931"/>
      <c r="I67" s="931"/>
      <c r="J67" s="931"/>
      <c r="K67" s="931"/>
      <c r="L67" s="931"/>
      <c r="M67" s="931"/>
      <c r="N67" s="932"/>
      <c r="O67" s="931"/>
      <c r="P67" s="931"/>
      <c r="Q67" s="931"/>
      <c r="R67" s="1302"/>
      <c r="S67" s="1312"/>
      <c r="BH67" s="1316"/>
      <c r="BI67" s="1310"/>
      <c r="BJ67" s="550"/>
      <c r="BK67" s="557"/>
      <c r="BL67" s="555"/>
      <c r="BM67" s="555"/>
      <c r="BN67" s="555"/>
      <c r="BO67" s="931"/>
      <c r="BP67" s="1317"/>
      <c r="BQ67" s="936"/>
      <c r="BR67" s="931"/>
      <c r="BS67" s="931"/>
      <c r="BT67" s="555"/>
    </row>
    <row r="68" spans="3:72">
      <c r="C68" s="925">
        <f t="shared" si="1"/>
        <v>15</v>
      </c>
      <c r="E68" s="1233" t="s">
        <v>2888</v>
      </c>
      <c r="F68" s="555"/>
      <c r="G68" s="3129">
        <f>Y168</f>
        <v>0.79646399999999995</v>
      </c>
      <c r="H68" s="931"/>
      <c r="I68" s="3129">
        <f ca="1">I71/I66</f>
        <v>0.94142930975515271</v>
      </c>
      <c r="J68" s="931"/>
      <c r="K68" s="3129">
        <f>$Z168</f>
        <v>0.99370000000000003</v>
      </c>
      <c r="L68" s="3129">
        <f t="shared" ref="L68:Q68" si="2">$Z168</f>
        <v>0.99370000000000003</v>
      </c>
      <c r="M68" s="3129">
        <f t="shared" si="2"/>
        <v>0.99370000000000003</v>
      </c>
      <c r="N68" s="3129"/>
      <c r="O68" s="3129">
        <f t="shared" si="2"/>
        <v>0.99370000000000003</v>
      </c>
      <c r="P68" s="3129"/>
      <c r="Q68" s="3129">
        <f t="shared" si="2"/>
        <v>0.99370000000000003</v>
      </c>
      <c r="R68" s="1302"/>
      <c r="S68" s="1312"/>
      <c r="BH68" s="1316"/>
      <c r="BI68" s="1310"/>
      <c r="BJ68" s="550"/>
      <c r="BK68" s="557"/>
      <c r="BL68" s="555"/>
      <c r="BM68" s="555"/>
      <c r="BN68" s="555"/>
      <c r="BO68" s="931"/>
      <c r="BP68" s="1317"/>
      <c r="BQ68" s="936"/>
      <c r="BR68" s="931"/>
      <c r="BS68" s="931"/>
      <c r="BT68" s="555"/>
    </row>
    <row r="69" spans="3:72">
      <c r="C69" s="925">
        <f t="shared" si="1"/>
        <v>16</v>
      </c>
      <c r="F69" s="555"/>
      <c r="G69" s="931"/>
      <c r="H69" s="931"/>
      <c r="I69" s="931"/>
      <c r="J69" s="931"/>
      <c r="K69" s="931"/>
      <c r="L69" s="931"/>
      <c r="M69" s="931"/>
      <c r="N69" s="932"/>
      <c r="O69" s="931"/>
      <c r="P69" s="931"/>
      <c r="Q69" s="931"/>
      <c r="R69" s="1302"/>
      <c r="S69" s="1312"/>
      <c r="BH69" s="1316"/>
      <c r="BI69" s="1310"/>
      <c r="BJ69" s="550"/>
      <c r="BK69" s="557"/>
      <c r="BL69" s="555"/>
      <c r="BM69" s="555"/>
      <c r="BN69" s="555"/>
      <c r="BO69" s="931"/>
      <c r="BP69" s="1317"/>
      <c r="BQ69" s="936"/>
      <c r="BR69" s="931"/>
      <c r="BS69" s="931"/>
      <c r="BT69" s="555"/>
    </row>
    <row r="70" spans="3:72">
      <c r="C70" s="925">
        <f t="shared" si="1"/>
        <v>17</v>
      </c>
      <c r="E70" s="924" t="s">
        <v>2145</v>
      </c>
      <c r="F70" s="555"/>
      <c r="G70" s="931">
        <v>0</v>
      </c>
      <c r="H70" s="931"/>
      <c r="I70" s="586">
        <f>K70-G70</f>
        <v>0</v>
      </c>
      <c r="J70" s="931"/>
      <c r="K70" s="931">
        <v>0</v>
      </c>
      <c r="L70" s="931">
        <v>0</v>
      </c>
      <c r="M70" s="930">
        <f>K70+L70</f>
        <v>0</v>
      </c>
      <c r="N70" s="932"/>
      <c r="O70" s="931">
        <v>0</v>
      </c>
      <c r="P70" s="931"/>
      <c r="Q70" s="931">
        <f>M70+O70</f>
        <v>0</v>
      </c>
      <c r="R70" s="1302"/>
      <c r="BH70" s="1316"/>
      <c r="BI70" s="1310"/>
      <c r="BJ70" s="550"/>
      <c r="BK70" s="557"/>
      <c r="BL70" s="555"/>
      <c r="BM70" s="555"/>
      <c r="BN70" s="555"/>
      <c r="BO70" s="931"/>
      <c r="BP70" s="1317"/>
      <c r="BQ70" s="936"/>
      <c r="BR70" s="931"/>
      <c r="BS70" s="931"/>
      <c r="BT70" s="555"/>
    </row>
    <row r="71" spans="3:72">
      <c r="C71" s="925">
        <f t="shared" si="1"/>
        <v>18</v>
      </c>
      <c r="E71" s="924" t="s">
        <v>2146</v>
      </c>
      <c r="F71" s="555"/>
      <c r="G71" s="935">
        <f>ROUND(G66*G68,0)+G70</f>
        <v>1246045</v>
      </c>
      <c r="H71" s="931"/>
      <c r="I71" s="935">
        <f ca="1">K71-G71</f>
        <v>-5557550</v>
      </c>
      <c r="J71" s="931"/>
      <c r="K71" s="935">
        <f ca="1">ROUND(K66*K68,0)+K70</f>
        <v>-4311505</v>
      </c>
      <c r="L71" s="935">
        <f ca="1">ROUND(L66*L68,0)+L70</f>
        <v>1447327</v>
      </c>
      <c r="M71" s="935">
        <f ca="1">ROUND(M66*M68,0)+M70</f>
        <v>-2864178</v>
      </c>
      <c r="N71" s="931"/>
      <c r="O71" s="935">
        <f>ROUND(O66*O68,0)+O70</f>
        <v>10454832</v>
      </c>
      <c r="P71" s="931"/>
      <c r="Q71" s="935">
        <f ca="1">ROUND(Q66*Q68,0)+Q70</f>
        <v>7590654</v>
      </c>
      <c r="R71" s="1302"/>
      <c r="BH71" s="1316"/>
      <c r="BI71" s="1310"/>
      <c r="BJ71" s="550"/>
      <c r="BK71" s="550"/>
      <c r="BL71" s="555"/>
      <c r="BM71" s="555"/>
      <c r="BN71" s="555"/>
      <c r="BO71" s="931"/>
      <c r="BP71" s="1317"/>
      <c r="BQ71" s="936"/>
      <c r="BR71" s="931"/>
      <c r="BS71" s="931"/>
      <c r="BT71" s="555"/>
    </row>
    <row r="72" spans="3:72">
      <c r="C72" s="925">
        <f t="shared" si="1"/>
        <v>19</v>
      </c>
      <c r="F72" s="555"/>
      <c r="G72" s="931"/>
      <c r="H72" s="931"/>
      <c r="I72" s="931"/>
      <c r="J72" s="931"/>
      <c r="K72" s="931"/>
      <c r="L72" s="931"/>
      <c r="M72" s="931"/>
      <c r="N72" s="931"/>
      <c r="O72" s="931"/>
      <c r="P72" s="931"/>
      <c r="Q72" s="931"/>
      <c r="R72" s="1302"/>
      <c r="S72" s="1312"/>
      <c r="BH72" s="1316"/>
      <c r="BI72" s="1310"/>
      <c r="BJ72" s="550"/>
      <c r="BK72" s="550"/>
      <c r="BL72" s="555"/>
      <c r="BM72" s="555"/>
      <c r="BN72" s="555"/>
      <c r="BO72" s="931"/>
      <c r="BP72" s="1317"/>
      <c r="BQ72" s="936"/>
      <c r="BR72" s="931"/>
      <c r="BS72" s="931"/>
      <c r="BT72" s="555"/>
    </row>
    <row r="73" spans="3:72">
      <c r="C73" s="925">
        <f t="shared" si="1"/>
        <v>20</v>
      </c>
      <c r="E73" s="924" t="str">
        <f>"Kentucky Income Tax  @ "&amp;TEXT(SIT,"#.000%")&amp;"  (A)"</f>
        <v>Kentucky Income Tax  @ 5.000%  (A)</v>
      </c>
      <c r="F73" s="555"/>
      <c r="G73" s="586">
        <f>Y172</f>
        <v>89034</v>
      </c>
      <c r="H73" s="931"/>
      <c r="I73" s="586">
        <f ca="1">K73-G73</f>
        <v>-304609</v>
      </c>
      <c r="J73" s="931"/>
      <c r="K73" s="586">
        <f ca="1">ROUND((K71)*SIT,0)</f>
        <v>-215575</v>
      </c>
      <c r="L73" s="931">
        <f ca="1">ROUND(L71*SIT,0)</f>
        <v>72366</v>
      </c>
      <c r="M73" s="930">
        <f ca="1">K73+L73</f>
        <v>-143209</v>
      </c>
      <c r="N73" s="932"/>
      <c r="O73" s="931">
        <f>ROUND(O71*SIT,0)</f>
        <v>522742</v>
      </c>
      <c r="P73" s="931"/>
      <c r="Q73" s="931">
        <f ca="1">M73+O73</f>
        <v>379533</v>
      </c>
      <c r="R73" s="1302"/>
      <c r="AE73" s="1305"/>
      <c r="AF73" s="1305"/>
      <c r="AG73" s="1305"/>
      <c r="BH73" s="1316"/>
      <c r="BI73" s="1310"/>
      <c r="BJ73" s="550"/>
      <c r="BK73" s="557"/>
      <c r="BL73" s="555"/>
      <c r="BM73" s="555"/>
      <c r="BN73" s="555"/>
      <c r="BO73" s="931"/>
      <c r="BP73" s="1317"/>
      <c r="BQ73" s="936"/>
      <c r="BR73" s="931"/>
      <c r="BS73" s="931"/>
      <c r="BT73" s="555"/>
    </row>
    <row r="74" spans="3:72">
      <c r="C74" s="925">
        <f t="shared" si="1"/>
        <v>21</v>
      </c>
      <c r="E74" s="1225" t="s">
        <v>2251</v>
      </c>
      <c r="F74" s="555"/>
      <c r="G74" s="930">
        <f>'SCH_C2.1 - Base Period'!$J$305</f>
        <v>258385</v>
      </c>
      <c r="H74" s="931"/>
      <c r="I74" s="586">
        <f>K74-G74</f>
        <v>-258385</v>
      </c>
      <c r="J74" s="931"/>
      <c r="K74" s="931">
        <v>0</v>
      </c>
      <c r="L74" s="931"/>
      <c r="M74" s="930">
        <f>K74+L74</f>
        <v>0</v>
      </c>
      <c r="N74" s="931"/>
      <c r="O74" s="931"/>
      <c r="P74" s="931"/>
      <c r="Q74" s="931">
        <f>M74+O74</f>
        <v>0</v>
      </c>
      <c r="R74" s="1302"/>
      <c r="BH74" s="1316"/>
      <c r="BI74" s="1310"/>
      <c r="BJ74" s="550"/>
      <c r="BK74" s="557"/>
      <c r="BL74" s="555"/>
      <c r="BM74" s="555"/>
      <c r="BN74" s="555"/>
      <c r="BO74" s="931"/>
      <c r="BP74" s="1317"/>
      <c r="BQ74" s="936"/>
      <c r="BR74" s="931"/>
      <c r="BS74" s="931"/>
      <c r="BT74" s="555"/>
    </row>
    <row r="75" spans="3:72" ht="15.6" thickBot="1">
      <c r="C75" s="925">
        <f t="shared" si="1"/>
        <v>22</v>
      </c>
      <c r="E75" s="924" t="s">
        <v>1594</v>
      </c>
      <c r="F75" s="555"/>
      <c r="G75" s="937">
        <f>IF(SUM(G73:G74)='SCH_C2.1 - Base Period'!J306,'SCH_C2.1 - Base Period'!J306,"CHECK ROUNDING")</f>
        <v>347419</v>
      </c>
      <c r="H75" s="931"/>
      <c r="I75" s="937">
        <f ca="1">SUM(I73:I74)</f>
        <v>-562994</v>
      </c>
      <c r="J75" s="931"/>
      <c r="K75" s="937">
        <f ca="1">SUM(K73:K74)</f>
        <v>-215575</v>
      </c>
      <c r="L75" s="937">
        <f ca="1">SUM(L73:L74)</f>
        <v>72366</v>
      </c>
      <c r="M75" s="937">
        <f ca="1">SUM(M73:M74)</f>
        <v>-143209</v>
      </c>
      <c r="N75" s="931"/>
      <c r="O75" s="937">
        <f>SUM(O73:O74)</f>
        <v>522742</v>
      </c>
      <c r="P75" s="937"/>
      <c r="Q75" s="937">
        <f ca="1">SUM(Q73:Q74)</f>
        <v>379533</v>
      </c>
      <c r="R75" s="1302"/>
      <c r="BH75" s="1316"/>
      <c r="BI75" s="1310"/>
      <c r="BJ75" s="550"/>
      <c r="BK75" s="557"/>
      <c r="BL75" s="555"/>
      <c r="BM75" s="555"/>
      <c r="BN75" s="555"/>
      <c r="BO75" s="931"/>
      <c r="BP75" s="1317"/>
      <c r="BQ75" s="936"/>
      <c r="BR75" s="931"/>
      <c r="BS75" s="931"/>
      <c r="BT75" s="555"/>
    </row>
    <row r="76" spans="3:72" ht="15.6" thickTop="1">
      <c r="C76" s="923"/>
      <c r="E76" s="924"/>
      <c r="F76" s="555"/>
      <c r="G76" s="931"/>
      <c r="H76" s="931"/>
      <c r="I76" s="931"/>
      <c r="J76" s="931"/>
      <c r="K76" s="931"/>
      <c r="L76" s="931"/>
      <c r="M76" s="931"/>
      <c r="N76" s="931"/>
      <c r="O76" s="931"/>
      <c r="P76" s="931"/>
      <c r="Q76" s="931"/>
      <c r="R76" s="1302"/>
      <c r="BH76" s="1316"/>
      <c r="BI76" s="1310"/>
      <c r="BJ76" s="550"/>
      <c r="BK76" s="557"/>
      <c r="BL76" s="555"/>
      <c r="BM76" s="555"/>
      <c r="BN76" s="555"/>
      <c r="BO76" s="931"/>
      <c r="BP76" s="1317"/>
      <c r="BQ76" s="936"/>
      <c r="BR76" s="931"/>
      <c r="BS76" s="931"/>
      <c r="BT76" s="555"/>
    </row>
    <row r="77" spans="3:72">
      <c r="C77" s="923"/>
      <c r="E77" s="924"/>
      <c r="F77" s="555"/>
      <c r="G77" s="3441"/>
      <c r="H77" s="931"/>
      <c r="I77" s="3441"/>
      <c r="J77" s="931"/>
      <c r="K77" s="3441"/>
      <c r="L77" s="3441"/>
      <c r="M77" s="3441"/>
      <c r="N77" s="931"/>
      <c r="O77" s="3441"/>
      <c r="P77" s="931"/>
      <c r="Q77" s="3441"/>
      <c r="R77" s="1302"/>
      <c r="BH77" s="1316"/>
      <c r="BI77" s="1310"/>
      <c r="BJ77" s="550"/>
      <c r="BK77" s="557"/>
      <c r="BL77" s="555"/>
      <c r="BM77" s="555"/>
      <c r="BN77" s="555"/>
      <c r="BO77" s="931"/>
      <c r="BP77" s="1317"/>
      <c r="BQ77" s="936"/>
      <c r="BR77" s="931"/>
      <c r="BS77" s="931"/>
      <c r="BT77" s="555"/>
    </row>
    <row r="78" spans="3:72">
      <c r="C78" s="1310"/>
      <c r="D78" s="555"/>
      <c r="E78" s="557" t="s">
        <v>453</v>
      </c>
      <c r="F78" s="555"/>
      <c r="G78" s="931"/>
      <c r="H78" s="931"/>
      <c r="I78" s="931"/>
      <c r="J78" s="931"/>
      <c r="K78" s="931"/>
      <c r="L78" s="931"/>
      <c r="M78" s="931"/>
      <c r="N78" s="931"/>
      <c r="O78" s="931"/>
      <c r="P78" s="931"/>
      <c r="Q78" s="931"/>
      <c r="R78" s="931"/>
      <c r="S78" s="1312"/>
      <c r="BH78" s="1316"/>
      <c r="BI78" s="1310"/>
      <c r="BJ78" s="550"/>
      <c r="BK78" s="557"/>
      <c r="BL78" s="555"/>
      <c r="BM78" s="555"/>
      <c r="BN78" s="555"/>
      <c r="BO78" s="931"/>
      <c r="BP78" s="1317"/>
      <c r="BQ78" s="936"/>
      <c r="BR78" s="931"/>
      <c r="BS78" s="931"/>
      <c r="BT78" s="555"/>
    </row>
    <row r="79" spans="3:72">
      <c r="C79" s="920" t="str">
        <f>COMPANY</f>
        <v>DUKE ENERGY KENTUCKY, INC.</v>
      </c>
      <c r="D79" s="921"/>
      <c r="E79" s="921"/>
      <c r="F79" s="921"/>
      <c r="G79" s="921"/>
      <c r="H79" s="921"/>
      <c r="I79" s="921"/>
      <c r="J79" s="921"/>
      <c r="K79" s="921"/>
      <c r="L79" s="921"/>
      <c r="M79" s="921"/>
      <c r="N79" s="921"/>
      <c r="O79" s="921"/>
      <c r="P79" s="921"/>
      <c r="Q79" s="921"/>
      <c r="R79" s="1302"/>
      <c r="S79" s="1312"/>
      <c r="BH79" s="1316"/>
      <c r="BI79" s="1310"/>
      <c r="BJ79" s="550"/>
      <c r="BK79" s="557"/>
      <c r="BL79" s="555"/>
      <c r="BM79" s="555"/>
      <c r="BN79" s="555"/>
      <c r="BO79" s="931"/>
      <c r="BP79" s="1317"/>
      <c r="BQ79" s="936"/>
      <c r="BR79" s="931"/>
      <c r="BS79" s="931"/>
      <c r="BT79" s="555"/>
    </row>
    <row r="80" spans="3:72">
      <c r="C80" s="920" t="str">
        <f>CASE</f>
        <v>CASE NO. 2018-00261</v>
      </c>
      <c r="D80" s="921"/>
      <c r="E80" s="921"/>
      <c r="F80" s="921"/>
      <c r="G80" s="921"/>
      <c r="H80" s="921"/>
      <c r="I80" s="921"/>
      <c r="J80" s="921"/>
      <c r="K80" s="921"/>
      <c r="L80" s="921"/>
      <c r="M80" s="921"/>
      <c r="N80" s="921"/>
      <c r="O80" s="921"/>
      <c r="P80" s="921"/>
      <c r="Q80" s="921"/>
      <c r="R80" s="1302"/>
      <c r="S80" s="1312"/>
      <c r="BH80" s="1316"/>
      <c r="BI80" s="1310"/>
      <c r="BJ80" s="550"/>
      <c r="BK80" s="557"/>
      <c r="BL80" s="555"/>
      <c r="BM80" s="555"/>
      <c r="BN80" s="555"/>
      <c r="BO80" s="931"/>
      <c r="BP80" s="1317"/>
      <c r="BQ80" s="936"/>
      <c r="BR80" s="931"/>
      <c r="BS80" s="931"/>
      <c r="BT80" s="555"/>
    </row>
    <row r="81" spans="3:72">
      <c r="C81" s="920" t="s">
        <v>425</v>
      </c>
      <c r="D81" s="921"/>
      <c r="E81" s="921"/>
      <c r="F81" s="921"/>
      <c r="G81" s="921"/>
      <c r="H81" s="921"/>
      <c r="I81" s="921"/>
      <c r="J81" s="921"/>
      <c r="K81" s="921"/>
      <c r="L81" s="921"/>
      <c r="M81" s="921"/>
      <c r="N81" s="921"/>
      <c r="O81" s="921"/>
      <c r="P81" s="921"/>
      <c r="Q81" s="921"/>
      <c r="R81" s="1302"/>
      <c r="S81" s="1312"/>
      <c r="BH81" s="1316"/>
      <c r="BI81" s="1310"/>
      <c r="BJ81" s="550"/>
      <c r="BK81" s="550"/>
      <c r="BL81" s="555"/>
      <c r="BM81" s="555"/>
      <c r="BN81" s="555"/>
      <c r="BO81" s="931"/>
      <c r="BP81" s="1317"/>
      <c r="BQ81" s="936"/>
      <c r="BR81" s="931"/>
      <c r="BS81" s="931"/>
      <c r="BT81" s="555"/>
    </row>
    <row r="82" spans="3:72">
      <c r="C82" s="920" t="str">
        <f>PERIOD</f>
        <v>FOR THE TWELVE MONTHS ENDED NOVEMBER 30, 2018</v>
      </c>
      <c r="D82" s="921"/>
      <c r="E82" s="921"/>
      <c r="F82" s="921"/>
      <c r="G82" s="921"/>
      <c r="H82" s="921"/>
      <c r="I82" s="921"/>
      <c r="J82" s="921"/>
      <c r="K82" s="921"/>
      <c r="L82" s="921"/>
      <c r="M82" s="921"/>
      <c r="N82" s="921"/>
      <c r="O82" s="921"/>
      <c r="P82" s="921"/>
      <c r="Q82" s="921"/>
      <c r="R82" s="1302"/>
      <c r="S82" s="1312"/>
      <c r="BH82" s="1316"/>
      <c r="BI82" s="1310"/>
      <c r="BJ82" s="550"/>
      <c r="BK82" s="550"/>
      <c r="BL82" s="555"/>
      <c r="BM82" s="555"/>
      <c r="BN82" s="555"/>
      <c r="BO82" s="931"/>
      <c r="BP82" s="1317"/>
      <c r="BQ82" s="936"/>
      <c r="BR82" s="931"/>
      <c r="BS82" s="931"/>
      <c r="BT82" s="555"/>
    </row>
    <row r="83" spans="3:72">
      <c r="C83" s="920" t="str">
        <f>PeriodF</f>
        <v>FOR THE TWELVE MONTHS ENDED MARCH 31, 2020</v>
      </c>
      <c r="D83" s="921"/>
      <c r="E83" s="921"/>
      <c r="F83" s="921"/>
      <c r="G83" s="921"/>
      <c r="H83" s="921"/>
      <c r="I83" s="921"/>
      <c r="J83" s="921"/>
      <c r="K83" s="921"/>
      <c r="L83" s="921"/>
      <c r="M83" s="921"/>
      <c r="N83" s="921"/>
      <c r="O83" s="921"/>
      <c r="P83" s="921"/>
      <c r="Q83" s="921"/>
      <c r="R83" s="1302"/>
      <c r="S83" s="1312"/>
      <c r="BH83" s="1316"/>
      <c r="BI83" s="1310"/>
      <c r="BJ83" s="550"/>
      <c r="BK83" s="557"/>
      <c r="BL83" s="555"/>
      <c r="BM83" s="555"/>
      <c r="BN83" s="555"/>
      <c r="BO83" s="931"/>
      <c r="BP83" s="1317"/>
      <c r="BQ83" s="936"/>
      <c r="BR83" s="931"/>
      <c r="BS83" s="931"/>
      <c r="BT83" s="555"/>
    </row>
    <row r="84" spans="3:72">
      <c r="E84" s="922"/>
      <c r="R84" s="1302"/>
      <c r="BH84" s="1316"/>
      <c r="BI84" s="1310"/>
      <c r="BJ84" s="550"/>
      <c r="BK84" s="557"/>
      <c r="BL84" s="555"/>
      <c r="BM84" s="555"/>
      <c r="BN84" s="555"/>
      <c r="BO84" s="931"/>
      <c r="BP84" s="1317"/>
      <c r="BQ84" s="936"/>
      <c r="BR84" s="931"/>
      <c r="BS84" s="931"/>
      <c r="BT84" s="555"/>
    </row>
    <row r="85" spans="3:72">
      <c r="C85" s="923" t="str">
        <f>DataB</f>
        <v>DATA: "X" BASE PERIOD  "X" FORECASTED PERIOD</v>
      </c>
      <c r="E85" s="922"/>
      <c r="O85" s="924" t="s">
        <v>426</v>
      </c>
      <c r="P85" s="924"/>
      <c r="R85" s="1302"/>
      <c r="S85" s="1312"/>
      <c r="BH85" s="1316"/>
      <c r="BI85" s="1310"/>
      <c r="BJ85" s="550"/>
      <c r="BK85" s="557"/>
      <c r="BL85" s="555"/>
      <c r="BM85" s="555"/>
      <c r="BN85" s="555"/>
      <c r="BO85" s="931"/>
      <c r="BP85" s="1317"/>
      <c r="BQ85" s="936"/>
      <c r="BR85" s="931"/>
      <c r="BS85" s="931"/>
      <c r="BT85" s="555"/>
    </row>
    <row r="86" spans="3:72">
      <c r="C86" s="923" t="str">
        <f>Type</f>
        <v xml:space="preserve">TYPE OF FILING:  "X" ORIGINAL   UPDATED    REVISED  </v>
      </c>
      <c r="E86" s="922"/>
      <c r="O86" s="924" t="s">
        <v>0</v>
      </c>
      <c r="P86" s="924"/>
      <c r="R86" s="1302"/>
      <c r="S86" s="1312"/>
      <c r="BH86" s="1316"/>
      <c r="BI86" s="1310"/>
      <c r="BJ86" s="550"/>
      <c r="BK86" s="557"/>
      <c r="BL86" s="555"/>
      <c r="BM86" s="555"/>
      <c r="BN86" s="555"/>
      <c r="BO86" s="931"/>
      <c r="BP86" s="1317"/>
      <c r="BQ86" s="936"/>
      <c r="BR86" s="931"/>
      <c r="BS86" s="931"/>
      <c r="BT86" s="555"/>
    </row>
    <row r="87" spans="3:72">
      <c r="C87" s="924" t="str">
        <f>$C$9</f>
        <v>WORK PAPER REFERENCE NO(S).:  WPE-1a, WPE-1b</v>
      </c>
      <c r="E87" s="922"/>
      <c r="O87" s="924" t="s">
        <v>566</v>
      </c>
      <c r="P87" s="924"/>
      <c r="R87" s="1302"/>
      <c r="BH87" s="1316"/>
      <c r="BI87" s="1310"/>
      <c r="BJ87" s="550"/>
      <c r="BK87" s="557"/>
      <c r="BL87" s="555"/>
      <c r="BM87" s="555"/>
      <c r="BN87" s="555"/>
      <c r="BO87" s="931"/>
      <c r="BP87" s="1317"/>
      <c r="BQ87" s="936"/>
      <c r="BR87" s="931"/>
      <c r="BS87" s="931"/>
      <c r="BT87" s="555"/>
    </row>
    <row r="88" spans="3:72">
      <c r="E88" s="922"/>
      <c r="O88" s="924" t="str">
        <f>O10</f>
        <v>J. R. PANIZZA</v>
      </c>
      <c r="P88" s="925"/>
      <c r="R88" s="931"/>
      <c r="BH88" s="1316"/>
      <c r="BI88" s="1310"/>
      <c r="BJ88" s="550"/>
      <c r="BK88" s="557"/>
      <c r="BL88" s="555"/>
      <c r="BM88" s="555"/>
      <c r="BN88" s="555"/>
      <c r="BO88" s="931"/>
      <c r="BP88" s="1317"/>
      <c r="BQ88" s="936"/>
      <c r="BR88" s="931"/>
      <c r="BS88" s="931"/>
      <c r="BT88" s="555"/>
    </row>
    <row r="89" spans="3:72">
      <c r="E89" s="922"/>
      <c r="O89" s="924"/>
      <c r="P89" s="925"/>
      <c r="R89" s="931"/>
      <c r="BH89" s="1316"/>
      <c r="BI89" s="1310"/>
      <c r="BJ89" s="550"/>
      <c r="BK89" s="557"/>
      <c r="BL89" s="555"/>
      <c r="BM89" s="555"/>
      <c r="BN89" s="555"/>
      <c r="BO89" s="931"/>
      <c r="BP89" s="1317"/>
      <c r="BQ89" s="936"/>
      <c r="BR89" s="931"/>
      <c r="BS89" s="931"/>
      <c r="BT89" s="555"/>
    </row>
    <row r="90" spans="3:72">
      <c r="C90" s="545"/>
      <c r="D90" s="545"/>
      <c r="E90" s="546"/>
      <c r="F90" s="545"/>
      <c r="G90" s="547" t="s">
        <v>1821</v>
      </c>
      <c r="H90" s="547"/>
      <c r="I90" s="548"/>
      <c r="J90" s="548"/>
      <c r="K90" s="548"/>
      <c r="L90" s="549"/>
      <c r="M90" s="548"/>
      <c r="N90" s="545"/>
      <c r="O90" s="547" t="s">
        <v>1822</v>
      </c>
      <c r="P90" s="547"/>
      <c r="Q90" s="548"/>
      <c r="R90" s="931"/>
      <c r="BH90" s="1316"/>
      <c r="BI90" s="1310"/>
      <c r="BJ90" s="550"/>
      <c r="BK90" s="557"/>
      <c r="BL90" s="555"/>
      <c r="BM90" s="555"/>
      <c r="BN90" s="555"/>
      <c r="BO90" s="931"/>
      <c r="BP90" s="1317"/>
      <c r="BQ90" s="936"/>
      <c r="BR90" s="931"/>
      <c r="BS90" s="931"/>
      <c r="BT90" s="555"/>
    </row>
    <row r="91" spans="3:72">
      <c r="C91" s="925" t="s">
        <v>567</v>
      </c>
      <c r="E91" s="922"/>
      <c r="G91" s="545"/>
      <c r="H91" s="545"/>
      <c r="I91" s="552"/>
      <c r="J91" s="553"/>
      <c r="K91" s="551" t="s">
        <v>1127</v>
      </c>
      <c r="L91" s="554" t="s">
        <v>732</v>
      </c>
      <c r="M91" s="551" t="s">
        <v>732</v>
      </c>
      <c r="O91" s="552"/>
      <c r="P91" s="552"/>
      <c r="Q91" s="545"/>
      <c r="R91" s="1307"/>
      <c r="BH91" s="1316"/>
      <c r="BI91" s="1310"/>
      <c r="BJ91" s="550"/>
      <c r="BK91" s="557"/>
      <c r="BL91" s="555"/>
      <c r="BM91" s="555"/>
      <c r="BN91" s="555"/>
      <c r="BO91" s="931"/>
      <c r="BP91" s="1317"/>
      <c r="BQ91" s="936"/>
      <c r="BR91" s="931"/>
      <c r="BS91" s="931"/>
      <c r="BT91" s="555"/>
    </row>
    <row r="92" spans="3:72">
      <c r="C92" s="925" t="s">
        <v>2169</v>
      </c>
      <c r="E92" s="924" t="s">
        <v>2095</v>
      </c>
      <c r="G92" s="925" t="s">
        <v>1726</v>
      </c>
      <c r="H92" s="925"/>
      <c r="I92" s="925" t="s">
        <v>731</v>
      </c>
      <c r="J92" s="925"/>
      <c r="K92" s="925" t="s">
        <v>743</v>
      </c>
      <c r="L92" s="925" t="s">
        <v>582</v>
      </c>
      <c r="M92" s="554" t="s">
        <v>1127</v>
      </c>
      <c r="O92" s="925" t="s">
        <v>731</v>
      </c>
      <c r="P92" s="925"/>
      <c r="Q92" s="925" t="s">
        <v>816</v>
      </c>
      <c r="BH92" s="1316"/>
      <c r="BI92" s="1310"/>
      <c r="BJ92" s="550"/>
      <c r="BK92" s="557"/>
      <c r="BL92" s="555"/>
      <c r="BM92" s="555"/>
      <c r="BN92" s="555"/>
      <c r="BO92" s="931"/>
      <c r="BP92" s="1317"/>
      <c r="BQ92" s="936"/>
      <c r="BR92" s="931"/>
      <c r="BS92" s="931"/>
      <c r="BT92" s="555"/>
    </row>
    <row r="93" spans="3:72">
      <c r="C93" s="926"/>
      <c r="D93" s="926"/>
      <c r="E93" s="927"/>
      <c r="F93" s="926"/>
      <c r="G93" s="928" t="s">
        <v>2099</v>
      </c>
      <c r="H93" s="928"/>
      <c r="I93" s="929" t="s">
        <v>678</v>
      </c>
      <c r="J93" s="929"/>
      <c r="K93" s="929" t="s">
        <v>679</v>
      </c>
      <c r="L93" s="554" t="s">
        <v>1127</v>
      </c>
      <c r="M93" s="928" t="s">
        <v>743</v>
      </c>
      <c r="N93" s="926"/>
      <c r="O93" s="929" t="s">
        <v>680</v>
      </c>
      <c r="P93" s="929"/>
      <c r="Q93" s="929" t="s">
        <v>681</v>
      </c>
      <c r="BH93" s="1316"/>
      <c r="BI93" s="1310"/>
      <c r="BJ93" s="550"/>
      <c r="BK93" s="557"/>
      <c r="BL93" s="555"/>
      <c r="BM93" s="555"/>
      <c r="BN93" s="555"/>
      <c r="BO93" s="931"/>
      <c r="BP93" s="1317"/>
      <c r="BQ93" s="936"/>
      <c r="BR93" s="931"/>
      <c r="BS93" s="931"/>
      <c r="BT93" s="555"/>
    </row>
    <row r="94" spans="3:72">
      <c r="C94" s="555"/>
      <c r="D94" s="555"/>
      <c r="E94" s="555"/>
      <c r="F94" s="555"/>
      <c r="G94" s="550" t="s">
        <v>1134</v>
      </c>
      <c r="H94" s="550"/>
      <c r="I94" s="550" t="s">
        <v>1134</v>
      </c>
      <c r="J94" s="550"/>
      <c r="K94" s="550" t="s">
        <v>1134</v>
      </c>
      <c r="L94" s="552"/>
      <c r="M94" s="550"/>
      <c r="N94" s="554"/>
      <c r="O94" s="550" t="s">
        <v>1134</v>
      </c>
      <c r="P94" s="550"/>
      <c r="Q94" s="550" t="s">
        <v>1134</v>
      </c>
      <c r="AC94" s="1318"/>
      <c r="BH94" s="555"/>
      <c r="BI94" s="555"/>
      <c r="BJ94" s="555"/>
      <c r="BK94" s="555"/>
      <c r="BL94" s="555"/>
      <c r="BM94" s="555"/>
      <c r="BN94" s="555"/>
      <c r="BO94" s="931"/>
      <c r="BP94" s="1317"/>
      <c r="BQ94" s="1314"/>
      <c r="BR94" s="1314"/>
      <c r="BS94" s="1314"/>
      <c r="BT94" s="555"/>
    </row>
    <row r="95" spans="3:72">
      <c r="C95" s="555"/>
      <c r="D95" s="555"/>
      <c r="E95" s="555"/>
      <c r="F95" s="555"/>
      <c r="G95" s="555"/>
      <c r="H95" s="555"/>
      <c r="I95" s="555"/>
      <c r="J95" s="555"/>
      <c r="K95" s="555"/>
      <c r="L95" s="555"/>
      <c r="M95" s="555"/>
      <c r="N95" s="555"/>
      <c r="O95" s="555"/>
      <c r="P95" s="555"/>
      <c r="Q95" s="555"/>
      <c r="AC95" s="1318"/>
      <c r="BH95" s="555"/>
      <c r="BI95" s="1310"/>
      <c r="BJ95" s="555"/>
      <c r="BK95" s="557"/>
      <c r="BL95" s="555"/>
      <c r="BM95" s="555"/>
      <c r="BN95" s="555"/>
      <c r="BO95" s="931"/>
      <c r="BP95" s="555"/>
      <c r="BQ95" s="931"/>
      <c r="BR95" s="931"/>
      <c r="BS95" s="931"/>
      <c r="BT95" s="555"/>
    </row>
    <row r="96" spans="3:72">
      <c r="C96" s="925">
        <v>1</v>
      </c>
      <c r="E96" s="924" t="s">
        <v>454</v>
      </c>
      <c r="F96" s="555"/>
      <c r="G96" s="1235">
        <f>G75</f>
        <v>347419</v>
      </c>
      <c r="H96" s="932"/>
      <c r="I96" s="1235">
        <f ca="1">I75</f>
        <v>-562994</v>
      </c>
      <c r="J96" s="555"/>
      <c r="K96" s="1235">
        <f ca="1">K75</f>
        <v>-215575</v>
      </c>
      <c r="L96" s="1235">
        <f ca="1">L75</f>
        <v>72366</v>
      </c>
      <c r="M96" s="1235">
        <f ca="1">M75</f>
        <v>-143209</v>
      </c>
      <c r="N96" s="555"/>
      <c r="O96" s="1235">
        <f>O75</f>
        <v>522742</v>
      </c>
      <c r="P96" s="555"/>
      <c r="Q96" s="1235">
        <f ca="1">Q75</f>
        <v>379533</v>
      </c>
      <c r="BH96" s="555"/>
      <c r="BI96" s="555"/>
      <c r="BJ96" s="555"/>
      <c r="BK96" s="555"/>
      <c r="BL96" s="555"/>
      <c r="BM96" s="555"/>
      <c r="BN96" s="555"/>
      <c r="BO96" s="931"/>
      <c r="BP96" s="555"/>
      <c r="BQ96" s="1314"/>
      <c r="BR96" s="1314"/>
      <c r="BS96" s="1314"/>
      <c r="BT96" s="555"/>
    </row>
    <row r="97" spans="3:72">
      <c r="C97" s="925">
        <v>2</v>
      </c>
      <c r="F97" s="555"/>
      <c r="G97" s="555"/>
      <c r="H97" s="555"/>
      <c r="I97" s="555"/>
      <c r="J97" s="555"/>
      <c r="K97" s="555"/>
      <c r="L97" s="555"/>
      <c r="M97" s="555"/>
      <c r="N97" s="555"/>
      <c r="O97" s="555"/>
      <c r="P97" s="555"/>
      <c r="Q97" s="555"/>
      <c r="AC97" s="555"/>
      <c r="AD97" s="555"/>
      <c r="AE97" s="555"/>
      <c r="AF97" s="555"/>
      <c r="AG97" s="555"/>
      <c r="AH97" s="555"/>
      <c r="BH97" s="555"/>
      <c r="BI97" s="557"/>
      <c r="BJ97" s="555"/>
      <c r="BK97" s="555"/>
      <c r="BL97" s="555"/>
      <c r="BM97" s="555"/>
      <c r="BN97" s="555"/>
      <c r="BO97" s="555"/>
      <c r="BP97" s="555"/>
      <c r="BQ97" s="931"/>
      <c r="BR97" s="931"/>
      <c r="BS97" s="555"/>
      <c r="BT97" s="555"/>
    </row>
    <row r="98" spans="3:72">
      <c r="C98" s="925">
        <v>3</v>
      </c>
      <c r="E98" s="1225" t="s">
        <v>2974</v>
      </c>
      <c r="F98" s="555"/>
      <c r="G98" s="932">
        <f>AK264</f>
        <v>0</v>
      </c>
      <c r="H98" s="555"/>
      <c r="I98" s="586">
        <f ca="1">K98-G98</f>
        <v>568618</v>
      </c>
      <c r="J98" s="555"/>
      <c r="K98" s="932">
        <f ca="1">-ROUND((K28+K33+K63)*SIT*Z168,0)</f>
        <v>568618</v>
      </c>
      <c r="L98" s="932">
        <f ca="1">SCH_D1!U247</f>
        <v>46570</v>
      </c>
      <c r="M98" s="932">
        <f ca="1">K98+L98</f>
        <v>615188</v>
      </c>
      <c r="N98" s="555"/>
      <c r="O98" s="932">
        <v>0</v>
      </c>
      <c r="P98" s="555"/>
      <c r="Q98" s="932">
        <f ca="1">M98+O98</f>
        <v>615188</v>
      </c>
      <c r="AC98" s="555"/>
      <c r="AD98" s="555"/>
      <c r="AE98" s="555"/>
      <c r="AF98" s="555"/>
      <c r="AG98" s="555"/>
      <c r="AH98" s="555"/>
      <c r="BH98" s="555"/>
      <c r="BI98" s="557"/>
      <c r="BJ98" s="555"/>
      <c r="BK98" s="555"/>
      <c r="BL98" s="555"/>
      <c r="BM98" s="555"/>
      <c r="BN98" s="555"/>
      <c r="BO98" s="555"/>
      <c r="BP98" s="555"/>
      <c r="BQ98" s="931"/>
      <c r="BR98" s="931"/>
      <c r="BS98" s="555"/>
      <c r="BT98" s="555"/>
    </row>
    <row r="99" spans="3:72">
      <c r="C99" s="925">
        <v>4</v>
      </c>
      <c r="E99" s="1225" t="s">
        <v>2313</v>
      </c>
      <c r="F99" s="555"/>
      <c r="G99" s="1319">
        <v>-92502</v>
      </c>
      <c r="H99" s="555"/>
      <c r="I99" s="586">
        <f t="shared" ref="I99:I100" si="3">K99-G99</f>
        <v>2863</v>
      </c>
      <c r="J99" s="555"/>
      <c r="K99" s="1319">
        <v>-89639</v>
      </c>
      <c r="L99" s="932"/>
      <c r="M99" s="932">
        <f t="shared" ref="M99:M100" si="4">K99+L99</f>
        <v>-89639</v>
      </c>
      <c r="N99" s="555"/>
      <c r="O99" s="932"/>
      <c r="P99" s="555"/>
      <c r="Q99" s="932">
        <f t="shared" ref="Q99:Q100" si="5">M99+O99</f>
        <v>-89639</v>
      </c>
      <c r="AC99" s="555"/>
      <c r="AD99" s="555"/>
      <c r="AE99" s="555"/>
      <c r="AF99" s="555"/>
      <c r="AG99" s="555"/>
      <c r="AH99" s="555"/>
      <c r="BH99" s="555"/>
      <c r="BI99" s="557"/>
      <c r="BJ99" s="555"/>
      <c r="BK99" s="555"/>
      <c r="BL99" s="555"/>
      <c r="BM99" s="555"/>
      <c r="BN99" s="555"/>
      <c r="BO99" s="555"/>
      <c r="BP99" s="555"/>
      <c r="BQ99" s="931"/>
      <c r="BR99" s="931"/>
      <c r="BS99" s="555"/>
      <c r="BT99" s="555"/>
    </row>
    <row r="100" spans="3:72">
      <c r="C100" s="925">
        <v>5</v>
      </c>
      <c r="E100" s="1225" t="s">
        <v>2893</v>
      </c>
      <c r="F100" s="555"/>
      <c r="G100" s="1319">
        <v>0</v>
      </c>
      <c r="H100" s="555"/>
      <c r="I100" s="586">
        <f t="shared" si="3"/>
        <v>-74589</v>
      </c>
      <c r="J100" s="555"/>
      <c r="K100" s="1319">
        <v>-74589</v>
      </c>
      <c r="L100" s="932"/>
      <c r="M100" s="932">
        <f t="shared" si="4"/>
        <v>-74589</v>
      </c>
      <c r="N100" s="555"/>
      <c r="O100" s="932"/>
      <c r="P100" s="555"/>
      <c r="Q100" s="932">
        <f t="shared" si="5"/>
        <v>-74589</v>
      </c>
      <c r="AC100" s="555"/>
      <c r="AD100" s="555"/>
      <c r="AE100" s="555"/>
      <c r="AF100" s="555"/>
      <c r="AG100" s="555"/>
      <c r="AH100" s="555"/>
      <c r="BH100" s="555"/>
      <c r="BI100" s="557"/>
      <c r="BJ100" s="555"/>
      <c r="BK100" s="555"/>
      <c r="BL100" s="555"/>
      <c r="BM100" s="555"/>
      <c r="BN100" s="555"/>
      <c r="BO100" s="555"/>
      <c r="BP100" s="555"/>
      <c r="BQ100" s="931"/>
      <c r="BR100" s="931"/>
      <c r="BS100" s="555"/>
      <c r="BT100" s="555"/>
    </row>
    <row r="101" spans="3:72">
      <c r="C101" s="925">
        <v>6</v>
      </c>
      <c r="E101" s="1225" t="s">
        <v>2257</v>
      </c>
      <c r="F101" s="555"/>
      <c r="G101" s="1235">
        <f>'BASE PERIOD'!E45+'BASE PERIOD'!E54</f>
        <v>0</v>
      </c>
      <c r="H101" s="555"/>
      <c r="I101" s="754">
        <f>K101-G101</f>
        <v>0</v>
      </c>
      <c r="J101" s="555"/>
      <c r="K101" s="1237">
        <v>0</v>
      </c>
      <c r="L101" s="1235"/>
      <c r="M101" s="1235">
        <f>K101+L101</f>
        <v>0</v>
      </c>
      <c r="N101" s="555"/>
      <c r="O101" s="1235"/>
      <c r="P101" s="555"/>
      <c r="Q101" s="1235">
        <f>M101+O101</f>
        <v>0</v>
      </c>
      <c r="AC101" s="555"/>
      <c r="AD101" s="555"/>
      <c r="AE101" s="555"/>
      <c r="AF101" s="555"/>
      <c r="AG101" s="555"/>
      <c r="AH101" s="555"/>
      <c r="BH101" s="555"/>
      <c r="BI101" s="557"/>
      <c r="BJ101" s="555"/>
      <c r="BK101" s="555"/>
      <c r="BL101" s="555"/>
      <c r="BM101" s="555"/>
      <c r="BN101" s="555"/>
      <c r="BO101" s="555"/>
      <c r="BP101" s="555"/>
      <c r="BQ101" s="931"/>
      <c r="BR101" s="931"/>
      <c r="BS101" s="555"/>
      <c r="BT101" s="555"/>
    </row>
    <row r="102" spans="3:72">
      <c r="C102" s="925">
        <v>7</v>
      </c>
      <c r="E102" s="1225" t="s">
        <v>920</v>
      </c>
      <c r="F102" s="555"/>
      <c r="G102" s="932">
        <f>SUM(G98:G101)</f>
        <v>-92502</v>
      </c>
      <c r="H102" s="555"/>
      <c r="I102" s="932">
        <f ca="1">SUM(I98:I101)</f>
        <v>496892</v>
      </c>
      <c r="J102" s="555"/>
      <c r="K102" s="932">
        <f ca="1">SUM(K98:K101)</f>
        <v>404390</v>
      </c>
      <c r="L102" s="932">
        <f ca="1">SUM(L98:L101)</f>
        <v>46570</v>
      </c>
      <c r="M102" s="932">
        <f ca="1">SUM(M98:M101)</f>
        <v>450960</v>
      </c>
      <c r="N102" s="555"/>
      <c r="O102" s="932">
        <f>SUM(O98:O101)</f>
        <v>0</v>
      </c>
      <c r="P102" s="555"/>
      <c r="Q102" s="932">
        <f ca="1">SUM(Q98:Q101)</f>
        <v>450960</v>
      </c>
      <c r="AC102" s="555"/>
      <c r="AD102" s="555"/>
      <c r="AE102" s="555"/>
      <c r="AF102" s="555"/>
      <c r="AG102" s="555"/>
      <c r="AH102" s="555"/>
      <c r="BH102" s="555"/>
      <c r="BI102" s="557"/>
      <c r="BJ102" s="555"/>
      <c r="BK102" s="555"/>
      <c r="BL102" s="555"/>
      <c r="BM102" s="555"/>
      <c r="BN102" s="555"/>
      <c r="BO102" s="555"/>
      <c r="BP102" s="555"/>
      <c r="BQ102" s="931"/>
      <c r="BR102" s="931"/>
      <c r="BS102" s="555"/>
      <c r="BT102" s="555"/>
    </row>
    <row r="103" spans="3:72">
      <c r="C103" s="925">
        <v>8</v>
      </c>
      <c r="E103" s="924"/>
      <c r="F103" s="555"/>
      <c r="G103" s="555"/>
      <c r="H103" s="555"/>
      <c r="I103" s="555"/>
      <c r="J103" s="555"/>
      <c r="K103" s="555"/>
      <c r="L103" s="555"/>
      <c r="M103" s="555"/>
      <c r="N103" s="555"/>
      <c r="O103" s="555"/>
      <c r="P103" s="555"/>
      <c r="Q103" s="555"/>
      <c r="AC103" s="555"/>
      <c r="AD103" s="555"/>
      <c r="AE103" s="555"/>
      <c r="AF103" s="555"/>
      <c r="AG103" s="555"/>
      <c r="AH103" s="555"/>
      <c r="BH103" s="555"/>
      <c r="BI103" s="557"/>
      <c r="BJ103" s="555"/>
      <c r="BK103" s="555"/>
      <c r="BL103" s="555"/>
      <c r="BM103" s="555"/>
      <c r="BN103" s="555"/>
      <c r="BO103" s="555"/>
      <c r="BP103" s="555"/>
      <c r="BQ103" s="931"/>
      <c r="BR103" s="931"/>
      <c r="BS103" s="555"/>
      <c r="BT103" s="555"/>
    </row>
    <row r="104" spans="3:72" ht="15.6" thickBot="1">
      <c r="C104" s="925">
        <v>9</v>
      </c>
      <c r="E104" s="924" t="s">
        <v>455</v>
      </c>
      <c r="F104" s="555"/>
      <c r="G104" s="1320">
        <f>G96+G102</f>
        <v>254917</v>
      </c>
      <c r="H104" s="932"/>
      <c r="I104" s="1320">
        <f ca="1">I96+I102</f>
        <v>-66102</v>
      </c>
      <c r="J104" s="555"/>
      <c r="K104" s="1320">
        <f ca="1">K96+K102</f>
        <v>188815</v>
      </c>
      <c r="L104" s="1320">
        <f ca="1">L96+L102</f>
        <v>118936</v>
      </c>
      <c r="M104" s="1320">
        <f ca="1">M96+M102</f>
        <v>307751</v>
      </c>
      <c r="N104" s="555"/>
      <c r="O104" s="1320">
        <f>O96+O102</f>
        <v>522742</v>
      </c>
      <c r="P104" s="555"/>
      <c r="Q104" s="1320">
        <f ca="1">Q96+Q102</f>
        <v>830493</v>
      </c>
      <c r="AC104" s="555"/>
      <c r="AD104" s="1317"/>
      <c r="AE104" s="931"/>
      <c r="AF104" s="931"/>
      <c r="AG104" s="931"/>
      <c r="AH104" s="550"/>
      <c r="BH104" s="1316"/>
      <c r="BI104" s="1310"/>
      <c r="BJ104" s="550"/>
      <c r="BK104" s="557"/>
      <c r="BL104" s="555"/>
      <c r="BM104" s="555"/>
      <c r="BN104" s="555"/>
      <c r="BO104" s="931"/>
      <c r="BP104" s="1317"/>
      <c r="BQ104" s="936"/>
      <c r="BR104" s="931"/>
      <c r="BS104" s="931"/>
      <c r="BT104" s="555"/>
    </row>
    <row r="105" spans="3:72" ht="15.6" thickTop="1">
      <c r="C105" s="925">
        <v>10</v>
      </c>
      <c r="D105" s="555"/>
      <c r="E105" s="555"/>
      <c r="F105" s="555"/>
      <c r="G105" s="555"/>
      <c r="H105" s="555"/>
      <c r="I105" s="555"/>
      <c r="J105" s="555"/>
      <c r="K105" s="555"/>
      <c r="L105" s="555"/>
      <c r="M105" s="555"/>
      <c r="N105" s="555"/>
      <c r="O105" s="555"/>
      <c r="P105" s="555"/>
      <c r="Q105" s="555"/>
      <c r="AC105" s="555"/>
      <c r="AD105" s="1317"/>
      <c r="AE105" s="931"/>
      <c r="AF105" s="931"/>
      <c r="AG105" s="931"/>
      <c r="AH105" s="550"/>
      <c r="BH105" s="1316"/>
      <c r="BI105" s="1310"/>
      <c r="BJ105" s="550"/>
      <c r="BK105" s="557"/>
      <c r="BL105" s="555"/>
      <c r="BM105" s="555"/>
      <c r="BN105" s="555"/>
      <c r="BO105" s="931"/>
      <c r="BP105" s="1317"/>
      <c r="BQ105" s="936"/>
      <c r="BR105" s="931"/>
      <c r="BS105" s="931"/>
      <c r="BT105" s="555"/>
    </row>
    <row r="106" spans="3:72">
      <c r="C106" s="925">
        <v>11</v>
      </c>
      <c r="D106" s="555"/>
      <c r="E106" s="555"/>
      <c r="F106" s="555"/>
      <c r="G106" s="555"/>
      <c r="H106" s="555"/>
      <c r="I106" s="555"/>
      <c r="J106" s="555"/>
      <c r="K106" s="555"/>
      <c r="L106" s="555"/>
      <c r="M106" s="555"/>
      <c r="N106" s="555"/>
      <c r="O106" s="555"/>
      <c r="P106" s="555"/>
      <c r="Q106" s="555"/>
      <c r="AC106" s="555"/>
      <c r="AD106" s="1317"/>
      <c r="AE106" s="931"/>
      <c r="AF106" s="931"/>
      <c r="AG106" s="931"/>
      <c r="AH106" s="550"/>
      <c r="BH106" s="1316"/>
      <c r="BI106" s="1310"/>
      <c r="BJ106" s="550"/>
      <c r="BK106" s="557"/>
      <c r="BL106" s="555"/>
      <c r="BM106" s="555"/>
      <c r="BN106" s="555"/>
      <c r="BO106" s="931"/>
      <c r="BP106" s="1317"/>
      <c r="BQ106" s="936"/>
      <c r="BR106" s="931"/>
      <c r="BS106" s="931"/>
      <c r="BT106" s="555"/>
    </row>
    <row r="107" spans="3:72">
      <c r="C107" s="925">
        <v>12</v>
      </c>
      <c r="D107" s="555"/>
      <c r="E107" s="555" t="s">
        <v>1835</v>
      </c>
      <c r="F107" s="555"/>
      <c r="G107" s="555"/>
      <c r="H107" s="555"/>
      <c r="I107" s="555"/>
      <c r="J107" s="555"/>
      <c r="K107" s="555"/>
      <c r="L107" s="555"/>
      <c r="M107" s="555"/>
      <c r="N107" s="555"/>
      <c r="O107" s="555"/>
      <c r="P107" s="555"/>
      <c r="Q107" s="555"/>
      <c r="AC107" s="555"/>
      <c r="AD107" s="555"/>
      <c r="AE107" s="555"/>
      <c r="AF107" s="555"/>
      <c r="AG107" s="555"/>
      <c r="AH107" s="555"/>
      <c r="BH107" s="555"/>
      <c r="BI107" s="555"/>
      <c r="BJ107" s="555"/>
      <c r="BK107" s="555"/>
      <c r="BL107" s="555"/>
      <c r="BM107" s="555"/>
      <c r="BN107" s="555"/>
      <c r="BO107" s="555"/>
      <c r="BP107" s="555"/>
      <c r="BQ107" s="931"/>
      <c r="BR107" s="931"/>
      <c r="BS107" s="555"/>
      <c r="BT107" s="555"/>
    </row>
    <row r="108" spans="3:72">
      <c r="C108" s="925">
        <v>13</v>
      </c>
      <c r="E108" s="757" t="s">
        <v>456</v>
      </c>
      <c r="G108" s="834">
        <f>G60</f>
        <v>11472504</v>
      </c>
      <c r="H108" s="834"/>
      <c r="I108" s="834">
        <f ca="1">I60</f>
        <v>-10130255</v>
      </c>
      <c r="K108" s="834">
        <f ca="1">K60</f>
        <v>1342249</v>
      </c>
      <c r="L108" s="834">
        <f ca="1">L60</f>
        <v>1456503</v>
      </c>
      <c r="M108" s="834">
        <f ca="1">M60</f>
        <v>2798752</v>
      </c>
      <c r="O108" s="834">
        <f>O60</f>
        <v>10521115</v>
      </c>
      <c r="Q108" s="834">
        <f ca="1">Q60</f>
        <v>13319867</v>
      </c>
      <c r="AC108" s="555"/>
      <c r="AD108" s="555"/>
      <c r="AE108" s="555"/>
      <c r="AF108" s="555"/>
      <c r="AG108" s="555"/>
      <c r="AH108" s="555"/>
      <c r="BH108" s="555"/>
      <c r="BI108" s="1310"/>
      <c r="BJ108" s="555"/>
      <c r="BK108" s="557"/>
      <c r="BL108" s="555"/>
      <c r="BM108" s="555"/>
      <c r="BN108" s="555"/>
      <c r="BO108" s="931"/>
      <c r="BP108" s="555"/>
      <c r="BQ108" s="931"/>
      <c r="BR108" s="931"/>
      <c r="BS108" s="931"/>
      <c r="BT108" s="555"/>
    </row>
    <row r="109" spans="3:72">
      <c r="C109" s="925">
        <v>14</v>
      </c>
      <c r="AC109" s="555"/>
      <c r="AD109" s="555"/>
      <c r="AE109" s="555"/>
      <c r="AF109" s="555"/>
      <c r="AG109" s="555"/>
      <c r="AH109" s="555"/>
      <c r="BH109" s="555"/>
      <c r="BI109" s="555"/>
      <c r="BJ109" s="555"/>
      <c r="BK109" s="555"/>
      <c r="BL109" s="555"/>
      <c r="BM109" s="555"/>
      <c r="BN109" s="555"/>
      <c r="BO109" s="931"/>
      <c r="BP109" s="555"/>
      <c r="BQ109" s="1314"/>
      <c r="BR109" s="1314"/>
      <c r="BS109" s="1314"/>
      <c r="BT109" s="555"/>
    </row>
    <row r="110" spans="3:72">
      <c r="C110" s="925">
        <v>15</v>
      </c>
      <c r="E110" s="757" t="s">
        <v>442</v>
      </c>
      <c r="G110" s="834">
        <f>G73</f>
        <v>89034</v>
      </c>
      <c r="I110" s="834">
        <f ca="1">I73</f>
        <v>-304609</v>
      </c>
      <c r="J110" s="834">
        <f>J73</f>
        <v>0</v>
      </c>
      <c r="K110" s="834">
        <f ca="1">K73</f>
        <v>-215575</v>
      </c>
      <c r="L110" s="834">
        <f ca="1">L73</f>
        <v>72366</v>
      </c>
      <c r="M110" s="834">
        <f ca="1">M73</f>
        <v>-143209</v>
      </c>
      <c r="O110" s="834">
        <f>O73</f>
        <v>522742</v>
      </c>
      <c r="P110" s="834">
        <f>P73</f>
        <v>0</v>
      </c>
      <c r="Q110" s="834">
        <f ca="1">Q73</f>
        <v>379533</v>
      </c>
      <c r="AC110" s="555"/>
      <c r="AD110" s="555"/>
      <c r="AE110" s="555"/>
      <c r="AF110" s="555"/>
      <c r="AG110" s="555"/>
      <c r="AH110" s="555"/>
      <c r="BH110" s="555"/>
      <c r="BI110" s="555"/>
      <c r="BJ110" s="555"/>
      <c r="BK110" s="555"/>
      <c r="BL110" s="555"/>
      <c r="BM110" s="555"/>
      <c r="BN110" s="555"/>
      <c r="BO110" s="555"/>
      <c r="BP110" s="555"/>
      <c r="BQ110" s="931"/>
      <c r="BR110" s="931"/>
      <c r="BS110" s="555"/>
      <c r="BT110" s="555"/>
    </row>
    <row r="111" spans="3:72" ht="15.6" thickBot="1">
      <c r="C111" s="925">
        <v>16</v>
      </c>
      <c r="D111" s="757">
        <v>66567806</v>
      </c>
      <c r="E111" s="757" t="s">
        <v>457</v>
      </c>
      <c r="G111" s="1320">
        <f>G108-G110</f>
        <v>11383470</v>
      </c>
      <c r="H111" s="834"/>
      <c r="I111" s="1320">
        <f t="shared" ref="I111:M111" ca="1" si="6">I108-I110</f>
        <v>-9825646</v>
      </c>
      <c r="J111" s="1320">
        <f t="shared" si="6"/>
        <v>0</v>
      </c>
      <c r="K111" s="1320">
        <f t="shared" ca="1" si="6"/>
        <v>1557824</v>
      </c>
      <c r="L111" s="1320">
        <f t="shared" ca="1" si="6"/>
        <v>1384137</v>
      </c>
      <c r="M111" s="1320">
        <f t="shared" ca="1" si="6"/>
        <v>2941961</v>
      </c>
      <c r="O111" s="1320">
        <f t="shared" ref="O111:Q111" si="7">O108-O110</f>
        <v>9998373</v>
      </c>
      <c r="P111" s="1320">
        <f t="shared" si="7"/>
        <v>0</v>
      </c>
      <c r="Q111" s="1320">
        <f t="shared" ca="1" si="7"/>
        <v>12940334</v>
      </c>
      <c r="AC111" s="555"/>
      <c r="AD111" s="555"/>
      <c r="AE111" s="555"/>
      <c r="AF111" s="555"/>
      <c r="AG111" s="555"/>
      <c r="AH111" s="555"/>
      <c r="BH111" s="555"/>
      <c r="BI111" s="557"/>
      <c r="BJ111" s="555"/>
      <c r="BK111" s="555"/>
      <c r="BL111" s="555"/>
      <c r="BM111" s="555"/>
      <c r="BN111" s="555"/>
      <c r="BO111" s="555"/>
      <c r="BP111" s="555"/>
      <c r="BQ111" s="931"/>
      <c r="BR111" s="931"/>
      <c r="BS111" s="555"/>
      <c r="BT111" s="555"/>
    </row>
    <row r="112" spans="3:72" ht="15.6" thickTop="1">
      <c r="C112" s="925">
        <v>17</v>
      </c>
      <c r="AC112" s="555"/>
      <c r="AD112" s="555"/>
      <c r="AE112" s="555"/>
      <c r="AF112" s="555"/>
      <c r="AG112" s="555"/>
      <c r="AH112" s="555"/>
      <c r="BH112" s="555"/>
      <c r="BI112" s="557"/>
      <c r="BJ112" s="555"/>
      <c r="BK112" s="555"/>
      <c r="BL112" s="555"/>
      <c r="BM112" s="555"/>
      <c r="BN112" s="555"/>
      <c r="BO112" s="555"/>
      <c r="BP112" s="555"/>
      <c r="BQ112" s="931"/>
      <c r="BR112" s="931"/>
      <c r="BS112" s="555"/>
      <c r="BT112" s="555"/>
    </row>
    <row r="113" spans="3:72">
      <c r="C113" s="925">
        <v>18</v>
      </c>
      <c r="E113" s="924" t="str">
        <f>"Federal Income Tax @ "&amp;TEXT(LOGO!C23,"##%")&amp;"  (A)"</f>
        <v>Federal Income Tax @ 21%  (A)</v>
      </c>
      <c r="G113" s="586">
        <f>Y179</f>
        <v>3692225</v>
      </c>
      <c r="H113" s="834"/>
      <c r="I113" s="586">
        <f ca="1">K113-G113</f>
        <v>-3365082</v>
      </c>
      <c r="K113" s="586">
        <f ca="1">ROUND((K111)*FIT,0)</f>
        <v>327143</v>
      </c>
      <c r="L113" s="834">
        <f ca="1">ROUND(L111*FIT,0)+2</f>
        <v>290671</v>
      </c>
      <c r="M113" s="930">
        <f ca="1">K113+L113</f>
        <v>617814</v>
      </c>
      <c r="O113" s="834">
        <f>ROUND(O111*FIT,0)</f>
        <v>2099658</v>
      </c>
      <c r="Q113" s="931">
        <f ca="1">M113+O113</f>
        <v>2717472</v>
      </c>
      <c r="AC113" s="555"/>
      <c r="AD113" s="555"/>
      <c r="AE113" s="555"/>
      <c r="AF113" s="555"/>
      <c r="AG113" s="555"/>
      <c r="AH113" s="555"/>
      <c r="BH113" s="555"/>
      <c r="BI113" s="555"/>
      <c r="BJ113" s="555"/>
      <c r="BK113" s="555"/>
      <c r="BL113" s="555"/>
      <c r="BM113" s="555"/>
      <c r="BN113" s="555"/>
      <c r="BO113" s="555"/>
      <c r="BP113" s="555"/>
      <c r="BQ113" s="555"/>
      <c r="BR113" s="555"/>
      <c r="BS113" s="555"/>
      <c r="BT113" s="555"/>
    </row>
    <row r="114" spans="3:72">
      <c r="C114" s="925">
        <v>19</v>
      </c>
      <c r="E114" s="1225" t="s">
        <v>2251</v>
      </c>
      <c r="G114" s="930">
        <f>'SCH_C2.1 - Base Period'!$J$315</f>
        <v>0</v>
      </c>
      <c r="H114" s="834"/>
      <c r="I114" s="586">
        <f>K114-G114</f>
        <v>0</v>
      </c>
      <c r="K114" s="586">
        <v>0</v>
      </c>
      <c r="L114" s="834"/>
      <c r="M114" s="930">
        <f>K114+L114</f>
        <v>0</v>
      </c>
      <c r="O114" s="834"/>
      <c r="Q114" s="931">
        <f>M114+O114</f>
        <v>0</v>
      </c>
      <c r="AC114" s="555"/>
      <c r="AD114" s="555"/>
      <c r="AE114" s="555"/>
      <c r="AF114" s="555"/>
      <c r="AG114" s="555"/>
      <c r="AH114" s="555"/>
      <c r="BH114" s="555"/>
      <c r="BI114" s="555"/>
      <c r="BJ114" s="555"/>
      <c r="BK114" s="555"/>
      <c r="BL114" s="555"/>
      <c r="BM114" s="555"/>
      <c r="BN114" s="555"/>
      <c r="BO114" s="555"/>
      <c r="BP114" s="555"/>
      <c r="BQ114" s="555"/>
      <c r="BR114" s="555"/>
      <c r="BS114" s="555"/>
      <c r="BT114" s="555"/>
    </row>
    <row r="115" spans="3:72">
      <c r="C115" s="925">
        <v>20</v>
      </c>
      <c r="D115" s="757">
        <v>25000</v>
      </c>
      <c r="E115" s="924" t="s">
        <v>458</v>
      </c>
      <c r="G115" s="1321">
        <f>SUM(G113:G114)</f>
        <v>3692225</v>
      </c>
      <c r="H115" s="834"/>
      <c r="I115" s="1321">
        <f ca="1">SUM(I113:I114)</f>
        <v>-3365082</v>
      </c>
      <c r="K115" s="1321">
        <f ca="1">SUM(K113:K114)</f>
        <v>327143</v>
      </c>
      <c r="L115" s="1321">
        <f ca="1">SUM(L113:L114)</f>
        <v>290671</v>
      </c>
      <c r="M115" s="1321">
        <f ca="1">SUM(M113:M114)</f>
        <v>617814</v>
      </c>
      <c r="N115" s="555"/>
      <c r="O115" s="1321">
        <f>SUM(O113:O114)</f>
        <v>2099658</v>
      </c>
      <c r="P115" s="555"/>
      <c r="Q115" s="1321">
        <f ca="1">SUM(Q113:Q114)</f>
        <v>2717472</v>
      </c>
      <c r="AC115" s="555"/>
      <c r="AD115" s="555"/>
      <c r="AE115" s="555"/>
      <c r="AF115" s="555"/>
      <c r="AG115" s="555"/>
      <c r="AH115" s="555"/>
      <c r="BH115" s="555"/>
      <c r="BI115" s="555"/>
      <c r="BJ115" s="555"/>
      <c r="BK115" s="555"/>
      <c r="BL115" s="555"/>
      <c r="BM115" s="555"/>
      <c r="BN115" s="555"/>
      <c r="BO115" s="555"/>
      <c r="BP115" s="555"/>
      <c r="BQ115" s="555"/>
      <c r="BR115" s="555"/>
      <c r="BS115" s="555"/>
      <c r="BT115" s="555"/>
    </row>
    <row r="116" spans="3:72">
      <c r="C116" s="925">
        <v>21</v>
      </c>
      <c r="D116" s="757">
        <v>66492806</v>
      </c>
      <c r="G116" s="834"/>
      <c r="H116" s="834"/>
      <c r="I116" s="834"/>
      <c r="K116" s="931"/>
      <c r="L116" s="931"/>
      <c r="M116" s="931"/>
      <c r="N116" s="555"/>
      <c r="O116" s="932"/>
      <c r="P116" s="555"/>
      <c r="Q116" s="931"/>
      <c r="AC116" s="555"/>
      <c r="AD116" s="555"/>
      <c r="AE116" s="555"/>
      <c r="AF116" s="555"/>
      <c r="AG116" s="555"/>
      <c r="AH116" s="555"/>
      <c r="BH116" s="555"/>
      <c r="BI116" s="555"/>
      <c r="BJ116" s="555"/>
      <c r="BK116" s="555"/>
      <c r="BL116" s="555"/>
      <c r="BM116" s="555"/>
      <c r="BN116" s="555"/>
      <c r="BO116" s="555"/>
      <c r="BP116" s="555"/>
      <c r="BQ116" s="555"/>
      <c r="BR116" s="555"/>
      <c r="BS116" s="555"/>
      <c r="BT116" s="555"/>
    </row>
    <row r="117" spans="3:72">
      <c r="C117" s="925">
        <v>22</v>
      </c>
      <c r="E117" s="1233" t="s">
        <v>2975</v>
      </c>
      <c r="G117" s="932">
        <f>AK265</f>
        <v>0</v>
      </c>
      <c r="H117" s="834"/>
      <c r="I117" s="586">
        <f ca="1">K117-G117</f>
        <v>1090898</v>
      </c>
      <c r="K117" s="932">
        <f ca="1">-ROUND(((K28+K33)+K98)*FIT,0)</f>
        <v>1090898</v>
      </c>
      <c r="L117" s="932">
        <f ca="1">SCH_D1!U252</f>
        <v>187071</v>
      </c>
      <c r="M117" s="834">
        <f ca="1">K117+L117</f>
        <v>1277969</v>
      </c>
      <c r="O117" s="834">
        <v>0</v>
      </c>
      <c r="Q117" s="834">
        <f ca="1">M117+O117</f>
        <v>1277969</v>
      </c>
      <c r="AC117" s="555"/>
      <c r="AD117" s="555"/>
      <c r="AE117" s="555"/>
      <c r="AF117" s="555"/>
      <c r="AG117" s="555"/>
      <c r="AH117" s="555"/>
      <c r="AQ117" s="924"/>
      <c r="BH117" s="555"/>
      <c r="BI117" s="1310"/>
      <c r="BJ117" s="555"/>
      <c r="BK117" s="555"/>
      <c r="BL117" s="555"/>
      <c r="BM117" s="555"/>
      <c r="BN117" s="555"/>
      <c r="BO117" s="555"/>
      <c r="BP117" s="555"/>
      <c r="BQ117" s="931"/>
      <c r="BR117" s="1322"/>
      <c r="BS117" s="555"/>
      <c r="BT117" s="555"/>
    </row>
    <row r="118" spans="3:72">
      <c r="C118" s="925">
        <v>23</v>
      </c>
      <c r="E118" s="1225" t="s">
        <v>2895</v>
      </c>
      <c r="G118" s="1319">
        <v>-17062</v>
      </c>
      <c r="H118" s="834"/>
      <c r="I118" s="586">
        <f t="shared" ref="I118:I119" si="8">K118-G118</f>
        <v>528</v>
      </c>
      <c r="K118" s="1319">
        <v>-16534</v>
      </c>
      <c r="L118" s="932"/>
      <c r="M118" s="834">
        <f t="shared" ref="M118:M119" si="9">K118+L118</f>
        <v>-16534</v>
      </c>
      <c r="O118" s="834"/>
      <c r="Q118" s="834">
        <f t="shared" ref="Q118:Q119" si="10">M118+O118</f>
        <v>-16534</v>
      </c>
      <c r="AC118" s="555"/>
      <c r="AD118" s="555"/>
      <c r="AE118" s="555"/>
      <c r="AF118" s="555"/>
      <c r="AG118" s="555"/>
      <c r="AH118" s="555"/>
      <c r="AQ118" s="924"/>
      <c r="BH118" s="555"/>
      <c r="BI118" s="1310"/>
      <c r="BJ118" s="555"/>
      <c r="BK118" s="555"/>
      <c r="BL118" s="555"/>
      <c r="BM118" s="555"/>
      <c r="BN118" s="555"/>
      <c r="BO118" s="555"/>
      <c r="BP118" s="555"/>
      <c r="BQ118" s="931"/>
      <c r="BR118" s="1322"/>
      <c r="BS118" s="555"/>
      <c r="BT118" s="555"/>
    </row>
    <row r="119" spans="3:72">
      <c r="C119" s="925">
        <v>24</v>
      </c>
      <c r="E119" s="1225" t="s">
        <v>2894</v>
      </c>
      <c r="G119" s="1319">
        <v>0</v>
      </c>
      <c r="H119" s="834"/>
      <c r="I119" s="586">
        <f t="shared" si="8"/>
        <v>-585952</v>
      </c>
      <c r="K119" s="1319">
        <v>-585952</v>
      </c>
      <c r="L119" s="932"/>
      <c r="M119" s="834">
        <f t="shared" si="9"/>
        <v>-585952</v>
      </c>
      <c r="O119" s="834"/>
      <c r="Q119" s="834">
        <f t="shared" si="10"/>
        <v>-585952</v>
      </c>
      <c r="AC119" s="555"/>
      <c r="AD119" s="555"/>
      <c r="AE119" s="555"/>
      <c r="AF119" s="555"/>
      <c r="AG119" s="555"/>
      <c r="AH119" s="555"/>
      <c r="AQ119" s="924"/>
      <c r="BH119" s="555"/>
      <c r="BI119" s="1310"/>
      <c r="BJ119" s="555"/>
      <c r="BK119" s="555"/>
      <c r="BL119" s="555"/>
      <c r="BM119" s="555"/>
      <c r="BN119" s="555"/>
      <c r="BO119" s="555"/>
      <c r="BP119" s="555"/>
      <c r="BQ119" s="931"/>
      <c r="BR119" s="1322"/>
      <c r="BS119" s="555"/>
      <c r="BT119" s="555"/>
    </row>
    <row r="120" spans="3:72">
      <c r="C120" s="925">
        <v>25</v>
      </c>
      <c r="E120" s="1233" t="s">
        <v>2896</v>
      </c>
      <c r="G120" s="932">
        <f>'BASE PERIOD'!E44+'BASE PERIOD'!E53</f>
        <v>0</v>
      </c>
      <c r="H120" s="834"/>
      <c r="I120" s="586">
        <f>K120-G120</f>
        <v>0</v>
      </c>
      <c r="K120" s="1238">
        <v>0</v>
      </c>
      <c r="L120" s="932"/>
      <c r="M120" s="834">
        <f>K120+L120</f>
        <v>0</v>
      </c>
      <c r="O120" s="834"/>
      <c r="Q120" s="834">
        <f>M120+O120</f>
        <v>0</v>
      </c>
      <c r="AC120" s="555"/>
      <c r="AD120" s="555"/>
      <c r="AE120" s="555"/>
      <c r="AF120" s="555"/>
      <c r="AG120" s="555"/>
      <c r="AH120" s="555"/>
      <c r="AQ120" s="924"/>
      <c r="BH120" s="555"/>
      <c r="BI120" s="1310"/>
      <c r="BJ120" s="555"/>
      <c r="BK120" s="555"/>
      <c r="BL120" s="555"/>
      <c r="BM120" s="555"/>
      <c r="BN120" s="555"/>
      <c r="BO120" s="555"/>
      <c r="BP120" s="555"/>
      <c r="BQ120" s="931"/>
      <c r="BR120" s="1322"/>
      <c r="BS120" s="555"/>
      <c r="BT120" s="555"/>
    </row>
    <row r="121" spans="3:72">
      <c r="C121" s="925">
        <v>26</v>
      </c>
      <c r="E121" s="1233" t="s">
        <v>2897</v>
      </c>
      <c r="G121" s="1236">
        <f>SUM(G117:G120)</f>
        <v>-17062</v>
      </c>
      <c r="H121" s="834"/>
      <c r="I121" s="1236">
        <f ca="1">SUM(I117:I120)</f>
        <v>505474</v>
      </c>
      <c r="K121" s="1236">
        <f ca="1">SUM(K117:K120)</f>
        <v>488412</v>
      </c>
      <c r="L121" s="1236">
        <f ca="1">SUM(L117:L120)</f>
        <v>187071</v>
      </c>
      <c r="M121" s="1236">
        <f ca="1">SUM(M117:M120)</f>
        <v>675483</v>
      </c>
      <c r="O121" s="1236">
        <f>SUM(O117:O120)</f>
        <v>0</v>
      </c>
      <c r="Q121" s="1236">
        <f ca="1">SUM(Q117:Q120)</f>
        <v>675483</v>
      </c>
      <c r="AC121" s="555"/>
      <c r="AD121" s="555"/>
      <c r="AE121" s="555"/>
      <c r="AF121" s="555"/>
      <c r="AG121" s="555"/>
      <c r="AH121" s="555"/>
      <c r="AQ121" s="924"/>
      <c r="BH121" s="555"/>
      <c r="BI121" s="1310"/>
      <c r="BJ121" s="555"/>
      <c r="BK121" s="555"/>
      <c r="BL121" s="555"/>
      <c r="BM121" s="555"/>
      <c r="BN121" s="555"/>
      <c r="BO121" s="555"/>
      <c r="BP121" s="555"/>
      <c r="BQ121" s="931"/>
      <c r="BR121" s="1322"/>
      <c r="BS121" s="555"/>
      <c r="BT121" s="555"/>
    </row>
    <row r="122" spans="3:72">
      <c r="C122" s="925">
        <v>27</v>
      </c>
      <c r="E122" s="1233"/>
      <c r="G122" s="932"/>
      <c r="H122" s="834"/>
      <c r="I122" s="586"/>
      <c r="K122" s="834"/>
      <c r="L122" s="932"/>
      <c r="M122" s="834"/>
      <c r="O122" s="834"/>
      <c r="Q122" s="834"/>
      <c r="AC122" s="555"/>
      <c r="AD122" s="555"/>
      <c r="AE122" s="555"/>
      <c r="AF122" s="555"/>
      <c r="AG122" s="555"/>
      <c r="AH122" s="555"/>
      <c r="AQ122" s="924"/>
      <c r="BH122" s="555"/>
      <c r="BI122" s="1310"/>
      <c r="BJ122" s="555"/>
      <c r="BK122" s="555"/>
      <c r="BL122" s="555"/>
      <c r="BM122" s="555"/>
      <c r="BN122" s="555"/>
      <c r="BO122" s="555"/>
      <c r="BP122" s="555"/>
      <c r="BQ122" s="931"/>
      <c r="BR122" s="1322"/>
      <c r="BS122" s="555"/>
      <c r="BT122" s="555"/>
    </row>
    <row r="123" spans="3:72">
      <c r="C123" s="925">
        <v>28</v>
      </c>
      <c r="E123" s="586" t="s">
        <v>1033</v>
      </c>
      <c r="G123" s="1319">
        <v>-67241</v>
      </c>
      <c r="H123" s="834"/>
      <c r="I123" s="586">
        <f>K123-G123</f>
        <v>1186</v>
      </c>
      <c r="K123" s="1319">
        <v>-66055</v>
      </c>
      <c r="L123" s="932">
        <f>SCH_D1!U253</f>
        <v>0</v>
      </c>
      <c r="M123" s="930">
        <f>K123+L123</f>
        <v>-66055</v>
      </c>
      <c r="N123" s="555"/>
      <c r="O123" s="932">
        <v>0</v>
      </c>
      <c r="P123" s="555"/>
      <c r="Q123" s="931">
        <f>M123+O123</f>
        <v>-66055</v>
      </c>
      <c r="AC123" s="555"/>
      <c r="AD123" s="555"/>
      <c r="AE123" s="555"/>
      <c r="AF123" s="555"/>
      <c r="AG123" s="555"/>
      <c r="AH123" s="550"/>
      <c r="AO123" s="924"/>
      <c r="AV123" s="925"/>
      <c r="BH123" s="555"/>
      <c r="BI123" s="555"/>
      <c r="BJ123" s="555"/>
      <c r="BK123" s="555"/>
      <c r="BL123" s="555"/>
      <c r="BM123" s="555"/>
      <c r="BN123" s="555"/>
      <c r="BO123" s="555"/>
      <c r="BP123" s="555"/>
      <c r="BQ123" s="931"/>
      <c r="BR123" s="550"/>
      <c r="BS123" s="555"/>
      <c r="BT123" s="555"/>
    </row>
    <row r="124" spans="3:72">
      <c r="C124" s="925">
        <v>29</v>
      </c>
      <c r="E124" s="586"/>
      <c r="G124" s="586"/>
      <c r="H124" s="834"/>
      <c r="I124" s="586"/>
      <c r="K124" s="1323"/>
      <c r="L124" s="1324"/>
      <c r="M124" s="930"/>
      <c r="N124" s="555"/>
      <c r="O124" s="932"/>
      <c r="P124" s="555"/>
      <c r="Q124" s="931"/>
      <c r="AC124" s="555"/>
      <c r="AD124" s="555"/>
      <c r="AE124" s="555"/>
      <c r="AF124" s="555"/>
      <c r="AG124" s="555"/>
      <c r="AH124" s="550"/>
      <c r="AO124" s="924"/>
      <c r="AV124" s="925"/>
      <c r="BH124" s="555"/>
      <c r="BI124" s="555"/>
      <c r="BJ124" s="555"/>
      <c r="BK124" s="555"/>
      <c r="BL124" s="555"/>
      <c r="BM124" s="555"/>
      <c r="BN124" s="555"/>
      <c r="BO124" s="555"/>
      <c r="BP124" s="555"/>
      <c r="BQ124" s="931"/>
      <c r="BR124" s="550"/>
      <c r="BS124" s="555"/>
      <c r="BT124" s="555"/>
    </row>
    <row r="125" spans="3:72" ht="15.6" thickBot="1">
      <c r="C125" s="925">
        <v>30</v>
      </c>
      <c r="E125" s="757" t="s">
        <v>2030</v>
      </c>
      <c r="G125" s="1320">
        <f>G123+G121+G115</f>
        <v>3607922</v>
      </c>
      <c r="H125" s="834"/>
      <c r="I125" s="1320">
        <f ca="1">I123+I121+I115</f>
        <v>-2858422</v>
      </c>
      <c r="K125" s="1320">
        <f ca="1">K123+K121+K115</f>
        <v>749500</v>
      </c>
      <c r="L125" s="1320">
        <f ca="1">L123+L121+L115</f>
        <v>477742</v>
      </c>
      <c r="M125" s="1320">
        <f ca="1">M123+M121+M115</f>
        <v>1227242</v>
      </c>
      <c r="O125" s="1320">
        <f>O123+O121+O115</f>
        <v>2099658</v>
      </c>
      <c r="Q125" s="1320">
        <f ca="1">Q123+Q121+Q115</f>
        <v>3326900</v>
      </c>
      <c r="AC125" s="555"/>
      <c r="AN125" s="936"/>
      <c r="AO125" s="931"/>
      <c r="AP125" s="555"/>
      <c r="BH125" s="555"/>
      <c r="BI125" s="555"/>
      <c r="BJ125" s="555"/>
      <c r="BK125" s="555"/>
      <c r="BL125" s="555"/>
      <c r="BM125" s="555"/>
      <c r="BN125" s="555"/>
      <c r="BO125" s="931"/>
      <c r="BP125" s="931"/>
      <c r="BQ125" s="1325"/>
      <c r="BR125" s="931"/>
      <c r="BS125" s="555"/>
      <c r="BT125" s="555"/>
    </row>
    <row r="126" spans="3:72" ht="15.6" thickTop="1">
      <c r="AC126" s="555"/>
      <c r="AN126" s="936"/>
      <c r="AO126" s="931"/>
      <c r="AP126" s="555"/>
      <c r="BH126" s="555"/>
      <c r="BI126" s="555"/>
      <c r="BJ126" s="555"/>
      <c r="BK126" s="555"/>
      <c r="BL126" s="555"/>
      <c r="BM126" s="555"/>
      <c r="BN126" s="555"/>
      <c r="BO126" s="931"/>
      <c r="BP126" s="931"/>
      <c r="BQ126" s="1325"/>
      <c r="BR126" s="931"/>
      <c r="BS126" s="555"/>
      <c r="BT126" s="555"/>
    </row>
    <row r="127" spans="3:72">
      <c r="E127" s="757" t="s">
        <v>688</v>
      </c>
      <c r="AC127" s="555"/>
      <c r="AN127" s="936"/>
      <c r="AO127" s="931"/>
      <c r="AP127" s="555"/>
      <c r="BH127" s="555"/>
      <c r="BI127" s="555"/>
      <c r="BJ127" s="555"/>
      <c r="BK127" s="555"/>
      <c r="BL127" s="555"/>
      <c r="BM127" s="555"/>
      <c r="BN127" s="555"/>
      <c r="BO127" s="555"/>
      <c r="BP127" s="555"/>
      <c r="BQ127" s="555"/>
      <c r="BR127" s="555"/>
      <c r="BS127" s="555"/>
      <c r="BT127" s="555"/>
    </row>
    <row r="128" spans="3:72">
      <c r="E128" s="557" t="s">
        <v>453</v>
      </c>
      <c r="G128" s="3158"/>
      <c r="I128" s="3158"/>
      <c r="K128" s="3158"/>
      <c r="L128" s="3158"/>
      <c r="M128" s="3158"/>
      <c r="O128" s="3158"/>
      <c r="Q128" s="3158"/>
      <c r="AC128" s="555"/>
      <c r="AN128" s="936"/>
      <c r="AO128" s="931"/>
      <c r="AP128" s="555"/>
      <c r="BH128" s="555"/>
      <c r="BI128" s="555"/>
      <c r="BJ128" s="555"/>
      <c r="BK128" s="555"/>
      <c r="BL128" s="555"/>
      <c r="BM128" s="555"/>
      <c r="BN128" s="555"/>
      <c r="BO128" s="555"/>
      <c r="BP128" s="555"/>
      <c r="BQ128" s="555"/>
      <c r="BR128" s="555"/>
      <c r="BS128" s="555"/>
      <c r="BT128" s="555"/>
    </row>
    <row r="129" spans="5:72">
      <c r="AC129" s="555"/>
      <c r="AN129" s="936"/>
      <c r="AO129" s="931"/>
      <c r="AP129" s="555"/>
      <c r="BH129" s="555"/>
      <c r="BI129" s="555"/>
      <c r="BJ129" s="555"/>
      <c r="BK129" s="555"/>
      <c r="BL129" s="555"/>
      <c r="BM129" s="555"/>
      <c r="BN129" s="555"/>
      <c r="BO129" s="931"/>
      <c r="BP129" s="931"/>
      <c r="BQ129" s="1325"/>
      <c r="BR129" s="931"/>
      <c r="BS129" s="555"/>
      <c r="BT129" s="555"/>
    </row>
    <row r="130" spans="5:72">
      <c r="AB130" s="556"/>
      <c r="AC130" s="555"/>
      <c r="AN130" s="936"/>
      <c r="AO130" s="931"/>
      <c r="AP130" s="555"/>
      <c r="BH130" s="555"/>
      <c r="BI130" s="555"/>
      <c r="BJ130" s="555"/>
      <c r="BK130" s="555"/>
      <c r="BL130" s="555"/>
      <c r="BM130" s="555"/>
      <c r="BN130" s="555"/>
      <c r="BO130" s="931"/>
      <c r="BP130" s="931"/>
      <c r="BQ130" s="1325"/>
      <c r="BR130" s="931"/>
      <c r="BS130" s="555"/>
      <c r="BT130" s="555"/>
    </row>
    <row r="131" spans="5:72">
      <c r="G131" s="834"/>
      <c r="I131" s="834"/>
      <c r="K131" s="834"/>
      <c r="L131" s="834"/>
      <c r="M131" s="834"/>
      <c r="O131" s="834"/>
      <c r="AB131" s="556"/>
      <c r="AC131" s="555"/>
      <c r="AN131" s="936"/>
      <c r="AO131" s="931"/>
      <c r="AP131" s="555"/>
      <c r="BH131" s="555"/>
      <c r="BI131" s="555"/>
      <c r="BJ131" s="555"/>
      <c r="BK131" s="555"/>
      <c r="BL131" s="555"/>
      <c r="BM131" s="555"/>
      <c r="BN131" s="555"/>
      <c r="BO131" s="931"/>
      <c r="BP131" s="931"/>
      <c r="BQ131" s="1325"/>
      <c r="BR131" s="931"/>
      <c r="BS131" s="555"/>
      <c r="BT131" s="555"/>
    </row>
    <row r="132" spans="5:72">
      <c r="G132" s="834"/>
      <c r="I132" s="834"/>
      <c r="K132" s="834"/>
      <c r="L132" s="834"/>
      <c r="M132" s="834"/>
      <c r="O132" s="834"/>
      <c r="AB132" s="556"/>
      <c r="AC132" s="555"/>
      <c r="AN132" s="936"/>
      <c r="AO132" s="931"/>
      <c r="AP132" s="555"/>
      <c r="BH132" s="555"/>
      <c r="BI132" s="555"/>
      <c r="BJ132" s="555"/>
      <c r="BK132" s="555"/>
      <c r="BL132" s="555"/>
      <c r="BM132" s="555"/>
      <c r="BN132" s="555"/>
      <c r="BO132" s="931"/>
      <c r="BP132" s="931"/>
      <c r="BQ132" s="1325"/>
      <c r="BR132" s="931"/>
      <c r="BS132" s="555"/>
      <c r="BT132" s="555"/>
    </row>
    <row r="133" spans="5:72">
      <c r="G133" s="3271"/>
      <c r="I133" s="3271"/>
      <c r="K133" s="3271"/>
      <c r="L133" s="3271"/>
      <c r="M133" s="3271"/>
      <c r="O133" s="3271"/>
      <c r="AB133" s="556"/>
      <c r="AC133" s="555"/>
      <c r="AN133" s="936"/>
      <c r="AO133" s="931"/>
      <c r="AP133" s="555"/>
      <c r="BH133" s="555"/>
      <c r="BI133" s="555"/>
      <c r="BJ133" s="555"/>
      <c r="BK133" s="555"/>
      <c r="BL133" s="555"/>
      <c r="BM133" s="555"/>
      <c r="BN133" s="931"/>
      <c r="BO133" s="931"/>
      <c r="BP133" s="931"/>
      <c r="BQ133" s="555"/>
      <c r="BR133" s="931"/>
      <c r="BS133" s="555"/>
      <c r="BT133" s="555"/>
    </row>
    <row r="134" spans="5:72">
      <c r="S134" s="734" t="str">
        <f>COMPANY</f>
        <v>DUKE ENERGY KENTUCKY, INC.</v>
      </c>
      <c r="T134" s="735"/>
      <c r="U134" s="735"/>
      <c r="V134" s="735"/>
      <c r="W134" s="735"/>
      <c r="X134" s="735"/>
      <c r="Y134" s="736" t="s">
        <v>397</v>
      </c>
      <c r="Z134" s="735"/>
      <c r="AB134" s="555"/>
      <c r="AC134" s="555"/>
      <c r="AN134" s="936"/>
      <c r="AO134" s="931"/>
      <c r="AP134" s="555"/>
      <c r="BH134" s="555"/>
      <c r="BI134" s="555"/>
      <c r="BJ134" s="555"/>
      <c r="BK134" s="555"/>
      <c r="BL134" s="555"/>
      <c r="BM134" s="555"/>
      <c r="BN134" s="555"/>
      <c r="BO134" s="555"/>
      <c r="BP134" s="555"/>
      <c r="BQ134" s="555"/>
      <c r="BR134" s="555"/>
      <c r="BS134" s="555"/>
      <c r="BT134" s="555"/>
    </row>
    <row r="135" spans="5:72">
      <c r="S135" s="734" t="str">
        <f>CASE</f>
        <v>CASE NO. 2018-00261</v>
      </c>
      <c r="T135" s="735"/>
      <c r="U135" s="735"/>
      <c r="V135" s="735"/>
      <c r="W135" s="735"/>
      <c r="X135" s="735"/>
      <c r="Y135" s="737" t="s">
        <v>2046</v>
      </c>
      <c r="Z135" s="735"/>
      <c r="AB135" s="555"/>
      <c r="AC135" s="555"/>
      <c r="AN135" s="936"/>
      <c r="AO135" s="931"/>
      <c r="AP135" s="555"/>
      <c r="BH135" s="555"/>
      <c r="BI135" s="555"/>
      <c r="BJ135" s="555"/>
      <c r="BK135" s="555"/>
      <c r="BL135" s="555"/>
      <c r="BM135" s="555"/>
      <c r="BN135" s="555"/>
      <c r="BO135" s="555"/>
      <c r="BP135" s="555"/>
      <c r="BQ135" s="555"/>
      <c r="BR135" s="555"/>
      <c r="BS135" s="555"/>
      <c r="BT135" s="555"/>
    </row>
    <row r="136" spans="5:72">
      <c r="E136" s="1233"/>
      <c r="G136" s="834"/>
      <c r="I136" s="834"/>
      <c r="K136" s="834"/>
      <c r="L136" s="834"/>
      <c r="M136" s="834"/>
      <c r="O136" s="834"/>
      <c r="Q136" s="834"/>
      <c r="S136" s="734" t="str">
        <f>LOGO!B9</f>
        <v>GAS DEPARTMENT</v>
      </c>
      <c r="T136" s="735"/>
      <c r="U136" s="735"/>
      <c r="V136" s="735"/>
      <c r="W136" s="735"/>
      <c r="X136" s="735"/>
      <c r="Y136" s="734" t="str">
        <f>"                      "&amp;O10</f>
        <v xml:space="preserve">                      J. R. PANIZZA</v>
      </c>
      <c r="Z136" s="735"/>
      <c r="AB136" s="555"/>
      <c r="AC136" s="555"/>
      <c r="AN136" s="936"/>
      <c r="AO136" s="931"/>
      <c r="AP136" s="555"/>
      <c r="BH136" s="555"/>
      <c r="BI136" s="555"/>
      <c r="BJ136" s="555"/>
      <c r="BK136" s="555"/>
      <c r="BL136" s="555"/>
      <c r="BM136" s="555"/>
      <c r="BN136" s="555"/>
      <c r="BO136" s="555"/>
      <c r="BP136" s="555"/>
      <c r="BQ136" s="555"/>
      <c r="BR136" s="555"/>
      <c r="BS136" s="555"/>
      <c r="BT136" s="555"/>
    </row>
    <row r="137" spans="5:72">
      <c r="E137" s="1233"/>
      <c r="G137" s="834"/>
      <c r="I137" s="834"/>
      <c r="K137" s="834"/>
      <c r="L137" s="834"/>
      <c r="M137" s="834"/>
      <c r="O137" s="834"/>
      <c r="Q137" s="834"/>
      <c r="S137" s="734" t="s">
        <v>2047</v>
      </c>
      <c r="T137" s="735"/>
      <c r="U137" s="735"/>
      <c r="V137" s="735"/>
      <c r="W137" s="735"/>
      <c r="X137" s="735"/>
      <c r="Y137" s="735"/>
      <c r="Z137" s="735"/>
      <c r="AB137" s="555"/>
      <c r="AC137" s="555"/>
      <c r="AN137" s="936"/>
      <c r="AO137" s="931"/>
      <c r="AP137" s="555"/>
      <c r="BH137" s="555"/>
      <c r="BI137" s="555"/>
      <c r="BJ137" s="555"/>
      <c r="BK137" s="555"/>
      <c r="BL137" s="555"/>
      <c r="BM137" s="555"/>
      <c r="BN137" s="555"/>
      <c r="BO137" s="555"/>
      <c r="BP137" s="555"/>
      <c r="BQ137" s="555"/>
      <c r="BR137" s="555"/>
      <c r="BS137" s="555"/>
      <c r="BT137" s="555"/>
    </row>
    <row r="138" spans="5:72" ht="15.6">
      <c r="E138" s="1233"/>
      <c r="G138" s="3269"/>
      <c r="I138" s="3269"/>
      <c r="K138" s="3269"/>
      <c r="L138" s="3269"/>
      <c r="M138" s="3269"/>
      <c r="O138" s="3269"/>
      <c r="Q138" s="3269"/>
      <c r="S138" s="735"/>
      <c r="T138" s="735"/>
      <c r="U138" s="735"/>
      <c r="V138" s="735"/>
      <c r="W138" s="735"/>
      <c r="X138" s="735"/>
      <c r="Y138" s="735"/>
      <c r="Z138" s="735"/>
      <c r="AB138" s="555"/>
      <c r="AC138" s="555"/>
      <c r="AN138" s="555"/>
      <c r="AO138" s="555"/>
      <c r="AP138" s="555"/>
      <c r="BH138" s="555"/>
      <c r="BI138" s="555"/>
      <c r="BJ138" s="555"/>
      <c r="BK138" s="555"/>
      <c r="BL138" s="555"/>
      <c r="BM138" s="555"/>
      <c r="BN138" s="555"/>
      <c r="BO138" s="555"/>
      <c r="BP138" s="555"/>
      <c r="BQ138" s="555"/>
      <c r="BR138" s="555"/>
      <c r="BS138" s="555"/>
      <c r="BT138" s="555"/>
    </row>
    <row r="139" spans="5:72">
      <c r="S139" s="735"/>
      <c r="T139" s="735"/>
      <c r="U139" s="735"/>
      <c r="V139" s="735"/>
      <c r="W139" s="735"/>
      <c r="X139" s="735"/>
      <c r="Y139" s="735"/>
      <c r="Z139" s="735"/>
      <c r="AB139" s="555"/>
      <c r="AC139" s="555"/>
      <c r="AN139" s="931"/>
      <c r="AO139" s="931"/>
      <c r="AP139" s="555"/>
      <c r="BH139" s="555"/>
      <c r="BI139" s="555"/>
      <c r="BJ139" s="555"/>
      <c r="BK139" s="555"/>
      <c r="BL139" s="555"/>
      <c r="BM139" s="555"/>
      <c r="BN139" s="555"/>
      <c r="BO139" s="555"/>
      <c r="BP139" s="555"/>
      <c r="BQ139" s="555"/>
      <c r="BR139" s="555"/>
      <c r="BS139" s="555"/>
      <c r="BT139" s="555"/>
    </row>
    <row r="140" spans="5:72">
      <c r="E140" s="1233"/>
      <c r="G140" s="834"/>
      <c r="I140" s="834"/>
      <c r="K140" s="834"/>
      <c r="L140" s="834"/>
      <c r="M140" s="834"/>
      <c r="O140" s="834"/>
      <c r="Q140" s="834"/>
      <c r="S140" s="735"/>
      <c r="T140" s="735"/>
      <c r="U140" s="735"/>
      <c r="V140" s="735"/>
      <c r="W140" s="735"/>
      <c r="X140" s="735"/>
      <c r="Y140" s="735"/>
      <c r="Z140" s="735"/>
      <c r="AB140" s="555"/>
      <c r="AC140" s="555"/>
      <c r="AN140" s="555"/>
      <c r="AO140" s="555"/>
      <c r="AP140" s="555"/>
      <c r="BH140" s="555"/>
      <c r="BI140" s="555"/>
      <c r="BJ140" s="555"/>
      <c r="BK140" s="555"/>
      <c r="BL140" s="555"/>
      <c r="BM140" s="555"/>
      <c r="BN140" s="555"/>
      <c r="BO140" s="555"/>
      <c r="BP140" s="555"/>
      <c r="BQ140" s="555"/>
      <c r="BR140" s="555"/>
      <c r="BS140" s="555"/>
      <c r="BT140" s="555"/>
    </row>
    <row r="141" spans="5:72">
      <c r="E141" s="1233"/>
      <c r="G141" s="834"/>
      <c r="I141" s="834"/>
      <c r="K141" s="834"/>
      <c r="L141" s="834"/>
      <c r="M141" s="834"/>
      <c r="O141" s="834"/>
      <c r="Q141" s="834"/>
      <c r="S141" s="735"/>
      <c r="T141" s="735"/>
      <c r="U141" s="735"/>
      <c r="V141" s="735"/>
      <c r="W141" s="735"/>
      <c r="X141" s="735"/>
      <c r="Y141" s="735"/>
      <c r="Z141" s="735"/>
      <c r="AB141" s="550"/>
      <c r="AC141" s="555"/>
      <c r="AN141" s="931"/>
      <c r="AO141" s="931"/>
      <c r="AP141" s="555"/>
      <c r="BH141" s="555"/>
      <c r="BI141" s="555"/>
      <c r="BJ141" s="555"/>
      <c r="BK141" s="555"/>
      <c r="BL141" s="555"/>
      <c r="BM141" s="555"/>
      <c r="BN141" s="555"/>
      <c r="BO141" s="555"/>
      <c r="BP141" s="555"/>
      <c r="BQ141" s="555"/>
      <c r="BR141" s="555"/>
      <c r="BS141" s="555"/>
      <c r="BT141" s="555"/>
    </row>
    <row r="142" spans="5:72" ht="15.6">
      <c r="E142" s="1233"/>
      <c r="G142" s="3269"/>
      <c r="I142" s="3269"/>
      <c r="K142" s="3269"/>
      <c r="L142" s="3269"/>
      <c r="M142" s="3269"/>
      <c r="O142" s="3269"/>
      <c r="Q142" s="3269"/>
      <c r="S142" s="735"/>
      <c r="T142" s="735"/>
      <c r="U142" s="735"/>
      <c r="V142" s="735"/>
      <c r="W142" s="735"/>
      <c r="X142" s="735"/>
      <c r="Y142" s="735"/>
      <c r="Z142" s="735"/>
      <c r="AB142" s="550"/>
      <c r="AC142" s="555"/>
      <c r="AN142" s="931"/>
      <c r="AO142" s="931"/>
      <c r="AP142" s="555"/>
      <c r="BH142" s="555"/>
      <c r="BI142" s="555"/>
      <c r="BJ142" s="555"/>
      <c r="BK142" s="555"/>
      <c r="BL142" s="555"/>
      <c r="BM142" s="555"/>
      <c r="BN142" s="555"/>
      <c r="BO142" s="555"/>
      <c r="BP142" s="555"/>
      <c r="BQ142" s="555"/>
      <c r="BR142" s="555"/>
      <c r="BS142" s="555"/>
      <c r="BT142" s="555"/>
    </row>
    <row r="143" spans="5:72" ht="15.6">
      <c r="S143" s="735"/>
      <c r="T143" s="735"/>
      <c r="U143" s="735"/>
      <c r="V143" s="735"/>
      <c r="W143" s="735"/>
      <c r="X143" s="735"/>
      <c r="Y143" s="738" t="s">
        <v>1726</v>
      </c>
      <c r="Z143" s="738" t="s">
        <v>1231</v>
      </c>
      <c r="AB143" s="550"/>
      <c r="AC143" s="555"/>
      <c r="AN143" s="931"/>
      <c r="AO143" s="931"/>
      <c r="AP143" s="555"/>
      <c r="BH143" s="555"/>
      <c r="BI143" s="555"/>
      <c r="BJ143" s="555"/>
      <c r="BK143" s="555"/>
      <c r="BL143" s="555"/>
      <c r="BM143" s="555"/>
      <c r="BN143" s="555"/>
      <c r="BO143" s="555"/>
      <c r="BP143" s="555"/>
      <c r="BQ143" s="555"/>
      <c r="BR143" s="555"/>
      <c r="BS143" s="555"/>
      <c r="BT143" s="555"/>
    </row>
    <row r="144" spans="5:72">
      <c r="E144" s="1233"/>
      <c r="G144" s="3270"/>
      <c r="I144" s="3270"/>
      <c r="K144" s="3270"/>
      <c r="L144" s="3270"/>
      <c r="M144" s="3270"/>
      <c r="O144" s="3270"/>
      <c r="Q144" s="3270"/>
      <c r="S144" s="735"/>
      <c r="T144" s="735"/>
      <c r="U144" s="735"/>
      <c r="V144" s="735"/>
      <c r="W144" s="735"/>
      <c r="X144" s="735"/>
      <c r="Y144" s="739" t="s">
        <v>2048</v>
      </c>
      <c r="Z144" s="739" t="s">
        <v>2048</v>
      </c>
      <c r="AB144" s="555"/>
      <c r="AC144" s="555"/>
      <c r="AN144" s="931"/>
      <c r="AO144" s="931"/>
      <c r="AP144" s="555"/>
      <c r="BH144" s="555"/>
      <c r="BI144" s="555"/>
      <c r="BJ144" s="555"/>
      <c r="BK144" s="555"/>
      <c r="BL144" s="555"/>
      <c r="BM144" s="555"/>
      <c r="BN144" s="555"/>
      <c r="BO144" s="555"/>
      <c r="BP144" s="555"/>
      <c r="BQ144" s="555"/>
      <c r="BR144" s="555"/>
      <c r="BS144" s="555"/>
      <c r="BT144" s="555"/>
    </row>
    <row r="145" spans="18:72">
      <c r="S145" s="747" t="s">
        <v>1938</v>
      </c>
      <c r="T145" s="735"/>
      <c r="U145" s="735"/>
      <c r="V145" s="735"/>
      <c r="W145" s="735"/>
      <c r="X145" s="735"/>
      <c r="Y145" s="739" t="s">
        <v>1584</v>
      </c>
      <c r="Z145" s="739" t="s">
        <v>1584</v>
      </c>
      <c r="AB145" s="550"/>
      <c r="AC145" s="555"/>
      <c r="AN145" s="931"/>
      <c r="AO145" s="931"/>
      <c r="AP145" s="555"/>
      <c r="BH145" s="555"/>
      <c r="BI145" s="555"/>
      <c r="BJ145" s="555"/>
      <c r="BK145" s="555"/>
      <c r="BL145" s="555"/>
      <c r="BM145" s="555"/>
      <c r="BN145" s="555"/>
      <c r="BO145" s="555"/>
      <c r="BP145" s="555"/>
      <c r="BQ145" s="555"/>
      <c r="BR145" s="555"/>
      <c r="BS145" s="555"/>
      <c r="BT145" s="555"/>
    </row>
    <row r="146" spans="18:72">
      <c r="S146" s="740" t="s">
        <v>1939</v>
      </c>
      <c r="T146" s="741"/>
      <c r="U146" s="742" t="s">
        <v>1988</v>
      </c>
      <c r="V146" s="741"/>
      <c r="W146" s="741"/>
      <c r="X146" s="741"/>
      <c r="Y146" s="743" t="str">
        <f>PROPER(RIGHT(TESTYR,(LEN(TESTYR)-16)))</f>
        <v>November 30, 2018</v>
      </c>
      <c r="Z146" s="744" t="str">
        <f>PROPER(RIGHT(Forecast,(LEN(Forecast)-16)))</f>
        <v>March 31, 2020</v>
      </c>
      <c r="AB146" s="555"/>
      <c r="AC146" s="555"/>
      <c r="AN146" s="555"/>
      <c r="AO146" s="555"/>
      <c r="AP146" s="555"/>
      <c r="BH146" s="555"/>
      <c r="BI146" s="555"/>
      <c r="BJ146" s="555"/>
      <c r="BK146" s="555"/>
      <c r="BL146" s="555"/>
      <c r="BM146" s="555"/>
      <c r="BN146" s="555"/>
      <c r="BO146" s="555"/>
      <c r="BP146" s="555"/>
      <c r="BQ146" s="555"/>
      <c r="BR146" s="555"/>
      <c r="BS146" s="555"/>
      <c r="BT146" s="555"/>
    </row>
    <row r="147" spans="18:72">
      <c r="S147" s="745"/>
      <c r="T147" s="734"/>
      <c r="U147" s="746"/>
      <c r="V147" s="746"/>
      <c r="W147" s="746"/>
      <c r="X147" s="735"/>
      <c r="Y147" s="746"/>
      <c r="Z147" s="746"/>
      <c r="AB147" s="1326"/>
      <c r="AC147" s="555"/>
      <c r="AN147" s="931"/>
      <c r="AO147" s="931"/>
      <c r="AP147" s="555"/>
      <c r="BH147" s="555"/>
      <c r="BI147" s="555"/>
      <c r="BJ147" s="555"/>
      <c r="BK147" s="555"/>
      <c r="BL147" s="555"/>
      <c r="BM147" s="555"/>
      <c r="BN147" s="555"/>
      <c r="BO147" s="555"/>
      <c r="BP147" s="555"/>
      <c r="BQ147" s="555"/>
      <c r="BR147" s="555"/>
      <c r="BS147" s="555"/>
      <c r="BT147" s="555"/>
    </row>
    <row r="148" spans="18:72">
      <c r="S148" s="747">
        <v>1</v>
      </c>
      <c r="T148" s="735"/>
      <c r="U148" s="734" t="s">
        <v>153</v>
      </c>
      <c r="V148" s="735"/>
      <c r="W148" s="735"/>
      <c r="X148" s="586"/>
      <c r="Y148" s="586">
        <f>'SCH_C2.1 - Base Period'!$J$64-'SCH_C2.1 - Base Period'!$J$240-'SCH_C2.1 - Base Period'!$J$244-'SCH_C2.1 - Base Period'!$J$249-'SCH_C2.1 - Base Period'!$J$286</f>
        <v>16821405</v>
      </c>
      <c r="Z148" s="586">
        <f ca="1">'SCH_C2.1 - Forecasted Period'!$J$64-'SCH_C2.1 - Forecasted Period'!$J$240-'SCH_C2.1 - Forecasted Period'!$J$244-'SCH_C2.1 - Forecasted Period'!$J$249-'SCH_C2.1 - Forecasted Period'!$J$286</f>
        <v>14092888</v>
      </c>
      <c r="AB148" s="1313"/>
      <c r="AC148" s="555"/>
      <c r="AN148" s="555"/>
      <c r="AO148" s="555"/>
      <c r="AP148" s="555"/>
      <c r="BH148" s="555"/>
      <c r="BI148" s="555"/>
      <c r="BJ148" s="555"/>
      <c r="BK148" s="555"/>
      <c r="BL148" s="555"/>
      <c r="BM148" s="555"/>
      <c r="BN148" s="555"/>
      <c r="BO148" s="555"/>
      <c r="BP148" s="555"/>
      <c r="BQ148" s="555"/>
      <c r="BR148" s="555"/>
      <c r="BS148" s="555"/>
      <c r="BT148" s="555"/>
    </row>
    <row r="149" spans="18:72">
      <c r="S149" s="747">
        <f>1+S148</f>
        <v>2</v>
      </c>
      <c r="T149" s="735"/>
      <c r="U149" s="735"/>
      <c r="V149" s="735"/>
      <c r="W149" s="735"/>
      <c r="X149" s="586"/>
      <c r="Y149" s="586"/>
      <c r="Z149" s="586"/>
      <c r="AB149" s="555"/>
      <c r="AC149" s="555"/>
      <c r="AN149" s="555"/>
      <c r="AO149" s="555"/>
      <c r="AP149" s="555"/>
      <c r="BH149" s="555"/>
      <c r="BI149" s="555"/>
      <c r="BJ149" s="555"/>
      <c r="BK149" s="555"/>
      <c r="BL149" s="555"/>
      <c r="BM149" s="555"/>
      <c r="BN149" s="555"/>
      <c r="BO149" s="555"/>
      <c r="BP149" s="555"/>
      <c r="BQ149" s="555"/>
      <c r="BR149" s="555"/>
      <c r="BS149" s="555"/>
      <c r="BT149" s="555"/>
    </row>
    <row r="150" spans="18:72" ht="15.6">
      <c r="S150" s="747">
        <f t="shared" ref="S150:S179" si="11">1+S149</f>
        <v>3</v>
      </c>
      <c r="T150" s="735">
        <v>1107</v>
      </c>
      <c r="U150" s="734" t="s">
        <v>2051</v>
      </c>
      <c r="V150" s="735"/>
      <c r="W150" s="735"/>
      <c r="X150" s="586"/>
      <c r="Y150" s="1294">
        <f>AK199</f>
        <v>-5484283</v>
      </c>
      <c r="Z150" s="3442">
        <v>-7086922</v>
      </c>
      <c r="AB150" s="3579"/>
      <c r="AC150" s="555"/>
      <c r="AN150" s="555"/>
      <c r="AO150" s="555"/>
      <c r="AP150" s="555"/>
      <c r="BH150" s="555"/>
      <c r="BI150" s="555"/>
      <c r="BJ150" s="555"/>
      <c r="BK150" s="555"/>
      <c r="BL150" s="555"/>
      <c r="BM150" s="555"/>
      <c r="BN150" s="555"/>
      <c r="BO150" s="555"/>
      <c r="BP150" s="555"/>
      <c r="BQ150" s="555"/>
      <c r="BR150" s="555"/>
      <c r="BS150" s="555"/>
      <c r="BT150" s="555"/>
    </row>
    <row r="151" spans="18:72">
      <c r="R151" s="1233" t="s">
        <v>2217</v>
      </c>
      <c r="S151" s="747">
        <f t="shared" si="11"/>
        <v>4</v>
      </c>
      <c r="T151" s="735"/>
      <c r="U151" s="735"/>
      <c r="V151" s="735"/>
      <c r="W151" s="735"/>
      <c r="X151" s="586"/>
      <c r="Y151" s="1295"/>
      <c r="Z151" s="586"/>
      <c r="AB151" s="555"/>
      <c r="AC151" s="555"/>
      <c r="AN151" s="555"/>
      <c r="AO151" s="555"/>
      <c r="AP151" s="555"/>
      <c r="BH151" s="555"/>
      <c r="BI151" s="555"/>
      <c r="BJ151" s="555"/>
      <c r="BK151" s="555"/>
      <c r="BL151" s="555"/>
      <c r="BM151" s="555"/>
      <c r="BN151" s="555"/>
      <c r="BO151" s="555"/>
      <c r="BP151" s="555"/>
      <c r="BQ151" s="555"/>
      <c r="BR151" s="555"/>
      <c r="BS151" s="555"/>
      <c r="BT151" s="555"/>
    </row>
    <row r="152" spans="18:72">
      <c r="R152" s="1233" t="s">
        <v>2208</v>
      </c>
      <c r="S152" s="747">
        <f t="shared" si="11"/>
        <v>5</v>
      </c>
      <c r="T152" s="1187" t="s">
        <v>2259</v>
      </c>
      <c r="U152" s="1187" t="s">
        <v>2258</v>
      </c>
      <c r="V152" s="735"/>
      <c r="W152" s="735"/>
      <c r="X152" s="586"/>
      <c r="Y152" s="1295">
        <f>AK201+AK202+AK203</f>
        <v>100868</v>
      </c>
      <c r="Z152" s="1188">
        <v>99651</v>
      </c>
      <c r="AB152" s="555"/>
      <c r="AC152" s="555"/>
      <c r="AN152" s="555"/>
      <c r="AO152" s="555"/>
      <c r="AP152" s="555"/>
      <c r="BH152" s="555"/>
      <c r="BI152" s="555"/>
      <c r="BJ152" s="555"/>
      <c r="BK152" s="555"/>
      <c r="BL152" s="555"/>
      <c r="BM152" s="555"/>
      <c r="BN152" s="555"/>
      <c r="BO152" s="555"/>
      <c r="BP152" s="555"/>
      <c r="BQ152" s="555"/>
      <c r="BR152" s="555"/>
      <c r="BS152" s="555"/>
      <c r="BT152" s="555"/>
    </row>
    <row r="153" spans="18:72">
      <c r="S153" s="747">
        <f t="shared" si="11"/>
        <v>6</v>
      </c>
      <c r="T153" s="735"/>
      <c r="U153" s="735"/>
      <c r="V153" s="735"/>
      <c r="W153" s="735"/>
      <c r="X153" s="586"/>
      <c r="Y153" s="1295"/>
      <c r="Z153" s="586"/>
      <c r="AB153" s="555"/>
      <c r="AC153" s="555"/>
      <c r="AN153" s="555"/>
      <c r="AO153" s="555"/>
      <c r="AP153" s="555"/>
      <c r="BH153" s="555"/>
      <c r="BI153" s="555"/>
      <c r="BJ153" s="555"/>
      <c r="BK153" s="555"/>
      <c r="BL153" s="555"/>
      <c r="BM153" s="555"/>
      <c r="BN153" s="555"/>
      <c r="BO153" s="555"/>
      <c r="BP153" s="555"/>
      <c r="BQ153" s="555"/>
      <c r="BR153" s="555"/>
      <c r="BS153" s="555"/>
      <c r="BT153" s="555"/>
    </row>
    <row r="154" spans="18:72">
      <c r="S154" s="747">
        <f t="shared" si="11"/>
        <v>7</v>
      </c>
      <c r="T154" s="735"/>
      <c r="U154" s="1187" t="s">
        <v>2885</v>
      </c>
      <c r="V154" s="735"/>
      <c r="W154" s="735"/>
      <c r="X154" s="586"/>
      <c r="Y154" s="1295"/>
      <c r="Z154" s="586"/>
      <c r="AB154" s="555"/>
      <c r="AC154" s="555"/>
      <c r="AN154" s="555"/>
      <c r="AO154" s="555"/>
      <c r="AP154" s="555"/>
      <c r="BH154" s="555"/>
      <c r="BI154" s="555"/>
      <c r="BJ154" s="555"/>
      <c r="BK154" s="555"/>
      <c r="BL154" s="555"/>
      <c r="BM154" s="555"/>
      <c r="BN154" s="555"/>
      <c r="BO154" s="555"/>
      <c r="BP154" s="555"/>
      <c r="BQ154" s="555"/>
      <c r="BR154" s="555"/>
      <c r="BS154" s="555"/>
      <c r="BT154" s="555"/>
    </row>
    <row r="155" spans="18:72">
      <c r="S155" s="747">
        <f t="shared" si="11"/>
        <v>8</v>
      </c>
      <c r="T155" s="1187" t="s">
        <v>2199</v>
      </c>
      <c r="U155" s="734" t="s">
        <v>2050</v>
      </c>
      <c r="V155" s="735"/>
      <c r="W155" s="735"/>
      <c r="X155" s="586"/>
      <c r="Y155" s="1295">
        <f>AK206</f>
        <v>14395737</v>
      </c>
      <c r="Z155" s="1294">
        <f ca="1">'SCH_C2.1 - Forecasted Period'!J249</f>
        <v>15699632</v>
      </c>
      <c r="AB155" s="931"/>
      <c r="AC155" s="555"/>
      <c r="AN155" s="555"/>
      <c r="AO155" s="555"/>
      <c r="AP155" s="555"/>
      <c r="BH155" s="555"/>
      <c r="BI155" s="555"/>
      <c r="BJ155" s="555"/>
      <c r="BK155" s="555"/>
      <c r="BL155" s="555"/>
      <c r="BM155" s="555"/>
      <c r="BN155" s="555"/>
      <c r="BO155" s="555"/>
      <c r="BP155" s="555"/>
      <c r="BQ155" s="555"/>
      <c r="BR155" s="555"/>
      <c r="BS155" s="555"/>
      <c r="BT155" s="555"/>
    </row>
    <row r="156" spans="18:72">
      <c r="S156" s="747">
        <f t="shared" si="11"/>
        <v>9</v>
      </c>
      <c r="T156" s="1187" t="s">
        <v>2202</v>
      </c>
      <c r="U156" s="734" t="s">
        <v>918</v>
      </c>
      <c r="V156" s="735"/>
      <c r="W156" s="735"/>
      <c r="X156" s="586"/>
      <c r="Y156" s="1294">
        <f>AK209</f>
        <v>-14429319</v>
      </c>
      <c r="Z156" s="748">
        <v>-21309000</v>
      </c>
      <c r="AB156" s="931"/>
      <c r="AC156" s="555"/>
      <c r="AN156" s="555"/>
      <c r="AO156" s="555"/>
      <c r="AP156" s="555"/>
      <c r="BH156" s="555"/>
      <c r="BI156" s="555"/>
      <c r="BJ156" s="555"/>
      <c r="BK156" s="555"/>
      <c r="BL156" s="555"/>
      <c r="BM156" s="555"/>
      <c r="BN156" s="555"/>
      <c r="BO156" s="555"/>
      <c r="BP156" s="555"/>
      <c r="BQ156" s="555"/>
      <c r="BR156" s="555"/>
      <c r="BS156" s="555"/>
      <c r="BT156" s="555"/>
    </row>
    <row r="157" spans="18:72">
      <c r="S157" s="747">
        <f t="shared" si="11"/>
        <v>10</v>
      </c>
      <c r="T157" s="1187" t="s">
        <v>2205</v>
      </c>
      <c r="U157" s="1224" t="s">
        <v>2955</v>
      </c>
      <c r="V157" s="735"/>
      <c r="W157" s="735"/>
      <c r="X157" s="586"/>
      <c r="Y157" s="1294">
        <f>AK228</f>
        <v>21927</v>
      </c>
      <c r="Z157" s="748">
        <v>80549</v>
      </c>
      <c r="AB157" s="931"/>
      <c r="AC157" s="555"/>
      <c r="AN157" s="555"/>
      <c r="AO157" s="555"/>
      <c r="AP157" s="555"/>
      <c r="BH157" s="555"/>
      <c r="BI157" s="555"/>
      <c r="BJ157" s="555"/>
      <c r="BK157" s="555"/>
      <c r="BL157" s="555"/>
      <c r="BM157" s="555"/>
      <c r="BN157" s="555"/>
      <c r="BO157" s="555"/>
      <c r="BP157" s="555"/>
      <c r="BQ157" s="555"/>
      <c r="BR157" s="555"/>
      <c r="BS157" s="555"/>
      <c r="BT157" s="555"/>
    </row>
    <row r="158" spans="18:72">
      <c r="S158" s="747">
        <f t="shared" si="11"/>
        <v>11</v>
      </c>
      <c r="T158" s="1019" t="s">
        <v>967</v>
      </c>
      <c r="U158" s="734" t="s">
        <v>1559</v>
      </c>
      <c r="V158" s="735"/>
      <c r="W158" s="735"/>
      <c r="X158" s="586"/>
      <c r="Y158" s="1296">
        <f>SUM($AK$204:$AK$239)-$AK$206-$AK$209-Y157</f>
        <v>46169</v>
      </c>
      <c r="Z158" s="1327">
        <f>-154000-80549</f>
        <v>-234549</v>
      </c>
      <c r="AB158" s="931"/>
      <c r="AC158" s="555"/>
      <c r="AN158" s="555"/>
      <c r="AO158" s="555"/>
      <c r="AP158" s="555"/>
      <c r="BH158" s="555"/>
      <c r="BI158" s="555"/>
      <c r="BJ158" s="555"/>
      <c r="BK158" s="555"/>
      <c r="BL158" s="555"/>
      <c r="BM158" s="555"/>
      <c r="BN158" s="555"/>
      <c r="BO158" s="555"/>
      <c r="BP158" s="555"/>
      <c r="BQ158" s="555"/>
      <c r="BR158" s="555"/>
      <c r="BS158" s="555"/>
      <c r="BT158" s="555"/>
    </row>
    <row r="159" spans="18:72">
      <c r="S159" s="747">
        <f t="shared" si="11"/>
        <v>12</v>
      </c>
      <c r="T159" s="735"/>
      <c r="U159" s="735"/>
      <c r="V159" s="735"/>
      <c r="W159" s="735"/>
      <c r="X159" s="735"/>
      <c r="Y159" s="750"/>
      <c r="Z159" s="750"/>
      <c r="AB159" s="931"/>
      <c r="AC159" s="555"/>
      <c r="AN159" s="555"/>
      <c r="AO159" s="555"/>
      <c r="AP159" s="555"/>
    </row>
    <row r="160" spans="18:72">
      <c r="S160" s="747">
        <f t="shared" si="11"/>
        <v>13</v>
      </c>
      <c r="T160" s="735"/>
      <c r="U160" s="735"/>
      <c r="V160" s="735"/>
      <c r="W160" s="735"/>
      <c r="X160" s="735"/>
      <c r="Y160" s="750"/>
      <c r="Z160" s="750"/>
      <c r="AB160" s="555"/>
      <c r="AC160" s="555"/>
      <c r="AN160" s="555"/>
      <c r="AO160" s="555"/>
      <c r="AP160" s="555"/>
    </row>
    <row r="161" spans="19:65">
      <c r="S161" s="747">
        <f t="shared" si="11"/>
        <v>14</v>
      </c>
      <c r="T161" s="735"/>
      <c r="U161" s="734" t="s">
        <v>544</v>
      </c>
      <c r="V161" s="735"/>
      <c r="W161" s="735"/>
      <c r="X161" s="586"/>
      <c r="Y161" s="751">
        <f>SUM(Y148:Y158)</f>
        <v>11472504</v>
      </c>
      <c r="Z161" s="751">
        <f ca="1">SUM(Z148:Z158)</f>
        <v>1342249</v>
      </c>
      <c r="AB161" s="555"/>
      <c r="AC161" s="555"/>
      <c r="AN161" s="555"/>
      <c r="AO161" s="555"/>
      <c r="AP161" s="555"/>
    </row>
    <row r="162" spans="19:65">
      <c r="S162" s="747">
        <f t="shared" si="11"/>
        <v>15</v>
      </c>
      <c r="T162" s="735"/>
      <c r="U162" s="735"/>
      <c r="V162" s="735"/>
      <c r="W162" s="735"/>
      <c r="X162" s="586"/>
      <c r="Y162" s="586"/>
      <c r="Z162" s="586"/>
      <c r="AB162" s="556"/>
      <c r="AC162" s="555"/>
      <c r="AN162" s="555"/>
      <c r="AO162" s="555"/>
      <c r="AP162" s="555"/>
    </row>
    <row r="163" spans="19:65">
      <c r="S163" s="747">
        <f t="shared" si="11"/>
        <v>16</v>
      </c>
      <c r="T163" s="735"/>
      <c r="U163" s="734" t="s">
        <v>545</v>
      </c>
      <c r="V163" s="735"/>
      <c r="W163" s="735"/>
      <c r="X163" s="735"/>
      <c r="Y163" s="749"/>
      <c r="Z163" s="748"/>
      <c r="AB163" s="556"/>
      <c r="AC163" s="555"/>
      <c r="AN163" s="555"/>
      <c r="AO163" s="555"/>
      <c r="AP163" s="555"/>
    </row>
    <row r="164" spans="19:65">
      <c r="S164" s="747">
        <f t="shared" si="11"/>
        <v>17</v>
      </c>
      <c r="T164" s="735"/>
      <c r="U164" s="1224" t="s">
        <v>2281</v>
      </c>
      <c r="V164" s="735"/>
      <c r="W164" s="735"/>
      <c r="X164" s="735"/>
      <c r="Y164" s="1293">
        <f>AK246</f>
        <v>-9908033</v>
      </c>
      <c r="Z164" s="1327">
        <v>-5681089</v>
      </c>
      <c r="AB164" s="556"/>
      <c r="AC164" s="555"/>
      <c r="AN164" s="555"/>
      <c r="AO164" s="555"/>
      <c r="AP164" s="555"/>
    </row>
    <row r="165" spans="19:65">
      <c r="S165" s="747">
        <f t="shared" si="11"/>
        <v>18</v>
      </c>
      <c r="T165" s="735"/>
      <c r="U165" s="735"/>
      <c r="V165" s="735"/>
      <c r="W165" s="735"/>
      <c r="X165" s="735"/>
      <c r="Y165" s="750"/>
      <c r="Z165" s="750"/>
      <c r="AB165" s="556"/>
      <c r="AC165" s="555"/>
      <c r="AN165" s="555"/>
      <c r="AO165" s="555"/>
      <c r="AP165" s="555"/>
    </row>
    <row r="166" spans="19:65">
      <c r="S166" s="747">
        <f t="shared" si="11"/>
        <v>19</v>
      </c>
      <c r="T166" s="735"/>
      <c r="U166" s="1187" t="s">
        <v>2887</v>
      </c>
      <c r="V166" s="735"/>
      <c r="W166" s="735"/>
      <c r="X166" s="735"/>
      <c r="Y166" s="750">
        <f>Y161+Y164</f>
        <v>1564471</v>
      </c>
      <c r="Z166" s="750">
        <f ca="1">Z161+Z164</f>
        <v>-4338840</v>
      </c>
      <c r="AB166" s="556"/>
      <c r="AC166" s="555"/>
      <c r="AN166" s="555"/>
      <c r="AO166" s="555"/>
      <c r="AP166" s="555"/>
    </row>
    <row r="167" spans="19:65">
      <c r="S167" s="747">
        <f t="shared" si="11"/>
        <v>20</v>
      </c>
      <c r="T167" s="735"/>
      <c r="U167" s="735"/>
      <c r="V167" s="735"/>
      <c r="W167" s="735"/>
      <c r="X167" s="735"/>
      <c r="Y167" s="750"/>
      <c r="Z167" s="750"/>
      <c r="AB167" s="556"/>
      <c r="AC167" s="555"/>
      <c r="AN167" s="555"/>
      <c r="AO167" s="555"/>
      <c r="AP167" s="555"/>
    </row>
    <row r="168" spans="19:65">
      <c r="S168" s="747">
        <f t="shared" si="11"/>
        <v>21</v>
      </c>
      <c r="T168" s="735"/>
      <c r="U168" s="1187" t="s">
        <v>2886</v>
      </c>
      <c r="V168" s="735"/>
      <c r="W168" s="735"/>
      <c r="X168" s="735"/>
      <c r="Y168" s="3127">
        <f>AK250</f>
        <v>0.79646399999999995</v>
      </c>
      <c r="Z168" s="3127">
        <v>0.99370000000000003</v>
      </c>
      <c r="AB168" s="556"/>
      <c r="AC168" s="555"/>
      <c r="AN168" s="555"/>
      <c r="AO168" s="555"/>
      <c r="AP168" s="555"/>
    </row>
    <row r="169" spans="19:65">
      <c r="S169" s="747">
        <f t="shared" si="11"/>
        <v>22</v>
      </c>
      <c r="T169" s="735"/>
      <c r="U169" s="735"/>
      <c r="V169" s="735"/>
      <c r="W169" s="735"/>
      <c r="X169" s="735"/>
      <c r="Y169" s="750"/>
      <c r="Z169" s="750"/>
      <c r="AB169" s="556"/>
      <c r="AC169" s="555"/>
      <c r="AN169" s="555"/>
      <c r="AO169" s="555"/>
      <c r="AP169" s="555"/>
    </row>
    <row r="170" spans="19:65" ht="15.6" thickBot="1">
      <c r="S170" s="747">
        <f t="shared" si="11"/>
        <v>23</v>
      </c>
      <c r="T170" s="735"/>
      <c r="U170" s="734" t="s">
        <v>2142</v>
      </c>
      <c r="V170" s="735"/>
      <c r="W170" s="735"/>
      <c r="X170" s="735"/>
      <c r="Y170" s="752">
        <f>AK252</f>
        <v>1246045</v>
      </c>
      <c r="Z170" s="752">
        <f ca="1">ROUND(Z166*Z168,0)</f>
        <v>-4311505</v>
      </c>
      <c r="AB170" s="556"/>
      <c r="AC170" s="555"/>
      <c r="AN170" s="555"/>
      <c r="AO170" s="555"/>
      <c r="AP170" s="555"/>
    </row>
    <row r="171" spans="19:65" ht="15.6" thickTop="1">
      <c r="S171" s="747">
        <f t="shared" si="11"/>
        <v>24</v>
      </c>
      <c r="T171" s="735"/>
      <c r="U171" s="735"/>
      <c r="V171" s="735"/>
      <c r="W171" s="735"/>
      <c r="X171" s="735"/>
      <c r="Y171" s="586"/>
      <c r="Z171" s="586"/>
      <c r="AB171" s="557"/>
      <c r="AC171" s="555"/>
      <c r="AN171" s="555"/>
      <c r="AO171" s="555"/>
      <c r="AP171" s="555"/>
    </row>
    <row r="172" spans="19:65" ht="15.6" thickBot="1">
      <c r="S172" s="747">
        <f t="shared" si="11"/>
        <v>25</v>
      </c>
      <c r="T172" s="735"/>
      <c r="U172" s="734" t="str">
        <f>"Kentucky Income Tax Expense  @ "&amp;TEXT(LOGO!C22,"0.000%")</f>
        <v>Kentucky Income Tax Expense  @ 5.000%</v>
      </c>
      <c r="V172" s="735"/>
      <c r="W172" s="753"/>
      <c r="X172" s="735"/>
      <c r="Y172" s="752">
        <f>AK254</f>
        <v>89034</v>
      </c>
      <c r="Z172" s="752">
        <f ca="1">ROUND((Z170)*SIT,0)</f>
        <v>-215575</v>
      </c>
      <c r="AB172" s="557"/>
      <c r="AC172" s="555"/>
      <c r="AN172" s="555"/>
      <c r="AO172" s="555"/>
      <c r="AP172" s="555"/>
    </row>
    <row r="173" spans="19:65" ht="15.6" thickTop="1">
      <c r="S173" s="747">
        <f t="shared" si="11"/>
        <v>26</v>
      </c>
      <c r="T173" s="735"/>
      <c r="U173" s="735"/>
      <c r="V173" s="735"/>
      <c r="W173" s="735"/>
      <c r="X173" s="750"/>
      <c r="Y173" s="586" t="str">
        <f>IF(Y172&lt;&gt;'SCH_C2.1 - Base Period'!J304,"CHECK TAXES","")</f>
        <v/>
      </c>
      <c r="Z173" s="586" t="str">
        <f ca="1">IF(Z172&lt;&gt;'SCH_C2.1 - Forecasted Period'!J304,"CHECK TAXES","")</f>
        <v/>
      </c>
      <c r="AB173" s="555"/>
      <c r="AC173" s="555"/>
      <c r="AN173" s="555"/>
      <c r="AO173" s="555"/>
      <c r="AP173" s="555"/>
    </row>
    <row r="174" spans="19:65">
      <c r="S174" s="747">
        <f t="shared" si="11"/>
        <v>27</v>
      </c>
      <c r="T174" s="735"/>
      <c r="U174" s="1224" t="s">
        <v>544</v>
      </c>
      <c r="V174" s="735"/>
      <c r="W174" s="735"/>
      <c r="X174" s="586"/>
      <c r="Y174" s="586">
        <f>Y161</f>
        <v>11472504</v>
      </c>
      <c r="Z174" s="586">
        <f ca="1">Z161</f>
        <v>1342249</v>
      </c>
      <c r="AB174" s="550"/>
      <c r="AC174" s="555"/>
      <c r="AN174" s="555"/>
      <c r="AO174" s="555"/>
      <c r="AP174" s="555"/>
    </row>
    <row r="175" spans="19:65">
      <c r="S175" s="747">
        <f t="shared" si="11"/>
        <v>28</v>
      </c>
      <c r="T175" s="735"/>
      <c r="U175" s="734" t="s">
        <v>2143</v>
      </c>
      <c r="V175" s="735"/>
      <c r="W175" s="735"/>
      <c r="X175" s="586"/>
      <c r="Y175" s="754">
        <f>Y172</f>
        <v>89034</v>
      </c>
      <c r="Z175" s="754">
        <f ca="1">Z172</f>
        <v>-215575</v>
      </c>
      <c r="AB175" s="550"/>
      <c r="AC175" s="555"/>
      <c r="AN175" s="555"/>
      <c r="AO175" s="555"/>
      <c r="AP175" s="555"/>
    </row>
    <row r="176" spans="19:65">
      <c r="S176" s="747">
        <f t="shared" si="11"/>
        <v>29</v>
      </c>
      <c r="T176" s="735"/>
      <c r="U176" s="735"/>
      <c r="V176" s="735"/>
      <c r="W176" s="735"/>
      <c r="X176" s="586"/>
      <c r="Y176" s="586"/>
      <c r="Z176" s="586"/>
      <c r="AB176" s="550"/>
      <c r="AC176" s="555"/>
      <c r="AN176" s="555"/>
      <c r="AO176" s="555"/>
      <c r="AP176" s="555"/>
      <c r="BI176" s="1328"/>
      <c r="BM176" s="1302"/>
    </row>
    <row r="177" spans="19:65" ht="15.6" thickBot="1">
      <c r="S177" s="747">
        <f t="shared" si="11"/>
        <v>30</v>
      </c>
      <c r="T177" s="735"/>
      <c r="U177" s="734" t="s">
        <v>2034</v>
      </c>
      <c r="V177" s="735"/>
      <c r="W177" s="735"/>
      <c r="X177" s="586"/>
      <c r="Y177" s="752">
        <f>Y161-Y175</f>
        <v>11383470</v>
      </c>
      <c r="Z177" s="752">
        <f ca="1">Z161-Z175</f>
        <v>1557824</v>
      </c>
      <c r="AB177" s="555"/>
      <c r="AC177" s="555"/>
      <c r="AN177" s="555"/>
      <c r="AO177" s="555"/>
      <c r="AP177" s="555"/>
      <c r="BI177" s="1328"/>
      <c r="BM177" s="1302"/>
    </row>
    <row r="178" spans="19:65" ht="15.6" thickTop="1">
      <c r="S178" s="747">
        <f t="shared" si="11"/>
        <v>31</v>
      </c>
      <c r="T178" s="735"/>
      <c r="U178" s="735"/>
      <c r="V178" s="735"/>
      <c r="W178" s="735"/>
      <c r="X178" s="750"/>
      <c r="Y178" s="586"/>
      <c r="Z178" s="586"/>
      <c r="AB178" s="931"/>
      <c r="AC178" s="555"/>
      <c r="AN178" s="555"/>
      <c r="AO178" s="555"/>
      <c r="AP178" s="555"/>
      <c r="BI178" s="1328"/>
    </row>
    <row r="179" spans="19:65" ht="15.6" thickBot="1">
      <c r="S179" s="747">
        <f t="shared" si="11"/>
        <v>32</v>
      </c>
      <c r="T179" s="755"/>
      <c r="U179" s="734" t="str">
        <f>"Federal Income Tax Before Credits @ "&amp;TEXT(LOGO!C23,"00%")</f>
        <v>Federal Income Tax Before Credits @ 21%</v>
      </c>
      <c r="V179" s="735"/>
      <c r="W179" s="735"/>
      <c r="X179" s="586"/>
      <c r="Y179" s="1477">
        <f>AK261</f>
        <v>3692225</v>
      </c>
      <c r="Z179" s="1477">
        <f ca="1">ROUND((Z177)*FIT,0)</f>
        <v>327143</v>
      </c>
      <c r="AB179" s="1313"/>
      <c r="AC179" s="555"/>
      <c r="AN179" s="555"/>
      <c r="AO179" s="555"/>
      <c r="AP179" s="555"/>
      <c r="BI179" s="1328"/>
      <c r="BM179" s="1302"/>
    </row>
    <row r="180" spans="19:65" ht="15.6" thickTop="1">
      <c r="AB180" s="555"/>
      <c r="AC180" s="555"/>
      <c r="AN180" s="555"/>
      <c r="AO180" s="555"/>
      <c r="AP180" s="555"/>
      <c r="BI180" s="1328"/>
      <c r="BM180" s="1302"/>
    </row>
    <row r="181" spans="19:65">
      <c r="Y181" s="834"/>
      <c r="AB181" s="931"/>
      <c r="AC181" s="555"/>
      <c r="AN181" s="555"/>
      <c r="AO181" s="555"/>
      <c r="AP181" s="555"/>
      <c r="BI181" s="1328"/>
      <c r="BM181" s="1302"/>
    </row>
    <row r="182" spans="19:65">
      <c r="AB182" s="931"/>
      <c r="AC182" s="555"/>
      <c r="AD182" s="555"/>
      <c r="AE182" s="555"/>
      <c r="AF182" s="555"/>
      <c r="AG182" s="555"/>
      <c r="AH182" s="555"/>
      <c r="AI182" s="555"/>
      <c r="AJ182" s="555"/>
      <c r="AK182" s="555"/>
      <c r="AL182" s="555"/>
      <c r="AM182" s="555"/>
      <c r="AN182" s="555"/>
      <c r="AO182" s="555"/>
      <c r="AP182" s="555"/>
      <c r="BI182" s="1328"/>
      <c r="BM182" s="1302"/>
    </row>
    <row r="183" spans="19:65">
      <c r="AB183" s="931"/>
      <c r="AC183" s="555"/>
      <c r="AD183" s="555"/>
      <c r="AE183" s="555"/>
      <c r="AF183" s="555"/>
      <c r="AG183" s="555"/>
      <c r="AH183" s="555"/>
      <c r="AI183" s="555"/>
      <c r="AJ183" s="555"/>
      <c r="AK183" s="555"/>
      <c r="AL183" s="555"/>
      <c r="AM183" s="555"/>
      <c r="AN183" s="555"/>
      <c r="AO183" s="555"/>
      <c r="AP183" s="555"/>
      <c r="BI183" s="1328"/>
      <c r="BM183" s="1302"/>
    </row>
    <row r="184" spans="19:65">
      <c r="AB184" s="734" t="str">
        <f>COMPANY</f>
        <v>DUKE ENERGY KENTUCKY, INC.</v>
      </c>
      <c r="AC184" s="735"/>
      <c r="AD184" s="735"/>
      <c r="AE184" s="774"/>
      <c r="AF184" s="774"/>
      <c r="AG184" s="774"/>
      <c r="AH184" s="774"/>
      <c r="AI184" s="774"/>
      <c r="AJ184" s="734" t="s">
        <v>441</v>
      </c>
      <c r="AK184" s="775"/>
      <c r="AL184" s="555"/>
      <c r="AM184" s="555"/>
      <c r="AN184" s="555"/>
      <c r="AO184" s="555"/>
      <c r="AP184" s="555"/>
      <c r="BI184" s="1328"/>
    </row>
    <row r="185" spans="19:65">
      <c r="AB185" s="734" t="str">
        <f>CASE</f>
        <v>CASE NO. 2018-00261</v>
      </c>
      <c r="AC185" s="735"/>
      <c r="AD185" s="735"/>
      <c r="AE185" s="774"/>
      <c r="AF185" s="774"/>
      <c r="AG185" s="774"/>
      <c r="AH185" s="774"/>
      <c r="AI185" s="774"/>
      <c r="AJ185" s="735" t="s">
        <v>566</v>
      </c>
      <c r="AK185" s="775"/>
      <c r="AL185" s="555"/>
      <c r="AM185" s="555"/>
      <c r="AN185" s="555"/>
      <c r="AO185" s="555"/>
      <c r="AP185" s="555"/>
      <c r="BI185" s="1328"/>
      <c r="BM185" s="1302"/>
    </row>
    <row r="186" spans="19:65">
      <c r="AB186" s="734" t="str">
        <f>DEPT</f>
        <v>GAS DEPARTMENT</v>
      </c>
      <c r="AC186" s="735"/>
      <c r="AD186" s="735"/>
      <c r="AE186" s="774"/>
      <c r="AF186" s="774"/>
      <c r="AG186" s="774"/>
      <c r="AH186" s="774"/>
      <c r="AI186" s="774"/>
      <c r="AJ186" s="734" t="str">
        <f>_WIT3</f>
        <v>J. R. PANIZZA</v>
      </c>
      <c r="AK186" s="775"/>
      <c r="AL186" s="555"/>
      <c r="AM186" s="555"/>
      <c r="AN186" s="555"/>
      <c r="AO186" s="555"/>
      <c r="AP186" s="555"/>
      <c r="BI186" s="1328"/>
    </row>
    <row r="187" spans="19:65">
      <c r="AB187" s="734" t="s">
        <v>2047</v>
      </c>
      <c r="AC187" s="735"/>
      <c r="AD187" s="735"/>
      <c r="AE187" s="774"/>
      <c r="AF187" s="774"/>
      <c r="AG187" s="774"/>
      <c r="AH187" s="774"/>
      <c r="AI187" s="774"/>
      <c r="AJ187" s="774"/>
      <c r="AK187" s="775"/>
      <c r="AL187" s="555"/>
      <c r="AM187" s="555"/>
      <c r="AN187" s="555"/>
      <c r="AO187" s="555"/>
      <c r="AP187" s="555"/>
      <c r="BI187" s="1328"/>
    </row>
    <row r="188" spans="19:65">
      <c r="AB188" s="735"/>
      <c r="AC188" s="735"/>
      <c r="AD188" s="735"/>
      <c r="AE188" s="774"/>
      <c r="AF188" s="774"/>
      <c r="AG188" s="774"/>
      <c r="AH188" s="774"/>
      <c r="AI188" s="774"/>
      <c r="AJ188" s="774"/>
      <c r="AK188" s="775"/>
      <c r="AL188" s="555"/>
      <c r="AM188" s="555"/>
      <c r="AN188" s="555"/>
      <c r="AO188" s="555"/>
      <c r="AP188" s="555"/>
      <c r="BI188" s="1328"/>
      <c r="BM188" s="1302"/>
    </row>
    <row r="189" spans="19:65">
      <c r="AB189" s="735"/>
      <c r="AC189" s="735"/>
      <c r="AD189" s="735"/>
      <c r="AE189" s="774"/>
      <c r="AF189" s="774"/>
      <c r="AG189" s="774"/>
      <c r="AH189" s="774"/>
      <c r="AI189" s="774"/>
      <c r="AJ189" s="774"/>
      <c r="AK189" s="775"/>
      <c r="AL189" s="555"/>
      <c r="AM189" s="555"/>
      <c r="AN189" s="555"/>
      <c r="AO189" s="555"/>
      <c r="AP189" s="555"/>
      <c r="BI189" s="1328"/>
      <c r="BM189" s="1302"/>
    </row>
    <row r="190" spans="19:65">
      <c r="AB190" s="735"/>
      <c r="AC190" s="735"/>
      <c r="AD190" s="735"/>
      <c r="AE190" s="774"/>
      <c r="AF190" s="774"/>
      <c r="AG190" s="774"/>
      <c r="AH190" s="774"/>
      <c r="AI190" s="774"/>
      <c r="AJ190" s="774"/>
      <c r="AK190" s="775"/>
      <c r="AL190" s="555"/>
      <c r="AM190" s="555"/>
      <c r="AN190" s="555"/>
      <c r="AO190" s="555"/>
      <c r="AP190" s="555"/>
      <c r="BI190" s="1328"/>
      <c r="BM190" s="1302"/>
    </row>
    <row r="191" spans="19:65">
      <c r="AB191" s="735"/>
      <c r="AC191" s="735"/>
      <c r="AD191" s="735"/>
      <c r="AE191" s="774"/>
      <c r="AF191" s="774"/>
      <c r="AG191" s="774"/>
      <c r="AH191" s="774"/>
      <c r="AI191" s="774"/>
      <c r="AJ191" s="774"/>
      <c r="AK191" s="775"/>
      <c r="AL191" s="555"/>
      <c r="AM191" s="555"/>
      <c r="AN191" s="555"/>
      <c r="AO191" s="555"/>
      <c r="AP191" s="555"/>
      <c r="BI191" s="1328"/>
    </row>
    <row r="192" spans="19:65">
      <c r="AB192" s="735"/>
      <c r="AC192" s="735"/>
      <c r="AD192" s="735"/>
      <c r="AE192" s="774"/>
      <c r="AF192" s="774"/>
      <c r="AG192" s="774"/>
      <c r="AH192" s="774"/>
      <c r="AI192" s="774"/>
      <c r="AJ192" s="774"/>
      <c r="AK192" s="775"/>
      <c r="AL192" s="555"/>
      <c r="AM192" s="555"/>
      <c r="AN192" s="555"/>
      <c r="AO192" s="555"/>
      <c r="AP192" s="555"/>
      <c r="BI192" s="1328"/>
    </row>
    <row r="193" spans="28:65">
      <c r="AB193" s="735"/>
      <c r="AC193" s="735"/>
      <c r="AD193" s="735"/>
      <c r="AE193" s="918" t="s">
        <v>353</v>
      </c>
      <c r="AF193" s="918"/>
      <c r="AG193" s="918"/>
      <c r="AH193" s="918"/>
      <c r="AI193" s="919"/>
      <c r="AJ193" s="918" t="s">
        <v>354</v>
      </c>
      <c r="AK193" s="775"/>
      <c r="AL193" s="555"/>
      <c r="AM193" s="555"/>
      <c r="AN193" s="555"/>
      <c r="AO193" s="555"/>
      <c r="AP193" s="555"/>
      <c r="BI193" s="1328"/>
      <c r="BM193" s="1302"/>
    </row>
    <row r="194" spans="28:65">
      <c r="AB194" s="747" t="s">
        <v>1938</v>
      </c>
      <c r="AC194" s="735"/>
      <c r="AD194" s="735"/>
      <c r="AE194" s="3443" t="s">
        <v>2789</v>
      </c>
      <c r="AF194" s="3444" t="s">
        <v>2049</v>
      </c>
      <c r="AG194" s="3444" t="s">
        <v>2834</v>
      </c>
      <c r="AH194" s="3443" t="s">
        <v>2788</v>
      </c>
      <c r="AI194" s="3444"/>
      <c r="AJ194" s="3445" t="s">
        <v>2311</v>
      </c>
      <c r="AK194" s="3446" t="s">
        <v>2049</v>
      </c>
      <c r="AL194" s="555"/>
      <c r="AM194" s="555"/>
      <c r="AN194" s="555"/>
      <c r="AO194" s="555"/>
      <c r="AP194" s="555"/>
      <c r="BI194" s="1328"/>
      <c r="BM194" s="1302"/>
    </row>
    <row r="195" spans="28:65">
      <c r="AB195" s="740" t="s">
        <v>1939</v>
      </c>
      <c r="AC195" s="741"/>
      <c r="AD195" s="742" t="s">
        <v>1988</v>
      </c>
      <c r="AE195" s="3447" t="s">
        <v>2790</v>
      </c>
      <c r="AF195" s="3448" t="s">
        <v>2535</v>
      </c>
      <c r="AG195" s="3448" t="s">
        <v>2535</v>
      </c>
      <c r="AH195" s="3448" t="s">
        <v>2529</v>
      </c>
      <c r="AI195" s="3448"/>
      <c r="AJ195" s="3448" t="s">
        <v>2787</v>
      </c>
      <c r="AK195" s="3449" t="s">
        <v>2787</v>
      </c>
      <c r="AL195" s="555"/>
      <c r="AM195" s="555"/>
      <c r="AN195" s="555"/>
      <c r="AO195" s="555"/>
      <c r="AP195" s="555"/>
      <c r="BI195" s="1328"/>
      <c r="BM195" s="1302"/>
    </row>
    <row r="196" spans="28:65">
      <c r="AB196" s="751"/>
      <c r="AC196" s="751"/>
      <c r="AD196" s="751"/>
      <c r="AE196" s="774"/>
      <c r="AF196" s="774"/>
      <c r="AG196" s="774"/>
      <c r="AH196" s="774"/>
      <c r="AI196" s="774"/>
      <c r="AJ196" s="774"/>
      <c r="AK196" s="775"/>
      <c r="AL196" s="555"/>
      <c r="AM196" s="555"/>
      <c r="AN196" s="555"/>
      <c r="AO196" s="555"/>
      <c r="AP196" s="555"/>
      <c r="BI196" s="1328"/>
      <c r="BM196" s="1302"/>
    </row>
    <row r="197" spans="28:65">
      <c r="AB197" s="747">
        <v>1</v>
      </c>
      <c r="AC197" s="735"/>
      <c r="AD197" s="1224" t="s">
        <v>2007</v>
      </c>
      <c r="AE197" s="750"/>
      <c r="AF197" s="750"/>
      <c r="AG197" s="750">
        <f>SUM('BASE PERIOD'!F208)</f>
        <v>3707019</v>
      </c>
      <c r="AH197" s="750">
        <f>SUM('BASE PERIOD'!G208:K208)</f>
        <v>14216934</v>
      </c>
      <c r="AI197" s="750"/>
      <c r="AJ197" s="750">
        <f>SUM('BASE PERIOD'!L208:Q208)</f>
        <v>-1102548</v>
      </c>
      <c r="AK197" s="750">
        <f>SUM('BASE PERIOD'!E208)</f>
        <v>16821405</v>
      </c>
      <c r="AL197" s="555"/>
      <c r="AM197" s="555"/>
      <c r="AN197" s="555"/>
      <c r="AO197" s="555"/>
      <c r="AP197" s="555"/>
      <c r="BI197" s="1328"/>
    </row>
    <row r="198" spans="28:65">
      <c r="AB198" s="747">
        <f t="shared" ref="AB198:AB200" si="12">1+AB197</f>
        <v>2</v>
      </c>
      <c r="AC198" s="735"/>
      <c r="AD198" s="735"/>
      <c r="AE198" s="750"/>
      <c r="AF198" s="750"/>
      <c r="AG198" s="750"/>
      <c r="AH198" s="750"/>
      <c r="AI198" s="750"/>
      <c r="AJ198" s="750"/>
      <c r="AK198" s="750"/>
      <c r="AL198" s="555"/>
      <c r="AM198" s="555"/>
      <c r="AN198" s="555"/>
      <c r="AO198" s="555"/>
      <c r="AP198" s="555"/>
      <c r="BI198" s="1328"/>
    </row>
    <row r="199" spans="28:65">
      <c r="AB199" s="747">
        <f t="shared" si="12"/>
        <v>3</v>
      </c>
      <c r="AC199" s="1187" t="s">
        <v>749</v>
      </c>
      <c r="AD199" s="1224" t="s">
        <v>2249</v>
      </c>
      <c r="AE199" s="750">
        <v>0</v>
      </c>
      <c r="AF199" s="750">
        <v>0</v>
      </c>
      <c r="AG199" s="3237">
        <v>-393814</v>
      </c>
      <c r="AH199" s="3237">
        <v>-2026034</v>
      </c>
      <c r="AI199" s="750"/>
      <c r="AJ199" s="3237">
        <v>-3064435</v>
      </c>
      <c r="AK199" s="3237">
        <f>SUM(AG199:AJ199)</f>
        <v>-5484283</v>
      </c>
      <c r="AL199" s="555"/>
      <c r="AM199" s="555"/>
      <c r="AN199" s="555"/>
      <c r="AO199" s="555"/>
      <c r="AP199" s="555"/>
      <c r="BI199" s="1328"/>
      <c r="BM199" s="1302"/>
    </row>
    <row r="200" spans="28:65">
      <c r="AB200" s="747">
        <f t="shared" si="12"/>
        <v>4</v>
      </c>
      <c r="AC200" s="1187" t="s">
        <v>749</v>
      </c>
      <c r="AD200" s="734"/>
      <c r="AE200" s="750"/>
      <c r="AF200" s="750"/>
      <c r="AG200" s="750"/>
      <c r="AH200" s="750"/>
      <c r="AI200" s="750"/>
      <c r="AJ200" s="750"/>
      <c r="AK200" s="750"/>
      <c r="AL200" s="555"/>
      <c r="AM200" s="555"/>
      <c r="AN200" s="555"/>
      <c r="AO200" s="555"/>
      <c r="AP200" s="555"/>
      <c r="BI200" s="1328"/>
      <c r="BM200" s="1302"/>
    </row>
    <row r="201" spans="28:65">
      <c r="AB201" s="747">
        <f>1+AB200</f>
        <v>5</v>
      </c>
      <c r="AC201" s="1187" t="s">
        <v>2217</v>
      </c>
      <c r="AD201" s="1224" t="s">
        <v>2218</v>
      </c>
      <c r="AE201" s="1478">
        <v>0</v>
      </c>
      <c r="AF201" s="1478">
        <v>0</v>
      </c>
      <c r="AG201" s="1478">
        <v>0</v>
      </c>
      <c r="AH201" s="1478">
        <v>0</v>
      </c>
      <c r="AI201" s="1478"/>
      <c r="AJ201" s="1478">
        <v>0</v>
      </c>
      <c r="AK201" s="750">
        <f>AG201+AH201+AJ201</f>
        <v>0</v>
      </c>
    </row>
    <row r="202" spans="28:65">
      <c r="AB202" s="747">
        <f>1+AB201</f>
        <v>6</v>
      </c>
      <c r="AC202" s="1187" t="s">
        <v>2835</v>
      </c>
      <c r="AD202" s="734" t="s">
        <v>2836</v>
      </c>
      <c r="AE202" s="1478">
        <v>92462</v>
      </c>
      <c r="AF202" s="1478">
        <v>100868</v>
      </c>
      <c r="AG202" s="1478">
        <v>8406</v>
      </c>
      <c r="AH202" s="1478">
        <v>42028</v>
      </c>
      <c r="AI202" s="1478"/>
      <c r="AJ202" s="1478">
        <v>50434</v>
      </c>
      <c r="AK202" s="750">
        <f t="shared" ref="AK202:AK239" si="13">AG202+AH202+AJ202</f>
        <v>100868</v>
      </c>
    </row>
    <row r="203" spans="28:65">
      <c r="AB203" s="747">
        <f t="shared" ref="AB203:AB226" si="14">1+AB202</f>
        <v>7</v>
      </c>
      <c r="AC203" s="1187" t="s">
        <v>2837</v>
      </c>
      <c r="AD203" s="1224" t="s">
        <v>2838</v>
      </c>
      <c r="AE203" s="1478">
        <v>0</v>
      </c>
      <c r="AF203" s="1478">
        <v>0</v>
      </c>
      <c r="AG203" s="1478">
        <v>0</v>
      </c>
      <c r="AH203" s="1478">
        <v>0</v>
      </c>
      <c r="AI203" s="1478"/>
      <c r="AJ203" s="1478">
        <v>0</v>
      </c>
      <c r="AK203" s="750">
        <f t="shared" si="13"/>
        <v>0</v>
      </c>
    </row>
    <row r="204" spans="28:65">
      <c r="AB204" s="747">
        <f t="shared" si="14"/>
        <v>8</v>
      </c>
      <c r="AC204" s="1187" t="s">
        <v>2203</v>
      </c>
      <c r="AD204" s="734" t="s">
        <v>2839</v>
      </c>
      <c r="AE204" s="1478">
        <v>5167</v>
      </c>
      <c r="AF204" s="1478">
        <v>3543</v>
      </c>
      <c r="AG204" s="1478">
        <v>-1624</v>
      </c>
      <c r="AH204" s="1478">
        <v>-3108</v>
      </c>
      <c r="AI204" s="1478"/>
      <c r="AJ204" s="1478">
        <v>0</v>
      </c>
      <c r="AK204" s="750">
        <f t="shared" si="13"/>
        <v>-4732</v>
      </c>
    </row>
    <row r="205" spans="28:65">
      <c r="AB205" s="747">
        <f t="shared" si="14"/>
        <v>9</v>
      </c>
      <c r="AC205" s="1187" t="s">
        <v>2207</v>
      </c>
      <c r="AD205" s="1224" t="s">
        <v>2840</v>
      </c>
      <c r="AE205" s="1478">
        <v>-8269</v>
      </c>
      <c r="AF205" s="1478">
        <v>398469</v>
      </c>
      <c r="AG205" s="1478">
        <v>406738</v>
      </c>
      <c r="AH205" s="1478">
        <v>-1434473</v>
      </c>
      <c r="AI205" s="1478"/>
      <c r="AJ205" s="1478">
        <v>0</v>
      </c>
      <c r="AK205" s="750">
        <f t="shared" si="13"/>
        <v>-1027735</v>
      </c>
    </row>
    <row r="206" spans="28:65">
      <c r="AB206" s="747">
        <f t="shared" si="14"/>
        <v>10</v>
      </c>
      <c r="AC206" s="1187" t="s">
        <v>2199</v>
      </c>
      <c r="AD206" s="1224" t="s">
        <v>2211</v>
      </c>
      <c r="AE206" s="1478">
        <v>11880588</v>
      </c>
      <c r="AF206" s="1478">
        <v>13014115</v>
      </c>
      <c r="AG206" s="1478">
        <v>1133527</v>
      </c>
      <c r="AH206" s="1478">
        <v>5785210</v>
      </c>
      <c r="AI206" s="1478"/>
      <c r="AJ206" s="1478">
        <v>7477000</v>
      </c>
      <c r="AK206" s="750">
        <f t="shared" si="13"/>
        <v>14395737</v>
      </c>
    </row>
    <row r="207" spans="28:65">
      <c r="AB207" s="747">
        <f t="shared" si="14"/>
        <v>11</v>
      </c>
      <c r="AC207" s="1187" t="s">
        <v>2841</v>
      </c>
      <c r="AD207" s="1224" t="s">
        <v>2842</v>
      </c>
      <c r="AE207" s="1478">
        <v>-92462</v>
      </c>
      <c r="AF207" s="1478">
        <v>-100868</v>
      </c>
      <c r="AG207" s="1478">
        <v>-8406</v>
      </c>
      <c r="AH207" s="1478">
        <v>-42028</v>
      </c>
      <c r="AI207" s="1478"/>
      <c r="AJ207" s="1478">
        <v>-48000</v>
      </c>
      <c r="AK207" s="750">
        <f t="shared" si="13"/>
        <v>-98434</v>
      </c>
    </row>
    <row r="208" spans="28:65">
      <c r="AB208" s="747">
        <f t="shared" si="14"/>
        <v>12</v>
      </c>
      <c r="AC208" s="1187" t="s">
        <v>2200</v>
      </c>
      <c r="AD208" s="734" t="s">
        <v>355</v>
      </c>
      <c r="AE208" s="1478">
        <v>265444</v>
      </c>
      <c r="AF208" s="1478">
        <v>308258</v>
      </c>
      <c r="AG208" s="1478">
        <v>42814</v>
      </c>
      <c r="AH208" s="1478">
        <v>311404</v>
      </c>
      <c r="AI208" s="1478"/>
      <c r="AJ208" s="1478">
        <v>272000</v>
      </c>
      <c r="AK208" s="750">
        <f t="shared" si="13"/>
        <v>626218</v>
      </c>
    </row>
    <row r="209" spans="28:37">
      <c r="AB209" s="747">
        <f t="shared" si="14"/>
        <v>13</v>
      </c>
      <c r="AC209" s="1187" t="s">
        <v>2202</v>
      </c>
      <c r="AD209" s="1224" t="s">
        <v>2212</v>
      </c>
      <c r="AE209" s="1478">
        <v>-32911645</v>
      </c>
      <c r="AF209" s="1478">
        <v>-27903613</v>
      </c>
      <c r="AG209" s="1478">
        <v>5008032</v>
      </c>
      <c r="AH209" s="1478">
        <v>-8835351</v>
      </c>
      <c r="AI209" s="1478"/>
      <c r="AJ209" s="1478">
        <v>-10602000</v>
      </c>
      <c r="AK209" s="750">
        <f t="shared" si="13"/>
        <v>-14429319</v>
      </c>
    </row>
    <row r="210" spans="28:37">
      <c r="AB210" s="747">
        <f t="shared" si="14"/>
        <v>14</v>
      </c>
      <c r="AC210" s="1187" t="s">
        <v>2843</v>
      </c>
      <c r="AD210" s="734" t="s">
        <v>2844</v>
      </c>
      <c r="AE210" s="1478">
        <v>-779167</v>
      </c>
      <c r="AF210" s="1478">
        <v>-1400000</v>
      </c>
      <c r="AG210" s="1478">
        <v>-620833</v>
      </c>
      <c r="AH210" s="1478">
        <v>-354167</v>
      </c>
      <c r="AI210" s="1478"/>
      <c r="AJ210" s="1478">
        <v>0</v>
      </c>
      <c r="AK210" s="750">
        <f t="shared" si="13"/>
        <v>-975000</v>
      </c>
    </row>
    <row r="211" spans="28:37">
      <c r="AB211" s="747">
        <f t="shared" si="14"/>
        <v>15</v>
      </c>
      <c r="AC211" s="1187" t="s">
        <v>2219</v>
      </c>
      <c r="AD211" s="1224" t="s">
        <v>2845</v>
      </c>
      <c r="AE211" s="1478">
        <v>0</v>
      </c>
      <c r="AF211" s="1478">
        <v>0</v>
      </c>
      <c r="AG211" s="1478">
        <v>0</v>
      </c>
      <c r="AH211" s="1478">
        <v>0</v>
      </c>
      <c r="AI211" s="1478"/>
      <c r="AJ211" s="1478">
        <v>0</v>
      </c>
      <c r="AK211" s="750">
        <f t="shared" si="13"/>
        <v>0</v>
      </c>
    </row>
    <row r="212" spans="28:37">
      <c r="AB212" s="747">
        <f t="shared" si="14"/>
        <v>16</v>
      </c>
      <c r="AC212" s="1187" t="s">
        <v>2213</v>
      </c>
      <c r="AD212" s="1224" t="s">
        <v>2214</v>
      </c>
      <c r="AE212" s="1478">
        <v>-185980</v>
      </c>
      <c r="AF212" s="1478">
        <v>-203271</v>
      </c>
      <c r="AG212" s="1478">
        <v>-17291</v>
      </c>
      <c r="AH212" s="1478">
        <v>-252644</v>
      </c>
      <c r="AI212" s="1478"/>
      <c r="AJ212" s="1478">
        <v>0</v>
      </c>
      <c r="AK212" s="750">
        <f t="shared" si="13"/>
        <v>-269935</v>
      </c>
    </row>
    <row r="213" spans="28:37">
      <c r="AB213" s="747">
        <f t="shared" si="14"/>
        <v>17</v>
      </c>
      <c r="AC213" s="1187" t="s">
        <v>2846</v>
      </c>
      <c r="AD213" s="1224" t="s">
        <v>2847</v>
      </c>
      <c r="AE213" s="1478">
        <v>31709</v>
      </c>
      <c r="AF213" s="1478">
        <v>-40363</v>
      </c>
      <c r="AG213" s="1478">
        <v>-72072</v>
      </c>
      <c r="AH213" s="1478">
        <v>-18696</v>
      </c>
      <c r="AI213" s="1478"/>
      <c r="AJ213" s="1478">
        <v>0</v>
      </c>
      <c r="AK213" s="750">
        <f t="shared" si="13"/>
        <v>-90768</v>
      </c>
    </row>
    <row r="214" spans="28:37">
      <c r="AB214" s="747">
        <f t="shared" si="14"/>
        <v>18</v>
      </c>
      <c r="AC214" s="1187" t="s">
        <v>2201</v>
      </c>
      <c r="AD214" s="1224" t="s">
        <v>2848</v>
      </c>
      <c r="AE214" s="1478">
        <v>72621</v>
      </c>
      <c r="AF214" s="1478">
        <v>79223</v>
      </c>
      <c r="AG214" s="1478">
        <v>6602</v>
      </c>
      <c r="AH214" s="1478">
        <v>33454</v>
      </c>
      <c r="AI214" s="1478"/>
      <c r="AJ214" s="1478">
        <v>42000</v>
      </c>
      <c r="AK214" s="750">
        <f t="shared" si="13"/>
        <v>82056</v>
      </c>
    </row>
    <row r="215" spans="28:37">
      <c r="AB215" s="747">
        <f t="shared" si="14"/>
        <v>19</v>
      </c>
      <c r="AC215" s="1187" t="s">
        <v>2221</v>
      </c>
      <c r="AD215" s="1224" t="s">
        <v>2849</v>
      </c>
      <c r="AE215" s="1478">
        <v>5136222</v>
      </c>
      <c r="AF215" s="1478">
        <v>5053735</v>
      </c>
      <c r="AG215" s="1478">
        <v>-82487</v>
      </c>
      <c r="AH215" s="1478">
        <v>55046</v>
      </c>
      <c r="AI215" s="1478"/>
      <c r="AJ215" s="1478">
        <v>0</v>
      </c>
      <c r="AK215" s="750">
        <f t="shared" si="13"/>
        <v>-27441</v>
      </c>
    </row>
    <row r="216" spans="28:37">
      <c r="AB216" s="747">
        <f t="shared" si="14"/>
        <v>20</v>
      </c>
      <c r="AC216" s="1187" t="s">
        <v>2850</v>
      </c>
      <c r="AD216" s="1224" t="s">
        <v>2851</v>
      </c>
      <c r="AE216" s="1478">
        <v>-686252</v>
      </c>
      <c r="AF216" s="1478">
        <v>-714920</v>
      </c>
      <c r="AG216" s="1478">
        <v>-28668</v>
      </c>
      <c r="AH216" s="1478">
        <v>0</v>
      </c>
      <c r="AI216" s="1478"/>
      <c r="AJ216" s="1478">
        <v>0</v>
      </c>
      <c r="AK216" s="750">
        <f t="shared" si="13"/>
        <v>-28668</v>
      </c>
    </row>
    <row r="217" spans="28:37">
      <c r="AB217" s="747">
        <f t="shared" si="14"/>
        <v>21</v>
      </c>
      <c r="AC217" s="1187" t="s">
        <v>2852</v>
      </c>
      <c r="AD217" s="1224" t="s">
        <v>2853</v>
      </c>
      <c r="AE217" s="1478">
        <v>0</v>
      </c>
      <c r="AF217" s="1478">
        <v>0</v>
      </c>
      <c r="AG217" s="1478">
        <v>0</v>
      </c>
      <c r="AH217" s="1478">
        <v>-11653</v>
      </c>
      <c r="AI217" s="1478"/>
      <c r="AJ217" s="1478">
        <v>0</v>
      </c>
      <c r="AK217" s="750">
        <f t="shared" si="13"/>
        <v>-11653</v>
      </c>
    </row>
    <row r="218" spans="28:37">
      <c r="AB218" s="747">
        <f t="shared" si="14"/>
        <v>22</v>
      </c>
      <c r="AC218" s="1187" t="s">
        <v>2854</v>
      </c>
      <c r="AD218" s="1224" t="s">
        <v>2855</v>
      </c>
      <c r="AE218" s="1478">
        <v>-6814993</v>
      </c>
      <c r="AF218" s="1478">
        <v>-5605288</v>
      </c>
      <c r="AG218" s="1478">
        <v>1209705</v>
      </c>
      <c r="AH218" s="1478">
        <v>158068</v>
      </c>
      <c r="AI218" s="1478"/>
      <c r="AJ218" s="1478">
        <v>0</v>
      </c>
      <c r="AK218" s="750">
        <f t="shared" si="13"/>
        <v>1367773</v>
      </c>
    </row>
    <row r="219" spans="28:37">
      <c r="AB219" s="747">
        <f t="shared" si="14"/>
        <v>23</v>
      </c>
      <c r="AC219" s="1187" t="s">
        <v>2856</v>
      </c>
      <c r="AD219" s="1224" t="s">
        <v>2857</v>
      </c>
      <c r="AE219" s="1478">
        <v>830</v>
      </c>
      <c r="AF219" s="1478">
        <v>1990</v>
      </c>
      <c r="AG219" s="1478">
        <v>1160</v>
      </c>
      <c r="AH219" s="1478">
        <v>475</v>
      </c>
      <c r="AI219" s="1478"/>
      <c r="AJ219" s="1478">
        <v>0</v>
      </c>
      <c r="AK219" s="750">
        <f t="shared" si="13"/>
        <v>1635</v>
      </c>
    </row>
    <row r="220" spans="28:37">
      <c r="AB220" s="747">
        <f t="shared" si="14"/>
        <v>24</v>
      </c>
      <c r="AC220" s="1187" t="s">
        <v>2858</v>
      </c>
      <c r="AD220" s="734" t="s">
        <v>2859</v>
      </c>
      <c r="AE220" s="1478">
        <v>-641789</v>
      </c>
      <c r="AF220" s="1478">
        <v>-617143</v>
      </c>
      <c r="AG220" s="1478">
        <v>24646</v>
      </c>
      <c r="AH220" s="1478">
        <v>29309</v>
      </c>
      <c r="AI220" s="1478"/>
      <c r="AJ220" s="1478">
        <v>0</v>
      </c>
      <c r="AK220" s="750">
        <f t="shared" si="13"/>
        <v>53955</v>
      </c>
    </row>
    <row r="221" spans="28:37">
      <c r="AB221" s="747">
        <f t="shared" si="14"/>
        <v>25</v>
      </c>
      <c r="AC221" s="1187" t="s">
        <v>2860</v>
      </c>
      <c r="AD221" s="734" t="s">
        <v>2861</v>
      </c>
      <c r="AE221" s="1478">
        <v>-109201</v>
      </c>
      <c r="AF221" s="1478">
        <v>-161543</v>
      </c>
      <c r="AG221" s="1478">
        <v>-52342</v>
      </c>
      <c r="AH221" s="1478">
        <v>-23559</v>
      </c>
      <c r="AI221" s="1478"/>
      <c r="AJ221" s="1478">
        <v>0</v>
      </c>
      <c r="AK221" s="750">
        <f t="shared" si="13"/>
        <v>-75901</v>
      </c>
    </row>
    <row r="222" spans="28:37">
      <c r="AB222" s="747">
        <f t="shared" si="14"/>
        <v>26</v>
      </c>
      <c r="AC222" s="1187" t="s">
        <v>2862</v>
      </c>
      <c r="AD222" s="1224" t="s">
        <v>2863</v>
      </c>
      <c r="AE222" s="1478">
        <v>1769996</v>
      </c>
      <c r="AF222" s="1478">
        <v>1722783</v>
      </c>
      <c r="AG222" s="1478">
        <v>-47213</v>
      </c>
      <c r="AH222" s="1478">
        <v>0</v>
      </c>
      <c r="AI222" s="1478"/>
      <c r="AJ222" s="1478">
        <v>0</v>
      </c>
      <c r="AK222" s="750">
        <f t="shared" si="13"/>
        <v>-47213</v>
      </c>
    </row>
    <row r="223" spans="28:37">
      <c r="AB223" s="747">
        <f t="shared" si="14"/>
        <v>27</v>
      </c>
      <c r="AC223" s="1187" t="s">
        <v>2222</v>
      </c>
      <c r="AD223" s="734" t="s">
        <v>2223</v>
      </c>
      <c r="AE223" s="1478">
        <v>-32065</v>
      </c>
      <c r="AF223" s="1478">
        <v>-32065</v>
      </c>
      <c r="AG223" s="1478">
        <v>0</v>
      </c>
      <c r="AH223" s="1478">
        <v>0</v>
      </c>
      <c r="AI223" s="1478"/>
      <c r="AJ223" s="1478">
        <v>0</v>
      </c>
      <c r="AK223" s="750">
        <f t="shared" si="13"/>
        <v>0</v>
      </c>
    </row>
    <row r="224" spans="28:37">
      <c r="AB224" s="747">
        <f t="shared" si="14"/>
        <v>28</v>
      </c>
      <c r="AC224" s="1187" t="s">
        <v>2204</v>
      </c>
      <c r="AD224" s="734" t="s">
        <v>2864</v>
      </c>
      <c r="AE224" s="1478">
        <v>1311</v>
      </c>
      <c r="AF224" s="1478">
        <v>40194</v>
      </c>
      <c r="AG224" s="1478">
        <v>38883</v>
      </c>
      <c r="AH224" s="1478">
        <v>-17095</v>
      </c>
      <c r="AI224" s="1478"/>
      <c r="AJ224" s="1478">
        <v>0</v>
      </c>
      <c r="AK224" s="750">
        <f t="shared" si="13"/>
        <v>21788</v>
      </c>
    </row>
    <row r="225" spans="28:37">
      <c r="AB225" s="747">
        <f t="shared" si="14"/>
        <v>29</v>
      </c>
      <c r="AC225" s="1187" t="s">
        <v>2865</v>
      </c>
      <c r="AD225" s="1224" t="s">
        <v>2866</v>
      </c>
      <c r="AE225" s="1478">
        <v>0</v>
      </c>
      <c r="AF225" s="1478">
        <v>0</v>
      </c>
      <c r="AG225" s="1478">
        <v>0</v>
      </c>
      <c r="AH225" s="1478">
        <v>-31384</v>
      </c>
      <c r="AI225" s="1478"/>
      <c r="AJ225" s="1478">
        <v>0</v>
      </c>
      <c r="AK225" s="750">
        <f t="shared" si="13"/>
        <v>-31384</v>
      </c>
    </row>
    <row r="226" spans="28:37">
      <c r="AB226" s="747">
        <f t="shared" si="14"/>
        <v>30</v>
      </c>
      <c r="AC226" s="1187" t="s">
        <v>2209</v>
      </c>
      <c r="AD226" s="1224" t="s">
        <v>2867</v>
      </c>
      <c r="AE226" s="1478">
        <v>-902408</v>
      </c>
      <c r="AF226" s="1478">
        <v>-779009</v>
      </c>
      <c r="AG226" s="1478">
        <v>123399</v>
      </c>
      <c r="AH226" s="1478">
        <v>585107</v>
      </c>
      <c r="AI226" s="1478"/>
      <c r="AJ226" s="1478">
        <v>0</v>
      </c>
      <c r="AK226" s="750">
        <f t="shared" si="13"/>
        <v>708506</v>
      </c>
    </row>
    <row r="227" spans="28:37">
      <c r="AB227" s="747">
        <f>1+AB226</f>
        <v>31</v>
      </c>
      <c r="AC227" s="1187" t="s">
        <v>2210</v>
      </c>
      <c r="AD227" s="1224" t="s">
        <v>2868</v>
      </c>
      <c r="AE227" s="1478">
        <v>104</v>
      </c>
      <c r="AF227" s="1478">
        <v>104</v>
      </c>
      <c r="AG227" s="1478">
        <v>0</v>
      </c>
      <c r="AH227" s="1478">
        <v>0</v>
      </c>
      <c r="AI227" s="1478"/>
      <c r="AJ227" s="1478">
        <v>0</v>
      </c>
      <c r="AK227" s="750">
        <f t="shared" si="13"/>
        <v>0</v>
      </c>
    </row>
    <row r="228" spans="28:37">
      <c r="AB228" s="747">
        <f>1+AB227</f>
        <v>32</v>
      </c>
      <c r="AC228" s="1187" t="s">
        <v>2205</v>
      </c>
      <c r="AD228" s="1224" t="s">
        <v>2869</v>
      </c>
      <c r="AE228" s="1478">
        <v>2275891</v>
      </c>
      <c r="AF228" s="1478">
        <v>1847679</v>
      </c>
      <c r="AG228" s="1478">
        <v>-428212</v>
      </c>
      <c r="AH228" s="1478">
        <v>450139</v>
      </c>
      <c r="AI228" s="1478"/>
      <c r="AJ228" s="1478">
        <v>0</v>
      </c>
      <c r="AK228" s="750">
        <f t="shared" si="13"/>
        <v>21927</v>
      </c>
    </row>
    <row r="229" spans="28:37">
      <c r="AB229" s="747">
        <f t="shared" ref="AB229" si="15">1+AB228</f>
        <v>33</v>
      </c>
      <c r="AC229" s="1187" t="s">
        <v>2870</v>
      </c>
      <c r="AD229" s="1224" t="s">
        <v>2871</v>
      </c>
      <c r="AE229" s="1478">
        <v>0</v>
      </c>
      <c r="AF229" s="1478">
        <v>0</v>
      </c>
      <c r="AG229" s="1478">
        <v>0</v>
      </c>
      <c r="AH229" s="1478">
        <v>2247486</v>
      </c>
      <c r="AI229" s="1478"/>
      <c r="AJ229" s="1478">
        <v>0</v>
      </c>
      <c r="AK229" s="750">
        <f t="shared" si="13"/>
        <v>2247486</v>
      </c>
    </row>
    <row r="230" spans="28:37">
      <c r="AB230" s="747">
        <f>1+AB229</f>
        <v>34</v>
      </c>
      <c r="AC230" s="1187" t="s">
        <v>2215</v>
      </c>
      <c r="AD230" s="1224" t="s">
        <v>2216</v>
      </c>
      <c r="AE230" s="1478">
        <v>-16489</v>
      </c>
      <c r="AF230" s="1478">
        <v>544974</v>
      </c>
      <c r="AG230" s="1478">
        <v>561463</v>
      </c>
      <c r="AH230" s="1478">
        <v>-1363097</v>
      </c>
      <c r="AI230" s="1478"/>
      <c r="AJ230" s="1478">
        <v>0</v>
      </c>
      <c r="AK230" s="750">
        <f t="shared" si="13"/>
        <v>-801634</v>
      </c>
    </row>
    <row r="231" spans="28:37">
      <c r="AB231" s="747">
        <f>1+AB230</f>
        <v>35</v>
      </c>
      <c r="AC231" s="1187" t="s">
        <v>2872</v>
      </c>
      <c r="AD231" s="1224" t="s">
        <v>2873</v>
      </c>
      <c r="AE231" s="1478">
        <v>0</v>
      </c>
      <c r="AF231" s="1478">
        <v>-22303</v>
      </c>
      <c r="AG231" s="1478">
        <v>-22303</v>
      </c>
      <c r="AH231" s="1478">
        <v>0</v>
      </c>
      <c r="AI231" s="1478"/>
      <c r="AJ231" s="1478">
        <v>0</v>
      </c>
      <c r="AK231" s="750">
        <f t="shared" si="13"/>
        <v>-22303</v>
      </c>
    </row>
    <row r="232" spans="28:37">
      <c r="AB232" s="747">
        <f t="shared" ref="AB232:AB261" si="16">1+AB231</f>
        <v>36</v>
      </c>
      <c r="AC232" s="1187" t="s">
        <v>2874</v>
      </c>
      <c r="AD232" s="1224" t="s">
        <v>2875</v>
      </c>
      <c r="AE232" s="1478">
        <v>122664</v>
      </c>
      <c r="AF232" s="1478">
        <v>-92623</v>
      </c>
      <c r="AG232" s="1478">
        <v>-215287</v>
      </c>
      <c r="AH232" s="1478">
        <v>215045</v>
      </c>
      <c r="AI232" s="1478"/>
      <c r="AJ232" s="1478">
        <v>0</v>
      </c>
      <c r="AK232" s="750">
        <f t="shared" si="13"/>
        <v>-242</v>
      </c>
    </row>
    <row r="233" spans="28:37">
      <c r="AB233" s="747">
        <f t="shared" si="16"/>
        <v>37</v>
      </c>
      <c r="AC233" s="1187" t="s">
        <v>2312</v>
      </c>
      <c r="AD233" s="736" t="s">
        <v>2876</v>
      </c>
      <c r="AE233" s="1478">
        <v>799073</v>
      </c>
      <c r="AF233" s="1478">
        <v>-56548</v>
      </c>
      <c r="AG233" s="1478">
        <v>-855621</v>
      </c>
      <c r="AH233" s="1478">
        <v>-312765</v>
      </c>
      <c r="AI233" s="1478"/>
      <c r="AJ233" s="1478">
        <v>0</v>
      </c>
      <c r="AK233" s="750">
        <f t="shared" si="13"/>
        <v>-1168386</v>
      </c>
    </row>
    <row r="234" spans="28:37">
      <c r="AB234" s="747">
        <f t="shared" si="16"/>
        <v>38</v>
      </c>
      <c r="AC234" s="1187" t="s">
        <v>2307</v>
      </c>
      <c r="AD234" s="1224" t="s">
        <v>2308</v>
      </c>
      <c r="AE234" s="1478">
        <v>2107</v>
      </c>
      <c r="AF234" s="1478">
        <v>1464</v>
      </c>
      <c r="AG234" s="1478">
        <v>-643</v>
      </c>
      <c r="AH234" s="1478">
        <v>560</v>
      </c>
      <c r="AI234" s="1478"/>
      <c r="AJ234" s="1478">
        <v>0</v>
      </c>
      <c r="AK234" s="750">
        <f t="shared" si="13"/>
        <v>-83</v>
      </c>
    </row>
    <row r="235" spans="28:37">
      <c r="AB235" s="747">
        <f t="shared" si="16"/>
        <v>39</v>
      </c>
      <c r="AC235" s="1187" t="s">
        <v>2224</v>
      </c>
      <c r="AD235" s="1224" t="s">
        <v>2877</v>
      </c>
      <c r="AE235" s="1478">
        <v>-19822</v>
      </c>
      <c r="AF235" s="1478">
        <v>-21624</v>
      </c>
      <c r="AG235" s="1478">
        <v>-1802</v>
      </c>
      <c r="AH235" s="1478">
        <v>-386927</v>
      </c>
      <c r="AI235" s="1478"/>
      <c r="AJ235" s="1478">
        <v>0</v>
      </c>
      <c r="AK235" s="750">
        <f t="shared" si="13"/>
        <v>-388729</v>
      </c>
    </row>
    <row r="236" spans="28:37">
      <c r="AB236" s="747">
        <f t="shared" si="16"/>
        <v>40</v>
      </c>
      <c r="AC236" s="1187" t="s">
        <v>2878</v>
      </c>
      <c r="AD236" s="1224" t="s">
        <v>2879</v>
      </c>
      <c r="AE236" s="1478">
        <v>-36037</v>
      </c>
      <c r="AF236" s="1478">
        <v>2738</v>
      </c>
      <c r="AG236" s="1478">
        <v>38775</v>
      </c>
      <c r="AH236" s="1478">
        <v>-5625</v>
      </c>
      <c r="AI236" s="1478"/>
      <c r="AJ236" s="1478">
        <v>0</v>
      </c>
      <c r="AK236" s="750">
        <f t="shared" si="13"/>
        <v>33150</v>
      </c>
    </row>
    <row r="237" spans="28:37">
      <c r="AB237" s="747">
        <f t="shared" si="16"/>
        <v>41</v>
      </c>
      <c r="AC237" s="1187" t="s">
        <v>2206</v>
      </c>
      <c r="AD237" s="1224" t="s">
        <v>2225</v>
      </c>
      <c r="AE237" s="1478">
        <v>-49644</v>
      </c>
      <c r="AF237" s="1478">
        <v>-53970</v>
      </c>
      <c r="AG237" s="1478">
        <v>-4326</v>
      </c>
      <c r="AH237" s="1478">
        <v>-21831</v>
      </c>
      <c r="AI237" s="1478"/>
      <c r="AJ237" s="1478">
        <v>0</v>
      </c>
      <c r="AK237" s="750">
        <f t="shared" si="13"/>
        <v>-26157</v>
      </c>
    </row>
    <row r="238" spans="28:37">
      <c r="AB238" s="747">
        <f t="shared" si="16"/>
        <v>42</v>
      </c>
      <c r="AC238" s="1187" t="s">
        <v>2880</v>
      </c>
      <c r="AD238" s="1224" t="s">
        <v>2881</v>
      </c>
      <c r="AE238" s="1478">
        <v>0</v>
      </c>
      <c r="AF238" s="1478">
        <v>0</v>
      </c>
      <c r="AG238" s="1478">
        <v>0</v>
      </c>
      <c r="AH238" s="1478">
        <v>0</v>
      </c>
      <c r="AI238" s="1478"/>
      <c r="AJ238" s="1478">
        <v>0</v>
      </c>
      <c r="AK238" s="750">
        <f t="shared" si="13"/>
        <v>0</v>
      </c>
    </row>
    <row r="239" spans="28:37">
      <c r="AB239" s="747">
        <f t="shared" si="16"/>
        <v>43</v>
      </c>
      <c r="AC239" s="1187" t="s">
        <v>2309</v>
      </c>
      <c r="AD239" s="1224" t="s">
        <v>2310</v>
      </c>
      <c r="AE239" s="1478">
        <v>0</v>
      </c>
      <c r="AF239" s="1478">
        <v>0</v>
      </c>
      <c r="AG239" s="1478">
        <v>0</v>
      </c>
      <c r="AH239" s="1478">
        <v>0</v>
      </c>
      <c r="AI239" s="1478"/>
      <c r="AJ239" s="1478">
        <v>0</v>
      </c>
      <c r="AK239" s="750">
        <f t="shared" si="13"/>
        <v>0</v>
      </c>
    </row>
    <row r="240" spans="28:37">
      <c r="AB240" s="747">
        <f t="shared" si="16"/>
        <v>44</v>
      </c>
      <c r="AC240" s="735"/>
      <c r="AD240" s="734"/>
      <c r="AE240" s="750"/>
      <c r="AF240" s="750"/>
      <c r="AG240" s="750"/>
      <c r="AH240" s="750"/>
      <c r="AI240" s="750"/>
      <c r="AJ240" s="750"/>
      <c r="AK240" s="750"/>
    </row>
    <row r="241" spans="28:37">
      <c r="AB241" s="747">
        <f t="shared" si="16"/>
        <v>45</v>
      </c>
      <c r="AC241" s="735"/>
      <c r="AD241" s="1224" t="s">
        <v>2250</v>
      </c>
      <c r="AE241" s="750">
        <f>SUM(AE201:AE240)</f>
        <v>-20830034</v>
      </c>
      <c r="AF241" s="750">
        <f>SUM(AF201:AF240)</f>
        <v>-14685014</v>
      </c>
      <c r="AG241" s="750">
        <f>SUM(AG199:AG240)</f>
        <v>5751206</v>
      </c>
      <c r="AH241" s="750">
        <f>SUM(AH199:AH240)</f>
        <v>-5227106</v>
      </c>
      <c r="AI241" s="750"/>
      <c r="AJ241" s="750">
        <f>SUM(AJ199:AJ240)</f>
        <v>-5873001</v>
      </c>
      <c r="AK241" s="750">
        <f>SUM(AK199:AK240)</f>
        <v>-5348901</v>
      </c>
    </row>
    <row r="242" spans="28:37">
      <c r="AB242" s="747">
        <f t="shared" si="16"/>
        <v>46</v>
      </c>
      <c r="AC242" s="735"/>
      <c r="AD242" s="735"/>
      <c r="AE242" s="750"/>
      <c r="AF242" s="750"/>
      <c r="AG242" s="750"/>
      <c r="AH242" s="750"/>
      <c r="AI242" s="750"/>
      <c r="AJ242" s="750"/>
      <c r="AK242" s="750"/>
    </row>
    <row r="243" spans="28:37">
      <c r="AB243" s="747">
        <f t="shared" si="16"/>
        <v>47</v>
      </c>
      <c r="AC243" s="735"/>
      <c r="AD243" s="734" t="s">
        <v>544</v>
      </c>
      <c r="AE243" s="750"/>
      <c r="AF243" s="750"/>
      <c r="AG243" s="750">
        <f>AG241+AG197</f>
        <v>9458225</v>
      </c>
      <c r="AH243" s="750">
        <f>AH241+AH197</f>
        <v>8989828</v>
      </c>
      <c r="AI243" s="750"/>
      <c r="AJ243" s="750">
        <f>AJ241+AJ197</f>
        <v>-6975549</v>
      </c>
      <c r="AK243" s="750">
        <f>AK241+AK197</f>
        <v>11472504</v>
      </c>
    </row>
    <row r="244" spans="28:37">
      <c r="AB244" s="747">
        <f t="shared" si="16"/>
        <v>48</v>
      </c>
      <c r="AC244" s="735"/>
      <c r="AD244" s="735"/>
      <c r="AE244" s="750"/>
      <c r="AF244" s="750"/>
      <c r="AG244" s="750"/>
      <c r="AH244" s="750"/>
      <c r="AI244" s="750"/>
      <c r="AJ244" s="750"/>
      <c r="AK244" s="750"/>
    </row>
    <row r="245" spans="28:37">
      <c r="AB245" s="747">
        <f t="shared" si="16"/>
        <v>49</v>
      </c>
      <c r="AC245" s="735"/>
      <c r="AD245" s="734" t="s">
        <v>545</v>
      </c>
      <c r="AE245" s="750"/>
      <c r="AF245" s="750"/>
      <c r="AG245" s="750"/>
      <c r="AH245" s="750"/>
      <c r="AI245" s="750"/>
      <c r="AJ245" s="750"/>
      <c r="AK245" s="750"/>
    </row>
    <row r="246" spans="28:37">
      <c r="AB246" s="747">
        <f t="shared" si="16"/>
        <v>50</v>
      </c>
      <c r="AC246" s="735"/>
      <c r="AD246" s="1224" t="s">
        <v>2280</v>
      </c>
      <c r="AE246" s="1478"/>
      <c r="AF246" s="1478"/>
      <c r="AG246" s="1478">
        <v>-6457536</v>
      </c>
      <c r="AH246" s="1478">
        <v>-1568408</v>
      </c>
      <c r="AI246" s="1478"/>
      <c r="AJ246" s="1478">
        <v>-1882089</v>
      </c>
      <c r="AK246" s="1478">
        <v>-9908033</v>
      </c>
    </row>
    <row r="247" spans="28:37">
      <c r="AB247" s="747">
        <f t="shared" si="16"/>
        <v>51</v>
      </c>
      <c r="AC247" s="735"/>
      <c r="AD247" s="735"/>
      <c r="AE247" s="750"/>
      <c r="AF247" s="750"/>
      <c r="AG247" s="750"/>
      <c r="AH247" s="750"/>
      <c r="AI247" s="750"/>
      <c r="AJ247" s="750"/>
      <c r="AK247" s="750"/>
    </row>
    <row r="248" spans="28:37">
      <c r="AB248" s="747">
        <f t="shared" si="16"/>
        <v>52</v>
      </c>
      <c r="AC248" s="735"/>
      <c r="AD248" s="1187" t="s">
        <v>2883</v>
      </c>
      <c r="AE248" s="750"/>
      <c r="AF248" s="750"/>
      <c r="AG248" s="750">
        <f>AG243+AG246</f>
        <v>3000689</v>
      </c>
      <c r="AH248" s="750">
        <f>AH243+AH246</f>
        <v>7421420</v>
      </c>
      <c r="AI248" s="750"/>
      <c r="AJ248" s="750">
        <f>AJ243+AJ246</f>
        <v>-8857638</v>
      </c>
      <c r="AK248" s="750">
        <f>AK243+AK246</f>
        <v>1564471</v>
      </c>
    </row>
    <row r="249" spans="28:37">
      <c r="AB249" s="747">
        <f t="shared" si="16"/>
        <v>53</v>
      </c>
      <c r="AC249" s="735"/>
      <c r="AD249" s="735"/>
      <c r="AE249" s="750"/>
      <c r="AF249" s="750"/>
      <c r="AG249" s="750"/>
      <c r="AH249" s="750"/>
      <c r="AI249" s="750"/>
      <c r="AJ249" s="750"/>
      <c r="AK249" s="750"/>
    </row>
    <row r="250" spans="28:37">
      <c r="AB250" s="747">
        <f t="shared" si="16"/>
        <v>54</v>
      </c>
      <c r="AC250" s="735"/>
      <c r="AD250" s="1187" t="s">
        <v>2882</v>
      </c>
      <c r="AE250" s="750"/>
      <c r="AF250" s="750"/>
      <c r="AG250" s="3238">
        <v>0.89086699999999996</v>
      </c>
      <c r="AH250" s="3238">
        <v>0.99370000000000003</v>
      </c>
      <c r="AI250" s="3239"/>
      <c r="AJ250" s="3238">
        <v>0.99370000000000003</v>
      </c>
      <c r="AK250" s="3128">
        <f>ROUND(AK252/AK248,6)</f>
        <v>0.79646399999999995</v>
      </c>
    </row>
    <row r="251" spans="28:37">
      <c r="AB251" s="747">
        <f t="shared" si="16"/>
        <v>55</v>
      </c>
      <c r="AC251" s="735"/>
      <c r="AD251" s="735"/>
      <c r="AE251" s="750"/>
      <c r="AF251" s="750"/>
      <c r="AG251" s="750"/>
      <c r="AH251" s="750"/>
      <c r="AI251" s="750"/>
      <c r="AJ251" s="750"/>
      <c r="AK251" s="750"/>
    </row>
    <row r="252" spans="28:37">
      <c r="AB252" s="747">
        <f t="shared" si="16"/>
        <v>56</v>
      </c>
      <c r="AC252" s="735"/>
      <c r="AD252" s="1224" t="s">
        <v>2884</v>
      </c>
      <c r="AE252" s="750"/>
      <c r="AF252" s="750"/>
      <c r="AG252" s="750">
        <f>ROUND(AG248*AG250,0)</f>
        <v>2673215</v>
      </c>
      <c r="AH252" s="750">
        <f>ROUND(AH248*AH250,0)</f>
        <v>7374665</v>
      </c>
      <c r="AI252" s="750"/>
      <c r="AJ252" s="750">
        <f>ROUND(AJ248*AJ250,0)</f>
        <v>-8801835</v>
      </c>
      <c r="AK252" s="750">
        <f>ROUND(SUM(AG252:AJ252),0)</f>
        <v>1246045</v>
      </c>
    </row>
    <row r="253" spans="28:37">
      <c r="AB253" s="747">
        <f t="shared" si="16"/>
        <v>57</v>
      </c>
      <c r="AC253" s="735"/>
      <c r="AD253" s="735"/>
      <c r="AE253" s="750"/>
      <c r="AF253" s="750"/>
      <c r="AG253" s="750"/>
      <c r="AH253" s="750"/>
      <c r="AI253" s="750"/>
      <c r="AJ253" s="750"/>
      <c r="AK253" s="750"/>
    </row>
    <row r="254" spans="28:37">
      <c r="AB254" s="747">
        <f t="shared" si="16"/>
        <v>58</v>
      </c>
      <c r="AC254" s="735"/>
      <c r="AD254" s="734" t="str">
        <f>"Kentucky Income Tax Expense     @ "&amp;TEXT(LOGO!C22,"0.000%")</f>
        <v>Kentucky Income Tax Expense     @ 5.000%</v>
      </c>
      <c r="AE254" s="750"/>
      <c r="AF254" s="750"/>
      <c r="AG254" s="3237">
        <f>ROUND(AG252*0.06,0)</f>
        <v>160393</v>
      </c>
      <c r="AH254" s="3237">
        <f>ROUND(AH252*0.05,0)</f>
        <v>368733</v>
      </c>
      <c r="AI254" s="3237"/>
      <c r="AJ254" s="3237">
        <f>ROUND(AJ252*0.05,0)</f>
        <v>-440092</v>
      </c>
      <c r="AK254" s="750">
        <f>ROUND(SUM(AG254:AJ254),0)</f>
        <v>89034</v>
      </c>
    </row>
    <row r="255" spans="28:37">
      <c r="AB255" s="747">
        <f t="shared" si="16"/>
        <v>59</v>
      </c>
      <c r="AC255" s="735"/>
      <c r="AD255" s="735"/>
      <c r="AE255" s="750"/>
      <c r="AF255" s="750"/>
      <c r="AG255" s="750"/>
      <c r="AH255" s="750"/>
      <c r="AI255" s="750"/>
      <c r="AJ255" s="750"/>
      <c r="AK255" s="750"/>
    </row>
    <row r="256" spans="28:37">
      <c r="AB256" s="747">
        <f t="shared" si="16"/>
        <v>60</v>
      </c>
      <c r="AC256" s="735"/>
      <c r="AD256" s="1224" t="s">
        <v>544</v>
      </c>
      <c r="AE256" s="750"/>
      <c r="AF256" s="750"/>
      <c r="AG256" s="3240">
        <f>AG243</f>
        <v>9458225</v>
      </c>
      <c r="AH256" s="3240">
        <f>AH243</f>
        <v>8989828</v>
      </c>
      <c r="AI256" s="750"/>
      <c r="AJ256" s="750">
        <f>AJ243</f>
        <v>-6975549</v>
      </c>
      <c r="AK256" s="750">
        <f>AK243</f>
        <v>11472504</v>
      </c>
    </row>
    <row r="257" spans="28:37">
      <c r="AB257" s="747">
        <f t="shared" si="16"/>
        <v>61</v>
      </c>
      <c r="AC257" s="735"/>
      <c r="AD257" s="734" t="s">
        <v>2143</v>
      </c>
      <c r="AE257" s="750"/>
      <c r="AF257" s="750"/>
      <c r="AG257" s="3241">
        <f>-AG254</f>
        <v>-160393</v>
      </c>
      <c r="AH257" s="3241">
        <f>-AH254</f>
        <v>-368733</v>
      </c>
      <c r="AI257" s="750"/>
      <c r="AJ257" s="3241">
        <f>-AJ254</f>
        <v>440092</v>
      </c>
      <c r="AK257" s="3241">
        <f>-AK254</f>
        <v>-89034</v>
      </c>
    </row>
    <row r="258" spans="28:37">
      <c r="AB258" s="747">
        <f t="shared" si="16"/>
        <v>62</v>
      </c>
      <c r="AC258" s="735"/>
      <c r="AD258" s="735"/>
      <c r="AE258" s="750"/>
      <c r="AF258" s="750"/>
      <c r="AG258" s="750"/>
      <c r="AH258" s="750"/>
      <c r="AI258" s="750"/>
      <c r="AJ258" s="750"/>
      <c r="AK258" s="750"/>
    </row>
    <row r="259" spans="28:37">
      <c r="AB259" s="747">
        <f t="shared" si="16"/>
        <v>63</v>
      </c>
      <c r="AC259" s="735"/>
      <c r="AD259" s="734" t="s">
        <v>2034</v>
      </c>
      <c r="AE259" s="750"/>
      <c r="AF259" s="750"/>
      <c r="AG259" s="750">
        <f>AG243+AG257</f>
        <v>9297832</v>
      </c>
      <c r="AH259" s="750">
        <f>AH243+AH257</f>
        <v>8621095</v>
      </c>
      <c r="AI259" s="750"/>
      <c r="AJ259" s="750">
        <f>AJ243+AJ257</f>
        <v>-6535457</v>
      </c>
      <c r="AK259" s="750">
        <f>ROUND(SUM(AG259:AJ259),0)</f>
        <v>11383470</v>
      </c>
    </row>
    <row r="260" spans="28:37">
      <c r="AB260" s="747">
        <f t="shared" si="16"/>
        <v>64</v>
      </c>
      <c r="AC260" s="735"/>
      <c r="AD260" s="735"/>
      <c r="AE260" s="750"/>
      <c r="AF260" s="750"/>
      <c r="AG260" s="750"/>
      <c r="AH260" s="750"/>
      <c r="AI260" s="750"/>
      <c r="AJ260" s="750"/>
      <c r="AK260" s="750"/>
    </row>
    <row r="261" spans="28:37">
      <c r="AB261" s="747">
        <f t="shared" si="16"/>
        <v>65</v>
      </c>
      <c r="AC261" s="735"/>
      <c r="AD261" s="734" t="str">
        <f>"Federal Income Tax Before Credits @ "&amp;TEXT(LOGO!C23,"00%")</f>
        <v>Federal Income Tax Before Credits @ 21%</v>
      </c>
      <c r="AE261" s="750"/>
      <c r="AF261" s="750"/>
      <c r="AG261" s="3237">
        <f>ROUND(AG259*0.35,0)</f>
        <v>3254241</v>
      </c>
      <c r="AH261" s="750">
        <f>ROUND(AH259*FIT,0)</f>
        <v>1810430</v>
      </c>
      <c r="AI261" s="750"/>
      <c r="AJ261" s="750">
        <f>ROUND(AJ259*FIT,0)</f>
        <v>-1372446</v>
      </c>
      <c r="AK261" s="750">
        <f>ROUND(SUM(AG261:AJ261),0)</f>
        <v>3692225</v>
      </c>
    </row>
    <row r="264" spans="28:37">
      <c r="AD264" s="1233"/>
      <c r="AE264" s="1233"/>
      <c r="AF264" s="1233"/>
      <c r="AG264" s="3276"/>
      <c r="AH264" s="3276"/>
      <c r="AI264" s="3276"/>
      <c r="AJ264" s="3276"/>
      <c r="AK264" s="3276"/>
    </row>
    <row r="265" spans="28:37">
      <c r="AD265" s="1224"/>
      <c r="AE265" s="3277"/>
      <c r="AF265" s="3277"/>
      <c r="AG265" s="3278"/>
      <c r="AH265" s="3278"/>
      <c r="AI265" s="3278"/>
      <c r="AJ265" s="3278"/>
      <c r="AK265" s="3276"/>
    </row>
    <row r="266" spans="28:37">
      <c r="AD266" s="734"/>
      <c r="AE266" s="767"/>
      <c r="AF266" s="767"/>
      <c r="AG266" s="767"/>
      <c r="AH266" s="767"/>
      <c r="AI266" s="767"/>
      <c r="AJ266" s="767"/>
      <c r="AK266" s="767"/>
    </row>
    <row r="268" spans="28:37">
      <c r="AE268" s="1329"/>
      <c r="AF268" s="1329"/>
      <c r="AG268" s="1329"/>
      <c r="AH268" s="1329"/>
      <c r="AJ268" s="1329"/>
      <c r="AK268" s="1329"/>
    </row>
    <row r="299" spans="28:28">
      <c r="AB299" s="1302"/>
    </row>
    <row r="300" spans="28:28">
      <c r="AB300" s="1302"/>
    </row>
    <row r="356" spans="30:39">
      <c r="AD356" s="555"/>
      <c r="AE356" s="555"/>
      <c r="AF356" s="555"/>
      <c r="AG356" s="555"/>
      <c r="AH356" s="555"/>
      <c r="AI356" s="555"/>
      <c r="AJ356" s="555"/>
      <c r="AK356" s="555"/>
      <c r="AL356" s="555"/>
      <c r="AM356" s="555"/>
    </row>
    <row r="357" spans="30:39">
      <c r="AD357" s="557"/>
      <c r="AE357" s="555"/>
      <c r="AF357" s="555"/>
      <c r="AG357" s="555"/>
      <c r="AH357" s="555"/>
      <c r="AI357" s="555"/>
      <c r="AJ357" s="557"/>
      <c r="AK357" s="555"/>
      <c r="AL357" s="555"/>
      <c r="AM357" s="557"/>
    </row>
    <row r="358" spans="30:39">
      <c r="AD358" s="557"/>
      <c r="AE358" s="555"/>
      <c r="AF358" s="555"/>
      <c r="AG358" s="555"/>
      <c r="AH358" s="555"/>
      <c r="AI358" s="555"/>
      <c r="AJ358" s="555"/>
      <c r="AK358" s="555"/>
      <c r="AL358" s="555"/>
      <c r="AM358" s="1330"/>
    </row>
    <row r="359" spans="30:39">
      <c r="AD359" s="557"/>
      <c r="AE359" s="555"/>
      <c r="AF359" s="555"/>
      <c r="AG359" s="555"/>
      <c r="AH359" s="555"/>
      <c r="AI359" s="555"/>
      <c r="AJ359" s="555"/>
      <c r="AK359" s="555"/>
      <c r="AL359" s="557"/>
      <c r="AM359" s="555"/>
    </row>
    <row r="360" spans="30:39">
      <c r="AD360" s="557"/>
      <c r="AE360" s="555"/>
      <c r="AF360" s="555"/>
      <c r="AG360" s="555"/>
      <c r="AH360" s="555"/>
      <c r="AI360" s="555"/>
      <c r="AJ360" s="555"/>
      <c r="AK360" s="555"/>
      <c r="AL360" s="555"/>
      <c r="AM360" s="1330"/>
    </row>
    <row r="361" spans="30:39">
      <c r="AD361" s="555"/>
      <c r="AE361" s="555"/>
      <c r="AF361" s="555"/>
      <c r="AG361" s="555"/>
      <c r="AH361" s="555"/>
      <c r="AI361" s="555"/>
      <c r="AJ361" s="555"/>
      <c r="AK361" s="555"/>
      <c r="AL361" s="555"/>
      <c r="AM361" s="558"/>
    </row>
    <row r="362" spans="30:39">
      <c r="AD362" s="555"/>
      <c r="AE362" s="555"/>
      <c r="AF362" s="555"/>
      <c r="AG362" s="555"/>
      <c r="AH362" s="555"/>
      <c r="AI362" s="555"/>
      <c r="AJ362" s="555"/>
      <c r="AK362" s="555"/>
      <c r="AL362" s="555"/>
      <c r="AM362" s="555"/>
    </row>
    <row r="363" spans="30:39">
      <c r="AD363" s="555"/>
      <c r="AE363" s="555"/>
      <c r="AF363" s="555"/>
      <c r="AG363" s="555"/>
      <c r="AH363" s="555"/>
      <c r="AI363" s="555"/>
      <c r="AJ363" s="555"/>
      <c r="AK363" s="555"/>
      <c r="AL363" s="555"/>
      <c r="AM363" s="555"/>
    </row>
    <row r="364" spans="30:39">
      <c r="AD364" s="555"/>
      <c r="AE364" s="555"/>
      <c r="AF364" s="555"/>
      <c r="AG364" s="555"/>
      <c r="AH364" s="555"/>
      <c r="AI364" s="555"/>
      <c r="AJ364" s="555"/>
      <c r="AK364" s="555"/>
      <c r="AL364" s="555"/>
      <c r="AM364" s="555"/>
    </row>
    <row r="365" spans="30:39">
      <c r="AD365" s="555"/>
      <c r="AE365" s="555"/>
      <c r="AF365" s="555"/>
      <c r="AG365" s="555"/>
      <c r="AH365" s="555"/>
      <c r="AI365" s="555"/>
      <c r="AJ365" s="555"/>
      <c r="AK365" s="555"/>
      <c r="AL365" s="559"/>
      <c r="AM365" s="559"/>
    </row>
    <row r="366" spans="30:39">
      <c r="AD366" s="555"/>
      <c r="AE366" s="555"/>
      <c r="AF366" s="555"/>
      <c r="AG366" s="555"/>
      <c r="AH366" s="555"/>
      <c r="AI366" s="555"/>
      <c r="AJ366" s="555"/>
      <c r="AK366" s="555"/>
      <c r="AL366" s="559"/>
      <c r="AM366" s="559"/>
    </row>
    <row r="367" spans="30:39">
      <c r="AD367" s="1331"/>
      <c r="AE367" s="1332"/>
      <c r="AF367" s="1332"/>
      <c r="AG367" s="1332"/>
      <c r="AH367" s="1333"/>
      <c r="AI367" s="1332"/>
      <c r="AJ367" s="1334"/>
      <c r="AK367" s="555"/>
      <c r="AL367" s="550"/>
      <c r="AM367" s="550"/>
    </row>
    <row r="368" spans="30:39">
      <c r="AD368" s="1315"/>
      <c r="AE368" s="557"/>
      <c r="AF368" s="557"/>
      <c r="AG368" s="557"/>
      <c r="AH368" s="1313"/>
      <c r="AI368" s="1313"/>
      <c r="AJ368" s="1313"/>
      <c r="AK368" s="555"/>
      <c r="AL368" s="555"/>
      <c r="AM368" s="555"/>
    </row>
    <row r="369" spans="30:39">
      <c r="AD369" s="1310"/>
      <c r="AE369" s="555"/>
      <c r="AF369" s="555"/>
      <c r="AG369" s="555"/>
      <c r="AH369" s="557"/>
      <c r="AI369" s="555"/>
      <c r="AJ369" s="931"/>
      <c r="AK369" s="555"/>
      <c r="AL369" s="936"/>
      <c r="AM369" s="931"/>
    </row>
    <row r="370" spans="30:39">
      <c r="AD370" s="1310"/>
      <c r="AE370" s="555"/>
      <c r="AF370" s="555"/>
      <c r="AG370" s="555"/>
      <c r="AH370" s="555"/>
      <c r="AI370" s="555"/>
      <c r="AJ370" s="931"/>
      <c r="AK370" s="555"/>
      <c r="AL370" s="936"/>
      <c r="AM370" s="936"/>
    </row>
    <row r="371" spans="30:39">
      <c r="AD371" s="1310"/>
      <c r="AE371" s="555"/>
      <c r="AF371" s="555"/>
      <c r="AG371" s="555"/>
      <c r="AH371" s="557"/>
      <c r="AI371" s="555"/>
      <c r="AJ371" s="936"/>
      <c r="AK371" s="555"/>
      <c r="AL371" s="936"/>
      <c r="AM371" s="931"/>
    </row>
    <row r="372" spans="30:39">
      <c r="AD372" s="1310"/>
      <c r="AE372" s="555"/>
      <c r="AF372" s="555"/>
      <c r="AG372" s="555"/>
      <c r="AH372" s="557"/>
      <c r="AI372" s="555"/>
      <c r="AJ372" s="936"/>
      <c r="AK372" s="555"/>
      <c r="AL372" s="936"/>
      <c r="AM372" s="931"/>
    </row>
    <row r="373" spans="30:39">
      <c r="AD373" s="1310"/>
      <c r="AE373" s="555"/>
      <c r="AF373" s="555"/>
      <c r="AG373" s="555"/>
      <c r="AH373" s="557"/>
      <c r="AI373" s="555"/>
      <c r="AJ373" s="936"/>
      <c r="AK373" s="555"/>
      <c r="AL373" s="936"/>
      <c r="AM373" s="931"/>
    </row>
    <row r="374" spans="30:39">
      <c r="AD374" s="1310"/>
      <c r="AE374" s="555"/>
      <c r="AF374" s="555"/>
      <c r="AG374" s="555"/>
      <c r="AH374" s="557"/>
      <c r="AI374" s="555"/>
      <c r="AJ374" s="936"/>
      <c r="AK374" s="555"/>
      <c r="AL374" s="936"/>
      <c r="AM374" s="931"/>
    </row>
    <row r="375" spans="30:39">
      <c r="AD375" s="1310"/>
      <c r="AE375" s="555"/>
      <c r="AF375" s="555"/>
      <c r="AG375" s="555"/>
      <c r="AH375" s="557"/>
      <c r="AI375" s="555"/>
      <c r="AJ375" s="936"/>
      <c r="AK375" s="555"/>
      <c r="AL375" s="936"/>
      <c r="AM375" s="931"/>
    </row>
    <row r="376" spans="30:39">
      <c r="AD376" s="1310"/>
      <c r="AE376" s="555"/>
      <c r="AF376" s="555"/>
      <c r="AG376" s="555"/>
      <c r="AH376" s="557"/>
      <c r="AI376" s="555"/>
      <c r="AJ376" s="936"/>
      <c r="AK376" s="555"/>
      <c r="AL376" s="936"/>
      <c r="AM376" s="931"/>
    </row>
    <row r="377" spans="30:39">
      <c r="AD377" s="1310"/>
      <c r="AE377" s="555"/>
      <c r="AF377" s="555"/>
      <c r="AG377" s="555"/>
      <c r="AH377" s="557"/>
      <c r="AI377" s="555"/>
      <c r="AJ377" s="936"/>
      <c r="AK377" s="555"/>
      <c r="AL377" s="936"/>
      <c r="AM377" s="931"/>
    </row>
    <row r="378" spans="30:39">
      <c r="AD378" s="1310"/>
      <c r="AE378" s="555"/>
      <c r="AF378" s="555"/>
      <c r="AG378" s="555"/>
      <c r="AH378" s="557"/>
      <c r="AI378" s="555"/>
      <c r="AJ378" s="936"/>
      <c r="AK378" s="555"/>
      <c r="AL378" s="936"/>
      <c r="AM378" s="931"/>
    </row>
    <row r="379" spans="30:39">
      <c r="AD379" s="1310"/>
      <c r="AE379" s="555"/>
      <c r="AF379" s="555"/>
      <c r="AG379" s="555"/>
      <c r="AH379" s="557"/>
      <c r="AI379" s="555"/>
      <c r="AJ379" s="936"/>
      <c r="AK379" s="555"/>
      <c r="AL379" s="936"/>
      <c r="AM379" s="931"/>
    </row>
    <row r="380" spans="30:39">
      <c r="AD380" s="1310"/>
      <c r="AE380" s="555"/>
      <c r="AF380" s="555"/>
      <c r="AG380" s="555"/>
      <c r="AH380" s="557"/>
      <c r="AI380" s="555"/>
      <c r="AJ380" s="936"/>
      <c r="AK380" s="555"/>
      <c r="AL380" s="936"/>
      <c r="AM380" s="931"/>
    </row>
    <row r="381" spans="30:39">
      <c r="AD381" s="1310"/>
      <c r="AE381" s="555"/>
      <c r="AF381" s="555"/>
      <c r="AG381" s="555"/>
      <c r="AH381" s="557"/>
      <c r="AI381" s="555"/>
      <c r="AJ381" s="936"/>
      <c r="AK381" s="555"/>
      <c r="AL381" s="936"/>
      <c r="AM381" s="931"/>
    </row>
    <row r="382" spans="30:39">
      <c r="AD382" s="1310"/>
      <c r="AE382" s="555"/>
      <c r="AF382" s="555"/>
      <c r="AG382" s="555"/>
      <c r="AH382" s="557"/>
      <c r="AI382" s="555"/>
      <c r="AJ382" s="936"/>
      <c r="AK382" s="555"/>
      <c r="AL382" s="936"/>
      <c r="AM382" s="931"/>
    </row>
    <row r="383" spans="30:39">
      <c r="AD383" s="1310"/>
      <c r="AE383" s="555"/>
      <c r="AF383" s="555"/>
      <c r="AG383" s="555"/>
      <c r="AH383" s="557"/>
      <c r="AI383" s="555"/>
      <c r="AJ383" s="936"/>
      <c r="AK383" s="555"/>
      <c r="AL383" s="936"/>
      <c r="AM383" s="931"/>
    </row>
    <row r="384" spans="30:39">
      <c r="AD384" s="1310"/>
      <c r="AE384" s="555"/>
      <c r="AF384" s="555"/>
      <c r="AG384" s="555"/>
      <c r="AH384" s="557"/>
      <c r="AI384" s="555"/>
      <c r="AJ384" s="936"/>
      <c r="AK384" s="555"/>
      <c r="AL384" s="936"/>
      <c r="AM384" s="931"/>
    </row>
    <row r="385" spans="30:39">
      <c r="AD385" s="1310"/>
      <c r="AE385" s="555"/>
      <c r="AF385" s="555"/>
      <c r="AG385" s="555"/>
      <c r="AH385" s="557"/>
      <c r="AI385" s="555"/>
      <c r="AJ385" s="936"/>
      <c r="AK385" s="555"/>
      <c r="AL385" s="936"/>
      <c r="AM385" s="931"/>
    </row>
    <row r="386" spans="30:39">
      <c r="AD386" s="1310"/>
      <c r="AE386" s="555"/>
      <c r="AF386" s="555"/>
      <c r="AG386" s="555"/>
      <c r="AH386" s="557"/>
      <c r="AI386" s="555"/>
      <c r="AJ386" s="936"/>
      <c r="AK386" s="555"/>
      <c r="AL386" s="936"/>
      <c r="AM386" s="931"/>
    </row>
    <row r="387" spans="30:39">
      <c r="AD387" s="1310"/>
      <c r="AE387" s="555"/>
      <c r="AF387" s="555"/>
      <c r="AG387" s="555"/>
      <c r="AH387" s="557"/>
      <c r="AI387" s="555"/>
      <c r="AJ387" s="936"/>
      <c r="AK387" s="555"/>
      <c r="AL387" s="936"/>
      <c r="AM387" s="931"/>
    </row>
    <row r="388" spans="30:39">
      <c r="AD388" s="1310"/>
      <c r="AE388" s="555"/>
      <c r="AF388" s="555"/>
      <c r="AG388" s="555"/>
      <c r="AH388" s="557"/>
      <c r="AI388" s="555"/>
      <c r="AJ388" s="936"/>
      <c r="AK388" s="555"/>
      <c r="AL388" s="936"/>
      <c r="AM388" s="931"/>
    </row>
    <row r="389" spans="30:39">
      <c r="AD389" s="1310"/>
      <c r="AE389" s="555"/>
      <c r="AF389" s="555"/>
      <c r="AG389" s="555"/>
      <c r="AH389" s="557"/>
      <c r="AI389" s="555"/>
      <c r="AJ389" s="936"/>
      <c r="AK389" s="555"/>
      <c r="AL389" s="936"/>
      <c r="AM389" s="931"/>
    </row>
    <row r="390" spans="30:39">
      <c r="AD390" s="1310"/>
      <c r="AE390" s="555"/>
      <c r="AF390" s="555"/>
      <c r="AG390" s="555"/>
      <c r="AH390" s="557"/>
      <c r="AI390" s="555"/>
      <c r="AJ390" s="936"/>
      <c r="AK390" s="555"/>
      <c r="AL390" s="936"/>
      <c r="AM390" s="931"/>
    </row>
    <row r="391" spans="30:39">
      <c r="AD391" s="1310"/>
      <c r="AE391" s="555"/>
      <c r="AF391" s="555"/>
      <c r="AG391" s="555"/>
      <c r="AH391" s="557"/>
      <c r="AI391" s="555"/>
      <c r="AJ391" s="936"/>
      <c r="AK391" s="555"/>
      <c r="AL391" s="936"/>
      <c r="AM391" s="931"/>
    </row>
    <row r="392" spans="30:39">
      <c r="AD392" s="1310"/>
      <c r="AE392" s="555"/>
      <c r="AF392" s="555"/>
      <c r="AG392" s="555"/>
      <c r="AH392" s="557"/>
      <c r="AI392" s="555"/>
      <c r="AJ392" s="936"/>
      <c r="AK392" s="555"/>
      <c r="AL392" s="936"/>
      <c r="AM392" s="931"/>
    </row>
    <row r="393" spans="30:39">
      <c r="AD393" s="1310"/>
      <c r="AE393" s="555"/>
      <c r="AF393" s="555"/>
      <c r="AG393" s="555"/>
      <c r="AH393" s="557"/>
      <c r="AI393" s="555"/>
      <c r="AJ393" s="936"/>
      <c r="AK393" s="555"/>
      <c r="AL393" s="936"/>
      <c r="AM393" s="931"/>
    </row>
    <row r="394" spans="30:39">
      <c r="AD394" s="1310"/>
      <c r="AE394" s="555"/>
      <c r="AF394" s="555"/>
      <c r="AG394" s="555"/>
      <c r="AH394" s="557"/>
      <c r="AI394" s="555"/>
      <c r="AJ394" s="936"/>
      <c r="AK394" s="555"/>
      <c r="AL394" s="936"/>
      <c r="AM394" s="931"/>
    </row>
    <row r="395" spans="30:39">
      <c r="AD395" s="1310"/>
      <c r="AE395" s="555"/>
      <c r="AF395" s="555"/>
      <c r="AG395" s="555"/>
      <c r="AH395" s="557"/>
      <c r="AI395" s="555"/>
      <c r="AJ395" s="936"/>
      <c r="AK395" s="555"/>
      <c r="AL395" s="936"/>
      <c r="AM395" s="931"/>
    </row>
    <row r="396" spans="30:39">
      <c r="AD396" s="1310"/>
      <c r="AE396" s="555"/>
      <c r="AF396" s="555"/>
      <c r="AG396" s="555"/>
      <c r="AH396" s="557"/>
      <c r="AI396" s="555"/>
      <c r="AJ396" s="936"/>
      <c r="AK396" s="555"/>
      <c r="AL396" s="936"/>
      <c r="AM396" s="931"/>
    </row>
    <row r="397" spans="30:39">
      <c r="AD397" s="1310"/>
      <c r="AE397" s="555"/>
      <c r="AF397" s="555"/>
      <c r="AG397" s="555"/>
      <c r="AH397" s="557"/>
      <c r="AI397" s="555"/>
      <c r="AJ397" s="936"/>
      <c r="AK397" s="555"/>
      <c r="AL397" s="936"/>
      <c r="AM397" s="931"/>
    </row>
    <row r="398" spans="30:39">
      <c r="AD398" s="1310"/>
      <c r="AE398" s="555"/>
      <c r="AF398" s="555"/>
      <c r="AG398" s="555"/>
      <c r="AH398" s="557"/>
      <c r="AI398" s="555"/>
      <c r="AJ398" s="936"/>
      <c r="AK398" s="555"/>
      <c r="AL398" s="936"/>
      <c r="AM398" s="931"/>
    </row>
    <row r="399" spans="30:39">
      <c r="AD399" s="1310"/>
      <c r="AE399" s="555"/>
      <c r="AF399" s="555"/>
      <c r="AG399" s="555"/>
      <c r="AH399" s="555"/>
      <c r="AI399" s="555"/>
      <c r="AJ399" s="555"/>
      <c r="AK399" s="555"/>
      <c r="AL399" s="936"/>
      <c r="AM399" s="931"/>
    </row>
    <row r="400" spans="30:39">
      <c r="AD400" s="1310"/>
      <c r="AE400" s="555"/>
      <c r="AF400" s="555"/>
      <c r="AG400" s="555"/>
      <c r="AH400" s="557"/>
      <c r="AI400" s="555"/>
      <c r="AJ400" s="931"/>
      <c r="AK400" s="555"/>
      <c r="AL400" s="936"/>
      <c r="AM400" s="931"/>
    </row>
    <row r="401" spans="30:39">
      <c r="AD401" s="1310"/>
      <c r="AE401" s="555"/>
      <c r="AF401" s="555"/>
      <c r="AG401" s="555"/>
      <c r="AH401" s="555"/>
      <c r="AI401" s="555"/>
      <c r="AJ401" s="931"/>
      <c r="AK401" s="555"/>
      <c r="AL401" s="936"/>
      <c r="AM401" s="931"/>
    </row>
    <row r="402" spans="30:39">
      <c r="AD402" s="1310"/>
      <c r="AE402" s="555"/>
      <c r="AF402" s="555"/>
      <c r="AG402" s="555"/>
      <c r="AH402" s="557"/>
      <c r="AI402" s="555"/>
      <c r="AJ402" s="936"/>
      <c r="AK402" s="555"/>
      <c r="AL402" s="936"/>
      <c r="AM402" s="931"/>
    </row>
    <row r="403" spans="30:39">
      <c r="AD403" s="1310"/>
      <c r="AE403" s="555"/>
      <c r="AF403" s="555"/>
      <c r="AG403" s="555"/>
      <c r="AH403" s="557"/>
      <c r="AI403" s="555"/>
      <c r="AJ403" s="936"/>
      <c r="AK403" s="555"/>
      <c r="AL403" s="936"/>
      <c r="AM403" s="931"/>
    </row>
    <row r="404" spans="30:39">
      <c r="AD404" s="1310"/>
      <c r="AE404" s="555"/>
      <c r="AF404" s="555"/>
      <c r="AG404" s="555"/>
      <c r="AH404" s="557"/>
      <c r="AI404" s="555"/>
      <c r="AJ404" s="936"/>
      <c r="AK404" s="555"/>
      <c r="AL404" s="936"/>
      <c r="AM404" s="931"/>
    </row>
    <row r="405" spans="30:39">
      <c r="AD405" s="1310"/>
      <c r="AE405" s="555"/>
      <c r="AF405" s="555"/>
      <c r="AG405" s="555"/>
      <c r="AH405" s="557"/>
      <c r="AI405" s="555"/>
      <c r="AJ405" s="936"/>
      <c r="AK405" s="555"/>
      <c r="AL405" s="936"/>
      <c r="AM405" s="931"/>
    </row>
    <row r="406" spans="30:39">
      <c r="AD406" s="1310"/>
      <c r="AE406" s="555"/>
      <c r="AF406" s="555"/>
      <c r="AG406" s="555"/>
      <c r="AH406" s="555"/>
      <c r="AI406" s="555"/>
      <c r="AJ406" s="555"/>
      <c r="AK406" s="555"/>
      <c r="AL406" s="936"/>
      <c r="AM406" s="931"/>
    </row>
    <row r="407" spans="30:39">
      <c r="AD407" s="1310"/>
      <c r="AE407" s="555"/>
      <c r="AF407" s="555"/>
      <c r="AG407" s="555"/>
      <c r="AH407" s="557"/>
      <c r="AI407" s="555"/>
      <c r="AJ407" s="931"/>
      <c r="AK407" s="555"/>
      <c r="AL407" s="936"/>
      <c r="AM407" s="931"/>
    </row>
    <row r="408" spans="30:39">
      <c r="AD408" s="1310"/>
      <c r="AE408" s="555"/>
      <c r="AF408" s="555"/>
      <c r="AG408" s="555"/>
      <c r="AH408" s="555"/>
      <c r="AI408" s="555"/>
      <c r="AJ408" s="931"/>
      <c r="AK408" s="555"/>
      <c r="AL408" s="936"/>
      <c r="AM408" s="931"/>
    </row>
    <row r="409" spans="30:39">
      <c r="AD409" s="1310"/>
      <c r="AE409" s="555"/>
      <c r="AF409" s="555"/>
      <c r="AG409" s="555"/>
      <c r="AH409" s="557"/>
      <c r="AI409" s="555"/>
      <c r="AJ409" s="931"/>
      <c r="AK409" s="555"/>
      <c r="AL409" s="936"/>
      <c r="AM409" s="931"/>
    </row>
    <row r="410" spans="30:39">
      <c r="AD410" s="1310"/>
      <c r="AE410" s="555"/>
      <c r="AF410" s="555"/>
      <c r="AG410" s="555"/>
      <c r="AH410" s="555"/>
      <c r="AI410" s="555"/>
      <c r="AJ410" s="1310"/>
      <c r="AK410" s="555"/>
      <c r="AL410" s="936"/>
      <c r="AM410" s="931"/>
    </row>
    <row r="411" spans="30:39">
      <c r="AD411" s="1310"/>
      <c r="AE411" s="555"/>
      <c r="AF411" s="555"/>
      <c r="AG411" s="555"/>
      <c r="AH411" s="557"/>
      <c r="AI411" s="555"/>
      <c r="AJ411" s="931"/>
      <c r="AK411" s="555"/>
      <c r="AL411" s="936"/>
      <c r="AM411" s="931"/>
    </row>
    <row r="412" spans="30:39">
      <c r="AD412" s="1310"/>
      <c r="AE412" s="555"/>
      <c r="AF412" s="555"/>
      <c r="AG412" s="555"/>
      <c r="AH412" s="555"/>
      <c r="AI412" s="555"/>
      <c r="AJ412" s="555"/>
      <c r="AK412" s="555"/>
      <c r="AL412" s="936"/>
      <c r="AM412" s="931"/>
    </row>
    <row r="413" spans="30:39">
      <c r="AD413" s="1310"/>
      <c r="AE413" s="555"/>
      <c r="AF413" s="555"/>
      <c r="AG413" s="555"/>
      <c r="AH413" s="557"/>
      <c r="AI413" s="555"/>
      <c r="AJ413" s="931"/>
      <c r="AK413" s="555"/>
      <c r="AL413" s="936"/>
      <c r="AM413" s="931"/>
    </row>
    <row r="414" spans="30:39">
      <c r="AD414" s="1310"/>
      <c r="AE414" s="555"/>
      <c r="AF414" s="555"/>
      <c r="AG414" s="555"/>
      <c r="AH414" s="557"/>
      <c r="AI414" s="555"/>
      <c r="AJ414" s="931"/>
      <c r="AK414" s="555"/>
      <c r="AL414" s="936"/>
      <c r="AM414" s="931"/>
    </row>
    <row r="415" spans="30:39">
      <c r="AD415" s="1310"/>
      <c r="AE415" s="555"/>
      <c r="AF415" s="555"/>
      <c r="AG415" s="555"/>
      <c r="AH415" s="555"/>
      <c r="AI415" s="555"/>
      <c r="AJ415" s="931"/>
      <c r="AK415" s="555"/>
      <c r="AL415" s="936"/>
      <c r="AM415" s="931"/>
    </row>
    <row r="416" spans="30:39">
      <c r="AD416" s="1310"/>
      <c r="AE416" s="555"/>
      <c r="AF416" s="555"/>
      <c r="AG416" s="555"/>
      <c r="AH416" s="557"/>
      <c r="AI416" s="555"/>
      <c r="AJ416" s="931"/>
      <c r="AK416" s="936"/>
      <c r="AL416" s="936"/>
      <c r="AM416" s="931"/>
    </row>
    <row r="417" spans="30:39">
      <c r="AD417" s="1310"/>
      <c r="AE417" s="555"/>
      <c r="AF417" s="555"/>
      <c r="AG417" s="555"/>
      <c r="AH417" s="555"/>
      <c r="AI417" s="555"/>
      <c r="AJ417" s="931"/>
      <c r="AK417" s="936"/>
      <c r="AL417" s="936"/>
      <c r="AM417" s="931"/>
    </row>
    <row r="418" spans="30:39">
      <c r="AD418" s="1310"/>
      <c r="AE418" s="555"/>
      <c r="AF418" s="555"/>
      <c r="AG418" s="555"/>
      <c r="AH418" s="555"/>
      <c r="AI418" s="555"/>
      <c r="AJ418" s="931"/>
      <c r="AK418" s="936"/>
      <c r="AL418" s="936"/>
      <c r="AM418" s="931"/>
    </row>
    <row r="419" spans="30:39">
      <c r="AD419" s="1310"/>
      <c r="AE419" s="555"/>
      <c r="AF419" s="555"/>
      <c r="AG419" s="555"/>
      <c r="AH419" s="557"/>
      <c r="AI419" s="555"/>
      <c r="AJ419" s="931"/>
      <c r="AK419" s="936"/>
      <c r="AL419" s="936"/>
      <c r="AM419" s="931"/>
    </row>
    <row r="420" spans="30:39">
      <c r="AD420" s="1310"/>
      <c r="AE420" s="550"/>
      <c r="AF420" s="550"/>
      <c r="AG420" s="550"/>
      <c r="AH420" s="557"/>
      <c r="AI420" s="555"/>
      <c r="AJ420" s="936"/>
      <c r="AK420" s="936"/>
      <c r="AL420" s="936"/>
      <c r="AM420" s="931"/>
    </row>
    <row r="421" spans="30:39">
      <c r="AD421" s="1310"/>
      <c r="AE421" s="550"/>
      <c r="AF421" s="550"/>
      <c r="AG421" s="550"/>
      <c r="AH421" s="557"/>
      <c r="AI421" s="555"/>
      <c r="AJ421" s="936"/>
      <c r="AK421" s="936"/>
      <c r="AL421" s="936"/>
      <c r="AM421" s="931"/>
    </row>
    <row r="422" spans="30:39">
      <c r="AD422" s="1310"/>
      <c r="AE422" s="550"/>
      <c r="AF422" s="550"/>
      <c r="AG422" s="550"/>
      <c r="AH422" s="557"/>
      <c r="AI422" s="555"/>
      <c r="AJ422" s="936"/>
      <c r="AK422" s="936"/>
      <c r="AL422" s="936"/>
      <c r="AM422" s="931"/>
    </row>
    <row r="423" spans="30:39">
      <c r="AD423" s="1310"/>
      <c r="AE423" s="550"/>
      <c r="AF423" s="550"/>
      <c r="AG423" s="550"/>
      <c r="AH423" s="557"/>
      <c r="AI423" s="555"/>
      <c r="AJ423" s="936"/>
      <c r="AK423" s="936"/>
      <c r="AL423" s="936"/>
      <c r="AM423" s="931"/>
    </row>
    <row r="424" spans="30:39">
      <c r="AD424" s="1310"/>
      <c r="AE424" s="555"/>
      <c r="AF424" s="555"/>
      <c r="AG424" s="555"/>
      <c r="AH424" s="555"/>
      <c r="AI424" s="555"/>
      <c r="AJ424" s="931"/>
      <c r="AK424" s="931"/>
      <c r="AL424" s="931"/>
      <c r="AM424" s="931"/>
    </row>
    <row r="425" spans="30:39">
      <c r="AD425" s="1310"/>
      <c r="AE425" s="555"/>
      <c r="AF425" s="555"/>
      <c r="AG425" s="555"/>
      <c r="AH425" s="557"/>
      <c r="AI425" s="555"/>
      <c r="AJ425" s="931"/>
      <c r="AK425" s="931"/>
      <c r="AL425" s="931"/>
      <c r="AM425" s="931"/>
    </row>
    <row r="426" spans="30:39">
      <c r="AD426" s="1310"/>
      <c r="AE426" s="555"/>
      <c r="AF426" s="555"/>
      <c r="AG426" s="555"/>
      <c r="AH426" s="555"/>
      <c r="AI426" s="555"/>
      <c r="AJ426" s="555"/>
      <c r="AK426" s="555"/>
      <c r="AL426" s="931"/>
      <c r="AM426" s="931"/>
    </row>
    <row r="427" spans="30:39">
      <c r="AD427" s="1310"/>
      <c r="AE427" s="555"/>
      <c r="AF427" s="555"/>
      <c r="AG427" s="555"/>
      <c r="AH427" s="557"/>
      <c r="AI427" s="555"/>
      <c r="AJ427" s="931"/>
      <c r="AK427" s="931"/>
      <c r="AL427" s="931"/>
      <c r="AM427" s="931"/>
    </row>
    <row r="428" spans="30:39">
      <c r="AD428" s="1310"/>
      <c r="AE428" s="555"/>
      <c r="AF428" s="555"/>
      <c r="AG428" s="555"/>
      <c r="AH428" s="557"/>
      <c r="AI428" s="555"/>
      <c r="AJ428" s="936"/>
      <c r="AK428" s="936"/>
      <c r="AL428" s="936"/>
      <c r="AM428" s="931"/>
    </row>
    <row r="429" spans="30:39">
      <c r="AD429" s="1310"/>
      <c r="AE429" s="555"/>
      <c r="AF429" s="555"/>
      <c r="AG429" s="555"/>
      <c r="AH429" s="555"/>
      <c r="AI429" s="555"/>
      <c r="AJ429" s="555"/>
      <c r="AK429" s="555"/>
      <c r="AL429" s="931"/>
      <c r="AM429" s="931"/>
    </row>
    <row r="430" spans="30:39">
      <c r="AD430" s="1310"/>
      <c r="AE430" s="555"/>
      <c r="AF430" s="555"/>
      <c r="AG430" s="555"/>
      <c r="AH430" s="557"/>
      <c r="AI430" s="555"/>
      <c r="AJ430" s="931"/>
      <c r="AK430" s="931"/>
      <c r="AL430" s="931"/>
      <c r="AM430" s="931"/>
    </row>
    <row r="431" spans="30:39">
      <c r="AD431" s="1310"/>
      <c r="AE431" s="555"/>
      <c r="AF431" s="555"/>
      <c r="AG431" s="555"/>
      <c r="AH431" s="555"/>
      <c r="AI431" s="555"/>
      <c r="AJ431" s="931"/>
      <c r="AK431" s="931"/>
      <c r="AL431" s="931"/>
      <c r="AM431" s="931"/>
    </row>
    <row r="432" spans="30:39">
      <c r="AD432" s="1310"/>
      <c r="AE432" s="555"/>
      <c r="AF432" s="555"/>
      <c r="AG432" s="555"/>
      <c r="AH432" s="557"/>
      <c r="AI432" s="555"/>
      <c r="AJ432" s="931"/>
      <c r="AK432" s="931"/>
      <c r="AL432" s="931"/>
      <c r="AM432" s="931"/>
    </row>
    <row r="433" spans="30:39">
      <c r="AD433" s="1310"/>
      <c r="AE433" s="555"/>
      <c r="AF433" s="555"/>
      <c r="AG433" s="555"/>
      <c r="AH433" s="557"/>
      <c r="AI433" s="555"/>
      <c r="AJ433" s="936"/>
      <c r="AK433" s="936"/>
      <c r="AL433" s="936"/>
      <c r="AM433" s="931"/>
    </row>
    <row r="434" spans="30:39">
      <c r="AD434" s="1310"/>
      <c r="AE434" s="555"/>
      <c r="AF434" s="555"/>
      <c r="AG434" s="555"/>
      <c r="AH434" s="555"/>
      <c r="AI434" s="555"/>
      <c r="AJ434" s="931"/>
      <c r="AK434" s="931"/>
      <c r="AL434" s="931"/>
      <c r="AM434" s="931"/>
    </row>
    <row r="435" spans="30:39">
      <c r="AD435" s="1310"/>
      <c r="AE435" s="555"/>
      <c r="AF435" s="555"/>
      <c r="AG435" s="555"/>
      <c r="AH435" s="557"/>
      <c r="AI435" s="555"/>
      <c r="AJ435" s="931"/>
      <c r="AK435" s="931"/>
      <c r="AL435" s="931"/>
      <c r="AM435" s="931"/>
    </row>
    <row r="436" spans="30:39">
      <c r="AD436" s="1310"/>
      <c r="AE436" s="555"/>
      <c r="AF436" s="555"/>
      <c r="AG436" s="555"/>
      <c r="AH436" s="555"/>
      <c r="AI436" s="555"/>
      <c r="AJ436" s="931"/>
      <c r="AK436" s="931"/>
      <c r="AL436" s="931"/>
      <c r="AM436" s="931"/>
    </row>
    <row r="437" spans="30:39">
      <c r="AD437" s="1310"/>
      <c r="AE437" s="555"/>
      <c r="AF437" s="555"/>
      <c r="AG437" s="555"/>
      <c r="AH437" s="555"/>
      <c r="AI437" s="555"/>
      <c r="AJ437" s="931"/>
      <c r="AK437" s="931"/>
      <c r="AL437" s="931"/>
      <c r="AM437" s="931"/>
    </row>
    <row r="438" spans="30:39">
      <c r="AD438" s="557"/>
      <c r="AE438" s="555"/>
      <c r="AF438" s="555"/>
      <c r="AG438" s="555"/>
      <c r="AH438" s="555"/>
      <c r="AI438" s="555"/>
      <c r="AJ438" s="931"/>
      <c r="AK438" s="931"/>
      <c r="AL438" s="931"/>
      <c r="AM438" s="555"/>
    </row>
    <row r="439" spans="30:39">
      <c r="AD439" s="555"/>
      <c r="AE439" s="555"/>
      <c r="AF439" s="555"/>
      <c r="AG439" s="555"/>
      <c r="AH439" s="555"/>
      <c r="AI439" s="555"/>
      <c r="AJ439" s="555"/>
      <c r="AK439" s="555"/>
      <c r="AL439" s="555"/>
      <c r="AM439" s="555"/>
    </row>
    <row r="440" spans="30:39">
      <c r="AD440" s="555"/>
      <c r="AE440" s="555"/>
      <c r="AF440" s="555"/>
      <c r="AG440" s="555"/>
      <c r="AH440" s="555"/>
      <c r="AI440" s="555"/>
      <c r="AJ440" s="555"/>
      <c r="AK440" s="555"/>
      <c r="AL440" s="555"/>
      <c r="AM440" s="555"/>
    </row>
    <row r="441" spans="30:39">
      <c r="AD441" s="555"/>
      <c r="AE441" s="555"/>
      <c r="AF441" s="555"/>
      <c r="AG441" s="555"/>
      <c r="AH441" s="555"/>
      <c r="AI441" s="555"/>
      <c r="AJ441" s="555"/>
      <c r="AK441" s="555"/>
      <c r="AL441" s="555"/>
      <c r="AM441" s="555"/>
    </row>
    <row r="442" spans="30:39">
      <c r="AD442" s="555"/>
      <c r="AE442" s="555"/>
      <c r="AF442" s="555"/>
      <c r="AG442" s="555"/>
      <c r="AH442" s="555"/>
      <c r="AI442" s="555"/>
      <c r="AJ442" s="555"/>
      <c r="AK442" s="555"/>
      <c r="AL442" s="555"/>
      <c r="AM442" s="555"/>
    </row>
    <row r="443" spans="30:39">
      <c r="AD443" s="555"/>
      <c r="AE443" s="555"/>
      <c r="AF443" s="555"/>
      <c r="AG443" s="555"/>
      <c r="AH443" s="555"/>
      <c r="AI443" s="555"/>
      <c r="AJ443" s="555"/>
      <c r="AK443" s="555"/>
      <c r="AL443" s="555"/>
      <c r="AM443" s="555"/>
    </row>
    <row r="444" spans="30:39">
      <c r="AD444" s="555"/>
      <c r="AE444" s="555"/>
      <c r="AF444" s="555"/>
      <c r="AG444" s="555"/>
      <c r="AH444" s="555"/>
      <c r="AI444" s="555"/>
      <c r="AJ444" s="555"/>
      <c r="AK444" s="555"/>
      <c r="AL444" s="555"/>
      <c r="AM444" s="555"/>
    </row>
    <row r="445" spans="30:39">
      <c r="AD445" s="555"/>
      <c r="AE445" s="555"/>
      <c r="AF445" s="555"/>
      <c r="AG445" s="555"/>
      <c r="AH445" s="555"/>
      <c r="AI445" s="555"/>
      <c r="AJ445" s="555"/>
      <c r="AK445" s="555"/>
      <c r="AL445" s="555"/>
      <c r="AM445" s="555"/>
    </row>
    <row r="446" spans="30:39">
      <c r="AD446" s="555"/>
      <c r="AE446" s="555"/>
      <c r="AF446" s="555"/>
      <c r="AG446" s="555"/>
      <c r="AH446" s="555"/>
      <c r="AI446" s="555"/>
      <c r="AJ446" s="555"/>
      <c r="AK446" s="555"/>
      <c r="AL446" s="555"/>
      <c r="AM446" s="555"/>
    </row>
    <row r="447" spans="30:39">
      <c r="AD447" s="555"/>
      <c r="AE447" s="555"/>
      <c r="AF447" s="555"/>
      <c r="AG447" s="555"/>
      <c r="AH447" s="555"/>
      <c r="AI447" s="555"/>
      <c r="AJ447" s="555"/>
      <c r="AK447" s="555"/>
      <c r="AL447" s="555"/>
      <c r="AM447" s="555"/>
    </row>
    <row r="448" spans="30:39">
      <c r="AD448" s="555"/>
      <c r="AE448" s="555"/>
      <c r="AF448" s="555"/>
      <c r="AG448" s="555"/>
      <c r="AH448" s="555"/>
      <c r="AI448" s="555"/>
      <c r="AJ448" s="555"/>
      <c r="AK448" s="555"/>
      <c r="AL448" s="555"/>
      <c r="AM448" s="555"/>
    </row>
    <row r="449" spans="30:39">
      <c r="AD449" s="555"/>
      <c r="AE449" s="555"/>
      <c r="AF449" s="555"/>
      <c r="AG449" s="555"/>
      <c r="AH449" s="555"/>
      <c r="AI449" s="555"/>
      <c r="AJ449" s="555"/>
      <c r="AK449" s="555"/>
      <c r="AL449" s="555"/>
      <c r="AM449" s="555"/>
    </row>
    <row r="450" spans="30:39">
      <c r="AD450" s="555"/>
      <c r="AE450" s="555"/>
      <c r="AF450" s="555"/>
      <c r="AG450" s="555"/>
      <c r="AH450" s="555"/>
      <c r="AI450" s="555"/>
      <c r="AJ450" s="555"/>
      <c r="AK450" s="555"/>
      <c r="AL450" s="555"/>
      <c r="AM450" s="555"/>
    </row>
    <row r="451" spans="30:39">
      <c r="AD451" s="555"/>
      <c r="AE451" s="555"/>
      <c r="AF451" s="555"/>
      <c r="AG451" s="555"/>
      <c r="AH451" s="555"/>
      <c r="AI451" s="555"/>
      <c r="AJ451" s="555"/>
      <c r="AK451" s="555"/>
      <c r="AL451" s="555"/>
      <c r="AM451" s="555"/>
    </row>
    <row r="452" spans="30:39">
      <c r="AD452" s="555"/>
      <c r="AE452" s="555"/>
      <c r="AF452" s="555"/>
      <c r="AG452" s="555"/>
      <c r="AH452" s="555"/>
      <c r="AI452" s="555"/>
      <c r="AJ452" s="555"/>
      <c r="AK452" s="555"/>
      <c r="AL452" s="555"/>
      <c r="AM452" s="555"/>
    </row>
    <row r="453" spans="30:39">
      <c r="AD453" s="555"/>
      <c r="AE453" s="555"/>
      <c r="AF453" s="555"/>
      <c r="AG453" s="555"/>
      <c r="AH453" s="555"/>
      <c r="AI453" s="555"/>
      <c r="AJ453" s="555"/>
      <c r="AK453" s="555"/>
      <c r="AL453" s="555"/>
      <c r="AM453" s="555"/>
    </row>
    <row r="454" spans="30:39">
      <c r="AD454" s="555"/>
      <c r="AE454" s="555"/>
      <c r="AF454" s="555"/>
      <c r="AG454" s="555"/>
      <c r="AH454" s="555"/>
      <c r="AI454" s="555"/>
      <c r="AJ454" s="555"/>
      <c r="AK454" s="555"/>
      <c r="AL454" s="555"/>
      <c r="AM454" s="555"/>
    </row>
    <row r="455" spans="30:39">
      <c r="AD455" s="555"/>
      <c r="AE455" s="555"/>
      <c r="AF455" s="555"/>
      <c r="AG455" s="555"/>
      <c r="AH455" s="555"/>
      <c r="AI455" s="555"/>
      <c r="AJ455" s="555"/>
      <c r="AK455" s="555"/>
      <c r="AL455" s="555"/>
      <c r="AM455" s="555"/>
    </row>
    <row r="456" spans="30:39">
      <c r="AD456" s="555"/>
      <c r="AE456" s="555"/>
      <c r="AF456" s="555"/>
      <c r="AG456" s="555"/>
      <c r="AH456" s="555"/>
      <c r="AI456" s="555"/>
      <c r="AJ456" s="555"/>
      <c r="AK456" s="555"/>
      <c r="AL456" s="555"/>
      <c r="AM456" s="555"/>
    </row>
    <row r="457" spans="30:39">
      <c r="AD457" s="555"/>
      <c r="AE457" s="555"/>
      <c r="AF457" s="555"/>
      <c r="AG457" s="555"/>
      <c r="AH457" s="555"/>
      <c r="AI457" s="555"/>
      <c r="AJ457" s="555"/>
      <c r="AK457" s="555"/>
      <c r="AL457" s="555"/>
      <c r="AM457" s="555"/>
    </row>
    <row r="458" spans="30:39">
      <c r="AD458" s="555"/>
      <c r="AE458" s="555"/>
      <c r="AF458" s="555"/>
      <c r="AG458" s="555"/>
      <c r="AH458" s="555"/>
      <c r="AI458" s="555"/>
      <c r="AJ458" s="555"/>
      <c r="AK458" s="555"/>
      <c r="AL458" s="555"/>
      <c r="AM458" s="555"/>
    </row>
    <row r="459" spans="30:39">
      <c r="AD459" s="555"/>
      <c r="AE459" s="555"/>
      <c r="AF459" s="555"/>
      <c r="AG459" s="555"/>
      <c r="AH459" s="555"/>
      <c r="AI459" s="555"/>
      <c r="AJ459" s="555"/>
      <c r="AK459" s="555"/>
      <c r="AL459" s="555"/>
      <c r="AM459" s="555"/>
    </row>
    <row r="460" spans="30:39">
      <c r="AD460" s="555"/>
      <c r="AE460" s="555"/>
      <c r="AF460" s="555"/>
      <c r="AG460" s="555"/>
      <c r="AH460" s="555"/>
      <c r="AI460" s="555"/>
      <c r="AJ460" s="555"/>
      <c r="AK460" s="555"/>
      <c r="AL460" s="555"/>
      <c r="AM460" s="555"/>
    </row>
    <row r="461" spans="30:39">
      <c r="AD461" s="555"/>
      <c r="AE461" s="555"/>
      <c r="AF461" s="555"/>
      <c r="AG461" s="555"/>
      <c r="AH461" s="555"/>
      <c r="AI461" s="555"/>
      <c r="AJ461" s="555"/>
      <c r="AK461" s="555"/>
      <c r="AL461" s="555"/>
      <c r="AM461" s="555"/>
    </row>
    <row r="462" spans="30:39">
      <c r="AD462" s="555"/>
      <c r="AE462" s="555"/>
      <c r="AF462" s="555"/>
      <c r="AG462" s="555"/>
      <c r="AH462" s="555"/>
      <c r="AI462" s="555"/>
      <c r="AJ462" s="555"/>
      <c r="AK462" s="555"/>
      <c r="AL462" s="555"/>
      <c r="AM462" s="555"/>
    </row>
    <row r="463" spans="30:39">
      <c r="AD463" s="555"/>
      <c r="AE463" s="555"/>
      <c r="AF463" s="555"/>
      <c r="AG463" s="555"/>
      <c r="AH463" s="555"/>
      <c r="AI463" s="555"/>
      <c r="AJ463" s="555"/>
      <c r="AK463" s="555"/>
      <c r="AL463" s="555"/>
      <c r="AM463" s="555"/>
    </row>
    <row r="464" spans="30:39">
      <c r="AD464" s="555"/>
      <c r="AE464" s="555"/>
      <c r="AF464" s="555"/>
      <c r="AG464" s="555"/>
      <c r="AH464" s="555"/>
      <c r="AI464" s="555"/>
      <c r="AJ464" s="555"/>
      <c r="AK464" s="555"/>
      <c r="AL464" s="555"/>
      <c r="AM464" s="555"/>
    </row>
    <row r="465" spans="30:39">
      <c r="AD465" s="555"/>
      <c r="AE465" s="555"/>
      <c r="AF465" s="555"/>
      <c r="AG465" s="555"/>
      <c r="AH465" s="555"/>
      <c r="AI465" s="555"/>
      <c r="AJ465" s="555"/>
      <c r="AK465" s="555"/>
      <c r="AL465" s="555"/>
      <c r="AM465" s="555"/>
    </row>
    <row r="466" spans="30:39">
      <c r="AD466" s="555"/>
      <c r="AE466" s="555"/>
      <c r="AF466" s="555"/>
      <c r="AG466" s="555"/>
      <c r="AH466" s="555"/>
      <c r="AI466" s="555"/>
      <c r="AJ466" s="555"/>
      <c r="AK466" s="555"/>
      <c r="AL466" s="555"/>
      <c r="AM466" s="555"/>
    </row>
    <row r="467" spans="30:39">
      <c r="AD467" s="555"/>
      <c r="AE467" s="555"/>
      <c r="AF467" s="555"/>
      <c r="AG467" s="555"/>
      <c r="AH467" s="555"/>
      <c r="AI467" s="555"/>
      <c r="AJ467" s="555"/>
      <c r="AK467" s="555"/>
      <c r="AL467" s="555"/>
      <c r="AM467" s="555"/>
    </row>
    <row r="468" spans="30:39">
      <c r="AD468" s="555"/>
      <c r="AE468" s="555"/>
      <c r="AF468" s="555"/>
      <c r="AG468" s="555"/>
      <c r="AH468" s="555"/>
      <c r="AI468" s="555"/>
      <c r="AJ468" s="555"/>
      <c r="AK468" s="555"/>
      <c r="AL468" s="555"/>
      <c r="AM468" s="555"/>
    </row>
    <row r="469" spans="30:39">
      <c r="AD469" s="555"/>
      <c r="AE469" s="555"/>
      <c r="AF469" s="555"/>
      <c r="AG469" s="555"/>
      <c r="AH469" s="555"/>
      <c r="AI469" s="555"/>
      <c r="AJ469" s="555"/>
      <c r="AK469" s="555"/>
      <c r="AL469" s="555"/>
      <c r="AM469" s="555"/>
    </row>
    <row r="470" spans="30:39">
      <c r="AD470" s="555"/>
      <c r="AE470" s="555"/>
      <c r="AF470" s="555"/>
      <c r="AG470" s="555"/>
      <c r="AH470" s="555"/>
      <c r="AI470" s="555"/>
      <c r="AJ470" s="555"/>
      <c r="AK470" s="555"/>
      <c r="AL470" s="555"/>
      <c r="AM470" s="555"/>
    </row>
    <row r="471" spans="30:39">
      <c r="AD471" s="555"/>
      <c r="AE471" s="555"/>
      <c r="AF471" s="555"/>
      <c r="AG471" s="555"/>
      <c r="AH471" s="555"/>
      <c r="AI471" s="555"/>
      <c r="AJ471" s="555"/>
      <c r="AK471" s="555"/>
      <c r="AL471" s="555"/>
      <c r="AM471" s="555"/>
    </row>
    <row r="472" spans="30:39">
      <c r="AD472" s="555"/>
      <c r="AE472" s="555"/>
      <c r="AF472" s="555"/>
      <c r="AG472" s="555"/>
      <c r="AH472" s="555"/>
      <c r="AI472" s="555"/>
      <c r="AJ472" s="555"/>
      <c r="AK472" s="555"/>
      <c r="AL472" s="555"/>
      <c r="AM472" s="555"/>
    </row>
    <row r="473" spans="30:39">
      <c r="AD473" s="555"/>
      <c r="AE473" s="555"/>
      <c r="AF473" s="555"/>
      <c r="AG473" s="555"/>
      <c r="AH473" s="555"/>
      <c r="AI473" s="555"/>
      <c r="AJ473" s="555"/>
      <c r="AK473" s="555"/>
      <c r="AL473" s="555"/>
      <c r="AM473" s="555"/>
    </row>
    <row r="474" spans="30:39">
      <c r="AD474" s="555"/>
      <c r="AE474" s="555"/>
      <c r="AF474" s="555"/>
      <c r="AG474" s="555"/>
      <c r="AH474" s="555"/>
      <c r="AI474" s="555"/>
      <c r="AJ474" s="555"/>
      <c r="AK474" s="555"/>
      <c r="AL474" s="555"/>
      <c r="AM474" s="555"/>
    </row>
    <row r="475" spans="30:39">
      <c r="AD475" s="555"/>
      <c r="AE475" s="555"/>
      <c r="AF475" s="555"/>
      <c r="AG475" s="555"/>
      <c r="AH475" s="555"/>
      <c r="AI475" s="555"/>
      <c r="AJ475" s="555"/>
      <c r="AK475" s="555"/>
      <c r="AL475" s="555"/>
      <c r="AM475" s="555"/>
    </row>
    <row r="476" spans="30:39">
      <c r="AD476" s="555"/>
      <c r="AE476" s="555"/>
      <c r="AF476" s="555"/>
      <c r="AG476" s="555"/>
      <c r="AH476" s="555"/>
      <c r="AI476" s="555"/>
      <c r="AJ476" s="555"/>
      <c r="AK476" s="555"/>
      <c r="AL476" s="555"/>
      <c r="AM476" s="555"/>
    </row>
    <row r="477" spans="30:39">
      <c r="AD477" s="555"/>
      <c r="AE477" s="555"/>
      <c r="AF477" s="555"/>
      <c r="AG477" s="555"/>
      <c r="AH477" s="555"/>
      <c r="AI477" s="555"/>
      <c r="AJ477" s="555"/>
      <c r="AK477" s="555"/>
      <c r="AL477" s="555"/>
      <c r="AM477" s="555"/>
    </row>
    <row r="478" spans="30:39">
      <c r="AD478" s="555"/>
      <c r="AE478" s="555"/>
      <c r="AF478" s="555"/>
      <c r="AG478" s="555"/>
      <c r="AH478" s="555"/>
      <c r="AI478" s="555"/>
      <c r="AJ478" s="555"/>
      <c r="AK478" s="555"/>
      <c r="AL478" s="555"/>
      <c r="AM478" s="555"/>
    </row>
    <row r="479" spans="30:39">
      <c r="AD479" s="555"/>
      <c r="AE479" s="555"/>
      <c r="AF479" s="555"/>
      <c r="AG479" s="555"/>
      <c r="AH479" s="555"/>
      <c r="AI479" s="555"/>
      <c r="AJ479" s="555"/>
      <c r="AK479" s="555"/>
      <c r="AL479" s="555"/>
      <c r="AM479" s="555"/>
    </row>
    <row r="480" spans="30:39">
      <c r="AD480" s="555"/>
      <c r="AE480" s="555"/>
      <c r="AF480" s="555"/>
      <c r="AG480" s="555"/>
      <c r="AH480" s="555"/>
      <c r="AI480" s="555"/>
      <c r="AJ480" s="555"/>
      <c r="AK480" s="555"/>
      <c r="AL480" s="555"/>
      <c r="AM480" s="555"/>
    </row>
    <row r="481" spans="30:39">
      <c r="AD481" s="555"/>
      <c r="AE481" s="555"/>
      <c r="AF481" s="555"/>
      <c r="AG481" s="555"/>
      <c r="AH481" s="555"/>
      <c r="AI481" s="555"/>
      <c r="AJ481" s="555"/>
      <c r="AK481" s="555"/>
      <c r="AL481" s="555"/>
      <c r="AM481" s="555"/>
    </row>
    <row r="482" spans="30:39">
      <c r="AD482" s="555"/>
      <c r="AE482" s="555"/>
      <c r="AF482" s="555"/>
      <c r="AG482" s="555"/>
      <c r="AH482" s="555"/>
      <c r="AI482" s="555"/>
      <c r="AJ482" s="555"/>
      <c r="AK482" s="555"/>
      <c r="AL482" s="555"/>
      <c r="AM482" s="555"/>
    </row>
    <row r="483" spans="30:39">
      <c r="AD483" s="555"/>
      <c r="AE483" s="555"/>
      <c r="AF483" s="555"/>
      <c r="AG483" s="555"/>
      <c r="AH483" s="555"/>
      <c r="AI483" s="555"/>
      <c r="AJ483" s="555"/>
      <c r="AK483" s="555"/>
      <c r="AL483" s="555"/>
      <c r="AM483" s="555"/>
    </row>
    <row r="484" spans="30:39">
      <c r="AD484" s="555"/>
      <c r="AE484" s="555"/>
      <c r="AF484" s="555"/>
      <c r="AG484" s="555"/>
      <c r="AH484" s="555"/>
      <c r="AI484" s="555"/>
      <c r="AJ484" s="555"/>
      <c r="AK484" s="555"/>
      <c r="AL484" s="555"/>
      <c r="AM484" s="555"/>
    </row>
    <row r="485" spans="30:39">
      <c r="AD485" s="555"/>
      <c r="AE485" s="555"/>
      <c r="AF485" s="555"/>
      <c r="AG485" s="555"/>
      <c r="AH485" s="555"/>
      <c r="AI485" s="555"/>
      <c r="AJ485" s="555"/>
      <c r="AK485" s="555"/>
      <c r="AL485" s="555"/>
      <c r="AM485" s="555"/>
    </row>
    <row r="486" spans="30:39">
      <c r="AD486" s="555"/>
      <c r="AE486" s="555"/>
      <c r="AF486" s="555"/>
      <c r="AG486" s="555"/>
      <c r="AH486" s="555"/>
      <c r="AI486" s="555"/>
      <c r="AJ486" s="555"/>
      <c r="AK486" s="555"/>
      <c r="AL486" s="555"/>
      <c r="AM486" s="555"/>
    </row>
  </sheetData>
  <sortState ref="AC205:AD239">
    <sortCondition ref="AC205:AC239"/>
  </sortState>
  <phoneticPr fontId="4" type="noConversion"/>
  <printOptions horizontalCentered="1"/>
  <pageMargins left="1" right="0.75" top="0.75" bottom="0.5" header="0" footer="0"/>
  <pageSetup scale="42" orientation="portrait" r:id="rId1"/>
  <headerFooter alignWithMargins="0"/>
  <rowBreaks count="2" manualBreakCount="2">
    <brk id="35" min="2" max="14" man="1"/>
    <brk id="105" min="2" max="14" man="1"/>
  </rowBreaks>
  <ignoredErrors>
    <ignoredError sqref="G15" numberStoredAsText="1"/>
  </ignoredErrors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48">
    <tabColor rgb="FFFFFF99"/>
    <pageSetUpPr fitToPage="1"/>
  </sheetPr>
  <dimension ref="A1:BH22"/>
  <sheetViews>
    <sheetView zoomScale="75" zoomScaleNormal="75" workbookViewId="0"/>
  </sheetViews>
  <sheetFormatPr defaultColWidth="16.109375" defaultRowHeight="15"/>
  <cols>
    <col min="1" max="1" width="7.5546875" style="735" customWidth="1"/>
    <col min="2" max="2" width="2.5546875" style="735" customWidth="1"/>
    <col min="3" max="3" width="49.109375" style="735" customWidth="1"/>
    <col min="4" max="4" width="4.88671875" style="735" customWidth="1"/>
    <col min="5" max="5" width="19" style="735" customWidth="1"/>
    <col min="6" max="6" width="15.88671875" style="735" customWidth="1"/>
    <col min="7" max="7" width="20" style="735" customWidth="1"/>
    <col min="8" max="8" width="28.44140625" style="735" customWidth="1"/>
    <col min="9" max="9" width="19.33203125" style="735" customWidth="1"/>
    <col min="10" max="10" width="1.5546875" style="735" customWidth="1"/>
    <col min="11" max="11" width="6.88671875" style="735" customWidth="1"/>
    <col min="12" max="12" width="8.33203125" style="735" customWidth="1"/>
    <col min="13" max="13" width="52.33203125" style="735" customWidth="1"/>
    <col min="14" max="14" width="1.88671875" style="735" customWidth="1"/>
    <col min="15" max="16" width="18.44140625" style="735" customWidth="1"/>
    <col min="17" max="17" width="23.6640625" style="735" customWidth="1"/>
    <col min="18" max="18" width="27.109375" style="735" customWidth="1"/>
    <col min="19" max="19" width="18.44140625" style="735" customWidth="1"/>
    <col min="20" max="20" width="7.5546875" style="735" customWidth="1"/>
    <col min="21" max="21" width="8.6640625" style="735" customWidth="1"/>
    <col min="22" max="22" width="56.44140625" style="735" customWidth="1"/>
    <col min="23" max="24" width="19.6640625" style="774" customWidth="1"/>
    <col min="25" max="25" width="1.33203125" style="774" customWidth="1"/>
    <col min="26" max="28" width="19.6640625" style="774" customWidth="1"/>
    <col min="29" max="29" width="21.5546875" style="775" customWidth="1"/>
    <col min="30" max="30" width="16.109375" style="735"/>
    <col min="31" max="31" width="4.5546875" style="735" customWidth="1"/>
    <col min="32" max="32" width="3.33203125" style="735" customWidth="1"/>
    <col min="33" max="33" width="13.5546875" style="735" customWidth="1"/>
    <col min="34" max="34" width="20" style="735" customWidth="1"/>
    <col min="35" max="35" width="2" style="735" customWidth="1"/>
    <col min="36" max="36" width="16.109375" style="735" customWidth="1"/>
    <col min="37" max="37" width="3.33203125" style="735" customWidth="1"/>
    <col min="38" max="38" width="18.6640625" style="735" customWidth="1"/>
    <col min="39" max="39" width="2" style="735" customWidth="1"/>
    <col min="40" max="40" width="17.44140625" style="735" customWidth="1"/>
    <col min="41" max="41" width="3.33203125" style="735" customWidth="1"/>
    <col min="42" max="42" width="14.88671875" style="735" customWidth="1"/>
    <col min="43" max="43" width="2" style="735" customWidth="1"/>
    <col min="44" max="44" width="18.6640625" style="735" customWidth="1"/>
    <col min="45" max="45" width="7.109375" style="735" customWidth="1"/>
    <col min="46" max="46" width="20" style="735" customWidth="1"/>
    <col min="47" max="47" width="16.109375" style="735" customWidth="1"/>
    <col min="48" max="48" width="13.5546875" style="735" customWidth="1"/>
    <col min="49" max="49" width="5.88671875" style="735" customWidth="1"/>
    <col min="50" max="50" width="16.109375" style="735" customWidth="1"/>
    <col min="51" max="51" width="27.6640625" style="735" customWidth="1"/>
    <col min="52" max="52" width="9.6640625" style="735" customWidth="1"/>
    <col min="53" max="53" width="20" style="735" customWidth="1"/>
    <col min="54" max="54" width="11" style="735" customWidth="1"/>
    <col min="55" max="55" width="13.5546875" style="735" customWidth="1"/>
    <col min="56" max="56" width="5.88671875" style="735" customWidth="1"/>
    <col min="57" max="59" width="16.109375" style="735" customWidth="1"/>
    <col min="60" max="16384" width="16.109375" style="735"/>
  </cols>
  <sheetData>
    <row r="1" spans="1:60">
      <c r="A1" s="758" t="str">
        <f>COMPANY</f>
        <v>DUKE ENERGY KENTUCKY, INC.</v>
      </c>
      <c r="B1" s="759"/>
      <c r="C1" s="759"/>
      <c r="D1" s="759"/>
      <c r="E1" s="759"/>
      <c r="F1" s="759"/>
      <c r="G1" s="759"/>
      <c r="H1" s="759"/>
      <c r="I1" s="756"/>
      <c r="J1" s="756"/>
      <c r="W1" s="760"/>
      <c r="X1" s="760"/>
      <c r="Y1" s="760"/>
      <c r="Z1" s="760"/>
      <c r="AA1" s="760"/>
      <c r="AB1" s="760"/>
      <c r="AC1" s="761"/>
      <c r="AD1" s="756"/>
      <c r="AV1" s="756"/>
      <c r="AW1" s="756"/>
      <c r="AX1" s="756"/>
      <c r="AY1" s="756"/>
      <c r="AZ1" s="756"/>
      <c r="BA1" s="756"/>
      <c r="BB1" s="756"/>
      <c r="BC1" s="751"/>
      <c r="BD1" s="751"/>
      <c r="BE1" s="762"/>
      <c r="BF1" s="751"/>
      <c r="BG1" s="756"/>
      <c r="BH1" s="756"/>
    </row>
    <row r="2" spans="1:60">
      <c r="A2" s="758" t="str">
        <f>CASE</f>
        <v>CASE NO. 2018-00261</v>
      </c>
      <c r="B2" s="759"/>
      <c r="C2" s="759"/>
      <c r="D2" s="759"/>
      <c r="E2" s="759"/>
      <c r="F2" s="759"/>
      <c r="G2" s="759"/>
      <c r="H2" s="759"/>
      <c r="I2" s="756"/>
      <c r="J2" s="756"/>
      <c r="W2" s="760"/>
      <c r="X2" s="760"/>
      <c r="Y2" s="760"/>
      <c r="Z2" s="760"/>
      <c r="AA2" s="760"/>
      <c r="AB2" s="760"/>
      <c r="AC2" s="761"/>
      <c r="AD2" s="756"/>
      <c r="AV2" s="756"/>
      <c r="AW2" s="756"/>
      <c r="AX2" s="756"/>
      <c r="AY2" s="756"/>
      <c r="AZ2" s="756"/>
      <c r="BA2" s="756"/>
      <c r="BB2" s="756"/>
      <c r="BC2" s="751"/>
      <c r="BD2" s="751"/>
      <c r="BE2" s="762"/>
      <c r="BF2" s="751"/>
      <c r="BG2" s="756"/>
      <c r="BH2" s="756"/>
    </row>
    <row r="3" spans="1:60">
      <c r="A3" s="758" t="s">
        <v>209</v>
      </c>
      <c r="B3" s="759"/>
      <c r="C3" s="759"/>
      <c r="D3" s="759"/>
      <c r="E3" s="759"/>
      <c r="F3" s="763"/>
      <c r="G3" s="759"/>
      <c r="H3" s="759"/>
      <c r="I3" s="756"/>
      <c r="J3" s="756"/>
      <c r="W3" s="760"/>
      <c r="X3" s="760"/>
      <c r="Y3" s="760"/>
      <c r="Z3" s="760"/>
      <c r="AA3" s="760"/>
      <c r="AB3" s="760"/>
      <c r="AC3" s="761"/>
      <c r="AD3" s="756"/>
      <c r="AV3" s="756"/>
      <c r="AW3" s="756"/>
      <c r="AX3" s="756"/>
      <c r="AY3" s="756"/>
      <c r="AZ3" s="756"/>
      <c r="BA3" s="756"/>
      <c r="BB3" s="756"/>
      <c r="BC3" s="751"/>
      <c r="BD3" s="751"/>
      <c r="BE3" s="762"/>
      <c r="BF3" s="751"/>
      <c r="BG3" s="756"/>
      <c r="BH3" s="756"/>
    </row>
    <row r="4" spans="1:60">
      <c r="A4" s="758" t="s">
        <v>356</v>
      </c>
      <c r="B4" s="759"/>
      <c r="C4" s="759"/>
      <c r="D4" s="759"/>
      <c r="E4" s="759"/>
      <c r="F4" s="763"/>
      <c r="G4" s="759"/>
      <c r="H4" s="759"/>
      <c r="I4" s="756"/>
      <c r="J4" s="756"/>
      <c r="W4" s="760"/>
      <c r="X4" s="760"/>
      <c r="Y4" s="760"/>
      <c r="Z4" s="760"/>
      <c r="AA4" s="760"/>
      <c r="AB4" s="760"/>
      <c r="AC4" s="761"/>
      <c r="AD4" s="756"/>
      <c r="AV4" s="756"/>
      <c r="AW4" s="756"/>
      <c r="AX4" s="756"/>
      <c r="AY4" s="756"/>
      <c r="AZ4" s="756"/>
      <c r="BA4" s="756"/>
      <c r="BB4" s="751"/>
      <c r="BC4" s="751"/>
      <c r="BD4" s="751"/>
      <c r="BE4" s="756"/>
      <c r="BF4" s="751"/>
      <c r="BG4" s="756"/>
      <c r="BH4" s="756"/>
    </row>
    <row r="5" spans="1:60">
      <c r="A5" s="758" t="str">
        <f>PeriodF</f>
        <v>FOR THE TWELVE MONTHS ENDED MARCH 31, 2020</v>
      </c>
      <c r="B5" s="759"/>
      <c r="C5" s="759"/>
      <c r="D5" s="759"/>
      <c r="E5" s="759"/>
      <c r="F5" s="763"/>
      <c r="G5" s="759"/>
      <c r="H5" s="759"/>
      <c r="I5" s="756"/>
      <c r="J5" s="756"/>
      <c r="W5" s="760"/>
      <c r="X5" s="760"/>
      <c r="Y5" s="760"/>
      <c r="Z5" s="760"/>
      <c r="AA5" s="760"/>
      <c r="AB5" s="760"/>
      <c r="AC5" s="761"/>
      <c r="AD5" s="756"/>
      <c r="AV5" s="756"/>
      <c r="AW5" s="756"/>
      <c r="AX5" s="756"/>
      <c r="AY5" s="756"/>
      <c r="AZ5" s="756"/>
      <c r="BA5" s="756"/>
      <c r="BB5" s="751"/>
      <c r="BC5" s="751"/>
      <c r="BD5" s="751"/>
      <c r="BE5" s="756"/>
      <c r="BF5" s="751"/>
      <c r="BG5" s="756"/>
      <c r="BH5" s="756"/>
    </row>
    <row r="6" spans="1:60">
      <c r="A6" s="758"/>
      <c r="B6" s="759"/>
      <c r="C6" s="759"/>
      <c r="D6" s="759"/>
      <c r="E6" s="759"/>
      <c r="F6" s="763"/>
      <c r="G6" s="759"/>
      <c r="H6" s="759"/>
      <c r="I6" s="764"/>
      <c r="J6" s="756"/>
      <c r="W6" s="760"/>
      <c r="X6" s="760"/>
      <c r="Y6" s="760"/>
      <c r="Z6" s="760"/>
      <c r="AA6" s="760"/>
      <c r="AB6" s="760"/>
      <c r="AC6" s="761"/>
      <c r="AD6" s="756"/>
      <c r="AV6" s="756"/>
      <c r="AW6" s="756"/>
      <c r="AX6" s="756"/>
      <c r="AY6" s="756"/>
      <c r="AZ6" s="756"/>
      <c r="BA6" s="756"/>
      <c r="BB6" s="751"/>
      <c r="BC6" s="751"/>
      <c r="BD6" s="751"/>
      <c r="BE6" s="756"/>
      <c r="BF6" s="751"/>
      <c r="BG6" s="756"/>
      <c r="BH6" s="756"/>
    </row>
    <row r="7" spans="1:60">
      <c r="A7" s="765" t="str">
        <f>DataF</f>
        <v>DATA:  BASE PERIOD  "X" FORECASTED PERIOD</v>
      </c>
      <c r="F7" s="766"/>
      <c r="G7" s="581"/>
      <c r="H7" s="734" t="s">
        <v>357</v>
      </c>
      <c r="I7" s="756"/>
      <c r="J7" s="756"/>
      <c r="W7" s="760"/>
      <c r="X7" s="760"/>
      <c r="Y7" s="760"/>
      <c r="Z7" s="760"/>
      <c r="AA7" s="760"/>
      <c r="AB7" s="760"/>
      <c r="AC7" s="761"/>
      <c r="AD7" s="756"/>
      <c r="AV7" s="756"/>
      <c r="AW7" s="756"/>
      <c r="AX7" s="756"/>
      <c r="AY7" s="756"/>
      <c r="AZ7" s="756"/>
      <c r="BA7" s="756"/>
      <c r="BB7" s="756"/>
      <c r="BC7" s="756"/>
      <c r="BD7" s="756"/>
      <c r="BE7" s="756"/>
      <c r="BF7" s="756"/>
      <c r="BG7" s="756"/>
      <c r="BH7" s="756"/>
    </row>
    <row r="8" spans="1:60">
      <c r="A8" s="765" t="str">
        <f>LOGO!$B$15</f>
        <v xml:space="preserve">TYPE OF FILING:  "X" ORIGINAL   UPDATED    REVISED  </v>
      </c>
      <c r="F8" s="766"/>
      <c r="G8" s="581"/>
      <c r="H8" s="734" t="s">
        <v>564</v>
      </c>
      <c r="I8" s="756"/>
      <c r="J8" s="756"/>
      <c r="W8" s="760"/>
      <c r="X8" s="760"/>
      <c r="Y8" s="760"/>
      <c r="Z8" s="760"/>
      <c r="AA8" s="760"/>
      <c r="AB8" s="760"/>
      <c r="AC8" s="761"/>
      <c r="AD8" s="756"/>
      <c r="AV8" s="756"/>
      <c r="AW8" s="756"/>
      <c r="AX8" s="756"/>
      <c r="AY8" s="756"/>
      <c r="AZ8" s="756"/>
      <c r="BA8" s="756"/>
      <c r="BB8" s="756"/>
      <c r="BC8" s="756"/>
      <c r="BD8" s="756"/>
      <c r="BE8" s="756"/>
      <c r="BF8" s="756"/>
      <c r="BG8" s="756"/>
      <c r="BH8" s="756"/>
    </row>
    <row r="9" spans="1:60">
      <c r="A9" s="734" t="s">
        <v>655</v>
      </c>
      <c r="F9" s="766"/>
      <c r="G9" s="581"/>
      <c r="H9" s="734" t="s">
        <v>566</v>
      </c>
      <c r="I9" s="756"/>
      <c r="J9" s="756"/>
      <c r="W9" s="760"/>
      <c r="X9" s="760"/>
      <c r="Y9" s="760"/>
      <c r="Z9" s="760"/>
      <c r="AA9" s="760"/>
      <c r="AB9" s="760"/>
      <c r="AC9" s="761"/>
      <c r="AD9" s="756"/>
      <c r="AV9" s="756"/>
      <c r="AW9" s="756"/>
      <c r="AX9" s="756"/>
      <c r="AY9" s="756"/>
      <c r="AZ9" s="756"/>
      <c r="BA9" s="756"/>
      <c r="BB9" s="756"/>
      <c r="BC9" s="756"/>
      <c r="BD9" s="756"/>
      <c r="BE9" s="756"/>
      <c r="BF9" s="756"/>
      <c r="BG9" s="756"/>
      <c r="BH9" s="756"/>
    </row>
    <row r="10" spans="1:60">
      <c r="G10" s="581"/>
      <c r="H10" s="734" t="str">
        <f>_WIT3</f>
        <v>J. R. PANIZZA</v>
      </c>
      <c r="I10" s="756"/>
      <c r="J10" s="756"/>
      <c r="W10" s="767"/>
      <c r="X10" s="767"/>
      <c r="Y10" s="767"/>
      <c r="Z10" s="767"/>
      <c r="AA10" s="767"/>
      <c r="AB10" s="767"/>
      <c r="AC10" s="768"/>
      <c r="AD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</row>
    <row r="11" spans="1:60" ht="15.6">
      <c r="A11" s="769"/>
      <c r="B11" s="769"/>
      <c r="C11" s="770"/>
      <c r="D11" s="769"/>
      <c r="E11" s="769"/>
      <c r="F11" s="769"/>
      <c r="G11" s="769"/>
      <c r="H11" s="769"/>
      <c r="I11" s="756"/>
      <c r="J11" s="756"/>
      <c r="W11" s="760"/>
      <c r="X11" s="760"/>
      <c r="Y11" s="760"/>
      <c r="Z11" s="760"/>
      <c r="AA11" s="760"/>
      <c r="AB11" s="760"/>
      <c r="AC11" s="761"/>
      <c r="AD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</row>
    <row r="12" spans="1:60">
      <c r="I12" s="756"/>
      <c r="J12" s="756"/>
      <c r="W12" s="767"/>
      <c r="X12" s="767"/>
      <c r="Y12" s="767"/>
      <c r="Z12" s="767"/>
      <c r="AA12" s="767"/>
      <c r="AB12" s="767"/>
      <c r="AC12" s="768"/>
      <c r="AD12" s="756"/>
      <c r="AV12" s="756"/>
      <c r="AW12" s="756"/>
      <c r="AX12" s="756"/>
      <c r="AY12" s="756"/>
      <c r="AZ12" s="756"/>
      <c r="BA12" s="756"/>
      <c r="BB12" s="756"/>
      <c r="BC12" s="756"/>
      <c r="BD12" s="756"/>
      <c r="BE12" s="756"/>
      <c r="BF12" s="756"/>
      <c r="BG12" s="756"/>
      <c r="BH12" s="756"/>
    </row>
    <row r="13" spans="1:60">
      <c r="F13" s="739" t="s">
        <v>2094</v>
      </c>
      <c r="I13" s="755"/>
      <c r="J13" s="756"/>
      <c r="W13" s="760"/>
      <c r="X13" s="760"/>
      <c r="Y13" s="760"/>
      <c r="Z13" s="760"/>
      <c r="AA13" s="760"/>
      <c r="AB13" s="760"/>
      <c r="AC13" s="761"/>
      <c r="AD13" s="756"/>
      <c r="AV13" s="756"/>
      <c r="AW13" s="756"/>
      <c r="AX13" s="756"/>
      <c r="AY13" s="756"/>
      <c r="AZ13" s="756"/>
      <c r="BA13" s="756"/>
      <c r="BB13" s="756"/>
      <c r="BC13" s="756"/>
      <c r="BD13" s="756"/>
      <c r="BE13" s="756"/>
      <c r="BF13" s="756"/>
      <c r="BG13" s="756"/>
      <c r="BH13" s="756"/>
    </row>
    <row r="14" spans="1:60">
      <c r="A14" s="747" t="s">
        <v>567</v>
      </c>
      <c r="E14" s="747" t="s">
        <v>884</v>
      </c>
      <c r="F14" s="747" t="s">
        <v>2096</v>
      </c>
      <c r="H14" s="747" t="s">
        <v>686</v>
      </c>
      <c r="I14" s="755"/>
      <c r="J14" s="756"/>
      <c r="W14" s="760"/>
      <c r="X14" s="760"/>
      <c r="Y14" s="760"/>
      <c r="Z14" s="760"/>
      <c r="AA14" s="760"/>
      <c r="AB14" s="760"/>
      <c r="AC14" s="761"/>
      <c r="AD14" s="756"/>
      <c r="AV14" s="756"/>
      <c r="AW14" s="756"/>
      <c r="AX14" s="756"/>
      <c r="AY14" s="756"/>
      <c r="AZ14" s="756"/>
      <c r="BA14" s="756"/>
      <c r="BB14" s="756"/>
      <c r="BC14" s="756"/>
      <c r="BD14" s="756"/>
      <c r="BE14" s="756"/>
      <c r="BF14" s="756"/>
      <c r="BG14" s="756"/>
      <c r="BH14" s="756"/>
    </row>
    <row r="15" spans="1:60">
      <c r="A15" s="747" t="s">
        <v>2169</v>
      </c>
      <c r="C15" s="747" t="s">
        <v>1929</v>
      </c>
      <c r="E15" s="747" t="s">
        <v>358</v>
      </c>
      <c r="F15" s="747" t="s">
        <v>2097</v>
      </c>
      <c r="G15" s="747" t="s">
        <v>1930</v>
      </c>
      <c r="H15" s="747" t="s">
        <v>359</v>
      </c>
      <c r="I15" s="771"/>
      <c r="J15" s="756"/>
      <c r="W15" s="760"/>
      <c r="X15" s="760"/>
      <c r="Y15" s="760"/>
      <c r="Z15" s="760"/>
      <c r="AA15" s="760"/>
      <c r="AB15" s="760"/>
      <c r="AC15" s="761"/>
      <c r="AD15" s="756"/>
      <c r="AV15" s="756"/>
      <c r="AW15" s="756"/>
      <c r="AX15" s="756"/>
      <c r="AY15" s="756"/>
      <c r="AZ15" s="756"/>
      <c r="BA15" s="756"/>
      <c r="BB15" s="756"/>
      <c r="BC15" s="756"/>
      <c r="BD15" s="756"/>
      <c r="BE15" s="756"/>
      <c r="BF15" s="756"/>
      <c r="BG15" s="756"/>
      <c r="BH15" s="756"/>
    </row>
    <row r="16" spans="1:60">
      <c r="E16" s="747" t="s">
        <v>2099</v>
      </c>
      <c r="F16" s="747" t="s">
        <v>678</v>
      </c>
      <c r="G16" s="747" t="s">
        <v>679</v>
      </c>
      <c r="H16" s="747" t="s">
        <v>680</v>
      </c>
      <c r="I16" s="756"/>
      <c r="J16" s="756"/>
      <c r="W16" s="760"/>
      <c r="X16" s="760"/>
      <c r="Y16" s="760"/>
      <c r="Z16" s="760"/>
      <c r="AA16" s="760"/>
      <c r="AB16" s="760"/>
      <c r="AC16" s="761"/>
      <c r="AD16" s="756"/>
      <c r="AV16" s="756"/>
      <c r="AW16" s="756"/>
      <c r="AX16" s="756"/>
      <c r="AY16" s="756"/>
      <c r="AZ16" s="756"/>
      <c r="BA16" s="756"/>
      <c r="BB16" s="756"/>
      <c r="BC16" s="756"/>
      <c r="BD16" s="756"/>
      <c r="BE16" s="756"/>
      <c r="BF16" s="756"/>
      <c r="BG16" s="756"/>
      <c r="BH16" s="756"/>
    </row>
    <row r="17" spans="1:60">
      <c r="A17" s="769"/>
      <c r="B17" s="769"/>
      <c r="C17" s="769"/>
      <c r="D17" s="769"/>
      <c r="E17" s="769"/>
      <c r="F17" s="769"/>
      <c r="G17" s="769"/>
      <c r="H17" s="769"/>
      <c r="I17" s="755"/>
      <c r="J17" s="756"/>
      <c r="W17" s="760"/>
      <c r="X17" s="760"/>
      <c r="Y17" s="760"/>
      <c r="Z17" s="760"/>
      <c r="AA17" s="760"/>
      <c r="AB17" s="760"/>
      <c r="AC17" s="761"/>
      <c r="AD17" s="756"/>
      <c r="AV17" s="756"/>
      <c r="AW17" s="756"/>
      <c r="AX17" s="756"/>
      <c r="AY17" s="756"/>
      <c r="AZ17" s="756"/>
      <c r="BA17" s="756"/>
      <c r="BB17" s="756"/>
      <c r="BC17" s="756"/>
      <c r="BD17" s="756"/>
      <c r="BE17" s="756"/>
      <c r="BF17" s="756"/>
      <c r="BG17" s="756"/>
      <c r="BH17" s="756"/>
    </row>
    <row r="18" spans="1:60">
      <c r="E18" s="772" t="s">
        <v>1134</v>
      </c>
      <c r="G18" s="747" t="s">
        <v>1134</v>
      </c>
      <c r="I18" s="773"/>
      <c r="J18" s="756"/>
      <c r="W18" s="767"/>
      <c r="X18" s="767"/>
      <c r="Y18" s="767"/>
      <c r="Z18" s="767"/>
      <c r="AA18" s="767"/>
      <c r="AB18" s="767"/>
      <c r="AC18" s="768"/>
      <c r="AD18" s="756"/>
      <c r="AV18" s="756"/>
      <c r="AW18" s="756"/>
      <c r="AX18" s="756"/>
      <c r="AY18" s="756"/>
      <c r="AZ18" s="756"/>
      <c r="BA18" s="756"/>
      <c r="BB18" s="756"/>
      <c r="BC18" s="756"/>
      <c r="BD18" s="756"/>
      <c r="BE18" s="756"/>
      <c r="BF18" s="756"/>
      <c r="BG18" s="756"/>
      <c r="BH18" s="756"/>
    </row>
    <row r="19" spans="1:60">
      <c r="E19" s="772"/>
      <c r="G19" s="747"/>
      <c r="I19" s="773"/>
      <c r="J19" s="756"/>
      <c r="W19" s="767"/>
      <c r="X19" s="767"/>
      <c r="Y19" s="767"/>
      <c r="Z19" s="767"/>
      <c r="AA19" s="767"/>
      <c r="AB19" s="767"/>
      <c r="AC19" s="768"/>
      <c r="AD19" s="756"/>
      <c r="AV19" s="756"/>
      <c r="AW19" s="756"/>
      <c r="AX19" s="756"/>
      <c r="AY19" s="756"/>
      <c r="AZ19" s="756"/>
      <c r="BA19" s="756"/>
      <c r="BB19" s="756"/>
      <c r="BC19" s="756"/>
      <c r="BD19" s="756"/>
      <c r="BE19" s="756"/>
      <c r="BF19" s="756"/>
      <c r="BG19" s="756"/>
      <c r="BH19" s="756"/>
    </row>
    <row r="20" spans="1:60">
      <c r="E20" s="772"/>
      <c r="G20" s="747"/>
      <c r="I20" s="773"/>
      <c r="J20" s="756"/>
      <c r="W20" s="767"/>
      <c r="X20" s="767"/>
      <c r="Y20" s="767"/>
      <c r="Z20" s="767"/>
      <c r="AA20" s="767"/>
      <c r="AB20" s="767"/>
      <c r="AC20" s="768"/>
      <c r="AD20" s="756"/>
      <c r="AV20" s="756"/>
      <c r="AW20" s="756"/>
      <c r="AX20" s="756"/>
      <c r="AY20" s="756"/>
      <c r="AZ20" s="756"/>
      <c r="BA20" s="756"/>
      <c r="BB20" s="756"/>
      <c r="BC20" s="756"/>
      <c r="BD20" s="756"/>
      <c r="BE20" s="756"/>
      <c r="BF20" s="756"/>
      <c r="BG20" s="756"/>
      <c r="BH20" s="756"/>
    </row>
    <row r="22" spans="1:60" ht="17.399999999999999">
      <c r="A22" s="3592" t="s">
        <v>660</v>
      </c>
      <c r="B22" s="3592"/>
      <c r="C22" s="3592"/>
      <c r="D22" s="3592"/>
      <c r="E22" s="3592"/>
      <c r="F22" s="3592"/>
      <c r="G22" s="3592"/>
      <c r="H22" s="3592"/>
    </row>
  </sheetData>
  <mergeCells count="1">
    <mergeCell ref="A22:H22"/>
  </mergeCells>
  <phoneticPr fontId="4" type="noConversion"/>
  <pageMargins left="1" right="0.75" top="1" bottom="0" header="0" footer="0"/>
  <pageSetup scale="59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tabColor rgb="FFFF9900"/>
    <pageSetUpPr fitToPage="1"/>
  </sheetPr>
  <dimension ref="A1:Z106"/>
  <sheetViews>
    <sheetView zoomScale="90" zoomScaleNormal="90" workbookViewId="0"/>
  </sheetViews>
  <sheetFormatPr defaultColWidth="8" defaultRowHeight="13.2"/>
  <cols>
    <col min="1" max="1" width="7.6640625" style="2346" customWidth="1"/>
    <col min="2" max="2" width="2" style="2346" customWidth="1"/>
    <col min="3" max="3" width="18.88671875" style="2346" customWidth="1"/>
    <col min="4" max="4" width="2.109375" style="2346" customWidth="1"/>
    <col min="5" max="5" width="39.109375" style="2346" customWidth="1"/>
    <col min="6" max="6" width="1" style="2346" customWidth="1"/>
    <col min="7" max="7" width="17.6640625" style="2346" customWidth="1"/>
    <col min="8" max="8" width="2" style="2346" customWidth="1"/>
    <col min="9" max="9" width="11.5546875" style="2346" customWidth="1"/>
    <col min="10" max="10" width="2" style="2346" customWidth="1"/>
    <col min="11" max="11" width="14.109375" style="2346" customWidth="1"/>
    <col min="12" max="12" width="2" style="2346" customWidth="1"/>
    <col min="13" max="13" width="15.44140625" style="2346" customWidth="1"/>
    <col min="14" max="14" width="1.33203125" style="2346" customWidth="1"/>
    <col min="15" max="15" width="12.109375" style="2346" customWidth="1"/>
    <col min="16" max="16" width="0.6640625" style="2346" customWidth="1"/>
    <col min="17" max="17" width="16.88671875" style="2346" customWidth="1"/>
    <col min="18" max="16384" width="8" style="2346"/>
  </cols>
  <sheetData>
    <row r="1" spans="1:26">
      <c r="A1" s="2344" t="str">
        <f>COMPANY</f>
        <v>DUKE ENERGY KENTUCKY, INC.</v>
      </c>
      <c r="B1" s="2345"/>
      <c r="C1" s="2344"/>
      <c r="D1" s="2344"/>
      <c r="E1" s="2345"/>
      <c r="F1" s="2345"/>
      <c r="G1" s="2345"/>
      <c r="H1" s="2345"/>
      <c r="I1" s="2345"/>
      <c r="J1" s="2345"/>
      <c r="K1" s="2345"/>
      <c r="L1" s="2345"/>
      <c r="M1" s="2345"/>
      <c r="N1" s="2345"/>
      <c r="O1" s="2345"/>
      <c r="P1" s="2345"/>
      <c r="Q1" s="2345"/>
      <c r="R1" s="2338"/>
      <c r="S1" s="2338"/>
      <c r="T1" s="2338"/>
      <c r="U1" s="2338"/>
      <c r="V1" s="2338"/>
      <c r="W1" s="2338"/>
    </row>
    <row r="2" spans="1:26">
      <c r="A2" s="2344" t="str">
        <f>CASE</f>
        <v>CASE NO. 2018-00261</v>
      </c>
      <c r="B2" s="2345"/>
      <c r="C2" s="2345"/>
      <c r="D2" s="2345"/>
      <c r="E2" s="2345"/>
      <c r="F2" s="2345"/>
      <c r="G2" s="2345"/>
      <c r="H2" s="2345"/>
      <c r="I2" s="2345"/>
      <c r="J2" s="2345"/>
      <c r="K2" s="2345"/>
      <c r="L2" s="2345"/>
      <c r="M2" s="2345"/>
      <c r="N2" s="2345"/>
      <c r="O2" s="2345"/>
      <c r="P2" s="2345"/>
      <c r="Q2" s="2345"/>
      <c r="R2" s="2338"/>
      <c r="S2" s="2338"/>
      <c r="T2" s="2338"/>
      <c r="U2" s="2338"/>
      <c r="V2" s="2338"/>
      <c r="W2" s="2338"/>
      <c r="X2" s="2338"/>
      <c r="Y2" s="2338"/>
      <c r="Z2" s="2338"/>
    </row>
    <row r="3" spans="1:26">
      <c r="A3" s="2347" t="s">
        <v>2035</v>
      </c>
      <c r="B3" s="2345"/>
      <c r="C3" s="2345"/>
      <c r="D3" s="2345"/>
      <c r="E3" s="2345"/>
      <c r="F3" s="2345"/>
      <c r="G3" s="2345"/>
      <c r="H3" s="2345"/>
      <c r="I3" s="2345"/>
      <c r="J3" s="2345"/>
      <c r="K3" s="2345"/>
      <c r="L3" s="2345"/>
      <c r="M3" s="2345"/>
      <c r="N3" s="2347"/>
      <c r="O3" s="2345"/>
      <c r="P3" s="2345"/>
      <c r="Q3" s="2345"/>
    </row>
    <row r="4" spans="1:26">
      <c r="A4" s="2347" t="str">
        <f>PERIOD</f>
        <v>FOR THE TWELVE MONTHS ENDED NOVEMBER 30, 2018</v>
      </c>
      <c r="B4" s="2345"/>
      <c r="C4" s="2345"/>
      <c r="D4" s="2345"/>
      <c r="E4" s="2345"/>
      <c r="F4" s="2345"/>
      <c r="G4" s="2345"/>
      <c r="H4" s="2345"/>
      <c r="I4" s="2345"/>
      <c r="J4" s="2345"/>
      <c r="K4" s="2345"/>
      <c r="L4" s="2345"/>
      <c r="M4" s="2345"/>
      <c r="N4" s="2347"/>
      <c r="O4" s="2345"/>
      <c r="P4" s="2345"/>
      <c r="Q4" s="2345"/>
    </row>
    <row r="5" spans="1:26">
      <c r="A5" s="2344" t="str">
        <f>LOGO!B8</f>
        <v>FOR THE TWELVE MONTHS ENDED MARCH 31, 2020</v>
      </c>
      <c r="B5" s="2345"/>
      <c r="C5" s="2345"/>
      <c r="D5" s="2345"/>
      <c r="E5" s="2345"/>
      <c r="F5" s="2345"/>
      <c r="G5" s="2345"/>
      <c r="H5" s="2345"/>
      <c r="I5" s="2345"/>
      <c r="J5" s="2345"/>
      <c r="K5" s="2345"/>
      <c r="L5" s="2345"/>
      <c r="M5" s="2345"/>
      <c r="N5" s="2345"/>
      <c r="O5" s="2345"/>
      <c r="P5" s="2345"/>
      <c r="Q5" s="2345"/>
    </row>
    <row r="7" spans="1:26">
      <c r="A7" s="2348" t="str">
        <f>DataB</f>
        <v>DATA: "X" BASE PERIOD  "X" FORECASTED PERIOD</v>
      </c>
      <c r="O7" s="2349" t="s">
        <v>2036</v>
      </c>
    </row>
    <row r="8" spans="1:26">
      <c r="A8" s="2348" t="str">
        <f>LOGO!B15</f>
        <v xml:space="preserve">TYPE OF FILING:  "X" ORIGINAL   UPDATED    REVISED  </v>
      </c>
      <c r="O8" s="2349" t="s">
        <v>2037</v>
      </c>
    </row>
    <row r="9" spans="1:26">
      <c r="A9" s="2349" t="s">
        <v>655</v>
      </c>
      <c r="O9" s="2349" t="s">
        <v>387</v>
      </c>
    </row>
    <row r="10" spans="1:26">
      <c r="O10" s="2350" t="str">
        <f>"     "&amp;_WIT1</f>
        <v xml:space="preserve">     S. E. LAWLER</v>
      </c>
    </row>
    <row r="11" spans="1:26">
      <c r="A11" s="2351"/>
      <c r="B11" s="2351"/>
      <c r="C11" s="2351"/>
      <c r="D11" s="2351"/>
      <c r="E11" s="2351"/>
      <c r="F11" s="2351"/>
      <c r="G11" s="2351"/>
      <c r="H11" s="2351"/>
      <c r="I11" s="2351"/>
      <c r="J11" s="2351"/>
      <c r="K11" s="2351"/>
      <c r="L11" s="2351"/>
      <c r="M11" s="2351"/>
      <c r="N11" s="2351"/>
      <c r="O11" s="2351"/>
      <c r="P11" s="2351"/>
      <c r="Q11" s="2351"/>
    </row>
    <row r="12" spans="1:26">
      <c r="A12" s="2352"/>
      <c r="B12" s="2352"/>
      <c r="C12" s="2352"/>
      <c r="D12" s="2352"/>
      <c r="E12" s="2352"/>
      <c r="F12" s="2352"/>
      <c r="G12" s="2353" t="s">
        <v>1726</v>
      </c>
      <c r="H12" s="2353"/>
      <c r="I12" s="2354"/>
      <c r="J12" s="2354"/>
      <c r="K12" s="2354"/>
      <c r="L12" s="2352"/>
      <c r="M12" s="2353" t="s">
        <v>1231</v>
      </c>
      <c r="N12" s="2353"/>
      <c r="O12" s="2354"/>
      <c r="P12" s="2354"/>
      <c r="Q12" s="2354"/>
    </row>
    <row r="13" spans="1:26">
      <c r="A13" s="2355" t="s">
        <v>567</v>
      </c>
      <c r="C13" s="2355" t="s">
        <v>2160</v>
      </c>
      <c r="D13" s="2355"/>
      <c r="E13" s="2355" t="s">
        <v>2038</v>
      </c>
      <c r="F13" s="2345"/>
      <c r="G13" s="2355" t="s">
        <v>884</v>
      </c>
      <c r="H13" s="2355"/>
      <c r="I13" s="3593" t="s">
        <v>686</v>
      </c>
      <c r="J13" s="3593"/>
      <c r="K13" s="3593"/>
      <c r="L13" s="2345"/>
      <c r="M13" s="2355" t="s">
        <v>884</v>
      </c>
      <c r="N13" s="2355"/>
      <c r="O13" s="3593" t="s">
        <v>686</v>
      </c>
      <c r="P13" s="3593"/>
      <c r="Q13" s="3593"/>
    </row>
    <row r="14" spans="1:26">
      <c r="A14" s="2355" t="s">
        <v>766</v>
      </c>
      <c r="C14" s="2355" t="s">
        <v>766</v>
      </c>
      <c r="D14" s="2355"/>
      <c r="E14" s="2355" t="s">
        <v>2039</v>
      </c>
      <c r="F14" s="2345"/>
      <c r="G14" s="2356" t="s">
        <v>358</v>
      </c>
      <c r="H14" s="2355"/>
      <c r="I14" s="2357" t="s">
        <v>2040</v>
      </c>
      <c r="J14" s="2358"/>
      <c r="K14" s="2359" t="s">
        <v>2098</v>
      </c>
      <c r="L14" s="2345"/>
      <c r="M14" s="2356" t="s">
        <v>358</v>
      </c>
      <c r="N14" s="2355"/>
      <c r="O14" s="2357" t="s">
        <v>2040</v>
      </c>
      <c r="P14" s="2358"/>
      <c r="Q14" s="2359" t="s">
        <v>2098</v>
      </c>
    </row>
    <row r="15" spans="1:26">
      <c r="A15" s="2351"/>
      <c r="B15" s="2351"/>
      <c r="C15" s="2351"/>
      <c r="D15" s="2351"/>
      <c r="E15" s="2360" t="s">
        <v>2041</v>
      </c>
      <c r="F15" s="2361"/>
      <c r="G15" s="2351"/>
      <c r="H15" s="2351"/>
      <c r="I15" s="2362"/>
      <c r="J15" s="2363"/>
      <c r="K15" s="2363"/>
      <c r="L15" s="2361"/>
      <c r="M15" s="2351"/>
      <c r="N15" s="2351"/>
      <c r="O15" s="2362"/>
      <c r="P15" s="2363"/>
      <c r="Q15" s="2363"/>
    </row>
    <row r="16" spans="1:26">
      <c r="G16" s="2355" t="s">
        <v>1134</v>
      </c>
      <c r="H16" s="2355"/>
      <c r="I16" s="2355" t="s">
        <v>2097</v>
      </c>
      <c r="J16" s="2345"/>
      <c r="K16" s="2355" t="s">
        <v>1134</v>
      </c>
      <c r="M16" s="2355" t="s">
        <v>1134</v>
      </c>
      <c r="N16" s="2355"/>
      <c r="O16" s="2355" t="s">
        <v>2097</v>
      </c>
      <c r="P16" s="2345"/>
      <c r="Q16" s="2355" t="s">
        <v>1134</v>
      </c>
    </row>
    <row r="17" spans="1:17">
      <c r="G17" s="2355"/>
      <c r="H17" s="2355"/>
      <c r="I17" s="2355"/>
      <c r="J17" s="2345"/>
      <c r="K17" s="2355"/>
      <c r="M17" s="2355"/>
      <c r="N17" s="2355"/>
      <c r="O17" s="2355"/>
      <c r="P17" s="2345"/>
      <c r="Q17" s="2355"/>
    </row>
    <row r="18" spans="1:17">
      <c r="A18" s="2337">
        <v>1</v>
      </c>
      <c r="B18" s="2338"/>
      <c r="C18" s="2337">
        <v>863000</v>
      </c>
      <c r="D18" s="2338"/>
      <c r="E18" s="2338" t="s">
        <v>821</v>
      </c>
      <c r="F18" s="2338"/>
      <c r="G18" s="2339">
        <v>0</v>
      </c>
      <c r="H18" s="2338"/>
      <c r="I18" s="2340">
        <f t="shared" ref="I18:I36" si="0">VLOOKUP($E$41,ALLOCTABLE,2)</f>
        <v>100</v>
      </c>
      <c r="J18" s="2338"/>
      <c r="K18" s="2341">
        <f t="shared" ref="K18:K36" si="1">ROUND(G18*(I18/100),2)</f>
        <v>0</v>
      </c>
      <c r="L18" s="2342"/>
      <c r="M18" s="2339">
        <v>143</v>
      </c>
      <c r="N18" s="2338"/>
      <c r="O18" s="2340">
        <f t="shared" ref="O18:O36" si="2">VLOOKUP($E$41,ALLOCTABLE,2)</f>
        <v>100</v>
      </c>
      <c r="P18" s="2338"/>
      <c r="Q18" s="2341">
        <f t="shared" ref="Q18:Q36" si="3">ROUND(M18*(O18/100),2)</f>
        <v>143</v>
      </c>
    </row>
    <row r="19" spans="1:17">
      <c r="A19" s="2337">
        <v>2</v>
      </c>
      <c r="B19" s="2338"/>
      <c r="C19" s="2337">
        <v>874000</v>
      </c>
      <c r="D19" s="2338"/>
      <c r="E19" s="2338" t="s">
        <v>821</v>
      </c>
      <c r="F19" s="2338"/>
      <c r="G19" s="2339">
        <v>0</v>
      </c>
      <c r="H19" s="2338"/>
      <c r="I19" s="2340">
        <f t="shared" si="0"/>
        <v>100</v>
      </c>
      <c r="J19" s="2338"/>
      <c r="K19" s="2341">
        <f t="shared" si="1"/>
        <v>0</v>
      </c>
      <c r="L19" s="2342"/>
      <c r="M19" s="2339">
        <v>626</v>
      </c>
      <c r="N19" s="2338"/>
      <c r="O19" s="2340">
        <f t="shared" si="2"/>
        <v>100</v>
      </c>
      <c r="P19" s="2338"/>
      <c r="Q19" s="2341">
        <f t="shared" si="3"/>
        <v>626</v>
      </c>
    </row>
    <row r="20" spans="1:17">
      <c r="A20" s="2337">
        <v>3</v>
      </c>
      <c r="B20" s="2338"/>
      <c r="C20" s="2337">
        <v>878000</v>
      </c>
      <c r="D20" s="2338"/>
      <c r="E20" s="2338" t="s">
        <v>821</v>
      </c>
      <c r="F20" s="2338"/>
      <c r="G20" s="2339">
        <v>0</v>
      </c>
      <c r="H20" s="2338"/>
      <c r="I20" s="2340">
        <f t="shared" si="0"/>
        <v>100</v>
      </c>
      <c r="J20" s="2338"/>
      <c r="K20" s="2341">
        <f t="shared" si="1"/>
        <v>0</v>
      </c>
      <c r="L20" s="2342"/>
      <c r="M20" s="2339">
        <v>16</v>
      </c>
      <c r="N20" s="2338"/>
      <c r="O20" s="2340">
        <f t="shared" si="2"/>
        <v>100</v>
      </c>
      <c r="P20" s="2338"/>
      <c r="Q20" s="2341">
        <f t="shared" si="3"/>
        <v>16</v>
      </c>
    </row>
    <row r="21" spans="1:17">
      <c r="A21" s="2337">
        <v>4</v>
      </c>
      <c r="B21" s="2338"/>
      <c r="C21" s="2337">
        <v>879000</v>
      </c>
      <c r="D21" s="2338"/>
      <c r="E21" s="2338" t="s">
        <v>821</v>
      </c>
      <c r="F21" s="2338"/>
      <c r="G21" s="2339">
        <v>0</v>
      </c>
      <c r="H21" s="2338"/>
      <c r="I21" s="2340">
        <f t="shared" si="0"/>
        <v>100</v>
      </c>
      <c r="J21" s="2338"/>
      <c r="K21" s="2341">
        <f t="shared" si="1"/>
        <v>0</v>
      </c>
      <c r="L21" s="2342"/>
      <c r="M21" s="2339">
        <v>1617</v>
      </c>
      <c r="N21" s="2338"/>
      <c r="O21" s="2340">
        <f t="shared" si="2"/>
        <v>100</v>
      </c>
      <c r="P21" s="2338"/>
      <c r="Q21" s="2341">
        <f t="shared" si="3"/>
        <v>1617</v>
      </c>
    </row>
    <row r="22" spans="1:17">
      <c r="A22" s="2337">
        <v>5</v>
      </c>
      <c r="B22" s="2338"/>
      <c r="C22" s="2337">
        <v>880000</v>
      </c>
      <c r="D22" s="2338"/>
      <c r="E22" s="2338" t="s">
        <v>821</v>
      </c>
      <c r="F22" s="2338"/>
      <c r="G22" s="2339">
        <v>0</v>
      </c>
      <c r="H22" s="2338"/>
      <c r="I22" s="2340">
        <f t="shared" si="0"/>
        <v>100</v>
      </c>
      <c r="J22" s="2338"/>
      <c r="K22" s="2341">
        <f t="shared" si="1"/>
        <v>0</v>
      </c>
      <c r="L22" s="2342"/>
      <c r="M22" s="2339">
        <v>3041</v>
      </c>
      <c r="N22" s="2338"/>
      <c r="O22" s="2340">
        <f t="shared" si="2"/>
        <v>100</v>
      </c>
      <c r="P22" s="2338"/>
      <c r="Q22" s="2341">
        <f t="shared" si="3"/>
        <v>3041</v>
      </c>
    </row>
    <row r="23" spans="1:17">
      <c r="A23" s="2337">
        <v>6</v>
      </c>
      <c r="B23" s="2338"/>
      <c r="C23" s="2337">
        <v>903000</v>
      </c>
      <c r="D23" s="2338"/>
      <c r="E23" s="1639" t="s">
        <v>821</v>
      </c>
      <c r="F23" s="2343"/>
      <c r="G23" s="2339">
        <v>0</v>
      </c>
      <c r="H23" s="2338"/>
      <c r="I23" s="2340">
        <f t="shared" si="0"/>
        <v>100</v>
      </c>
      <c r="J23" s="2338"/>
      <c r="K23" s="2341">
        <f t="shared" si="1"/>
        <v>0</v>
      </c>
      <c r="L23" s="2342"/>
      <c r="M23" s="2339">
        <v>15</v>
      </c>
      <c r="N23" s="2338"/>
      <c r="O23" s="2340">
        <f t="shared" si="2"/>
        <v>100</v>
      </c>
      <c r="P23" s="2338"/>
      <c r="Q23" s="2341">
        <f t="shared" si="3"/>
        <v>15</v>
      </c>
    </row>
    <row r="24" spans="1:17">
      <c r="A24" s="2337">
        <v>7</v>
      </c>
      <c r="B24" s="2338"/>
      <c r="C24" s="2337">
        <v>903100</v>
      </c>
      <c r="D24" s="2338"/>
      <c r="E24" s="1639" t="s">
        <v>821</v>
      </c>
      <c r="F24" s="2343"/>
      <c r="G24" s="2339">
        <v>0</v>
      </c>
      <c r="H24" s="2338"/>
      <c r="I24" s="2340">
        <f t="shared" si="0"/>
        <v>100</v>
      </c>
      <c r="J24" s="2338"/>
      <c r="K24" s="2341">
        <f t="shared" si="1"/>
        <v>0</v>
      </c>
      <c r="L24" s="2342"/>
      <c r="M24" s="2339">
        <v>7</v>
      </c>
      <c r="N24" s="2338"/>
      <c r="O24" s="2340">
        <f t="shared" si="2"/>
        <v>100</v>
      </c>
      <c r="P24" s="2338"/>
      <c r="Q24" s="2341">
        <f t="shared" si="3"/>
        <v>7</v>
      </c>
    </row>
    <row r="25" spans="1:17">
      <c r="A25" s="2337">
        <v>8</v>
      </c>
      <c r="B25" s="2338"/>
      <c r="C25" s="2337">
        <v>903200</v>
      </c>
      <c r="D25" s="2338"/>
      <c r="E25" s="1639" t="s">
        <v>821</v>
      </c>
      <c r="F25" s="2343"/>
      <c r="G25" s="2339">
        <v>0</v>
      </c>
      <c r="H25" s="2338"/>
      <c r="I25" s="2340">
        <f t="shared" si="0"/>
        <v>100</v>
      </c>
      <c r="J25" s="2338"/>
      <c r="K25" s="2341">
        <f t="shared" si="1"/>
        <v>0</v>
      </c>
      <c r="L25" s="2342"/>
      <c r="M25" s="2339">
        <v>6</v>
      </c>
      <c r="N25" s="2338"/>
      <c r="O25" s="2340">
        <f t="shared" si="2"/>
        <v>100</v>
      </c>
      <c r="P25" s="2338"/>
      <c r="Q25" s="2341">
        <f t="shared" si="3"/>
        <v>6</v>
      </c>
    </row>
    <row r="26" spans="1:17">
      <c r="A26" s="2337">
        <v>9</v>
      </c>
      <c r="B26" s="2338"/>
      <c r="C26" s="2337">
        <v>903300</v>
      </c>
      <c r="D26" s="2338"/>
      <c r="E26" s="1639" t="s">
        <v>821</v>
      </c>
      <c r="F26" s="2343"/>
      <c r="G26" s="2339">
        <v>0</v>
      </c>
      <c r="H26" s="2338"/>
      <c r="I26" s="2340">
        <f t="shared" si="0"/>
        <v>100</v>
      </c>
      <c r="J26" s="2338"/>
      <c r="K26" s="2341">
        <f t="shared" ref="K26:K27" si="4">ROUND(G26*(I26/100),2)</f>
        <v>0</v>
      </c>
      <c r="L26" s="2342"/>
      <c r="M26" s="2339">
        <v>5</v>
      </c>
      <c r="N26" s="2338"/>
      <c r="O26" s="2340">
        <f t="shared" si="2"/>
        <v>100</v>
      </c>
      <c r="P26" s="2338"/>
      <c r="Q26" s="2341">
        <f t="shared" ref="Q26:Q27" si="5">ROUND(M26*(O26/100),2)</f>
        <v>5</v>
      </c>
    </row>
    <row r="27" spans="1:17">
      <c r="A27" s="2337">
        <v>10</v>
      </c>
      <c r="B27" s="2338"/>
      <c r="C27" s="2337">
        <v>921100</v>
      </c>
      <c r="D27" s="2338"/>
      <c r="E27" s="1639" t="s">
        <v>821</v>
      </c>
      <c r="F27" s="2343"/>
      <c r="G27" s="2339">
        <v>0</v>
      </c>
      <c r="H27" s="2338"/>
      <c r="I27" s="2340">
        <f t="shared" si="0"/>
        <v>100</v>
      </c>
      <c r="J27" s="2338"/>
      <c r="K27" s="2341">
        <f t="shared" si="4"/>
        <v>0</v>
      </c>
      <c r="L27" s="2342"/>
      <c r="M27" s="2339">
        <v>11839</v>
      </c>
      <c r="N27" s="2338"/>
      <c r="O27" s="2340">
        <f t="shared" si="2"/>
        <v>100</v>
      </c>
      <c r="P27" s="2338"/>
      <c r="Q27" s="2341">
        <f t="shared" si="5"/>
        <v>11839</v>
      </c>
    </row>
    <row r="28" spans="1:17">
      <c r="A28" s="2337">
        <v>11</v>
      </c>
      <c r="B28" s="2338"/>
      <c r="C28" s="2337">
        <v>930200</v>
      </c>
      <c r="D28" s="2338"/>
      <c r="E28" s="1639" t="s">
        <v>821</v>
      </c>
      <c r="F28" s="2343"/>
      <c r="G28" s="2339">
        <v>0</v>
      </c>
      <c r="H28" s="2338"/>
      <c r="I28" s="2340">
        <f t="shared" si="0"/>
        <v>100</v>
      </c>
      <c r="J28" s="2338"/>
      <c r="K28" s="2341">
        <f t="shared" ref="K28" si="6">ROUND(G28*(I28/100),2)</f>
        <v>0</v>
      </c>
      <c r="L28" s="2342"/>
      <c r="M28" s="2339">
        <v>949</v>
      </c>
      <c r="N28" s="2338"/>
      <c r="O28" s="2340">
        <f t="shared" si="2"/>
        <v>100</v>
      </c>
      <c r="P28" s="2338"/>
      <c r="Q28" s="2341">
        <f t="shared" ref="Q28" si="7">ROUND(M28*(O28/100),2)</f>
        <v>949</v>
      </c>
    </row>
    <row r="29" spans="1:17">
      <c r="A29" s="2337">
        <v>12</v>
      </c>
      <c r="B29" s="2338"/>
      <c r="C29" s="2337">
        <v>930200</v>
      </c>
      <c r="D29" s="2338"/>
      <c r="E29" s="2338" t="s">
        <v>2714</v>
      </c>
      <c r="F29" s="2343"/>
      <c r="G29" s="2339">
        <v>500</v>
      </c>
      <c r="H29" s="2338"/>
      <c r="I29" s="2340">
        <f t="shared" si="0"/>
        <v>100</v>
      </c>
      <c r="J29" s="2338"/>
      <c r="K29" s="2341">
        <f t="shared" si="1"/>
        <v>500</v>
      </c>
      <c r="L29" s="2342"/>
      <c r="M29" s="2339">
        <v>0</v>
      </c>
      <c r="N29" s="2338"/>
      <c r="O29" s="2340">
        <f t="shared" si="2"/>
        <v>100</v>
      </c>
      <c r="P29" s="2338"/>
      <c r="Q29" s="2341">
        <f t="shared" si="3"/>
        <v>0</v>
      </c>
    </row>
    <row r="30" spans="1:17">
      <c r="A30" s="2337">
        <v>13</v>
      </c>
      <c r="B30" s="2338"/>
      <c r="C30" s="2337">
        <v>930230</v>
      </c>
      <c r="D30" s="2338"/>
      <c r="E30" s="2338" t="s">
        <v>2591</v>
      </c>
      <c r="F30" s="2343"/>
      <c r="G30" s="2339">
        <v>1657</v>
      </c>
      <c r="H30" s="2338"/>
      <c r="I30" s="2340">
        <f t="shared" si="0"/>
        <v>100</v>
      </c>
      <c r="J30" s="2338"/>
      <c r="K30" s="2341">
        <f t="shared" si="1"/>
        <v>1657</v>
      </c>
      <c r="L30" s="2342"/>
      <c r="M30" s="2339">
        <v>0</v>
      </c>
      <c r="N30" s="2338"/>
      <c r="O30" s="2340">
        <f t="shared" si="2"/>
        <v>100</v>
      </c>
      <c r="P30" s="2338"/>
      <c r="Q30" s="2341">
        <f t="shared" si="3"/>
        <v>0</v>
      </c>
    </row>
    <row r="31" spans="1:17">
      <c r="A31" s="2337">
        <v>14</v>
      </c>
      <c r="B31" s="2338"/>
      <c r="C31" s="2337">
        <v>930230</v>
      </c>
      <c r="D31" s="2338"/>
      <c r="E31" s="2338" t="s">
        <v>2563</v>
      </c>
      <c r="F31" s="2343"/>
      <c r="G31" s="2339">
        <v>982</v>
      </c>
      <c r="H31" s="2338"/>
      <c r="I31" s="2340">
        <f t="shared" si="0"/>
        <v>100</v>
      </c>
      <c r="J31" s="2338"/>
      <c r="K31" s="2341">
        <f t="shared" si="1"/>
        <v>982</v>
      </c>
      <c r="L31" s="2342"/>
      <c r="M31" s="2339">
        <v>0</v>
      </c>
      <c r="N31" s="2338"/>
      <c r="O31" s="2340">
        <f t="shared" si="2"/>
        <v>100</v>
      </c>
      <c r="P31" s="2338"/>
      <c r="Q31" s="2341">
        <f t="shared" si="3"/>
        <v>0</v>
      </c>
    </row>
    <row r="32" spans="1:17">
      <c r="A32" s="2337">
        <v>15</v>
      </c>
      <c r="B32" s="2338"/>
      <c r="C32" s="2337">
        <v>930230</v>
      </c>
      <c r="D32" s="2338"/>
      <c r="E32" s="2338" t="s">
        <v>2715</v>
      </c>
      <c r="F32" s="2343"/>
      <c r="G32" s="2339">
        <v>720</v>
      </c>
      <c r="H32" s="2338"/>
      <c r="I32" s="2340">
        <f t="shared" si="0"/>
        <v>100</v>
      </c>
      <c r="J32" s="2338"/>
      <c r="K32" s="2341">
        <f t="shared" si="1"/>
        <v>720</v>
      </c>
      <c r="L32" s="2342"/>
      <c r="M32" s="2339">
        <v>0</v>
      </c>
      <c r="N32" s="2338"/>
      <c r="O32" s="2340">
        <f t="shared" si="2"/>
        <v>100</v>
      </c>
      <c r="P32" s="2338"/>
      <c r="Q32" s="2341">
        <f t="shared" si="3"/>
        <v>0</v>
      </c>
    </row>
    <row r="33" spans="1:17">
      <c r="A33" s="2337">
        <v>16</v>
      </c>
      <c r="B33" s="2338"/>
      <c r="C33" s="2337">
        <v>930230</v>
      </c>
      <c r="D33" s="2338"/>
      <c r="E33" s="2346" t="s">
        <v>2716</v>
      </c>
      <c r="F33" s="2343"/>
      <c r="G33" s="2339">
        <v>8200</v>
      </c>
      <c r="H33" s="2338"/>
      <c r="I33" s="2340">
        <f t="shared" si="0"/>
        <v>100</v>
      </c>
      <c r="J33" s="2338"/>
      <c r="K33" s="2341">
        <f t="shared" si="1"/>
        <v>8200</v>
      </c>
      <c r="L33" s="2342"/>
      <c r="M33" s="2339">
        <v>0</v>
      </c>
      <c r="N33" s="2338"/>
      <c r="O33" s="2340">
        <f t="shared" si="2"/>
        <v>100</v>
      </c>
      <c r="P33" s="2338"/>
      <c r="Q33" s="2341">
        <f t="shared" si="3"/>
        <v>0</v>
      </c>
    </row>
    <row r="34" spans="1:17">
      <c r="A34" s="2337">
        <v>17</v>
      </c>
      <c r="B34" s="2338"/>
      <c r="C34" s="2337">
        <v>930230</v>
      </c>
      <c r="D34" s="2338"/>
      <c r="E34" s="2346" t="s">
        <v>2717</v>
      </c>
      <c r="F34" s="2343"/>
      <c r="G34" s="2339">
        <v>2516</v>
      </c>
      <c r="H34" s="2338"/>
      <c r="I34" s="2340">
        <f t="shared" si="0"/>
        <v>100</v>
      </c>
      <c r="J34" s="2338"/>
      <c r="K34" s="2341">
        <f t="shared" si="1"/>
        <v>2516</v>
      </c>
      <c r="L34" s="2342"/>
      <c r="M34" s="2339">
        <v>0</v>
      </c>
      <c r="N34" s="2338"/>
      <c r="O34" s="2340">
        <f t="shared" si="2"/>
        <v>100</v>
      </c>
      <c r="P34" s="2338"/>
      <c r="Q34" s="2341">
        <f t="shared" si="3"/>
        <v>0</v>
      </c>
    </row>
    <row r="35" spans="1:17">
      <c r="A35" s="2337">
        <v>18</v>
      </c>
      <c r="B35" s="2338"/>
      <c r="C35" s="2337">
        <v>930230</v>
      </c>
      <c r="D35" s="2338"/>
      <c r="E35" s="2338" t="s">
        <v>504</v>
      </c>
      <c r="F35" s="2343"/>
      <c r="G35" s="2339">
        <v>320</v>
      </c>
      <c r="H35" s="2338"/>
      <c r="I35" s="2340">
        <f t="shared" si="0"/>
        <v>100</v>
      </c>
      <c r="J35" s="2338"/>
      <c r="K35" s="2341">
        <f t="shared" si="1"/>
        <v>320</v>
      </c>
      <c r="L35" s="2342"/>
      <c r="M35" s="2339">
        <v>0</v>
      </c>
      <c r="N35" s="2338"/>
      <c r="O35" s="2340">
        <f t="shared" si="2"/>
        <v>100</v>
      </c>
      <c r="P35" s="2338"/>
      <c r="Q35" s="2341">
        <f t="shared" si="3"/>
        <v>0</v>
      </c>
    </row>
    <row r="36" spans="1:17">
      <c r="A36" s="2337">
        <v>19</v>
      </c>
      <c r="B36" s="2338"/>
      <c r="C36" s="2337">
        <v>930230</v>
      </c>
      <c r="D36" s="2338"/>
      <c r="E36" s="2338" t="s">
        <v>821</v>
      </c>
      <c r="F36" s="2338"/>
      <c r="G36" s="2339">
        <v>8732</v>
      </c>
      <c r="H36" s="2338"/>
      <c r="I36" s="2340">
        <f t="shared" si="0"/>
        <v>100</v>
      </c>
      <c r="J36" s="2338"/>
      <c r="K36" s="2341">
        <f t="shared" si="1"/>
        <v>8732</v>
      </c>
      <c r="L36" s="2342"/>
      <c r="M36" s="2339">
        <v>13419</v>
      </c>
      <c r="N36" s="2338"/>
      <c r="O36" s="2340">
        <f t="shared" si="2"/>
        <v>100</v>
      </c>
      <c r="P36" s="2338"/>
      <c r="Q36" s="2341">
        <f t="shared" si="3"/>
        <v>13419</v>
      </c>
    </row>
    <row r="37" spans="1:17" ht="13.8" thickBot="1">
      <c r="A37" s="2337">
        <v>20</v>
      </c>
      <c r="B37" s="2338"/>
      <c r="E37" s="2365"/>
      <c r="F37" s="2365"/>
      <c r="G37" s="2368">
        <f>SUM(G18:G36)</f>
        <v>23627</v>
      </c>
      <c r="K37" s="2368">
        <f>SUM(K18:K36)</f>
        <v>23627</v>
      </c>
      <c r="M37" s="2368">
        <f>SUM(M18:M36)</f>
        <v>31683</v>
      </c>
      <c r="Q37" s="2368">
        <f>SUM(Q18:Q36)</f>
        <v>31683</v>
      </c>
    </row>
    <row r="38" spans="1:17" ht="13.8" thickTop="1">
      <c r="E38" s="2365"/>
      <c r="F38" s="2365"/>
      <c r="G38" s="2369"/>
      <c r="K38" s="2370"/>
      <c r="Q38" s="2370"/>
    </row>
    <row r="39" spans="1:17">
      <c r="A39" s="2338"/>
      <c r="B39" s="582"/>
      <c r="C39" s="582"/>
      <c r="D39" s="582"/>
      <c r="E39" s="582"/>
      <c r="F39" s="2343"/>
      <c r="G39" s="2365"/>
    </row>
    <row r="40" spans="1:17">
      <c r="A40" s="2338"/>
      <c r="B40" s="582"/>
      <c r="C40" s="582"/>
      <c r="D40" s="582"/>
      <c r="E40" s="582"/>
      <c r="F40" s="2343"/>
      <c r="G40" s="2365"/>
    </row>
    <row r="41" spans="1:17">
      <c r="A41" s="2338"/>
      <c r="B41" s="2338" t="s">
        <v>2110</v>
      </c>
      <c r="C41" s="2338"/>
      <c r="D41" s="2338"/>
      <c r="E41" s="2375" t="s">
        <v>591</v>
      </c>
      <c r="F41" s="2343"/>
      <c r="G41" s="2365"/>
    </row>
    <row r="42" spans="1:17">
      <c r="A42" s="2338"/>
      <c r="B42" s="2376" t="s">
        <v>2564</v>
      </c>
      <c r="C42" s="2338"/>
      <c r="D42" s="2338"/>
      <c r="E42" s="2343"/>
      <c r="F42" s="2343"/>
      <c r="G42" s="2365"/>
    </row>
    <row r="43" spans="1:17">
      <c r="A43" s="2338"/>
      <c r="B43" s="2338"/>
      <c r="C43" s="2338"/>
      <c r="D43" s="2338"/>
      <c r="E43" s="2343"/>
      <c r="F43" s="2343"/>
      <c r="G43" s="2365"/>
    </row>
    <row r="44" spans="1:17">
      <c r="A44" s="2338"/>
      <c r="B44" s="2338"/>
      <c r="C44" s="2338"/>
      <c r="D44" s="2338"/>
      <c r="E44" s="2343"/>
      <c r="F44" s="2343"/>
      <c r="G44" s="2365"/>
    </row>
    <row r="45" spans="1:17">
      <c r="A45" s="2379"/>
      <c r="B45" s="2338"/>
      <c r="C45" s="2338"/>
      <c r="D45" s="2338"/>
      <c r="E45" s="2343"/>
      <c r="F45" s="2343"/>
      <c r="G45" s="2365"/>
    </row>
    <row r="46" spans="1:17">
      <c r="A46" s="2377"/>
      <c r="B46" s="2377"/>
      <c r="C46" s="2377"/>
      <c r="D46" s="2377"/>
      <c r="E46" s="2377"/>
      <c r="F46" s="2378"/>
      <c r="G46" s="2365"/>
    </row>
    <row r="47" spans="1:17">
      <c r="A47" s="2379"/>
      <c r="B47" s="2379"/>
      <c r="C47" s="2379"/>
      <c r="D47" s="2379"/>
      <c r="E47" s="2378"/>
      <c r="F47" s="2378"/>
      <c r="G47" s="2365"/>
    </row>
    <row r="48" spans="1:17">
      <c r="B48" s="2379"/>
      <c r="C48" s="2379"/>
      <c r="D48" s="2379"/>
      <c r="E48" s="2378"/>
      <c r="F48" s="2378"/>
      <c r="G48" s="2365"/>
    </row>
    <row r="49" spans="1:11">
      <c r="E49" s="2365"/>
      <c r="F49" s="2365"/>
      <c r="G49" s="2365"/>
    </row>
    <row r="50" spans="1:11">
      <c r="E50" s="2365"/>
      <c r="F50" s="2365"/>
      <c r="G50" s="2365"/>
    </row>
    <row r="51" spans="1:11">
      <c r="E51" s="2365"/>
      <c r="F51" s="2365"/>
      <c r="G51" s="2365"/>
    </row>
    <row r="52" spans="1:11">
      <c r="A52" s="2356"/>
      <c r="C52" s="2356"/>
      <c r="E52" s="2364"/>
      <c r="F52" s="2365"/>
      <c r="G52" s="2373"/>
      <c r="I52" s="2366"/>
      <c r="K52" s="2373"/>
    </row>
    <row r="53" spans="1:11">
      <c r="A53" s="2356"/>
      <c r="C53" s="2356"/>
      <c r="E53" s="2364"/>
      <c r="F53" s="2365"/>
      <c r="G53" s="2373"/>
      <c r="I53" s="2366"/>
      <c r="K53" s="2373"/>
    </row>
    <row r="54" spans="1:11">
      <c r="A54" s="2356"/>
      <c r="C54" s="2356"/>
      <c r="E54" s="2364"/>
      <c r="F54" s="2365"/>
      <c r="G54" s="2373"/>
      <c r="I54" s="2366"/>
      <c r="K54" s="2373"/>
    </row>
    <row r="55" spans="1:11">
      <c r="A55" s="2356"/>
      <c r="C55" s="2356"/>
      <c r="E55" s="2364"/>
      <c r="F55" s="2365"/>
      <c r="G55" s="2373"/>
      <c r="I55" s="2366"/>
      <c r="K55" s="2373"/>
    </row>
    <row r="56" spans="1:11">
      <c r="A56" s="2356"/>
      <c r="C56" s="2356"/>
      <c r="E56" s="2364"/>
      <c r="F56" s="2365"/>
      <c r="G56" s="2373"/>
      <c r="I56" s="2366"/>
      <c r="K56" s="2373"/>
    </row>
    <row r="57" spans="1:11">
      <c r="A57" s="2356"/>
      <c r="C57" s="2356"/>
      <c r="E57" s="2364"/>
      <c r="F57" s="2365"/>
      <c r="G57" s="2373"/>
      <c r="I57" s="2366"/>
      <c r="K57" s="2373"/>
    </row>
    <row r="58" spans="1:11">
      <c r="A58" s="2356"/>
      <c r="C58" s="2356"/>
      <c r="E58" s="2364"/>
      <c r="F58" s="2365"/>
      <c r="G58" s="2373"/>
      <c r="I58" s="2366"/>
      <c r="K58" s="2373"/>
    </row>
    <row r="59" spans="1:11">
      <c r="A59" s="2356"/>
      <c r="C59" s="2356"/>
      <c r="E59" s="2364"/>
      <c r="F59" s="2365"/>
      <c r="G59" s="2373"/>
      <c r="I59" s="2366"/>
      <c r="K59" s="2373"/>
    </row>
    <row r="60" spans="1:11">
      <c r="A60" s="2356"/>
      <c r="C60" s="2356"/>
      <c r="E60" s="2364"/>
      <c r="F60" s="2365"/>
      <c r="G60" s="2373"/>
      <c r="I60" s="2366"/>
      <c r="K60" s="2373"/>
    </row>
    <row r="61" spans="1:11">
      <c r="A61" s="2356"/>
      <c r="C61" s="2356"/>
      <c r="E61" s="2364"/>
      <c r="F61" s="2365"/>
      <c r="G61" s="2373"/>
      <c r="I61" s="2366"/>
      <c r="K61" s="2373"/>
    </row>
    <row r="62" spans="1:11">
      <c r="A62" s="2356"/>
      <c r="C62" s="2356"/>
      <c r="E62" s="2364"/>
      <c r="F62" s="2365"/>
      <c r="G62" s="2373"/>
      <c r="I62" s="2366"/>
      <c r="K62" s="2373"/>
    </row>
    <row r="63" spans="1:11">
      <c r="A63" s="2356"/>
      <c r="C63" s="2356"/>
      <c r="E63" s="2364"/>
      <c r="F63" s="2365"/>
      <c r="G63" s="2373"/>
      <c r="I63" s="2366"/>
      <c r="K63" s="2373"/>
    </row>
    <row r="64" spans="1:11">
      <c r="A64" s="2356"/>
      <c r="C64" s="2356"/>
      <c r="E64" s="2364"/>
      <c r="F64" s="2365"/>
      <c r="G64" s="2373"/>
      <c r="I64" s="2366"/>
      <c r="K64" s="2373"/>
    </row>
    <row r="65" spans="1:11">
      <c r="A65" s="2356"/>
      <c r="C65" s="2356"/>
      <c r="E65" s="2364"/>
      <c r="F65" s="2365"/>
      <c r="G65" s="2373"/>
      <c r="I65" s="2366"/>
      <c r="K65" s="2373"/>
    </row>
    <row r="66" spans="1:11">
      <c r="A66" s="2356"/>
      <c r="C66" s="2356"/>
      <c r="E66" s="2364"/>
      <c r="F66" s="2365"/>
      <c r="G66" s="2373"/>
      <c r="I66" s="2366"/>
      <c r="K66" s="2373"/>
    </row>
    <row r="67" spans="1:11">
      <c r="A67" s="2356"/>
      <c r="C67" s="2356"/>
      <c r="E67" s="2364"/>
      <c r="F67" s="2365"/>
      <c r="G67" s="2373"/>
      <c r="I67" s="2366"/>
      <c r="K67" s="2373"/>
    </row>
    <row r="68" spans="1:11">
      <c r="A68" s="2356"/>
      <c r="C68" s="2356"/>
      <c r="E68" s="2364"/>
      <c r="F68" s="2365"/>
      <c r="G68" s="2373"/>
      <c r="I68" s="2366"/>
      <c r="K68" s="2373"/>
    </row>
    <row r="69" spans="1:11">
      <c r="A69" s="2356"/>
      <c r="C69" s="2356"/>
      <c r="E69" s="2364"/>
      <c r="F69" s="2365"/>
      <c r="G69" s="2373"/>
      <c r="I69" s="2366"/>
      <c r="K69" s="2373"/>
    </row>
    <row r="70" spans="1:11">
      <c r="A70" s="2356"/>
      <c r="C70" s="2356"/>
      <c r="E70" s="2364"/>
      <c r="F70" s="2365"/>
      <c r="G70" s="2373"/>
      <c r="I70" s="2366"/>
      <c r="K70" s="2373"/>
    </row>
    <row r="71" spans="1:11">
      <c r="A71" s="2356"/>
      <c r="C71" s="2356"/>
      <c r="E71" s="2364"/>
      <c r="F71" s="2365"/>
      <c r="G71" s="2373"/>
      <c r="I71" s="2366"/>
      <c r="K71" s="2373"/>
    </row>
    <row r="72" spans="1:11">
      <c r="A72" s="2356"/>
      <c r="C72" s="2356"/>
      <c r="E72" s="2364"/>
      <c r="F72" s="2365"/>
      <c r="G72" s="2373"/>
      <c r="I72" s="2366"/>
      <c r="K72" s="2373"/>
    </row>
    <row r="73" spans="1:11">
      <c r="A73" s="2356"/>
      <c r="C73" s="2356"/>
      <c r="E73" s="2364"/>
      <c r="F73" s="2365"/>
      <c r="G73" s="2373"/>
      <c r="I73" s="2366"/>
      <c r="K73" s="2373"/>
    </row>
    <row r="74" spans="1:11">
      <c r="A74" s="2356"/>
      <c r="C74" s="2356"/>
      <c r="E74" s="2364"/>
      <c r="F74" s="2365"/>
      <c r="G74" s="2373"/>
      <c r="I74" s="2366"/>
      <c r="K74" s="2373"/>
    </row>
    <row r="75" spans="1:11">
      <c r="A75" s="2356"/>
      <c r="C75" s="2356"/>
      <c r="E75" s="2364"/>
      <c r="F75" s="2365"/>
      <c r="G75" s="2373"/>
      <c r="I75" s="2366"/>
      <c r="K75" s="2373"/>
    </row>
    <row r="76" spans="1:11">
      <c r="A76" s="2356"/>
      <c r="C76" s="2356"/>
      <c r="E76" s="2364"/>
      <c r="F76" s="2365"/>
      <c r="G76" s="2373"/>
      <c r="I76" s="2366"/>
      <c r="K76" s="2373"/>
    </row>
    <row r="77" spans="1:11">
      <c r="A77" s="2356"/>
      <c r="C77" s="2356"/>
      <c r="E77" s="2364"/>
      <c r="F77" s="2365"/>
      <c r="G77" s="2373"/>
      <c r="I77" s="2366"/>
      <c r="K77" s="2373"/>
    </row>
    <row r="78" spans="1:11">
      <c r="A78" s="2356"/>
      <c r="C78" s="2356"/>
      <c r="E78" s="2364"/>
      <c r="F78" s="2365"/>
      <c r="G78" s="2373"/>
      <c r="I78" s="2366"/>
      <c r="K78" s="2373"/>
    </row>
    <row r="79" spans="1:11">
      <c r="A79" s="2356"/>
      <c r="C79" s="2356"/>
      <c r="E79" s="2364"/>
      <c r="F79" s="2365"/>
      <c r="G79" s="2373"/>
      <c r="I79" s="2366"/>
      <c r="K79" s="2373"/>
    </row>
    <row r="80" spans="1:11">
      <c r="A80" s="2356"/>
      <c r="C80" s="2356"/>
      <c r="E80" s="2364"/>
      <c r="F80" s="2365"/>
      <c r="G80" s="2373"/>
      <c r="I80" s="2366"/>
      <c r="K80" s="2373"/>
    </row>
    <row r="81" spans="1:11">
      <c r="A81" s="2356"/>
      <c r="C81" s="2356"/>
      <c r="E81" s="2364"/>
      <c r="F81" s="2365"/>
      <c r="G81" s="2373"/>
      <c r="I81" s="2366"/>
      <c r="K81" s="2373"/>
    </row>
    <row r="82" spans="1:11">
      <c r="A82" s="2356"/>
      <c r="C82" s="2356"/>
      <c r="E82" s="2364"/>
      <c r="F82" s="2365"/>
      <c r="G82" s="2373"/>
      <c r="I82" s="2366"/>
      <c r="K82" s="2373"/>
    </row>
    <row r="83" spans="1:11">
      <c r="A83" s="2356"/>
      <c r="C83" s="2356"/>
      <c r="E83" s="2364"/>
      <c r="F83" s="2365"/>
      <c r="G83" s="2373"/>
      <c r="I83" s="2366"/>
      <c r="K83" s="2373"/>
    </row>
    <row r="84" spans="1:11">
      <c r="A84" s="2356"/>
      <c r="C84" s="2356"/>
      <c r="E84" s="2364"/>
      <c r="F84" s="2365"/>
      <c r="G84" s="2373"/>
      <c r="I84" s="2366"/>
      <c r="K84" s="2373"/>
    </row>
    <row r="85" spans="1:11">
      <c r="A85" s="2356"/>
      <c r="C85" s="2356"/>
      <c r="E85" s="2364"/>
      <c r="F85" s="2365"/>
      <c r="G85" s="2373"/>
      <c r="I85" s="2366"/>
      <c r="K85" s="2373"/>
    </row>
    <row r="86" spans="1:11">
      <c r="A86" s="2356"/>
      <c r="C86" s="2356"/>
      <c r="E86" s="2364"/>
      <c r="F86" s="2365"/>
      <c r="G86" s="2373"/>
      <c r="I86" s="2366"/>
      <c r="K86" s="2373"/>
    </row>
    <row r="87" spans="1:11">
      <c r="A87" s="2356"/>
      <c r="C87" s="2356"/>
      <c r="E87" s="2364"/>
      <c r="F87" s="2365"/>
      <c r="G87" s="2373"/>
      <c r="I87" s="2366"/>
      <c r="K87" s="2373"/>
    </row>
    <row r="88" spans="1:11">
      <c r="A88" s="2356"/>
      <c r="C88" s="2356"/>
      <c r="E88" s="2364"/>
      <c r="F88" s="2365"/>
      <c r="G88" s="2373"/>
      <c r="I88" s="2366"/>
      <c r="K88" s="2373"/>
    </row>
    <row r="89" spans="1:11">
      <c r="A89" s="2356"/>
      <c r="C89" s="2356"/>
      <c r="E89" s="2364"/>
      <c r="F89" s="2365"/>
      <c r="G89" s="2373"/>
      <c r="I89" s="2366"/>
      <c r="K89" s="2373"/>
    </row>
    <row r="90" spans="1:11">
      <c r="A90" s="2356"/>
      <c r="C90" s="2356"/>
      <c r="E90" s="2364"/>
      <c r="F90" s="2365"/>
      <c r="G90" s="2373"/>
      <c r="I90" s="2366"/>
      <c r="K90" s="2373"/>
    </row>
    <row r="91" spans="1:11">
      <c r="A91" s="2356"/>
      <c r="C91" s="2356"/>
      <c r="E91" s="2364"/>
      <c r="F91" s="2365"/>
      <c r="G91" s="2373"/>
      <c r="I91" s="2366"/>
      <c r="K91" s="2373"/>
    </row>
    <row r="92" spans="1:11">
      <c r="A92" s="2356"/>
      <c r="C92" s="2356"/>
      <c r="E92" s="2364"/>
      <c r="F92" s="2365"/>
      <c r="G92" s="2373"/>
      <c r="I92" s="2366"/>
      <c r="K92" s="2373"/>
    </row>
    <row r="93" spans="1:11">
      <c r="A93" s="2356"/>
      <c r="C93" s="2356"/>
      <c r="E93" s="2364"/>
      <c r="F93" s="2365"/>
      <c r="G93" s="2373"/>
      <c r="I93" s="2366"/>
      <c r="K93" s="2373"/>
    </row>
    <row r="94" spans="1:11">
      <c r="A94" s="2356"/>
      <c r="C94" s="2356"/>
      <c r="E94" s="2364"/>
      <c r="F94" s="2365"/>
      <c r="G94" s="2373"/>
      <c r="I94" s="2366"/>
      <c r="K94" s="2373"/>
    </row>
    <row r="95" spans="1:11">
      <c r="A95" s="2356"/>
      <c r="C95" s="2356"/>
      <c r="E95" s="2364"/>
      <c r="F95" s="2365"/>
      <c r="G95" s="2373"/>
      <c r="I95" s="2366"/>
      <c r="K95" s="2373"/>
    </row>
    <row r="96" spans="1:11">
      <c r="A96" s="2356"/>
      <c r="C96" s="2356"/>
      <c r="D96" s="2345"/>
      <c r="E96" s="2364"/>
      <c r="F96" s="2365"/>
      <c r="G96" s="2373"/>
      <c r="I96" s="2366"/>
      <c r="K96" s="2373"/>
    </row>
    <row r="97" spans="1:11">
      <c r="A97" s="2356"/>
      <c r="C97" s="2356"/>
      <c r="D97" s="2345"/>
      <c r="E97" s="2364"/>
      <c r="F97" s="2365"/>
      <c r="G97" s="2373"/>
      <c r="I97" s="2366"/>
      <c r="K97" s="2373"/>
    </row>
    <row r="98" spans="1:11">
      <c r="A98" s="2356"/>
      <c r="B98" s="2349"/>
      <c r="C98" s="2356"/>
      <c r="D98" s="2345"/>
      <c r="E98" s="2364"/>
      <c r="F98" s="2365"/>
      <c r="G98" s="2373"/>
      <c r="H98" s="2374"/>
      <c r="I98" s="2366"/>
      <c r="J98" s="2374"/>
      <c r="K98" s="2373"/>
    </row>
    <row r="99" spans="1:11">
      <c r="A99" s="2356"/>
      <c r="C99" s="2356"/>
      <c r="D99" s="2345"/>
      <c r="E99" s="2364"/>
      <c r="F99" s="2365"/>
      <c r="G99" s="2373"/>
      <c r="H99" s="2374"/>
      <c r="I99" s="2366"/>
      <c r="J99" s="2374"/>
      <c r="K99" s="2373"/>
    </row>
    <row r="100" spans="1:11">
      <c r="A100" s="2356"/>
      <c r="C100" s="2356"/>
      <c r="D100" s="2345"/>
      <c r="E100" s="2364"/>
      <c r="F100" s="2365"/>
      <c r="G100" s="2373"/>
      <c r="I100" s="2366"/>
      <c r="K100" s="2373"/>
    </row>
    <row r="101" spans="1:11">
      <c r="A101" s="2356"/>
      <c r="C101" s="2356"/>
      <c r="D101" s="2345"/>
      <c r="E101" s="2364"/>
      <c r="F101" s="2365"/>
      <c r="G101" s="2373"/>
      <c r="I101" s="2366"/>
      <c r="K101" s="2373"/>
    </row>
    <row r="102" spans="1:11">
      <c r="A102" s="2356"/>
      <c r="C102" s="2356"/>
      <c r="E102" s="2364"/>
      <c r="F102" s="2365"/>
      <c r="G102" s="2373"/>
      <c r="I102" s="2366"/>
      <c r="K102" s="2373"/>
    </row>
    <row r="103" spans="1:11">
      <c r="A103" s="2356"/>
      <c r="C103" s="2356"/>
      <c r="E103" s="2364"/>
      <c r="F103" s="2365"/>
      <c r="G103" s="2373"/>
      <c r="I103" s="2366"/>
      <c r="K103" s="2373"/>
    </row>
    <row r="104" spans="1:11">
      <c r="A104" s="2356"/>
      <c r="C104" s="2356"/>
      <c r="E104" s="2364"/>
      <c r="F104" s="2365"/>
      <c r="G104" s="2373"/>
      <c r="I104" s="2366"/>
      <c r="K104" s="2373"/>
    </row>
    <row r="105" spans="1:11">
      <c r="A105" s="2356"/>
      <c r="C105" s="2356"/>
      <c r="E105" s="2364"/>
      <c r="F105" s="2365"/>
      <c r="G105" s="2373"/>
      <c r="I105" s="2366"/>
      <c r="K105" s="2373"/>
    </row>
    <row r="106" spans="1:11">
      <c r="A106" s="2356"/>
      <c r="C106" s="2356"/>
      <c r="E106" s="2364"/>
      <c r="F106" s="2365"/>
      <c r="G106" s="2373"/>
      <c r="I106" s="2366"/>
      <c r="K106" s="2373"/>
    </row>
  </sheetData>
  <mergeCells count="2">
    <mergeCell ref="O13:Q13"/>
    <mergeCell ref="I13:K13"/>
  </mergeCells>
  <phoneticPr fontId="4" type="noConversion"/>
  <pageMargins left="1" right="0.75" top="0.98425196850393704" bottom="0" header="0" footer="0"/>
  <pageSetup scale="72" orientation="landscape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tabColor rgb="FFFF9900"/>
    <pageSetUpPr fitToPage="1"/>
  </sheetPr>
  <dimension ref="A1:S65"/>
  <sheetViews>
    <sheetView zoomScale="90" zoomScaleNormal="90" workbookViewId="0"/>
  </sheetViews>
  <sheetFormatPr defaultColWidth="8" defaultRowHeight="13.2"/>
  <cols>
    <col min="1" max="1" width="6" style="2399" customWidth="1"/>
    <col min="2" max="2" width="1.88671875" style="2399" customWidth="1"/>
    <col min="3" max="3" width="20" style="2399" customWidth="1"/>
    <col min="4" max="4" width="1.109375" style="2399" customWidth="1"/>
    <col min="5" max="5" width="50" style="2399" bestFit="1" customWidth="1"/>
    <col min="6" max="6" width="1.33203125" style="2399" customWidth="1"/>
    <col min="7" max="7" width="15" style="2399" customWidth="1"/>
    <col min="8" max="8" width="1.33203125" style="2399" customWidth="1"/>
    <col min="9" max="9" width="12.6640625" style="2399" customWidth="1"/>
    <col min="10" max="10" width="1.33203125" style="2399" customWidth="1"/>
    <col min="11" max="11" width="15" style="2399" customWidth="1"/>
    <col min="12" max="12" width="1.33203125" style="2399" customWidth="1"/>
    <col min="13" max="13" width="15" style="2399" customWidth="1"/>
    <col min="14" max="14" width="1.33203125" style="2399" customWidth="1"/>
    <col min="15" max="15" width="12.5546875" style="2399" customWidth="1"/>
    <col min="16" max="16" width="0.88671875" style="2399" customWidth="1"/>
    <col min="17" max="17" width="17.33203125" style="2399" customWidth="1"/>
    <col min="18" max="18" width="8" style="2399"/>
    <col min="19" max="19" width="50" style="2399" bestFit="1" customWidth="1"/>
    <col min="20" max="20" width="11.109375" style="2399" bestFit="1" customWidth="1"/>
    <col min="21" max="21" width="8.44140625" style="2399" bestFit="1" customWidth="1"/>
    <col min="22" max="16384" width="8" style="2399"/>
  </cols>
  <sheetData>
    <row r="1" spans="1:19">
      <c r="A1" s="2397" t="str">
        <f>COMPANY</f>
        <v>DUKE ENERGY KENTUCKY, INC.</v>
      </c>
      <c r="B1" s="2398"/>
      <c r="C1" s="2397"/>
      <c r="D1" s="2397"/>
      <c r="E1" s="2398"/>
      <c r="F1" s="2398"/>
      <c r="G1" s="2398"/>
      <c r="H1" s="2398"/>
      <c r="I1" s="2398"/>
      <c r="J1" s="2398"/>
      <c r="K1" s="2398"/>
      <c r="L1" s="2398"/>
      <c r="M1" s="2398"/>
      <c r="N1" s="2398"/>
      <c r="O1" s="2398"/>
      <c r="P1" s="2398"/>
      <c r="Q1" s="2398"/>
      <c r="R1" s="2338"/>
      <c r="S1" s="2338"/>
    </row>
    <row r="2" spans="1:19">
      <c r="A2" s="2397" t="str">
        <f>CASE</f>
        <v>CASE NO. 2018-00261</v>
      </c>
      <c r="B2" s="2398"/>
      <c r="C2" s="2398"/>
      <c r="D2" s="2398"/>
      <c r="E2" s="2398"/>
      <c r="F2" s="2398"/>
      <c r="G2" s="2398"/>
      <c r="H2" s="2398"/>
      <c r="I2" s="2398"/>
      <c r="J2" s="2398"/>
      <c r="K2" s="2398"/>
      <c r="L2" s="2398"/>
      <c r="M2" s="2398"/>
      <c r="N2" s="2398"/>
      <c r="O2" s="2398"/>
      <c r="P2" s="2398"/>
      <c r="Q2" s="2398"/>
      <c r="R2" s="2380"/>
      <c r="S2" s="2380"/>
    </row>
    <row r="3" spans="1:19">
      <c r="A3" s="2400" t="s">
        <v>2111</v>
      </c>
      <c r="B3" s="2398"/>
      <c r="C3" s="2398"/>
      <c r="D3" s="2398"/>
      <c r="E3" s="2398"/>
      <c r="F3" s="2398"/>
      <c r="G3" s="2398"/>
      <c r="H3" s="2398"/>
      <c r="I3" s="2398"/>
      <c r="J3" s="2398"/>
      <c r="K3" s="2398"/>
      <c r="L3" s="2398"/>
      <c r="M3" s="2398"/>
      <c r="N3" s="2400"/>
      <c r="O3" s="2398"/>
      <c r="P3" s="2398"/>
      <c r="Q3" s="2398"/>
    </row>
    <row r="4" spans="1:19">
      <c r="A4" s="2400" t="str">
        <f>PERIOD</f>
        <v>FOR THE TWELVE MONTHS ENDED NOVEMBER 30, 2018</v>
      </c>
      <c r="B4" s="2398"/>
      <c r="C4" s="2398"/>
      <c r="D4" s="2398"/>
      <c r="E4" s="2398"/>
      <c r="F4" s="2398"/>
      <c r="G4" s="2398"/>
      <c r="H4" s="2398"/>
      <c r="I4" s="2398"/>
      <c r="J4" s="2398"/>
      <c r="K4" s="2398"/>
      <c r="L4" s="2398"/>
      <c r="M4" s="2398"/>
      <c r="N4" s="2400"/>
      <c r="O4" s="2398"/>
      <c r="P4" s="2398"/>
      <c r="Q4" s="2398"/>
    </row>
    <row r="5" spans="1:19">
      <c r="A5" s="2397" t="str">
        <f>PeriodF</f>
        <v>FOR THE TWELVE MONTHS ENDED MARCH 31, 2020</v>
      </c>
      <c r="B5" s="2398"/>
      <c r="C5" s="2398"/>
      <c r="D5" s="2398"/>
      <c r="E5" s="2398"/>
      <c r="F5" s="2398"/>
      <c r="G5" s="2398"/>
      <c r="H5" s="2398"/>
      <c r="I5" s="2398"/>
      <c r="J5" s="2398"/>
      <c r="K5" s="2398"/>
      <c r="L5" s="2398"/>
      <c r="M5" s="2398"/>
      <c r="N5" s="2398"/>
      <c r="O5" s="2398"/>
      <c r="P5" s="2398"/>
      <c r="Q5" s="2398"/>
    </row>
    <row r="7" spans="1:19">
      <c r="A7" s="2401" t="str">
        <f>DataB</f>
        <v>DATA: "X" BASE PERIOD  "X" FORECASTED PERIOD</v>
      </c>
      <c r="O7" s="2402" t="s">
        <v>2112</v>
      </c>
      <c r="P7" s="2402"/>
    </row>
    <row r="8" spans="1:19">
      <c r="A8" s="2401" t="str">
        <f>Type</f>
        <v xml:space="preserve">TYPE OF FILING:  "X" ORIGINAL   UPDATED    REVISED  </v>
      </c>
      <c r="O8" s="2402" t="s">
        <v>2113</v>
      </c>
      <c r="P8" s="2402"/>
    </row>
    <row r="9" spans="1:19">
      <c r="A9" s="2402" t="s">
        <v>655</v>
      </c>
      <c r="O9" s="2402" t="s">
        <v>1535</v>
      </c>
      <c r="P9" s="2402"/>
    </row>
    <row r="10" spans="1:19">
      <c r="O10" s="2399" t="str">
        <f>"      "&amp;_WIT1</f>
        <v xml:space="preserve">      S. E. LAWLER</v>
      </c>
      <c r="Q10" s="1627"/>
    </row>
    <row r="11" spans="1:19">
      <c r="A11" s="2363"/>
      <c r="B11" s="2363"/>
      <c r="C11" s="2363"/>
      <c r="D11" s="2363"/>
      <c r="E11" s="2363"/>
      <c r="F11" s="2363"/>
      <c r="G11" s="2363"/>
      <c r="H11" s="2363"/>
      <c r="I11" s="2363"/>
      <c r="J11" s="2363"/>
      <c r="K11" s="2363"/>
      <c r="L11" s="2363"/>
      <c r="M11" s="2363"/>
      <c r="N11" s="2363"/>
      <c r="O11" s="2363"/>
      <c r="P11" s="2363"/>
      <c r="Q11" s="2363"/>
    </row>
    <row r="12" spans="1:19">
      <c r="A12" s="2403"/>
      <c r="B12" s="2403"/>
      <c r="C12" s="2403"/>
      <c r="D12" s="2403"/>
      <c r="E12" s="2403"/>
      <c r="F12" s="2403"/>
      <c r="G12" s="2404" t="s">
        <v>1726</v>
      </c>
      <c r="H12" s="2404"/>
      <c r="I12" s="2404"/>
      <c r="J12" s="2405"/>
      <c r="K12" s="2405"/>
      <c r="L12" s="2403"/>
      <c r="M12" s="2404" t="s">
        <v>1231</v>
      </c>
      <c r="N12" s="2404"/>
      <c r="O12" s="2404"/>
      <c r="P12" s="2405"/>
      <c r="Q12" s="2405"/>
    </row>
    <row r="13" spans="1:19">
      <c r="A13" s="2406" t="s">
        <v>567</v>
      </c>
      <c r="C13" s="2406" t="s">
        <v>2160</v>
      </c>
      <c r="D13" s="2406"/>
      <c r="E13" s="2406" t="s">
        <v>2114</v>
      </c>
      <c r="F13" s="2398"/>
      <c r="G13" s="2355" t="s">
        <v>884</v>
      </c>
      <c r="H13" s="2406"/>
      <c r="I13" s="3594" t="s">
        <v>686</v>
      </c>
      <c r="J13" s="3593"/>
      <c r="K13" s="3593"/>
      <c r="L13" s="2398"/>
      <c r="M13" s="2355" t="s">
        <v>884</v>
      </c>
      <c r="N13" s="2406"/>
      <c r="O13" s="3594" t="s">
        <v>686</v>
      </c>
      <c r="P13" s="3593"/>
      <c r="Q13" s="3593"/>
    </row>
    <row r="14" spans="1:19">
      <c r="A14" s="2406" t="s">
        <v>766</v>
      </c>
      <c r="C14" s="2406" t="s">
        <v>766</v>
      </c>
      <c r="D14" s="2406"/>
      <c r="E14" s="2406" t="s">
        <v>2115</v>
      </c>
      <c r="F14" s="2398"/>
      <c r="G14" s="2356" t="s">
        <v>358</v>
      </c>
      <c r="H14" s="2406"/>
      <c r="I14" s="2357" t="s">
        <v>2040</v>
      </c>
      <c r="J14" s="2358"/>
      <c r="K14" s="2359" t="s">
        <v>2098</v>
      </c>
      <c r="L14" s="2398"/>
      <c r="M14" s="2356" t="s">
        <v>358</v>
      </c>
      <c r="N14" s="2406"/>
      <c r="O14" s="2357" t="s">
        <v>2040</v>
      </c>
      <c r="P14" s="2358"/>
      <c r="Q14" s="2359" t="s">
        <v>2098</v>
      </c>
    </row>
    <row r="15" spans="1:19">
      <c r="A15" s="2363"/>
      <c r="B15" s="2363"/>
      <c r="C15" s="2363"/>
      <c r="D15" s="2363"/>
      <c r="E15" s="2363"/>
      <c r="F15" s="2363"/>
      <c r="G15" s="2363"/>
      <c r="H15" s="2363"/>
      <c r="I15" s="2362" t="s">
        <v>837</v>
      </c>
      <c r="J15" s="2363"/>
      <c r="K15" s="2363"/>
      <c r="L15" s="2363"/>
      <c r="M15" s="2363"/>
      <c r="N15" s="2363"/>
      <c r="O15" s="2362" t="s">
        <v>837</v>
      </c>
      <c r="P15" s="2363"/>
      <c r="Q15" s="2363"/>
    </row>
    <row r="16" spans="1:19">
      <c r="G16" s="2406" t="s">
        <v>1134</v>
      </c>
      <c r="H16" s="2406"/>
      <c r="I16" s="2406" t="s">
        <v>2097</v>
      </c>
      <c r="J16" s="2407"/>
      <c r="K16" s="2406" t="s">
        <v>1134</v>
      </c>
      <c r="M16" s="2406" t="s">
        <v>1134</v>
      </c>
      <c r="N16" s="2406"/>
      <c r="O16" s="2406" t="s">
        <v>2097</v>
      </c>
      <c r="P16" s="2407"/>
      <c r="Q16" s="2406" t="s">
        <v>1134</v>
      </c>
    </row>
    <row r="17" spans="1:17">
      <c r="A17" s="1594"/>
      <c r="B17" s="2380"/>
      <c r="C17" s="2381"/>
      <c r="D17" s="2380"/>
      <c r="E17" s="2380"/>
      <c r="F17" s="2380"/>
      <c r="G17" s="2382"/>
      <c r="H17" s="2380"/>
      <c r="I17" s="2380"/>
      <c r="J17" s="2380"/>
      <c r="K17" s="2380"/>
      <c r="L17" s="2380"/>
      <c r="M17" s="2383"/>
      <c r="N17" s="2383"/>
      <c r="O17" s="2383"/>
      <c r="P17" s="2384"/>
      <c r="Q17" s="2383"/>
    </row>
    <row r="18" spans="1:17">
      <c r="A18" s="2385">
        <v>1</v>
      </c>
      <c r="B18" s="2380"/>
      <c r="C18" s="2385">
        <v>426100</v>
      </c>
      <c r="D18" s="2380"/>
      <c r="E18" s="2386" t="s">
        <v>2718</v>
      </c>
      <c r="F18" s="2380"/>
      <c r="G18" s="3458">
        <v>1230</v>
      </c>
      <c r="H18" s="2387"/>
      <c r="I18" s="2340">
        <f t="shared" ref="I18:I53" si="0">VLOOKUP($E$61,ALLOCTABLE,2)</f>
        <v>100</v>
      </c>
      <c r="J18" s="2338"/>
      <c r="K18" s="2341">
        <f t="shared" ref="K18:K55" si="1">ROUND(G18*(I18/100),2)</f>
        <v>1230</v>
      </c>
      <c r="L18" s="2388"/>
      <c r="M18" s="3458">
        <v>0</v>
      </c>
      <c r="N18" s="2387"/>
      <c r="O18" s="2340">
        <f t="shared" ref="O18:O53" si="2">VLOOKUP($E$61,ALLOCTABLE,2)</f>
        <v>100</v>
      </c>
      <c r="P18" s="2338"/>
      <c r="Q18" s="2341">
        <f t="shared" ref="Q18:Q56" si="3">ROUND(M18*(O18/100),2)</f>
        <v>0</v>
      </c>
    </row>
    <row r="19" spans="1:17">
      <c r="A19" s="2383">
        <v>2</v>
      </c>
      <c r="B19" s="2380"/>
      <c r="C19" s="2385">
        <v>426100</v>
      </c>
      <c r="D19" s="2385"/>
      <c r="E19" s="2386" t="s">
        <v>2719</v>
      </c>
      <c r="F19" s="2380"/>
      <c r="G19" s="3458">
        <v>103</v>
      </c>
      <c r="H19" s="2387"/>
      <c r="I19" s="2340">
        <f t="shared" si="0"/>
        <v>100</v>
      </c>
      <c r="J19" s="2338"/>
      <c r="K19" s="2341">
        <f t="shared" si="1"/>
        <v>103</v>
      </c>
      <c r="L19" s="2388"/>
      <c r="M19" s="3458">
        <v>0</v>
      </c>
      <c r="N19" s="2387"/>
      <c r="O19" s="2340">
        <f t="shared" si="2"/>
        <v>100</v>
      </c>
      <c r="P19" s="2338"/>
      <c r="Q19" s="2341">
        <f t="shared" si="3"/>
        <v>0</v>
      </c>
    </row>
    <row r="20" spans="1:17">
      <c r="A20" s="2383">
        <v>3</v>
      </c>
      <c r="B20" s="2380"/>
      <c r="C20" s="2385">
        <v>426100</v>
      </c>
      <c r="D20" s="2385"/>
      <c r="E20" s="2386" t="s">
        <v>2720</v>
      </c>
      <c r="F20" s="2380"/>
      <c r="G20" s="3458">
        <v>103</v>
      </c>
      <c r="H20" s="2387"/>
      <c r="I20" s="2340">
        <f t="shared" si="0"/>
        <v>100</v>
      </c>
      <c r="J20" s="2338"/>
      <c r="K20" s="2341">
        <f t="shared" si="1"/>
        <v>103</v>
      </c>
      <c r="L20" s="2388"/>
      <c r="M20" s="3458">
        <v>0</v>
      </c>
      <c r="N20" s="2387"/>
      <c r="O20" s="2340">
        <f t="shared" si="2"/>
        <v>100</v>
      </c>
      <c r="P20" s="2338"/>
      <c r="Q20" s="2341">
        <f t="shared" si="3"/>
        <v>0</v>
      </c>
    </row>
    <row r="21" spans="1:17">
      <c r="A21" s="2385">
        <v>4</v>
      </c>
      <c r="B21" s="2380"/>
      <c r="C21" s="2385">
        <v>426100</v>
      </c>
      <c r="D21" s="2385"/>
      <c r="E21" s="2386" t="s">
        <v>2721</v>
      </c>
      <c r="F21" s="2380"/>
      <c r="G21" s="3458">
        <v>103</v>
      </c>
      <c r="H21" s="2387"/>
      <c r="I21" s="2340">
        <f t="shared" si="0"/>
        <v>100</v>
      </c>
      <c r="J21" s="2338"/>
      <c r="K21" s="2341">
        <f t="shared" si="1"/>
        <v>103</v>
      </c>
      <c r="L21" s="2388"/>
      <c r="M21" s="3458">
        <v>0</v>
      </c>
      <c r="N21" s="2387"/>
      <c r="O21" s="2340">
        <f t="shared" si="2"/>
        <v>100</v>
      </c>
      <c r="P21" s="2338"/>
      <c r="Q21" s="2341">
        <f t="shared" si="3"/>
        <v>0</v>
      </c>
    </row>
    <row r="22" spans="1:17">
      <c r="A22" s="2383">
        <v>5</v>
      </c>
      <c r="B22" s="2380"/>
      <c r="C22" s="2385">
        <v>426100</v>
      </c>
      <c r="D22" s="2385"/>
      <c r="E22" s="2386" t="s">
        <v>2722</v>
      </c>
      <c r="F22" s="2380"/>
      <c r="G22" s="3458">
        <v>205</v>
      </c>
      <c r="H22" s="2387"/>
      <c r="I22" s="2340">
        <f t="shared" si="0"/>
        <v>100</v>
      </c>
      <c r="J22" s="2338"/>
      <c r="K22" s="2341">
        <f t="shared" si="1"/>
        <v>205</v>
      </c>
      <c r="L22" s="2388"/>
      <c r="M22" s="3458">
        <v>0</v>
      </c>
      <c r="N22" s="2387"/>
      <c r="O22" s="2340">
        <f t="shared" si="2"/>
        <v>100</v>
      </c>
      <c r="P22" s="2338"/>
      <c r="Q22" s="2341">
        <f t="shared" si="3"/>
        <v>0</v>
      </c>
    </row>
    <row r="23" spans="1:17">
      <c r="A23" s="2383">
        <v>6</v>
      </c>
      <c r="B23" s="2380"/>
      <c r="C23" s="2385">
        <v>426100</v>
      </c>
      <c r="D23" s="2385"/>
      <c r="E23" s="2386" t="s">
        <v>2723</v>
      </c>
      <c r="F23" s="2380"/>
      <c r="G23" s="3458">
        <v>2050</v>
      </c>
      <c r="H23" s="2387"/>
      <c r="I23" s="2340">
        <f t="shared" si="0"/>
        <v>100</v>
      </c>
      <c r="J23" s="2338"/>
      <c r="K23" s="2341">
        <f t="shared" si="1"/>
        <v>2050</v>
      </c>
      <c r="L23" s="2388"/>
      <c r="M23" s="3458">
        <v>0</v>
      </c>
      <c r="N23" s="2387"/>
      <c r="O23" s="2340">
        <f t="shared" si="2"/>
        <v>100</v>
      </c>
      <c r="P23" s="2338"/>
      <c r="Q23" s="2341">
        <f t="shared" si="3"/>
        <v>0</v>
      </c>
    </row>
    <row r="24" spans="1:17">
      <c r="A24" s="2385">
        <v>7</v>
      </c>
      <c r="B24" s="2380"/>
      <c r="C24" s="2385">
        <v>426100</v>
      </c>
      <c r="D24" s="2385"/>
      <c r="E24" s="2386" t="s">
        <v>2724</v>
      </c>
      <c r="F24" s="2380"/>
      <c r="G24" s="3458">
        <v>1128</v>
      </c>
      <c r="H24" s="2387"/>
      <c r="I24" s="2340">
        <f t="shared" si="0"/>
        <v>100</v>
      </c>
      <c r="J24" s="2338"/>
      <c r="K24" s="2341">
        <f t="shared" si="1"/>
        <v>1128</v>
      </c>
      <c r="L24" s="2388"/>
      <c r="M24" s="3458">
        <v>0</v>
      </c>
      <c r="N24" s="2387"/>
      <c r="O24" s="2340">
        <f t="shared" si="2"/>
        <v>100</v>
      </c>
      <c r="P24" s="2338"/>
      <c r="Q24" s="2341">
        <f t="shared" si="3"/>
        <v>0</v>
      </c>
    </row>
    <row r="25" spans="1:17">
      <c r="A25" s="2383">
        <v>8</v>
      </c>
      <c r="B25" s="2380"/>
      <c r="C25" s="2385">
        <v>426100</v>
      </c>
      <c r="D25" s="2385"/>
      <c r="E25" s="2386" t="s">
        <v>2725</v>
      </c>
      <c r="F25" s="2380"/>
      <c r="G25" s="3458">
        <v>238</v>
      </c>
      <c r="H25" s="2387"/>
      <c r="I25" s="2340">
        <f t="shared" si="0"/>
        <v>100</v>
      </c>
      <c r="J25" s="2338"/>
      <c r="K25" s="2341">
        <f t="shared" si="1"/>
        <v>238</v>
      </c>
      <c r="L25" s="2388"/>
      <c r="M25" s="3458">
        <v>0</v>
      </c>
      <c r="N25" s="2387"/>
      <c r="O25" s="2340">
        <f t="shared" si="2"/>
        <v>100</v>
      </c>
      <c r="P25" s="2338"/>
      <c r="Q25" s="2341">
        <f t="shared" si="3"/>
        <v>0</v>
      </c>
    </row>
    <row r="26" spans="1:17">
      <c r="A26" s="2383">
        <v>9</v>
      </c>
      <c r="B26" s="2380"/>
      <c r="C26" s="2385">
        <v>426100</v>
      </c>
      <c r="D26" s="2385"/>
      <c r="E26" s="2386" t="s">
        <v>2726</v>
      </c>
      <c r="F26" s="2380"/>
      <c r="G26" s="3458">
        <v>103</v>
      </c>
      <c r="H26" s="2387"/>
      <c r="I26" s="2340">
        <f t="shared" si="0"/>
        <v>100</v>
      </c>
      <c r="J26" s="2338"/>
      <c r="K26" s="2341">
        <f t="shared" si="1"/>
        <v>103</v>
      </c>
      <c r="L26" s="2388"/>
      <c r="M26" s="3458">
        <v>0</v>
      </c>
      <c r="N26" s="2387"/>
      <c r="O26" s="2340">
        <f t="shared" si="2"/>
        <v>100</v>
      </c>
      <c r="P26" s="2338"/>
      <c r="Q26" s="2341">
        <f t="shared" si="3"/>
        <v>0</v>
      </c>
    </row>
    <row r="27" spans="1:17">
      <c r="A27" s="2385">
        <v>10</v>
      </c>
      <c r="B27" s="2380"/>
      <c r="C27" s="2385">
        <v>426100</v>
      </c>
      <c r="D27" s="2385"/>
      <c r="E27" s="2386" t="s">
        <v>2777</v>
      </c>
      <c r="F27" s="2380"/>
      <c r="G27" s="3458">
        <v>6615</v>
      </c>
      <c r="H27" s="2387"/>
      <c r="I27" s="2340">
        <f t="shared" si="0"/>
        <v>100</v>
      </c>
      <c r="J27" s="2338"/>
      <c r="K27" s="2341">
        <f t="shared" ref="K27" si="4">ROUND(G27*(I27/100),2)</f>
        <v>6615</v>
      </c>
      <c r="L27" s="2388"/>
      <c r="M27" s="3458">
        <v>0</v>
      </c>
      <c r="N27" s="2387"/>
      <c r="O27" s="2340">
        <f t="shared" si="2"/>
        <v>100</v>
      </c>
      <c r="P27" s="2338"/>
      <c r="Q27" s="2341">
        <f t="shared" ref="Q27" si="5">ROUND(M27*(O27/100),2)</f>
        <v>0</v>
      </c>
    </row>
    <row r="28" spans="1:17">
      <c r="A28" s="2383">
        <v>11</v>
      </c>
      <c r="B28" s="2380"/>
      <c r="C28" s="2385">
        <v>426100</v>
      </c>
      <c r="D28" s="2385"/>
      <c r="E28" s="2386" t="s">
        <v>2727</v>
      </c>
      <c r="F28" s="2380"/>
      <c r="G28" s="3458">
        <v>115</v>
      </c>
      <c r="H28" s="2387"/>
      <c r="I28" s="2340">
        <f t="shared" si="0"/>
        <v>100</v>
      </c>
      <c r="J28" s="2338"/>
      <c r="K28" s="2341">
        <f t="shared" si="1"/>
        <v>115</v>
      </c>
      <c r="L28" s="2388"/>
      <c r="M28" s="3458">
        <v>0</v>
      </c>
      <c r="N28" s="2387"/>
      <c r="O28" s="2340">
        <f t="shared" si="2"/>
        <v>100</v>
      </c>
      <c r="P28" s="2338"/>
      <c r="Q28" s="2341">
        <f t="shared" si="3"/>
        <v>0</v>
      </c>
    </row>
    <row r="29" spans="1:17">
      <c r="A29" s="2383">
        <v>12</v>
      </c>
      <c r="B29" s="2380"/>
      <c r="C29" s="2385">
        <v>426100</v>
      </c>
      <c r="D29" s="2385"/>
      <c r="E29" s="2386" t="s">
        <v>2728</v>
      </c>
      <c r="F29" s="2380"/>
      <c r="G29" s="3458">
        <v>3629</v>
      </c>
      <c r="H29" s="2387"/>
      <c r="I29" s="2340">
        <f t="shared" si="0"/>
        <v>100</v>
      </c>
      <c r="J29" s="2338"/>
      <c r="K29" s="2341">
        <f t="shared" si="1"/>
        <v>3629</v>
      </c>
      <c r="L29" s="2388"/>
      <c r="M29" s="3458">
        <v>0</v>
      </c>
      <c r="N29" s="2387"/>
      <c r="O29" s="2340">
        <f t="shared" si="2"/>
        <v>100</v>
      </c>
      <c r="P29" s="2338"/>
      <c r="Q29" s="2341">
        <f t="shared" si="3"/>
        <v>0</v>
      </c>
    </row>
    <row r="30" spans="1:17">
      <c r="A30" s="2385">
        <v>13</v>
      </c>
      <c r="B30" s="2380"/>
      <c r="C30" s="2385">
        <v>426100</v>
      </c>
      <c r="D30" s="2385"/>
      <c r="E30" s="2386" t="s">
        <v>2729</v>
      </c>
      <c r="F30" s="2380"/>
      <c r="G30" s="3458">
        <v>1886</v>
      </c>
      <c r="H30" s="2387"/>
      <c r="I30" s="2340">
        <f t="shared" si="0"/>
        <v>100</v>
      </c>
      <c r="J30" s="2338"/>
      <c r="K30" s="2341">
        <f t="shared" si="1"/>
        <v>1886</v>
      </c>
      <c r="L30" s="2388"/>
      <c r="M30" s="3458">
        <v>0</v>
      </c>
      <c r="N30" s="2387"/>
      <c r="O30" s="2340">
        <f t="shared" si="2"/>
        <v>100</v>
      </c>
      <c r="P30" s="2338"/>
      <c r="Q30" s="2341">
        <f t="shared" si="3"/>
        <v>0</v>
      </c>
    </row>
    <row r="31" spans="1:17">
      <c r="A31" s="2383">
        <v>14</v>
      </c>
      <c r="B31" s="2380"/>
      <c r="C31" s="2385">
        <v>426100</v>
      </c>
      <c r="D31" s="2385"/>
      <c r="E31" s="2386" t="s">
        <v>2730</v>
      </c>
      <c r="F31" s="2380"/>
      <c r="G31" s="3458">
        <v>513</v>
      </c>
      <c r="H31" s="2387"/>
      <c r="I31" s="2340">
        <f t="shared" si="0"/>
        <v>100</v>
      </c>
      <c r="J31" s="2338"/>
      <c r="K31" s="2341">
        <f t="shared" si="1"/>
        <v>513</v>
      </c>
      <c r="L31" s="2388"/>
      <c r="M31" s="3458">
        <v>0</v>
      </c>
      <c r="N31" s="2387"/>
      <c r="O31" s="2340">
        <f t="shared" si="2"/>
        <v>100</v>
      </c>
      <c r="P31" s="2338"/>
      <c r="Q31" s="2341">
        <f t="shared" si="3"/>
        <v>0</v>
      </c>
    </row>
    <row r="32" spans="1:17">
      <c r="A32" s="2383">
        <v>15</v>
      </c>
      <c r="B32" s="2380"/>
      <c r="C32" s="2385">
        <v>426100</v>
      </c>
      <c r="D32" s="2385"/>
      <c r="E32" s="2386" t="s">
        <v>2731</v>
      </c>
      <c r="F32" s="2380"/>
      <c r="G32" s="3458">
        <v>2050</v>
      </c>
      <c r="H32" s="2387"/>
      <c r="I32" s="2340">
        <f t="shared" si="0"/>
        <v>100</v>
      </c>
      <c r="J32" s="2338"/>
      <c r="K32" s="2341">
        <f t="shared" si="1"/>
        <v>2050</v>
      </c>
      <c r="L32" s="2388"/>
      <c r="M32" s="3458">
        <v>0</v>
      </c>
      <c r="N32" s="2387"/>
      <c r="O32" s="2340">
        <f t="shared" si="2"/>
        <v>100</v>
      </c>
      <c r="P32" s="2338"/>
      <c r="Q32" s="2341">
        <f t="shared" si="3"/>
        <v>0</v>
      </c>
    </row>
    <row r="33" spans="1:17">
      <c r="A33" s="2385">
        <v>16</v>
      </c>
      <c r="B33" s="2380"/>
      <c r="C33" s="2385">
        <v>426100</v>
      </c>
      <c r="D33" s="2385"/>
      <c r="E33" s="2386" t="s">
        <v>2732</v>
      </c>
      <c r="F33" s="2380"/>
      <c r="G33" s="3458">
        <v>103</v>
      </c>
      <c r="H33" s="2387"/>
      <c r="I33" s="2340">
        <f t="shared" si="0"/>
        <v>100</v>
      </c>
      <c r="J33" s="2338"/>
      <c r="K33" s="2341">
        <f t="shared" si="1"/>
        <v>103</v>
      </c>
      <c r="L33" s="2388"/>
      <c r="M33" s="3458">
        <v>0</v>
      </c>
      <c r="N33" s="2387"/>
      <c r="O33" s="2340">
        <f t="shared" si="2"/>
        <v>100</v>
      </c>
      <c r="P33" s="2338"/>
      <c r="Q33" s="2341">
        <f t="shared" si="3"/>
        <v>0</v>
      </c>
    </row>
    <row r="34" spans="1:17">
      <c r="A34" s="2383">
        <v>17</v>
      </c>
      <c r="B34" s="2380"/>
      <c r="C34" s="2385">
        <v>426100</v>
      </c>
      <c r="D34" s="2385"/>
      <c r="E34" s="2386" t="s">
        <v>2733</v>
      </c>
      <c r="F34" s="2380"/>
      <c r="G34" s="3458">
        <v>1025</v>
      </c>
      <c r="H34" s="2387"/>
      <c r="I34" s="2340">
        <f t="shared" si="0"/>
        <v>100</v>
      </c>
      <c r="J34" s="2338"/>
      <c r="K34" s="2341">
        <f t="shared" si="1"/>
        <v>1025</v>
      </c>
      <c r="L34" s="2388"/>
      <c r="M34" s="3458">
        <v>0</v>
      </c>
      <c r="N34" s="2387"/>
      <c r="O34" s="2340">
        <f t="shared" si="2"/>
        <v>100</v>
      </c>
      <c r="P34" s="2338"/>
      <c r="Q34" s="2341">
        <f t="shared" si="3"/>
        <v>0</v>
      </c>
    </row>
    <row r="35" spans="1:17">
      <c r="A35" s="2383">
        <v>18</v>
      </c>
      <c r="B35" s="2380"/>
      <c r="C35" s="2385">
        <v>426100</v>
      </c>
      <c r="D35" s="2385"/>
      <c r="E35" s="2386" t="s">
        <v>2734</v>
      </c>
      <c r="F35" s="2380"/>
      <c r="G35" s="3458">
        <v>410</v>
      </c>
      <c r="H35" s="2387"/>
      <c r="I35" s="2340">
        <f t="shared" si="0"/>
        <v>100</v>
      </c>
      <c r="J35" s="2338"/>
      <c r="K35" s="2341">
        <f t="shared" si="1"/>
        <v>410</v>
      </c>
      <c r="L35" s="2388"/>
      <c r="M35" s="3458">
        <v>0</v>
      </c>
      <c r="N35" s="2387"/>
      <c r="O35" s="2340">
        <f t="shared" si="2"/>
        <v>100</v>
      </c>
      <c r="P35" s="2338"/>
      <c r="Q35" s="2341">
        <f t="shared" si="3"/>
        <v>0</v>
      </c>
    </row>
    <row r="36" spans="1:17">
      <c r="A36" s="2385">
        <v>19</v>
      </c>
      <c r="B36" s="2380"/>
      <c r="C36" s="2385">
        <v>426100</v>
      </c>
      <c r="D36" s="2385"/>
      <c r="E36" s="2386" t="s">
        <v>2778</v>
      </c>
      <c r="F36" s="2380"/>
      <c r="G36" s="3458">
        <v>10000</v>
      </c>
      <c r="H36" s="2387"/>
      <c r="I36" s="2340">
        <f t="shared" si="0"/>
        <v>100</v>
      </c>
      <c r="J36" s="2338"/>
      <c r="K36" s="2341">
        <f t="shared" ref="K36" si="6">ROUND(G36*(I36/100),2)</f>
        <v>10000</v>
      </c>
      <c r="L36" s="2388"/>
      <c r="M36" s="3458">
        <v>0</v>
      </c>
      <c r="N36" s="2387"/>
      <c r="O36" s="2340">
        <f t="shared" si="2"/>
        <v>100</v>
      </c>
      <c r="P36" s="2338"/>
      <c r="Q36" s="2341">
        <f t="shared" ref="Q36" si="7">ROUND(M36*(O36/100),2)</f>
        <v>0</v>
      </c>
    </row>
    <row r="37" spans="1:17">
      <c r="A37" s="2383">
        <v>20</v>
      </c>
      <c r="B37" s="2380"/>
      <c r="C37" s="2385">
        <v>426100</v>
      </c>
      <c r="D37" s="2385"/>
      <c r="E37" s="2386" t="s">
        <v>2735</v>
      </c>
      <c r="F37" s="2380"/>
      <c r="G37" s="3458">
        <v>308</v>
      </c>
      <c r="H37" s="2387"/>
      <c r="I37" s="2340">
        <f t="shared" si="0"/>
        <v>100</v>
      </c>
      <c r="J37" s="2338"/>
      <c r="K37" s="2341">
        <f>ROUND(G37*(I37/100),2)</f>
        <v>308</v>
      </c>
      <c r="L37" s="2388"/>
      <c r="M37" s="3458">
        <v>0</v>
      </c>
      <c r="N37" s="2387"/>
      <c r="O37" s="2340">
        <f t="shared" si="2"/>
        <v>100</v>
      </c>
      <c r="P37" s="2338"/>
      <c r="Q37" s="2341">
        <f>ROUND(M37*(O37/100),2)</f>
        <v>0</v>
      </c>
    </row>
    <row r="38" spans="1:17">
      <c r="A38" s="2383">
        <v>21</v>
      </c>
      <c r="B38" s="2380"/>
      <c r="C38" s="2385">
        <v>426100</v>
      </c>
      <c r="D38" s="2385"/>
      <c r="E38" s="2386" t="s">
        <v>2736</v>
      </c>
      <c r="F38" s="2380"/>
      <c r="G38" s="3458">
        <v>103</v>
      </c>
      <c r="H38" s="2387"/>
      <c r="I38" s="2340">
        <f t="shared" si="0"/>
        <v>100</v>
      </c>
      <c r="J38" s="2338"/>
      <c r="K38" s="2341">
        <f t="shared" ref="K38" si="8">ROUND(G38*(I38/100),2)</f>
        <v>103</v>
      </c>
      <c r="L38" s="2388"/>
      <c r="M38" s="3458">
        <v>0</v>
      </c>
      <c r="N38" s="2387"/>
      <c r="O38" s="2340">
        <f t="shared" si="2"/>
        <v>100</v>
      </c>
      <c r="P38" s="2338"/>
      <c r="Q38" s="2341">
        <f t="shared" ref="Q38" si="9">ROUND(M38*(O38/100),2)</f>
        <v>0</v>
      </c>
    </row>
    <row r="39" spans="1:17">
      <c r="A39" s="2385">
        <v>22</v>
      </c>
      <c r="B39" s="2380"/>
      <c r="C39" s="2385">
        <v>426100</v>
      </c>
      <c r="D39" s="2385"/>
      <c r="E39" s="2386" t="s">
        <v>2737</v>
      </c>
      <c r="F39" s="2380"/>
      <c r="G39" s="3458">
        <v>103</v>
      </c>
      <c r="H39" s="2387"/>
      <c r="I39" s="2340">
        <f t="shared" si="0"/>
        <v>100</v>
      </c>
      <c r="J39" s="2338"/>
      <c r="K39" s="2341">
        <f t="shared" si="1"/>
        <v>103</v>
      </c>
      <c r="L39" s="2388"/>
      <c r="M39" s="3458">
        <v>0</v>
      </c>
      <c r="N39" s="2387"/>
      <c r="O39" s="2340">
        <f t="shared" si="2"/>
        <v>100</v>
      </c>
      <c r="P39" s="2338"/>
      <c r="Q39" s="2341">
        <f t="shared" si="3"/>
        <v>0</v>
      </c>
    </row>
    <row r="40" spans="1:17">
      <c r="A40" s="2383">
        <v>23</v>
      </c>
      <c r="B40" s="2380"/>
      <c r="C40" s="2385">
        <v>426100</v>
      </c>
      <c r="D40" s="2385"/>
      <c r="E40" s="2386" t="s">
        <v>2738</v>
      </c>
      <c r="F40" s="2380"/>
      <c r="G40" s="3458">
        <v>410</v>
      </c>
      <c r="H40" s="2387"/>
      <c r="I40" s="2340">
        <f t="shared" si="0"/>
        <v>100</v>
      </c>
      <c r="J40" s="2338"/>
      <c r="K40" s="2341">
        <f t="shared" si="1"/>
        <v>410</v>
      </c>
      <c r="L40" s="2388"/>
      <c r="M40" s="3458">
        <v>0</v>
      </c>
      <c r="N40" s="2387"/>
      <c r="O40" s="2340">
        <f t="shared" si="2"/>
        <v>100</v>
      </c>
      <c r="P40" s="2338"/>
      <c r="Q40" s="2341">
        <f t="shared" si="3"/>
        <v>0</v>
      </c>
    </row>
    <row r="41" spans="1:17">
      <c r="A41" s="2383">
        <v>24</v>
      </c>
      <c r="B41" s="2380"/>
      <c r="C41" s="2385">
        <v>426100</v>
      </c>
      <c r="D41" s="2385"/>
      <c r="E41" s="2386" t="s">
        <v>2739</v>
      </c>
      <c r="F41" s="2380"/>
      <c r="G41" s="3458">
        <v>615</v>
      </c>
      <c r="H41" s="2387"/>
      <c r="I41" s="2340">
        <f t="shared" si="0"/>
        <v>100</v>
      </c>
      <c r="J41" s="2338"/>
      <c r="K41" s="2341">
        <f t="shared" si="1"/>
        <v>615</v>
      </c>
      <c r="L41" s="2388"/>
      <c r="M41" s="3458">
        <v>0</v>
      </c>
      <c r="N41" s="2387"/>
      <c r="O41" s="2340">
        <f t="shared" si="2"/>
        <v>100</v>
      </c>
      <c r="P41" s="2338"/>
      <c r="Q41" s="2341">
        <f t="shared" si="3"/>
        <v>0</v>
      </c>
    </row>
    <row r="42" spans="1:17">
      <c r="A42" s="2385">
        <v>25</v>
      </c>
      <c r="B42" s="2380"/>
      <c r="C42" s="2385">
        <v>426100</v>
      </c>
      <c r="D42" s="2385"/>
      <c r="E42" s="2386" t="s">
        <v>2740</v>
      </c>
      <c r="F42" s="2380"/>
      <c r="G42" s="3458">
        <v>410</v>
      </c>
      <c r="H42" s="2387"/>
      <c r="I42" s="2340">
        <f t="shared" si="0"/>
        <v>100</v>
      </c>
      <c r="J42" s="2338"/>
      <c r="K42" s="2341">
        <f t="shared" si="1"/>
        <v>410</v>
      </c>
      <c r="L42" s="2388"/>
      <c r="M42" s="3458">
        <v>0</v>
      </c>
      <c r="N42" s="2387"/>
      <c r="O42" s="2340">
        <f t="shared" si="2"/>
        <v>100</v>
      </c>
      <c r="P42" s="2338"/>
      <c r="Q42" s="2341">
        <f t="shared" si="3"/>
        <v>0</v>
      </c>
    </row>
    <row r="43" spans="1:17">
      <c r="A43" s="2383">
        <v>26</v>
      </c>
      <c r="B43" s="2380"/>
      <c r="C43" s="2385">
        <v>426512</v>
      </c>
      <c r="D43" s="2385"/>
      <c r="E43" s="2386" t="s">
        <v>2740</v>
      </c>
      <c r="F43" s="2380"/>
      <c r="G43" s="3458">
        <v>19470</v>
      </c>
      <c r="H43" s="2387"/>
      <c r="I43" s="2340">
        <f t="shared" si="0"/>
        <v>100</v>
      </c>
      <c r="J43" s="2338"/>
      <c r="K43" s="2341">
        <f t="shared" ref="K43" si="10">ROUND(G43*(I43/100),2)</f>
        <v>19470</v>
      </c>
      <c r="L43" s="2388"/>
      <c r="M43" s="3458">
        <v>0</v>
      </c>
      <c r="N43" s="2387"/>
      <c r="O43" s="2340">
        <f t="shared" si="2"/>
        <v>100</v>
      </c>
      <c r="P43" s="2338"/>
      <c r="Q43" s="2341">
        <f t="shared" ref="Q43" si="11">ROUND(M43*(O43/100),2)</f>
        <v>0</v>
      </c>
    </row>
    <row r="44" spans="1:17">
      <c r="A44" s="2383">
        <v>27</v>
      </c>
      <c r="B44" s="2380"/>
      <c r="C44" s="2385">
        <v>426100</v>
      </c>
      <c r="D44" s="2385"/>
      <c r="E44" s="2386" t="s">
        <v>2741</v>
      </c>
      <c r="F44" s="2380"/>
      <c r="G44" s="3458">
        <v>1435</v>
      </c>
      <c r="H44" s="2387"/>
      <c r="I44" s="2340">
        <f t="shared" si="0"/>
        <v>100</v>
      </c>
      <c r="J44" s="2338"/>
      <c r="K44" s="2341">
        <f t="shared" si="1"/>
        <v>1435</v>
      </c>
      <c r="L44" s="2388"/>
      <c r="M44" s="3458">
        <v>0</v>
      </c>
      <c r="N44" s="2387"/>
      <c r="O44" s="2340">
        <f t="shared" si="2"/>
        <v>100</v>
      </c>
      <c r="P44" s="2338"/>
      <c r="Q44" s="2341">
        <f t="shared" si="3"/>
        <v>0</v>
      </c>
    </row>
    <row r="45" spans="1:17">
      <c r="A45" s="2385">
        <v>28</v>
      </c>
      <c r="B45" s="2380"/>
      <c r="C45" s="2385">
        <v>426100</v>
      </c>
      <c r="D45" s="2385"/>
      <c r="E45" s="2386" t="s">
        <v>2742</v>
      </c>
      <c r="F45" s="2380"/>
      <c r="G45" s="3458">
        <v>492</v>
      </c>
      <c r="H45" s="2387"/>
      <c r="I45" s="2340">
        <f t="shared" si="0"/>
        <v>100</v>
      </c>
      <c r="J45" s="2338"/>
      <c r="K45" s="2341">
        <f t="shared" si="1"/>
        <v>492</v>
      </c>
      <c r="L45" s="2388"/>
      <c r="M45" s="3458">
        <v>0</v>
      </c>
      <c r="N45" s="2387"/>
      <c r="O45" s="2340">
        <f t="shared" si="2"/>
        <v>100</v>
      </c>
      <c r="P45" s="2338"/>
      <c r="Q45" s="2341">
        <f t="shared" si="3"/>
        <v>0</v>
      </c>
    </row>
    <row r="46" spans="1:17">
      <c r="A46" s="2383">
        <v>29</v>
      </c>
      <c r="B46" s="2380"/>
      <c r="C46" s="2385">
        <v>426100</v>
      </c>
      <c r="D46" s="2385"/>
      <c r="E46" s="2386" t="s">
        <v>2743</v>
      </c>
      <c r="F46" s="2380"/>
      <c r="G46" s="3458">
        <v>615</v>
      </c>
      <c r="H46" s="2387"/>
      <c r="I46" s="2340">
        <f t="shared" si="0"/>
        <v>100</v>
      </c>
      <c r="J46" s="2338"/>
      <c r="K46" s="2341">
        <f t="shared" si="1"/>
        <v>615</v>
      </c>
      <c r="L46" s="2388"/>
      <c r="M46" s="3458">
        <v>0</v>
      </c>
      <c r="N46" s="2387"/>
      <c r="O46" s="2340">
        <f t="shared" si="2"/>
        <v>100</v>
      </c>
      <c r="P46" s="2338"/>
      <c r="Q46" s="2341">
        <f t="shared" si="3"/>
        <v>0</v>
      </c>
    </row>
    <row r="47" spans="1:17">
      <c r="A47" s="2383">
        <v>30</v>
      </c>
      <c r="B47" s="2380"/>
      <c r="C47" s="2385">
        <v>426100</v>
      </c>
      <c r="D47" s="2385"/>
      <c r="E47" s="2386" t="s">
        <v>2744</v>
      </c>
      <c r="F47" s="2380"/>
      <c r="G47" s="3458">
        <v>1025</v>
      </c>
      <c r="H47" s="2387"/>
      <c r="I47" s="2340">
        <f t="shared" si="0"/>
        <v>100</v>
      </c>
      <c r="J47" s="2338"/>
      <c r="K47" s="2341">
        <f t="shared" si="1"/>
        <v>1025</v>
      </c>
      <c r="L47" s="2388"/>
      <c r="M47" s="3458">
        <v>0</v>
      </c>
      <c r="N47" s="2387"/>
      <c r="O47" s="2340">
        <f t="shared" si="2"/>
        <v>100</v>
      </c>
      <c r="P47" s="2338"/>
      <c r="Q47" s="2341">
        <f t="shared" si="3"/>
        <v>0</v>
      </c>
    </row>
    <row r="48" spans="1:17">
      <c r="A48" s="2385">
        <v>31</v>
      </c>
      <c r="B48" s="2380"/>
      <c r="C48" s="2385">
        <v>426100</v>
      </c>
      <c r="D48" s="2385"/>
      <c r="E48" s="2386" t="s">
        <v>2745</v>
      </c>
      <c r="F48" s="2380"/>
      <c r="G48" s="3458">
        <v>103</v>
      </c>
      <c r="H48" s="2387"/>
      <c r="I48" s="2340">
        <f t="shared" si="0"/>
        <v>100</v>
      </c>
      <c r="J48" s="2338"/>
      <c r="K48" s="2341">
        <f t="shared" si="1"/>
        <v>103</v>
      </c>
      <c r="L48" s="2388"/>
      <c r="M48" s="3458">
        <v>0</v>
      </c>
      <c r="N48" s="2387"/>
      <c r="O48" s="2340">
        <f t="shared" si="2"/>
        <v>100</v>
      </c>
      <c r="P48" s="2338"/>
      <c r="Q48" s="2341">
        <f t="shared" si="3"/>
        <v>0</v>
      </c>
    </row>
    <row r="49" spans="1:17">
      <c r="A49" s="2383">
        <v>32</v>
      </c>
      <c r="B49" s="2380"/>
      <c r="C49" s="2385">
        <v>426100</v>
      </c>
      <c r="D49" s="2385"/>
      <c r="E49" s="2386" t="s">
        <v>2746</v>
      </c>
      <c r="F49" s="2380"/>
      <c r="G49" s="3458">
        <v>103</v>
      </c>
      <c r="H49" s="2387"/>
      <c r="I49" s="2340">
        <f t="shared" si="0"/>
        <v>100</v>
      </c>
      <c r="J49" s="2338"/>
      <c r="K49" s="2341">
        <f t="shared" si="1"/>
        <v>103</v>
      </c>
      <c r="L49" s="2388"/>
      <c r="M49" s="3458">
        <v>0</v>
      </c>
      <c r="N49" s="2387"/>
      <c r="O49" s="2340">
        <f t="shared" si="2"/>
        <v>100</v>
      </c>
      <c r="P49" s="2338"/>
      <c r="Q49" s="2341">
        <f t="shared" si="3"/>
        <v>0</v>
      </c>
    </row>
    <row r="50" spans="1:17">
      <c r="A50" s="2383">
        <v>33</v>
      </c>
      <c r="B50" s="2380"/>
      <c r="C50" s="2385">
        <v>426100</v>
      </c>
      <c r="D50" s="2385"/>
      <c r="E50" s="2386" t="s">
        <v>2747</v>
      </c>
      <c r="F50" s="2380"/>
      <c r="G50" s="3458">
        <v>49</v>
      </c>
      <c r="H50" s="2387"/>
      <c r="I50" s="2340">
        <f t="shared" si="0"/>
        <v>100</v>
      </c>
      <c r="J50" s="2338"/>
      <c r="K50" s="2341">
        <f t="shared" si="1"/>
        <v>49</v>
      </c>
      <c r="L50" s="2388"/>
      <c r="M50" s="3458">
        <v>0</v>
      </c>
      <c r="N50" s="2387"/>
      <c r="O50" s="2340">
        <f t="shared" si="2"/>
        <v>100</v>
      </c>
      <c r="P50" s="2338"/>
      <c r="Q50" s="2341">
        <f t="shared" si="3"/>
        <v>0</v>
      </c>
    </row>
    <row r="51" spans="1:17">
      <c r="A51" s="2385">
        <v>34</v>
      </c>
      <c r="B51" s="2380"/>
      <c r="C51" s="2385">
        <v>426100</v>
      </c>
      <c r="D51" s="2385"/>
      <c r="E51" s="2386" t="s">
        <v>2748</v>
      </c>
      <c r="F51" s="2380"/>
      <c r="G51" s="3458">
        <v>161</v>
      </c>
      <c r="H51" s="2387"/>
      <c r="I51" s="2340">
        <f t="shared" si="0"/>
        <v>100</v>
      </c>
      <c r="J51" s="2338"/>
      <c r="K51" s="2341">
        <f t="shared" si="1"/>
        <v>161</v>
      </c>
      <c r="L51" s="2388"/>
      <c r="M51" s="3458">
        <v>0</v>
      </c>
      <c r="N51" s="2387"/>
      <c r="O51" s="2340">
        <f t="shared" si="2"/>
        <v>100</v>
      </c>
      <c r="P51" s="2338"/>
      <c r="Q51" s="2341">
        <f t="shared" si="3"/>
        <v>0</v>
      </c>
    </row>
    <row r="52" spans="1:17">
      <c r="A52" s="2383">
        <v>35</v>
      </c>
      <c r="B52" s="2380"/>
      <c r="C52" s="2385">
        <v>426100</v>
      </c>
      <c r="D52" s="2385"/>
      <c r="E52" s="2386" t="s">
        <v>2749</v>
      </c>
      <c r="F52" s="2380"/>
      <c r="G52" s="3458">
        <v>117</v>
      </c>
      <c r="H52" s="2387"/>
      <c r="I52" s="2340">
        <f t="shared" si="0"/>
        <v>100</v>
      </c>
      <c r="J52" s="2338"/>
      <c r="K52" s="2341">
        <f t="shared" si="1"/>
        <v>117</v>
      </c>
      <c r="L52" s="2388"/>
      <c r="M52" s="3458">
        <v>0</v>
      </c>
      <c r="N52" s="2387"/>
      <c r="O52" s="2340">
        <f t="shared" si="2"/>
        <v>100</v>
      </c>
      <c r="P52" s="2338"/>
      <c r="Q52" s="2341">
        <f t="shared" si="3"/>
        <v>0</v>
      </c>
    </row>
    <row r="53" spans="1:17">
      <c r="A53" s="2383">
        <v>36</v>
      </c>
      <c r="B53" s="2380"/>
      <c r="C53" s="2385">
        <v>426100</v>
      </c>
      <c r="D53" s="2385"/>
      <c r="E53" s="2386" t="s">
        <v>2750</v>
      </c>
      <c r="F53" s="2380"/>
      <c r="G53" s="3458">
        <v>1025</v>
      </c>
      <c r="H53" s="2387"/>
      <c r="I53" s="2340">
        <f t="shared" si="0"/>
        <v>100</v>
      </c>
      <c r="J53" s="2338"/>
      <c r="K53" s="2341">
        <f t="shared" si="1"/>
        <v>1025</v>
      </c>
      <c r="L53" s="2388"/>
      <c r="M53" s="3458">
        <v>0</v>
      </c>
      <c r="N53" s="2387"/>
      <c r="O53" s="2340">
        <f t="shared" si="2"/>
        <v>100</v>
      </c>
      <c r="P53" s="2338"/>
      <c r="Q53" s="2341">
        <f t="shared" si="3"/>
        <v>0</v>
      </c>
    </row>
    <row r="54" spans="1:17">
      <c r="A54" s="2385">
        <v>37</v>
      </c>
      <c r="B54" s="2380"/>
      <c r="C54" s="2385">
        <v>426100</v>
      </c>
      <c r="D54" s="2385"/>
      <c r="E54" s="2386" t="s">
        <v>2779</v>
      </c>
      <c r="F54" s="2380"/>
      <c r="G54" s="3458">
        <v>1230</v>
      </c>
      <c r="H54" s="2387"/>
      <c r="I54" s="2340">
        <f t="shared" ref="I54" si="12">VLOOKUP($E$61,ALLOCTABLE,2)</f>
        <v>100</v>
      </c>
      <c r="J54" s="2338"/>
      <c r="K54" s="2341">
        <f t="shared" ref="K54" si="13">ROUND(G54*(I54/100),2)</f>
        <v>1230</v>
      </c>
      <c r="L54" s="2388"/>
      <c r="M54" s="3458">
        <v>0</v>
      </c>
      <c r="N54" s="2387"/>
      <c r="O54" s="2340">
        <f t="shared" ref="O54" si="14">VLOOKUP($E$61,ALLOCTABLE,2)</f>
        <v>100</v>
      </c>
      <c r="P54" s="2338"/>
      <c r="Q54" s="2341">
        <f t="shared" ref="Q54" si="15">ROUND(M54*(O54/100),2)</f>
        <v>0</v>
      </c>
    </row>
    <row r="55" spans="1:17">
      <c r="A55" s="2383">
        <v>38</v>
      </c>
      <c r="B55" s="2380"/>
      <c r="C55" s="2385">
        <v>426100</v>
      </c>
      <c r="D55" s="2385"/>
      <c r="E55" s="2386" t="s">
        <v>779</v>
      </c>
      <c r="F55" s="2380"/>
      <c r="G55" s="3458">
        <v>11518</v>
      </c>
      <c r="H55" s="2387"/>
      <c r="I55" s="2340">
        <f>VLOOKUP($E$61,ALLOCTABLE,2)</f>
        <v>100</v>
      </c>
      <c r="J55" s="2338"/>
      <c r="K55" s="2341">
        <f t="shared" si="1"/>
        <v>11518</v>
      </c>
      <c r="L55" s="2388"/>
      <c r="M55" s="3458">
        <v>0</v>
      </c>
      <c r="N55" s="2387"/>
      <c r="O55" s="2340">
        <f>VLOOKUP($E$61,ALLOCTABLE,2)</f>
        <v>100</v>
      </c>
      <c r="P55" s="2338"/>
      <c r="Q55" s="2341">
        <f t="shared" si="3"/>
        <v>0</v>
      </c>
    </row>
    <row r="56" spans="1:17">
      <c r="A56" s="2383">
        <v>39</v>
      </c>
      <c r="B56" s="2380"/>
      <c r="C56" s="2385">
        <v>426100</v>
      </c>
      <c r="D56" s="2380"/>
      <c r="E56" s="1639" t="s">
        <v>821</v>
      </c>
      <c r="F56" s="2380"/>
      <c r="G56" s="3459">
        <v>49907</v>
      </c>
      <c r="H56" s="2380"/>
      <c r="I56" s="2340">
        <f>VLOOKUP($E$61,ALLOCTABLE,2)</f>
        <v>100</v>
      </c>
      <c r="J56" s="2338"/>
      <c r="K56" s="2331">
        <f t="shared" ref="K56" si="16">ROUND(G56*(I56/100),2)</f>
        <v>49907</v>
      </c>
      <c r="L56" s="2391"/>
      <c r="M56" s="3459">
        <v>120342</v>
      </c>
      <c r="N56" s="2380"/>
      <c r="O56" s="2340">
        <f>VLOOKUP($E$61,ALLOCTABLE,2)</f>
        <v>100</v>
      </c>
      <c r="P56" s="2338"/>
      <c r="Q56" s="2331">
        <f t="shared" si="3"/>
        <v>120342</v>
      </c>
    </row>
    <row r="57" spans="1:17">
      <c r="A57" s="2385">
        <v>40</v>
      </c>
      <c r="B57" s="2380"/>
      <c r="C57" s="2385"/>
      <c r="D57" s="2380"/>
      <c r="E57" s="2386"/>
      <c r="F57" s="2380"/>
      <c r="G57" s="2392"/>
      <c r="H57" s="2380"/>
      <c r="I57" s="2340"/>
      <c r="J57" s="2338"/>
      <c r="K57" s="2393"/>
      <c r="L57" s="2380"/>
      <c r="M57" s="2380"/>
      <c r="N57" s="2380"/>
      <c r="O57" s="2340"/>
      <c r="P57" s="2338"/>
      <c r="Q57" s="2341"/>
    </row>
    <row r="58" spans="1:17" ht="13.8" thickBot="1">
      <c r="A58" s="2383">
        <v>41</v>
      </c>
      <c r="B58" s="2380"/>
      <c r="C58" s="2380"/>
      <c r="D58" s="2380"/>
      <c r="E58" s="2380" t="s">
        <v>2565</v>
      </c>
      <c r="F58" s="2380"/>
      <c r="G58" s="2394">
        <f>SUM(G18:G56)</f>
        <v>120808</v>
      </c>
      <c r="H58" s="2388"/>
      <c r="I58" s="2388"/>
      <c r="J58" s="2388"/>
      <c r="K58" s="2394">
        <f>SUM(K18:K56)</f>
        <v>120808</v>
      </c>
      <c r="L58" s="2380"/>
      <c r="M58" s="2394">
        <f>SUM(M18:M56)</f>
        <v>120342</v>
      </c>
      <c r="N58" s="2380"/>
      <c r="O58" s="2395"/>
      <c r="P58" s="2389"/>
      <c r="Q58" s="2394">
        <f>SUM(Q18:Q56)</f>
        <v>120342</v>
      </c>
    </row>
    <row r="59" spans="1:17" ht="13.8" thickTop="1">
      <c r="A59" s="2380"/>
      <c r="B59" s="2380"/>
      <c r="C59" s="2380"/>
      <c r="D59" s="2380"/>
      <c r="E59" s="2380"/>
      <c r="F59" s="2380"/>
      <c r="G59" s="2380"/>
      <c r="H59" s="2380"/>
      <c r="I59" s="2380"/>
      <c r="J59" s="2380"/>
      <c r="K59" s="2380"/>
      <c r="L59" s="2380"/>
      <c r="M59" s="2380"/>
      <c r="N59" s="2380"/>
      <c r="O59" s="2380"/>
      <c r="P59" s="2380"/>
      <c r="Q59" s="2380"/>
    </row>
    <row r="60" spans="1:17">
      <c r="A60" s="2380"/>
      <c r="B60" s="2380"/>
      <c r="C60" s="2380"/>
      <c r="D60" s="2380"/>
      <c r="E60" s="2380"/>
      <c r="F60" s="2380"/>
      <c r="G60" s="2396"/>
      <c r="H60" s="2380"/>
      <c r="I60" s="2380"/>
      <c r="J60" s="2380"/>
      <c r="K60" s="2380"/>
      <c r="L60" s="2380"/>
      <c r="M60" s="2380"/>
      <c r="N60" s="2380"/>
      <c r="O60" s="2380"/>
      <c r="P60" s="2380"/>
      <c r="Q60" s="2380"/>
    </row>
    <row r="61" spans="1:17">
      <c r="A61" s="2380"/>
      <c r="B61" s="2338" t="s">
        <v>2110</v>
      </c>
      <c r="C61" s="2380"/>
      <c r="D61" s="2338"/>
      <c r="E61" s="2375" t="s">
        <v>591</v>
      </c>
      <c r="F61" s="2380"/>
      <c r="G61" s="2380"/>
      <c r="H61" s="2380"/>
      <c r="I61" s="2380"/>
      <c r="J61" s="2380"/>
      <c r="K61" s="2380"/>
      <c r="L61" s="2380"/>
      <c r="M61" s="2380"/>
      <c r="N61" s="2380"/>
      <c r="O61" s="2380"/>
      <c r="P61" s="2380"/>
      <c r="Q61" s="2380"/>
    </row>
    <row r="62" spans="1:17">
      <c r="A62" s="2380"/>
      <c r="B62" s="2376"/>
      <c r="C62" s="2380"/>
      <c r="D62" s="2380"/>
      <c r="E62" s="2380"/>
      <c r="F62" s="2380"/>
      <c r="G62" s="2380"/>
      <c r="H62" s="2380"/>
      <c r="I62" s="2380"/>
      <c r="J62" s="2380"/>
      <c r="K62" s="2380"/>
      <c r="L62" s="2380"/>
      <c r="M62" s="2380"/>
      <c r="N62" s="2380"/>
      <c r="O62" s="2380"/>
      <c r="P62" s="2380"/>
      <c r="Q62" s="2380"/>
    </row>
    <row r="63" spans="1:17">
      <c r="A63" s="2380"/>
      <c r="B63" s="2376"/>
      <c r="C63" s="2380"/>
      <c r="D63" s="2380"/>
      <c r="E63" s="2380"/>
      <c r="F63" s="2380"/>
      <c r="G63" s="2380"/>
      <c r="H63" s="2380"/>
      <c r="I63" s="2380"/>
      <c r="J63" s="2380"/>
      <c r="K63" s="2380"/>
      <c r="L63" s="2380"/>
      <c r="M63" s="2380"/>
      <c r="N63" s="2380"/>
      <c r="O63" s="2380"/>
      <c r="P63" s="2380"/>
      <c r="Q63" s="2380"/>
    </row>
    <row r="64" spans="1:17">
      <c r="A64" s="2380"/>
      <c r="B64" s="2380"/>
      <c r="C64" s="2380"/>
      <c r="D64" s="2380"/>
      <c r="E64" s="2380"/>
      <c r="F64" s="2380"/>
      <c r="G64" s="2380"/>
      <c r="H64" s="2380"/>
      <c r="I64" s="2380"/>
      <c r="J64" s="2380"/>
      <c r="K64" s="2380"/>
      <c r="L64" s="2380"/>
      <c r="M64" s="2380"/>
      <c r="N64" s="2380"/>
      <c r="O64" s="2380"/>
      <c r="P64" s="2380"/>
      <c r="Q64" s="2380"/>
    </row>
    <row r="65" spans="1:17">
      <c r="A65" s="2380"/>
      <c r="B65" s="2380"/>
      <c r="C65" s="2380"/>
      <c r="D65" s="2380"/>
      <c r="E65" s="2380"/>
      <c r="F65" s="2380"/>
      <c r="G65" s="2380"/>
      <c r="H65" s="2380"/>
      <c r="I65" s="2380"/>
      <c r="J65" s="2380"/>
      <c r="K65" s="2380"/>
      <c r="L65" s="2380"/>
      <c r="M65" s="2380"/>
      <c r="N65" s="2380"/>
      <c r="O65" s="2380"/>
      <c r="P65" s="2380"/>
      <c r="Q65" s="2380"/>
    </row>
  </sheetData>
  <mergeCells count="2">
    <mergeCell ref="O13:Q13"/>
    <mergeCell ref="I13:K13"/>
  </mergeCells>
  <phoneticPr fontId="4" type="noConversion"/>
  <pageMargins left="1" right="0.75" top="0.98425196850393704" bottom="0" header="0" footer="0"/>
  <pageSetup scale="67" orientation="landscape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tabColor rgb="FFFF9900"/>
    <pageSetUpPr fitToPage="1"/>
  </sheetPr>
  <dimension ref="A1:Q48"/>
  <sheetViews>
    <sheetView zoomScale="90" zoomScaleNormal="90" workbookViewId="0"/>
  </sheetViews>
  <sheetFormatPr defaultColWidth="8" defaultRowHeight="13.2"/>
  <cols>
    <col min="1" max="1" width="6" style="2410" customWidth="1"/>
    <col min="2" max="2" width="2" style="2410" customWidth="1"/>
    <col min="3" max="3" width="17.88671875" style="2410" customWidth="1"/>
    <col min="4" max="4" width="2.5546875" style="2410" customWidth="1"/>
    <col min="5" max="5" width="41.109375" style="2410" customWidth="1"/>
    <col min="6" max="6" width="1.88671875" style="2410" customWidth="1"/>
    <col min="7" max="7" width="14.5546875" style="2410" customWidth="1"/>
    <col min="8" max="8" width="1.44140625" style="2410" customWidth="1"/>
    <col min="9" max="9" width="14.44140625" style="2410" customWidth="1"/>
    <col min="10" max="10" width="1.33203125" style="2410" customWidth="1"/>
    <col min="11" max="11" width="14.5546875" style="2410" customWidth="1"/>
    <col min="12" max="12" width="3" style="2410" customWidth="1"/>
    <col min="13" max="13" width="16.109375" style="2410" customWidth="1"/>
    <col min="14" max="14" width="1.33203125" style="2410" customWidth="1"/>
    <col min="15" max="15" width="14.5546875" style="2410" customWidth="1"/>
    <col min="16" max="16" width="1.88671875" style="2410" customWidth="1"/>
    <col min="17" max="17" width="18.6640625" style="2410" customWidth="1"/>
    <col min="18" max="16384" width="8" style="2410"/>
  </cols>
  <sheetData>
    <row r="1" spans="1:17">
      <c r="A1" s="2408" t="str">
        <f>COMPANY</f>
        <v>DUKE ENERGY KENTUCKY, INC.</v>
      </c>
      <c r="B1" s="2409"/>
      <c r="C1" s="2408"/>
      <c r="D1" s="2408"/>
      <c r="E1" s="2409"/>
      <c r="F1" s="2409"/>
      <c r="G1" s="2409"/>
      <c r="H1" s="2409"/>
      <c r="I1" s="2409"/>
      <c r="J1" s="2409"/>
      <c r="K1" s="2409"/>
      <c r="L1" s="2409"/>
      <c r="M1" s="2409"/>
      <c r="N1" s="2409"/>
      <c r="O1" s="2409"/>
      <c r="P1" s="2409"/>
      <c r="Q1" s="2409"/>
    </row>
    <row r="2" spans="1:17">
      <c r="A2" s="2408" t="str">
        <f>CASE</f>
        <v>CASE NO. 2018-00261</v>
      </c>
      <c r="B2" s="2409"/>
      <c r="C2" s="2409"/>
      <c r="D2" s="2409"/>
      <c r="E2" s="2409"/>
      <c r="F2" s="2409"/>
      <c r="G2" s="2409"/>
      <c r="H2" s="2409"/>
      <c r="I2" s="2409"/>
      <c r="J2" s="2409"/>
      <c r="K2" s="2409"/>
      <c r="L2" s="2409"/>
      <c r="M2" s="2409"/>
      <c r="N2" s="2409"/>
      <c r="O2" s="2409"/>
      <c r="P2" s="2409"/>
      <c r="Q2" s="2409"/>
    </row>
    <row r="3" spans="1:17">
      <c r="A3" s="2411" t="s">
        <v>2117</v>
      </c>
      <c r="B3" s="2409"/>
      <c r="C3" s="2409"/>
      <c r="D3" s="2409"/>
      <c r="E3" s="2409"/>
      <c r="F3" s="2409"/>
      <c r="G3" s="2409"/>
      <c r="H3" s="2409"/>
      <c r="I3" s="2409"/>
      <c r="J3" s="2409"/>
      <c r="K3" s="2409"/>
      <c r="L3" s="2409"/>
      <c r="M3" s="2409"/>
      <c r="N3" s="2411"/>
      <c r="O3" s="2409"/>
      <c r="P3" s="2409"/>
      <c r="Q3" s="2409"/>
    </row>
    <row r="4" spans="1:17">
      <c r="A4" s="2411" t="str">
        <f>PERIOD</f>
        <v>FOR THE TWELVE MONTHS ENDED NOVEMBER 30, 2018</v>
      </c>
      <c r="B4" s="2409"/>
      <c r="C4" s="2409"/>
      <c r="D4" s="2409"/>
      <c r="E4" s="2409"/>
      <c r="F4" s="2409"/>
      <c r="G4" s="2409"/>
      <c r="H4" s="2409"/>
      <c r="I4" s="2409"/>
      <c r="J4" s="2409"/>
      <c r="K4" s="2409"/>
      <c r="L4" s="2409"/>
      <c r="M4" s="2409"/>
      <c r="N4" s="2411"/>
      <c r="O4" s="2409"/>
      <c r="P4" s="2409"/>
      <c r="Q4" s="2409"/>
    </row>
    <row r="5" spans="1:17">
      <c r="A5" s="2408" t="str">
        <f>PeriodF</f>
        <v>FOR THE TWELVE MONTHS ENDED MARCH 31, 2020</v>
      </c>
      <c r="B5" s="2409"/>
      <c r="C5" s="2409"/>
      <c r="D5" s="2409"/>
      <c r="E5" s="2409"/>
      <c r="F5" s="2409"/>
      <c r="G5" s="2409"/>
      <c r="H5" s="2409"/>
      <c r="I5" s="2409"/>
      <c r="J5" s="2409"/>
      <c r="K5" s="2409"/>
      <c r="L5" s="2409"/>
      <c r="M5" s="2409"/>
      <c r="N5" s="2409"/>
      <c r="O5" s="2409"/>
      <c r="P5" s="2409"/>
      <c r="Q5" s="2409"/>
    </row>
    <row r="7" spans="1:17">
      <c r="A7" s="2412" t="str">
        <f>DataB</f>
        <v>DATA: "X" BASE PERIOD  "X" FORECASTED PERIOD</v>
      </c>
      <c r="O7" s="2413" t="s">
        <v>2118</v>
      </c>
    </row>
    <row r="8" spans="1:17">
      <c r="A8" s="2412" t="str">
        <f>LOGO!B15</f>
        <v xml:space="preserve">TYPE OF FILING:  "X" ORIGINAL   UPDATED    REVISED  </v>
      </c>
      <c r="O8" s="2413" t="s">
        <v>564</v>
      </c>
    </row>
    <row r="9" spans="1:17">
      <c r="A9" s="2413" t="s">
        <v>655</v>
      </c>
      <c r="O9" s="2413" t="s">
        <v>566</v>
      </c>
    </row>
    <row r="10" spans="1:17">
      <c r="O10" s="2410" t="str">
        <f>LOGO!G6</f>
        <v>S. E. LAWLER</v>
      </c>
    </row>
    <row r="11" spans="1:17">
      <c r="A11" s="2414"/>
      <c r="B11" s="2414"/>
      <c r="C11" s="2414"/>
      <c r="D11" s="2414"/>
      <c r="E11" s="2414"/>
      <c r="F11" s="2414"/>
      <c r="G11" s="2414"/>
      <c r="H11" s="2414"/>
      <c r="I11" s="2414"/>
      <c r="J11" s="2414"/>
      <c r="K11" s="2414"/>
      <c r="L11" s="2414"/>
      <c r="M11" s="2414"/>
      <c r="N11" s="2414"/>
      <c r="O11" s="2414"/>
      <c r="P11" s="2414"/>
      <c r="Q11" s="2414"/>
    </row>
    <row r="12" spans="1:17">
      <c r="A12" s="2415"/>
      <c r="B12" s="2415"/>
      <c r="C12" s="2415"/>
      <c r="D12" s="2415"/>
      <c r="E12" s="2415"/>
      <c r="F12" s="2415"/>
      <c r="G12" s="2404" t="s">
        <v>1726</v>
      </c>
      <c r="H12" s="2416"/>
      <c r="I12" s="2416"/>
      <c r="J12" s="2416"/>
      <c r="K12" s="2416"/>
      <c r="L12" s="2415"/>
      <c r="M12" s="2404" t="s">
        <v>1231</v>
      </c>
      <c r="N12" s="2416"/>
      <c r="O12" s="2416"/>
      <c r="P12" s="2416"/>
      <c r="Q12" s="2416"/>
    </row>
    <row r="13" spans="1:17">
      <c r="A13" s="2417" t="s">
        <v>567</v>
      </c>
      <c r="C13" s="2417" t="s">
        <v>2160</v>
      </c>
      <c r="D13" s="2417"/>
      <c r="E13" s="2417" t="s">
        <v>2119</v>
      </c>
      <c r="F13" s="2409"/>
      <c r="G13" s="2355" t="s">
        <v>884</v>
      </c>
      <c r="H13" s="2417"/>
      <c r="I13" s="3595" t="s">
        <v>686</v>
      </c>
      <c r="J13" s="3595"/>
      <c r="K13" s="3595"/>
      <c r="L13" s="2409"/>
      <c r="M13" s="2355" t="s">
        <v>884</v>
      </c>
      <c r="N13" s="2417"/>
      <c r="O13" s="3595" t="s">
        <v>686</v>
      </c>
      <c r="P13" s="3595"/>
      <c r="Q13" s="3595"/>
    </row>
    <row r="14" spans="1:17">
      <c r="A14" s="2417" t="s">
        <v>766</v>
      </c>
      <c r="C14" s="2417" t="s">
        <v>766</v>
      </c>
      <c r="D14" s="2417"/>
      <c r="E14" s="2417" t="s">
        <v>2115</v>
      </c>
      <c r="F14" s="2409"/>
      <c r="G14" s="2356" t="s">
        <v>358</v>
      </c>
      <c r="H14" s="2417"/>
      <c r="I14" s="2419" t="s">
        <v>2040</v>
      </c>
      <c r="J14" s="2409"/>
      <c r="K14" s="2420" t="s">
        <v>2098</v>
      </c>
      <c r="L14" s="2409"/>
      <c r="M14" s="2356" t="s">
        <v>358</v>
      </c>
      <c r="N14" s="2417"/>
      <c r="O14" s="2419" t="s">
        <v>2040</v>
      </c>
      <c r="P14" s="2409"/>
      <c r="Q14" s="2420" t="s">
        <v>2098</v>
      </c>
    </row>
    <row r="15" spans="1:17">
      <c r="A15" s="2414"/>
      <c r="B15" s="2414"/>
      <c r="C15" s="2414"/>
      <c r="D15" s="2414"/>
      <c r="E15" s="2414"/>
      <c r="F15" s="2414"/>
      <c r="G15" s="2414"/>
      <c r="H15" s="2414"/>
      <c r="I15" s="2421" t="s">
        <v>837</v>
      </c>
      <c r="J15" s="2414"/>
      <c r="K15" s="2414"/>
      <c r="L15" s="2414"/>
      <c r="M15" s="2414"/>
      <c r="N15" s="2414"/>
      <c r="O15" s="2421" t="s">
        <v>837</v>
      </c>
      <c r="P15" s="2414"/>
      <c r="Q15" s="2414"/>
    </row>
    <row r="16" spans="1:17">
      <c r="G16" s="2417" t="s">
        <v>1134</v>
      </c>
      <c r="H16" s="2417"/>
      <c r="I16" s="2417" t="s">
        <v>2097</v>
      </c>
      <c r="J16" s="2409"/>
      <c r="K16" s="2417" t="s">
        <v>1134</v>
      </c>
      <c r="M16" s="2417" t="s">
        <v>1134</v>
      </c>
      <c r="N16" s="2417"/>
      <c r="O16" s="2417" t="s">
        <v>2097</v>
      </c>
      <c r="P16" s="2409"/>
      <c r="Q16" s="2417" t="s">
        <v>1134</v>
      </c>
    </row>
    <row r="17" spans="1:17">
      <c r="A17" s="2422"/>
      <c r="B17" s="2365"/>
      <c r="C17" s="2423"/>
      <c r="D17" s="2343"/>
      <c r="E17" s="1639"/>
      <c r="F17" s="2343"/>
      <c r="G17" s="2424"/>
      <c r="H17" s="2343"/>
      <c r="I17" s="2390"/>
      <c r="J17" s="2343"/>
      <c r="K17" s="2393"/>
      <c r="L17" s="2425"/>
      <c r="M17" s="2424"/>
      <c r="N17" s="2426"/>
      <c r="O17" s="2390"/>
      <c r="P17" s="2343"/>
      <c r="Q17" s="2393"/>
    </row>
    <row r="18" spans="1:17">
      <c r="A18" s="2422"/>
      <c r="B18" s="2365"/>
      <c r="C18" s="2376" t="s">
        <v>2566</v>
      </c>
      <c r="D18" s="2365"/>
      <c r="E18" s="2364"/>
      <c r="F18" s="2365"/>
      <c r="G18" s="2339"/>
      <c r="H18" s="2365"/>
      <c r="I18" s="2427"/>
      <c r="J18" s="2365"/>
      <c r="K18" s="2367"/>
      <c r="L18" s="2425"/>
      <c r="M18" s="2339"/>
      <c r="N18" s="2426"/>
      <c r="O18" s="2427"/>
      <c r="P18" s="2365"/>
      <c r="Q18" s="2367"/>
    </row>
    <row r="19" spans="1:17">
      <c r="A19" s="2422"/>
      <c r="B19" s="2365"/>
      <c r="C19" s="2422"/>
      <c r="D19" s="2365"/>
      <c r="E19" s="2364"/>
      <c r="F19" s="2365"/>
      <c r="G19" s="2339"/>
      <c r="H19" s="2365"/>
      <c r="I19" s="2427"/>
      <c r="J19" s="2365"/>
      <c r="K19" s="2367"/>
      <c r="L19" s="2425"/>
      <c r="M19" s="2339"/>
      <c r="N19" s="2425"/>
      <c r="O19" s="2427"/>
      <c r="P19" s="2365"/>
      <c r="Q19" s="2367"/>
    </row>
    <row r="20" spans="1:17">
      <c r="A20" s="2425"/>
      <c r="B20" s="2425"/>
      <c r="C20" s="2428"/>
      <c r="D20" s="2425"/>
      <c r="E20" s="2425"/>
      <c r="F20" s="2425"/>
      <c r="G20" s="2429"/>
      <c r="H20" s="2425"/>
      <c r="I20" s="2425"/>
      <c r="J20" s="2425"/>
      <c r="K20" s="2429"/>
      <c r="L20" s="2425"/>
      <c r="M20" s="2429"/>
      <c r="N20" s="2425"/>
      <c r="O20" s="2425"/>
      <c r="P20" s="2425"/>
      <c r="Q20" s="2429"/>
    </row>
    <row r="21" spans="1:17">
      <c r="A21" s="2425"/>
      <c r="B21" s="2425"/>
      <c r="C21" s="2428"/>
      <c r="D21" s="2425"/>
      <c r="E21" s="2425"/>
      <c r="F21" s="2425"/>
      <c r="G21" s="2430"/>
      <c r="H21" s="2425"/>
      <c r="I21" s="2425"/>
      <c r="J21" s="2425"/>
      <c r="K21" s="2430"/>
      <c r="L21" s="2425"/>
      <c r="M21" s="2431"/>
      <c r="N21" s="2425"/>
      <c r="O21" s="2425"/>
      <c r="P21" s="2425"/>
      <c r="Q21" s="2430"/>
    </row>
    <row r="22" spans="1:17">
      <c r="A22" s="2425"/>
      <c r="B22" s="2365"/>
      <c r="C22" s="2365"/>
      <c r="D22" s="2365"/>
      <c r="E22" s="2371"/>
      <c r="F22" s="2425"/>
      <c r="G22" s="2432"/>
      <c r="H22" s="2425"/>
      <c r="I22" s="2425"/>
      <c r="J22" s="2425"/>
      <c r="K22" s="2425"/>
      <c r="L22" s="2425"/>
      <c r="M22" s="2430"/>
      <c r="N22" s="2425"/>
      <c r="O22" s="2425"/>
      <c r="P22" s="2425"/>
      <c r="Q22" s="2430"/>
    </row>
    <row r="23" spans="1:17">
      <c r="A23" s="2425"/>
      <c r="B23" s="2372"/>
      <c r="D23" s="2425"/>
      <c r="E23" s="2425"/>
      <c r="F23" s="2425"/>
      <c r="G23" s="2425"/>
      <c r="H23" s="2425"/>
      <c r="I23" s="2425"/>
      <c r="J23" s="2425"/>
      <c r="K23" s="2425"/>
      <c r="L23" s="2425"/>
      <c r="M23" s="2425"/>
      <c r="N23" s="2425"/>
      <c r="O23" s="2425"/>
      <c r="P23" s="2425"/>
      <c r="Q23" s="2425"/>
    </row>
    <row r="24" spans="1:17">
      <c r="L24" s="2425"/>
      <c r="M24" s="2425"/>
      <c r="N24" s="2425"/>
      <c r="O24" s="2425"/>
      <c r="P24" s="2425"/>
      <c r="Q24" s="2425"/>
    </row>
    <row r="25" spans="1:17">
      <c r="L25" s="2425"/>
      <c r="M25" s="2425"/>
      <c r="N25" s="2425"/>
      <c r="O25" s="2425"/>
      <c r="P25" s="2425"/>
      <c r="Q25" s="2425"/>
    </row>
    <row r="30" spans="1:17">
      <c r="C30" s="2337"/>
      <c r="D30" s="2338"/>
      <c r="E30" s="1639"/>
      <c r="F30" s="2343"/>
      <c r="G30" s="2424"/>
    </row>
    <row r="31" spans="1:17">
      <c r="C31" s="2337"/>
      <c r="D31" s="2338"/>
      <c r="E31" s="1639"/>
      <c r="F31" s="2343"/>
      <c r="G31" s="2424"/>
    </row>
    <row r="32" spans="1:17">
      <c r="C32" s="2337"/>
      <c r="D32" s="2338"/>
      <c r="E32" s="1639"/>
      <c r="F32" s="2343"/>
      <c r="G32" s="2424"/>
    </row>
    <row r="33" spans="3:7">
      <c r="C33" s="2337"/>
      <c r="D33" s="2338"/>
      <c r="E33" s="1639"/>
      <c r="F33" s="2343"/>
      <c r="G33" s="2424"/>
    </row>
    <row r="34" spans="3:7">
      <c r="C34" s="2337"/>
      <c r="D34" s="2338"/>
      <c r="E34" s="1639"/>
      <c r="F34" s="2343"/>
      <c r="G34" s="2424"/>
    </row>
    <row r="35" spans="3:7">
      <c r="C35" s="2337"/>
      <c r="D35" s="2338"/>
      <c r="E35" s="1639"/>
      <c r="F35" s="2343"/>
      <c r="G35" s="2424"/>
    </row>
    <row r="36" spans="3:7">
      <c r="C36" s="2337"/>
      <c r="D36" s="2338"/>
      <c r="E36" s="1639"/>
      <c r="F36" s="2343"/>
      <c r="G36" s="2424"/>
    </row>
    <row r="37" spans="3:7">
      <c r="C37" s="2337"/>
      <c r="D37" s="2338"/>
      <c r="E37" s="1639"/>
      <c r="F37" s="2343"/>
      <c r="G37" s="2424"/>
    </row>
    <row r="38" spans="3:7">
      <c r="C38" s="2337"/>
      <c r="D38" s="2338"/>
      <c r="E38" s="1639"/>
      <c r="F38" s="2343"/>
      <c r="G38" s="2424"/>
    </row>
    <row r="39" spans="3:7">
      <c r="C39" s="2337"/>
      <c r="D39" s="2338"/>
      <c r="E39" s="1639"/>
      <c r="F39" s="2343"/>
      <c r="G39" s="2424"/>
    </row>
    <row r="40" spans="3:7">
      <c r="C40" s="2337"/>
      <c r="D40" s="2338"/>
      <c r="E40" s="1639"/>
      <c r="F40" s="2343"/>
      <c r="G40" s="2424"/>
    </row>
    <row r="41" spans="3:7">
      <c r="C41" s="2433"/>
      <c r="D41" s="2433"/>
      <c r="E41" s="2433"/>
      <c r="F41" s="2433"/>
      <c r="G41" s="2433"/>
    </row>
    <row r="42" spans="3:7">
      <c r="C42" s="2433"/>
      <c r="D42" s="2433"/>
      <c r="E42" s="2433"/>
      <c r="F42" s="2433"/>
      <c r="G42" s="2433"/>
    </row>
    <row r="43" spans="3:7">
      <c r="C43" s="2433"/>
      <c r="D43" s="2433"/>
      <c r="E43" s="2433"/>
      <c r="F43" s="2433"/>
      <c r="G43" s="2433"/>
    </row>
    <row r="44" spans="3:7">
      <c r="C44" s="2433"/>
      <c r="D44" s="2433"/>
      <c r="E44" s="2433"/>
      <c r="F44" s="2433"/>
      <c r="G44" s="2433"/>
    </row>
    <row r="45" spans="3:7">
      <c r="C45" s="2433"/>
      <c r="D45" s="2433"/>
      <c r="E45" s="2433"/>
      <c r="F45" s="2433"/>
      <c r="G45" s="2433"/>
    </row>
    <row r="46" spans="3:7">
      <c r="C46" s="2433"/>
      <c r="D46" s="2433"/>
      <c r="E46" s="2433"/>
      <c r="F46" s="2433"/>
      <c r="G46" s="2433"/>
    </row>
    <row r="47" spans="3:7">
      <c r="C47" s="2433"/>
      <c r="D47" s="2433"/>
      <c r="E47" s="2433"/>
      <c r="F47" s="2433"/>
      <c r="G47" s="2433"/>
    </row>
    <row r="48" spans="3:7">
      <c r="C48" s="2433"/>
      <c r="D48" s="2433"/>
      <c r="E48" s="2433"/>
      <c r="F48" s="2433"/>
      <c r="G48" s="2433"/>
    </row>
  </sheetData>
  <mergeCells count="2">
    <mergeCell ref="O13:Q13"/>
    <mergeCell ref="I13:K13"/>
  </mergeCells>
  <phoneticPr fontId="4" type="noConversion"/>
  <pageMargins left="1" right="0.75" top="0.98425196850393704" bottom="0" header="0" footer="0"/>
  <pageSetup scale="70" orientation="landscape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tabColor rgb="FFFF9900"/>
    <pageSetUpPr fitToPage="1"/>
  </sheetPr>
  <dimension ref="A1:Q33"/>
  <sheetViews>
    <sheetView zoomScale="90" zoomScaleNormal="90" workbookViewId="0"/>
  </sheetViews>
  <sheetFormatPr defaultColWidth="8" defaultRowHeight="13.2"/>
  <cols>
    <col min="1" max="1" width="6" style="2436" customWidth="1"/>
    <col min="2" max="2" width="1.44140625" style="2436" customWidth="1"/>
    <col min="3" max="3" width="15.44140625" style="2436" customWidth="1"/>
    <col min="4" max="4" width="1.109375" style="2436" customWidth="1"/>
    <col min="5" max="5" width="37.88671875" style="2436" customWidth="1"/>
    <col min="6" max="6" width="2.33203125" style="2436" customWidth="1"/>
    <col min="7" max="7" width="14.44140625" style="2436" customWidth="1"/>
    <col min="8" max="8" width="1.33203125" style="2436" customWidth="1"/>
    <col min="9" max="9" width="13.44140625" style="2436" customWidth="1"/>
    <col min="10" max="10" width="1.109375" style="2436" customWidth="1"/>
    <col min="11" max="11" width="14.44140625" style="2436" customWidth="1"/>
    <col min="12" max="12" width="2.33203125" style="2436" customWidth="1"/>
    <col min="13" max="13" width="14.88671875" style="2436" customWidth="1"/>
    <col min="14" max="14" width="1.5546875" style="2436" customWidth="1"/>
    <col min="15" max="15" width="12.33203125" style="2436" customWidth="1"/>
    <col min="16" max="16" width="1" style="2436" customWidth="1"/>
    <col min="17" max="17" width="13.109375" style="2436" customWidth="1"/>
    <col min="18" max="16384" width="8" style="2436"/>
  </cols>
  <sheetData>
    <row r="1" spans="1:17">
      <c r="A1" s="2434" t="str">
        <f>COMPANY</f>
        <v>DUKE ENERGY KENTUCKY, INC.</v>
      </c>
      <c r="B1" s="2435"/>
      <c r="C1" s="2434"/>
      <c r="D1" s="2435"/>
      <c r="E1" s="2435"/>
      <c r="F1" s="2435"/>
      <c r="G1" s="2435"/>
      <c r="H1" s="2435"/>
      <c r="I1" s="2435"/>
      <c r="J1" s="2435"/>
      <c r="K1" s="2435"/>
      <c r="L1" s="2435"/>
      <c r="M1" s="2435"/>
      <c r="N1" s="2435"/>
      <c r="O1" s="2435"/>
      <c r="P1" s="2435"/>
      <c r="Q1" s="2435"/>
    </row>
    <row r="2" spans="1:17">
      <c r="A2" s="2434" t="str">
        <f>CASE</f>
        <v>CASE NO. 2018-00261</v>
      </c>
      <c r="B2" s="2435"/>
      <c r="C2" s="2435"/>
      <c r="D2" s="2435"/>
      <c r="E2" s="2435"/>
      <c r="F2" s="2435"/>
      <c r="G2" s="2435"/>
      <c r="H2" s="2435"/>
      <c r="I2" s="2435"/>
      <c r="J2" s="2435"/>
      <c r="K2" s="2435"/>
      <c r="L2" s="2435"/>
      <c r="M2" s="2435"/>
      <c r="N2" s="2435"/>
      <c r="O2" s="2435"/>
      <c r="P2" s="2435"/>
      <c r="Q2" s="2435"/>
    </row>
    <row r="3" spans="1:17">
      <c r="A3" s="2437" t="s">
        <v>2120</v>
      </c>
      <c r="B3" s="2435"/>
      <c r="C3" s="2435"/>
      <c r="D3" s="2435"/>
      <c r="E3" s="2435"/>
      <c r="F3" s="2435"/>
      <c r="G3" s="2435"/>
      <c r="H3" s="2435"/>
      <c r="I3" s="2435"/>
      <c r="J3" s="2435"/>
      <c r="K3" s="2435"/>
      <c r="L3" s="2435"/>
      <c r="M3" s="2435"/>
      <c r="N3" s="2437"/>
      <c r="O3" s="2435"/>
      <c r="P3" s="2435"/>
      <c r="Q3" s="2435"/>
    </row>
    <row r="4" spans="1:17">
      <c r="A4" s="2434" t="str">
        <f>PERIOD</f>
        <v>FOR THE TWELVE MONTHS ENDED NOVEMBER 30, 2018</v>
      </c>
      <c r="B4" s="2435"/>
      <c r="C4" s="2435"/>
      <c r="D4" s="2435"/>
      <c r="E4" s="2435"/>
      <c r="F4" s="2435"/>
      <c r="G4" s="2435"/>
      <c r="H4" s="2435"/>
      <c r="I4" s="2435"/>
      <c r="J4" s="2435"/>
      <c r="K4" s="2435"/>
      <c r="L4" s="2435"/>
      <c r="M4" s="2435"/>
      <c r="N4" s="2435"/>
      <c r="O4" s="2435"/>
      <c r="P4" s="2435"/>
      <c r="Q4" s="2435"/>
    </row>
    <row r="5" spans="1:17">
      <c r="A5" s="2434" t="str">
        <f>PeriodF</f>
        <v>FOR THE TWELVE MONTHS ENDED MARCH 31, 2020</v>
      </c>
      <c r="B5" s="2435"/>
      <c r="C5" s="2435"/>
      <c r="D5" s="2435"/>
      <c r="E5" s="2435"/>
      <c r="F5" s="2435"/>
      <c r="G5" s="2435"/>
      <c r="H5" s="2435"/>
      <c r="I5" s="2435"/>
      <c r="J5" s="2435"/>
      <c r="K5" s="2435"/>
      <c r="L5" s="2435"/>
      <c r="M5" s="2435"/>
      <c r="N5" s="2435"/>
      <c r="O5" s="2435"/>
      <c r="P5" s="2435"/>
      <c r="Q5" s="2435"/>
    </row>
    <row r="7" spans="1:17">
      <c r="A7" s="2438" t="str">
        <f>DataB</f>
        <v>DATA: "X" BASE PERIOD  "X" FORECASTED PERIOD</v>
      </c>
      <c r="O7" s="2439" t="s">
        <v>2121</v>
      </c>
    </row>
    <row r="8" spans="1:17">
      <c r="A8" s="2438" t="str">
        <f>Type</f>
        <v xml:space="preserve">TYPE OF FILING:  "X" ORIGINAL   UPDATED    REVISED  </v>
      </c>
      <c r="O8" s="2439" t="s">
        <v>564</v>
      </c>
    </row>
    <row r="9" spans="1:17">
      <c r="A9" s="2439" t="s">
        <v>655</v>
      </c>
      <c r="O9" s="2439" t="s">
        <v>566</v>
      </c>
    </row>
    <row r="10" spans="1:17">
      <c r="O10" s="2436" t="str">
        <f>LOGO!G6</f>
        <v>S. E. LAWLER</v>
      </c>
    </row>
    <row r="11" spans="1:17">
      <c r="A11" s="2440"/>
      <c r="B11" s="2440"/>
      <c r="C11" s="2440"/>
      <c r="D11" s="2440"/>
      <c r="E11" s="2440"/>
      <c r="F11" s="2440"/>
      <c r="G11" s="2440"/>
      <c r="H11" s="2440"/>
      <c r="I11" s="2440"/>
      <c r="J11" s="2440"/>
      <c r="K11" s="2440"/>
      <c r="L11" s="2440"/>
      <c r="M11" s="2440"/>
      <c r="N11" s="2440"/>
      <c r="O11" s="2440"/>
      <c r="P11" s="2440"/>
      <c r="Q11" s="2440"/>
    </row>
    <row r="12" spans="1:17">
      <c r="A12" s="2441"/>
      <c r="B12" s="2441"/>
      <c r="C12" s="2441"/>
      <c r="D12" s="2441"/>
      <c r="E12" s="2441"/>
      <c r="F12" s="2441"/>
      <c r="G12" s="2404" t="s">
        <v>1726</v>
      </c>
      <c r="H12" s="2416"/>
      <c r="I12" s="2416"/>
      <c r="J12" s="2416"/>
      <c r="K12" s="2416"/>
      <c r="L12" s="2441"/>
      <c r="M12" s="2404" t="s">
        <v>1231</v>
      </c>
      <c r="N12" s="2416"/>
      <c r="O12" s="2416"/>
      <c r="P12" s="2416"/>
      <c r="Q12" s="2416"/>
    </row>
    <row r="13" spans="1:17">
      <c r="A13" s="2442" t="s">
        <v>567</v>
      </c>
      <c r="C13" s="2442" t="s">
        <v>2160</v>
      </c>
      <c r="E13" s="2442" t="s">
        <v>2122</v>
      </c>
      <c r="F13" s="2434"/>
      <c r="G13" s="2355" t="s">
        <v>884</v>
      </c>
      <c r="H13" s="2417"/>
      <c r="I13" s="3595" t="s">
        <v>686</v>
      </c>
      <c r="J13" s="3595"/>
      <c r="K13" s="3595"/>
      <c r="L13" s="2434"/>
      <c r="M13" s="2355" t="s">
        <v>884</v>
      </c>
      <c r="N13" s="2442"/>
      <c r="O13" s="3596" t="s">
        <v>686</v>
      </c>
      <c r="P13" s="3596"/>
      <c r="Q13" s="3596"/>
    </row>
    <row r="14" spans="1:17">
      <c r="A14" s="2442" t="s">
        <v>766</v>
      </c>
      <c r="C14" s="2442" t="s">
        <v>766</v>
      </c>
      <c r="E14" s="2442" t="s">
        <v>2123</v>
      </c>
      <c r="F14" s="2434"/>
      <c r="G14" s="2356" t="s">
        <v>358</v>
      </c>
      <c r="H14" s="2417"/>
      <c r="I14" s="2419" t="s">
        <v>2040</v>
      </c>
      <c r="J14" s="2409"/>
      <c r="K14" s="2420" t="s">
        <v>2098</v>
      </c>
      <c r="L14" s="2434"/>
      <c r="M14" s="2356" t="s">
        <v>358</v>
      </c>
      <c r="N14" s="2442"/>
      <c r="O14" s="2443" t="s">
        <v>2040</v>
      </c>
      <c r="P14" s="2435"/>
      <c r="Q14" s="2444" t="s">
        <v>2098</v>
      </c>
    </row>
    <row r="15" spans="1:17">
      <c r="A15" s="2440"/>
      <c r="B15" s="2440"/>
      <c r="C15" s="2440"/>
      <c r="D15" s="2440"/>
      <c r="E15" s="2440"/>
      <c r="F15" s="2440"/>
      <c r="G15" s="2414"/>
      <c r="H15" s="2414"/>
      <c r="I15" s="2421" t="s">
        <v>837</v>
      </c>
      <c r="J15" s="2414"/>
      <c r="K15" s="2414"/>
      <c r="L15" s="2440"/>
      <c r="M15" s="2440"/>
      <c r="N15" s="2440"/>
      <c r="O15" s="2445" t="s">
        <v>837</v>
      </c>
      <c r="P15" s="2440"/>
      <c r="Q15" s="2440"/>
    </row>
    <row r="16" spans="1:17">
      <c r="G16" s="2417" t="s">
        <v>1134</v>
      </c>
      <c r="H16" s="2417"/>
      <c r="I16" s="2417" t="s">
        <v>2097</v>
      </c>
      <c r="J16" s="2409"/>
      <c r="K16" s="2417" t="s">
        <v>1134</v>
      </c>
      <c r="M16" s="2442" t="s">
        <v>1134</v>
      </c>
      <c r="N16" s="2442"/>
      <c r="O16" s="2442" t="s">
        <v>2097</v>
      </c>
      <c r="P16" s="2435"/>
      <c r="Q16" s="2442" t="s">
        <v>1134</v>
      </c>
    </row>
    <row r="17" spans="1:17">
      <c r="A17" s="2446"/>
      <c r="B17" s="2446"/>
      <c r="C17" s="2446"/>
      <c r="D17" s="2446"/>
      <c r="E17" s="2446"/>
      <c r="F17" s="2446"/>
      <c r="G17" s="2446"/>
      <c r="H17" s="2446"/>
      <c r="I17" s="2446"/>
      <c r="J17" s="2446"/>
      <c r="K17" s="2446"/>
      <c r="L17" s="2446"/>
      <c r="M17" s="2447"/>
      <c r="N17" s="2447"/>
      <c r="O17" s="2446"/>
      <c r="P17" s="2446"/>
      <c r="Q17" s="2447"/>
    </row>
    <row r="18" spans="1:17">
      <c r="A18" s="2448">
        <v>1</v>
      </c>
      <c r="B18" s="2449"/>
      <c r="C18" s="2385">
        <v>880000</v>
      </c>
      <c r="D18" s="2446"/>
      <c r="E18" s="2446" t="s">
        <v>2751</v>
      </c>
      <c r="F18" s="2450"/>
      <c r="G18" s="2451">
        <v>40</v>
      </c>
      <c r="H18" s="2446"/>
      <c r="I18" s="2452">
        <f>VLOOKUP($E$25,ALLOCTABLE,2)</f>
        <v>100</v>
      </c>
      <c r="J18" s="2340"/>
      <c r="K18" s="2453">
        <f t="shared" ref="K18:K19" si="0">ROUND(G18*(I18/100),2)</f>
        <v>40</v>
      </c>
      <c r="L18" s="2454"/>
      <c r="M18" s="2451">
        <v>0</v>
      </c>
      <c r="N18" s="2446"/>
      <c r="O18" s="2452">
        <f>VLOOKUP($E$25,ALLOCTABLE,2)</f>
        <v>100</v>
      </c>
      <c r="P18" s="2340"/>
      <c r="Q18" s="2453">
        <f t="shared" ref="Q18:Q19" si="1">ROUND(M18*(O18/100),2)</f>
        <v>0</v>
      </c>
    </row>
    <row r="19" spans="1:17">
      <c r="A19" s="2448">
        <v>2</v>
      </c>
      <c r="B19" s="2449"/>
      <c r="C19" s="2385">
        <v>926000</v>
      </c>
      <c r="D19" s="2446"/>
      <c r="E19" s="2446" t="s">
        <v>504</v>
      </c>
      <c r="F19" s="2450"/>
      <c r="G19" s="2451">
        <v>-1836</v>
      </c>
      <c r="H19" s="2446"/>
      <c r="I19" s="2452">
        <f>VLOOKUP($E$25,ALLOCTABLE,2)</f>
        <v>100</v>
      </c>
      <c r="J19" s="2340"/>
      <c r="K19" s="2453">
        <f t="shared" si="0"/>
        <v>-1836</v>
      </c>
      <c r="L19" s="2454"/>
      <c r="M19" s="2451">
        <v>0</v>
      </c>
      <c r="N19" s="2446"/>
      <c r="O19" s="2452">
        <f>VLOOKUP($E$25,ALLOCTABLE,2)</f>
        <v>100</v>
      </c>
      <c r="P19" s="2340"/>
      <c r="Q19" s="2453">
        <f t="shared" si="1"/>
        <v>0</v>
      </c>
    </row>
    <row r="20" spans="1:17">
      <c r="A20" s="2448">
        <v>3</v>
      </c>
      <c r="B20" s="2446"/>
      <c r="C20" s="2448">
        <v>926000</v>
      </c>
      <c r="D20" s="2446"/>
      <c r="E20" s="1639" t="s">
        <v>2986</v>
      </c>
      <c r="F20" s="2446"/>
      <c r="G20" s="2451">
        <v>5595</v>
      </c>
      <c r="H20" s="2446"/>
      <c r="I20" s="2452">
        <f>VLOOKUP($E$25,ALLOCTABLE,2)</f>
        <v>100</v>
      </c>
      <c r="J20" s="2340"/>
      <c r="K20" s="2455">
        <f>ROUND(G20*(I20/100),2)</f>
        <v>5595</v>
      </c>
      <c r="L20" s="2454"/>
      <c r="M20" s="3560">
        <v>17140</v>
      </c>
      <c r="N20" s="2446"/>
      <c r="O20" s="2452">
        <f>VLOOKUP($E$25,ALLOCTABLE,2)</f>
        <v>100</v>
      </c>
      <c r="P20" s="2340"/>
      <c r="Q20" s="2455">
        <f>ROUND(M20*(O20/100),2)</f>
        <v>17140</v>
      </c>
    </row>
    <row r="21" spans="1:17">
      <c r="A21" s="2448">
        <v>4</v>
      </c>
      <c r="B21" s="2446"/>
      <c r="C21" s="2448"/>
      <c r="D21" s="2446"/>
      <c r="E21" s="2446"/>
      <c r="F21" s="2446"/>
      <c r="G21" s="2456"/>
      <c r="H21" s="2446"/>
      <c r="I21" s="2452"/>
      <c r="J21" s="2340"/>
      <c r="K21" s="2453"/>
      <c r="L21" s="2454"/>
      <c r="M21" s="2451"/>
      <c r="N21" s="2446"/>
      <c r="O21" s="2452"/>
      <c r="P21" s="2340"/>
      <c r="Q21" s="2453"/>
    </row>
    <row r="22" spans="1:17" ht="13.8" thickBot="1">
      <c r="A22" s="2448">
        <v>5</v>
      </c>
      <c r="B22" s="2457"/>
      <c r="C22" s="2446"/>
      <c r="D22" s="2446"/>
      <c r="E22" s="2458" t="s">
        <v>2567</v>
      </c>
      <c r="F22" s="2459"/>
      <c r="G22" s="2460">
        <f>SUM(G18:G20)</f>
        <v>3799</v>
      </c>
      <c r="H22" s="2461"/>
      <c r="I22" s="2447"/>
      <c r="J22" s="2447"/>
      <c r="K22" s="2460">
        <f>SUM(K18:K20)</f>
        <v>3799</v>
      </c>
      <c r="L22" s="2462"/>
      <c r="M22" s="2460">
        <f>SUM(M18:M20)</f>
        <v>17140</v>
      </c>
      <c r="N22" s="2461"/>
      <c r="O22" s="2447"/>
      <c r="P22" s="2447"/>
      <c r="Q22" s="2460">
        <f>SUM(Q18:Q20)</f>
        <v>17140</v>
      </c>
    </row>
    <row r="23" spans="1:17" ht="13.8" thickTop="1">
      <c r="A23" s="2448"/>
      <c r="B23" s="2457"/>
      <c r="C23" s="2446"/>
      <c r="D23" s="2446"/>
      <c r="E23" s="2459"/>
      <c r="F23" s="2459"/>
      <c r="G23" s="2463"/>
      <c r="H23" s="2459"/>
      <c r="I23" s="2459"/>
      <c r="J23" s="2459"/>
      <c r="K23" s="2463"/>
      <c r="L23" s="2463"/>
      <c r="M23" s="2464"/>
      <c r="N23" s="2461"/>
      <c r="O23" s="2447"/>
      <c r="P23" s="2447"/>
      <c r="Q23" s="2464"/>
    </row>
    <row r="24" spans="1:17">
      <c r="A24" s="2465"/>
      <c r="B24" s="2446"/>
      <c r="C24" s="2446"/>
      <c r="D24" s="2446"/>
      <c r="E24" s="2446"/>
      <c r="F24" s="2446"/>
      <c r="G24" s="2466"/>
      <c r="H24" s="2446"/>
      <c r="I24" s="2446"/>
      <c r="J24" s="2446"/>
      <c r="K24" s="2446"/>
      <c r="L24" s="2446"/>
      <c r="M24" s="2446"/>
      <c r="N24" s="2446"/>
      <c r="O24" s="2446"/>
      <c r="P24" s="2446"/>
      <c r="Q24" s="2446"/>
    </row>
    <row r="25" spans="1:17">
      <c r="A25" s="2465"/>
      <c r="B25" s="2446"/>
      <c r="C25" s="2446" t="s">
        <v>2116</v>
      </c>
      <c r="D25" s="2446"/>
      <c r="E25" s="2467" t="s">
        <v>591</v>
      </c>
      <c r="F25" s="2446"/>
      <c r="G25" s="2446"/>
      <c r="H25" s="2446"/>
      <c r="I25" s="2446"/>
      <c r="J25" s="2446"/>
      <c r="K25" s="2446"/>
      <c r="L25" s="2446"/>
      <c r="M25" s="2446"/>
      <c r="N25" s="2446"/>
      <c r="O25" s="2446"/>
      <c r="P25" s="2446"/>
      <c r="Q25" s="2446"/>
    </row>
    <row r="26" spans="1:17">
      <c r="A26" s="2465"/>
      <c r="B26" s="2446"/>
      <c r="C26" s="2450"/>
      <c r="D26" s="2446"/>
      <c r="E26" s="2446"/>
      <c r="F26" s="2446"/>
      <c r="G26" s="2446"/>
      <c r="H26" s="2446"/>
      <c r="I26" s="2446"/>
      <c r="J26" s="2446"/>
      <c r="K26" s="2446"/>
      <c r="L26" s="2446"/>
      <c r="M26" s="2446"/>
      <c r="N26" s="2446"/>
      <c r="O26" s="2446"/>
      <c r="P26" s="2446"/>
      <c r="Q26" s="2446"/>
    </row>
    <row r="27" spans="1:17">
      <c r="A27" s="2465"/>
      <c r="B27" s="2446"/>
      <c r="C27" s="2446"/>
      <c r="D27" s="2446"/>
      <c r="E27" s="2446"/>
      <c r="F27" s="2446"/>
      <c r="G27" s="2446"/>
      <c r="H27" s="2446"/>
      <c r="I27" s="2446"/>
      <c r="J27" s="2446"/>
      <c r="K27" s="2446"/>
      <c r="L27" s="2446"/>
      <c r="M27" s="2446"/>
      <c r="N27" s="2446"/>
      <c r="O27" s="2446"/>
      <c r="P27" s="2446"/>
      <c r="Q27" s="2446"/>
    </row>
    <row r="28" spans="1:17">
      <c r="A28" s="2465"/>
      <c r="B28" s="2446"/>
      <c r="C28" s="2446"/>
      <c r="D28" s="2446"/>
      <c r="E28" s="2446"/>
      <c r="F28" s="2446"/>
      <c r="G28" s="2446"/>
      <c r="H28" s="2446"/>
      <c r="I28" s="2446"/>
      <c r="J28" s="2446"/>
      <c r="K28" s="2446"/>
      <c r="L28" s="2446"/>
      <c r="M28" s="2446"/>
      <c r="N28" s="2446"/>
      <c r="O28" s="2446"/>
      <c r="P28" s="2446"/>
      <c r="Q28" s="2446"/>
    </row>
    <row r="29" spans="1:17">
      <c r="A29" s="2446"/>
      <c r="B29" s="2446"/>
      <c r="C29" s="2446"/>
      <c r="D29" s="2446"/>
      <c r="E29" s="2446"/>
      <c r="F29" s="2446"/>
      <c r="G29" s="2446"/>
      <c r="H29" s="2446"/>
      <c r="I29" s="2446"/>
      <c r="J29" s="2446"/>
      <c r="K29" s="2446"/>
      <c r="L29" s="2446"/>
      <c r="M29" s="2446"/>
      <c r="N29" s="2446"/>
      <c r="O29" s="2446"/>
      <c r="P29" s="2446"/>
      <c r="Q29" s="2446"/>
    </row>
    <row r="30" spans="1:17">
      <c r="A30" s="2468"/>
      <c r="B30" s="2468"/>
      <c r="C30" s="2468"/>
      <c r="D30" s="2468"/>
      <c r="E30" s="2468"/>
      <c r="F30" s="2446"/>
      <c r="G30" s="2446"/>
      <c r="H30" s="2446"/>
      <c r="I30" s="2446"/>
      <c r="J30" s="2446"/>
      <c r="K30" s="2446"/>
      <c r="L30" s="2446"/>
      <c r="M30" s="2446"/>
      <c r="N30" s="2446"/>
      <c r="O30" s="2446"/>
      <c r="P30" s="2446"/>
      <c r="Q30" s="2446"/>
    </row>
    <row r="31" spans="1:17">
      <c r="A31" s="2468"/>
      <c r="B31" s="2446"/>
      <c r="C31" s="2446"/>
      <c r="D31" s="2446"/>
      <c r="E31" s="2446"/>
      <c r="F31" s="2446"/>
      <c r="G31" s="2446"/>
      <c r="H31" s="2446"/>
      <c r="I31" s="2446"/>
      <c r="J31" s="2446"/>
      <c r="K31" s="2446"/>
      <c r="L31" s="2446"/>
      <c r="M31" s="2446"/>
      <c r="N31" s="2446"/>
      <c r="O31" s="2446"/>
      <c r="P31" s="2446"/>
      <c r="Q31" s="2446"/>
    </row>
    <row r="32" spans="1:17">
      <c r="A32" s="2446"/>
      <c r="B32" s="2446"/>
      <c r="C32" s="2446"/>
      <c r="D32" s="2446"/>
      <c r="E32" s="2446"/>
      <c r="F32" s="2446"/>
      <c r="G32" s="2446"/>
      <c r="H32" s="2446"/>
      <c r="I32" s="2446"/>
      <c r="J32" s="2446"/>
      <c r="K32" s="2446"/>
      <c r="L32" s="2446"/>
      <c r="M32" s="2446"/>
      <c r="N32" s="2446"/>
      <c r="O32" s="2446"/>
      <c r="P32" s="2446"/>
      <c r="Q32" s="2446"/>
    </row>
    <row r="33" spans="1:17">
      <c r="A33" s="2446"/>
      <c r="B33" s="2446"/>
      <c r="C33" s="2446"/>
      <c r="D33" s="2446"/>
      <c r="E33" s="2446"/>
      <c r="F33" s="2446"/>
      <c r="G33" s="2446"/>
      <c r="H33" s="2446"/>
      <c r="I33" s="2446"/>
      <c r="J33" s="2446"/>
      <c r="K33" s="2446"/>
      <c r="L33" s="2446"/>
      <c r="M33" s="2446"/>
      <c r="N33" s="2446"/>
      <c r="O33" s="2446"/>
      <c r="P33" s="2446"/>
      <c r="Q33" s="2446"/>
    </row>
  </sheetData>
  <mergeCells count="2">
    <mergeCell ref="O13:Q13"/>
    <mergeCell ref="I13:K13"/>
  </mergeCells>
  <phoneticPr fontId="4" type="noConversion"/>
  <pageMargins left="1" right="0.75" top="0.98425196850393704" bottom="0" header="0" footer="0"/>
  <pageSetup scale="78" orientation="landscape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tabColor rgb="FFFF9900"/>
    <pageSetUpPr fitToPage="1"/>
  </sheetPr>
  <dimension ref="A1:X65"/>
  <sheetViews>
    <sheetView zoomScale="90" zoomScaleNormal="90" workbookViewId="0"/>
  </sheetViews>
  <sheetFormatPr defaultColWidth="16.109375" defaultRowHeight="13.2"/>
  <cols>
    <col min="1" max="1" width="12.6640625" style="2470" customWidth="1"/>
    <col min="2" max="2" width="5.88671875" style="2473" customWidth="1"/>
    <col min="3" max="3" width="1.109375" style="2473" customWidth="1"/>
    <col min="4" max="4" width="14.5546875" style="2473" customWidth="1"/>
    <col min="5" max="5" width="0.6640625" style="2473" customWidth="1"/>
    <col min="6" max="6" width="27.6640625" style="2473" customWidth="1"/>
    <col min="7" max="7" width="9.6640625" style="2473" customWidth="1"/>
    <col min="8" max="8" width="10" style="2473" customWidth="1"/>
    <col min="9" max="9" width="4.109375" style="2473" customWidth="1"/>
    <col min="10" max="12" width="14.6640625" style="2473" customWidth="1"/>
    <col min="13" max="13" width="3" style="2473" customWidth="1"/>
    <col min="14" max="16" width="14.5546875" style="2473" customWidth="1"/>
    <col min="17" max="17" width="5.44140625" style="2473" customWidth="1"/>
    <col min="18" max="18" width="7.5546875" style="2473" customWidth="1"/>
    <col min="19" max="19" width="2.88671875" style="2473" customWidth="1"/>
    <col min="20" max="20" width="42.5546875" style="2473" customWidth="1"/>
    <col min="21" max="16384" width="16.109375" style="2473"/>
  </cols>
  <sheetData>
    <row r="1" spans="2:17">
      <c r="B1" s="2471" t="str">
        <f>COMPANY</f>
        <v>DUKE ENERGY KENTUCKY, INC.</v>
      </c>
      <c r="C1" s="2471"/>
      <c r="D1" s="2472"/>
      <c r="E1" s="2472"/>
      <c r="F1" s="2472"/>
      <c r="G1" s="2472"/>
      <c r="H1" s="2472"/>
      <c r="I1" s="2472"/>
      <c r="J1" s="2472"/>
      <c r="K1" s="2472"/>
      <c r="L1" s="2472"/>
      <c r="M1" s="2472"/>
      <c r="N1" s="2472"/>
      <c r="O1" s="2472"/>
      <c r="P1" s="2472"/>
    </row>
    <row r="2" spans="2:17">
      <c r="B2" s="2471" t="str">
        <f>CASE</f>
        <v>CASE NO. 2018-00261</v>
      </c>
      <c r="C2" s="2471"/>
      <c r="D2" s="2472"/>
      <c r="E2" s="2472"/>
      <c r="F2" s="2472"/>
      <c r="G2" s="2472"/>
      <c r="H2" s="2472"/>
      <c r="I2" s="2472"/>
      <c r="J2" s="2472"/>
      <c r="K2" s="2472"/>
      <c r="L2" s="2472"/>
      <c r="M2" s="2472"/>
      <c r="N2" s="2472"/>
      <c r="O2" s="2472"/>
      <c r="P2" s="2472"/>
    </row>
    <row r="3" spans="2:17">
      <c r="B3" s="2471" t="s">
        <v>2568</v>
      </c>
      <c r="C3" s="2471"/>
      <c r="D3" s="2472"/>
      <c r="E3" s="2472"/>
      <c r="F3" s="2472"/>
      <c r="G3" s="2472"/>
      <c r="H3" s="2472"/>
      <c r="I3" s="2472"/>
      <c r="J3" s="2472"/>
      <c r="K3" s="2472"/>
      <c r="L3" s="2472"/>
      <c r="M3" s="2472"/>
      <c r="N3" s="2472"/>
      <c r="O3" s="2472"/>
      <c r="P3" s="2472"/>
    </row>
    <row r="4" spans="2:17">
      <c r="B4" s="2471" t="str">
        <f>PERIOD</f>
        <v>FOR THE TWELVE MONTHS ENDED NOVEMBER 30, 2018</v>
      </c>
      <c r="C4" s="2471"/>
      <c r="D4" s="2472"/>
      <c r="E4" s="2472"/>
      <c r="F4" s="2472"/>
      <c r="G4" s="2472"/>
      <c r="H4" s="2472"/>
      <c r="I4" s="2472"/>
      <c r="J4" s="2472"/>
      <c r="K4" s="2472"/>
      <c r="L4" s="2472"/>
      <c r="M4" s="2472"/>
      <c r="N4" s="2472"/>
      <c r="O4" s="2472"/>
      <c r="P4" s="2472"/>
    </row>
    <row r="5" spans="2:17">
      <c r="B5" s="2471" t="str">
        <f>PeriodF</f>
        <v>FOR THE TWELVE MONTHS ENDED MARCH 31, 2020</v>
      </c>
      <c r="C5" s="2471"/>
      <c r="D5" s="2472"/>
      <c r="E5" s="2472"/>
      <c r="F5" s="2472"/>
      <c r="G5" s="2472"/>
      <c r="H5" s="2472"/>
      <c r="I5" s="2472"/>
      <c r="J5" s="2472"/>
      <c r="K5" s="2472"/>
      <c r="L5" s="2472"/>
      <c r="M5" s="2472"/>
      <c r="N5" s="2472"/>
      <c r="O5" s="2472"/>
      <c r="P5" s="2472"/>
    </row>
    <row r="7" spans="2:17">
      <c r="B7" s="2474" t="str">
        <f>DataB</f>
        <v>DATA: "X" BASE PERIOD  "X" FORECASTED PERIOD</v>
      </c>
      <c r="C7" s="2474"/>
      <c r="O7" s="2476" t="s">
        <v>613</v>
      </c>
    </row>
    <row r="8" spans="2:17">
      <c r="B8" s="2474" t="str">
        <f>Type</f>
        <v xml:space="preserve">TYPE OF FILING:  "X" ORIGINAL   UPDATED    REVISED  </v>
      </c>
      <c r="C8" s="2474"/>
      <c r="O8" s="2476" t="s">
        <v>564</v>
      </c>
    </row>
    <row r="9" spans="2:17">
      <c r="B9" s="2476" t="s">
        <v>274</v>
      </c>
      <c r="C9" s="2476"/>
      <c r="O9" s="2476" t="s">
        <v>566</v>
      </c>
    </row>
    <row r="10" spans="2:17">
      <c r="O10" s="2476" t="str">
        <f>LOGO!$G$6</f>
        <v>S. E. LAWLER</v>
      </c>
    </row>
    <row r="11" spans="2:17">
      <c r="B11" s="2477"/>
      <c r="C11" s="2477"/>
      <c r="D11" s="2477"/>
      <c r="E11" s="2477"/>
      <c r="F11" s="2477"/>
      <c r="G11" s="2477"/>
      <c r="H11" s="2477"/>
      <c r="I11" s="2477"/>
      <c r="J11" s="2477"/>
      <c r="K11" s="2477"/>
      <c r="L11" s="2477"/>
      <c r="M11" s="2477"/>
      <c r="N11" s="2477"/>
      <c r="O11" s="2477"/>
      <c r="P11" s="2477"/>
    </row>
    <row r="12" spans="2:17">
      <c r="J12" s="2404" t="s">
        <v>1726</v>
      </c>
      <c r="K12" s="2416"/>
      <c r="L12" s="2416"/>
      <c r="N12" s="2404" t="s">
        <v>1231</v>
      </c>
      <c r="O12" s="2416"/>
      <c r="P12" s="2416"/>
      <c r="Q12" s="2478"/>
    </row>
    <row r="13" spans="2:17">
      <c r="B13" s="2478" t="s">
        <v>567</v>
      </c>
      <c r="C13" s="2478"/>
      <c r="D13" s="2478" t="s">
        <v>2160</v>
      </c>
      <c r="E13" s="2478"/>
      <c r="J13" s="2418" t="s">
        <v>884</v>
      </c>
      <c r="K13" s="3595" t="s">
        <v>686</v>
      </c>
      <c r="L13" s="3595"/>
      <c r="N13" s="2418" t="s">
        <v>884</v>
      </c>
      <c r="O13" s="3596" t="s">
        <v>686</v>
      </c>
      <c r="P13" s="3596"/>
      <c r="Q13" s="2478"/>
    </row>
    <row r="14" spans="2:17">
      <c r="B14" s="2478" t="s">
        <v>2169</v>
      </c>
      <c r="C14" s="2478"/>
      <c r="D14" s="2478" t="s">
        <v>614</v>
      </c>
      <c r="E14" s="2478"/>
      <c r="F14" s="3597" t="s">
        <v>2150</v>
      </c>
      <c r="G14" s="3597"/>
      <c r="H14" s="3597"/>
      <c r="J14" s="2417" t="s">
        <v>637</v>
      </c>
      <c r="K14" s="2419" t="s">
        <v>2040</v>
      </c>
      <c r="L14" s="2420" t="s">
        <v>2098</v>
      </c>
      <c r="N14" s="2417" t="s">
        <v>637</v>
      </c>
      <c r="O14" s="2443" t="s">
        <v>2040</v>
      </c>
      <c r="P14" s="2444" t="s">
        <v>2098</v>
      </c>
      <c r="Q14" s="2478"/>
    </row>
    <row r="15" spans="2:17">
      <c r="B15" s="2479"/>
      <c r="C15" s="2479"/>
      <c r="D15" s="2480"/>
      <c r="E15" s="2480"/>
      <c r="F15" s="2480"/>
      <c r="G15" s="2480"/>
      <c r="H15" s="2480"/>
      <c r="I15" s="2480"/>
      <c r="J15" s="2414"/>
      <c r="K15" s="2421" t="s">
        <v>837</v>
      </c>
      <c r="L15" s="2414"/>
      <c r="M15" s="2480"/>
      <c r="N15" s="2440"/>
      <c r="O15" s="2445" t="s">
        <v>837</v>
      </c>
      <c r="P15" s="2440"/>
      <c r="Q15" s="2478"/>
    </row>
    <row r="16" spans="2:17">
      <c r="F16" s="2481"/>
      <c r="J16" s="2417" t="s">
        <v>1134</v>
      </c>
      <c r="K16" s="2417" t="s">
        <v>2097</v>
      </c>
      <c r="L16" s="2417" t="s">
        <v>1134</v>
      </c>
      <c r="N16" s="2442" t="s">
        <v>1134</v>
      </c>
      <c r="O16" s="2442" t="s">
        <v>2097</v>
      </c>
      <c r="P16" s="2442" t="s">
        <v>1134</v>
      </c>
      <c r="Q16" s="2482"/>
    </row>
    <row r="17" spans="1:16">
      <c r="B17" s="2478">
        <v>1</v>
      </c>
      <c r="C17" s="2474"/>
      <c r="F17" s="2469" t="s">
        <v>2128</v>
      </c>
    </row>
    <row r="18" spans="1:16">
      <c r="A18" s="2483">
        <v>908</v>
      </c>
      <c r="B18" s="2478">
        <v>2</v>
      </c>
      <c r="C18" s="2474"/>
      <c r="D18" s="2483">
        <v>908</v>
      </c>
      <c r="E18" s="2483"/>
      <c r="F18" s="2484" t="str">
        <f>'SCH_C2.1 - Base Period'!F184</f>
        <v xml:space="preserve">  Customer Assistance</v>
      </c>
      <c r="J18" s="2485">
        <f t="array" ref="J18">SUM(IF(FERCBP=D18,AmountBP))</f>
        <v>132042</v>
      </c>
      <c r="K18" s="2486">
        <f>VLOOKUP($F$35,ALLOCTABLE,2)</f>
        <v>100</v>
      </c>
      <c r="L18" s="2487">
        <f>ROUND(J18*(K18/100),0)</f>
        <v>132042</v>
      </c>
      <c r="N18" s="2485">
        <f t="array" aca="1" ref="N18" ca="1">SUM(IF(FERCFP=D18,AmountFP))</f>
        <v>105903</v>
      </c>
      <c r="O18" s="2486">
        <f>VLOOKUP($F$35,ALLOCTABLE,2)</f>
        <v>100</v>
      </c>
      <c r="P18" s="2487">
        <f ca="1">ROUND(N18*(O18/100),0)</f>
        <v>105903</v>
      </c>
    </row>
    <row r="19" spans="1:16">
      <c r="A19" s="2483">
        <v>909</v>
      </c>
      <c r="B19" s="2478">
        <v>3</v>
      </c>
      <c r="C19" s="2474"/>
      <c r="D19" s="2483">
        <v>909</v>
      </c>
      <c r="E19" s="2483"/>
      <c r="F19" s="2484" t="str">
        <f>'SCH_C2.1 - Base Period'!F185</f>
        <v xml:space="preserve">  Information and Instructional Advertising</v>
      </c>
      <c r="J19" s="2485">
        <f t="array" ref="J19">SUM(IF(FERCBP=D19,AmountBP))</f>
        <v>575</v>
      </c>
      <c r="K19" s="2486">
        <f>VLOOKUP($F$35,ALLOCTABLE,2)</f>
        <v>100</v>
      </c>
      <c r="L19" s="2487">
        <f>ROUND(J19*(K19/100),0)</f>
        <v>575</v>
      </c>
      <c r="M19" s="2489"/>
      <c r="N19" s="2485">
        <f t="array" aca="1" ref="N19" ca="1">SUM(IF(FERCFP=D19,AmountFP))</f>
        <v>0</v>
      </c>
      <c r="O19" s="2486">
        <f>VLOOKUP($F$35,ALLOCTABLE,2)</f>
        <v>100</v>
      </c>
      <c r="P19" s="2487">
        <f ca="1">ROUND(N19*(O19/100),0)</f>
        <v>0</v>
      </c>
    </row>
    <row r="20" spans="1:16">
      <c r="A20" s="2483">
        <v>910</v>
      </c>
      <c r="B20" s="2478">
        <v>4</v>
      </c>
      <c r="C20" s="2474"/>
      <c r="D20" s="2483">
        <v>910</v>
      </c>
      <c r="E20" s="2483"/>
      <c r="F20" s="2484" t="str">
        <f>'SCH_C2.1 - Base Period'!F186</f>
        <v xml:space="preserve">  Misc Cust Serv and Info - Gas</v>
      </c>
      <c r="J20" s="2485">
        <f t="array" ref="J20">SUM(IF(FERCBP=D20,AmountBP))</f>
        <v>302182</v>
      </c>
      <c r="K20" s="2486">
        <f>VLOOKUP($F$35,ALLOCTABLE,2)</f>
        <v>100</v>
      </c>
      <c r="L20" s="2487">
        <f>ROUND(J20*(K20/100),0)</f>
        <v>302182</v>
      </c>
      <c r="M20" s="2489"/>
      <c r="N20" s="2485">
        <f t="array" aca="1" ref="N20" ca="1">SUM(IF(FERCFP=D20,AmountFP))</f>
        <v>320933</v>
      </c>
      <c r="O20" s="2486">
        <f>VLOOKUP($F$35,ALLOCTABLE,2)</f>
        <v>100</v>
      </c>
      <c r="P20" s="2487">
        <f ca="1">ROUND(N20*(O20/100),0)</f>
        <v>320933</v>
      </c>
    </row>
    <row r="21" spans="1:16">
      <c r="A21" s="2483"/>
      <c r="B21" s="2478">
        <v>5</v>
      </c>
      <c r="C21" s="2474"/>
      <c r="D21" s="2478"/>
      <c r="E21" s="2478"/>
      <c r="F21" s="2490" t="s">
        <v>2139</v>
      </c>
      <c r="J21" s="2491">
        <f>SUM(J18:J20)</f>
        <v>434799</v>
      </c>
      <c r="K21" s="2492"/>
      <c r="L21" s="2491">
        <f>SUM(L18:L20)</f>
        <v>434799</v>
      </c>
      <c r="N21" s="2491">
        <f ca="1">SUM(N18:N20)</f>
        <v>426836</v>
      </c>
      <c r="O21" s="2492"/>
      <c r="P21" s="2491">
        <f ca="1">SUM(P18:P20)</f>
        <v>426836</v>
      </c>
    </row>
    <row r="22" spans="1:16">
      <c r="A22" s="2483"/>
      <c r="B22" s="2478">
        <v>6</v>
      </c>
      <c r="C22" s="2474"/>
      <c r="D22" s="2478"/>
      <c r="E22" s="2478"/>
      <c r="F22" s="2490"/>
      <c r="J22" s="2487"/>
      <c r="K22" s="2486"/>
      <c r="L22" s="2487"/>
      <c r="M22" s="2489"/>
      <c r="N22" s="2487"/>
      <c r="O22" s="2486"/>
      <c r="P22" s="2487"/>
    </row>
    <row r="23" spans="1:16">
      <c r="A23" s="2483"/>
      <c r="B23" s="2478">
        <v>7</v>
      </c>
      <c r="C23" s="2474"/>
      <c r="D23" s="2478"/>
      <c r="E23" s="2478"/>
      <c r="F23" s="2469" t="s">
        <v>1278</v>
      </c>
      <c r="J23" s="2487"/>
      <c r="K23" s="2486"/>
      <c r="L23" s="2487"/>
      <c r="M23" s="2489"/>
      <c r="N23" s="2487"/>
      <c r="O23" s="2486"/>
      <c r="P23" s="2487"/>
    </row>
    <row r="24" spans="1:16">
      <c r="A24" s="2483">
        <v>911</v>
      </c>
      <c r="B24" s="2478">
        <v>8</v>
      </c>
      <c r="C24" s="2474"/>
      <c r="D24" s="2483">
        <v>911</v>
      </c>
      <c r="E24" s="2483"/>
      <c r="F24" s="2493" t="str">
        <f>'SCH_C2.1 - Base Period'!F193</f>
        <v xml:space="preserve">  Supervision</v>
      </c>
      <c r="J24" s="2485">
        <f t="array" ref="J24">SUM(IF(FERCBP=D24,AmountBP))</f>
        <v>10459</v>
      </c>
      <c r="K24" s="2486">
        <f>VLOOKUP($F$35,ALLOCTABLE,2)</f>
        <v>100</v>
      </c>
      <c r="L24" s="2487">
        <f>ROUND(J24*(K24/100),0)</f>
        <v>10459</v>
      </c>
      <c r="M24" s="2489"/>
      <c r="N24" s="2485">
        <f t="array" aca="1" ref="N24" ca="1">SUM(IF(FERCFP=D24,AmountFP))</f>
        <v>20643</v>
      </c>
      <c r="O24" s="2486">
        <f>VLOOKUP($F$35,ALLOCTABLE,2)</f>
        <v>100</v>
      </c>
      <c r="P24" s="2487">
        <f ca="1">ROUND(N24*(O24/100),0)</f>
        <v>20643</v>
      </c>
    </row>
    <row r="25" spans="1:16">
      <c r="A25" s="2483">
        <v>912</v>
      </c>
      <c r="B25" s="2478">
        <v>9</v>
      </c>
      <c r="C25" s="2474"/>
      <c r="D25" s="2483">
        <v>912</v>
      </c>
      <c r="E25" s="2483"/>
      <c r="F25" s="2493" t="str">
        <f>'SCH_C2.1 - Base Period'!F194</f>
        <v xml:space="preserve">  Demonstrating &amp; Selling</v>
      </c>
      <c r="J25" s="2485">
        <f t="array" ref="J25">SUM(IF(FERCBP=D25,AmountBP))</f>
        <v>152353</v>
      </c>
      <c r="K25" s="2486">
        <f>VLOOKUP($F$35,ALLOCTABLE,2)</f>
        <v>100</v>
      </c>
      <c r="L25" s="2487">
        <f>ROUND(J25*(K25/100),0)</f>
        <v>152353</v>
      </c>
      <c r="M25" s="2489"/>
      <c r="N25" s="2485">
        <f t="array" aca="1" ref="N25" ca="1">SUM(IF(FERCFP=D25,AmountFP))</f>
        <v>173485</v>
      </c>
      <c r="O25" s="2486">
        <f>VLOOKUP($F$35,ALLOCTABLE,2)</f>
        <v>100</v>
      </c>
      <c r="P25" s="2487">
        <f ca="1">ROUND(N25*(O25/100),0)</f>
        <v>173485</v>
      </c>
    </row>
    <row r="26" spans="1:16">
      <c r="A26" s="2483">
        <v>913</v>
      </c>
      <c r="B26" s="2478">
        <v>10</v>
      </c>
      <c r="C26" s="2474"/>
      <c r="D26" s="2483">
        <v>913</v>
      </c>
      <c r="E26" s="2483"/>
      <c r="F26" s="2493" t="str">
        <f>'SCH_C2.1 - Base Period'!F195</f>
        <v xml:space="preserve">  Advertising Expense</v>
      </c>
      <c r="J26" s="2485">
        <f t="array" ref="J26">SUM(IF(FERCBP=D26,AmountBP))</f>
        <v>5418</v>
      </c>
      <c r="K26" s="2486">
        <f>VLOOKUP($F$35,ALLOCTABLE,2)</f>
        <v>100</v>
      </c>
      <c r="L26" s="2487">
        <f>ROUND(J26*(K26/100),0)</f>
        <v>5418</v>
      </c>
      <c r="M26" s="2489"/>
      <c r="N26" s="2485">
        <f t="array" aca="1" ref="N26" ca="1">SUM(IF(FERCFP=D26,AmountFP))</f>
        <v>6339</v>
      </c>
      <c r="O26" s="2486">
        <f>VLOOKUP($F$35,ALLOCTABLE,2)</f>
        <v>100</v>
      </c>
      <c r="P26" s="2487">
        <f ca="1">ROUND(N26*(O26/100),0)</f>
        <v>6339</v>
      </c>
    </row>
    <row r="27" spans="1:16">
      <c r="A27" s="2483"/>
      <c r="B27" s="2478">
        <v>11</v>
      </c>
      <c r="C27" s="2474"/>
      <c r="D27" s="2483"/>
      <c r="E27" s="2483"/>
      <c r="F27" s="2490" t="s">
        <v>2140</v>
      </c>
      <c r="J27" s="2491">
        <f>SUM(J24:J26)</f>
        <v>168230</v>
      </c>
      <c r="K27" s="2486"/>
      <c r="L27" s="2491">
        <f>SUM(L24:L26)</f>
        <v>168230</v>
      </c>
      <c r="M27" s="2489"/>
      <c r="N27" s="2491">
        <f ca="1">SUM(N24:N26)</f>
        <v>200467</v>
      </c>
      <c r="O27" s="2486"/>
      <c r="P27" s="2491">
        <f ca="1">SUM(P24:P26)</f>
        <v>200467</v>
      </c>
    </row>
    <row r="28" spans="1:16">
      <c r="A28" s="2483"/>
      <c r="B28" s="2478">
        <v>12</v>
      </c>
      <c r="C28" s="2474"/>
      <c r="D28" s="2483"/>
      <c r="E28" s="2483"/>
      <c r="F28" s="2493"/>
      <c r="J28" s="2487"/>
      <c r="K28" s="2486"/>
      <c r="L28" s="2487"/>
      <c r="M28" s="2489"/>
      <c r="N28" s="2487"/>
      <c r="O28" s="2486"/>
      <c r="P28" s="2487"/>
    </row>
    <row r="29" spans="1:16">
      <c r="A29" s="2483"/>
      <c r="B29" s="2478">
        <v>13</v>
      </c>
      <c r="C29" s="2474"/>
      <c r="D29" s="2478"/>
      <c r="E29" s="2478"/>
      <c r="F29" s="2469" t="s">
        <v>2569</v>
      </c>
      <c r="J29" s="2487"/>
      <c r="K29" s="2486"/>
      <c r="L29" s="2487"/>
      <c r="M29" s="2489"/>
      <c r="N29" s="2487"/>
      <c r="O29" s="2486"/>
      <c r="P29" s="2487"/>
    </row>
    <row r="30" spans="1:16">
      <c r="A30" s="2483">
        <v>930150</v>
      </c>
      <c r="B30" s="2478">
        <v>14</v>
      </c>
      <c r="C30" s="2474"/>
      <c r="D30" s="2483">
        <v>930150</v>
      </c>
      <c r="E30" s="2483"/>
      <c r="F30" s="2493" t="str">
        <f>IF(A30=VLOOKUP(A30,BasePeriod,1,FALSE),VLOOKUP(A30,BasePeriod,2,FALSE),0)</f>
        <v>Miscellaneous Advertising Exp</v>
      </c>
      <c r="J30" s="2487">
        <f>VLOOKUP(A30,BasePeriod,5,FALSE)</f>
        <v>34145</v>
      </c>
      <c r="K30" s="2486">
        <f>VLOOKUP($F$35,ALLOCTABLE,2)</f>
        <v>100</v>
      </c>
      <c r="L30" s="2487">
        <f>ROUND(J30*(K30/100),0)</f>
        <v>34145</v>
      </c>
      <c r="M30" s="2489"/>
      <c r="N30" s="2487">
        <f>VLOOKUP(A30,FPERIOD,5,FALSE)</f>
        <v>38844</v>
      </c>
      <c r="O30" s="2486">
        <f>VLOOKUP($F$35,ALLOCTABLE,2)</f>
        <v>100</v>
      </c>
      <c r="P30" s="2487">
        <f>ROUND(N30*(O30/100),0)</f>
        <v>38844</v>
      </c>
    </row>
    <row r="31" spans="1:16">
      <c r="A31" s="2483"/>
      <c r="B31" s="2478">
        <v>15</v>
      </c>
      <c r="C31" s="2474"/>
      <c r="D31" s="2478"/>
      <c r="E31" s="2478"/>
      <c r="F31" s="2490" t="s">
        <v>2141</v>
      </c>
      <c r="J31" s="2491">
        <f>SUM(J30:J30)</f>
        <v>34145</v>
      </c>
      <c r="K31" s="2486"/>
      <c r="L31" s="2491">
        <f>SUM(L30:L30)</f>
        <v>34145</v>
      </c>
      <c r="M31" s="2489"/>
      <c r="N31" s="2491">
        <f>SUM(N30:N30)</f>
        <v>38844</v>
      </c>
      <c r="O31" s="2486"/>
      <c r="P31" s="2491">
        <f>SUM(P30:P30)</f>
        <v>38844</v>
      </c>
    </row>
    <row r="32" spans="1:16">
      <c r="A32" s="2483"/>
      <c r="B32" s="2474"/>
      <c r="C32" s="2474"/>
      <c r="D32" s="2478"/>
      <c r="E32" s="2478"/>
      <c r="F32" s="2476"/>
      <c r="J32" s="2487"/>
      <c r="K32" s="2487"/>
      <c r="L32" s="2487"/>
      <c r="M32" s="2489"/>
      <c r="N32" s="2488"/>
      <c r="O32" s="2489"/>
      <c r="P32" s="2488"/>
    </row>
    <row r="33" spans="1:24">
      <c r="A33" s="2483"/>
      <c r="B33" s="2474"/>
      <c r="C33" s="2474"/>
      <c r="D33" s="2494"/>
      <c r="E33" s="2494"/>
      <c r="F33" s="2476"/>
      <c r="J33" s="2487"/>
      <c r="K33" s="2487"/>
      <c r="L33" s="2487"/>
      <c r="M33" s="2489"/>
      <c r="N33" s="2488"/>
      <c r="O33" s="2489"/>
      <c r="P33" s="2488"/>
    </row>
    <row r="35" spans="1:24">
      <c r="D35" s="2436" t="s">
        <v>2116</v>
      </c>
      <c r="E35" s="2436"/>
      <c r="F35" s="2495" t="s">
        <v>591</v>
      </c>
    </row>
    <row r="40" spans="1:24">
      <c r="R40" s="1684"/>
      <c r="S40" s="1684"/>
      <c r="T40" s="1684"/>
      <c r="U40" s="1684"/>
      <c r="V40" s="1684"/>
      <c r="W40" s="1684"/>
      <c r="X40" s="2475"/>
    </row>
    <row r="41" spans="1:24">
      <c r="R41" s="1684"/>
      <c r="S41" s="1684"/>
      <c r="T41" s="1684"/>
      <c r="U41" s="1684"/>
      <c r="V41" s="1684"/>
      <c r="W41" s="1684"/>
      <c r="X41" s="2475"/>
    </row>
    <row r="42" spans="1:24">
      <c r="R42" s="1684"/>
      <c r="S42" s="1684"/>
      <c r="T42" s="1684"/>
      <c r="U42" s="1684"/>
      <c r="V42" s="1684"/>
      <c r="W42" s="2475"/>
      <c r="X42" s="2475"/>
    </row>
    <row r="43" spans="1:24">
      <c r="R43" s="2496"/>
      <c r="S43" s="1684"/>
      <c r="T43" s="1684"/>
      <c r="U43" s="1684"/>
      <c r="V43" s="1684"/>
      <c r="W43" s="2475"/>
      <c r="X43" s="2475"/>
    </row>
    <row r="44" spans="1:24">
      <c r="R44" s="1684"/>
      <c r="S44" s="1684"/>
      <c r="T44" s="1684"/>
      <c r="U44" s="1684"/>
      <c r="V44" s="1684"/>
      <c r="W44" s="1684"/>
      <c r="X44" s="2475"/>
    </row>
    <row r="45" spans="1:24">
      <c r="R45" s="1684"/>
      <c r="S45" s="1684"/>
      <c r="T45" s="1684"/>
      <c r="U45" s="1684"/>
      <c r="V45" s="1684"/>
      <c r="W45" s="1684"/>
      <c r="X45" s="2475"/>
    </row>
    <row r="46" spans="1:24">
      <c r="R46" s="2497"/>
      <c r="S46" s="2497"/>
      <c r="T46" s="2497"/>
      <c r="U46" s="2497"/>
      <c r="V46" s="2497"/>
      <c r="W46" s="1684"/>
      <c r="X46" s="2475"/>
    </row>
    <row r="47" spans="1:24">
      <c r="R47" s="2498"/>
      <c r="S47" s="2498"/>
      <c r="T47" s="2498"/>
      <c r="U47" s="2498"/>
      <c r="V47" s="1684"/>
      <c r="W47" s="2498"/>
      <c r="X47" s="2475"/>
    </row>
    <row r="48" spans="1:24">
      <c r="R48" s="1684"/>
      <c r="S48" s="1684"/>
      <c r="T48" s="1684"/>
      <c r="U48" s="1684"/>
      <c r="V48" s="1684"/>
      <c r="W48" s="2499"/>
      <c r="X48" s="2475"/>
    </row>
    <row r="49" spans="18:24">
      <c r="R49" s="1684"/>
      <c r="S49" s="1684"/>
      <c r="T49" s="1684"/>
      <c r="U49" s="1684"/>
      <c r="V49" s="1684"/>
      <c r="W49" s="2499"/>
      <c r="X49" s="2475"/>
    </row>
    <row r="50" spans="18:24">
      <c r="R50" s="1684"/>
      <c r="S50" s="1684"/>
      <c r="T50" s="1684"/>
      <c r="U50" s="1684"/>
      <c r="V50" s="1684"/>
      <c r="W50" s="2499"/>
      <c r="X50" s="2475"/>
    </row>
    <row r="51" spans="18:24">
      <c r="R51" s="1684"/>
      <c r="S51" s="1684"/>
      <c r="T51" s="1684"/>
      <c r="U51" s="1684"/>
      <c r="V51" s="1684"/>
      <c r="W51" s="2499"/>
      <c r="X51" s="2475"/>
    </row>
    <row r="52" spans="18:24">
      <c r="R52" s="1684"/>
      <c r="S52" s="1684"/>
      <c r="T52" s="1684"/>
      <c r="U52" s="1684"/>
      <c r="V52" s="1684"/>
      <c r="W52" s="2499"/>
      <c r="X52" s="2475"/>
    </row>
    <row r="53" spans="18:24">
      <c r="R53" s="1684"/>
      <c r="S53" s="1684"/>
      <c r="T53" s="1684"/>
      <c r="U53" s="1684"/>
      <c r="V53" s="1684"/>
      <c r="W53" s="2499"/>
      <c r="X53" s="2475"/>
    </row>
    <row r="54" spans="18:24">
      <c r="R54" s="1684"/>
      <c r="S54" s="1684"/>
      <c r="T54" s="1684"/>
      <c r="U54" s="1684"/>
      <c r="V54" s="1684"/>
      <c r="W54" s="2499"/>
      <c r="X54" s="2475"/>
    </row>
    <row r="55" spans="18:24">
      <c r="R55" s="1684"/>
      <c r="S55" s="1684"/>
      <c r="T55" s="1684"/>
      <c r="U55" s="1684"/>
      <c r="V55" s="1684"/>
      <c r="W55" s="2499"/>
      <c r="X55" s="2475"/>
    </row>
    <row r="56" spans="18:24">
      <c r="R56" s="1684"/>
      <c r="S56" s="1684"/>
      <c r="T56" s="1684"/>
      <c r="U56" s="1684"/>
      <c r="V56" s="1684"/>
      <c r="W56" s="2499"/>
      <c r="X56" s="2475"/>
    </row>
    <row r="57" spans="18:24">
      <c r="R57" s="1684"/>
      <c r="S57" s="1684"/>
      <c r="T57" s="1684"/>
      <c r="U57" s="1684"/>
      <c r="V57" s="1684"/>
      <c r="W57" s="2499"/>
      <c r="X57" s="2475"/>
    </row>
    <row r="58" spans="18:24">
      <c r="R58" s="1684"/>
      <c r="S58" s="1684"/>
      <c r="T58" s="1684"/>
      <c r="U58" s="1684"/>
      <c r="V58" s="1684"/>
      <c r="W58" s="2499"/>
      <c r="X58" s="2475"/>
    </row>
    <row r="59" spans="18:24">
      <c r="R59" s="1684"/>
      <c r="S59" s="1684"/>
      <c r="T59" s="2497"/>
      <c r="U59" s="1684"/>
      <c r="V59" s="1684"/>
      <c r="W59" s="2499"/>
      <c r="X59" s="2475"/>
    </row>
    <row r="60" spans="18:24">
      <c r="R60" s="1684"/>
      <c r="S60" s="1684"/>
      <c r="T60" s="1684"/>
      <c r="U60" s="1684"/>
      <c r="V60" s="2499"/>
      <c r="W60" s="1684"/>
      <c r="X60" s="2475"/>
    </row>
    <row r="61" spans="18:24">
      <c r="R61" s="2475"/>
      <c r="S61" s="2475"/>
      <c r="T61" s="2475"/>
      <c r="U61" s="2475"/>
      <c r="V61" s="2475"/>
      <c r="W61" s="2475"/>
      <c r="X61" s="2475"/>
    </row>
    <row r="62" spans="18:24">
      <c r="R62" s="2475"/>
      <c r="S62" s="2475"/>
      <c r="T62" s="2475"/>
      <c r="U62" s="2475"/>
      <c r="V62" s="2475"/>
      <c r="W62" s="2475"/>
      <c r="X62" s="2475"/>
    </row>
    <row r="63" spans="18:24">
      <c r="R63" s="2475"/>
      <c r="S63" s="2475"/>
      <c r="T63" s="2475"/>
      <c r="U63" s="2475"/>
      <c r="V63" s="2475"/>
      <c r="W63" s="2475"/>
      <c r="X63" s="2475"/>
    </row>
    <row r="64" spans="18:24">
      <c r="R64" s="2475"/>
      <c r="S64" s="2475"/>
      <c r="T64" s="2475"/>
      <c r="U64" s="2475"/>
      <c r="V64" s="2475"/>
      <c r="W64" s="2475"/>
      <c r="X64" s="2475"/>
    </row>
    <row r="65" spans="18:24">
      <c r="R65" s="2475"/>
      <c r="S65" s="2475"/>
      <c r="T65" s="2475"/>
      <c r="U65" s="2475"/>
      <c r="V65" s="2475"/>
      <c r="W65" s="2475"/>
      <c r="X65" s="2475"/>
    </row>
  </sheetData>
  <mergeCells count="3">
    <mergeCell ref="F14:H14"/>
    <mergeCell ref="K13:L13"/>
    <mergeCell ref="O13:P13"/>
  </mergeCells>
  <phoneticPr fontId="4" type="noConversion"/>
  <pageMargins left="1" right="0.75" top="1" bottom="0" header="0" footer="0"/>
  <pageSetup scale="72" orientation="landscape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tabColor rgb="FFFF9900"/>
    <pageSetUpPr fitToPage="1"/>
  </sheetPr>
  <dimension ref="A1:AA139"/>
  <sheetViews>
    <sheetView zoomScale="80" zoomScaleNormal="80" workbookViewId="0"/>
  </sheetViews>
  <sheetFormatPr defaultColWidth="8" defaultRowHeight="13.2"/>
  <cols>
    <col min="1" max="1" width="6.109375" style="2502" customWidth="1"/>
    <col min="2" max="2" width="1.109375" style="2502" customWidth="1"/>
    <col min="3" max="3" width="36.88671875" style="2502" customWidth="1"/>
    <col min="4" max="4" width="1.109375" style="2502" customWidth="1"/>
    <col min="5" max="5" width="17.5546875" style="2502" customWidth="1"/>
    <col min="6" max="6" width="18.88671875" style="2502" customWidth="1"/>
    <col min="7" max="8" width="19" style="2502" customWidth="1"/>
    <col min="9" max="9" width="14.88671875" style="2502" customWidth="1"/>
    <col min="10" max="10" width="14.33203125" style="2502" customWidth="1"/>
    <col min="11" max="11" width="16.5546875" style="2502" customWidth="1"/>
    <col min="12" max="13" width="8" style="2502" customWidth="1"/>
    <col min="14" max="14" width="36.6640625" style="2502" customWidth="1"/>
    <col min="15" max="27" width="11.88671875" style="2502" customWidth="1"/>
    <col min="28" max="16384" width="8" style="2502"/>
  </cols>
  <sheetData>
    <row r="1" spans="1:27">
      <c r="A1" s="2500" t="str">
        <f>COMPANY</f>
        <v>DUKE ENERGY KENTUCKY, INC.</v>
      </c>
      <c r="B1" s="2501"/>
      <c r="C1" s="2500"/>
      <c r="D1" s="2501"/>
      <c r="E1" s="2501"/>
      <c r="F1" s="2501"/>
      <c r="G1" s="2501"/>
      <c r="H1" s="2501"/>
      <c r="I1" s="2501"/>
      <c r="J1" s="2501"/>
      <c r="K1" s="2501"/>
      <c r="M1" s="2503"/>
      <c r="N1" s="2504"/>
      <c r="O1" s="2503"/>
      <c r="P1" s="2505"/>
      <c r="Q1" s="2505"/>
      <c r="R1" s="2505"/>
      <c r="S1" s="2506"/>
      <c r="T1" s="2505"/>
      <c r="U1" s="2505"/>
      <c r="V1" s="2505"/>
      <c r="W1" s="2505"/>
      <c r="X1" s="2505"/>
      <c r="Y1" s="2505"/>
      <c r="Z1" s="2505"/>
      <c r="AA1" s="2505"/>
    </row>
    <row r="2" spans="1:27">
      <c r="A2" s="2500" t="str">
        <f>CASE</f>
        <v>CASE NO. 2018-00261</v>
      </c>
      <c r="B2" s="2501"/>
      <c r="C2" s="2501"/>
      <c r="D2" s="2501"/>
      <c r="E2" s="2501"/>
      <c r="F2" s="2501"/>
      <c r="G2" s="2501"/>
      <c r="H2" s="2501"/>
      <c r="I2" s="2501"/>
      <c r="J2" s="2501"/>
      <c r="K2" s="2501"/>
      <c r="M2" s="2507"/>
      <c r="N2" s="2503"/>
      <c r="O2" s="2507"/>
      <c r="P2" s="2508"/>
      <c r="Q2" s="2508"/>
      <c r="R2" s="2508"/>
      <c r="S2" s="2508"/>
      <c r="T2" s="2508"/>
      <c r="U2" s="2508"/>
      <c r="V2" s="2508"/>
      <c r="W2" s="2508"/>
      <c r="X2" s="2505"/>
      <c r="Y2" s="2505"/>
      <c r="Z2" s="2505"/>
      <c r="AA2" s="2505"/>
    </row>
    <row r="3" spans="1:27">
      <c r="A3" s="2509" t="s">
        <v>505</v>
      </c>
      <c r="B3" s="2501"/>
      <c r="C3" s="2501"/>
      <c r="D3" s="2501"/>
      <c r="E3" s="2501"/>
      <c r="F3" s="2501"/>
      <c r="G3" s="2509"/>
      <c r="H3" s="2509"/>
      <c r="I3" s="2501"/>
      <c r="J3" s="2501"/>
      <c r="K3" s="2501"/>
      <c r="M3" s="2507"/>
      <c r="N3" s="2510"/>
      <c r="O3" s="2507"/>
      <c r="P3" s="2508"/>
      <c r="Q3" s="2508"/>
      <c r="R3" s="2508"/>
      <c r="S3" s="2508"/>
      <c r="T3" s="2508"/>
      <c r="U3" s="2508"/>
      <c r="V3" s="2508"/>
      <c r="W3" s="2508"/>
      <c r="X3" s="2505"/>
      <c r="Y3" s="2505"/>
      <c r="Z3" s="2505"/>
      <c r="AA3" s="2505"/>
    </row>
    <row r="4" spans="1:27">
      <c r="A4" s="2500" t="str">
        <f>PERIOD</f>
        <v>FOR THE TWELVE MONTHS ENDED NOVEMBER 30, 2018</v>
      </c>
      <c r="B4" s="2501"/>
      <c r="C4" s="2501"/>
      <c r="D4" s="2501"/>
      <c r="E4" s="2501"/>
      <c r="F4" s="2501"/>
      <c r="G4" s="2501"/>
      <c r="H4" s="2501"/>
      <c r="I4" s="2501"/>
      <c r="J4" s="2501"/>
      <c r="K4" s="2501"/>
      <c r="M4" s="2503"/>
      <c r="N4" s="2503"/>
      <c r="O4" s="2503"/>
      <c r="P4" s="2505"/>
      <c r="Q4" s="2505"/>
      <c r="R4" s="2505"/>
      <c r="S4" s="2505"/>
      <c r="T4" s="2505"/>
      <c r="U4" s="2505"/>
      <c r="V4" s="2505"/>
      <c r="W4" s="2505"/>
      <c r="X4" s="2505"/>
      <c r="Y4" s="2505"/>
      <c r="Z4" s="2505"/>
      <c r="AA4" s="2505"/>
    </row>
    <row r="6" spans="1:27">
      <c r="A6" s="2511" t="str">
        <f>Data</f>
        <v>DATA: "X" BASE PERIOD   FORECASTED PERIOD</v>
      </c>
      <c r="J6" s="2512" t="s">
        <v>275</v>
      </c>
    </row>
    <row r="7" spans="1:27">
      <c r="A7" s="2511" t="str">
        <f>Type</f>
        <v xml:space="preserve">TYPE OF FILING:  "X" ORIGINAL   UPDATED    REVISED  </v>
      </c>
      <c r="J7" s="2512" t="s">
        <v>2092</v>
      </c>
    </row>
    <row r="8" spans="1:27">
      <c r="A8" s="2512" t="s">
        <v>2574</v>
      </c>
      <c r="J8" s="2512" t="s">
        <v>566</v>
      </c>
    </row>
    <row r="9" spans="1:27">
      <c r="J9" s="2502" t="str">
        <f>_WIT1</f>
        <v>S. E. LAWLER</v>
      </c>
      <c r="K9" s="1603"/>
      <c r="R9" s="3185"/>
      <c r="S9" s="3185"/>
      <c r="T9" s="3185"/>
      <c r="U9" s="3185"/>
      <c r="V9" s="3185"/>
    </row>
    <row r="10" spans="1:27">
      <c r="A10" s="2513"/>
      <c r="B10" s="2513"/>
      <c r="C10" s="2513"/>
      <c r="D10" s="2513"/>
      <c r="E10" s="2513"/>
      <c r="F10" s="2513"/>
      <c r="G10" s="2513"/>
      <c r="H10" s="2513"/>
      <c r="I10" s="2513"/>
      <c r="J10" s="2513"/>
      <c r="K10" s="2513"/>
    </row>
    <row r="11" spans="1:27">
      <c r="C11" s="2514"/>
      <c r="D11" s="2500"/>
      <c r="E11" s="2515" t="s">
        <v>507</v>
      </c>
      <c r="F11" s="2516"/>
      <c r="G11" s="2514"/>
      <c r="H11" s="2514"/>
      <c r="I11" s="2517"/>
      <c r="J11" s="2501"/>
    </row>
    <row r="12" spans="1:27">
      <c r="A12" s="2514" t="s">
        <v>567</v>
      </c>
      <c r="D12" s="2518"/>
      <c r="E12" s="2515" t="s">
        <v>508</v>
      </c>
      <c r="F12" s="2514" t="s">
        <v>509</v>
      </c>
      <c r="G12" s="2514" t="s">
        <v>510</v>
      </c>
      <c r="H12" s="2514"/>
      <c r="I12" s="2519" t="s">
        <v>1902</v>
      </c>
      <c r="J12" s="2501"/>
      <c r="K12" s="2516"/>
    </row>
    <row r="13" spans="1:27">
      <c r="A13" s="2514" t="s">
        <v>766</v>
      </c>
      <c r="C13" s="2514" t="s">
        <v>511</v>
      </c>
      <c r="D13" s="2518"/>
      <c r="E13" s="2515" t="s">
        <v>505</v>
      </c>
      <c r="F13" s="2514" t="s">
        <v>505</v>
      </c>
      <c r="G13" s="2514" t="s">
        <v>505</v>
      </c>
      <c r="H13" s="2514" t="s">
        <v>2571</v>
      </c>
      <c r="I13" s="2519" t="s">
        <v>1906</v>
      </c>
      <c r="J13" s="2501" t="s">
        <v>1540</v>
      </c>
      <c r="K13" s="2516" t="s">
        <v>884</v>
      </c>
    </row>
    <row r="14" spans="1:27">
      <c r="A14" s="2513"/>
      <c r="B14" s="2513"/>
      <c r="C14" s="2520" t="s">
        <v>837</v>
      </c>
      <c r="D14" s="2513"/>
      <c r="E14" s="2520" t="s">
        <v>873</v>
      </c>
      <c r="F14" s="2520" t="s">
        <v>845</v>
      </c>
      <c r="G14" s="2520" t="s">
        <v>1042</v>
      </c>
      <c r="H14" s="2564" t="s">
        <v>718</v>
      </c>
      <c r="I14" s="2520" t="s">
        <v>840</v>
      </c>
      <c r="J14" s="2520" t="s">
        <v>842</v>
      </c>
      <c r="K14" s="2520" t="s">
        <v>1484</v>
      </c>
    </row>
    <row r="15" spans="1:27">
      <c r="A15" s="2521"/>
      <c r="B15" s="2521"/>
      <c r="C15" s="2522"/>
      <c r="D15" s="2521"/>
      <c r="E15" s="2522"/>
      <c r="F15" s="2522"/>
      <c r="G15" s="2522"/>
      <c r="H15" s="2522"/>
      <c r="I15" s="2522"/>
      <c r="J15" s="2522"/>
      <c r="K15" s="2522"/>
    </row>
    <row r="16" spans="1:27">
      <c r="A16" s="2515">
        <v>1</v>
      </c>
      <c r="C16" s="2523" t="s">
        <v>512</v>
      </c>
      <c r="E16" s="2524"/>
      <c r="F16" s="2525"/>
      <c r="G16" s="2525"/>
      <c r="H16" s="2525"/>
      <c r="I16" s="2526"/>
      <c r="J16" s="2527">
        <f>O51</f>
        <v>0</v>
      </c>
      <c r="K16" s="2528">
        <f>SUM(E16:J16)</f>
        <v>0</v>
      </c>
    </row>
    <row r="17" spans="1:11">
      <c r="A17" s="2515">
        <v>2</v>
      </c>
      <c r="E17" s="2529"/>
      <c r="F17" s="2530"/>
      <c r="G17" s="2530"/>
      <c r="H17" s="2530"/>
      <c r="I17" s="2531"/>
      <c r="J17" s="2527"/>
      <c r="K17" s="2528"/>
    </row>
    <row r="18" spans="1:11">
      <c r="A18" s="2515">
        <v>3</v>
      </c>
      <c r="C18" s="2523" t="s">
        <v>513</v>
      </c>
      <c r="E18" s="2529"/>
      <c r="F18" s="2530"/>
      <c r="G18" s="2530"/>
      <c r="H18" s="2530"/>
      <c r="I18" s="2531"/>
      <c r="J18" s="2527">
        <f>O53</f>
        <v>0</v>
      </c>
      <c r="K18" s="2528">
        <f>SUM(E18:J18)</f>
        <v>0</v>
      </c>
    </row>
    <row r="19" spans="1:11">
      <c r="A19" s="2515">
        <v>4</v>
      </c>
      <c r="E19" s="2527"/>
      <c r="F19" s="2527"/>
      <c r="G19" s="2527"/>
      <c r="H19" s="2527"/>
      <c r="I19" s="2532"/>
      <c r="J19" s="2527"/>
      <c r="K19" s="2528"/>
    </row>
    <row r="20" spans="1:11">
      <c r="A20" s="2515">
        <v>5</v>
      </c>
      <c r="B20" s="2512"/>
      <c r="C20" s="2523" t="s">
        <v>514</v>
      </c>
      <c r="E20" s="2533"/>
      <c r="F20" s="2534"/>
      <c r="G20" s="2533"/>
      <c r="H20" s="2533"/>
      <c r="I20" s="2535"/>
      <c r="J20" s="2527">
        <f>O55</f>
        <v>0</v>
      </c>
      <c r="K20" s="2528">
        <f>SUM(E20:J20)</f>
        <v>0</v>
      </c>
    </row>
    <row r="21" spans="1:11">
      <c r="A21" s="2515">
        <v>6</v>
      </c>
      <c r="B21" s="2512"/>
      <c r="E21" s="2533"/>
      <c r="F21" s="2534"/>
      <c r="G21" s="2533"/>
      <c r="H21" s="2533"/>
      <c r="I21" s="2535"/>
      <c r="J21" s="2527"/>
      <c r="K21" s="2528"/>
    </row>
    <row r="22" spans="1:11">
      <c r="A22" s="2515">
        <v>7</v>
      </c>
      <c r="C22" s="2523" t="s">
        <v>515</v>
      </c>
      <c r="E22" s="2527"/>
      <c r="F22" s="2527"/>
      <c r="G22" s="2527"/>
      <c r="H22" s="2527"/>
      <c r="I22" s="2532"/>
      <c r="J22" s="2527">
        <f>O57</f>
        <v>0</v>
      </c>
      <c r="K22" s="2528">
        <f>SUM(E22:J22)</f>
        <v>0</v>
      </c>
    </row>
    <row r="23" spans="1:11">
      <c r="A23" s="2515">
        <v>8</v>
      </c>
      <c r="E23" s="2527"/>
      <c r="F23" s="2527"/>
      <c r="G23" s="2527"/>
      <c r="H23" s="2527"/>
      <c r="I23" s="2532"/>
      <c r="J23" s="2527"/>
      <c r="K23" s="2528"/>
    </row>
    <row r="24" spans="1:11">
      <c r="A24" s="2515">
        <v>9</v>
      </c>
      <c r="C24" s="2523" t="s">
        <v>516</v>
      </c>
      <c r="E24" s="2527"/>
      <c r="F24" s="2527"/>
      <c r="G24" s="2527">
        <f>O60</f>
        <v>0</v>
      </c>
      <c r="H24" s="2527">
        <f>O61</f>
        <v>575</v>
      </c>
      <c r="I24" s="2532"/>
      <c r="J24" s="2527"/>
      <c r="K24" s="2528">
        <f>SUM(E24:J24)</f>
        <v>575</v>
      </c>
    </row>
    <row r="25" spans="1:11">
      <c r="A25" s="2515">
        <v>10</v>
      </c>
      <c r="E25" s="2527"/>
      <c r="F25" s="2527"/>
      <c r="G25" s="2527"/>
      <c r="H25" s="2527"/>
      <c r="I25" s="2527"/>
      <c r="J25" s="2527"/>
      <c r="K25" s="2528"/>
    </row>
    <row r="26" spans="1:11">
      <c r="A26" s="2515">
        <v>11</v>
      </c>
      <c r="C26" s="2523" t="s">
        <v>517</v>
      </c>
      <c r="E26" s="2527"/>
      <c r="F26" s="2527"/>
      <c r="G26" s="2527"/>
      <c r="H26" s="2527"/>
      <c r="I26" s="2527"/>
      <c r="J26" s="2527">
        <f>O64</f>
        <v>3032</v>
      </c>
      <c r="K26" s="2528">
        <f>SUM(E26:J26)</f>
        <v>3032</v>
      </c>
    </row>
    <row r="27" spans="1:11">
      <c r="A27" s="2515">
        <v>12</v>
      </c>
      <c r="E27" s="2527"/>
      <c r="F27" s="2527"/>
      <c r="G27" s="2527"/>
      <c r="H27" s="2527"/>
      <c r="I27" s="2527"/>
      <c r="J27" s="2527"/>
      <c r="K27" s="2528"/>
    </row>
    <row r="28" spans="1:11">
      <c r="A28" s="2515">
        <v>13</v>
      </c>
      <c r="C28" s="2523" t="s">
        <v>462</v>
      </c>
      <c r="E28" s="2527"/>
      <c r="F28" s="2527"/>
      <c r="G28" s="2527"/>
      <c r="H28" s="2527"/>
      <c r="I28" s="2527"/>
      <c r="J28" s="2527">
        <f>O66</f>
        <v>36530</v>
      </c>
      <c r="K28" s="2528">
        <f>SUM(E28:J28)</f>
        <v>36530</v>
      </c>
    </row>
    <row r="29" spans="1:11">
      <c r="A29" s="2515">
        <v>14</v>
      </c>
      <c r="E29" s="2527"/>
      <c r="F29" s="2527"/>
      <c r="G29" s="2527"/>
      <c r="H29" s="2527"/>
      <c r="I29" s="2527"/>
      <c r="J29" s="2527"/>
      <c r="K29" s="2528"/>
    </row>
    <row r="30" spans="1:11">
      <c r="A30" s="2515">
        <v>15</v>
      </c>
      <c r="C30" s="2502" t="s">
        <v>2153</v>
      </c>
      <c r="E30" s="2536">
        <f t="shared" ref="E30:K30" si="0">SUM(E16:E28)</f>
        <v>0</v>
      </c>
      <c r="F30" s="2536">
        <f t="shared" si="0"/>
        <v>0</v>
      </c>
      <c r="G30" s="2536">
        <f t="shared" si="0"/>
        <v>0</v>
      </c>
      <c r="H30" s="2536">
        <f t="shared" ref="H30" si="1">SUM(H16:H28)</f>
        <v>575</v>
      </c>
      <c r="I30" s="2536">
        <f t="shared" si="0"/>
        <v>0</v>
      </c>
      <c r="J30" s="2536">
        <f t="shared" si="0"/>
        <v>39562</v>
      </c>
      <c r="K30" s="2536">
        <f t="shared" si="0"/>
        <v>40137</v>
      </c>
    </row>
    <row r="31" spans="1:11">
      <c r="A31" s="2515">
        <v>16</v>
      </c>
      <c r="E31" s="2536"/>
      <c r="F31" s="2536"/>
      <c r="G31" s="2536"/>
      <c r="H31" s="2536"/>
      <c r="I31" s="2536"/>
      <c r="J31" s="2536"/>
      <c r="K31" s="2537"/>
    </row>
    <row r="32" spans="1:11">
      <c r="A32" s="2515">
        <v>17</v>
      </c>
      <c r="C32" s="2502" t="s">
        <v>518</v>
      </c>
      <c r="E32" s="2536"/>
      <c r="F32" s="2536"/>
      <c r="G32" s="2536"/>
      <c r="H32" s="2536"/>
      <c r="I32" s="2536"/>
      <c r="J32" s="2536"/>
      <c r="K32" s="2537"/>
    </row>
    <row r="33" spans="1:27">
      <c r="A33" s="2515">
        <v>18</v>
      </c>
      <c r="C33" s="2502" t="s">
        <v>519</v>
      </c>
      <c r="E33" s="2536">
        <f t="shared" ref="E33:J33" si="2">E30</f>
        <v>0</v>
      </c>
      <c r="F33" s="2536">
        <f t="shared" si="2"/>
        <v>0</v>
      </c>
      <c r="G33" s="2536">
        <f t="shared" si="2"/>
        <v>0</v>
      </c>
      <c r="H33" s="2536">
        <f t="shared" si="2"/>
        <v>575</v>
      </c>
      <c r="I33" s="2536">
        <f t="shared" si="2"/>
        <v>0</v>
      </c>
      <c r="J33" s="2536">
        <f t="shared" si="2"/>
        <v>39562</v>
      </c>
      <c r="K33" s="2537">
        <f>SUM(E33:J33)</f>
        <v>40137</v>
      </c>
    </row>
    <row r="34" spans="1:27">
      <c r="E34" s="2524"/>
      <c r="F34" s="2524"/>
      <c r="G34" s="2524"/>
      <c r="H34" s="2524"/>
      <c r="I34" s="2524"/>
      <c r="J34" s="2524"/>
      <c r="K34" s="2524"/>
    </row>
    <row r="35" spans="1:27">
      <c r="E35" s="2524"/>
      <c r="F35" s="2524"/>
      <c r="G35" s="2524"/>
      <c r="H35" s="2524"/>
      <c r="I35" s="2524"/>
      <c r="J35" s="2524"/>
      <c r="K35" s="2524"/>
    </row>
    <row r="36" spans="1:27">
      <c r="E36" s="2524"/>
      <c r="F36" s="2524"/>
      <c r="G36" s="2524"/>
      <c r="H36" s="2524"/>
      <c r="I36" s="2524"/>
      <c r="J36" s="2524"/>
      <c r="K36" s="2524"/>
    </row>
    <row r="37" spans="1:27">
      <c r="M37" s="2539" t="str">
        <f>COMPANY</f>
        <v>DUKE ENERGY KENTUCKY, INC.</v>
      </c>
      <c r="N37" s="2540"/>
      <c r="O37" s="2540"/>
      <c r="P37" s="2540"/>
      <c r="Q37" s="2540"/>
      <c r="R37" s="2541"/>
      <c r="S37" s="2540"/>
      <c r="T37" s="2540"/>
      <c r="U37" s="2503"/>
      <c r="V37" s="2540"/>
      <c r="W37" s="2540"/>
      <c r="X37" s="2503"/>
      <c r="Y37" s="2539" t="s">
        <v>415</v>
      </c>
      <c r="Z37" s="2503"/>
      <c r="AA37" s="2503"/>
    </row>
    <row r="38" spans="1:27">
      <c r="M38" s="2539" t="str">
        <f>CASE</f>
        <v>CASE NO. 2018-00261</v>
      </c>
      <c r="N38" s="2540"/>
      <c r="O38" s="2540"/>
      <c r="P38" s="2540"/>
      <c r="Q38" s="2540"/>
      <c r="R38" s="2541"/>
      <c r="S38" s="2540"/>
      <c r="T38" s="2540"/>
      <c r="U38" s="2503"/>
      <c r="V38" s="2540"/>
      <c r="W38" s="2540"/>
      <c r="X38" s="2503"/>
      <c r="Y38" s="2539" t="s">
        <v>566</v>
      </c>
      <c r="Z38" s="2503"/>
      <c r="AA38" s="2503"/>
    </row>
    <row r="39" spans="1:27">
      <c r="M39" s="2542" t="str">
        <f>A71</f>
        <v>ADVERTISING</v>
      </c>
      <c r="N39" s="2540"/>
      <c r="O39" s="2540"/>
      <c r="P39" s="2540"/>
      <c r="Q39" s="2540"/>
      <c r="R39" s="2541"/>
      <c r="S39" s="2540"/>
      <c r="T39" s="2540"/>
      <c r="U39" s="2503"/>
      <c r="V39" s="2540"/>
      <c r="W39" s="2540"/>
      <c r="X39" s="2503"/>
      <c r="Y39" s="2539" t="str">
        <f>_WIT1</f>
        <v>S. E. LAWLER</v>
      </c>
      <c r="Z39" s="2503"/>
      <c r="AA39" s="2503"/>
    </row>
    <row r="40" spans="1:27">
      <c r="M40" s="2543" t="str">
        <f>Data</f>
        <v>DATA: "X" BASE PERIOD   FORECASTED PERIOD</v>
      </c>
      <c r="N40" s="2540"/>
      <c r="O40" s="2540"/>
      <c r="P40" s="2540"/>
      <c r="Q40" s="2540"/>
      <c r="R40" s="2541"/>
      <c r="S40" s="2540"/>
      <c r="T40" s="2540"/>
      <c r="U40" s="2503"/>
      <c r="V40" s="2540"/>
      <c r="W40" s="2540"/>
      <c r="X40" s="2503"/>
      <c r="Y40" s="2503"/>
      <c r="Z40" s="2503"/>
      <c r="AA40" s="2503"/>
    </row>
    <row r="41" spans="1:27">
      <c r="M41" s="2539" t="str">
        <f>PERIOD</f>
        <v>FOR THE TWELVE MONTHS ENDED NOVEMBER 30, 2018</v>
      </c>
      <c r="N41" s="2540"/>
      <c r="O41" s="2540"/>
      <c r="P41" s="2540"/>
      <c r="Q41" s="2540"/>
      <c r="R41" s="2540"/>
      <c r="S41" s="2540"/>
      <c r="T41" s="2540"/>
      <c r="U41" s="2540"/>
      <c r="V41" s="2540"/>
      <c r="W41" s="2540"/>
      <c r="X41" s="2503"/>
      <c r="Y41" s="2503"/>
      <c r="Z41" s="2503"/>
      <c r="AA41" s="2503"/>
    </row>
    <row r="42" spans="1:27">
      <c r="M42" s="2503"/>
      <c r="N42" s="2503"/>
      <c r="O42" s="2503"/>
      <c r="P42" s="2503"/>
      <c r="Q42" s="2503"/>
      <c r="R42" s="2503"/>
      <c r="S42" s="2503"/>
      <c r="T42" s="2503"/>
      <c r="U42" s="2503"/>
      <c r="V42" s="2503"/>
      <c r="W42" s="2503"/>
      <c r="X42" s="2503"/>
      <c r="Y42" s="2503"/>
      <c r="Z42" s="2503"/>
      <c r="AA42" s="2503"/>
    </row>
    <row r="43" spans="1:27">
      <c r="M43" s="2503"/>
      <c r="N43" s="2503"/>
      <c r="O43" s="2503"/>
      <c r="P43" s="2503"/>
      <c r="Q43" s="2503"/>
      <c r="R43" s="2503"/>
      <c r="S43" s="2503"/>
      <c r="T43" s="2503"/>
      <c r="U43" s="2539"/>
      <c r="V43" s="2503"/>
      <c r="W43" s="2503"/>
      <c r="X43" s="2503"/>
      <c r="Y43" s="2503"/>
      <c r="Z43" s="2503"/>
      <c r="AA43" s="2503"/>
    </row>
    <row r="44" spans="1:27">
      <c r="M44" s="2544"/>
      <c r="N44" s="2544"/>
      <c r="O44" s="2544"/>
      <c r="P44" s="2544"/>
      <c r="Q44" s="2544"/>
      <c r="R44" s="2544"/>
      <c r="S44" s="2544"/>
      <c r="T44" s="2544"/>
      <c r="U44" s="2544"/>
      <c r="V44" s="2544"/>
      <c r="W44" s="2544"/>
      <c r="X44" s="2544"/>
      <c r="Y44" s="2544"/>
      <c r="Z44" s="2544"/>
      <c r="AA44" s="2544"/>
    </row>
    <row r="45" spans="1:27">
      <c r="M45" s="2503"/>
      <c r="N45" s="2545"/>
      <c r="O45" s="2546"/>
      <c r="P45" s="2546"/>
      <c r="Q45" s="2546"/>
      <c r="R45" s="2545"/>
      <c r="S45" s="2545"/>
      <c r="T45" s="2503"/>
      <c r="U45" s="2503"/>
      <c r="V45" s="2503"/>
      <c r="W45" s="2503"/>
      <c r="X45" s="2503"/>
      <c r="Y45" s="2503"/>
      <c r="Z45" s="2503"/>
      <c r="AA45" s="2503"/>
    </row>
    <row r="46" spans="1:27">
      <c r="M46" s="2545" t="s">
        <v>1938</v>
      </c>
      <c r="N46" s="2545"/>
      <c r="O46" s="2547"/>
      <c r="P46" s="2547"/>
      <c r="Q46" s="2547"/>
      <c r="R46" s="2545"/>
      <c r="S46" s="2545"/>
      <c r="T46" s="2545"/>
      <c r="U46" s="2545"/>
      <c r="V46" s="2545"/>
      <c r="W46" s="2545"/>
      <c r="X46" s="2545"/>
      <c r="Y46" s="2545"/>
      <c r="Z46" s="2545"/>
      <c r="AA46" s="2545"/>
    </row>
    <row r="47" spans="1:27">
      <c r="M47" s="2545" t="s">
        <v>1939</v>
      </c>
      <c r="N47" s="2545" t="s">
        <v>414</v>
      </c>
      <c r="O47" s="2545" t="s">
        <v>2153</v>
      </c>
      <c r="P47" s="2548">
        <f>LOGO!$I$7</f>
        <v>43100</v>
      </c>
      <c r="Q47" s="2548">
        <f>LOGO!$I$8</f>
        <v>43131</v>
      </c>
      <c r="R47" s="2548">
        <f>LOGO!$I$9</f>
        <v>43159</v>
      </c>
      <c r="S47" s="2548">
        <f>LOGO!$I$10</f>
        <v>43190</v>
      </c>
      <c r="T47" s="2548">
        <f>LOGO!$I$11</f>
        <v>43220</v>
      </c>
      <c r="U47" s="2548">
        <f>LOGO!$I$12</f>
        <v>43251</v>
      </c>
      <c r="V47" s="2548">
        <f>LOGO!$I$13</f>
        <v>43281</v>
      </c>
      <c r="W47" s="2548">
        <f>LOGO!$I$14</f>
        <v>43312</v>
      </c>
      <c r="X47" s="2548">
        <f>LOGO!$I$15</f>
        <v>43343</v>
      </c>
      <c r="Y47" s="2548">
        <f>LOGO!$I$16</f>
        <v>43373</v>
      </c>
      <c r="Z47" s="2548">
        <f>LOGO!$I$17</f>
        <v>43404</v>
      </c>
      <c r="AA47" s="2548">
        <f>LOGO!$I$18</f>
        <v>43434</v>
      </c>
    </row>
    <row r="48" spans="1:27">
      <c r="M48" s="2544"/>
      <c r="N48" s="2544"/>
      <c r="O48" s="2544"/>
      <c r="P48" s="2544"/>
      <c r="Q48" s="2544"/>
      <c r="R48" s="2544"/>
      <c r="S48" s="2544"/>
      <c r="T48" s="2544"/>
      <c r="U48" s="2544"/>
      <c r="V48" s="2544"/>
      <c r="W48" s="2544"/>
      <c r="X48" s="2544"/>
      <c r="Y48" s="2544"/>
      <c r="Z48" s="2544"/>
      <c r="AA48" s="2544"/>
    </row>
    <row r="49" spans="13:27">
      <c r="M49" s="2503"/>
      <c r="N49" s="2503"/>
      <c r="O49" s="2545" t="s">
        <v>1134</v>
      </c>
      <c r="P49" s="2545" t="s">
        <v>1134</v>
      </c>
      <c r="Q49" s="2545" t="s">
        <v>1134</v>
      </c>
      <c r="R49" s="2545" t="s">
        <v>1134</v>
      </c>
      <c r="S49" s="2545" t="s">
        <v>1134</v>
      </c>
      <c r="T49" s="2545" t="s">
        <v>1134</v>
      </c>
      <c r="U49" s="2545" t="s">
        <v>1134</v>
      </c>
      <c r="V49" s="2545" t="s">
        <v>1134</v>
      </c>
      <c r="W49" s="2545" t="s">
        <v>1134</v>
      </c>
      <c r="X49" s="2545" t="s">
        <v>1134</v>
      </c>
      <c r="Y49" s="2545" t="s">
        <v>1134</v>
      </c>
      <c r="Z49" s="2545" t="s">
        <v>1134</v>
      </c>
      <c r="AA49" s="2545" t="s">
        <v>1134</v>
      </c>
    </row>
    <row r="50" spans="13:27">
      <c r="M50" s="2549"/>
      <c r="N50" s="2550"/>
      <c r="O50" s="2503"/>
      <c r="P50" s="2503"/>
      <c r="Q50" s="2503"/>
      <c r="R50" s="2507"/>
      <c r="S50" s="2507"/>
      <c r="T50" s="2507"/>
      <c r="U50" s="2507"/>
      <c r="V50" s="2503"/>
      <c r="W50" s="2503"/>
      <c r="X50" s="2503"/>
      <c r="Y50" s="2503"/>
      <c r="Z50" s="2503"/>
      <c r="AA50" s="2503"/>
    </row>
    <row r="51" spans="13:27">
      <c r="M51" s="2549">
        <v>1</v>
      </c>
      <c r="N51" s="2523" t="s">
        <v>512</v>
      </c>
      <c r="O51" s="2551">
        <f>SUM(P51:AA51)</f>
        <v>0</v>
      </c>
      <c r="P51" s="2552">
        <v>0</v>
      </c>
      <c r="Q51" s="2552">
        <v>0</v>
      </c>
      <c r="R51" s="2552">
        <v>0</v>
      </c>
      <c r="S51" s="2552">
        <v>0</v>
      </c>
      <c r="T51" s="2552">
        <v>0</v>
      </c>
      <c r="U51" s="2552">
        <v>0</v>
      </c>
      <c r="V51" s="2552">
        <v>0</v>
      </c>
      <c r="W51" s="2552">
        <v>0</v>
      </c>
      <c r="X51" s="2552">
        <v>0</v>
      </c>
      <c r="Y51" s="2552">
        <v>0</v>
      </c>
      <c r="Z51" s="2552">
        <v>0</v>
      </c>
      <c r="AA51" s="2552">
        <v>0</v>
      </c>
    </row>
    <row r="52" spans="13:27">
      <c r="M52" s="2545">
        <v>2</v>
      </c>
      <c r="O52" s="2551"/>
      <c r="P52" s="2552"/>
      <c r="Q52" s="2552"/>
      <c r="R52" s="2552"/>
      <c r="S52" s="2552"/>
      <c r="T52" s="2552"/>
      <c r="U52" s="2552"/>
      <c r="V52" s="2552"/>
      <c r="W52" s="2552"/>
      <c r="X52" s="2552"/>
      <c r="Y52" s="2552"/>
      <c r="Z52" s="2552"/>
      <c r="AA52" s="2552"/>
    </row>
    <row r="53" spans="13:27">
      <c r="M53" s="2549">
        <v>3</v>
      </c>
      <c r="N53" s="2523" t="s">
        <v>513</v>
      </c>
      <c r="O53" s="2551">
        <f>SUM(P53:AA53)</f>
        <v>0</v>
      </c>
      <c r="P53" s="2552">
        <v>0</v>
      </c>
      <c r="Q53" s="2552">
        <v>0</v>
      </c>
      <c r="R53" s="2552">
        <v>0</v>
      </c>
      <c r="S53" s="2552">
        <v>0</v>
      </c>
      <c r="T53" s="2552">
        <v>0</v>
      </c>
      <c r="U53" s="2552">
        <v>0</v>
      </c>
      <c r="V53" s="2552">
        <v>0</v>
      </c>
      <c r="W53" s="2552">
        <v>0</v>
      </c>
      <c r="X53" s="2552">
        <v>0</v>
      </c>
      <c r="Y53" s="2552">
        <v>0</v>
      </c>
      <c r="Z53" s="2552">
        <v>0</v>
      </c>
      <c r="AA53" s="2552">
        <v>0</v>
      </c>
    </row>
    <row r="54" spans="13:27">
      <c r="M54" s="2549">
        <v>4</v>
      </c>
      <c r="O54" s="2551"/>
      <c r="P54" s="2552"/>
      <c r="Q54" s="2552"/>
      <c r="R54" s="2552"/>
      <c r="S54" s="2552"/>
      <c r="T54" s="2552"/>
      <c r="U54" s="2552"/>
      <c r="V54" s="2552"/>
      <c r="W54" s="2552"/>
      <c r="X54" s="2552"/>
      <c r="Y54" s="2552"/>
      <c r="Z54" s="2552"/>
      <c r="AA54" s="2552"/>
    </row>
    <row r="55" spans="13:27">
      <c r="M55" s="2549">
        <v>5</v>
      </c>
      <c r="N55" s="2523" t="s">
        <v>514</v>
      </c>
      <c r="O55" s="2551">
        <f>SUM(P55:AA55)</f>
        <v>0</v>
      </c>
      <c r="P55" s="2552">
        <v>0</v>
      </c>
      <c r="Q55" s="2552">
        <v>0</v>
      </c>
      <c r="R55" s="2552">
        <v>0</v>
      </c>
      <c r="S55" s="2552">
        <v>0</v>
      </c>
      <c r="T55" s="2552">
        <v>0</v>
      </c>
      <c r="U55" s="2552">
        <v>0</v>
      </c>
      <c r="V55" s="2552">
        <v>0</v>
      </c>
      <c r="W55" s="2552">
        <v>0</v>
      </c>
      <c r="X55" s="2552">
        <v>0</v>
      </c>
      <c r="Y55" s="2552">
        <v>0</v>
      </c>
      <c r="Z55" s="2552">
        <v>0</v>
      </c>
      <c r="AA55" s="2552">
        <v>0</v>
      </c>
    </row>
    <row r="56" spans="13:27">
      <c r="M56" s="2545">
        <v>6</v>
      </c>
      <c r="O56" s="2551"/>
      <c r="P56" s="2552"/>
      <c r="Q56" s="2552"/>
      <c r="R56" s="2552"/>
      <c r="S56" s="2552"/>
      <c r="T56" s="2552"/>
      <c r="U56" s="2552"/>
      <c r="V56" s="2552"/>
      <c r="W56" s="2552"/>
      <c r="X56" s="2552"/>
      <c r="Y56" s="2552"/>
      <c r="Z56" s="2552"/>
      <c r="AA56" s="2552"/>
    </row>
    <row r="57" spans="13:27">
      <c r="M57" s="2549">
        <v>7</v>
      </c>
      <c r="N57" s="2523" t="s">
        <v>515</v>
      </c>
      <c r="O57" s="2551">
        <f>SUM(P57:AA57)</f>
        <v>0</v>
      </c>
      <c r="P57" s="3561">
        <v>0</v>
      </c>
      <c r="Q57" s="3561">
        <v>0</v>
      </c>
      <c r="R57" s="3561">
        <v>0</v>
      </c>
      <c r="S57" s="3561">
        <v>0</v>
      </c>
      <c r="T57" s="3561">
        <v>0</v>
      </c>
      <c r="U57" s="3561">
        <v>0</v>
      </c>
      <c r="V57" s="3561">
        <v>0</v>
      </c>
      <c r="W57" s="3561">
        <v>0</v>
      </c>
      <c r="X57" s="3561">
        <v>0</v>
      </c>
      <c r="Y57" s="3561">
        <v>0</v>
      </c>
      <c r="Z57" s="3561">
        <v>0</v>
      </c>
      <c r="AA57" s="3561">
        <v>0</v>
      </c>
    </row>
    <row r="58" spans="13:27">
      <c r="M58" s="2549">
        <v>8</v>
      </c>
      <c r="P58" s="2527"/>
      <c r="Q58" s="2527"/>
      <c r="R58" s="2527"/>
      <c r="S58" s="2527"/>
      <c r="T58" s="2527"/>
      <c r="U58" s="2527"/>
      <c r="V58" s="2527"/>
      <c r="W58" s="2527"/>
      <c r="X58" s="2527"/>
      <c r="Y58" s="2527"/>
      <c r="Z58" s="2527"/>
      <c r="AA58" s="2527"/>
    </row>
    <row r="59" spans="13:27">
      <c r="M59" s="2549">
        <v>9</v>
      </c>
      <c r="N59" s="2523" t="s">
        <v>516</v>
      </c>
      <c r="O59" s="2554"/>
      <c r="P59" s="2555"/>
      <c r="Q59" s="2555"/>
      <c r="R59" s="2555"/>
      <c r="S59" s="2555"/>
      <c r="T59" s="2555"/>
      <c r="U59" s="2555"/>
      <c r="V59" s="2555"/>
      <c r="W59" s="2555"/>
      <c r="X59" s="2555"/>
      <c r="Y59" s="2555"/>
      <c r="Z59" s="2555"/>
      <c r="AA59" s="2555"/>
    </row>
    <row r="60" spans="13:27">
      <c r="M60" s="2545">
        <v>10</v>
      </c>
      <c r="N60" s="2502" t="s">
        <v>2572</v>
      </c>
      <c r="O60" s="2551">
        <f t="shared" ref="O60:O61" si="3">SUM(P60:AA60)</f>
        <v>0</v>
      </c>
      <c r="P60" s="3562">
        <v>0</v>
      </c>
      <c r="Q60" s="3562">
        <v>0</v>
      </c>
      <c r="R60" s="3562">
        <v>0</v>
      </c>
      <c r="S60" s="3562">
        <v>0</v>
      </c>
      <c r="T60" s="3562">
        <v>0</v>
      </c>
      <c r="U60" s="3562">
        <v>0</v>
      </c>
      <c r="V60" s="3562">
        <v>0</v>
      </c>
      <c r="W60" s="3562">
        <v>0</v>
      </c>
      <c r="X60" s="3562">
        <v>0</v>
      </c>
      <c r="Y60" s="3562">
        <v>0</v>
      </c>
      <c r="Z60" s="3562">
        <v>0</v>
      </c>
      <c r="AA60" s="3562">
        <v>0</v>
      </c>
    </row>
    <row r="61" spans="13:27">
      <c r="M61" s="2549">
        <v>11</v>
      </c>
      <c r="N61" s="2502" t="s">
        <v>2573</v>
      </c>
      <c r="O61" s="2551">
        <f t="shared" si="3"/>
        <v>575</v>
      </c>
      <c r="P61" s="2552">
        <v>0</v>
      </c>
      <c r="Q61" s="2552">
        <v>437</v>
      </c>
      <c r="R61" s="2552">
        <v>138</v>
      </c>
      <c r="S61" s="2552">
        <v>0</v>
      </c>
      <c r="T61" s="3562">
        <v>0</v>
      </c>
      <c r="U61" s="3562">
        <v>0</v>
      </c>
      <c r="V61" s="3562">
        <v>0</v>
      </c>
      <c r="W61" s="3562">
        <v>0</v>
      </c>
      <c r="X61" s="3562">
        <v>0</v>
      </c>
      <c r="Y61" s="3562">
        <v>0</v>
      </c>
      <c r="Z61" s="3562">
        <v>0</v>
      </c>
      <c r="AA61" s="3562">
        <v>0</v>
      </c>
    </row>
    <row r="62" spans="13:27">
      <c r="M62" s="2549">
        <v>12</v>
      </c>
      <c r="O62" s="2553">
        <f>SUM(O60:O61)</f>
        <v>575</v>
      </c>
      <c r="P62" s="2553">
        <f t="shared" ref="P62:AA62" si="4">SUM(P60:P61)</f>
        <v>0</v>
      </c>
      <c r="Q62" s="2553">
        <f t="shared" si="4"/>
        <v>437</v>
      </c>
      <c r="R62" s="2553">
        <f t="shared" si="4"/>
        <v>138</v>
      </c>
      <c r="S62" s="2553">
        <f t="shared" si="4"/>
        <v>0</v>
      </c>
      <c r="T62" s="2553">
        <f t="shared" si="4"/>
        <v>0</v>
      </c>
      <c r="U62" s="2553">
        <f t="shared" si="4"/>
        <v>0</v>
      </c>
      <c r="V62" s="2553">
        <f t="shared" si="4"/>
        <v>0</v>
      </c>
      <c r="W62" s="2553">
        <f t="shared" si="4"/>
        <v>0</v>
      </c>
      <c r="X62" s="2553">
        <f t="shared" si="4"/>
        <v>0</v>
      </c>
      <c r="Y62" s="2553">
        <f t="shared" si="4"/>
        <v>0</v>
      </c>
      <c r="Z62" s="2553">
        <f t="shared" si="4"/>
        <v>0</v>
      </c>
      <c r="AA62" s="2553">
        <f t="shared" si="4"/>
        <v>0</v>
      </c>
    </row>
    <row r="63" spans="13:27">
      <c r="M63" s="2549">
        <v>13</v>
      </c>
      <c r="O63" s="2554"/>
      <c r="P63" s="2555"/>
      <c r="Q63" s="2555"/>
      <c r="R63" s="2555"/>
      <c r="S63" s="2555"/>
      <c r="T63" s="2555"/>
      <c r="U63" s="2555"/>
      <c r="V63" s="2555"/>
      <c r="W63" s="2555"/>
      <c r="X63" s="2555"/>
      <c r="Y63" s="2555"/>
      <c r="Z63" s="2555"/>
      <c r="AA63" s="2555"/>
    </row>
    <row r="64" spans="13:27">
      <c r="M64" s="2545">
        <v>14</v>
      </c>
      <c r="N64" s="2523" t="s">
        <v>517</v>
      </c>
      <c r="O64" s="2551">
        <f>SUM(P64:AA64)</f>
        <v>3032</v>
      </c>
      <c r="P64" s="2552">
        <v>1453</v>
      </c>
      <c r="Q64" s="2552">
        <v>0</v>
      </c>
      <c r="R64" s="2552">
        <v>182</v>
      </c>
      <c r="S64" s="2552">
        <v>1028</v>
      </c>
      <c r="T64" s="2552">
        <v>-17</v>
      </c>
      <c r="U64" s="2552">
        <v>386</v>
      </c>
      <c r="V64" s="2552">
        <v>0</v>
      </c>
      <c r="W64" s="2552">
        <v>0</v>
      </c>
      <c r="X64" s="2552">
        <v>0</v>
      </c>
      <c r="Y64" s="2552">
        <v>0</v>
      </c>
      <c r="Z64" s="2552">
        <v>0</v>
      </c>
      <c r="AA64" s="2552">
        <v>0</v>
      </c>
    </row>
    <row r="65" spans="1:27">
      <c r="M65" s="2549">
        <v>15</v>
      </c>
      <c r="N65" s="2523"/>
      <c r="O65" s="2551"/>
      <c r="P65" s="2552"/>
      <c r="Q65" s="2552"/>
      <c r="R65" s="2552"/>
      <c r="S65" s="2552"/>
      <c r="T65" s="2552"/>
      <c r="U65" s="2552"/>
      <c r="V65" s="2552"/>
      <c r="W65" s="2552"/>
      <c r="X65" s="2552"/>
      <c r="Y65" s="2552"/>
      <c r="Z65" s="2552"/>
      <c r="AA65" s="2552"/>
    </row>
    <row r="66" spans="1:27">
      <c r="M66" s="2549">
        <v>16</v>
      </c>
      <c r="N66" s="2523" t="s">
        <v>462</v>
      </c>
      <c r="O66" s="2551">
        <f>SUM(P66:AA66)</f>
        <v>36530</v>
      </c>
      <c r="P66" s="2552">
        <v>2797</v>
      </c>
      <c r="Q66" s="2552">
        <v>-814</v>
      </c>
      <c r="R66" s="2552">
        <v>802</v>
      </c>
      <c r="S66" s="2552">
        <v>8373</v>
      </c>
      <c r="T66" s="2552">
        <v>3318</v>
      </c>
      <c r="U66" s="2552">
        <v>3258</v>
      </c>
      <c r="V66" s="2552">
        <v>3184</v>
      </c>
      <c r="W66" s="2552">
        <v>3107</v>
      </c>
      <c r="X66" s="2552">
        <v>3107</v>
      </c>
      <c r="Y66" s="2552">
        <v>3184</v>
      </c>
      <c r="Z66" s="2552">
        <v>3107</v>
      </c>
      <c r="AA66" s="2552">
        <v>3107</v>
      </c>
    </row>
    <row r="67" spans="1:27">
      <c r="M67" s="2549">
        <v>17</v>
      </c>
      <c r="O67" s="2556"/>
      <c r="P67" s="2557"/>
      <c r="Q67" s="2552"/>
      <c r="R67" s="2554"/>
      <c r="S67" s="2558"/>
      <c r="T67" s="2559"/>
      <c r="U67" s="2557"/>
      <c r="V67" s="2560"/>
      <c r="W67" s="2561"/>
      <c r="X67" s="2505"/>
      <c r="Y67" s="2505"/>
      <c r="Z67" s="2505"/>
      <c r="AA67" s="2505"/>
    </row>
    <row r="68" spans="1:27" ht="13.8" thickBot="1">
      <c r="M68" s="2549">
        <v>18</v>
      </c>
      <c r="N68" s="2504" t="s">
        <v>411</v>
      </c>
      <c r="O68" s="2562">
        <f t="shared" ref="O68:AA68" si="5">O51+O53+O55+O57+O62+O64+O66</f>
        <v>40137</v>
      </c>
      <c r="P68" s="2562">
        <f t="shared" si="5"/>
        <v>4250</v>
      </c>
      <c r="Q68" s="2562">
        <f t="shared" si="5"/>
        <v>-377</v>
      </c>
      <c r="R68" s="2562">
        <f t="shared" si="5"/>
        <v>1122</v>
      </c>
      <c r="S68" s="2562">
        <f t="shared" si="5"/>
        <v>9401</v>
      </c>
      <c r="T68" s="2562">
        <f t="shared" si="5"/>
        <v>3301</v>
      </c>
      <c r="U68" s="2562">
        <f t="shared" si="5"/>
        <v>3644</v>
      </c>
      <c r="V68" s="2562">
        <f t="shared" si="5"/>
        <v>3184</v>
      </c>
      <c r="W68" s="2562">
        <f t="shared" si="5"/>
        <v>3107</v>
      </c>
      <c r="X68" s="2562">
        <f t="shared" si="5"/>
        <v>3107</v>
      </c>
      <c r="Y68" s="2562">
        <f t="shared" si="5"/>
        <v>3184</v>
      </c>
      <c r="Z68" s="2562">
        <f t="shared" si="5"/>
        <v>3107</v>
      </c>
      <c r="AA68" s="2562">
        <f t="shared" si="5"/>
        <v>3107</v>
      </c>
    </row>
    <row r="69" spans="1:27" ht="13.8" thickTop="1">
      <c r="A69" s="2500" t="str">
        <f>COMPANY</f>
        <v>DUKE ENERGY KENTUCKY, INC.</v>
      </c>
      <c r="B69" s="2501"/>
      <c r="C69" s="2500"/>
      <c r="D69" s="2501"/>
      <c r="E69" s="2501"/>
      <c r="F69" s="2501"/>
      <c r="G69" s="2501"/>
      <c r="H69" s="2501"/>
      <c r="I69" s="2501"/>
      <c r="J69" s="2501"/>
      <c r="K69" s="2501"/>
      <c r="M69" s="2503"/>
      <c r="N69" s="2504"/>
      <c r="O69" s="2503"/>
      <c r="P69" s="2505"/>
      <c r="Q69" s="2505"/>
      <c r="R69" s="2505"/>
      <c r="S69" s="2506"/>
      <c r="T69" s="2505"/>
      <c r="U69" s="2505"/>
      <c r="V69" s="2505"/>
      <c r="W69" s="2505"/>
      <c r="X69" s="2505"/>
      <c r="Y69" s="2505"/>
      <c r="Z69" s="2505"/>
      <c r="AA69" s="2505"/>
    </row>
    <row r="70" spans="1:27">
      <c r="A70" s="2500" t="str">
        <f>CASE</f>
        <v>CASE NO. 2018-00261</v>
      </c>
      <c r="B70" s="2501"/>
      <c r="C70" s="2501"/>
      <c r="D70" s="2501"/>
      <c r="E70" s="2501"/>
      <c r="F70" s="2501"/>
      <c r="G70" s="2501"/>
      <c r="H70" s="2501"/>
      <c r="I70" s="2501"/>
      <c r="J70" s="2501"/>
      <c r="K70" s="2501"/>
      <c r="O70" s="2551">
        <f>SUM(P70:AA70)</f>
        <v>40138</v>
      </c>
      <c r="P70" s="2527">
        <f>'BASE PERIOD'!F129+'BASE PERIOD'!F134+'BASE PERIOD'!F165</f>
        <v>4251</v>
      </c>
      <c r="Q70" s="2527">
        <f>'BASE PERIOD'!G129+'BASE PERIOD'!G134+'BASE PERIOD'!G165</f>
        <v>-377</v>
      </c>
      <c r="R70" s="2527">
        <f>'BASE PERIOD'!H129+'BASE PERIOD'!H134+'BASE PERIOD'!H165</f>
        <v>1122</v>
      </c>
      <c r="S70" s="2527">
        <f>'BASE PERIOD'!I129+'BASE PERIOD'!I134+'BASE PERIOD'!I165</f>
        <v>9402</v>
      </c>
      <c r="T70" s="2527">
        <f>'BASE PERIOD'!J129+'BASE PERIOD'!J134+'BASE PERIOD'!J165</f>
        <v>3301</v>
      </c>
      <c r="U70" s="2527">
        <f>'BASE PERIOD'!K129+'BASE PERIOD'!K134+'BASE PERIOD'!K165</f>
        <v>3643</v>
      </c>
      <c r="V70" s="2527">
        <f>'BASE PERIOD'!L129+'BASE PERIOD'!L134+'BASE PERIOD'!L165</f>
        <v>3184</v>
      </c>
      <c r="W70" s="2527">
        <f>'BASE PERIOD'!M129+'BASE PERIOD'!M134+'BASE PERIOD'!M165</f>
        <v>3107</v>
      </c>
      <c r="X70" s="2527">
        <f>'BASE PERIOD'!N129+'BASE PERIOD'!N134+'BASE PERIOD'!N165</f>
        <v>3107</v>
      </c>
      <c r="Y70" s="2527">
        <f>'BASE PERIOD'!O129+'BASE PERIOD'!O134+'BASE PERIOD'!O165</f>
        <v>3184</v>
      </c>
      <c r="Z70" s="2527">
        <f>'BASE PERIOD'!P129+'BASE PERIOD'!P134+'BASE PERIOD'!P165</f>
        <v>3107</v>
      </c>
      <c r="AA70" s="2527">
        <f>'BASE PERIOD'!Q129+'BASE PERIOD'!Q134+'BASE PERIOD'!Q165</f>
        <v>3107</v>
      </c>
    </row>
    <row r="71" spans="1:27">
      <c r="A71" s="2509" t="s">
        <v>505</v>
      </c>
      <c r="B71" s="2501"/>
      <c r="C71" s="2501"/>
      <c r="D71" s="2501"/>
      <c r="E71" s="2501"/>
      <c r="F71" s="2501"/>
      <c r="G71" s="2509"/>
      <c r="H71" s="2509"/>
      <c r="I71" s="2501"/>
      <c r="J71" s="2501"/>
      <c r="K71" s="2501"/>
      <c r="O71" s="2551">
        <f>SUM(P71:AA71)</f>
        <v>1</v>
      </c>
      <c r="P71" s="2527">
        <f>P70-P68</f>
        <v>1</v>
      </c>
      <c r="Q71" s="2527">
        <f t="shared" ref="Q71:AA71" si="6">Q70-Q68</f>
        <v>0</v>
      </c>
      <c r="R71" s="2527">
        <f t="shared" si="6"/>
        <v>0</v>
      </c>
      <c r="S71" s="2527">
        <f t="shared" si="6"/>
        <v>1</v>
      </c>
      <c r="T71" s="2527">
        <f t="shared" si="6"/>
        <v>0</v>
      </c>
      <c r="U71" s="2527">
        <f t="shared" si="6"/>
        <v>-1</v>
      </c>
      <c r="V71" s="2527">
        <f t="shared" si="6"/>
        <v>0</v>
      </c>
      <c r="W71" s="2527">
        <f t="shared" si="6"/>
        <v>0</v>
      </c>
      <c r="X71" s="2527">
        <f t="shared" si="6"/>
        <v>0</v>
      </c>
      <c r="Y71" s="2527">
        <f t="shared" si="6"/>
        <v>0</v>
      </c>
      <c r="Z71" s="2527">
        <f t="shared" si="6"/>
        <v>0</v>
      </c>
      <c r="AA71" s="2527">
        <f t="shared" si="6"/>
        <v>0</v>
      </c>
    </row>
    <row r="72" spans="1:27">
      <c r="A72" s="2500" t="str">
        <f>PeriodF</f>
        <v>FOR THE TWELVE MONTHS ENDED MARCH 31, 2020</v>
      </c>
      <c r="B72" s="2501"/>
      <c r="C72" s="2501"/>
      <c r="D72" s="2501"/>
      <c r="E72" s="2501"/>
      <c r="F72" s="2501"/>
      <c r="G72" s="2501"/>
      <c r="H72" s="2501"/>
      <c r="I72" s="2501"/>
      <c r="J72" s="2501"/>
      <c r="K72" s="2501"/>
    </row>
    <row r="74" spans="1:27">
      <c r="A74" s="2511" t="str">
        <f>DataF</f>
        <v>DATA:  BASE PERIOD  "X" FORECASTED PERIOD</v>
      </c>
      <c r="J74" s="2512" t="s">
        <v>275</v>
      </c>
    </row>
    <row r="75" spans="1:27">
      <c r="A75" s="2511" t="str">
        <f>Type</f>
        <v xml:space="preserve">TYPE OF FILING:  "X" ORIGINAL   UPDATED    REVISED  </v>
      </c>
      <c r="J75" s="2512" t="s">
        <v>762</v>
      </c>
    </row>
    <row r="76" spans="1:27">
      <c r="A76" s="2512" t="str">
        <f>A8</f>
        <v>WORK PAPER REFERENCE NO(S).: WPF-4a, WPF-4b</v>
      </c>
      <c r="J76" s="2512" t="s">
        <v>566</v>
      </c>
    </row>
    <row r="77" spans="1:27">
      <c r="J77" s="2502" t="str">
        <f>_WIT1</f>
        <v>S. E. LAWLER</v>
      </c>
      <c r="K77" s="1603"/>
    </row>
    <row r="78" spans="1:27">
      <c r="A78" s="2513"/>
      <c r="B78" s="2513"/>
      <c r="C78" s="2513"/>
      <c r="D78" s="2513"/>
      <c r="E78" s="2513"/>
      <c r="F78" s="2513"/>
      <c r="G78" s="2513"/>
      <c r="H78" s="2513"/>
      <c r="I78" s="2513"/>
      <c r="J78" s="2513"/>
      <c r="K78" s="2513"/>
    </row>
    <row r="79" spans="1:27">
      <c r="C79" s="2514"/>
      <c r="D79" s="2500"/>
      <c r="E79" s="2515" t="s">
        <v>507</v>
      </c>
      <c r="F79" s="2516"/>
      <c r="G79" s="2514"/>
      <c r="H79" s="2514"/>
      <c r="I79" s="2517"/>
      <c r="J79" s="2501"/>
    </row>
    <row r="80" spans="1:27">
      <c r="A80" s="2514" t="s">
        <v>567</v>
      </c>
      <c r="D80" s="2518"/>
      <c r="E80" s="2515" t="s">
        <v>508</v>
      </c>
      <c r="F80" s="2514" t="s">
        <v>509</v>
      </c>
      <c r="G80" s="2514" t="s">
        <v>510</v>
      </c>
      <c r="H80" s="2514"/>
      <c r="I80" s="2519" t="s">
        <v>1902</v>
      </c>
      <c r="J80" s="2501"/>
      <c r="K80" s="2516"/>
    </row>
    <row r="81" spans="1:12" ht="15.6">
      <c r="A81" s="2514" t="s">
        <v>766</v>
      </c>
      <c r="C81" s="2514" t="s">
        <v>511</v>
      </c>
      <c r="D81" s="2518"/>
      <c r="E81" s="2515" t="s">
        <v>505</v>
      </c>
      <c r="F81" s="2514" t="s">
        <v>505</v>
      </c>
      <c r="G81" s="2514" t="s">
        <v>505</v>
      </c>
      <c r="H81" s="2514" t="s">
        <v>2571</v>
      </c>
      <c r="I81" s="2519" t="s">
        <v>1906</v>
      </c>
      <c r="J81" s="2501" t="s">
        <v>1540</v>
      </c>
      <c r="K81" s="2516" t="s">
        <v>2575</v>
      </c>
    </row>
    <row r="82" spans="1:12">
      <c r="A82" s="2513"/>
      <c r="B82" s="2513"/>
      <c r="C82" s="2520" t="s">
        <v>837</v>
      </c>
      <c r="D82" s="2513"/>
      <c r="E82" s="2520" t="s">
        <v>873</v>
      </c>
      <c r="F82" s="2520" t="s">
        <v>845</v>
      </c>
      <c r="G82" s="2520" t="s">
        <v>1042</v>
      </c>
      <c r="H82" s="2564" t="s">
        <v>718</v>
      </c>
      <c r="I82" s="2520" t="s">
        <v>840</v>
      </c>
      <c r="J82" s="2520" t="s">
        <v>842</v>
      </c>
      <c r="K82" s="2520" t="s">
        <v>1484</v>
      </c>
    </row>
    <row r="83" spans="1:12">
      <c r="A83" s="2515">
        <v>1</v>
      </c>
      <c r="C83" s="2523" t="s">
        <v>512</v>
      </c>
      <c r="E83" s="2524"/>
      <c r="F83" s="2525"/>
      <c r="G83" s="2525"/>
      <c r="H83" s="2525"/>
      <c r="I83" s="2526"/>
      <c r="J83" s="2527">
        <f>O122</f>
        <v>0</v>
      </c>
      <c r="K83" s="2528">
        <f>SUM(E83:J83)</f>
        <v>0</v>
      </c>
    </row>
    <row r="84" spans="1:12">
      <c r="A84" s="2515">
        <v>2</v>
      </c>
      <c r="E84" s="2529"/>
      <c r="F84" s="2530"/>
      <c r="G84" s="2530"/>
      <c r="H84" s="2530"/>
      <c r="I84" s="2531"/>
      <c r="J84" s="2527"/>
      <c r="K84" s="2528"/>
    </row>
    <row r="85" spans="1:12">
      <c r="A85" s="2515">
        <v>3</v>
      </c>
      <c r="C85" s="2523" t="s">
        <v>513</v>
      </c>
      <c r="E85" s="2529"/>
      <c r="F85" s="2530"/>
      <c r="G85" s="2530"/>
      <c r="H85" s="2530"/>
      <c r="I85" s="2531"/>
      <c r="J85" s="2527">
        <f>O124</f>
        <v>0</v>
      </c>
      <c r="K85" s="2528">
        <f>SUM(E85:J85)</f>
        <v>0</v>
      </c>
    </row>
    <row r="86" spans="1:12">
      <c r="A86" s="2515">
        <v>4</v>
      </c>
      <c r="E86" s="2527"/>
      <c r="F86" s="2527"/>
      <c r="G86" s="2527"/>
      <c r="H86" s="2527"/>
      <c r="I86" s="2532"/>
      <c r="J86" s="2527"/>
      <c r="K86" s="2528"/>
    </row>
    <row r="87" spans="1:12">
      <c r="A87" s="2515">
        <v>5</v>
      </c>
      <c r="B87" s="2512"/>
      <c r="C87" s="2523" t="s">
        <v>514</v>
      </c>
      <c r="E87" s="2533"/>
      <c r="F87" s="2534"/>
      <c r="G87" s="2533"/>
      <c r="H87" s="2533"/>
      <c r="I87" s="2535"/>
      <c r="J87" s="2527">
        <f>O126</f>
        <v>0</v>
      </c>
      <c r="K87" s="2528">
        <f>SUM(E87:J87)</f>
        <v>0</v>
      </c>
      <c r="L87" s="2563"/>
    </row>
    <row r="88" spans="1:12">
      <c r="A88" s="2515">
        <v>6</v>
      </c>
      <c r="B88" s="2512"/>
      <c r="E88" s="2533"/>
      <c r="F88" s="2534"/>
      <c r="G88" s="2533"/>
      <c r="H88" s="2533"/>
      <c r="I88" s="2535"/>
      <c r="J88" s="2527"/>
      <c r="K88" s="2528"/>
      <c r="L88" s="2534"/>
    </row>
    <row r="89" spans="1:12">
      <c r="A89" s="2515">
        <v>7</v>
      </c>
      <c r="C89" s="2523" t="s">
        <v>2570</v>
      </c>
      <c r="E89" s="2527"/>
      <c r="F89" s="2527"/>
      <c r="G89" s="2527"/>
      <c r="H89" s="2527"/>
      <c r="I89" s="2532"/>
      <c r="J89" s="2527">
        <f>O128</f>
        <v>0</v>
      </c>
      <c r="K89" s="2528">
        <f>SUM(E89:J89)</f>
        <v>0</v>
      </c>
    </row>
    <row r="90" spans="1:12">
      <c r="A90" s="2515">
        <v>8</v>
      </c>
      <c r="E90" s="2527"/>
      <c r="F90" s="2527"/>
      <c r="G90" s="2527"/>
      <c r="H90" s="2527"/>
      <c r="I90" s="2532"/>
      <c r="J90" s="2527"/>
      <c r="K90" s="2528"/>
    </row>
    <row r="91" spans="1:12">
      <c r="A91" s="2515">
        <v>9</v>
      </c>
      <c r="C91" s="2523" t="s">
        <v>516</v>
      </c>
      <c r="E91" s="2527"/>
      <c r="F91" s="2527"/>
      <c r="G91" s="2527"/>
      <c r="H91" s="2527"/>
      <c r="I91" s="2532"/>
      <c r="J91" s="2527">
        <f>O130</f>
        <v>0</v>
      </c>
      <c r="K91" s="2528">
        <f>SUM(E91:J91)</f>
        <v>0</v>
      </c>
    </row>
    <row r="92" spans="1:12">
      <c r="A92" s="2515">
        <v>10</v>
      </c>
      <c r="E92" s="2527"/>
      <c r="F92" s="2527"/>
      <c r="G92" s="2527"/>
      <c r="H92" s="2527"/>
      <c r="I92" s="2527"/>
      <c r="J92" s="2527"/>
      <c r="K92" s="2528"/>
    </row>
    <row r="93" spans="1:12">
      <c r="A93" s="2515">
        <v>11</v>
      </c>
      <c r="C93" s="2523" t="s">
        <v>517</v>
      </c>
      <c r="E93" s="2527"/>
      <c r="F93" s="2527"/>
      <c r="G93" s="2527"/>
      <c r="H93" s="2527"/>
      <c r="I93" s="2527"/>
      <c r="J93" s="2527">
        <f>O132</f>
        <v>0</v>
      </c>
      <c r="K93" s="2528">
        <f>SUM(E93:J93)</f>
        <v>0</v>
      </c>
    </row>
    <row r="94" spans="1:12">
      <c r="A94" s="2515">
        <v>12</v>
      </c>
      <c r="E94" s="2527"/>
      <c r="F94" s="2527"/>
      <c r="G94" s="2527"/>
      <c r="H94" s="2527"/>
      <c r="I94" s="2527"/>
      <c r="J94" s="2527"/>
      <c r="K94" s="2528"/>
    </row>
    <row r="95" spans="1:12">
      <c r="A95" s="2515">
        <v>13</v>
      </c>
      <c r="C95" s="2523" t="s">
        <v>462</v>
      </c>
      <c r="E95" s="2527"/>
      <c r="F95" s="2527"/>
      <c r="G95" s="2527"/>
      <c r="H95" s="2527"/>
      <c r="I95" s="2527"/>
      <c r="J95" s="2527">
        <f>O134</f>
        <v>45186</v>
      </c>
      <c r="K95" s="2528">
        <f>SUM(E95:J95)</f>
        <v>45186</v>
      </c>
    </row>
    <row r="96" spans="1:12">
      <c r="A96" s="2515">
        <v>14</v>
      </c>
      <c r="E96" s="2527"/>
      <c r="F96" s="2527"/>
      <c r="G96" s="2527"/>
      <c r="H96" s="2527"/>
      <c r="I96" s="2527"/>
      <c r="J96" s="2527"/>
      <c r="K96" s="2528"/>
    </row>
    <row r="97" spans="1:27">
      <c r="A97" s="2515">
        <v>15</v>
      </c>
      <c r="C97" s="2502" t="s">
        <v>2153</v>
      </c>
      <c r="E97" s="2536">
        <f t="shared" ref="E97:K97" si="7">SUM(E83:E96)</f>
        <v>0</v>
      </c>
      <c r="F97" s="2536">
        <f t="shared" si="7"/>
        <v>0</v>
      </c>
      <c r="G97" s="2536">
        <f t="shared" si="7"/>
        <v>0</v>
      </c>
      <c r="H97" s="2536">
        <f t="shared" ref="H97" si="8">SUM(H83:H96)</f>
        <v>0</v>
      </c>
      <c r="I97" s="2536">
        <f t="shared" si="7"/>
        <v>0</v>
      </c>
      <c r="J97" s="2536">
        <f t="shared" si="7"/>
        <v>45186</v>
      </c>
      <c r="K97" s="2536">
        <f t="shared" si="7"/>
        <v>45186</v>
      </c>
    </row>
    <row r="98" spans="1:27">
      <c r="A98" s="2515">
        <v>16</v>
      </c>
      <c r="E98" s="2536"/>
      <c r="F98" s="2536"/>
      <c r="G98" s="2536"/>
      <c r="H98" s="2536"/>
      <c r="I98" s="2536"/>
      <c r="J98" s="2536"/>
      <c r="K98" s="2537"/>
    </row>
    <row r="99" spans="1:27">
      <c r="A99" s="2515">
        <v>17</v>
      </c>
      <c r="C99" s="2502" t="s">
        <v>518</v>
      </c>
      <c r="E99" s="2536"/>
      <c r="F99" s="2536"/>
      <c r="G99" s="2536"/>
      <c r="H99" s="2536"/>
      <c r="I99" s="2536"/>
      <c r="J99" s="2536"/>
      <c r="K99" s="2537"/>
    </row>
    <row r="100" spans="1:27">
      <c r="A100" s="2515">
        <v>18</v>
      </c>
      <c r="C100" s="2502" t="s">
        <v>519</v>
      </c>
      <c r="E100" s="2536">
        <f t="shared" ref="E100:J100" si="9">E97</f>
        <v>0</v>
      </c>
      <c r="F100" s="2536">
        <f t="shared" si="9"/>
        <v>0</v>
      </c>
      <c r="G100" s="2536">
        <f t="shared" si="9"/>
        <v>0</v>
      </c>
      <c r="H100" s="2536">
        <f t="shared" si="9"/>
        <v>0</v>
      </c>
      <c r="I100" s="2536">
        <f t="shared" si="9"/>
        <v>0</v>
      </c>
      <c r="J100" s="2536">
        <f t="shared" si="9"/>
        <v>45186</v>
      </c>
      <c r="K100" s="2537">
        <f>SUM(E100:J100)</f>
        <v>45186</v>
      </c>
    </row>
    <row r="101" spans="1:27">
      <c r="E101" s="2524"/>
      <c r="F101" s="2524"/>
      <c r="G101" s="2524"/>
      <c r="H101" s="2524"/>
      <c r="I101" s="2524"/>
      <c r="J101" s="2524"/>
      <c r="K101" s="2524"/>
    </row>
    <row r="102" spans="1:27">
      <c r="C102" s="2502" t="s">
        <v>1546</v>
      </c>
      <c r="E102" s="2524"/>
      <c r="F102" s="2524"/>
      <c r="G102" s="2524"/>
      <c r="H102" s="2524"/>
      <c r="I102" s="2524"/>
      <c r="J102" s="2524"/>
      <c r="K102" s="2524"/>
    </row>
    <row r="103" spans="1:27" ht="15.6">
      <c r="C103" s="2538" t="s">
        <v>2983</v>
      </c>
      <c r="E103" s="2524"/>
      <c r="F103" s="2524"/>
      <c r="G103" s="2524"/>
      <c r="H103" s="2524"/>
      <c r="I103" s="2524"/>
      <c r="J103" s="2524"/>
      <c r="K103" s="2524"/>
    </row>
    <row r="104" spans="1:27">
      <c r="E104" s="2524"/>
      <c r="F104" s="2524"/>
      <c r="G104" s="2524"/>
      <c r="H104" s="2524"/>
      <c r="I104" s="2524"/>
      <c r="J104" s="2524"/>
      <c r="K104" s="2524"/>
    </row>
    <row r="105" spans="1:27">
      <c r="E105" s="2524"/>
      <c r="F105" s="2524"/>
      <c r="G105" s="2524"/>
      <c r="H105" s="2524"/>
      <c r="I105" s="2524"/>
      <c r="J105" s="2524"/>
      <c r="K105" s="2524"/>
    </row>
    <row r="106" spans="1:27">
      <c r="E106" s="2524"/>
      <c r="F106" s="2524"/>
      <c r="G106" s="2524"/>
      <c r="H106" s="2524"/>
      <c r="I106" s="2524"/>
      <c r="J106" s="2524"/>
      <c r="K106" s="2524"/>
    </row>
    <row r="107" spans="1:27">
      <c r="E107" s="2524"/>
      <c r="F107" s="2524"/>
      <c r="G107" s="2524"/>
      <c r="H107" s="2524"/>
      <c r="I107" s="2524"/>
      <c r="J107" s="2524"/>
      <c r="K107" s="2524"/>
    </row>
    <row r="108" spans="1:27">
      <c r="E108" s="2524"/>
      <c r="F108" s="2524"/>
      <c r="G108" s="2524"/>
      <c r="H108" s="2524"/>
      <c r="I108" s="2524"/>
      <c r="J108" s="2524"/>
      <c r="K108" s="2524"/>
      <c r="M108" s="2539" t="str">
        <f>COMPANY</f>
        <v>DUKE ENERGY KENTUCKY, INC.</v>
      </c>
      <c r="N108" s="2540"/>
      <c r="O108" s="2540"/>
      <c r="P108" s="2540"/>
      <c r="Q108" s="2540"/>
      <c r="R108" s="2541"/>
      <c r="S108" s="2540"/>
      <c r="T108" s="2540"/>
      <c r="U108" s="2503"/>
      <c r="V108" s="2540"/>
      <c r="W108" s="2540"/>
      <c r="X108" s="2503"/>
      <c r="Y108" s="2539" t="s">
        <v>416</v>
      </c>
      <c r="Z108" s="2503"/>
      <c r="AA108" s="2503"/>
    </row>
    <row r="109" spans="1:27">
      <c r="E109" s="2524"/>
      <c r="F109" s="2524"/>
      <c r="G109" s="2524"/>
      <c r="H109" s="2524"/>
      <c r="I109" s="2524"/>
      <c r="J109" s="2524"/>
      <c r="K109" s="2524"/>
      <c r="M109" s="2539" t="str">
        <f>CASE</f>
        <v>CASE NO. 2018-00261</v>
      </c>
      <c r="N109" s="2540"/>
      <c r="O109" s="2540"/>
      <c r="P109" s="2540"/>
      <c r="Q109" s="2540"/>
      <c r="R109" s="2541"/>
      <c r="S109" s="2540"/>
      <c r="T109" s="2540"/>
      <c r="U109" s="2503"/>
      <c r="V109" s="2540"/>
      <c r="W109" s="2540"/>
      <c r="X109" s="2503"/>
      <c r="Y109" s="2539" t="s">
        <v>566</v>
      </c>
      <c r="Z109" s="2503"/>
      <c r="AA109" s="2503"/>
    </row>
    <row r="110" spans="1:27">
      <c r="E110" s="2524"/>
      <c r="F110" s="2524"/>
      <c r="G110" s="2524"/>
      <c r="H110" s="2524"/>
      <c r="I110" s="2524"/>
      <c r="J110" s="2524"/>
      <c r="K110" s="2524"/>
      <c r="M110" s="2542" t="str">
        <f>A71</f>
        <v>ADVERTISING</v>
      </c>
      <c r="N110" s="2540"/>
      <c r="O110" s="2540"/>
      <c r="P110" s="2540"/>
      <c r="Q110" s="2540"/>
      <c r="R110" s="2541"/>
      <c r="S110" s="2540"/>
      <c r="T110" s="2540"/>
      <c r="U110" s="2503"/>
      <c r="V110" s="2540"/>
      <c r="W110" s="2540"/>
      <c r="X110" s="2503"/>
      <c r="Y110" s="2539" t="str">
        <f>_WIT1</f>
        <v>S. E. LAWLER</v>
      </c>
      <c r="Z110" s="2503"/>
      <c r="AA110" s="2503"/>
    </row>
    <row r="111" spans="1:27">
      <c r="E111" s="2524"/>
      <c r="F111" s="2524"/>
      <c r="G111" s="2524"/>
      <c r="H111" s="2524"/>
      <c r="I111" s="2524"/>
      <c r="J111" s="2524"/>
      <c r="K111" s="2524"/>
      <c r="M111" s="2543" t="str">
        <f>DataF</f>
        <v>DATA:  BASE PERIOD  "X" FORECASTED PERIOD</v>
      </c>
      <c r="N111" s="2540"/>
      <c r="O111" s="2540"/>
      <c r="P111" s="2540"/>
      <c r="Q111" s="2540"/>
      <c r="R111" s="2541"/>
      <c r="S111" s="2540"/>
      <c r="T111" s="2540"/>
      <c r="U111" s="2503"/>
      <c r="V111" s="2540"/>
      <c r="W111" s="2540"/>
      <c r="X111" s="2503"/>
      <c r="Y111" s="2503"/>
      <c r="Z111" s="2503"/>
      <c r="AA111" s="2503"/>
    </row>
    <row r="112" spans="1:27">
      <c r="E112" s="2524"/>
      <c r="F112" s="2524"/>
      <c r="G112" s="2524"/>
      <c r="H112" s="2524"/>
      <c r="I112" s="2524"/>
      <c r="J112" s="2524"/>
      <c r="K112" s="2524"/>
      <c r="M112" s="2539" t="str">
        <f>PeriodF</f>
        <v>FOR THE TWELVE MONTHS ENDED MARCH 31, 2020</v>
      </c>
      <c r="N112" s="2540"/>
      <c r="O112" s="2540"/>
      <c r="P112" s="2540"/>
      <c r="Q112" s="2540"/>
      <c r="R112" s="2540"/>
      <c r="S112" s="2540"/>
      <c r="T112" s="2540"/>
      <c r="U112" s="2540"/>
      <c r="V112" s="2540"/>
      <c r="W112" s="2540"/>
      <c r="X112" s="2503"/>
      <c r="Y112" s="2503"/>
      <c r="Z112" s="2503"/>
      <c r="AA112" s="2503"/>
    </row>
    <row r="113" spans="5:27">
      <c r="E113" s="2524"/>
      <c r="F113" s="2524"/>
      <c r="G113" s="2524"/>
      <c r="H113" s="2524"/>
      <c r="I113" s="2524"/>
      <c r="J113" s="2524"/>
      <c r="K113" s="2524"/>
      <c r="M113" s="2503"/>
      <c r="N113" s="2503"/>
      <c r="O113" s="2503"/>
      <c r="P113" s="2503"/>
      <c r="Q113" s="2503"/>
      <c r="R113" s="2503"/>
      <c r="S113" s="2503"/>
      <c r="T113" s="2503"/>
      <c r="U113" s="2503"/>
      <c r="V113" s="2503"/>
      <c r="W113" s="2503"/>
      <c r="X113" s="2503"/>
      <c r="Y113" s="2503"/>
      <c r="Z113" s="2503"/>
      <c r="AA113" s="2503"/>
    </row>
    <row r="114" spans="5:27">
      <c r="E114" s="2524"/>
      <c r="F114" s="2524"/>
      <c r="G114" s="2524"/>
      <c r="H114" s="2524"/>
      <c r="I114" s="2524"/>
      <c r="J114" s="2524"/>
      <c r="K114" s="2524"/>
      <c r="M114" s="2503"/>
      <c r="N114" s="2503"/>
      <c r="O114" s="2503"/>
      <c r="P114" s="2503"/>
      <c r="Q114" s="2503"/>
      <c r="R114" s="2503"/>
      <c r="S114" s="2503"/>
      <c r="T114" s="2503"/>
      <c r="U114" s="2539"/>
      <c r="V114" s="2503"/>
      <c r="W114" s="2503"/>
      <c r="X114" s="2503"/>
      <c r="Y114" s="2503"/>
      <c r="Z114" s="2503"/>
      <c r="AA114" s="2503"/>
    </row>
    <row r="115" spans="5:27">
      <c r="E115" s="2524"/>
      <c r="F115" s="2524"/>
      <c r="G115" s="2524"/>
      <c r="H115" s="2524"/>
      <c r="I115" s="2524"/>
      <c r="J115" s="2524"/>
      <c r="K115" s="2524"/>
      <c r="M115" s="2544"/>
      <c r="N115" s="2544"/>
      <c r="O115" s="2544"/>
      <c r="P115" s="2544"/>
      <c r="Q115" s="2544"/>
      <c r="R115" s="2544"/>
      <c r="S115" s="2544"/>
      <c r="T115" s="2544"/>
      <c r="U115" s="2544"/>
      <c r="V115" s="2544"/>
      <c r="W115" s="2544"/>
      <c r="X115" s="2544"/>
      <c r="Y115" s="2544"/>
      <c r="Z115" s="2544"/>
      <c r="AA115" s="2544"/>
    </row>
    <row r="116" spans="5:27">
      <c r="E116" s="2524"/>
      <c r="F116" s="2524"/>
      <c r="G116" s="2524"/>
      <c r="H116" s="2524"/>
      <c r="I116" s="2524"/>
      <c r="J116" s="2524"/>
      <c r="K116" s="2524"/>
      <c r="M116" s="2503"/>
      <c r="N116" s="2545"/>
      <c r="O116" s="2546"/>
      <c r="P116" s="2546"/>
      <c r="Q116" s="2546"/>
      <c r="R116" s="2545"/>
      <c r="S116" s="2545"/>
      <c r="T116" s="2503"/>
      <c r="U116" s="2503"/>
      <c r="V116" s="2503"/>
      <c r="W116" s="2503"/>
      <c r="X116" s="2503"/>
      <c r="Y116" s="2503"/>
      <c r="Z116" s="2503"/>
      <c r="AA116" s="2503"/>
    </row>
    <row r="117" spans="5:27">
      <c r="E117" s="2524"/>
      <c r="F117" s="2524"/>
      <c r="G117" s="2524"/>
      <c r="H117" s="2524"/>
      <c r="I117" s="2524"/>
      <c r="J117" s="2524"/>
      <c r="K117" s="2524"/>
      <c r="M117" s="2545" t="s">
        <v>1938</v>
      </c>
      <c r="N117" s="2545"/>
      <c r="O117" s="2547"/>
      <c r="P117" s="2547"/>
      <c r="Q117" s="2547"/>
      <c r="R117" s="2545"/>
      <c r="S117" s="2545"/>
      <c r="T117" s="2545"/>
      <c r="U117" s="2545"/>
      <c r="V117" s="2545"/>
      <c r="W117" s="2545"/>
      <c r="X117" s="2545"/>
      <c r="Y117" s="2545"/>
      <c r="Z117" s="2545"/>
      <c r="AA117" s="2545"/>
    </row>
    <row r="118" spans="5:27">
      <c r="E118" s="2524"/>
      <c r="F118" s="2524"/>
      <c r="G118" s="2524"/>
      <c r="H118" s="2524"/>
      <c r="I118" s="2524"/>
      <c r="J118" s="2524"/>
      <c r="K118" s="2524"/>
      <c r="M118" s="2545" t="s">
        <v>1939</v>
      </c>
      <c r="N118" s="2545" t="s">
        <v>414</v>
      </c>
      <c r="O118" s="2545" t="s">
        <v>2153</v>
      </c>
      <c r="P118" s="2548">
        <f>LOGO!$J$7</f>
        <v>43585</v>
      </c>
      <c r="Q118" s="2548">
        <f>LOGO!$J$8</f>
        <v>43616</v>
      </c>
      <c r="R118" s="2548">
        <f>LOGO!$J$9</f>
        <v>43646</v>
      </c>
      <c r="S118" s="2548">
        <f>LOGO!$J$10</f>
        <v>43677</v>
      </c>
      <c r="T118" s="2548">
        <f>LOGO!$J$11</f>
        <v>43708</v>
      </c>
      <c r="U118" s="2548">
        <f>LOGO!$J$12</f>
        <v>43738</v>
      </c>
      <c r="V118" s="2548">
        <f>LOGO!$J$13</f>
        <v>43769</v>
      </c>
      <c r="W118" s="2548">
        <f>LOGO!$J$14</f>
        <v>43799</v>
      </c>
      <c r="X118" s="2548">
        <f>LOGO!$J$15</f>
        <v>43830</v>
      </c>
      <c r="Y118" s="2548">
        <f>LOGO!$J$16</f>
        <v>43861</v>
      </c>
      <c r="Z118" s="2548">
        <f>LOGO!$J$17</f>
        <v>43890</v>
      </c>
      <c r="AA118" s="2548">
        <f>LOGO!$J$18</f>
        <v>43921</v>
      </c>
    </row>
    <row r="119" spans="5:27">
      <c r="E119" s="2524"/>
      <c r="F119" s="2524"/>
      <c r="G119" s="2524"/>
      <c r="H119" s="2524"/>
      <c r="I119" s="2524"/>
      <c r="J119" s="2524"/>
      <c r="K119" s="2524"/>
      <c r="M119" s="2544"/>
      <c r="N119" s="2544"/>
      <c r="O119" s="2544"/>
      <c r="P119" s="2544"/>
      <c r="Q119" s="2544"/>
      <c r="R119" s="2544"/>
      <c r="S119" s="2544"/>
      <c r="T119" s="2544"/>
      <c r="U119" s="2544"/>
      <c r="V119" s="2544"/>
      <c r="W119" s="2544"/>
      <c r="X119" s="2544"/>
      <c r="Y119" s="2544"/>
      <c r="Z119" s="2544"/>
      <c r="AA119" s="2544"/>
    </row>
    <row r="120" spans="5:27">
      <c r="E120" s="2524"/>
      <c r="F120" s="2524"/>
      <c r="G120" s="2524"/>
      <c r="H120" s="2524"/>
      <c r="I120" s="2524"/>
      <c r="J120" s="2524"/>
      <c r="K120" s="2524"/>
      <c r="M120" s="2503"/>
      <c r="N120" s="2503"/>
      <c r="O120" s="2545" t="s">
        <v>1134</v>
      </c>
      <c r="P120" s="2545" t="s">
        <v>1134</v>
      </c>
      <c r="Q120" s="2545" t="s">
        <v>1134</v>
      </c>
      <c r="R120" s="2545" t="s">
        <v>1134</v>
      </c>
      <c r="S120" s="2545" t="s">
        <v>1134</v>
      </c>
      <c r="T120" s="2545" t="s">
        <v>1134</v>
      </c>
      <c r="U120" s="2545" t="s">
        <v>1134</v>
      </c>
      <c r="V120" s="2545" t="s">
        <v>1134</v>
      </c>
      <c r="W120" s="2545" t="s">
        <v>1134</v>
      </c>
      <c r="X120" s="2545" t="s">
        <v>1134</v>
      </c>
      <c r="Y120" s="2545" t="s">
        <v>1134</v>
      </c>
      <c r="Z120" s="2545" t="s">
        <v>1134</v>
      </c>
      <c r="AA120" s="2545" t="s">
        <v>1134</v>
      </c>
    </row>
    <row r="121" spans="5:27">
      <c r="M121" s="2549"/>
      <c r="N121" s="2550"/>
      <c r="O121" s="2503"/>
      <c r="P121" s="2503"/>
      <c r="Q121" s="2503"/>
      <c r="R121" s="2507"/>
      <c r="S121" s="2507"/>
      <c r="T121" s="2507"/>
      <c r="U121" s="2507"/>
      <c r="V121" s="2503"/>
      <c r="W121" s="2503"/>
      <c r="X121" s="2503"/>
      <c r="Y121" s="2503"/>
      <c r="Z121" s="2503"/>
      <c r="AA121" s="2503"/>
    </row>
    <row r="122" spans="5:27">
      <c r="M122" s="2549">
        <v>1</v>
      </c>
      <c r="N122" s="2523" t="s">
        <v>512</v>
      </c>
      <c r="O122" s="2551">
        <f>SUM(P122:AA122)</f>
        <v>0</v>
      </c>
      <c r="P122" s="2552">
        <v>0</v>
      </c>
      <c r="Q122" s="2552">
        <v>0</v>
      </c>
      <c r="R122" s="2552">
        <v>0</v>
      </c>
      <c r="S122" s="2552">
        <v>0</v>
      </c>
      <c r="T122" s="2552">
        <v>0</v>
      </c>
      <c r="U122" s="2552">
        <v>0</v>
      </c>
      <c r="V122" s="2552">
        <v>0</v>
      </c>
      <c r="W122" s="2552">
        <v>0</v>
      </c>
      <c r="X122" s="2552">
        <v>0</v>
      </c>
      <c r="Y122" s="2552">
        <v>0</v>
      </c>
      <c r="Z122" s="2552">
        <v>0</v>
      </c>
      <c r="AA122" s="2552">
        <v>0</v>
      </c>
    </row>
    <row r="123" spans="5:27">
      <c r="M123" s="2545">
        <v>2</v>
      </c>
      <c r="O123" s="2551"/>
      <c r="P123" s="2552"/>
      <c r="Q123" s="2552"/>
      <c r="R123" s="2552"/>
      <c r="S123" s="2552"/>
      <c r="T123" s="2552"/>
      <c r="U123" s="2552"/>
      <c r="V123" s="2552"/>
      <c r="W123" s="2552"/>
      <c r="X123" s="2552"/>
      <c r="Y123" s="2552"/>
      <c r="Z123" s="2552"/>
      <c r="AA123" s="2552"/>
    </row>
    <row r="124" spans="5:27">
      <c r="M124" s="2549">
        <v>3</v>
      </c>
      <c r="N124" s="2523" t="s">
        <v>513</v>
      </c>
      <c r="O124" s="2551">
        <f>SUM(P124:AA124)</f>
        <v>0</v>
      </c>
      <c r="P124" s="2552">
        <v>0</v>
      </c>
      <c r="Q124" s="2552">
        <v>0</v>
      </c>
      <c r="R124" s="2552">
        <v>0</v>
      </c>
      <c r="S124" s="2552">
        <v>0</v>
      </c>
      <c r="T124" s="2552">
        <v>0</v>
      </c>
      <c r="U124" s="2552">
        <v>0</v>
      </c>
      <c r="V124" s="2552">
        <v>0</v>
      </c>
      <c r="W124" s="2552">
        <v>0</v>
      </c>
      <c r="X124" s="2552">
        <v>0</v>
      </c>
      <c r="Y124" s="2552">
        <v>0</v>
      </c>
      <c r="Z124" s="2552">
        <v>0</v>
      </c>
      <c r="AA124" s="2552">
        <v>0</v>
      </c>
    </row>
    <row r="125" spans="5:27">
      <c r="M125" s="2549">
        <v>4</v>
      </c>
      <c r="O125" s="2551"/>
      <c r="P125" s="2552"/>
      <c r="Q125" s="2552"/>
      <c r="R125" s="2552"/>
      <c r="S125" s="2552"/>
      <c r="T125" s="2552"/>
      <c r="U125" s="2552"/>
      <c r="V125" s="2552"/>
      <c r="W125" s="2552"/>
      <c r="X125" s="2552"/>
      <c r="Y125" s="2552"/>
      <c r="Z125" s="2552"/>
      <c r="AA125" s="2552"/>
    </row>
    <row r="126" spans="5:27">
      <c r="M126" s="2549">
        <v>5</v>
      </c>
      <c r="N126" s="2523" t="s">
        <v>514</v>
      </c>
      <c r="O126" s="2551">
        <f>SUM(P126:AA126)</f>
        <v>0</v>
      </c>
      <c r="P126" s="2552">
        <v>0</v>
      </c>
      <c r="Q126" s="2552">
        <v>0</v>
      </c>
      <c r="R126" s="2552">
        <v>0</v>
      </c>
      <c r="S126" s="2552">
        <v>0</v>
      </c>
      <c r="T126" s="2552">
        <v>0</v>
      </c>
      <c r="U126" s="2552">
        <v>0</v>
      </c>
      <c r="V126" s="2552">
        <v>0</v>
      </c>
      <c r="W126" s="2552">
        <v>0</v>
      </c>
      <c r="X126" s="2552">
        <v>0</v>
      </c>
      <c r="Y126" s="2552">
        <v>0</v>
      </c>
      <c r="Z126" s="2552">
        <v>0</v>
      </c>
      <c r="AA126" s="2552">
        <v>0</v>
      </c>
    </row>
    <row r="127" spans="5:27">
      <c r="M127" s="2545">
        <v>6</v>
      </c>
      <c r="O127" s="2551"/>
      <c r="P127" s="2552"/>
      <c r="Q127" s="2552"/>
      <c r="R127" s="2552"/>
      <c r="S127" s="2552"/>
      <c r="T127" s="2552"/>
      <c r="U127" s="2552"/>
      <c r="V127" s="2552"/>
      <c r="W127" s="2552"/>
      <c r="X127" s="2552"/>
      <c r="Y127" s="2552"/>
      <c r="Z127" s="2552"/>
      <c r="AA127" s="2552"/>
    </row>
    <row r="128" spans="5:27">
      <c r="M128" s="2549">
        <v>7</v>
      </c>
      <c r="N128" s="2523" t="s">
        <v>515</v>
      </c>
      <c r="O128" s="2551">
        <f>SUM(P128:AA128)</f>
        <v>0</v>
      </c>
      <c r="P128" s="2552">
        <v>0</v>
      </c>
      <c r="Q128" s="2552">
        <v>0</v>
      </c>
      <c r="R128" s="2552">
        <v>0</v>
      </c>
      <c r="S128" s="2552">
        <v>0</v>
      </c>
      <c r="T128" s="2552">
        <v>0</v>
      </c>
      <c r="U128" s="2552">
        <v>0</v>
      </c>
      <c r="V128" s="2552">
        <v>0</v>
      </c>
      <c r="W128" s="2552">
        <v>0</v>
      </c>
      <c r="X128" s="2552">
        <v>0</v>
      </c>
      <c r="Y128" s="2552">
        <v>0</v>
      </c>
      <c r="Z128" s="2552">
        <v>0</v>
      </c>
      <c r="AA128" s="2552">
        <v>0</v>
      </c>
    </row>
    <row r="129" spans="13:27">
      <c r="M129" s="2549">
        <v>8</v>
      </c>
      <c r="O129" s="2554"/>
      <c r="P129" s="2555"/>
      <c r="Q129" s="2555"/>
      <c r="R129" s="2555"/>
      <c r="S129" s="2555"/>
      <c r="T129" s="2555"/>
      <c r="U129" s="2555"/>
      <c r="V129" s="2555"/>
      <c r="W129" s="2555"/>
      <c r="X129" s="2555"/>
      <c r="Y129" s="2555"/>
      <c r="Z129" s="2555"/>
      <c r="AA129" s="2555"/>
    </row>
    <row r="130" spans="13:27">
      <c r="M130" s="2549">
        <v>9</v>
      </c>
      <c r="N130" s="2523" t="s">
        <v>516</v>
      </c>
      <c r="O130" s="2551">
        <f>SUM(P130:AA130)</f>
        <v>0</v>
      </c>
      <c r="P130" s="2552">
        <v>0</v>
      </c>
      <c r="Q130" s="2552">
        <v>0</v>
      </c>
      <c r="R130" s="2552">
        <v>0</v>
      </c>
      <c r="S130" s="2552">
        <v>0</v>
      </c>
      <c r="T130" s="2552">
        <v>0</v>
      </c>
      <c r="U130" s="2552">
        <v>0</v>
      </c>
      <c r="V130" s="2552">
        <v>0</v>
      </c>
      <c r="W130" s="2552">
        <v>0</v>
      </c>
      <c r="X130" s="2552">
        <v>0</v>
      </c>
      <c r="Y130" s="2552">
        <v>0</v>
      </c>
      <c r="Z130" s="2552">
        <v>0</v>
      </c>
      <c r="AA130" s="2552">
        <v>0</v>
      </c>
    </row>
    <row r="131" spans="13:27">
      <c r="M131" s="2545">
        <v>10</v>
      </c>
      <c r="O131" s="2554"/>
      <c r="P131" s="2555"/>
      <c r="Q131" s="2555"/>
      <c r="R131" s="2555"/>
      <c r="S131" s="2555"/>
      <c r="T131" s="2555"/>
      <c r="U131" s="2555"/>
      <c r="V131" s="2555"/>
      <c r="W131" s="2555"/>
      <c r="X131" s="2555"/>
      <c r="Y131" s="2555"/>
      <c r="Z131" s="2555"/>
      <c r="AA131" s="2555"/>
    </row>
    <row r="132" spans="13:27">
      <c r="M132" s="2549">
        <v>11</v>
      </c>
      <c r="N132" s="2523" t="s">
        <v>517</v>
      </c>
      <c r="O132" s="2551">
        <f>SUM(P132:AA132)</f>
        <v>0</v>
      </c>
      <c r="P132" s="2552">
        <v>0</v>
      </c>
      <c r="Q132" s="2552">
        <v>0</v>
      </c>
      <c r="R132" s="2552">
        <v>0</v>
      </c>
      <c r="S132" s="2552">
        <v>0</v>
      </c>
      <c r="T132" s="2552">
        <v>0</v>
      </c>
      <c r="U132" s="2552">
        <v>0</v>
      </c>
      <c r="V132" s="2552">
        <v>0</v>
      </c>
      <c r="W132" s="2552">
        <v>0</v>
      </c>
      <c r="X132" s="2552">
        <v>0</v>
      </c>
      <c r="Y132" s="2552">
        <v>0</v>
      </c>
      <c r="Z132" s="2552">
        <v>0</v>
      </c>
      <c r="AA132" s="2552">
        <v>0</v>
      </c>
    </row>
    <row r="133" spans="13:27">
      <c r="M133" s="2549">
        <v>12</v>
      </c>
      <c r="N133" s="2523"/>
      <c r="O133" s="2551"/>
      <c r="P133" s="2552"/>
      <c r="Q133" s="2552"/>
      <c r="R133" s="2552"/>
      <c r="S133" s="2552"/>
      <c r="T133" s="2552"/>
      <c r="U133" s="2552"/>
      <c r="V133" s="2552"/>
      <c r="W133" s="2552"/>
      <c r="X133" s="2552"/>
      <c r="Y133" s="2552"/>
      <c r="Z133" s="2552"/>
      <c r="AA133" s="2552"/>
    </row>
    <row r="134" spans="13:27">
      <c r="M134" s="2549">
        <v>13</v>
      </c>
      <c r="N134" s="2523" t="s">
        <v>462</v>
      </c>
      <c r="O134" s="2551">
        <f>SUM(P134:AA134)</f>
        <v>45186</v>
      </c>
      <c r="P134" s="2552">
        <v>3720</v>
      </c>
      <c r="Q134" s="2552">
        <v>3720</v>
      </c>
      <c r="R134" s="2552">
        <v>3798</v>
      </c>
      <c r="S134" s="2552">
        <v>3720</v>
      </c>
      <c r="T134" s="2552">
        <v>3720</v>
      </c>
      <c r="U134" s="2552">
        <v>3798</v>
      </c>
      <c r="V134" s="2552">
        <v>3720</v>
      </c>
      <c r="W134" s="2552">
        <v>3720</v>
      </c>
      <c r="X134" s="2552">
        <v>3798</v>
      </c>
      <c r="Y134" s="2552">
        <v>3907</v>
      </c>
      <c r="Z134" s="2552">
        <v>3730</v>
      </c>
      <c r="AA134" s="2552">
        <v>3835</v>
      </c>
    </row>
    <row r="135" spans="13:27">
      <c r="M135" s="2545">
        <v>14</v>
      </c>
      <c r="O135" s="2556"/>
      <c r="P135" s="2557"/>
      <c r="Q135" s="2552"/>
      <c r="R135" s="2554"/>
      <c r="S135" s="2558"/>
      <c r="T135" s="2559"/>
      <c r="U135" s="2557"/>
      <c r="V135" s="2560"/>
      <c r="W135" s="2561"/>
      <c r="X135" s="2505"/>
      <c r="Y135" s="2505"/>
      <c r="Z135" s="2505"/>
      <c r="AA135" s="2505"/>
    </row>
    <row r="136" spans="13:27" ht="13.8" thickBot="1">
      <c r="M136" s="2549">
        <v>15</v>
      </c>
      <c r="N136" s="2504" t="s">
        <v>411</v>
      </c>
      <c r="O136" s="2562">
        <f t="shared" ref="O136:AA136" si="10">O122+O124+O126+O128+O130+O132+O134</f>
        <v>45186</v>
      </c>
      <c r="P136" s="2562">
        <f t="shared" si="10"/>
        <v>3720</v>
      </c>
      <c r="Q136" s="2562">
        <f t="shared" si="10"/>
        <v>3720</v>
      </c>
      <c r="R136" s="2562">
        <f t="shared" si="10"/>
        <v>3798</v>
      </c>
      <c r="S136" s="2562">
        <f t="shared" si="10"/>
        <v>3720</v>
      </c>
      <c r="T136" s="2562">
        <f t="shared" si="10"/>
        <v>3720</v>
      </c>
      <c r="U136" s="2562">
        <f t="shared" si="10"/>
        <v>3798</v>
      </c>
      <c r="V136" s="2562">
        <f t="shared" si="10"/>
        <v>3720</v>
      </c>
      <c r="W136" s="2562">
        <f t="shared" si="10"/>
        <v>3720</v>
      </c>
      <c r="X136" s="2562">
        <f t="shared" si="10"/>
        <v>3798</v>
      </c>
      <c r="Y136" s="2562">
        <f t="shared" si="10"/>
        <v>3907</v>
      </c>
      <c r="Z136" s="2562">
        <f t="shared" si="10"/>
        <v>3730</v>
      </c>
      <c r="AA136" s="2562">
        <f t="shared" si="10"/>
        <v>3835</v>
      </c>
    </row>
    <row r="137" spans="13:27" ht="13.8" thickTop="1"/>
    <row r="138" spans="13:27">
      <c r="O138" s="2551">
        <f>SUM(P138:AA138)</f>
        <v>45183</v>
      </c>
      <c r="P138" s="2527">
        <f>'FORECASTED PERIOD'!F130+'FORECASTED PERIOD'!F135+'FORECASTED PERIOD'!F166</f>
        <v>3720</v>
      </c>
      <c r="Q138" s="2527">
        <f>'FORECASTED PERIOD'!G130+'FORECASTED PERIOD'!G135+'FORECASTED PERIOD'!G166</f>
        <v>3720</v>
      </c>
      <c r="R138" s="2527">
        <f>'FORECASTED PERIOD'!H130+'FORECASTED PERIOD'!H135+'FORECASTED PERIOD'!H166</f>
        <v>3797</v>
      </c>
      <c r="S138" s="2527">
        <f>'FORECASTED PERIOD'!I130+'FORECASTED PERIOD'!I135+'FORECASTED PERIOD'!I166</f>
        <v>3720</v>
      </c>
      <c r="T138" s="2527">
        <f>'FORECASTED PERIOD'!J130+'FORECASTED PERIOD'!J135+'FORECASTED PERIOD'!J166</f>
        <v>3720</v>
      </c>
      <c r="U138" s="2527">
        <f>'FORECASTED PERIOD'!K130+'FORECASTED PERIOD'!K135+'FORECASTED PERIOD'!K166</f>
        <v>3797</v>
      </c>
      <c r="V138" s="2527">
        <f>'FORECASTED PERIOD'!L130+'FORECASTED PERIOD'!L135+'FORECASTED PERIOD'!L166</f>
        <v>3720</v>
      </c>
      <c r="W138" s="2527">
        <f>'FORECASTED PERIOD'!M130+'FORECASTED PERIOD'!M135+'FORECASTED PERIOD'!M166</f>
        <v>3720</v>
      </c>
      <c r="X138" s="2527">
        <f>'FORECASTED PERIOD'!N130+'FORECASTED PERIOD'!N135+'FORECASTED PERIOD'!N166</f>
        <v>3797</v>
      </c>
      <c r="Y138" s="2527">
        <f>'FORECASTED PERIOD'!O130+'FORECASTED PERIOD'!O135+'FORECASTED PERIOD'!O166</f>
        <v>3907</v>
      </c>
      <c r="Z138" s="2527">
        <f>'FORECASTED PERIOD'!P130+'FORECASTED PERIOD'!P135+'FORECASTED PERIOD'!P166</f>
        <v>3730</v>
      </c>
      <c r="AA138" s="2527">
        <f>'FORECASTED PERIOD'!Q130+'FORECASTED PERIOD'!Q135+'FORECASTED PERIOD'!Q166</f>
        <v>3835</v>
      </c>
    </row>
    <row r="139" spans="13:27">
      <c r="O139" s="2551">
        <f>SUM(P139:AA139)</f>
        <v>-3</v>
      </c>
      <c r="P139" s="2527">
        <f>P138-P136</f>
        <v>0</v>
      </c>
      <c r="Q139" s="2527">
        <f t="shared" ref="Q139:AA139" si="11">Q138-Q136</f>
        <v>0</v>
      </c>
      <c r="R139" s="2527">
        <f t="shared" si="11"/>
        <v>-1</v>
      </c>
      <c r="S139" s="2527">
        <f t="shared" si="11"/>
        <v>0</v>
      </c>
      <c r="T139" s="2527">
        <f t="shared" si="11"/>
        <v>0</v>
      </c>
      <c r="U139" s="2527">
        <f t="shared" si="11"/>
        <v>-1</v>
      </c>
      <c r="V139" s="2527">
        <f t="shared" si="11"/>
        <v>0</v>
      </c>
      <c r="W139" s="2527">
        <f t="shared" si="11"/>
        <v>0</v>
      </c>
      <c r="X139" s="2527">
        <f t="shared" si="11"/>
        <v>-1</v>
      </c>
      <c r="Y139" s="2527">
        <f t="shared" si="11"/>
        <v>0</v>
      </c>
      <c r="Z139" s="2527">
        <f t="shared" si="11"/>
        <v>0</v>
      </c>
      <c r="AA139" s="2527">
        <f t="shared" si="11"/>
        <v>0</v>
      </c>
    </row>
  </sheetData>
  <phoneticPr fontId="4" type="noConversion"/>
  <pageMargins left="1" right="0.75" top="0.98421000000000003" bottom="0" header="0" footer="0"/>
  <pageSetup scale="7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8" tint="0.59999389629810485"/>
    <pageSetUpPr fitToPage="1"/>
  </sheetPr>
  <dimension ref="A1:L51"/>
  <sheetViews>
    <sheetView zoomScale="75" workbookViewId="0">
      <selection activeCell="V27" sqref="V27"/>
    </sheetView>
  </sheetViews>
  <sheetFormatPr defaultColWidth="8" defaultRowHeight="15"/>
  <cols>
    <col min="1" max="1" width="6.44140625" style="43" customWidth="1"/>
    <col min="2" max="2" width="1.33203125" style="43" customWidth="1"/>
    <col min="3" max="3" width="49.6640625" style="43" customWidth="1"/>
    <col min="4" max="4" width="1.88671875" style="43" customWidth="1"/>
    <col min="5" max="5" width="17.6640625" style="43" customWidth="1"/>
    <col min="6" max="6" width="1.5546875" style="43" customWidth="1"/>
    <col min="7" max="7" width="19.6640625" style="43" customWidth="1"/>
    <col min="8" max="8" width="1.88671875" style="43" customWidth="1"/>
    <col min="9" max="9" width="23.5546875" style="43" customWidth="1"/>
    <col min="10" max="10" width="7" style="43" customWidth="1"/>
    <col min="11" max="11" width="8" style="43"/>
    <col min="12" max="12" width="16.6640625" style="43" bestFit="1" customWidth="1"/>
    <col min="13" max="16384" width="8" style="43"/>
  </cols>
  <sheetData>
    <row r="1" spans="1:10">
      <c r="A1" s="41" t="str">
        <f>COMPANY</f>
        <v>DUKE ENERGY KENTUCKY, INC.</v>
      </c>
      <c r="B1" s="42"/>
      <c r="C1" s="42"/>
      <c r="D1" s="42"/>
      <c r="E1" s="42"/>
      <c r="F1" s="42"/>
      <c r="G1" s="42"/>
      <c r="H1" s="42"/>
      <c r="I1" s="42"/>
      <c r="J1" s="42"/>
    </row>
    <row r="2" spans="1:10">
      <c r="A2" s="41" t="str">
        <f>CASE</f>
        <v>CASE NO. 2018-00261</v>
      </c>
      <c r="B2" s="42"/>
      <c r="C2" s="42"/>
      <c r="D2" s="42"/>
      <c r="E2" s="42"/>
      <c r="F2" s="42"/>
      <c r="G2" s="42"/>
      <c r="H2" s="42"/>
      <c r="I2" s="42"/>
      <c r="J2" s="42"/>
    </row>
    <row r="3" spans="1:10">
      <c r="A3" s="41" t="s">
        <v>2015</v>
      </c>
      <c r="B3" s="42"/>
      <c r="C3" s="42"/>
      <c r="D3" s="42"/>
      <c r="E3" s="42"/>
      <c r="F3" s="42"/>
      <c r="G3" s="42"/>
      <c r="H3" s="42"/>
      <c r="I3" s="42"/>
      <c r="J3" s="42"/>
    </row>
    <row r="4" spans="1:10">
      <c r="A4" s="44" t="str">
        <f>"AS OF " &amp;RIGHT(TESTYR,(LEN(TESTYR)-16))</f>
        <v>AS OF NOVEMBER 30, 2018</v>
      </c>
      <c r="B4" s="42"/>
      <c r="C4" s="42"/>
      <c r="D4" s="42"/>
      <c r="E4" s="42"/>
      <c r="F4" s="42"/>
      <c r="G4" s="42"/>
      <c r="H4" s="42"/>
      <c r="I4" s="42"/>
      <c r="J4" s="42"/>
    </row>
    <row r="5" spans="1:10">
      <c r="A5" s="44" t="str">
        <f>"AS OF " &amp;RIGHT(Forecast,(LEN(Forecast)-16))</f>
        <v>AS OF MARCH 31, 2020</v>
      </c>
      <c r="B5" s="42"/>
      <c r="C5" s="42"/>
      <c r="D5" s="42"/>
      <c r="E5" s="42"/>
      <c r="F5" s="42"/>
      <c r="G5" s="42"/>
      <c r="H5" s="42"/>
      <c r="I5" s="42"/>
      <c r="J5" s="42"/>
    </row>
    <row r="7" spans="1:10">
      <c r="A7" s="45" t="str">
        <f>DataB</f>
        <v>DATA: "X" BASE PERIOD  "X" FORECASTED PERIOD</v>
      </c>
      <c r="B7" s="46"/>
      <c r="C7" s="46"/>
      <c r="I7" s="47" t="s">
        <v>2016</v>
      </c>
    </row>
    <row r="8" spans="1:10">
      <c r="A8" s="48" t="str">
        <f>Type</f>
        <v xml:space="preserve">TYPE OF FILING:  "X" ORIGINAL   UPDATED    REVISED  </v>
      </c>
      <c r="I8" s="47" t="s">
        <v>564</v>
      </c>
    </row>
    <row r="9" spans="1:10">
      <c r="A9" s="47" t="s">
        <v>565</v>
      </c>
      <c r="I9" s="47" t="s">
        <v>566</v>
      </c>
    </row>
    <row r="10" spans="1:10">
      <c r="I10" s="47" t="str">
        <f>_WIT1</f>
        <v>S. E. LAWLER</v>
      </c>
    </row>
    <row r="11" spans="1:10">
      <c r="A11" s="49"/>
      <c r="B11" s="49"/>
      <c r="C11" s="49"/>
      <c r="D11" s="49"/>
      <c r="E11" s="49"/>
      <c r="F11" s="49"/>
      <c r="G11" s="49"/>
      <c r="H11" s="49"/>
      <c r="I11" s="49"/>
      <c r="J11" s="50"/>
    </row>
    <row r="12" spans="1:10">
      <c r="I12" s="51"/>
      <c r="J12" s="52"/>
    </row>
    <row r="13" spans="1:10">
      <c r="E13" s="51" t="s">
        <v>2171</v>
      </c>
      <c r="H13" s="563"/>
      <c r="I13" s="41" t="s">
        <v>2017</v>
      </c>
      <c r="J13" s="52"/>
    </row>
    <row r="14" spans="1:10">
      <c r="A14" s="51" t="s">
        <v>567</v>
      </c>
      <c r="E14" s="51" t="s">
        <v>739</v>
      </c>
      <c r="G14" s="53" t="s">
        <v>740</v>
      </c>
      <c r="I14" s="51" t="s">
        <v>1127</v>
      </c>
      <c r="J14" s="52"/>
    </row>
    <row r="15" spans="1:10">
      <c r="A15" s="51" t="s">
        <v>2169</v>
      </c>
      <c r="C15" s="47" t="s">
        <v>2018</v>
      </c>
      <c r="E15" s="51" t="s">
        <v>742</v>
      </c>
      <c r="G15" s="53" t="s">
        <v>743</v>
      </c>
      <c r="I15" s="51" t="s">
        <v>743</v>
      </c>
      <c r="J15" s="52"/>
    </row>
    <row r="16" spans="1:10">
      <c r="A16" s="54"/>
      <c r="B16" s="49"/>
      <c r="C16" s="49"/>
      <c r="D16" s="49"/>
      <c r="E16" s="49"/>
      <c r="F16" s="49"/>
      <c r="G16" s="49"/>
      <c r="H16" s="49"/>
      <c r="I16" s="49"/>
      <c r="J16" s="50"/>
    </row>
    <row r="17" spans="1:12">
      <c r="A17" s="53"/>
      <c r="J17" s="52"/>
    </row>
    <row r="18" spans="1:12">
      <c r="A18" s="51">
        <v>1</v>
      </c>
      <c r="C18" s="55" t="s">
        <v>2019</v>
      </c>
      <c r="E18" s="56" t="s">
        <v>2020</v>
      </c>
      <c r="F18" s="57"/>
      <c r="G18" s="667">
        <f>ROUND('SCH B-2'!G40,0)</f>
        <v>566008168</v>
      </c>
      <c r="H18" s="57"/>
      <c r="I18" s="667">
        <f>ROUND('SCH B-2'!G86,0)</f>
        <v>588627191</v>
      </c>
      <c r="J18" s="57"/>
    </row>
    <row r="19" spans="1:12">
      <c r="A19" s="53"/>
      <c r="C19" s="58"/>
      <c r="E19" s="57"/>
      <c r="F19" s="57"/>
      <c r="G19" s="59"/>
      <c r="H19" s="57"/>
      <c r="I19" s="59"/>
      <c r="J19" s="57"/>
    </row>
    <row r="20" spans="1:12">
      <c r="A20" s="53">
        <v>2</v>
      </c>
      <c r="C20" s="55" t="s">
        <v>2021</v>
      </c>
      <c r="E20" s="2029" t="s">
        <v>2513</v>
      </c>
      <c r="F20" s="57"/>
      <c r="G20" s="831">
        <f>-ROUND('SCH B-3'!K192,0)</f>
        <v>-179547144</v>
      </c>
      <c r="H20" s="57"/>
      <c r="I20" s="831">
        <f ca="1">-(ROUND('SCH B-3'!K389,0)+SCH_D2.23!J27)</f>
        <v>-187541693</v>
      </c>
      <c r="J20" s="56">
        <v>-1</v>
      </c>
      <c r="K20" s="1175"/>
    </row>
    <row r="21" spans="1:12">
      <c r="A21" s="53"/>
      <c r="C21" s="55"/>
      <c r="E21" s="56"/>
      <c r="F21" s="57"/>
      <c r="G21" s="60"/>
      <c r="H21" s="57"/>
      <c r="I21" s="60"/>
      <c r="J21" s="57"/>
    </row>
    <row r="22" spans="1:12">
      <c r="A22" s="53">
        <v>3</v>
      </c>
      <c r="C22" s="55" t="s">
        <v>2022</v>
      </c>
      <c r="E22" s="57"/>
      <c r="F22" s="57"/>
      <c r="G22" s="61">
        <f>G18+G20</f>
        <v>386461024</v>
      </c>
      <c r="H22" s="57"/>
      <c r="I22" s="61">
        <f ca="1">PLANT_IN_SERVICE+I20</f>
        <v>401085498</v>
      </c>
      <c r="J22" s="57"/>
    </row>
    <row r="23" spans="1:12">
      <c r="A23" s="53"/>
      <c r="C23" s="58"/>
      <c r="E23" s="57"/>
      <c r="F23" s="57"/>
      <c r="G23" s="61"/>
      <c r="H23" s="57"/>
      <c r="I23" s="61"/>
      <c r="J23" s="57"/>
    </row>
    <row r="24" spans="1:12">
      <c r="A24" s="51">
        <v>4</v>
      </c>
      <c r="C24" s="55" t="s">
        <v>2023</v>
      </c>
      <c r="E24" s="1241" t="s">
        <v>678</v>
      </c>
      <c r="G24" s="3125">
        <v>0</v>
      </c>
      <c r="H24" s="46"/>
      <c r="I24" s="3125">
        <v>0</v>
      </c>
      <c r="J24" s="57"/>
    </row>
    <row r="25" spans="1:12">
      <c r="A25" s="53"/>
      <c r="C25" s="58"/>
      <c r="E25" s="57"/>
      <c r="F25" s="57"/>
      <c r="G25" s="61"/>
      <c r="H25" s="57"/>
      <c r="I25" s="61"/>
      <c r="J25" s="57"/>
      <c r="L25" s="3502"/>
    </row>
    <row r="26" spans="1:12">
      <c r="A26" s="53">
        <v>5</v>
      </c>
      <c r="C26" s="55" t="s">
        <v>2024</v>
      </c>
      <c r="E26" s="56" t="s">
        <v>2025</v>
      </c>
      <c r="F26" s="57"/>
      <c r="G26" s="61">
        <f>SCH_B5s!M17</f>
        <v>2978574</v>
      </c>
      <c r="H26" s="57"/>
      <c r="I26" s="61">
        <f ca="1">SCH_B5s!O17</f>
        <v>3021735</v>
      </c>
      <c r="J26" s="57"/>
    </row>
    <row r="27" spans="1:12">
      <c r="A27" s="53"/>
      <c r="C27" s="55"/>
      <c r="E27" s="56"/>
      <c r="F27" s="57"/>
      <c r="G27" s="61"/>
      <c r="H27" s="57"/>
      <c r="I27" s="61"/>
      <c r="J27" s="57"/>
    </row>
    <row r="28" spans="1:12">
      <c r="A28" s="53">
        <v>6</v>
      </c>
      <c r="C28" s="55" t="s">
        <v>2026</v>
      </c>
      <c r="E28" s="56" t="s">
        <v>2025</v>
      </c>
      <c r="F28" s="57"/>
      <c r="G28" s="61">
        <f>SCH_B5s!M41-G26</f>
        <v>5423808</v>
      </c>
      <c r="H28" s="57"/>
      <c r="I28" s="61">
        <f ca="1">SCH_B5s!O41-I26</f>
        <v>5423808</v>
      </c>
      <c r="J28" s="57"/>
    </row>
    <row r="29" spans="1:12">
      <c r="A29" s="51"/>
      <c r="C29" s="58"/>
      <c r="E29" s="57"/>
      <c r="F29" s="57"/>
      <c r="G29" s="61"/>
      <c r="H29" s="57"/>
      <c r="I29" s="61"/>
      <c r="J29" s="57"/>
    </row>
    <row r="30" spans="1:12">
      <c r="A30" s="53">
        <v>7</v>
      </c>
      <c r="C30" s="55" t="s">
        <v>2027</v>
      </c>
      <c r="E30" s="57"/>
      <c r="G30" s="61"/>
      <c r="I30" s="61"/>
      <c r="J30" s="57"/>
    </row>
    <row r="31" spans="1:12">
      <c r="A31" s="53"/>
      <c r="C31" s="55"/>
      <c r="E31" s="57"/>
      <c r="G31" s="61"/>
      <c r="I31" s="61"/>
      <c r="J31" s="57"/>
    </row>
    <row r="32" spans="1:12">
      <c r="A32" s="53">
        <v>8</v>
      </c>
      <c r="C32" s="55" t="s">
        <v>2028</v>
      </c>
      <c r="E32" s="56" t="s">
        <v>2029</v>
      </c>
      <c r="G32" s="61">
        <f>SCH_B6!P19</f>
        <v>-1579329</v>
      </c>
      <c r="H32" s="46"/>
      <c r="I32" s="61">
        <f>SCH_B6!P68</f>
        <v>-1579329</v>
      </c>
      <c r="J32" s="57"/>
    </row>
    <row r="33" spans="1:10">
      <c r="A33" s="53"/>
      <c r="C33" s="58"/>
      <c r="G33" s="61"/>
      <c r="H33" s="46"/>
      <c r="I33" s="61"/>
      <c r="J33" s="57"/>
    </row>
    <row r="34" spans="1:10">
      <c r="A34" s="51">
        <v>9</v>
      </c>
      <c r="C34" s="55" t="s">
        <v>876</v>
      </c>
      <c r="E34" s="56" t="s">
        <v>2029</v>
      </c>
      <c r="F34" s="57"/>
      <c r="G34" s="61">
        <f>SCH_B6!P26</f>
        <v>0</v>
      </c>
      <c r="H34" s="61"/>
      <c r="I34" s="61">
        <f>SCH_B6!P75</f>
        <v>0</v>
      </c>
      <c r="J34" s="57"/>
    </row>
    <row r="35" spans="1:10">
      <c r="A35" s="53"/>
      <c r="C35" s="58"/>
      <c r="G35" s="61"/>
      <c r="H35" s="46"/>
      <c r="I35" s="61"/>
      <c r="J35" s="57"/>
    </row>
    <row r="36" spans="1:10">
      <c r="A36" s="51">
        <v>10</v>
      </c>
      <c r="C36" s="55" t="s">
        <v>877</v>
      </c>
      <c r="E36" s="56" t="s">
        <v>2029</v>
      </c>
      <c r="F36" s="57"/>
      <c r="G36" s="61">
        <f>SCH_B6!P29</f>
        <v>-60138891</v>
      </c>
      <c r="H36" s="61"/>
      <c r="I36" s="61">
        <f ca="1">SCH_B6!P78-SCH_D1!AA312-SCH_D1!AA317-SCH_D1!AC312-SCH_D1!AC317</f>
        <v>-62956258</v>
      </c>
      <c r="J36" s="1241" t="s">
        <v>2099</v>
      </c>
    </row>
    <row r="37" spans="1:10">
      <c r="A37" s="53"/>
      <c r="C37" s="58"/>
      <c r="G37" s="61"/>
      <c r="H37" s="46"/>
      <c r="I37" s="61"/>
      <c r="J37" s="57"/>
    </row>
    <row r="38" spans="1:10">
      <c r="A38" s="53">
        <v>11</v>
      </c>
      <c r="C38" s="2335" t="s">
        <v>2756</v>
      </c>
      <c r="E38" s="56" t="s">
        <v>2029</v>
      </c>
      <c r="G38" s="61">
        <f>SCH_B6!P31</f>
        <v>-31973622</v>
      </c>
      <c r="H38" s="46"/>
      <c r="I38" s="61">
        <f>SCH_B6!P80</f>
        <v>-31320215</v>
      </c>
      <c r="J38" s="57"/>
    </row>
    <row r="39" spans="1:10">
      <c r="A39" s="53"/>
      <c r="C39" s="58"/>
      <c r="G39" s="61"/>
      <c r="H39" s="46"/>
      <c r="I39" s="61"/>
      <c r="J39" s="57"/>
    </row>
    <row r="40" spans="1:10">
      <c r="A40" s="53">
        <v>12</v>
      </c>
      <c r="C40" s="55" t="s">
        <v>878</v>
      </c>
      <c r="E40" s="56" t="s">
        <v>2029</v>
      </c>
      <c r="F40" s="57"/>
      <c r="G40" s="832">
        <v>0</v>
      </c>
      <c r="H40" s="61"/>
      <c r="I40" s="832">
        <v>0</v>
      </c>
      <c r="J40" s="57"/>
    </row>
    <row r="41" spans="1:10">
      <c r="C41" s="55"/>
      <c r="E41" s="56"/>
      <c r="F41" s="57"/>
      <c r="G41" s="57"/>
      <c r="H41" s="57"/>
      <c r="I41" s="62"/>
      <c r="J41" s="57"/>
    </row>
    <row r="42" spans="1:10" ht="15.6" thickBot="1">
      <c r="A42" s="53">
        <v>13</v>
      </c>
      <c r="C42" s="2335" t="s">
        <v>2561</v>
      </c>
      <c r="E42" s="57"/>
      <c r="F42" s="57"/>
      <c r="G42" s="833">
        <f>SUM(G22:G40)</f>
        <v>301171564</v>
      </c>
      <c r="H42" s="57"/>
      <c r="I42" s="833">
        <f ca="1">SUM(I22:I40)</f>
        <v>313675239</v>
      </c>
      <c r="J42" s="57"/>
    </row>
    <row r="43" spans="1:10" ht="15.6" thickTop="1">
      <c r="A43" s="53"/>
      <c r="C43" s="58"/>
      <c r="I43" s="63"/>
      <c r="J43" s="57"/>
    </row>
    <row r="44" spans="1:10">
      <c r="A44" s="51"/>
    </row>
    <row r="45" spans="1:10">
      <c r="A45" s="53"/>
      <c r="C45" s="1242" t="s">
        <v>2976</v>
      </c>
      <c r="J45" s="57"/>
    </row>
    <row r="46" spans="1:10">
      <c r="A46" s="53"/>
      <c r="C46" s="1242" t="s">
        <v>2512</v>
      </c>
      <c r="J46" s="57"/>
    </row>
    <row r="47" spans="1:10">
      <c r="A47" s="53"/>
      <c r="C47" s="47"/>
      <c r="J47" s="57"/>
    </row>
    <row r="48" spans="1:10">
      <c r="A48" s="53"/>
      <c r="C48" s="47"/>
    </row>
    <row r="49" spans="1:1">
      <c r="A49" s="53"/>
    </row>
    <row r="51" spans="1:1">
      <c r="A51" s="47"/>
    </row>
  </sheetData>
  <phoneticPr fontId="4" type="noConversion"/>
  <pageMargins left="1" right="0.75" top="0.98425196850393704" bottom="0" header="0" footer="0"/>
  <pageSetup scale="65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tabColor rgb="FFFF9900"/>
    <pageSetUpPr fitToPage="1"/>
  </sheetPr>
  <dimension ref="A1:AI138"/>
  <sheetViews>
    <sheetView zoomScale="80" zoomScaleNormal="80" workbookViewId="0"/>
  </sheetViews>
  <sheetFormatPr defaultColWidth="8" defaultRowHeight="13.2"/>
  <cols>
    <col min="1" max="1" width="5.5546875" style="2568" customWidth="1"/>
    <col min="2" max="2" width="23.6640625" style="2568" customWidth="1"/>
    <col min="3" max="3" width="11.6640625" style="2568" customWidth="1"/>
    <col min="4" max="4" width="16" style="2568" customWidth="1"/>
    <col min="5" max="5" width="13.109375" style="2568" customWidth="1"/>
    <col min="6" max="7" width="13.44140625" style="2568" customWidth="1"/>
    <col min="8" max="8" width="15" style="2568" customWidth="1"/>
    <col min="9" max="9" width="14.88671875" style="2568" customWidth="1"/>
    <col min="10" max="10" width="15" style="2568" customWidth="1"/>
    <col min="11" max="11" width="13.33203125" style="2568" customWidth="1"/>
    <col min="12" max="12" width="8" style="2568" customWidth="1"/>
    <col min="13" max="13" width="6.44140625" style="2568" customWidth="1"/>
    <col min="14" max="14" width="43" style="2568" customWidth="1"/>
    <col min="15" max="15" width="12.88671875" style="2568" customWidth="1"/>
    <col min="16" max="16" width="13.6640625" style="2568" customWidth="1"/>
    <col min="17" max="21" width="11.6640625" style="2568" customWidth="1"/>
    <col min="22" max="23" width="11.6640625" style="2503" customWidth="1"/>
    <col min="24" max="27" width="11.88671875" style="2503" customWidth="1"/>
    <col min="28" max="28" width="8" style="2568"/>
    <col min="29" max="29" width="8.5546875" style="2568" bestFit="1" customWidth="1"/>
    <col min="30" max="30" width="9.6640625" style="2568" bestFit="1" customWidth="1"/>
    <col min="31" max="31" width="10.33203125" style="2568" customWidth="1"/>
    <col min="32" max="16384" width="8" style="2568"/>
  </cols>
  <sheetData>
    <row r="1" spans="1:18">
      <c r="A1" s="2565" t="str">
        <f>COMPANY</f>
        <v>DUKE ENERGY KENTUCKY, INC.</v>
      </c>
      <c r="B1" s="2566"/>
      <c r="C1" s="2566"/>
      <c r="D1" s="2566"/>
      <c r="E1" s="2566"/>
      <c r="F1" s="2567"/>
      <c r="G1" s="2566"/>
      <c r="H1" s="2566"/>
      <c r="I1" s="2566"/>
      <c r="J1" s="2566"/>
      <c r="K1" s="2566"/>
      <c r="N1" s="2338"/>
      <c r="O1" s="2338"/>
      <c r="P1" s="2446"/>
    </row>
    <row r="2" spans="1:18">
      <c r="A2" s="2565" t="str">
        <f>CASE</f>
        <v>CASE NO. 2018-00261</v>
      </c>
      <c r="B2" s="2566"/>
      <c r="C2" s="2566"/>
      <c r="D2" s="2566"/>
      <c r="E2" s="2566"/>
      <c r="F2" s="2567"/>
      <c r="G2" s="2566"/>
      <c r="H2" s="2566"/>
      <c r="I2" s="2566"/>
      <c r="J2" s="2566"/>
      <c r="K2" s="2566"/>
      <c r="N2" s="2503"/>
      <c r="O2" s="2503"/>
      <c r="P2" s="2503"/>
      <c r="Q2" s="2503"/>
      <c r="R2" s="2503"/>
    </row>
    <row r="3" spans="1:18">
      <c r="A3" s="2565" t="s">
        <v>520</v>
      </c>
      <c r="B3" s="2566"/>
      <c r="C3" s="2566"/>
      <c r="D3" s="2566"/>
      <c r="E3" s="2566"/>
      <c r="F3" s="2567"/>
      <c r="G3" s="2566"/>
      <c r="H3" s="2566"/>
      <c r="I3" s="2566"/>
      <c r="J3" s="2566"/>
      <c r="K3" s="2566"/>
      <c r="N3" s="2503"/>
      <c r="O3" s="2503"/>
      <c r="P3" s="2503"/>
      <c r="Q3" s="2503"/>
      <c r="R3" s="2503"/>
    </row>
    <row r="4" spans="1:18">
      <c r="A4" s="2565" t="str">
        <f>PERIOD</f>
        <v>FOR THE TWELVE MONTHS ENDED NOVEMBER 30, 2018</v>
      </c>
      <c r="B4" s="2566"/>
      <c r="C4" s="2566"/>
      <c r="D4" s="2566"/>
      <c r="E4" s="2566"/>
      <c r="F4" s="2567"/>
      <c r="G4" s="2566"/>
      <c r="H4" s="2566"/>
      <c r="I4" s="2566"/>
      <c r="J4" s="2566"/>
      <c r="K4" s="2566"/>
    </row>
    <row r="5" spans="1:18">
      <c r="A5" s="2566"/>
      <c r="B5" s="2566"/>
      <c r="C5" s="2566"/>
      <c r="D5" s="2566"/>
      <c r="E5" s="2566"/>
      <c r="F5" s="2566"/>
      <c r="G5" s="2566"/>
      <c r="H5" s="2566"/>
      <c r="I5" s="2566"/>
      <c r="J5" s="2566"/>
      <c r="K5" s="2566"/>
    </row>
    <row r="7" spans="1:18">
      <c r="A7" s="2569" t="str">
        <f>Data</f>
        <v>DATA: "X" BASE PERIOD   FORECASTED PERIOD</v>
      </c>
      <c r="I7" s="2570"/>
      <c r="J7" s="2570" t="s">
        <v>521</v>
      </c>
    </row>
    <row r="8" spans="1:18">
      <c r="A8" s="2569" t="str">
        <f>LOGO!$B$15</f>
        <v xml:space="preserve">TYPE OF FILING:  "X" ORIGINAL   UPDATED    REVISED  </v>
      </c>
      <c r="I8" s="2570"/>
      <c r="J8" s="2570" t="s">
        <v>2092</v>
      </c>
    </row>
    <row r="9" spans="1:18">
      <c r="A9" s="2570" t="s">
        <v>429</v>
      </c>
      <c r="I9" s="2570"/>
      <c r="J9" s="2570" t="s">
        <v>566</v>
      </c>
    </row>
    <row r="10" spans="1:18">
      <c r="I10" s="2570"/>
      <c r="J10" s="2570" t="str">
        <f>_WIT1</f>
        <v>S. E. LAWLER</v>
      </c>
    </row>
    <row r="11" spans="1:18">
      <c r="A11" s="2571"/>
      <c r="B11" s="2571"/>
      <c r="C11" s="2571"/>
      <c r="D11" s="2571"/>
      <c r="E11" s="2571"/>
      <c r="F11" s="2571"/>
      <c r="G11" s="2571"/>
      <c r="H11" s="2571"/>
      <c r="I11" s="2571"/>
      <c r="J11" s="2571"/>
      <c r="K11" s="2571"/>
    </row>
    <row r="12" spans="1:18">
      <c r="B12" s="2572"/>
      <c r="C12" s="2573" t="s">
        <v>522</v>
      </c>
      <c r="D12" s="2573"/>
      <c r="E12" s="2573"/>
      <c r="F12" s="2572" t="s">
        <v>2153</v>
      </c>
      <c r="G12" s="2572" t="s">
        <v>523</v>
      </c>
    </row>
    <row r="13" spans="1:18">
      <c r="A13" s="2572" t="s">
        <v>1938</v>
      </c>
      <c r="B13" s="2572"/>
      <c r="C13" s="2572" t="s">
        <v>524</v>
      </c>
      <c r="D13" s="2572" t="s">
        <v>1897</v>
      </c>
      <c r="E13" s="2572"/>
      <c r="F13" s="2572" t="s">
        <v>2135</v>
      </c>
      <c r="G13" s="2572" t="s">
        <v>2010</v>
      </c>
      <c r="H13" s="2572" t="s">
        <v>1898</v>
      </c>
      <c r="I13" s="2572"/>
      <c r="J13" s="2572" t="s">
        <v>1898</v>
      </c>
      <c r="K13" s="2572" t="s">
        <v>2010</v>
      </c>
    </row>
    <row r="14" spans="1:18">
      <c r="A14" s="2572" t="s">
        <v>1939</v>
      </c>
      <c r="B14" s="2572" t="s">
        <v>1988</v>
      </c>
      <c r="C14" s="2572" t="s">
        <v>1899</v>
      </c>
      <c r="D14" s="2572" t="s">
        <v>1900</v>
      </c>
      <c r="E14" s="2572" t="s">
        <v>1559</v>
      </c>
      <c r="F14" s="2572" t="s">
        <v>569</v>
      </c>
      <c r="G14" s="2572" t="s">
        <v>570</v>
      </c>
      <c r="H14" s="2572" t="s">
        <v>569</v>
      </c>
      <c r="I14" s="2572" t="s">
        <v>571</v>
      </c>
      <c r="J14" s="2572" t="s">
        <v>572</v>
      </c>
      <c r="K14" s="2572" t="s">
        <v>573</v>
      </c>
    </row>
    <row r="15" spans="1:18">
      <c r="A15" s="2571"/>
      <c r="B15" s="2571"/>
      <c r="C15" s="2571"/>
      <c r="D15" s="2571"/>
      <c r="E15" s="2571"/>
      <c r="F15" s="2571"/>
      <c r="G15" s="2571"/>
      <c r="H15" s="2571"/>
      <c r="I15" s="2571"/>
      <c r="J15" s="2571"/>
      <c r="K15" s="2571"/>
    </row>
    <row r="16" spans="1:18">
      <c r="C16" s="2572" t="s">
        <v>1134</v>
      </c>
      <c r="D16" s="2572" t="s">
        <v>1134</v>
      </c>
      <c r="E16" s="2572" t="s">
        <v>1134</v>
      </c>
      <c r="F16" s="2572" t="s">
        <v>1134</v>
      </c>
      <c r="G16" s="2572"/>
      <c r="H16" s="2572" t="s">
        <v>1134</v>
      </c>
      <c r="I16" s="2572" t="s">
        <v>1134</v>
      </c>
      <c r="J16" s="2572" t="s">
        <v>1134</v>
      </c>
    </row>
    <row r="17" spans="1:13">
      <c r="A17" s="2574">
        <v>1</v>
      </c>
      <c r="B17" s="2575"/>
      <c r="F17" s="2576"/>
      <c r="G17" s="2576"/>
      <c r="H17" s="2576"/>
      <c r="I17" s="2576"/>
    </row>
    <row r="18" spans="1:13">
      <c r="A18" s="2574">
        <v>2</v>
      </c>
      <c r="B18" s="2577" t="s">
        <v>574</v>
      </c>
      <c r="C18" s="2578">
        <v>0</v>
      </c>
      <c r="D18" s="2578">
        <v>0</v>
      </c>
      <c r="E18" s="2579">
        <f>O67</f>
        <v>0</v>
      </c>
      <c r="F18" s="2579">
        <f>SUM(C18:E18)</f>
        <v>0</v>
      </c>
      <c r="G18" s="2580">
        <f>VLOOKUP(K18,ALLOCTABLE,2)</f>
        <v>100</v>
      </c>
      <c r="H18" s="2581">
        <f>ROUND(F18*(G18/100),0)</f>
        <v>0</v>
      </c>
      <c r="I18" s="2578">
        <v>0</v>
      </c>
      <c r="J18" s="2582">
        <f>H18+I18</f>
        <v>0</v>
      </c>
      <c r="K18" s="2583" t="s">
        <v>591</v>
      </c>
    </row>
    <row r="19" spans="1:13">
      <c r="A19" s="2574">
        <v>3</v>
      </c>
      <c r="B19" s="2577"/>
      <c r="C19" s="2578"/>
      <c r="D19" s="2578"/>
      <c r="E19" s="2551"/>
      <c r="F19" s="2584"/>
      <c r="G19" s="2580"/>
      <c r="H19" s="2581"/>
      <c r="I19" s="2578"/>
      <c r="J19" s="2582"/>
      <c r="K19" s="2583"/>
    </row>
    <row r="20" spans="1:13">
      <c r="A20" s="2572">
        <v>4</v>
      </c>
      <c r="B20" s="2585" t="s">
        <v>576</v>
      </c>
      <c r="C20" s="2578">
        <v>0</v>
      </c>
      <c r="D20" s="2578">
        <v>0</v>
      </c>
      <c r="E20" s="2579">
        <f>O71</f>
        <v>0</v>
      </c>
      <c r="F20" s="2579">
        <f>SUM(C20:E20)</f>
        <v>0</v>
      </c>
      <c r="G20" s="2580">
        <f>VLOOKUP(K20,ALLOCTABLE,2)</f>
        <v>100</v>
      </c>
      <c r="H20" s="2581">
        <f>ROUND(F20*(G20/100),0)</f>
        <v>0</v>
      </c>
      <c r="I20" s="2578">
        <v>0</v>
      </c>
      <c r="J20" s="2582">
        <f>H20+I20</f>
        <v>0</v>
      </c>
      <c r="K20" s="2583" t="s">
        <v>591</v>
      </c>
    </row>
    <row r="21" spans="1:13">
      <c r="A21" s="2572">
        <v>5</v>
      </c>
      <c r="B21" s="2586"/>
      <c r="C21" s="2587"/>
      <c r="D21" s="2587"/>
      <c r="E21" s="2551"/>
      <c r="F21" s="2584"/>
      <c r="G21" s="2580"/>
      <c r="H21" s="2581"/>
      <c r="I21" s="2587"/>
      <c r="J21" s="2582"/>
      <c r="K21" s="2583"/>
    </row>
    <row r="22" spans="1:13">
      <c r="A22" s="2574">
        <v>6</v>
      </c>
      <c r="B22" s="2585" t="s">
        <v>578</v>
      </c>
      <c r="C22" s="2578">
        <v>0</v>
      </c>
      <c r="D22" s="2578">
        <v>0</v>
      </c>
      <c r="E22" s="2579">
        <f>O75</f>
        <v>0</v>
      </c>
      <c r="F22" s="2579">
        <f>SUM(C22:E22)</f>
        <v>0</v>
      </c>
      <c r="G22" s="2580">
        <f>VLOOKUP(K22,ALLOCTABLE,2)</f>
        <v>100</v>
      </c>
      <c r="H22" s="2581">
        <f>ROUND(F22*(G22/100),0)</f>
        <v>0</v>
      </c>
      <c r="I22" s="2578">
        <v>0</v>
      </c>
      <c r="J22" s="2582">
        <f>H22+I22</f>
        <v>0</v>
      </c>
      <c r="K22" s="2583" t="s">
        <v>591</v>
      </c>
    </row>
    <row r="23" spans="1:13">
      <c r="A23" s="2574">
        <v>7</v>
      </c>
      <c r="B23" s="2585"/>
      <c r="C23" s="2587"/>
      <c r="D23" s="2587"/>
      <c r="E23" s="2588"/>
      <c r="F23" s="2589"/>
      <c r="G23" s="2590"/>
      <c r="H23" s="2576"/>
      <c r="I23" s="2587"/>
    </row>
    <row r="24" spans="1:13">
      <c r="A24" s="2574">
        <v>8</v>
      </c>
      <c r="B24" s="2577" t="s">
        <v>1559</v>
      </c>
      <c r="C24" s="2591">
        <v>0</v>
      </c>
      <c r="D24" s="2591">
        <v>0</v>
      </c>
      <c r="E24" s="2592">
        <f>O100</f>
        <v>921498</v>
      </c>
      <c r="F24" s="2592">
        <f>SUM(C24:E24)</f>
        <v>921498</v>
      </c>
      <c r="G24" s="2580">
        <f>VLOOKUP(K24,ALLOCTABLE,2)</f>
        <v>100</v>
      </c>
      <c r="H24" s="2593">
        <f>ROUND(F24*(G24/100),0)</f>
        <v>921498</v>
      </c>
      <c r="I24" s="2591">
        <v>0</v>
      </c>
      <c r="J24" s="2594">
        <f>H24+I24</f>
        <v>921498</v>
      </c>
      <c r="K24" s="2583" t="s">
        <v>591</v>
      </c>
    </row>
    <row r="25" spans="1:13">
      <c r="A25" s="2574">
        <v>9</v>
      </c>
      <c r="B25" s="2595"/>
      <c r="C25" s="2578"/>
      <c r="D25" s="2578"/>
      <c r="E25" s="2578"/>
      <c r="F25" s="2584"/>
      <c r="G25" s="2596"/>
      <c r="H25" s="2581"/>
      <c r="I25" s="2581"/>
      <c r="J25" s="2582"/>
      <c r="K25" s="2583"/>
    </row>
    <row r="26" spans="1:13">
      <c r="A26" s="2574">
        <v>10</v>
      </c>
      <c r="B26" s="2597" t="s">
        <v>2153</v>
      </c>
      <c r="C26" s="2598">
        <f>C18+C20+C22+C24</f>
        <v>0</v>
      </c>
      <c r="D26" s="2598">
        <f>D18+D20+D22+D24</f>
        <v>0</v>
      </c>
      <c r="E26" s="2598">
        <f>E18+E20+E22+E24</f>
        <v>921498</v>
      </c>
      <c r="F26" s="2598">
        <f>F18+F20+F22+F24</f>
        <v>921498</v>
      </c>
      <c r="G26" s="2599"/>
      <c r="H26" s="2598">
        <f>H18+H20+H22+H24</f>
        <v>921498</v>
      </c>
      <c r="I26" s="2598">
        <f>I18+I20+I22+I24</f>
        <v>0</v>
      </c>
      <c r="J26" s="2598">
        <f>J18+J20+J22+J24</f>
        <v>921498</v>
      </c>
      <c r="K26" s="2600"/>
    </row>
    <row r="28" spans="1:13">
      <c r="A28" s="2601"/>
      <c r="B28" s="2601"/>
      <c r="C28" s="2601"/>
      <c r="D28" s="2601"/>
      <c r="E28" s="2601"/>
      <c r="F28" s="2601"/>
      <c r="G28" s="2601"/>
      <c r="H28" s="2601"/>
      <c r="I28" s="2601"/>
      <c r="J28" s="2601"/>
      <c r="K28" s="2601"/>
    </row>
    <row r="29" spans="1:13">
      <c r="A29" s="2565" t="str">
        <f>COMPANY</f>
        <v>DUKE ENERGY KENTUCKY, INC.</v>
      </c>
      <c r="B29" s="2566"/>
      <c r="C29" s="2566"/>
      <c r="D29" s="2566"/>
      <c r="E29" s="2566"/>
      <c r="F29" s="2567"/>
      <c r="G29" s="2566"/>
      <c r="H29" s="2566"/>
      <c r="I29" s="2566"/>
      <c r="J29" s="2566"/>
      <c r="K29" s="2566"/>
      <c r="L29" s="2576"/>
      <c r="M29" s="2576"/>
    </row>
    <row r="30" spans="1:13">
      <c r="A30" s="2565" t="str">
        <f>CASE</f>
        <v>CASE NO. 2018-00261</v>
      </c>
      <c r="B30" s="2566"/>
      <c r="C30" s="2566"/>
      <c r="D30" s="2566"/>
      <c r="E30" s="2566"/>
      <c r="F30" s="2567"/>
      <c r="G30" s="2566"/>
      <c r="H30" s="2566"/>
      <c r="I30" s="2566"/>
      <c r="J30" s="2566"/>
      <c r="K30" s="2566"/>
      <c r="L30" s="2576"/>
      <c r="M30" s="2576"/>
    </row>
    <row r="31" spans="1:13">
      <c r="A31" s="2565" t="s">
        <v>520</v>
      </c>
      <c r="B31" s="2566"/>
      <c r="C31" s="2566"/>
      <c r="D31" s="2566"/>
      <c r="E31" s="2566"/>
      <c r="F31" s="2567"/>
      <c r="G31" s="2566"/>
      <c r="H31" s="2566"/>
      <c r="I31" s="2566"/>
      <c r="J31" s="2566"/>
      <c r="K31" s="2566"/>
      <c r="L31" s="2576"/>
      <c r="M31" s="2576"/>
    </row>
    <row r="32" spans="1:13">
      <c r="A32" s="2565" t="str">
        <f>PeriodF</f>
        <v>FOR THE TWELVE MONTHS ENDED MARCH 31, 2020</v>
      </c>
      <c r="B32" s="2566"/>
      <c r="C32" s="2566"/>
      <c r="D32" s="2566"/>
      <c r="E32" s="2566"/>
      <c r="F32" s="2567"/>
      <c r="G32" s="2566"/>
      <c r="H32" s="2566"/>
      <c r="I32" s="2566"/>
      <c r="J32" s="2566"/>
      <c r="K32" s="2566"/>
      <c r="L32" s="2576"/>
      <c r="M32" s="2576"/>
    </row>
    <row r="33" spans="1:13">
      <c r="A33" s="2566"/>
      <c r="B33" s="2566"/>
      <c r="C33" s="2566"/>
      <c r="D33" s="2566"/>
      <c r="E33" s="2566"/>
      <c r="F33" s="2566"/>
      <c r="G33" s="2566"/>
      <c r="H33" s="2566"/>
      <c r="I33" s="2566"/>
      <c r="J33" s="2566"/>
      <c r="K33" s="2566"/>
      <c r="L33" s="2576"/>
      <c r="M33" s="2576"/>
    </row>
    <row r="34" spans="1:13">
      <c r="L34" s="2576"/>
      <c r="M34" s="2576"/>
    </row>
    <row r="35" spans="1:13">
      <c r="A35" s="2569" t="str">
        <f>DataF</f>
        <v>DATA:  BASE PERIOD  "X" FORECASTED PERIOD</v>
      </c>
      <c r="I35" s="2570"/>
      <c r="J35" s="2570" t="s">
        <v>521</v>
      </c>
      <c r="L35" s="2576"/>
      <c r="M35" s="2576"/>
    </row>
    <row r="36" spans="1:13">
      <c r="A36" s="2569" t="str">
        <f>LOGO!$B$15</f>
        <v xml:space="preserve">TYPE OF FILING:  "X" ORIGINAL   UPDATED    REVISED  </v>
      </c>
      <c r="I36" s="2570"/>
      <c r="J36" s="2570" t="s">
        <v>762</v>
      </c>
      <c r="L36" s="2576"/>
      <c r="M36" s="2576"/>
    </row>
    <row r="37" spans="1:13">
      <c r="A37" s="2570" t="str">
        <f>A9</f>
        <v>WORK PAPER REFERENCE NO(S).: WPF-5a, WPF-5b</v>
      </c>
      <c r="I37" s="2570"/>
      <c r="J37" s="2570" t="s">
        <v>566</v>
      </c>
      <c r="L37" s="2576"/>
      <c r="M37" s="2576"/>
    </row>
    <row r="38" spans="1:13">
      <c r="I38" s="2570"/>
      <c r="J38" s="2570" t="str">
        <f>_WIT1</f>
        <v>S. E. LAWLER</v>
      </c>
      <c r="L38" s="2576"/>
      <c r="M38" s="2576"/>
    </row>
    <row r="39" spans="1:13">
      <c r="A39" s="2571"/>
      <c r="B39" s="2571"/>
      <c r="C39" s="2571"/>
      <c r="D39" s="2571"/>
      <c r="E39" s="2571"/>
      <c r="F39" s="2571"/>
      <c r="G39" s="2571"/>
      <c r="H39" s="2571"/>
      <c r="I39" s="2571"/>
      <c r="J39" s="2571"/>
      <c r="K39" s="2571"/>
      <c r="L39" s="2576"/>
      <c r="M39" s="2576"/>
    </row>
    <row r="40" spans="1:13">
      <c r="B40" s="2572"/>
      <c r="C40" s="2573" t="s">
        <v>522</v>
      </c>
      <c r="D40" s="2573"/>
      <c r="E40" s="2573"/>
      <c r="F40" s="2572" t="s">
        <v>2153</v>
      </c>
      <c r="G40" s="2572" t="s">
        <v>523</v>
      </c>
      <c r="L40" s="2576"/>
      <c r="M40" s="2576"/>
    </row>
    <row r="41" spans="1:13">
      <c r="A41" s="2572" t="s">
        <v>1938</v>
      </c>
      <c r="B41" s="2572"/>
      <c r="C41" s="2572" t="s">
        <v>524</v>
      </c>
      <c r="D41" s="2572" t="s">
        <v>1897</v>
      </c>
      <c r="E41" s="2572"/>
      <c r="F41" s="2572" t="s">
        <v>2135</v>
      </c>
      <c r="G41" s="2572" t="s">
        <v>2010</v>
      </c>
      <c r="H41" s="2572" t="s">
        <v>1898</v>
      </c>
      <c r="I41" s="2572"/>
      <c r="J41" s="2572" t="s">
        <v>1898</v>
      </c>
      <c r="K41" s="2572" t="s">
        <v>2010</v>
      </c>
      <c r="L41" s="2576"/>
      <c r="M41" s="2576"/>
    </row>
    <row r="42" spans="1:13">
      <c r="A42" s="2572" t="s">
        <v>1939</v>
      </c>
      <c r="B42" s="2572" t="s">
        <v>1988</v>
      </c>
      <c r="C42" s="2572" t="s">
        <v>1899</v>
      </c>
      <c r="D42" s="2572" t="s">
        <v>1900</v>
      </c>
      <c r="E42" s="2572" t="s">
        <v>1559</v>
      </c>
      <c r="F42" s="2572" t="s">
        <v>569</v>
      </c>
      <c r="G42" s="2572" t="s">
        <v>570</v>
      </c>
      <c r="H42" s="2572" t="s">
        <v>569</v>
      </c>
      <c r="I42" s="2572" t="s">
        <v>571</v>
      </c>
      <c r="J42" s="2572" t="s">
        <v>572</v>
      </c>
      <c r="K42" s="2572" t="s">
        <v>573</v>
      </c>
      <c r="L42" s="2576"/>
      <c r="M42" s="2576"/>
    </row>
    <row r="43" spans="1:13">
      <c r="A43" s="2571"/>
      <c r="B43" s="2571"/>
      <c r="C43" s="2571"/>
      <c r="D43" s="2571"/>
      <c r="E43" s="2571"/>
      <c r="F43" s="2571"/>
      <c r="G43" s="2571"/>
      <c r="H43" s="2571"/>
      <c r="I43" s="2571"/>
      <c r="J43" s="2571"/>
      <c r="K43" s="2571"/>
      <c r="L43" s="2576"/>
      <c r="M43" s="2576"/>
    </row>
    <row r="44" spans="1:13">
      <c r="C44" s="2572" t="s">
        <v>1134</v>
      </c>
      <c r="D44" s="2572" t="s">
        <v>1134</v>
      </c>
      <c r="E44" s="2572" t="s">
        <v>1134</v>
      </c>
      <c r="F44" s="2572" t="s">
        <v>1134</v>
      </c>
      <c r="G44" s="2572"/>
      <c r="H44" s="2572" t="s">
        <v>1134</v>
      </c>
      <c r="I44" s="2572" t="s">
        <v>1134</v>
      </c>
      <c r="J44" s="2572" t="s">
        <v>1134</v>
      </c>
      <c r="L44" s="2576"/>
      <c r="M44" s="2576"/>
    </row>
    <row r="45" spans="1:13">
      <c r="A45" s="2574">
        <v>1</v>
      </c>
      <c r="B45" s="2575"/>
      <c r="F45" s="2576"/>
      <c r="G45" s="2576"/>
      <c r="H45" s="2576"/>
      <c r="I45" s="2576"/>
      <c r="L45" s="2576"/>
      <c r="M45" s="2576"/>
    </row>
    <row r="46" spans="1:13">
      <c r="A46" s="2574">
        <v>2</v>
      </c>
      <c r="B46" s="2577" t="s">
        <v>574</v>
      </c>
      <c r="C46" s="2578">
        <v>0</v>
      </c>
      <c r="D46" s="2578">
        <v>0</v>
      </c>
      <c r="E46" s="2579">
        <f>O116</f>
        <v>0</v>
      </c>
      <c r="F46" s="2579">
        <f>SUM(C46:E46)</f>
        <v>0</v>
      </c>
      <c r="G46" s="2602">
        <f>VLOOKUP(K46,ALLOCTABLE,2)</f>
        <v>100</v>
      </c>
      <c r="H46" s="2581">
        <f>ROUND(F46*(G46/100),0)</f>
        <v>0</v>
      </c>
      <c r="I46" s="2578">
        <v>0</v>
      </c>
      <c r="J46" s="2582">
        <f>H46+I46</f>
        <v>0</v>
      </c>
      <c r="K46" s="2583" t="s">
        <v>591</v>
      </c>
      <c r="L46" s="2576"/>
      <c r="M46" s="2576"/>
    </row>
    <row r="47" spans="1:13">
      <c r="A47" s="2574">
        <v>3</v>
      </c>
      <c r="B47" s="2577"/>
      <c r="C47" s="2578"/>
      <c r="D47" s="2578"/>
      <c r="E47" s="2551"/>
      <c r="F47" s="2584"/>
      <c r="G47" s="2602"/>
      <c r="H47" s="2581"/>
      <c r="I47" s="2578"/>
      <c r="J47" s="2582"/>
      <c r="K47" s="2583"/>
      <c r="L47" s="2576"/>
      <c r="M47" s="2576"/>
    </row>
    <row r="48" spans="1:13">
      <c r="A48" s="2572">
        <v>4</v>
      </c>
      <c r="B48" s="2585" t="s">
        <v>576</v>
      </c>
      <c r="C48" s="2578">
        <v>0</v>
      </c>
      <c r="D48" s="2578">
        <v>0</v>
      </c>
      <c r="E48" s="2579">
        <f>O120</f>
        <v>0</v>
      </c>
      <c r="F48" s="2579">
        <f>SUM(C48:E48)</f>
        <v>0</v>
      </c>
      <c r="G48" s="2602">
        <f>VLOOKUP(K48,ALLOCTABLE,2)</f>
        <v>100</v>
      </c>
      <c r="H48" s="2581">
        <f>ROUND(F48*(G48/100),0)</f>
        <v>0</v>
      </c>
      <c r="I48" s="2578">
        <v>0</v>
      </c>
      <c r="J48" s="2582">
        <f>H48+I48</f>
        <v>0</v>
      </c>
      <c r="K48" s="2583" t="s">
        <v>591</v>
      </c>
      <c r="L48" s="2576"/>
      <c r="M48" s="2576"/>
    </row>
    <row r="49" spans="1:30">
      <c r="A49" s="2572">
        <v>5</v>
      </c>
      <c r="B49" s="2586"/>
      <c r="C49" s="2587"/>
      <c r="D49" s="2587"/>
      <c r="E49" s="2551"/>
      <c r="F49" s="2584"/>
      <c r="G49" s="2602"/>
      <c r="H49" s="2581"/>
      <c r="I49" s="2587"/>
      <c r="J49" s="2582"/>
      <c r="K49" s="2583"/>
      <c r="L49" s="2576"/>
      <c r="M49" s="2576"/>
    </row>
    <row r="50" spans="1:30">
      <c r="A50" s="2574">
        <v>6</v>
      </c>
      <c r="B50" s="2585" t="s">
        <v>578</v>
      </c>
      <c r="C50" s="2578">
        <v>0</v>
      </c>
      <c r="D50" s="2578">
        <v>0</v>
      </c>
      <c r="E50" s="2579">
        <f>O124</f>
        <v>0</v>
      </c>
      <c r="F50" s="2579">
        <f>SUM(C50:E50)</f>
        <v>0</v>
      </c>
      <c r="G50" s="2602">
        <f>VLOOKUP(K50,ALLOCTABLE,2)</f>
        <v>100</v>
      </c>
      <c r="H50" s="2581">
        <f>ROUND(F50*(G50/100),0)</f>
        <v>0</v>
      </c>
      <c r="I50" s="2578">
        <v>0</v>
      </c>
      <c r="J50" s="2582">
        <f>H50+I50</f>
        <v>0</v>
      </c>
      <c r="K50" s="2583" t="s">
        <v>591</v>
      </c>
    </row>
    <row r="51" spans="1:30">
      <c r="A51" s="2574">
        <v>7</v>
      </c>
      <c r="B51" s="2585"/>
      <c r="C51" s="2587"/>
      <c r="D51" s="2587"/>
      <c r="E51" s="2588"/>
      <c r="F51" s="2589"/>
      <c r="G51" s="2603"/>
      <c r="H51" s="2576"/>
      <c r="I51" s="2587"/>
      <c r="L51" s="2576"/>
      <c r="M51" s="2576"/>
    </row>
    <row r="52" spans="1:30">
      <c r="A52" s="2574">
        <v>8</v>
      </c>
      <c r="B52" s="2577" t="s">
        <v>1559</v>
      </c>
      <c r="C52" s="2591">
        <v>0</v>
      </c>
      <c r="D52" s="2591">
        <v>0</v>
      </c>
      <c r="E52" s="2592">
        <f>O132</f>
        <v>461280</v>
      </c>
      <c r="F52" s="2592">
        <f>SUM(C52:E52)</f>
        <v>461280</v>
      </c>
      <c r="G52" s="2602">
        <f>VLOOKUP(K52,ALLOCTABLE,2)</f>
        <v>100</v>
      </c>
      <c r="H52" s="2593">
        <f>ROUND(F52*(G52/100),0)</f>
        <v>461280</v>
      </c>
      <c r="I52" s="2591">
        <v>0</v>
      </c>
      <c r="J52" s="2594">
        <f>H52+I52</f>
        <v>461280</v>
      </c>
      <c r="K52" s="2583" t="s">
        <v>591</v>
      </c>
      <c r="N52" s="2503"/>
      <c r="Q52" s="2576"/>
      <c r="R52" s="2576"/>
      <c r="S52" s="2576"/>
      <c r="T52" s="2576"/>
      <c r="U52" s="2576"/>
      <c r="V52" s="2507"/>
      <c r="W52" s="2507"/>
      <c r="X52" s="2507"/>
      <c r="Y52" s="2507"/>
      <c r="Z52" s="2507"/>
      <c r="AA52" s="2507"/>
      <c r="AB52" s="2576"/>
      <c r="AC52" s="2576"/>
      <c r="AD52" s="2576"/>
    </row>
    <row r="53" spans="1:30">
      <c r="A53" s="2574">
        <v>9</v>
      </c>
      <c r="B53" s="2595"/>
      <c r="C53" s="2578"/>
      <c r="D53" s="2578"/>
      <c r="E53" s="2578"/>
      <c r="F53" s="2584"/>
      <c r="G53" s="2596"/>
      <c r="H53" s="2581"/>
      <c r="I53" s="2581"/>
      <c r="J53" s="2582"/>
      <c r="K53" s="2583"/>
      <c r="L53" s="2576"/>
      <c r="M53" s="2576"/>
    </row>
    <row r="54" spans="1:30">
      <c r="A54" s="2574">
        <v>10</v>
      </c>
      <c r="B54" s="2597" t="s">
        <v>2153</v>
      </c>
      <c r="C54" s="2598">
        <f>C46+C48+C50+C52</f>
        <v>0</v>
      </c>
      <c r="D54" s="2598">
        <f>D46+D48+D50+D52</f>
        <v>0</v>
      </c>
      <c r="E54" s="2598">
        <f>E46+E48+E50+E52</f>
        <v>461280</v>
      </c>
      <c r="F54" s="2598">
        <f>F46+F48+F50+F52</f>
        <v>461280</v>
      </c>
      <c r="G54" s="2599"/>
      <c r="H54" s="2598">
        <f>H46+H48+H50+H52</f>
        <v>461280</v>
      </c>
      <c r="I54" s="2598">
        <f>I46+I48+I50+I52</f>
        <v>0</v>
      </c>
      <c r="J54" s="2598">
        <f>J46+J48+J50+J52</f>
        <v>461280</v>
      </c>
      <c r="K54" s="2600"/>
      <c r="L54" s="2576"/>
      <c r="M54" s="2576"/>
    </row>
    <row r="55" spans="1:30">
      <c r="B55" s="2585"/>
      <c r="G55" s="2574"/>
      <c r="L55" s="2576"/>
      <c r="M55" s="2576"/>
    </row>
    <row r="56" spans="1:30">
      <c r="M56" s="2570" t="str">
        <f>COMPANY</f>
        <v>DUKE ENERGY KENTUCKY, INC.</v>
      </c>
      <c r="N56" s="2566"/>
      <c r="O56" s="2566"/>
      <c r="P56" s="2566"/>
      <c r="Q56" s="2566"/>
      <c r="R56" s="2567"/>
      <c r="S56" s="2566"/>
      <c r="T56" s="2566"/>
      <c r="V56" s="2540"/>
      <c r="W56" s="2540"/>
      <c r="Y56" s="2539" t="s">
        <v>413</v>
      </c>
    </row>
    <row r="57" spans="1:30">
      <c r="M57" s="2570" t="str">
        <f>CASE</f>
        <v>CASE NO. 2018-00261</v>
      </c>
      <c r="N57" s="2566"/>
      <c r="O57" s="2566"/>
      <c r="P57" s="2566"/>
      <c r="Q57" s="2566"/>
      <c r="R57" s="2567"/>
      <c r="S57" s="2566"/>
      <c r="T57" s="2566"/>
      <c r="V57" s="2540"/>
      <c r="W57" s="2540"/>
      <c r="Y57" s="2539" t="s">
        <v>566</v>
      </c>
    </row>
    <row r="58" spans="1:30">
      <c r="M58" s="2570" t="s">
        <v>520</v>
      </c>
      <c r="N58" s="2566"/>
      <c r="O58" s="2566"/>
      <c r="P58" s="2566"/>
      <c r="Q58" s="2566"/>
      <c r="R58" s="2567"/>
      <c r="S58" s="2566"/>
      <c r="T58" s="2566"/>
      <c r="V58" s="2540"/>
      <c r="W58" s="2540"/>
      <c r="Y58" s="2539" t="str">
        <f>_WIT1</f>
        <v>S. E. LAWLER</v>
      </c>
    </row>
    <row r="59" spans="1:30">
      <c r="M59" s="2569" t="str">
        <f>Data</f>
        <v>DATA: "X" BASE PERIOD   FORECASTED PERIOD</v>
      </c>
      <c r="N59" s="2566"/>
      <c r="O59" s="2566"/>
      <c r="P59" s="2566"/>
      <c r="Q59" s="2566"/>
      <c r="R59" s="2567"/>
      <c r="S59" s="2566"/>
      <c r="T59" s="2566"/>
      <c r="V59" s="2540"/>
      <c r="W59" s="2540"/>
    </row>
    <row r="60" spans="1:30">
      <c r="M60" s="2570" t="str">
        <f>PERIOD</f>
        <v>FOR THE TWELVE MONTHS ENDED NOVEMBER 30, 2018</v>
      </c>
      <c r="N60" s="2566"/>
      <c r="O60" s="2566"/>
      <c r="P60" s="2566"/>
      <c r="Q60" s="2566"/>
      <c r="R60" s="2566"/>
      <c r="S60" s="2566"/>
      <c r="T60" s="2566"/>
      <c r="U60" s="2566"/>
      <c r="V60" s="2540"/>
      <c r="W60" s="2540"/>
    </row>
    <row r="61" spans="1:30">
      <c r="M61" s="2571"/>
      <c r="N61" s="2571"/>
      <c r="O61" s="2571"/>
      <c r="P61" s="2571"/>
      <c r="Q61" s="2571"/>
      <c r="R61" s="2571"/>
      <c r="S61" s="2571"/>
      <c r="T61" s="2571"/>
      <c r="U61" s="2571"/>
      <c r="V61" s="2544"/>
      <c r="W61" s="2544"/>
      <c r="X61" s="2544"/>
      <c r="Y61" s="2544"/>
      <c r="Z61" s="2544"/>
      <c r="AA61" s="2544"/>
    </row>
    <row r="62" spans="1:30">
      <c r="M62" s="2572" t="s">
        <v>1938</v>
      </c>
      <c r="N62" s="2572"/>
      <c r="O62" s="2547"/>
      <c r="P62" s="2604"/>
      <c r="Q62" s="2604"/>
      <c r="R62" s="2572"/>
      <c r="S62" s="2572"/>
      <c r="T62" s="2572"/>
      <c r="U62" s="2572"/>
      <c r="V62" s="2545"/>
      <c r="W62" s="2545"/>
      <c r="X62" s="2545"/>
      <c r="Y62" s="2545"/>
      <c r="Z62" s="2545"/>
      <c r="AA62" s="2545"/>
    </row>
    <row r="63" spans="1:30">
      <c r="M63" s="2612" t="s">
        <v>1939</v>
      </c>
      <c r="N63" s="2612" t="s">
        <v>414</v>
      </c>
      <c r="O63" s="2613" t="s">
        <v>2153</v>
      </c>
      <c r="P63" s="2614">
        <f>LOGO!$I$7</f>
        <v>43100</v>
      </c>
      <c r="Q63" s="2614">
        <f>LOGO!$I$8</f>
        <v>43131</v>
      </c>
      <c r="R63" s="2614">
        <f>LOGO!$I$9</f>
        <v>43159</v>
      </c>
      <c r="S63" s="2614">
        <f>LOGO!$I$10</f>
        <v>43190</v>
      </c>
      <c r="T63" s="2614">
        <f>LOGO!$I$11</f>
        <v>43220</v>
      </c>
      <c r="U63" s="2614">
        <f>LOGO!$I$12</f>
        <v>43251</v>
      </c>
      <c r="V63" s="1797">
        <f>LOGO!$I$13</f>
        <v>43281</v>
      </c>
      <c r="W63" s="1797">
        <f>LOGO!$I$14</f>
        <v>43312</v>
      </c>
      <c r="X63" s="1797">
        <f>LOGO!$I$15</f>
        <v>43343</v>
      </c>
      <c r="Y63" s="1797">
        <f>LOGO!$I$16</f>
        <v>43373</v>
      </c>
      <c r="Z63" s="1797">
        <f>LOGO!$I$17</f>
        <v>43404</v>
      </c>
      <c r="AA63" s="1797">
        <f>LOGO!$I$18</f>
        <v>43434</v>
      </c>
    </row>
    <row r="64" spans="1:30">
      <c r="O64" s="2545" t="s">
        <v>1134</v>
      </c>
      <c r="P64" s="2572" t="s">
        <v>1134</v>
      </c>
      <c r="Q64" s="2572" t="s">
        <v>1134</v>
      </c>
      <c r="R64" s="2572" t="s">
        <v>1134</v>
      </c>
      <c r="S64" s="2572" t="s">
        <v>1134</v>
      </c>
      <c r="T64" s="2572" t="s">
        <v>1134</v>
      </c>
      <c r="U64" s="2572" t="s">
        <v>1134</v>
      </c>
      <c r="V64" s="2545" t="s">
        <v>1134</v>
      </c>
      <c r="W64" s="2545" t="s">
        <v>1134</v>
      </c>
      <c r="X64" s="2545" t="s">
        <v>1134</v>
      </c>
      <c r="Y64" s="2545" t="s">
        <v>1134</v>
      </c>
      <c r="Z64" s="2545" t="s">
        <v>1134</v>
      </c>
      <c r="AA64" s="2545" t="s">
        <v>1134</v>
      </c>
    </row>
    <row r="65" spans="1:27">
      <c r="M65" s="2549">
        <v>1</v>
      </c>
      <c r="N65" s="2550" t="s">
        <v>574</v>
      </c>
      <c r="O65" s="2503"/>
      <c r="P65" s="2503"/>
      <c r="Q65" s="2503"/>
      <c r="R65" s="2507"/>
      <c r="S65" s="2507"/>
      <c r="T65" s="2507"/>
      <c r="U65" s="2507"/>
    </row>
    <row r="66" spans="1:27">
      <c r="M66" s="2549">
        <v>2</v>
      </c>
      <c r="N66" s="2503" t="s">
        <v>412</v>
      </c>
      <c r="O66" s="2551">
        <f>SUM(P66:AA66)</f>
        <v>0</v>
      </c>
      <c r="P66" s="2552">
        <v>0</v>
      </c>
      <c r="Q66" s="2552">
        <v>0</v>
      </c>
      <c r="R66" s="2552">
        <v>0</v>
      </c>
      <c r="S66" s="2552">
        <v>0</v>
      </c>
      <c r="T66" s="2552">
        <v>0</v>
      </c>
      <c r="U66" s="2552">
        <v>0</v>
      </c>
      <c r="V66" s="2552">
        <v>0</v>
      </c>
      <c r="W66" s="2552">
        <v>0</v>
      </c>
      <c r="X66" s="2552">
        <v>0</v>
      </c>
      <c r="Y66" s="2552">
        <v>0</v>
      </c>
      <c r="Z66" s="2552">
        <v>0</v>
      </c>
      <c r="AA66" s="2552">
        <v>0</v>
      </c>
    </row>
    <row r="67" spans="1:27">
      <c r="M67" s="2549">
        <v>3</v>
      </c>
      <c r="N67" s="2609" t="s">
        <v>575</v>
      </c>
      <c r="O67" s="2553">
        <f t="shared" ref="O67:AA67" si="0">SUM(O66:O66)</f>
        <v>0</v>
      </c>
      <c r="P67" s="2553">
        <f t="shared" si="0"/>
        <v>0</v>
      </c>
      <c r="Q67" s="2553">
        <f t="shared" si="0"/>
        <v>0</v>
      </c>
      <c r="R67" s="2553">
        <f t="shared" si="0"/>
        <v>0</v>
      </c>
      <c r="S67" s="2553">
        <f t="shared" si="0"/>
        <v>0</v>
      </c>
      <c r="T67" s="2553">
        <f t="shared" si="0"/>
        <v>0</v>
      </c>
      <c r="U67" s="2553">
        <f t="shared" si="0"/>
        <v>0</v>
      </c>
      <c r="V67" s="2553">
        <f t="shared" si="0"/>
        <v>0</v>
      </c>
      <c r="W67" s="2553">
        <f t="shared" si="0"/>
        <v>0</v>
      </c>
      <c r="X67" s="2553">
        <f t="shared" si="0"/>
        <v>0</v>
      </c>
      <c r="Y67" s="2553">
        <f t="shared" si="0"/>
        <v>0</v>
      </c>
      <c r="Z67" s="2553">
        <f t="shared" si="0"/>
        <v>0</v>
      </c>
      <c r="AA67" s="2553">
        <f t="shared" si="0"/>
        <v>0</v>
      </c>
    </row>
    <row r="68" spans="1:27">
      <c r="M68" s="2549">
        <v>4</v>
      </c>
      <c r="N68" s="2608"/>
      <c r="O68" s="2551"/>
      <c r="P68" s="2552"/>
      <c r="Q68" s="2552"/>
      <c r="R68" s="2554"/>
      <c r="S68" s="2558"/>
      <c r="T68" s="2559"/>
      <c r="U68" s="2552"/>
      <c r="V68" s="2561"/>
      <c r="W68" s="2505"/>
      <c r="X68" s="2505"/>
      <c r="Y68" s="2505"/>
      <c r="Z68" s="2505"/>
      <c r="AA68" s="2505"/>
    </row>
    <row r="69" spans="1:27">
      <c r="M69" s="2549">
        <v>5</v>
      </c>
      <c r="N69" s="2610" t="s">
        <v>576</v>
      </c>
      <c r="O69" s="2505"/>
      <c r="P69" s="2505"/>
      <c r="Q69" s="2505"/>
      <c r="R69" s="2505"/>
      <c r="S69" s="2505"/>
      <c r="T69" s="2505"/>
      <c r="U69" s="2505"/>
      <c r="V69" s="2505"/>
      <c r="W69" s="2505"/>
      <c r="X69" s="2505"/>
      <c r="Y69" s="2505"/>
      <c r="Z69" s="2505"/>
      <c r="AA69" s="2505"/>
    </row>
    <row r="70" spans="1:27" ht="14.4">
      <c r="A70"/>
      <c r="B70"/>
      <c r="C70"/>
      <c r="D70"/>
      <c r="E70" s="2998"/>
      <c r="F70" s="2998"/>
      <c r="G70" s="2998"/>
      <c r="H70" s="2998"/>
      <c r="I70" s="2998"/>
      <c r="J70" s="2998"/>
      <c r="K70"/>
      <c r="M70" s="2549">
        <v>6</v>
      </c>
      <c r="N70" s="2504" t="s">
        <v>412</v>
      </c>
      <c r="O70" s="2551">
        <f>SUM(P70:AA70)</f>
        <v>0</v>
      </c>
      <c r="P70" s="2552">
        <v>0</v>
      </c>
      <c r="Q70" s="2552">
        <v>0</v>
      </c>
      <c r="R70" s="2552">
        <v>0</v>
      </c>
      <c r="S70" s="2552">
        <v>0</v>
      </c>
      <c r="T70" s="2552">
        <v>0</v>
      </c>
      <c r="U70" s="2552">
        <v>0</v>
      </c>
      <c r="V70" s="2552">
        <v>0</v>
      </c>
      <c r="W70" s="2552">
        <v>0</v>
      </c>
      <c r="X70" s="2552">
        <v>0</v>
      </c>
      <c r="Y70" s="2552">
        <v>0</v>
      </c>
      <c r="Z70" s="2552">
        <v>0</v>
      </c>
      <c r="AA70" s="2552">
        <v>0</v>
      </c>
    </row>
    <row r="71" spans="1:27">
      <c r="A71"/>
      <c r="B71"/>
      <c r="C71"/>
      <c r="D71"/>
      <c r="E71" s="2999"/>
      <c r="F71" s="2999"/>
      <c r="G71" s="2999"/>
      <c r="H71" s="2999"/>
      <c r="I71" s="2999"/>
      <c r="J71" s="2999"/>
      <c r="K71" s="2999"/>
      <c r="M71" s="2549">
        <v>7</v>
      </c>
      <c r="N71" s="2609" t="s">
        <v>577</v>
      </c>
      <c r="O71" s="2553">
        <f t="shared" ref="O71:AA71" si="1">SUM(O70)</f>
        <v>0</v>
      </c>
      <c r="P71" s="2553">
        <f t="shared" si="1"/>
        <v>0</v>
      </c>
      <c r="Q71" s="2553">
        <f t="shared" si="1"/>
        <v>0</v>
      </c>
      <c r="R71" s="2553">
        <f t="shared" si="1"/>
        <v>0</v>
      </c>
      <c r="S71" s="2553">
        <f t="shared" si="1"/>
        <v>0</v>
      </c>
      <c r="T71" s="2553">
        <f t="shared" si="1"/>
        <v>0</v>
      </c>
      <c r="U71" s="2553">
        <f t="shared" si="1"/>
        <v>0</v>
      </c>
      <c r="V71" s="2553">
        <f>SUM(V70)</f>
        <v>0</v>
      </c>
      <c r="W71" s="2553">
        <f>SUM(W70)</f>
        <v>0</v>
      </c>
      <c r="X71" s="2553">
        <f t="shared" si="1"/>
        <v>0</v>
      </c>
      <c r="Y71" s="2553">
        <f t="shared" si="1"/>
        <v>0</v>
      </c>
      <c r="Z71" s="2553">
        <f t="shared" si="1"/>
        <v>0</v>
      </c>
      <c r="AA71" s="2553">
        <f t="shared" si="1"/>
        <v>0</v>
      </c>
    </row>
    <row r="72" spans="1:27">
      <c r="A72"/>
      <c r="B72"/>
      <c r="C72"/>
      <c r="D72"/>
      <c r="E72" s="2999"/>
      <c r="F72" s="2999"/>
      <c r="G72" s="2999"/>
      <c r="H72" s="2999"/>
      <c r="I72" s="2999"/>
      <c r="J72" s="2999"/>
      <c r="K72" s="2999"/>
      <c r="M72" s="2549">
        <v>8</v>
      </c>
      <c r="N72" s="2609"/>
      <c r="O72" s="2556"/>
      <c r="P72" s="2557"/>
      <c r="Q72" s="2552"/>
      <c r="R72" s="2554"/>
      <c r="S72" s="2558"/>
      <c r="T72" s="2559"/>
      <c r="U72" s="2557"/>
      <c r="V72" s="2561"/>
      <c r="W72" s="2505"/>
      <c r="X72" s="2505"/>
      <c r="Y72" s="2505"/>
      <c r="Z72" s="2505"/>
      <c r="AA72" s="2505"/>
    </row>
    <row r="73" spans="1:27">
      <c r="A73"/>
      <c r="B73"/>
      <c r="C73"/>
      <c r="D73"/>
      <c r="E73" s="2999"/>
      <c r="F73" s="2999"/>
      <c r="G73" s="2999"/>
      <c r="H73" s="2999"/>
      <c r="I73" s="2999"/>
      <c r="J73" s="2999"/>
      <c r="K73" s="2999"/>
      <c r="M73" s="2549">
        <v>9</v>
      </c>
      <c r="N73" s="2610" t="s">
        <v>578</v>
      </c>
      <c r="O73" s="2505"/>
      <c r="P73" s="2505"/>
      <c r="Q73" s="2505"/>
      <c r="R73" s="2505"/>
      <c r="S73" s="2505"/>
      <c r="T73" s="2505"/>
      <c r="U73" s="2505"/>
      <c r="V73" s="2505"/>
      <c r="W73" s="2505"/>
      <c r="X73" s="2505"/>
      <c r="Y73" s="2505"/>
      <c r="Z73" s="2505"/>
      <c r="AA73" s="2505"/>
    </row>
    <row r="74" spans="1:27">
      <c r="A74"/>
      <c r="B74"/>
      <c r="C74"/>
      <c r="D74"/>
      <c r="E74" s="2999"/>
      <c r="F74" s="2999"/>
      <c r="G74" s="2999"/>
      <c r="H74" s="2999"/>
      <c r="I74" s="2999"/>
      <c r="J74" s="2999"/>
      <c r="K74" s="2999"/>
      <c r="M74" s="2549">
        <v>10</v>
      </c>
      <c r="N74" s="2504" t="s">
        <v>412</v>
      </c>
      <c r="O74" s="2551">
        <f>SUM(P74:AA74)</f>
        <v>0</v>
      </c>
      <c r="P74" s="2552">
        <v>0</v>
      </c>
      <c r="Q74" s="2552">
        <v>0</v>
      </c>
      <c r="R74" s="2552">
        <v>0</v>
      </c>
      <c r="S74" s="2552">
        <v>0</v>
      </c>
      <c r="T74" s="2552">
        <v>0</v>
      </c>
      <c r="U74" s="2552">
        <v>0</v>
      </c>
      <c r="V74" s="2552">
        <v>0</v>
      </c>
      <c r="W74" s="2552">
        <v>0</v>
      </c>
      <c r="X74" s="2552">
        <v>0</v>
      </c>
      <c r="Y74" s="2552">
        <v>0</v>
      </c>
      <c r="Z74" s="2552">
        <v>0</v>
      </c>
      <c r="AA74" s="2552">
        <v>0</v>
      </c>
    </row>
    <row r="75" spans="1:27">
      <c r="A75"/>
      <c r="B75"/>
      <c r="C75"/>
      <c r="D75"/>
      <c r="E75" s="2999"/>
      <c r="F75" s="2999"/>
      <c r="G75" s="2999"/>
      <c r="H75" s="2999"/>
      <c r="I75" s="2999"/>
      <c r="J75" s="2999"/>
      <c r="K75" s="2999"/>
      <c r="M75" s="2549">
        <v>11</v>
      </c>
      <c r="N75" s="2609" t="s">
        <v>579</v>
      </c>
      <c r="O75" s="2553">
        <f t="shared" ref="O75:AA75" si="2">SUM(O74)</f>
        <v>0</v>
      </c>
      <c r="P75" s="2553">
        <f t="shared" si="2"/>
        <v>0</v>
      </c>
      <c r="Q75" s="2553">
        <f t="shared" si="2"/>
        <v>0</v>
      </c>
      <c r="R75" s="2553">
        <f t="shared" si="2"/>
        <v>0</v>
      </c>
      <c r="S75" s="2553">
        <f t="shared" si="2"/>
        <v>0</v>
      </c>
      <c r="T75" s="2553">
        <f t="shared" si="2"/>
        <v>0</v>
      </c>
      <c r="U75" s="2553">
        <f t="shared" si="2"/>
        <v>0</v>
      </c>
      <c r="V75" s="2553">
        <f>SUM(V74)</f>
        <v>0</v>
      </c>
      <c r="W75" s="2553">
        <f>SUM(W74)</f>
        <v>0</v>
      </c>
      <c r="X75" s="2553">
        <f t="shared" si="2"/>
        <v>0</v>
      </c>
      <c r="Y75" s="2553">
        <f t="shared" si="2"/>
        <v>0</v>
      </c>
      <c r="Z75" s="2553">
        <f t="shared" si="2"/>
        <v>0</v>
      </c>
      <c r="AA75" s="2553">
        <f t="shared" si="2"/>
        <v>0</v>
      </c>
    </row>
    <row r="76" spans="1:27">
      <c r="A76"/>
      <c r="B76"/>
      <c r="C76"/>
      <c r="D76"/>
      <c r="E76" s="2999"/>
      <c r="F76" s="2999"/>
      <c r="G76" s="2999"/>
      <c r="H76" s="2999"/>
      <c r="I76" s="2999"/>
      <c r="J76" s="2999"/>
      <c r="K76" s="2999"/>
      <c r="M76" s="2549">
        <v>12</v>
      </c>
      <c r="N76" s="2504"/>
      <c r="O76" s="2556"/>
      <c r="P76" s="2557"/>
      <c r="Q76" s="2557"/>
      <c r="R76" s="3450"/>
      <c r="S76" s="3451"/>
      <c r="T76" s="2508"/>
      <c r="U76" s="2557"/>
      <c r="V76" s="2505"/>
      <c r="W76" s="2505"/>
      <c r="X76" s="2505"/>
      <c r="Y76" s="2505"/>
      <c r="Z76" s="2505"/>
      <c r="AA76" s="2505"/>
    </row>
    <row r="77" spans="1:27">
      <c r="A77"/>
      <c r="B77"/>
      <c r="C77"/>
      <c r="D77"/>
      <c r="E77" s="2999"/>
      <c r="F77" s="2999"/>
      <c r="G77" s="2999"/>
      <c r="H77" s="2999"/>
      <c r="I77" s="2999"/>
      <c r="J77" s="2999"/>
      <c r="K77" s="2999"/>
      <c r="M77" s="2549">
        <v>13</v>
      </c>
      <c r="N77" s="2550" t="s">
        <v>1559</v>
      </c>
      <c r="O77" s="2554"/>
      <c r="P77" s="2555"/>
      <c r="Q77" s="2555"/>
      <c r="R77" s="2554"/>
      <c r="S77" s="2558"/>
      <c r="T77" s="2559"/>
      <c r="U77" s="2555"/>
      <c r="V77" s="2606"/>
      <c r="W77" s="2505"/>
      <c r="X77" s="2505"/>
      <c r="Y77" s="2505"/>
      <c r="Z77" s="2505"/>
      <c r="AA77" s="2505"/>
    </row>
    <row r="78" spans="1:27">
      <c r="A78"/>
      <c r="B78"/>
      <c r="C78"/>
      <c r="D78"/>
      <c r="E78" s="2999"/>
      <c r="F78" s="2999"/>
      <c r="G78" s="2999"/>
      <c r="H78" s="2999"/>
      <c r="I78" s="2999"/>
      <c r="J78" s="2999"/>
      <c r="K78" s="2999"/>
      <c r="M78" s="2549">
        <v>14</v>
      </c>
      <c r="N78" s="2611" t="s">
        <v>2757</v>
      </c>
      <c r="O78" s="2551">
        <f t="shared" ref="O78:O99" si="3">SUM(P78:AA78)</f>
        <v>2</v>
      </c>
      <c r="P78" s="2552">
        <v>2</v>
      </c>
      <c r="Q78" s="2552">
        <v>0</v>
      </c>
      <c r="R78" s="2552">
        <v>0</v>
      </c>
      <c r="S78" s="2552">
        <v>0</v>
      </c>
      <c r="T78" s="2552">
        <v>0</v>
      </c>
      <c r="U78" s="2552">
        <v>0</v>
      </c>
      <c r="V78" s="2552">
        <v>0</v>
      </c>
      <c r="W78" s="2552">
        <v>0</v>
      </c>
      <c r="X78" s="2552">
        <v>0</v>
      </c>
      <c r="Y78" s="2552">
        <v>0</v>
      </c>
      <c r="Z78" s="2552">
        <v>0</v>
      </c>
      <c r="AA78" s="2552">
        <v>0</v>
      </c>
    </row>
    <row r="79" spans="1:27">
      <c r="A79"/>
      <c r="B79"/>
      <c r="C79"/>
      <c r="D79"/>
      <c r="E79" s="2999"/>
      <c r="F79" s="2999"/>
      <c r="G79" s="2999"/>
      <c r="H79" s="2999"/>
      <c r="I79" s="2999"/>
      <c r="J79" s="2999"/>
      <c r="K79" s="2999"/>
      <c r="M79" s="2549">
        <v>15</v>
      </c>
      <c r="N79" s="2608" t="s">
        <v>2576</v>
      </c>
      <c r="O79" s="2551">
        <f t="shared" si="3"/>
        <v>1637</v>
      </c>
      <c r="P79" s="2552">
        <v>486</v>
      </c>
      <c r="Q79" s="2552">
        <v>421</v>
      </c>
      <c r="R79" s="2552">
        <v>0</v>
      </c>
      <c r="S79" s="2552">
        <v>420</v>
      </c>
      <c r="T79" s="2552">
        <v>310</v>
      </c>
      <c r="U79" s="2552">
        <v>0</v>
      </c>
      <c r="V79" s="2552">
        <v>0</v>
      </c>
      <c r="W79" s="2552">
        <v>0</v>
      </c>
      <c r="X79" s="2552">
        <v>0</v>
      </c>
      <c r="Y79" s="2552">
        <v>0</v>
      </c>
      <c r="Z79" s="2552">
        <v>0</v>
      </c>
      <c r="AA79" s="2552">
        <v>0</v>
      </c>
    </row>
    <row r="80" spans="1:27">
      <c r="A80"/>
      <c r="B80"/>
      <c r="C80"/>
      <c r="D80"/>
      <c r="E80" s="2999"/>
      <c r="F80" s="2999"/>
      <c r="G80" s="2999"/>
      <c r="H80" s="2999"/>
      <c r="I80" s="2999"/>
      <c r="J80" s="2999"/>
      <c r="K80" s="2999"/>
      <c r="M80" s="2549">
        <v>16</v>
      </c>
      <c r="N80" s="2607" t="s">
        <v>2758</v>
      </c>
      <c r="O80" s="2551">
        <f t="shared" si="3"/>
        <v>9</v>
      </c>
      <c r="P80" s="2552">
        <v>9</v>
      </c>
      <c r="Q80" s="2552">
        <v>0</v>
      </c>
      <c r="R80" s="2552">
        <v>0</v>
      </c>
      <c r="S80" s="2552">
        <v>0</v>
      </c>
      <c r="T80" s="2552">
        <v>0</v>
      </c>
      <c r="U80" s="2552">
        <v>0</v>
      </c>
      <c r="V80" s="2552">
        <v>0</v>
      </c>
      <c r="W80" s="2552">
        <v>0</v>
      </c>
      <c r="X80" s="2552">
        <v>0</v>
      </c>
      <c r="Y80" s="2552">
        <v>0</v>
      </c>
      <c r="Z80" s="2552">
        <v>0</v>
      </c>
      <c r="AA80" s="2552">
        <v>0</v>
      </c>
    </row>
    <row r="81" spans="1:35">
      <c r="A81"/>
      <c r="B81"/>
      <c r="C81"/>
      <c r="D81"/>
      <c r="E81" s="2999"/>
      <c r="F81" s="2999"/>
      <c r="G81" s="2999"/>
      <c r="H81" s="2999"/>
      <c r="I81" s="2999"/>
      <c r="J81" s="2999"/>
      <c r="K81" s="2999"/>
      <c r="M81" s="2549">
        <v>17</v>
      </c>
      <c r="N81" s="2607" t="s">
        <v>2577</v>
      </c>
      <c r="O81" s="2551">
        <f t="shared" si="3"/>
        <v>9800</v>
      </c>
      <c r="P81" s="2552">
        <v>419</v>
      </c>
      <c r="Q81" s="2552">
        <v>861</v>
      </c>
      <c r="R81" s="2552">
        <v>3713</v>
      </c>
      <c r="S81" s="2552">
        <v>103</v>
      </c>
      <c r="T81" s="2552">
        <v>2687</v>
      </c>
      <c r="U81" s="2552">
        <v>123</v>
      </c>
      <c r="V81" s="2552">
        <v>0</v>
      </c>
      <c r="W81" s="2552">
        <v>947</v>
      </c>
      <c r="X81" s="2552">
        <v>0</v>
      </c>
      <c r="Y81" s="2552">
        <v>0</v>
      </c>
      <c r="Z81" s="2552">
        <v>0</v>
      </c>
      <c r="AA81" s="2552">
        <v>947</v>
      </c>
    </row>
    <row r="82" spans="1:35">
      <c r="A82"/>
      <c r="B82"/>
      <c r="C82"/>
      <c r="D82"/>
      <c r="E82" s="2999"/>
      <c r="F82" s="2999"/>
      <c r="G82" s="2999"/>
      <c r="H82" s="2999"/>
      <c r="I82" s="2999"/>
      <c r="J82" s="2999"/>
      <c r="K82" s="2999"/>
      <c r="M82" s="2549">
        <v>18</v>
      </c>
      <c r="N82" s="2607" t="s">
        <v>2759</v>
      </c>
      <c r="O82" s="2551">
        <f t="shared" si="3"/>
        <v>-5285</v>
      </c>
      <c r="P82" s="2552">
        <v>-5285</v>
      </c>
      <c r="Q82" s="2552">
        <v>0</v>
      </c>
      <c r="R82" s="2552">
        <v>0</v>
      </c>
      <c r="S82" s="2552">
        <v>0</v>
      </c>
      <c r="T82" s="2552">
        <v>0</v>
      </c>
      <c r="U82" s="2552">
        <v>0</v>
      </c>
      <c r="V82" s="2552">
        <v>0</v>
      </c>
      <c r="W82" s="2552">
        <v>0</v>
      </c>
      <c r="X82" s="2552">
        <v>0</v>
      </c>
      <c r="Y82" s="2552">
        <v>0</v>
      </c>
      <c r="Z82" s="2552">
        <v>0</v>
      </c>
      <c r="AA82" s="2552">
        <v>0</v>
      </c>
    </row>
    <row r="83" spans="1:35">
      <c r="A83"/>
      <c r="B83"/>
      <c r="C83"/>
      <c r="D83"/>
      <c r="E83" s="2999"/>
      <c r="F83" s="2999"/>
      <c r="G83" s="2999"/>
      <c r="H83" s="2999"/>
      <c r="I83" s="2999"/>
      <c r="J83" s="2999"/>
      <c r="K83" s="2999"/>
      <c r="M83" s="2549">
        <v>19</v>
      </c>
      <c r="N83" s="2607" t="s">
        <v>2760</v>
      </c>
      <c r="O83" s="2551">
        <f t="shared" si="3"/>
        <v>2915</v>
      </c>
      <c r="P83" s="2552">
        <v>1460</v>
      </c>
      <c r="Q83" s="2552">
        <v>1455</v>
      </c>
      <c r="R83" s="2552">
        <v>0</v>
      </c>
      <c r="S83" s="2552">
        <v>0</v>
      </c>
      <c r="T83" s="2552">
        <v>-601</v>
      </c>
      <c r="U83" s="2552">
        <v>601</v>
      </c>
      <c r="V83" s="2552">
        <v>0</v>
      </c>
      <c r="W83" s="2552">
        <v>0</v>
      </c>
      <c r="X83" s="2552">
        <v>0</v>
      </c>
      <c r="Y83" s="2552">
        <v>0</v>
      </c>
      <c r="Z83" s="2552">
        <v>0</v>
      </c>
      <c r="AA83" s="2552">
        <v>0</v>
      </c>
    </row>
    <row r="84" spans="1:35">
      <c r="A84"/>
      <c r="B84"/>
      <c r="C84"/>
      <c r="D84"/>
      <c r="E84" s="2999"/>
      <c r="F84" s="2999"/>
      <c r="G84" s="2999"/>
      <c r="H84" s="2999"/>
      <c r="I84" s="2999"/>
      <c r="J84" s="2999"/>
      <c r="K84" s="2999"/>
      <c r="M84" s="2549">
        <v>20</v>
      </c>
      <c r="N84" s="2607" t="s">
        <v>2761</v>
      </c>
      <c r="O84" s="2551">
        <f t="shared" si="3"/>
        <v>0</v>
      </c>
      <c r="P84" s="2552">
        <v>0</v>
      </c>
      <c r="Q84" s="2552">
        <v>910</v>
      </c>
      <c r="R84" s="2552">
        <v>0</v>
      </c>
      <c r="S84" s="2552">
        <v>-910</v>
      </c>
      <c r="T84" s="2552">
        <v>0</v>
      </c>
      <c r="U84" s="2552">
        <v>0</v>
      </c>
      <c r="V84" s="2552">
        <v>0</v>
      </c>
      <c r="W84" s="2552">
        <v>0</v>
      </c>
      <c r="X84" s="2552">
        <v>0</v>
      </c>
      <c r="Y84" s="2552">
        <v>0</v>
      </c>
      <c r="Z84" s="2552">
        <v>0</v>
      </c>
      <c r="AA84" s="2552">
        <v>0</v>
      </c>
    </row>
    <row r="85" spans="1:35">
      <c r="A85"/>
      <c r="B85"/>
      <c r="C85"/>
      <c r="D85"/>
      <c r="E85" s="2999"/>
      <c r="F85" s="2999"/>
      <c r="G85" s="2999"/>
      <c r="H85" s="2999"/>
      <c r="I85" s="2999"/>
      <c r="J85" s="2999"/>
      <c r="K85" s="2999"/>
      <c r="M85" s="2549">
        <v>21</v>
      </c>
      <c r="N85" s="2607" t="s">
        <v>2578</v>
      </c>
      <c r="O85" s="2551">
        <f>SUM(P85:AA85)</f>
        <v>4613</v>
      </c>
      <c r="P85" s="2552">
        <v>0</v>
      </c>
      <c r="Q85" s="2552">
        <v>0</v>
      </c>
      <c r="R85" s="2552">
        <v>2377</v>
      </c>
      <c r="S85" s="2552">
        <v>0</v>
      </c>
      <c r="T85" s="2552">
        <v>0</v>
      </c>
      <c r="U85" s="2552">
        <v>2236</v>
      </c>
      <c r="V85" s="2552">
        <v>0</v>
      </c>
      <c r="W85" s="2552">
        <v>0</v>
      </c>
      <c r="X85" s="2552">
        <v>0</v>
      </c>
      <c r="Y85" s="2552">
        <v>0</v>
      </c>
      <c r="Z85" s="2552">
        <v>0</v>
      </c>
      <c r="AA85" s="2552">
        <v>0</v>
      </c>
    </row>
    <row r="86" spans="1:35">
      <c r="A86"/>
      <c r="B86"/>
      <c r="C86"/>
      <c r="D86"/>
      <c r="E86" s="2999"/>
      <c r="F86" s="2999"/>
      <c r="G86" s="2999"/>
      <c r="H86" s="2999"/>
      <c r="I86" s="2999"/>
      <c r="J86" s="2999"/>
      <c r="K86" s="2999"/>
      <c r="M86" s="2549">
        <v>22</v>
      </c>
      <c r="N86" s="2607" t="s">
        <v>2762</v>
      </c>
      <c r="O86" s="2551">
        <f>SUM(P86:AA86)</f>
        <v>4</v>
      </c>
      <c r="P86" s="2552">
        <v>0</v>
      </c>
      <c r="Q86" s="2552">
        <v>0</v>
      </c>
      <c r="R86" s="2552">
        <v>3</v>
      </c>
      <c r="S86" s="2552">
        <v>0</v>
      </c>
      <c r="T86" s="2552">
        <v>1</v>
      </c>
      <c r="U86" s="2552">
        <v>0</v>
      </c>
      <c r="V86" s="2552">
        <v>0</v>
      </c>
      <c r="W86" s="2552">
        <v>0</v>
      </c>
      <c r="X86" s="2552">
        <v>0</v>
      </c>
      <c r="Y86" s="2552">
        <v>0</v>
      </c>
      <c r="Z86" s="2552">
        <v>0</v>
      </c>
      <c r="AA86" s="2552">
        <v>0</v>
      </c>
    </row>
    <row r="87" spans="1:35">
      <c r="A87"/>
      <c r="B87"/>
      <c r="C87"/>
      <c r="D87"/>
      <c r="E87" s="2999"/>
      <c r="F87" s="2999"/>
      <c r="G87" s="2999"/>
      <c r="H87" s="2999"/>
      <c r="I87" s="2999"/>
      <c r="J87" s="2999"/>
      <c r="K87" s="2999"/>
      <c r="M87" s="2549">
        <v>23</v>
      </c>
      <c r="N87" s="2607" t="s">
        <v>2579</v>
      </c>
      <c r="O87" s="2551">
        <f t="shared" si="3"/>
        <v>181</v>
      </c>
      <c r="P87" s="2552">
        <v>8</v>
      </c>
      <c r="Q87" s="2552">
        <v>0</v>
      </c>
      <c r="R87" s="2552">
        <v>0</v>
      </c>
      <c r="S87" s="2552">
        <v>1</v>
      </c>
      <c r="T87" s="2552">
        <v>7</v>
      </c>
      <c r="U87" s="2552">
        <v>165</v>
      </c>
      <c r="V87" s="2552">
        <v>0</v>
      </c>
      <c r="W87" s="2552">
        <v>0</v>
      </c>
      <c r="X87" s="2552">
        <v>0</v>
      </c>
      <c r="Y87" s="2552">
        <v>0</v>
      </c>
      <c r="Z87" s="2552">
        <v>0</v>
      </c>
      <c r="AA87" s="2552">
        <v>0</v>
      </c>
    </row>
    <row r="88" spans="1:35">
      <c r="A88"/>
      <c r="B88"/>
      <c r="C88"/>
      <c r="D88"/>
      <c r="E88" s="2999"/>
      <c r="F88" s="2999"/>
      <c r="G88" s="2999"/>
      <c r="H88" s="2999"/>
      <c r="I88" s="2999"/>
      <c r="J88" s="2999"/>
      <c r="K88" s="2999"/>
      <c r="M88" s="2549">
        <v>24</v>
      </c>
      <c r="N88" s="2607" t="s">
        <v>2580</v>
      </c>
      <c r="O88" s="2551">
        <f t="shared" si="3"/>
        <v>61</v>
      </c>
      <c r="P88" s="2552">
        <v>14</v>
      </c>
      <c r="Q88" s="2552">
        <v>0</v>
      </c>
      <c r="R88" s="2552">
        <v>3</v>
      </c>
      <c r="S88" s="2552">
        <v>14</v>
      </c>
      <c r="T88" s="2552">
        <v>8</v>
      </c>
      <c r="U88" s="2552">
        <v>22</v>
      </c>
      <c r="V88" s="2552">
        <v>0</v>
      </c>
      <c r="W88" s="2552">
        <v>0</v>
      </c>
      <c r="X88" s="2552">
        <v>0</v>
      </c>
      <c r="Y88" s="2552">
        <v>0</v>
      </c>
      <c r="Z88" s="2552">
        <v>0</v>
      </c>
      <c r="AA88" s="2552">
        <v>0</v>
      </c>
    </row>
    <row r="89" spans="1:35">
      <c r="A89"/>
      <c r="B89"/>
      <c r="C89"/>
      <c r="D89"/>
      <c r="E89" s="2999"/>
      <c r="F89" s="2999"/>
      <c r="G89" s="2999"/>
      <c r="H89" s="2999"/>
      <c r="I89" s="2999"/>
      <c r="J89" s="2999"/>
      <c r="K89" s="2999"/>
      <c r="M89" s="2549">
        <v>25</v>
      </c>
      <c r="N89" s="2607" t="s">
        <v>2581</v>
      </c>
      <c r="O89" s="2551">
        <f>SUM(P89:AA89)</f>
        <v>114</v>
      </c>
      <c r="P89" s="2552">
        <v>9</v>
      </c>
      <c r="Q89" s="2552">
        <v>9</v>
      </c>
      <c r="R89" s="2552">
        <v>25</v>
      </c>
      <c r="S89" s="2552">
        <v>377</v>
      </c>
      <c r="T89" s="2552">
        <v>-317</v>
      </c>
      <c r="U89" s="2552">
        <v>11</v>
      </c>
      <c r="V89" s="2552">
        <v>0</v>
      </c>
      <c r="W89" s="2552">
        <v>0</v>
      </c>
      <c r="X89" s="2552">
        <v>0</v>
      </c>
      <c r="Y89" s="2552">
        <v>0</v>
      </c>
      <c r="Z89" s="2552">
        <v>0</v>
      </c>
      <c r="AA89" s="2552">
        <v>0</v>
      </c>
      <c r="AH89" s="2605"/>
      <c r="AI89" s="2605"/>
    </row>
    <row r="90" spans="1:35">
      <c r="A90"/>
      <c r="B90"/>
      <c r="C90"/>
      <c r="D90"/>
      <c r="E90" s="2999"/>
      <c r="F90" s="2999"/>
      <c r="G90" s="2999"/>
      <c r="H90" s="2999"/>
      <c r="I90" s="2999"/>
      <c r="J90" s="2999"/>
      <c r="K90" s="2999"/>
      <c r="M90" s="2549">
        <v>26</v>
      </c>
      <c r="N90" s="2607" t="s">
        <v>2763</v>
      </c>
      <c r="O90" s="2551">
        <f t="shared" si="3"/>
        <v>101659</v>
      </c>
      <c r="P90" s="2552">
        <v>11064</v>
      </c>
      <c r="Q90" s="2552">
        <v>10270</v>
      </c>
      <c r="R90" s="2552">
        <v>17005</v>
      </c>
      <c r="S90" s="2552">
        <v>39683</v>
      </c>
      <c r="T90" s="2552">
        <v>12518</v>
      </c>
      <c r="U90" s="2552">
        <v>11119</v>
      </c>
      <c r="V90" s="2552">
        <v>0</v>
      </c>
      <c r="W90" s="2552">
        <v>0</v>
      </c>
      <c r="X90" s="2552">
        <v>0</v>
      </c>
      <c r="Y90" s="2552">
        <v>0</v>
      </c>
      <c r="Z90" s="2552">
        <v>0</v>
      </c>
      <c r="AA90" s="2552">
        <v>0</v>
      </c>
      <c r="AH90" s="2605"/>
      <c r="AI90" s="2605"/>
    </row>
    <row r="91" spans="1:35">
      <c r="A91"/>
      <c r="B91"/>
      <c r="C91"/>
      <c r="D91"/>
      <c r="E91" s="2999"/>
      <c r="F91" s="2999"/>
      <c r="G91" s="2999"/>
      <c r="H91" s="2999"/>
      <c r="I91" s="2999"/>
      <c r="J91" s="2999"/>
      <c r="K91" s="2999"/>
      <c r="M91" s="2549">
        <v>27</v>
      </c>
      <c r="N91" s="2607" t="s">
        <v>2764</v>
      </c>
      <c r="O91" s="2551">
        <f t="shared" si="3"/>
        <v>0</v>
      </c>
      <c r="P91" s="2552">
        <v>0</v>
      </c>
      <c r="Q91" s="2552">
        <v>0</v>
      </c>
      <c r="R91" s="2552">
        <v>0</v>
      </c>
      <c r="S91" s="2552">
        <v>0</v>
      </c>
      <c r="T91" s="2552">
        <v>0</v>
      </c>
      <c r="U91" s="2552">
        <v>0</v>
      </c>
      <c r="V91" s="2552">
        <v>0</v>
      </c>
      <c r="W91" s="2552">
        <v>0</v>
      </c>
      <c r="X91" s="2552">
        <v>0</v>
      </c>
      <c r="Y91" s="2552">
        <v>0</v>
      </c>
      <c r="Z91" s="2552">
        <v>0</v>
      </c>
      <c r="AA91" s="2552">
        <v>0</v>
      </c>
    </row>
    <row r="92" spans="1:35">
      <c r="A92"/>
      <c r="B92"/>
      <c r="C92"/>
      <c r="D92"/>
      <c r="E92" s="2999"/>
      <c r="F92" s="2999"/>
      <c r="G92" s="2999"/>
      <c r="H92" s="2999"/>
      <c r="I92" s="2999"/>
      <c r="J92" s="2999"/>
      <c r="K92" s="2999"/>
      <c r="M92" s="2549">
        <v>28</v>
      </c>
      <c r="N92" s="2607" t="s">
        <v>2583</v>
      </c>
      <c r="O92" s="2551">
        <f t="shared" si="3"/>
        <v>325</v>
      </c>
      <c r="P92" s="2552">
        <v>196</v>
      </c>
      <c r="Q92" s="2552">
        <v>24</v>
      </c>
      <c r="R92" s="2552">
        <v>0</v>
      </c>
      <c r="S92" s="2552">
        <v>415</v>
      </c>
      <c r="T92" s="2552">
        <v>106</v>
      </c>
      <c r="U92" s="2552">
        <v>106</v>
      </c>
      <c r="V92" s="2552">
        <v>-87</v>
      </c>
      <c r="W92" s="2552">
        <v>-87</v>
      </c>
      <c r="X92" s="2552">
        <v>-87</v>
      </c>
      <c r="Y92" s="2552">
        <v>-87</v>
      </c>
      <c r="Z92" s="2552">
        <v>-87</v>
      </c>
      <c r="AA92" s="2552">
        <v>-87</v>
      </c>
    </row>
    <row r="93" spans="1:35">
      <c r="A93"/>
      <c r="B93"/>
      <c r="C93"/>
      <c r="D93"/>
      <c r="E93" s="2999"/>
      <c r="F93" s="2999"/>
      <c r="G93" s="2999"/>
      <c r="H93" s="2999"/>
      <c r="I93" s="2999"/>
      <c r="J93" s="2999"/>
      <c r="K93" s="2999"/>
      <c r="M93" s="2549">
        <v>29</v>
      </c>
      <c r="N93" s="2607" t="s">
        <v>2765</v>
      </c>
      <c r="O93" s="2551">
        <f t="shared" si="3"/>
        <v>2591</v>
      </c>
      <c r="P93" s="2552">
        <v>79</v>
      </c>
      <c r="Q93" s="2552">
        <v>32</v>
      </c>
      <c r="R93" s="2552">
        <v>34</v>
      </c>
      <c r="S93" s="2552">
        <v>17</v>
      </c>
      <c r="T93" s="2552">
        <v>-6</v>
      </c>
      <c r="U93" s="2552">
        <v>5</v>
      </c>
      <c r="V93" s="2552">
        <v>405</v>
      </c>
      <c r="W93" s="2552">
        <v>405</v>
      </c>
      <c r="X93" s="2552">
        <v>405</v>
      </c>
      <c r="Y93" s="2552">
        <v>405</v>
      </c>
      <c r="Z93" s="2552">
        <v>405</v>
      </c>
      <c r="AA93" s="2552">
        <v>405</v>
      </c>
    </row>
    <row r="94" spans="1:35">
      <c r="M94" s="2549">
        <v>30</v>
      </c>
      <c r="N94" s="2607" t="s">
        <v>2584</v>
      </c>
      <c r="O94" s="2551">
        <f t="shared" si="3"/>
        <v>7012</v>
      </c>
      <c r="P94" s="2552">
        <v>454</v>
      </c>
      <c r="Q94" s="2552">
        <v>978</v>
      </c>
      <c r="R94" s="2552">
        <v>1345</v>
      </c>
      <c r="S94" s="2552">
        <v>1713</v>
      </c>
      <c r="T94" s="2552">
        <v>1035</v>
      </c>
      <c r="U94" s="2552">
        <v>1091</v>
      </c>
      <c r="V94" s="2552">
        <v>66</v>
      </c>
      <c r="W94" s="2552">
        <v>66</v>
      </c>
      <c r="X94" s="2552">
        <v>66</v>
      </c>
      <c r="Y94" s="2552">
        <v>66</v>
      </c>
      <c r="Z94" s="2552">
        <v>66</v>
      </c>
      <c r="AA94" s="2552">
        <v>66</v>
      </c>
    </row>
    <row r="95" spans="1:35">
      <c r="E95" s="3000"/>
      <c r="F95" s="3000"/>
      <c r="G95" s="3000"/>
      <c r="H95" s="3000"/>
      <c r="I95" s="3000"/>
      <c r="J95" s="3000"/>
      <c r="K95" s="3000"/>
      <c r="M95" s="2549">
        <v>31</v>
      </c>
      <c r="N95" s="2607" t="s">
        <v>2766</v>
      </c>
      <c r="O95" s="2551">
        <f t="shared" si="3"/>
        <v>126</v>
      </c>
      <c r="P95" s="2552">
        <v>0</v>
      </c>
      <c r="Q95" s="2552">
        <v>62</v>
      </c>
      <c r="R95" s="2552">
        <v>64</v>
      </c>
      <c r="S95" s="2552">
        <v>0</v>
      </c>
      <c r="T95" s="2552">
        <v>0</v>
      </c>
      <c r="U95" s="2552">
        <v>0</v>
      </c>
      <c r="V95" s="2552">
        <v>0</v>
      </c>
      <c r="W95" s="2552">
        <v>0</v>
      </c>
      <c r="X95" s="2552">
        <v>0</v>
      </c>
      <c r="Y95" s="2552">
        <v>0</v>
      </c>
      <c r="Z95" s="2552">
        <v>0</v>
      </c>
      <c r="AA95" s="2552">
        <v>0</v>
      </c>
    </row>
    <row r="96" spans="1:35">
      <c r="M96" s="2549">
        <v>32</v>
      </c>
      <c r="N96" s="2607" t="s">
        <v>2767</v>
      </c>
      <c r="O96" s="2551">
        <f t="shared" si="3"/>
        <v>1</v>
      </c>
      <c r="P96" s="2552">
        <v>0</v>
      </c>
      <c r="Q96" s="2552">
        <v>0</v>
      </c>
      <c r="R96" s="2552">
        <v>0</v>
      </c>
      <c r="S96" s="2552">
        <v>0</v>
      </c>
      <c r="T96" s="2552">
        <v>0</v>
      </c>
      <c r="U96" s="2552">
        <v>1</v>
      </c>
      <c r="V96" s="2552">
        <v>0</v>
      </c>
      <c r="W96" s="2552">
        <v>0</v>
      </c>
      <c r="X96" s="2552">
        <v>0</v>
      </c>
      <c r="Y96" s="2552">
        <v>0</v>
      </c>
      <c r="Z96" s="2552">
        <v>0</v>
      </c>
      <c r="AA96" s="2552">
        <v>0</v>
      </c>
    </row>
    <row r="97" spans="13:33">
      <c r="M97" s="2549">
        <v>33</v>
      </c>
      <c r="N97" s="2607" t="s">
        <v>2768</v>
      </c>
      <c r="O97" s="2551">
        <f t="shared" si="3"/>
        <v>6</v>
      </c>
      <c r="P97" s="2552">
        <v>0</v>
      </c>
      <c r="Q97" s="2552">
        <v>0</v>
      </c>
      <c r="R97" s="2552">
        <v>0</v>
      </c>
      <c r="S97" s="2552">
        <v>0</v>
      </c>
      <c r="T97" s="2552">
        <v>3</v>
      </c>
      <c r="U97" s="2552">
        <v>3</v>
      </c>
      <c r="V97" s="2552">
        <v>0</v>
      </c>
      <c r="W97" s="2552">
        <v>0</v>
      </c>
      <c r="X97" s="2552">
        <v>0</v>
      </c>
      <c r="Y97" s="2552">
        <v>0</v>
      </c>
      <c r="Z97" s="2552">
        <v>0</v>
      </c>
      <c r="AA97" s="2552">
        <v>0</v>
      </c>
    </row>
    <row r="98" spans="13:33">
      <c r="M98" s="2549">
        <v>34</v>
      </c>
      <c r="N98" s="2608" t="s">
        <v>2582</v>
      </c>
      <c r="O98" s="2551">
        <f t="shared" si="3"/>
        <v>550798</v>
      </c>
      <c r="P98" s="2552">
        <v>95563</v>
      </c>
      <c r="Q98" s="2552">
        <v>52752</v>
      </c>
      <c r="R98" s="2552">
        <v>94854</v>
      </c>
      <c r="S98" s="2552">
        <v>99527</v>
      </c>
      <c r="T98" s="2552">
        <v>62368</v>
      </c>
      <c r="U98" s="2552">
        <v>145734</v>
      </c>
      <c r="V98" s="2552">
        <v>0</v>
      </c>
      <c r="W98" s="2552">
        <v>0</v>
      </c>
      <c r="X98" s="2552">
        <v>0</v>
      </c>
      <c r="Y98" s="2552">
        <v>0</v>
      </c>
      <c r="Z98" s="2552">
        <v>0</v>
      </c>
      <c r="AA98" s="2552">
        <v>0</v>
      </c>
      <c r="AB98" s="2503"/>
      <c r="AC98" s="2503"/>
      <c r="AD98" s="2503"/>
      <c r="AE98" s="2503"/>
      <c r="AF98" s="2503"/>
      <c r="AG98" s="2503"/>
    </row>
    <row r="99" spans="13:33">
      <c r="M99" s="2549">
        <v>35</v>
      </c>
      <c r="N99" s="2607" t="s">
        <v>821</v>
      </c>
      <c r="O99" s="2551">
        <f t="shared" si="3"/>
        <v>244929</v>
      </c>
      <c r="P99" s="2552">
        <v>0</v>
      </c>
      <c r="Q99" s="2552">
        <v>0</v>
      </c>
      <c r="R99" s="2552">
        <v>0</v>
      </c>
      <c r="S99" s="2552">
        <v>0</v>
      </c>
      <c r="T99" s="2552">
        <v>0</v>
      </c>
      <c r="U99" s="2552">
        <v>0</v>
      </c>
      <c r="V99" s="2552">
        <f>43459+4</f>
        <v>43463</v>
      </c>
      <c r="W99" s="2552">
        <v>34818</v>
      </c>
      <c r="X99" s="2552">
        <v>42751</v>
      </c>
      <c r="Y99" s="2552">
        <v>40094</v>
      </c>
      <c r="Z99" s="2552">
        <v>36203</v>
      </c>
      <c r="AA99" s="2552">
        <v>47600</v>
      </c>
      <c r="AB99" s="2503"/>
      <c r="AC99" s="2503"/>
      <c r="AD99" s="2503"/>
      <c r="AE99" s="2503"/>
      <c r="AF99" s="2503"/>
      <c r="AG99" s="2503"/>
    </row>
    <row r="100" spans="13:33">
      <c r="M100" s="2549">
        <v>36</v>
      </c>
      <c r="N100" s="2609" t="s">
        <v>580</v>
      </c>
      <c r="O100" s="2553">
        <f t="shared" ref="O100:AA100" si="4">SUM(O78:O99)</f>
        <v>921498</v>
      </c>
      <c r="P100" s="2553">
        <f t="shared" si="4"/>
        <v>104478</v>
      </c>
      <c r="Q100" s="2553">
        <f t="shared" si="4"/>
        <v>67774</v>
      </c>
      <c r="R100" s="2553">
        <f t="shared" si="4"/>
        <v>119423</v>
      </c>
      <c r="S100" s="2553">
        <f t="shared" si="4"/>
        <v>141360</v>
      </c>
      <c r="T100" s="2553">
        <f t="shared" si="4"/>
        <v>78119</v>
      </c>
      <c r="U100" s="2553">
        <f t="shared" si="4"/>
        <v>161217</v>
      </c>
      <c r="V100" s="2553">
        <f t="shared" si="4"/>
        <v>43847</v>
      </c>
      <c r="W100" s="2553">
        <f t="shared" si="4"/>
        <v>36149</v>
      </c>
      <c r="X100" s="2553">
        <f t="shared" si="4"/>
        <v>43135</v>
      </c>
      <c r="Y100" s="2553">
        <f t="shared" si="4"/>
        <v>40478</v>
      </c>
      <c r="Z100" s="2553">
        <f t="shared" si="4"/>
        <v>36587</v>
      </c>
      <c r="AA100" s="2553">
        <f t="shared" si="4"/>
        <v>48931</v>
      </c>
    </row>
    <row r="101" spans="13:33">
      <c r="M101" s="2549">
        <v>37</v>
      </c>
      <c r="N101" s="2609"/>
      <c r="O101" s="2554"/>
      <c r="P101" s="2554"/>
      <c r="Q101" s="2554"/>
      <c r="R101" s="2554"/>
      <c r="S101" s="2558"/>
      <c r="T101" s="2554"/>
      <c r="U101" s="2554"/>
      <c r="V101" s="2554"/>
      <c r="W101" s="2606"/>
      <c r="X101" s="2505"/>
      <c r="Y101" s="2505"/>
      <c r="Z101" s="2505"/>
      <c r="AA101" s="2505"/>
    </row>
    <row r="102" spans="13:33" ht="13.8" thickBot="1">
      <c r="M102" s="2549">
        <v>38</v>
      </c>
      <c r="N102" s="2504" t="s">
        <v>411</v>
      </c>
      <c r="O102" s="2562">
        <f t="shared" ref="O102:AA102" si="5">O100+O75+O71+O67</f>
        <v>921498</v>
      </c>
      <c r="P102" s="2562">
        <f t="shared" si="5"/>
        <v>104478</v>
      </c>
      <c r="Q102" s="2562">
        <f t="shared" si="5"/>
        <v>67774</v>
      </c>
      <c r="R102" s="2562">
        <f t="shared" si="5"/>
        <v>119423</v>
      </c>
      <c r="S102" s="2562">
        <f t="shared" si="5"/>
        <v>141360</v>
      </c>
      <c r="T102" s="2562">
        <f t="shared" si="5"/>
        <v>78119</v>
      </c>
      <c r="U102" s="2562">
        <f t="shared" si="5"/>
        <v>161217</v>
      </c>
      <c r="V102" s="2562">
        <f t="shared" si="5"/>
        <v>43847</v>
      </c>
      <c r="W102" s="2562">
        <f t="shared" si="5"/>
        <v>36149</v>
      </c>
      <c r="X102" s="2562">
        <f t="shared" si="5"/>
        <v>43135</v>
      </c>
      <c r="Y102" s="2562">
        <f t="shared" si="5"/>
        <v>40478</v>
      </c>
      <c r="Z102" s="2562">
        <f t="shared" si="5"/>
        <v>36587</v>
      </c>
      <c r="AA102" s="2562">
        <f t="shared" si="5"/>
        <v>48931</v>
      </c>
    </row>
    <row r="103" spans="13:33" ht="13.8" thickTop="1">
      <c r="M103" s="2503"/>
      <c r="N103" s="2504"/>
      <c r="O103" s="2503"/>
      <c r="P103" s="2505"/>
      <c r="Q103" s="2505"/>
      <c r="R103" s="2505"/>
      <c r="S103" s="2506"/>
      <c r="T103" s="2505"/>
      <c r="U103" s="2505"/>
      <c r="V103" s="2505"/>
      <c r="W103" s="2505"/>
      <c r="X103" s="2505"/>
      <c r="Y103" s="2505"/>
      <c r="Z103" s="2505"/>
      <c r="AA103" s="2505"/>
    </row>
    <row r="104" spans="13:33">
      <c r="M104" s="2503"/>
      <c r="N104" s="2503"/>
      <c r="O104" s="2503" t="str">
        <f>IF(O102='SCH_C2.1 - Base Period'!J219,"Balanced","Check C-2.1")</f>
        <v>Balanced</v>
      </c>
      <c r="P104" s="2503" t="str">
        <f>IF(P102='BASE PERIOD'!F146+'BASE PERIOD'!F147,"Balanced","Check C-2.1")</f>
        <v>Balanced</v>
      </c>
      <c r="Q104" s="2503" t="str">
        <f>IF(Q102='BASE PERIOD'!G146+'BASE PERIOD'!G147,"Balanced","Check C-2.1")</f>
        <v>Balanced</v>
      </c>
      <c r="R104" s="2503" t="str">
        <f>IF(R102='BASE PERIOD'!H146+'BASE PERIOD'!H147,"Balanced","Check C-2.1")</f>
        <v>Balanced</v>
      </c>
      <c r="S104" s="2503" t="str">
        <f>IF(S102='BASE PERIOD'!I146+'BASE PERIOD'!I147,"Balanced","Check C-2.1")</f>
        <v>Balanced</v>
      </c>
      <c r="T104" s="2503" t="str">
        <f>IF(T102='BASE PERIOD'!J146+'BASE PERIOD'!J147,"Balanced","Check C-2.1")</f>
        <v>Balanced</v>
      </c>
      <c r="U104" s="2503" t="str">
        <f>IF(U102='BASE PERIOD'!K146+'BASE PERIOD'!K147,"Balanced","Check C-2.1")</f>
        <v>Balanced</v>
      </c>
      <c r="V104" s="2503" t="str">
        <f>IF(V102='BASE PERIOD'!L146+'BASE PERIOD'!L147,"Balanced","Check C-2.1")</f>
        <v>Balanced</v>
      </c>
      <c r="W104" s="2503" t="str">
        <f>IF(W102='BASE PERIOD'!M146+'BASE PERIOD'!M147,"Balanced","Check C-2.1")</f>
        <v>Balanced</v>
      </c>
      <c r="X104" s="2503" t="str">
        <f>IF(X102='BASE PERIOD'!N146+'BASE PERIOD'!N147,"Balanced","Check C-2.1")</f>
        <v>Balanced</v>
      </c>
      <c r="Y104" s="2503" t="str">
        <f>IF(Y102='BASE PERIOD'!O146+'BASE PERIOD'!O147,"Balanced","Check C-2.1")</f>
        <v>Balanced</v>
      </c>
      <c r="Z104" s="2503" t="str">
        <f>IF(Z102='BASE PERIOD'!P146+'BASE PERIOD'!P147,"Balanced","Check C-2.1")</f>
        <v>Balanced</v>
      </c>
      <c r="AA104" s="2503" t="str">
        <f>IF(AA102='BASE PERIOD'!Q146+'BASE PERIOD'!Q147,"Balanced","Check C-2.1")</f>
        <v>Balanced</v>
      </c>
    </row>
    <row r="105" spans="13:33">
      <c r="M105" s="2503"/>
      <c r="N105" s="2503"/>
      <c r="O105" s="2503"/>
      <c r="P105" s="2505">
        <f>'BASE PERIOD'!F146+'BASE PERIOD'!F147</f>
        <v>104478</v>
      </c>
      <c r="Q105" s="2505">
        <f>'BASE PERIOD'!G146+'BASE PERIOD'!G147</f>
        <v>67774</v>
      </c>
      <c r="R105" s="2505">
        <f>'BASE PERIOD'!H146+'BASE PERIOD'!H147</f>
        <v>119423</v>
      </c>
      <c r="S105" s="2505">
        <f>'BASE PERIOD'!I146+'BASE PERIOD'!I147</f>
        <v>141360</v>
      </c>
      <c r="T105" s="2505">
        <f>'BASE PERIOD'!J146+'BASE PERIOD'!J147</f>
        <v>78119</v>
      </c>
      <c r="U105" s="2505">
        <f>'BASE PERIOD'!K146+'BASE PERIOD'!K147</f>
        <v>161217</v>
      </c>
      <c r="V105" s="2505">
        <f>'BASE PERIOD'!L146+'BASE PERIOD'!L147</f>
        <v>43847</v>
      </c>
      <c r="W105" s="2505">
        <f>'BASE PERIOD'!M146+'BASE PERIOD'!M147</f>
        <v>36149</v>
      </c>
      <c r="X105" s="2505">
        <f>'BASE PERIOD'!N146+'BASE PERIOD'!N147</f>
        <v>43135</v>
      </c>
      <c r="Y105" s="2505">
        <f>'BASE PERIOD'!O146+'BASE PERIOD'!O147</f>
        <v>40478</v>
      </c>
      <c r="Z105" s="2505">
        <f>'BASE PERIOD'!P146+'BASE PERIOD'!P147</f>
        <v>36587</v>
      </c>
      <c r="AA105" s="2505">
        <f>'BASE PERIOD'!Q146+'BASE PERIOD'!Q147</f>
        <v>48931</v>
      </c>
    </row>
    <row r="106" spans="13:33">
      <c r="M106" s="2503"/>
      <c r="N106" s="2503"/>
      <c r="O106" s="2503"/>
      <c r="P106" s="1595"/>
      <c r="Q106" s="1595"/>
      <c r="R106" s="1595"/>
      <c r="S106" s="1595"/>
      <c r="T106" s="1595"/>
      <c r="U106" s="1595"/>
      <c r="V106" s="1595"/>
      <c r="W106" s="1595"/>
      <c r="X106" s="1595"/>
      <c r="Y106" s="1595"/>
      <c r="Z106" s="1595"/>
      <c r="AA106" s="1595"/>
    </row>
    <row r="107" spans="13:33">
      <c r="M107" s="2570" t="s">
        <v>520</v>
      </c>
      <c r="N107" s="2566"/>
      <c r="O107" s="2566"/>
      <c r="P107" s="2540"/>
      <c r="Q107" s="2540"/>
      <c r="R107" s="2541"/>
      <c r="S107" s="2540"/>
      <c r="T107" s="2540"/>
      <c r="U107" s="2503"/>
      <c r="V107" s="2540"/>
      <c r="W107" s="2540"/>
      <c r="Y107" s="2539" t="s">
        <v>3044</v>
      </c>
    </row>
    <row r="108" spans="13:33">
      <c r="M108" s="2569" t="str">
        <f>DataF</f>
        <v>DATA:  BASE PERIOD  "X" FORECASTED PERIOD</v>
      </c>
      <c r="N108" s="2566"/>
      <c r="O108" s="2566"/>
      <c r="P108" s="2540"/>
      <c r="Q108" s="2540"/>
      <c r="R108" s="2541"/>
      <c r="S108" s="2540"/>
      <c r="T108" s="2540"/>
      <c r="U108" s="2503"/>
      <c r="V108" s="2540"/>
      <c r="W108" s="2540"/>
      <c r="Y108" s="2539" t="s">
        <v>566</v>
      </c>
    </row>
    <row r="109" spans="13:33">
      <c r="M109" s="2570" t="str">
        <f>PeriodF</f>
        <v>FOR THE TWELVE MONTHS ENDED MARCH 31, 2020</v>
      </c>
      <c r="N109" s="2566"/>
      <c r="O109" s="2566"/>
      <c r="P109" s="2540"/>
      <c r="Q109" s="2540"/>
      <c r="R109" s="2540"/>
      <c r="S109" s="2540"/>
      <c r="T109" s="2540"/>
      <c r="U109" s="2540"/>
      <c r="V109" s="2540"/>
      <c r="W109" s="2540"/>
      <c r="Y109" s="2539" t="str">
        <f>_WIT1</f>
        <v>S. E. LAWLER</v>
      </c>
    </row>
    <row r="110" spans="13:33">
      <c r="M110" s="2571"/>
      <c r="N110" s="2571"/>
      <c r="O110" s="2571"/>
      <c r="P110" s="2544"/>
      <c r="Q110" s="2544"/>
      <c r="R110" s="2544"/>
      <c r="S110" s="2544"/>
      <c r="T110" s="2544"/>
      <c r="U110" s="2544"/>
      <c r="V110" s="2544"/>
      <c r="W110" s="2544"/>
      <c r="X110" s="2544"/>
      <c r="Y110" s="2544"/>
      <c r="Z110" s="2544"/>
      <c r="AA110" s="2544"/>
    </row>
    <row r="111" spans="13:33">
      <c r="M111" s="2572" t="s">
        <v>1938</v>
      </c>
      <c r="N111" s="2572"/>
      <c r="O111" s="2547"/>
      <c r="P111" s="2547"/>
      <c r="Q111" s="2547"/>
      <c r="R111" s="2545"/>
      <c r="S111" s="2545"/>
      <c r="T111" s="2545"/>
      <c r="U111" s="2545"/>
      <c r="V111" s="2545"/>
      <c r="W111" s="2545"/>
      <c r="X111" s="2545"/>
      <c r="Y111" s="2545"/>
      <c r="Z111" s="2545"/>
      <c r="AA111" s="2545"/>
    </row>
    <row r="112" spans="13:33">
      <c r="M112" s="2612" t="s">
        <v>1939</v>
      </c>
      <c r="N112" s="2612" t="s">
        <v>414</v>
      </c>
      <c r="O112" s="2613" t="s">
        <v>2153</v>
      </c>
      <c r="P112" s="1797">
        <f>LOGO!$J$7</f>
        <v>43585</v>
      </c>
      <c r="Q112" s="1797">
        <f>LOGO!$J$8</f>
        <v>43616</v>
      </c>
      <c r="R112" s="1797">
        <f>LOGO!$J$9</f>
        <v>43646</v>
      </c>
      <c r="S112" s="1797">
        <f>LOGO!$J$10</f>
        <v>43677</v>
      </c>
      <c r="T112" s="1797">
        <f>LOGO!$J$11</f>
        <v>43708</v>
      </c>
      <c r="U112" s="1797">
        <f>LOGO!$J$12</f>
        <v>43738</v>
      </c>
      <c r="V112" s="1797">
        <f>LOGO!$J$13</f>
        <v>43769</v>
      </c>
      <c r="W112" s="1797">
        <f>LOGO!$J$14</f>
        <v>43799</v>
      </c>
      <c r="X112" s="1797">
        <f>LOGO!$J$15</f>
        <v>43830</v>
      </c>
      <c r="Y112" s="1797">
        <f>LOGO!$J$16</f>
        <v>43861</v>
      </c>
      <c r="Z112" s="1797">
        <f>LOGO!$J$17</f>
        <v>43890</v>
      </c>
      <c r="AA112" s="1797">
        <f>LOGO!$J$18</f>
        <v>43921</v>
      </c>
    </row>
    <row r="113" spans="13:27">
      <c r="O113" s="2545" t="s">
        <v>1134</v>
      </c>
      <c r="P113" s="2545" t="s">
        <v>1134</v>
      </c>
      <c r="Q113" s="2545" t="s">
        <v>1134</v>
      </c>
      <c r="R113" s="2545" t="s">
        <v>1134</v>
      </c>
      <c r="S113" s="2545" t="s">
        <v>1134</v>
      </c>
      <c r="T113" s="2545" t="s">
        <v>1134</v>
      </c>
      <c r="U113" s="2545" t="s">
        <v>1134</v>
      </c>
      <c r="V113" s="2545" t="s">
        <v>1134</v>
      </c>
      <c r="W113" s="2545" t="s">
        <v>1134</v>
      </c>
      <c r="X113" s="2545" t="s">
        <v>1134</v>
      </c>
      <c r="Y113" s="2545" t="s">
        <v>1134</v>
      </c>
      <c r="Z113" s="2545" t="s">
        <v>1134</v>
      </c>
      <c r="AA113" s="2545" t="s">
        <v>1134</v>
      </c>
    </row>
    <row r="114" spans="13:27">
      <c r="M114" s="2549">
        <v>1</v>
      </c>
      <c r="N114" s="2550" t="s">
        <v>574</v>
      </c>
      <c r="O114" s="2503"/>
      <c r="P114" s="2503"/>
      <c r="Q114" s="2503"/>
      <c r="R114" s="2507"/>
      <c r="S114" s="2507"/>
      <c r="T114" s="2507"/>
      <c r="U114" s="2507"/>
    </row>
    <row r="115" spans="13:27">
      <c r="M115" s="2549">
        <v>2</v>
      </c>
      <c r="N115" s="2503" t="s">
        <v>412</v>
      </c>
      <c r="O115" s="2551">
        <f>SUM(P115:AA115)</f>
        <v>0</v>
      </c>
      <c r="P115" s="2552">
        <v>0</v>
      </c>
      <c r="Q115" s="2552">
        <v>0</v>
      </c>
      <c r="R115" s="2552">
        <v>0</v>
      </c>
      <c r="S115" s="2552">
        <v>0</v>
      </c>
      <c r="T115" s="2552">
        <v>0</v>
      </c>
      <c r="U115" s="2552">
        <v>0</v>
      </c>
      <c r="V115" s="2552">
        <v>0</v>
      </c>
      <c r="W115" s="2552">
        <v>0</v>
      </c>
      <c r="X115" s="2552">
        <v>0</v>
      </c>
      <c r="Y115" s="2552">
        <v>0</v>
      </c>
      <c r="Z115" s="2552">
        <v>0</v>
      </c>
      <c r="AA115" s="2552">
        <v>0</v>
      </c>
    </row>
    <row r="116" spans="13:27">
      <c r="M116" s="2549">
        <v>3</v>
      </c>
      <c r="N116" s="2609" t="s">
        <v>575</v>
      </c>
      <c r="O116" s="2553">
        <f t="shared" ref="O116:AA116" si="6">SUM(O115:O115)</f>
        <v>0</v>
      </c>
      <c r="P116" s="2553">
        <f t="shared" si="6"/>
        <v>0</v>
      </c>
      <c r="Q116" s="2553">
        <f t="shared" si="6"/>
        <v>0</v>
      </c>
      <c r="R116" s="2553">
        <f t="shared" si="6"/>
        <v>0</v>
      </c>
      <c r="S116" s="2553">
        <f t="shared" si="6"/>
        <v>0</v>
      </c>
      <c r="T116" s="2553">
        <f t="shared" si="6"/>
        <v>0</v>
      </c>
      <c r="U116" s="2553">
        <f t="shared" si="6"/>
        <v>0</v>
      </c>
      <c r="V116" s="2553">
        <f t="shared" si="6"/>
        <v>0</v>
      </c>
      <c r="W116" s="2553">
        <f t="shared" si="6"/>
        <v>0</v>
      </c>
      <c r="X116" s="2553">
        <f t="shared" si="6"/>
        <v>0</v>
      </c>
      <c r="Y116" s="2553">
        <f t="shared" si="6"/>
        <v>0</v>
      </c>
      <c r="Z116" s="2553">
        <f t="shared" si="6"/>
        <v>0</v>
      </c>
      <c r="AA116" s="2553">
        <f t="shared" si="6"/>
        <v>0</v>
      </c>
    </row>
    <row r="117" spans="13:27">
      <c r="M117" s="2549">
        <v>4</v>
      </c>
      <c r="N117" s="2608"/>
      <c r="O117" s="2551"/>
      <c r="P117" s="2552"/>
      <c r="Q117" s="2552"/>
      <c r="R117" s="2552"/>
      <c r="S117" s="2552"/>
      <c r="T117" s="2559"/>
      <c r="U117" s="2552"/>
      <c r="V117" s="2560"/>
      <c r="W117" s="2561"/>
      <c r="X117" s="2505"/>
      <c r="Y117" s="2505"/>
      <c r="Z117" s="2505"/>
      <c r="AA117" s="2505"/>
    </row>
    <row r="118" spans="13:27">
      <c r="M118" s="2549">
        <v>5</v>
      </c>
      <c r="N118" s="2610" t="s">
        <v>576</v>
      </c>
      <c r="O118" s="2503"/>
      <c r="P118" s="2505"/>
      <c r="Q118" s="2505"/>
      <c r="R118" s="2505"/>
      <c r="S118" s="2505"/>
      <c r="T118" s="2505"/>
      <c r="U118" s="2505"/>
      <c r="V118" s="2505"/>
      <c r="W118" s="2505"/>
      <c r="X118" s="2505"/>
      <c r="Y118" s="2505"/>
      <c r="Z118" s="2505"/>
      <c r="AA118" s="2505"/>
    </row>
    <row r="119" spans="13:27">
      <c r="M119" s="2549">
        <v>6</v>
      </c>
      <c r="N119" s="2504" t="s">
        <v>412</v>
      </c>
      <c r="O119" s="2551">
        <f>SUM(P119:AA119)</f>
        <v>0</v>
      </c>
      <c r="P119" s="2552">
        <v>0</v>
      </c>
      <c r="Q119" s="2552">
        <v>0</v>
      </c>
      <c r="R119" s="2552">
        <v>0</v>
      </c>
      <c r="S119" s="2552">
        <v>0</v>
      </c>
      <c r="T119" s="2552">
        <v>0</v>
      </c>
      <c r="U119" s="2552">
        <v>0</v>
      </c>
      <c r="V119" s="2552">
        <v>0</v>
      </c>
      <c r="W119" s="2552">
        <v>0</v>
      </c>
      <c r="X119" s="2552">
        <v>0</v>
      </c>
      <c r="Y119" s="2552">
        <v>0</v>
      </c>
      <c r="Z119" s="2552">
        <v>0</v>
      </c>
      <c r="AA119" s="2552">
        <v>0</v>
      </c>
    </row>
    <row r="120" spans="13:27">
      <c r="M120" s="2549">
        <v>7</v>
      </c>
      <c r="N120" s="2609" t="s">
        <v>577</v>
      </c>
      <c r="O120" s="2553">
        <f>SUM(O119)</f>
        <v>0</v>
      </c>
      <c r="P120" s="3452">
        <f>SUM(P119)</f>
        <v>0</v>
      </c>
      <c r="Q120" s="3452">
        <f t="shared" ref="Q120:AA120" si="7">SUM(Q119)</f>
        <v>0</v>
      </c>
      <c r="R120" s="3452">
        <f t="shared" si="7"/>
        <v>0</v>
      </c>
      <c r="S120" s="3452">
        <f t="shared" si="7"/>
        <v>0</v>
      </c>
      <c r="T120" s="3452">
        <f t="shared" si="7"/>
        <v>0</v>
      </c>
      <c r="U120" s="3452">
        <f t="shared" si="7"/>
        <v>0</v>
      </c>
      <c r="V120" s="3452">
        <f t="shared" si="7"/>
        <v>0</v>
      </c>
      <c r="W120" s="3452">
        <f t="shared" si="7"/>
        <v>0</v>
      </c>
      <c r="X120" s="3452">
        <f t="shared" si="7"/>
        <v>0</v>
      </c>
      <c r="Y120" s="3452">
        <f t="shared" si="7"/>
        <v>0</v>
      </c>
      <c r="Z120" s="3452">
        <f t="shared" si="7"/>
        <v>0</v>
      </c>
      <c r="AA120" s="3452">
        <f t="shared" si="7"/>
        <v>0</v>
      </c>
    </row>
    <row r="121" spans="13:27">
      <c r="M121" s="2549">
        <v>8</v>
      </c>
      <c r="N121" s="2609"/>
      <c r="O121" s="2556"/>
      <c r="P121" s="2557"/>
      <c r="Q121" s="2557"/>
      <c r="R121" s="2557"/>
      <c r="S121" s="2557"/>
      <c r="T121" s="2559"/>
      <c r="U121" s="2557"/>
      <c r="V121" s="2560"/>
      <c r="W121" s="2561"/>
      <c r="X121" s="2505"/>
      <c r="Y121" s="2505"/>
      <c r="Z121" s="2505"/>
      <c r="AA121" s="2505"/>
    </row>
    <row r="122" spans="13:27">
      <c r="M122" s="2549">
        <v>9</v>
      </c>
      <c r="N122" s="2610" t="s">
        <v>578</v>
      </c>
      <c r="O122" s="2503"/>
      <c r="P122" s="2505"/>
      <c r="Q122" s="2505"/>
      <c r="R122" s="2505"/>
      <c r="S122" s="2505"/>
      <c r="T122" s="2505"/>
      <c r="U122" s="2505"/>
      <c r="V122" s="2505"/>
      <c r="W122" s="2505"/>
      <c r="X122" s="2505"/>
      <c r="Y122" s="2505"/>
      <c r="Z122" s="2505"/>
      <c r="AA122" s="2505"/>
    </row>
    <row r="123" spans="13:27">
      <c r="M123" s="2549">
        <v>10</v>
      </c>
      <c r="N123" s="2504" t="s">
        <v>412</v>
      </c>
      <c r="O123" s="2551">
        <f>SUM(P123:AA123)</f>
        <v>0</v>
      </c>
      <c r="P123" s="2552">
        <v>0</v>
      </c>
      <c r="Q123" s="2552">
        <v>0</v>
      </c>
      <c r="R123" s="2552">
        <v>0</v>
      </c>
      <c r="S123" s="2552">
        <v>0</v>
      </c>
      <c r="T123" s="2552">
        <v>0</v>
      </c>
      <c r="U123" s="2552">
        <v>0</v>
      </c>
      <c r="V123" s="2552">
        <v>0</v>
      </c>
      <c r="W123" s="2552">
        <v>0</v>
      </c>
      <c r="X123" s="2552">
        <v>0</v>
      </c>
      <c r="Y123" s="2552">
        <v>0</v>
      </c>
      <c r="Z123" s="2552">
        <v>0</v>
      </c>
      <c r="AA123" s="2552">
        <v>0</v>
      </c>
    </row>
    <row r="124" spans="13:27">
      <c r="M124" s="2549">
        <v>11</v>
      </c>
      <c r="N124" s="2609" t="s">
        <v>579</v>
      </c>
      <c r="O124" s="2553">
        <f t="shared" ref="O124:AA124" si="8">SUM(O123)</f>
        <v>0</v>
      </c>
      <c r="P124" s="3452">
        <f t="shared" si="8"/>
        <v>0</v>
      </c>
      <c r="Q124" s="3452">
        <f t="shared" ref="Q124:S124" si="9">SUM(Q123)</f>
        <v>0</v>
      </c>
      <c r="R124" s="3452">
        <f t="shared" si="9"/>
        <v>0</v>
      </c>
      <c r="S124" s="3452">
        <f t="shared" si="9"/>
        <v>0</v>
      </c>
      <c r="T124" s="3452">
        <f t="shared" si="8"/>
        <v>0</v>
      </c>
      <c r="U124" s="3452">
        <f t="shared" si="8"/>
        <v>0</v>
      </c>
      <c r="V124" s="3452">
        <f t="shared" si="8"/>
        <v>0</v>
      </c>
      <c r="W124" s="3452">
        <f t="shared" si="8"/>
        <v>0</v>
      </c>
      <c r="X124" s="3452">
        <f t="shared" si="8"/>
        <v>0</v>
      </c>
      <c r="Y124" s="3452">
        <f t="shared" si="8"/>
        <v>0</v>
      </c>
      <c r="Z124" s="3452">
        <f t="shared" si="8"/>
        <v>0</v>
      </c>
      <c r="AA124" s="3452">
        <f t="shared" si="8"/>
        <v>0</v>
      </c>
    </row>
    <row r="125" spans="13:27">
      <c r="M125" s="2549">
        <v>12</v>
      </c>
      <c r="N125" s="2504"/>
      <c r="O125" s="2556"/>
      <c r="P125" s="2557"/>
      <c r="Q125" s="2557"/>
      <c r="R125" s="2557"/>
      <c r="S125" s="2557"/>
      <c r="T125" s="2508"/>
      <c r="U125" s="2557"/>
      <c r="V125" s="2505"/>
      <c r="W125" s="2505"/>
      <c r="X125" s="2505"/>
      <c r="Y125" s="2505"/>
      <c r="Z125" s="2505"/>
      <c r="AA125" s="2505"/>
    </row>
    <row r="126" spans="13:27">
      <c r="M126" s="2549">
        <v>13</v>
      </c>
      <c r="N126" s="2550" t="s">
        <v>1559</v>
      </c>
      <c r="O126" s="2554"/>
      <c r="P126" s="2555"/>
      <c r="Q126" s="2555"/>
      <c r="R126" s="2555"/>
      <c r="S126" s="2555"/>
      <c r="T126" s="2559"/>
      <c r="U126" s="2555"/>
      <c r="V126" s="2559"/>
      <c r="W126" s="2606"/>
      <c r="X126" s="2505"/>
      <c r="Y126" s="2505"/>
      <c r="Z126" s="2505"/>
      <c r="AA126" s="2505"/>
    </row>
    <row r="127" spans="13:27">
      <c r="M127" s="2549">
        <v>14</v>
      </c>
      <c r="N127" s="2607" t="s">
        <v>2577</v>
      </c>
      <c r="O127" s="2551">
        <f t="shared" ref="O127:O131" si="10">SUM(P127:AA127)</f>
        <v>3798</v>
      </c>
      <c r="P127" s="2552">
        <v>0</v>
      </c>
      <c r="Q127" s="2552">
        <v>948</v>
      </c>
      <c r="R127" s="2552">
        <v>0</v>
      </c>
      <c r="S127" s="2552">
        <v>947</v>
      </c>
      <c r="T127" s="2552">
        <v>0</v>
      </c>
      <c r="U127" s="2552">
        <v>0</v>
      </c>
      <c r="V127" s="2552">
        <v>0</v>
      </c>
      <c r="W127" s="2552">
        <v>947</v>
      </c>
      <c r="X127" s="2552">
        <v>0</v>
      </c>
      <c r="Y127" s="2552">
        <v>0</v>
      </c>
      <c r="Z127" s="2552">
        <v>956</v>
      </c>
      <c r="AA127" s="2552">
        <v>0</v>
      </c>
    </row>
    <row r="128" spans="13:27">
      <c r="M128" s="2549">
        <v>15</v>
      </c>
      <c r="N128" s="2607" t="s">
        <v>2583</v>
      </c>
      <c r="O128" s="2551">
        <f t="shared" si="10"/>
        <v>1087</v>
      </c>
      <c r="P128" s="2552">
        <v>-87</v>
      </c>
      <c r="Q128" s="2552">
        <v>-87</v>
      </c>
      <c r="R128" s="2552">
        <v>-87</v>
      </c>
      <c r="S128" s="2552">
        <v>-87</v>
      </c>
      <c r="T128" s="2552">
        <v>-87</v>
      </c>
      <c r="U128" s="2552">
        <v>-87</v>
      </c>
      <c r="V128" s="2552">
        <v>-87</v>
      </c>
      <c r="W128" s="2552">
        <v>-87</v>
      </c>
      <c r="X128" s="2552">
        <v>-87</v>
      </c>
      <c r="Y128" s="2552">
        <v>-88</v>
      </c>
      <c r="Z128" s="2552">
        <v>2046</v>
      </c>
      <c r="AA128" s="2552">
        <v>-88</v>
      </c>
    </row>
    <row r="129" spans="13:27">
      <c r="M129" s="2549">
        <v>16</v>
      </c>
      <c r="N129" s="2607" t="s">
        <v>2765</v>
      </c>
      <c r="O129" s="2551">
        <f t="shared" si="10"/>
        <v>4872</v>
      </c>
      <c r="P129" s="2552">
        <v>405</v>
      </c>
      <c r="Q129" s="2552">
        <v>405</v>
      </c>
      <c r="R129" s="2552">
        <v>405</v>
      </c>
      <c r="S129" s="2552">
        <v>405</v>
      </c>
      <c r="T129" s="2552">
        <v>405</v>
      </c>
      <c r="U129" s="2552">
        <v>405</v>
      </c>
      <c r="V129" s="2552">
        <v>405</v>
      </c>
      <c r="W129" s="2552">
        <v>405</v>
      </c>
      <c r="X129" s="2552">
        <v>405</v>
      </c>
      <c r="Y129" s="2552">
        <v>409</v>
      </c>
      <c r="Z129" s="2552">
        <v>409</v>
      </c>
      <c r="AA129" s="2552">
        <v>409</v>
      </c>
    </row>
    <row r="130" spans="13:27">
      <c r="M130" s="2549">
        <v>17</v>
      </c>
      <c r="N130" s="2607" t="s">
        <v>2584</v>
      </c>
      <c r="O130" s="2551">
        <f t="shared" si="10"/>
        <v>795</v>
      </c>
      <c r="P130" s="2552">
        <v>66</v>
      </c>
      <c r="Q130" s="2552">
        <v>66</v>
      </c>
      <c r="R130" s="2552">
        <v>66</v>
      </c>
      <c r="S130" s="2552">
        <v>66</v>
      </c>
      <c r="T130" s="2552">
        <v>66</v>
      </c>
      <c r="U130" s="2552">
        <v>66</v>
      </c>
      <c r="V130" s="2552">
        <v>66</v>
      </c>
      <c r="W130" s="2552">
        <v>66</v>
      </c>
      <c r="X130" s="2552">
        <v>66</v>
      </c>
      <c r="Y130" s="2552">
        <v>67</v>
      </c>
      <c r="Z130" s="2552">
        <v>67</v>
      </c>
      <c r="AA130" s="2552">
        <v>67</v>
      </c>
    </row>
    <row r="131" spans="13:27">
      <c r="M131" s="2549">
        <v>18</v>
      </c>
      <c r="N131" s="2608" t="s">
        <v>2582</v>
      </c>
      <c r="O131" s="2551">
        <f t="shared" si="10"/>
        <v>450728</v>
      </c>
      <c r="P131" s="2552">
        <f>30138-1</f>
        <v>30137</v>
      </c>
      <c r="Q131" s="2552">
        <f>43840-1</f>
        <v>43839</v>
      </c>
      <c r="R131" s="2552">
        <f>39007-1</f>
        <v>39006</v>
      </c>
      <c r="S131" s="2552">
        <f>31456-1</f>
        <v>31455</v>
      </c>
      <c r="T131" s="2552">
        <v>39533</v>
      </c>
      <c r="U131" s="2552">
        <v>37094</v>
      </c>
      <c r="V131" s="2552">
        <f>31975-1</f>
        <v>31974</v>
      </c>
      <c r="W131" s="2552">
        <v>41582</v>
      </c>
      <c r="X131" s="2552">
        <f>41142-1</f>
        <v>41141</v>
      </c>
      <c r="Y131" s="2552">
        <v>35782</v>
      </c>
      <c r="Z131" s="2552">
        <v>41318</v>
      </c>
      <c r="AA131" s="2552">
        <f>37866+1</f>
        <v>37867</v>
      </c>
    </row>
    <row r="132" spans="13:27">
      <c r="M132" s="2549">
        <v>19</v>
      </c>
      <c r="N132" s="2609" t="s">
        <v>580</v>
      </c>
      <c r="O132" s="2553">
        <f t="shared" ref="O132:AA132" si="11">SUM(O127:O131)</f>
        <v>461280</v>
      </c>
      <c r="P132" s="2553">
        <f t="shared" si="11"/>
        <v>30521</v>
      </c>
      <c r="Q132" s="2553">
        <f t="shared" si="11"/>
        <v>45171</v>
      </c>
      <c r="R132" s="2553">
        <f t="shared" si="11"/>
        <v>39390</v>
      </c>
      <c r="S132" s="2553">
        <f t="shared" si="11"/>
        <v>32786</v>
      </c>
      <c r="T132" s="2553">
        <f t="shared" si="11"/>
        <v>39917</v>
      </c>
      <c r="U132" s="2553">
        <f t="shared" si="11"/>
        <v>37478</v>
      </c>
      <c r="V132" s="2553">
        <f t="shared" si="11"/>
        <v>32358</v>
      </c>
      <c r="W132" s="2553">
        <f t="shared" si="11"/>
        <v>42913</v>
      </c>
      <c r="X132" s="2553">
        <f t="shared" si="11"/>
        <v>41525</v>
      </c>
      <c r="Y132" s="2553">
        <f t="shared" si="11"/>
        <v>36170</v>
      </c>
      <c r="Z132" s="2553">
        <f t="shared" si="11"/>
        <v>44796</v>
      </c>
      <c r="AA132" s="2553">
        <f t="shared" si="11"/>
        <v>38255</v>
      </c>
    </row>
    <row r="133" spans="13:27">
      <c r="M133" s="2549">
        <v>20</v>
      </c>
      <c r="N133" s="2609"/>
      <c r="O133" s="2554"/>
      <c r="P133" s="2554"/>
      <c r="Q133" s="2554"/>
      <c r="R133" s="2554"/>
      <c r="S133" s="2558"/>
      <c r="T133" s="2554"/>
      <c r="U133" s="2554"/>
      <c r="V133" s="2554"/>
      <c r="W133" s="2606"/>
      <c r="X133" s="2505"/>
      <c r="Y133" s="2505"/>
      <c r="Z133" s="2505"/>
      <c r="AA133" s="2505"/>
    </row>
    <row r="134" spans="13:27" ht="13.8" thickBot="1">
      <c r="M134" s="2549">
        <v>21</v>
      </c>
      <c r="N134" s="2504" t="s">
        <v>411</v>
      </c>
      <c r="O134" s="2562">
        <f t="shared" ref="O134:AA134" si="12">O132+O124+O120+O116</f>
        <v>461280</v>
      </c>
      <c r="P134" s="2562">
        <f t="shared" si="12"/>
        <v>30521</v>
      </c>
      <c r="Q134" s="2562">
        <f t="shared" si="12"/>
        <v>45171</v>
      </c>
      <c r="R134" s="2562">
        <f t="shared" si="12"/>
        <v>39390</v>
      </c>
      <c r="S134" s="2562">
        <f t="shared" si="12"/>
        <v>32786</v>
      </c>
      <c r="T134" s="2562">
        <f t="shared" si="12"/>
        <v>39917</v>
      </c>
      <c r="U134" s="2562">
        <f t="shared" si="12"/>
        <v>37478</v>
      </c>
      <c r="V134" s="2562">
        <f t="shared" si="12"/>
        <v>32358</v>
      </c>
      <c r="W134" s="2562">
        <f t="shared" si="12"/>
        <v>42913</v>
      </c>
      <c r="X134" s="2562">
        <f t="shared" si="12"/>
        <v>41525</v>
      </c>
      <c r="Y134" s="2562">
        <f t="shared" si="12"/>
        <v>36170</v>
      </c>
      <c r="Z134" s="2562">
        <f t="shared" si="12"/>
        <v>44796</v>
      </c>
      <c r="AA134" s="2562">
        <f t="shared" si="12"/>
        <v>38255</v>
      </c>
    </row>
    <row r="135" spans="13:27" ht="13.8" thickTop="1">
      <c r="M135" s="2503"/>
      <c r="N135" s="2504"/>
      <c r="O135" s="2503"/>
      <c r="P135" s="2505"/>
      <c r="Q135" s="2505"/>
      <c r="R135" s="2505"/>
      <c r="S135" s="2506"/>
      <c r="T135" s="2505"/>
      <c r="U135" s="2505"/>
      <c r="V135" s="2505"/>
      <c r="W135" s="2505"/>
      <c r="X135" s="2505"/>
      <c r="Y135" s="2505"/>
      <c r="Z135" s="2505"/>
      <c r="AA135" s="2505"/>
    </row>
    <row r="136" spans="13:27">
      <c r="M136" s="2503"/>
      <c r="N136" s="2503"/>
      <c r="O136" s="2503" t="str">
        <f ca="1">IF(O134='SCH_C2.1 - Forecasted Period'!J219,"Balanced","Check C-2.1")</f>
        <v>Balanced</v>
      </c>
      <c r="P136" s="2503" t="str">
        <f>IF(P134='FORECASTED PERIOD'!F147+'FORECASTED PERIOD'!F148,"Balanced","Check C-2.1")</f>
        <v>Balanced</v>
      </c>
      <c r="Q136" s="2503" t="str">
        <f>IF(Q134='FORECASTED PERIOD'!G147+'FORECASTED PERIOD'!G148,"Balanced","Check C-2.1")</f>
        <v>Balanced</v>
      </c>
      <c r="R136" s="2503" t="str">
        <f>IF(R134='FORECASTED PERIOD'!H147+'FORECASTED PERIOD'!H148,"Balanced","Check C-2.1")</f>
        <v>Balanced</v>
      </c>
      <c r="S136" s="2503" t="str">
        <f>IF(S134='FORECASTED PERIOD'!I147+'FORECASTED PERIOD'!I148,"Balanced","Check C-2.1")</f>
        <v>Balanced</v>
      </c>
      <c r="T136" s="2503" t="str">
        <f>IF(T134='FORECASTED PERIOD'!J147+'FORECASTED PERIOD'!J148,"Balanced","Check C-2.1")</f>
        <v>Balanced</v>
      </c>
      <c r="U136" s="2503" t="str">
        <f>IF(U134='FORECASTED PERIOD'!K147+'FORECASTED PERIOD'!K148,"Balanced","Check C-2.1")</f>
        <v>Balanced</v>
      </c>
      <c r="V136" s="2503" t="str">
        <f>IF(V134='FORECASTED PERIOD'!L147+'FORECASTED PERIOD'!L148,"Balanced","Check C-2.1")</f>
        <v>Balanced</v>
      </c>
      <c r="W136" s="2503" t="str">
        <f>IF(W134='FORECASTED PERIOD'!M147+'FORECASTED PERIOD'!M148,"Balanced","Check C-2.1")</f>
        <v>Balanced</v>
      </c>
      <c r="X136" s="2503" t="str">
        <f>IF(X134='FORECASTED PERIOD'!N147+'FORECASTED PERIOD'!N148,"Balanced","Check C-2.1")</f>
        <v>Balanced</v>
      </c>
      <c r="Y136" s="2503" t="str">
        <f>IF(Y134='FORECASTED PERIOD'!O147+'FORECASTED PERIOD'!O148,"Balanced","Check C-2.1")</f>
        <v>Balanced</v>
      </c>
      <c r="Z136" s="2503" t="str">
        <f>IF(Z134='FORECASTED PERIOD'!P147+'FORECASTED PERIOD'!P148,"Balanced","Check C-2.1")</f>
        <v>Balanced</v>
      </c>
      <c r="AA136" s="2503" t="str">
        <f>IF(AA134='FORECASTED PERIOD'!Q147+'FORECASTED PERIOD'!Q148,"Balanced","Check C-2.1")</f>
        <v>Balanced</v>
      </c>
    </row>
    <row r="137" spans="13:27">
      <c r="M137" s="2503"/>
      <c r="N137" s="2503"/>
      <c r="O137" s="2503"/>
      <c r="P137" s="2505">
        <f>'FORECASTED PERIOD'!F147+'FORECASTED PERIOD'!F148</f>
        <v>30521</v>
      </c>
      <c r="Q137" s="2505">
        <f>'FORECASTED PERIOD'!G147+'FORECASTED PERIOD'!G148</f>
        <v>45171</v>
      </c>
      <c r="R137" s="2505">
        <f>'FORECASTED PERIOD'!H147+'FORECASTED PERIOD'!H148</f>
        <v>39390</v>
      </c>
      <c r="S137" s="2505">
        <f>'FORECASTED PERIOD'!I147+'FORECASTED PERIOD'!I148</f>
        <v>32786</v>
      </c>
      <c r="T137" s="2505">
        <f>'FORECASTED PERIOD'!J147+'FORECASTED PERIOD'!J148</f>
        <v>39917</v>
      </c>
      <c r="U137" s="2505">
        <f>'FORECASTED PERIOD'!K147+'FORECASTED PERIOD'!K148</f>
        <v>37478</v>
      </c>
      <c r="V137" s="2505">
        <f>'FORECASTED PERIOD'!L147+'FORECASTED PERIOD'!L148</f>
        <v>32358</v>
      </c>
      <c r="W137" s="2505">
        <f>'FORECASTED PERIOD'!M147+'FORECASTED PERIOD'!M148</f>
        <v>42913</v>
      </c>
      <c r="X137" s="2505">
        <f>'FORECASTED PERIOD'!N147+'FORECASTED PERIOD'!N148</f>
        <v>41525</v>
      </c>
      <c r="Y137" s="2505">
        <f>'FORECASTED PERIOD'!O147+'FORECASTED PERIOD'!O148</f>
        <v>36170</v>
      </c>
      <c r="Z137" s="2505">
        <f>'FORECASTED PERIOD'!P147+'FORECASTED PERIOD'!P148</f>
        <v>44796</v>
      </c>
      <c r="AA137" s="2505">
        <f>'FORECASTED PERIOD'!Q147+'FORECASTED PERIOD'!Q148</f>
        <v>38255</v>
      </c>
    </row>
    <row r="138" spans="13:27">
      <c r="M138" s="2503"/>
      <c r="N138" s="2503"/>
      <c r="O138" s="2503"/>
      <c r="P138" s="2505">
        <f>P137-P134</f>
        <v>0</v>
      </c>
      <c r="Q138" s="2505">
        <f t="shared" ref="Q138:AA138" si="13">Q137-Q134</f>
        <v>0</v>
      </c>
      <c r="R138" s="2505">
        <f t="shared" si="13"/>
        <v>0</v>
      </c>
      <c r="S138" s="2505">
        <f t="shared" si="13"/>
        <v>0</v>
      </c>
      <c r="T138" s="2505">
        <f t="shared" si="13"/>
        <v>0</v>
      </c>
      <c r="U138" s="2505">
        <f t="shared" si="13"/>
        <v>0</v>
      </c>
      <c r="V138" s="2505">
        <f t="shared" si="13"/>
        <v>0</v>
      </c>
      <c r="W138" s="2505">
        <f t="shared" si="13"/>
        <v>0</v>
      </c>
      <c r="X138" s="2505">
        <f t="shared" si="13"/>
        <v>0</v>
      </c>
      <c r="Y138" s="2505">
        <f t="shared" si="13"/>
        <v>0</v>
      </c>
      <c r="Z138" s="2505">
        <f t="shared" si="13"/>
        <v>0</v>
      </c>
      <c r="AA138" s="2505">
        <f t="shared" si="13"/>
        <v>0</v>
      </c>
    </row>
  </sheetData>
  <phoneticPr fontId="4" type="noConversion"/>
  <pageMargins left="1" right="0.75" top="1" bottom="0" header="0" footer="0"/>
  <pageSetup scale="59" orientation="landscape" blackAndWhite="1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tabColor rgb="FFFF9900"/>
    <pageSetUpPr fitToPage="1"/>
  </sheetPr>
  <dimension ref="A1:U45"/>
  <sheetViews>
    <sheetView zoomScale="75" workbookViewId="0"/>
  </sheetViews>
  <sheetFormatPr defaultColWidth="8" defaultRowHeight="15"/>
  <cols>
    <col min="1" max="1" width="8" style="368" customWidth="1"/>
    <col min="2" max="2" width="37.5546875" style="368" customWidth="1"/>
    <col min="3" max="3" width="15.33203125" style="368" customWidth="1"/>
    <col min="4" max="4" width="0.6640625" style="368" customWidth="1"/>
    <col min="5" max="5" width="13.5546875" style="368" customWidth="1"/>
    <col min="6" max="6" width="0.88671875" style="368" customWidth="1"/>
    <col min="7" max="7" width="17.109375" style="368" customWidth="1"/>
    <col min="8" max="8" width="0.5546875" style="368" customWidth="1"/>
    <col min="9" max="9" width="13.88671875" style="368" customWidth="1"/>
    <col min="10" max="10" width="0.44140625" style="368" customWidth="1"/>
    <col min="11" max="11" width="16" style="368" customWidth="1"/>
    <col min="12" max="12" width="18.109375" style="368" customWidth="1"/>
    <col min="13" max="16384" width="8" style="368"/>
  </cols>
  <sheetData>
    <row r="1" spans="1:21">
      <c r="A1" s="366" t="str">
        <f>COMPANY</f>
        <v>DUKE ENERGY KENTUCKY, INC.</v>
      </c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Q1" s="3153"/>
      <c r="R1" s="3153"/>
      <c r="S1" s="3153"/>
      <c r="T1" s="3153"/>
    </row>
    <row r="2" spans="1:21">
      <c r="A2" s="369" t="str">
        <f>CASE</f>
        <v>CASE NO. 2018-00261</v>
      </c>
      <c r="B2" s="367"/>
      <c r="C2" s="367"/>
      <c r="D2" s="367"/>
      <c r="E2" s="366"/>
      <c r="F2" s="366"/>
      <c r="G2" s="367"/>
      <c r="H2" s="367"/>
      <c r="I2" s="367"/>
      <c r="J2" s="367"/>
      <c r="K2" s="367"/>
      <c r="L2" s="366"/>
      <c r="M2" s="3152"/>
      <c r="N2" s="3153"/>
      <c r="O2" s="3153"/>
      <c r="P2" s="3153"/>
      <c r="Q2" s="3153"/>
      <c r="R2" s="3153"/>
      <c r="S2" s="3153"/>
      <c r="T2" s="3153"/>
      <c r="U2" s="3153"/>
    </row>
    <row r="3" spans="1:21">
      <c r="A3" s="369" t="s">
        <v>1675</v>
      </c>
      <c r="B3" s="367"/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152"/>
      <c r="N3" s="3153"/>
      <c r="O3" s="3153"/>
      <c r="P3" s="3153"/>
      <c r="Q3" s="3152"/>
      <c r="R3" s="3153"/>
      <c r="S3" s="3153"/>
      <c r="T3" s="3153"/>
      <c r="U3" s="3153"/>
    </row>
    <row r="4" spans="1:21">
      <c r="A4" s="369" t="str">
        <f>LOGO!B8</f>
        <v>FOR THE TWELVE MONTHS ENDED MARCH 31, 2020</v>
      </c>
      <c r="B4" s="367"/>
      <c r="C4" s="367"/>
      <c r="D4" s="367"/>
      <c r="E4" s="367"/>
      <c r="F4" s="367"/>
      <c r="G4" s="367"/>
      <c r="H4" s="367"/>
      <c r="I4" s="367"/>
      <c r="J4" s="367"/>
      <c r="K4" s="367"/>
      <c r="L4" s="367"/>
      <c r="M4" s="3152"/>
      <c r="N4" s="3153"/>
      <c r="O4" s="3153"/>
      <c r="P4" s="3153"/>
      <c r="Q4" s="3153"/>
      <c r="R4" s="3153"/>
      <c r="S4" s="3153"/>
      <c r="T4" s="3153"/>
      <c r="U4" s="3153"/>
    </row>
    <row r="5" spans="1:21">
      <c r="M5" s="3152"/>
      <c r="N5" s="3153"/>
      <c r="O5" s="3153"/>
      <c r="P5" s="3153"/>
      <c r="Q5" s="3153"/>
      <c r="R5" s="3153"/>
      <c r="S5" s="3153"/>
      <c r="T5" s="3153"/>
      <c r="U5" s="3153"/>
    </row>
    <row r="6" spans="1:21">
      <c r="A6" s="370" t="str">
        <f>DataF</f>
        <v>DATA:  BASE PERIOD  "X" FORECASTED PERIOD</v>
      </c>
      <c r="K6" s="371" t="s">
        <v>851</v>
      </c>
      <c r="M6" s="3153"/>
      <c r="N6" s="3153"/>
      <c r="O6" s="3153"/>
      <c r="P6" s="3153"/>
      <c r="Q6" s="3153"/>
      <c r="R6" s="3153"/>
      <c r="S6" s="3153"/>
      <c r="T6" s="3153"/>
      <c r="U6" s="3153"/>
    </row>
    <row r="7" spans="1:21">
      <c r="A7" s="370" t="str">
        <f>Type</f>
        <v xml:space="preserve">TYPE OF FILING:  "X" ORIGINAL   UPDATED    REVISED  </v>
      </c>
      <c r="K7" s="371" t="s">
        <v>1777</v>
      </c>
      <c r="M7" s="3152"/>
      <c r="N7" s="3153"/>
      <c r="O7" s="3153"/>
      <c r="P7" s="3153"/>
      <c r="Q7" s="3153"/>
      <c r="R7" s="3153"/>
      <c r="S7" s="3153"/>
      <c r="T7" s="3153"/>
      <c r="U7" s="3153"/>
    </row>
    <row r="8" spans="1:21">
      <c r="A8" s="372" t="s">
        <v>852</v>
      </c>
      <c r="K8" s="371" t="s">
        <v>1778</v>
      </c>
    </row>
    <row r="9" spans="1:21">
      <c r="K9" s="372" t="str">
        <f>"        "&amp;LOGO!G6</f>
        <v xml:space="preserve">        S. E. LAWLER</v>
      </c>
    </row>
    <row r="10" spans="1:21">
      <c r="A10" s="373"/>
      <c r="B10" s="374"/>
      <c r="C10" s="374"/>
      <c r="D10" s="374"/>
      <c r="E10" s="374"/>
      <c r="F10" s="374"/>
      <c r="G10" s="374"/>
      <c r="H10" s="374"/>
      <c r="I10" s="374"/>
      <c r="J10" s="374"/>
      <c r="K10" s="374"/>
      <c r="L10" s="374"/>
    </row>
    <row r="11" spans="1:21">
      <c r="A11" s="375"/>
      <c r="B11" s="3598" t="s">
        <v>853</v>
      </c>
      <c r="C11" s="3598"/>
      <c r="D11" s="3598"/>
      <c r="E11" s="3598"/>
      <c r="F11" s="3598"/>
      <c r="G11" s="3598"/>
      <c r="H11" s="3598"/>
      <c r="I11" s="3598"/>
      <c r="J11" s="3598"/>
      <c r="K11" s="3598"/>
      <c r="L11" s="3598"/>
    </row>
    <row r="12" spans="1:21">
      <c r="C12" s="376" t="s">
        <v>854</v>
      </c>
      <c r="D12" s="377"/>
      <c r="E12" s="378" t="s">
        <v>854</v>
      </c>
      <c r="F12" s="379"/>
      <c r="G12" s="367"/>
      <c r="I12" s="378" t="s">
        <v>854</v>
      </c>
      <c r="J12" s="379"/>
      <c r="K12" s="367"/>
      <c r="L12" s="376" t="s">
        <v>277</v>
      </c>
    </row>
    <row r="13" spans="1:21">
      <c r="A13" s="380" t="s">
        <v>567</v>
      </c>
      <c r="C13" s="381" t="str">
        <f>RIGHT(CASE,10)</f>
        <v>2018-00261</v>
      </c>
      <c r="D13" s="372"/>
      <c r="E13" s="1179" t="s">
        <v>2587</v>
      </c>
      <c r="F13" s="382"/>
      <c r="G13" s="382"/>
      <c r="I13" s="2615" t="s">
        <v>2585</v>
      </c>
      <c r="J13" s="382"/>
      <c r="K13" s="382"/>
      <c r="L13" s="376" t="s">
        <v>276</v>
      </c>
    </row>
    <row r="14" spans="1:21">
      <c r="A14" s="380" t="s">
        <v>766</v>
      </c>
      <c r="B14" s="372" t="s">
        <v>855</v>
      </c>
      <c r="C14" s="376" t="s">
        <v>856</v>
      </c>
      <c r="D14" s="376"/>
      <c r="E14" s="376" t="s">
        <v>857</v>
      </c>
      <c r="F14" s="376"/>
      <c r="G14" s="376" t="s">
        <v>856</v>
      </c>
      <c r="I14" s="376" t="s">
        <v>857</v>
      </c>
      <c r="J14" s="376"/>
      <c r="K14" s="376" t="s">
        <v>856</v>
      </c>
      <c r="L14" s="376" t="s">
        <v>858</v>
      </c>
    </row>
    <row r="15" spans="1:21">
      <c r="A15" s="373"/>
      <c r="B15" s="374"/>
      <c r="C15" s="374"/>
      <c r="D15" s="374"/>
      <c r="E15" s="374"/>
      <c r="F15" s="374"/>
      <c r="G15" s="374"/>
      <c r="H15" s="374"/>
      <c r="I15" s="374"/>
      <c r="J15" s="374"/>
      <c r="K15" s="374"/>
      <c r="L15" s="374"/>
    </row>
    <row r="17" spans="1:12">
      <c r="A17" s="380">
        <v>1</v>
      </c>
      <c r="B17" s="372" t="s">
        <v>574</v>
      </c>
      <c r="C17" s="3453">
        <v>266000</v>
      </c>
      <c r="D17" s="3453"/>
      <c r="E17" s="3453">
        <v>232206</v>
      </c>
      <c r="F17" s="3453"/>
      <c r="G17" s="3453">
        <v>186690</v>
      </c>
      <c r="H17" s="3454"/>
      <c r="I17" s="3453">
        <v>7324</v>
      </c>
      <c r="J17" s="3453"/>
      <c r="K17" s="3453">
        <v>15000</v>
      </c>
    </row>
    <row r="18" spans="1:12">
      <c r="A18" s="380">
        <v>2</v>
      </c>
      <c r="B18" s="1250" t="s">
        <v>2586</v>
      </c>
      <c r="C18" s="3453">
        <v>75000</v>
      </c>
      <c r="D18" s="3453"/>
      <c r="E18" s="3453">
        <v>56066</v>
      </c>
      <c r="F18" s="3453"/>
      <c r="G18" s="3453">
        <v>75000</v>
      </c>
      <c r="H18" s="3453"/>
      <c r="I18" s="3453">
        <v>35146</v>
      </c>
      <c r="J18" s="3453"/>
      <c r="K18" s="3453">
        <v>50000</v>
      </c>
    </row>
    <row r="19" spans="1:12">
      <c r="A19" s="380">
        <v>3</v>
      </c>
      <c r="B19" s="1250" t="s">
        <v>2590</v>
      </c>
      <c r="C19" s="3453">
        <v>9500</v>
      </c>
      <c r="D19" s="3453"/>
      <c r="E19" s="3453">
        <v>86653</v>
      </c>
      <c r="F19" s="3453"/>
      <c r="G19" s="3453">
        <v>80000</v>
      </c>
      <c r="H19" s="3453"/>
      <c r="I19" s="3453"/>
      <c r="J19" s="3453"/>
      <c r="K19" s="3453"/>
    </row>
    <row r="20" spans="1:12">
      <c r="A20" s="380">
        <v>4</v>
      </c>
      <c r="B20" s="372" t="s">
        <v>832</v>
      </c>
      <c r="C20" s="3453">
        <v>0</v>
      </c>
      <c r="D20" s="3453"/>
      <c r="E20" s="3453">
        <v>0</v>
      </c>
      <c r="F20" s="3453"/>
      <c r="G20" s="3453">
        <v>0</v>
      </c>
      <c r="H20" s="3453"/>
      <c r="I20" s="3453">
        <v>19442</v>
      </c>
      <c r="J20" s="3453"/>
      <c r="K20" s="3453">
        <v>25000</v>
      </c>
    </row>
    <row r="21" spans="1:12">
      <c r="A21" s="380">
        <v>5</v>
      </c>
      <c r="B21" s="372" t="s">
        <v>833</v>
      </c>
      <c r="C21" s="3453">
        <v>80000</v>
      </c>
      <c r="D21" s="3453"/>
      <c r="E21" s="3453">
        <v>66572</v>
      </c>
      <c r="F21" s="3453"/>
      <c r="G21" s="3453">
        <v>80000</v>
      </c>
      <c r="H21" s="3454"/>
      <c r="I21" s="3453">
        <v>54717</v>
      </c>
      <c r="J21" s="3453"/>
      <c r="K21" s="3453">
        <v>60000</v>
      </c>
    </row>
    <row r="22" spans="1:12">
      <c r="A22" s="380">
        <v>6</v>
      </c>
      <c r="B22" s="372" t="s">
        <v>834</v>
      </c>
      <c r="C22" s="3453">
        <v>0</v>
      </c>
      <c r="D22" s="3453"/>
      <c r="E22" s="3453">
        <v>0</v>
      </c>
      <c r="F22" s="3453"/>
      <c r="G22" s="3453">
        <v>0</v>
      </c>
      <c r="H22" s="3454"/>
      <c r="I22" s="3453">
        <v>0</v>
      </c>
      <c r="J22" s="3453"/>
      <c r="K22" s="3453">
        <v>0</v>
      </c>
    </row>
    <row r="23" spans="1:12">
      <c r="A23" s="380">
        <v>7</v>
      </c>
      <c r="B23" s="372" t="s">
        <v>955</v>
      </c>
      <c r="C23" s="3453">
        <v>100000</v>
      </c>
      <c r="D23" s="3453"/>
      <c r="E23" s="3453">
        <v>211937</v>
      </c>
      <c r="F23" s="3453"/>
      <c r="G23" s="3453">
        <v>81000</v>
      </c>
      <c r="H23" s="3454"/>
      <c r="I23" s="3453">
        <v>22315</v>
      </c>
      <c r="J23" s="3453"/>
      <c r="K23" s="3453">
        <v>80000</v>
      </c>
    </row>
    <row r="24" spans="1:12">
      <c r="A24" s="380">
        <v>8</v>
      </c>
      <c r="B24" s="372" t="s">
        <v>956</v>
      </c>
      <c r="C24" s="3453">
        <v>35000</v>
      </c>
      <c r="D24" s="3453"/>
      <c r="E24" s="3453">
        <v>39357</v>
      </c>
      <c r="F24" s="3453"/>
      <c r="G24" s="3453">
        <v>80000</v>
      </c>
      <c r="H24" s="3454"/>
      <c r="I24" s="3453">
        <v>0</v>
      </c>
      <c r="J24" s="3453"/>
      <c r="K24" s="3453">
        <v>20000</v>
      </c>
    </row>
    <row r="25" spans="1:12">
      <c r="A25" s="380">
        <v>9</v>
      </c>
      <c r="B25" s="372" t="s">
        <v>504</v>
      </c>
      <c r="C25" s="3453">
        <v>10000</v>
      </c>
      <c r="D25" s="3453"/>
      <c r="E25" s="3453">
        <v>6548</v>
      </c>
      <c r="F25" s="3453"/>
      <c r="G25" s="3453">
        <v>20000</v>
      </c>
      <c r="H25" s="3454"/>
      <c r="I25" s="3453">
        <v>17580</v>
      </c>
      <c r="J25" s="3453"/>
      <c r="K25" s="3453">
        <v>10000</v>
      </c>
    </row>
    <row r="26" spans="1:12" ht="15.6" thickBot="1">
      <c r="A26" s="380">
        <v>10</v>
      </c>
      <c r="B26" s="372" t="s">
        <v>760</v>
      </c>
      <c r="C26" s="1249">
        <f>SUM(C17:C25)</f>
        <v>575500</v>
      </c>
      <c r="D26" s="383"/>
      <c r="E26" s="384">
        <f>SUM(E17:E25)</f>
        <v>699339</v>
      </c>
      <c r="F26" s="383"/>
      <c r="G26" s="384">
        <f>SUM(G17:G25)</f>
        <v>602690</v>
      </c>
      <c r="I26" s="384">
        <f>SUM(I17:I25)</f>
        <v>156524</v>
      </c>
      <c r="J26" s="383"/>
      <c r="K26" s="384">
        <f>SUM(K17:K25)</f>
        <v>260000</v>
      </c>
    </row>
    <row r="27" spans="1:12" ht="15.6" thickTop="1">
      <c r="A27" s="380">
        <v>11</v>
      </c>
      <c r="C27" s="385"/>
      <c r="D27" s="385"/>
      <c r="E27" s="385"/>
      <c r="F27" s="385"/>
      <c r="G27" s="385"/>
      <c r="I27" s="385"/>
      <c r="J27" s="385"/>
      <c r="K27" s="385"/>
    </row>
    <row r="28" spans="1:12">
      <c r="A28" s="380">
        <v>12</v>
      </c>
      <c r="B28" s="374"/>
      <c r="C28" s="374"/>
      <c r="D28" s="374"/>
      <c r="E28" s="374"/>
      <c r="F28" s="374"/>
      <c r="G28" s="374"/>
      <c r="H28" s="374"/>
      <c r="I28" s="374"/>
      <c r="J28" s="374"/>
      <c r="K28" s="374"/>
      <c r="L28" s="374"/>
    </row>
    <row r="29" spans="1:12">
      <c r="A29" s="380">
        <v>13</v>
      </c>
      <c r="C29" s="367"/>
      <c r="D29" s="369"/>
      <c r="E29" s="367"/>
      <c r="F29" s="367"/>
      <c r="G29" s="367"/>
      <c r="H29" s="367"/>
      <c r="I29" s="367"/>
      <c r="J29" s="367"/>
      <c r="K29" s="367"/>
      <c r="L29" s="367"/>
    </row>
    <row r="30" spans="1:12">
      <c r="A30" s="380">
        <v>14</v>
      </c>
      <c r="B30" s="369" t="s">
        <v>921</v>
      </c>
      <c r="C30" s="386"/>
      <c r="D30" s="386"/>
      <c r="E30" s="386"/>
      <c r="F30" s="386"/>
      <c r="G30" s="386"/>
      <c r="H30" s="386"/>
      <c r="I30" s="386"/>
      <c r="J30" s="386"/>
      <c r="K30" s="386"/>
      <c r="L30" s="386"/>
    </row>
    <row r="31" spans="1:12">
      <c r="A31" s="380">
        <v>15</v>
      </c>
      <c r="B31" s="374"/>
      <c r="C31" s="374"/>
      <c r="D31" s="374"/>
      <c r="E31" s="374"/>
      <c r="F31" s="374"/>
      <c r="G31" s="374"/>
      <c r="H31" s="374"/>
      <c r="I31" s="374"/>
      <c r="J31" s="374"/>
      <c r="K31" s="374"/>
      <c r="L31" s="374"/>
    </row>
    <row r="32" spans="1:12">
      <c r="A32" s="380">
        <v>16</v>
      </c>
      <c r="B32" s="376"/>
      <c r="C32" s="376"/>
      <c r="D32" s="387"/>
      <c r="E32" s="376"/>
      <c r="F32" s="387"/>
      <c r="G32" s="376"/>
      <c r="I32" s="376"/>
      <c r="J32" s="376"/>
      <c r="K32" s="376" t="s">
        <v>1884</v>
      </c>
    </row>
    <row r="33" spans="1:12">
      <c r="A33" s="380">
        <v>17</v>
      </c>
      <c r="B33" s="376"/>
      <c r="C33" s="376" t="s">
        <v>884</v>
      </c>
      <c r="D33" s="387"/>
      <c r="E33" s="376" t="s">
        <v>922</v>
      </c>
      <c r="F33" s="387"/>
      <c r="G33" s="376"/>
      <c r="I33" s="376" t="s">
        <v>2098</v>
      </c>
      <c r="J33" s="387"/>
      <c r="K33" s="376" t="s">
        <v>926</v>
      </c>
    </row>
    <row r="34" spans="1:12">
      <c r="A34" s="380">
        <v>18</v>
      </c>
      <c r="B34" s="376"/>
      <c r="C34" s="376" t="s">
        <v>923</v>
      </c>
      <c r="D34" s="376"/>
      <c r="E34" s="376" t="s">
        <v>2089</v>
      </c>
      <c r="F34" s="376"/>
      <c r="G34" s="376" t="s">
        <v>924</v>
      </c>
      <c r="I34" s="376" t="s">
        <v>925</v>
      </c>
      <c r="J34" s="387"/>
      <c r="K34" s="376" t="s">
        <v>1127</v>
      </c>
    </row>
    <row r="35" spans="1:12">
      <c r="A35" s="380">
        <v>19</v>
      </c>
      <c r="B35" s="373" t="s">
        <v>927</v>
      </c>
      <c r="C35" s="388" t="s">
        <v>925</v>
      </c>
      <c r="D35" s="388"/>
      <c r="E35" s="388" t="s">
        <v>568</v>
      </c>
      <c r="F35" s="388"/>
      <c r="G35" s="388" t="s">
        <v>743</v>
      </c>
      <c r="H35" s="373"/>
      <c r="I35" s="388" t="s">
        <v>928</v>
      </c>
      <c r="J35" s="388"/>
      <c r="K35" s="388" t="s">
        <v>743</v>
      </c>
      <c r="L35" s="373"/>
    </row>
    <row r="36" spans="1:12">
      <c r="A36" s="380">
        <v>20</v>
      </c>
    </row>
    <row r="37" spans="1:12">
      <c r="A37" s="380">
        <v>21</v>
      </c>
      <c r="B37" s="372" t="s">
        <v>1994</v>
      </c>
      <c r="C37" s="383">
        <f>C26</f>
        <v>575500</v>
      </c>
      <c r="D37" s="383"/>
      <c r="E37" s="389" t="s">
        <v>1995</v>
      </c>
      <c r="F37" s="389"/>
      <c r="G37" s="2616" t="s">
        <v>3034</v>
      </c>
      <c r="I37" s="383">
        <v>0</v>
      </c>
      <c r="J37" s="383"/>
      <c r="K37" s="390">
        <f>ROUND((C37-I37)/5,0)</f>
        <v>115100</v>
      </c>
      <c r="L37" s="391"/>
    </row>
    <row r="38" spans="1:12">
      <c r="A38" s="380">
        <v>22</v>
      </c>
      <c r="B38" s="372"/>
      <c r="C38" s="383"/>
      <c r="D38" s="383"/>
      <c r="E38" s="389"/>
      <c r="F38" s="389"/>
      <c r="G38" s="1291"/>
      <c r="I38" s="383"/>
      <c r="J38" s="383"/>
      <c r="K38" s="390"/>
      <c r="L38" s="391"/>
    </row>
    <row r="39" spans="1:12">
      <c r="A39" s="380">
        <v>23</v>
      </c>
      <c r="B39" s="1250" t="s">
        <v>2325</v>
      </c>
      <c r="C39" s="3453">
        <v>260000</v>
      </c>
      <c r="D39" s="3453"/>
      <c r="E39" s="3455">
        <v>40176</v>
      </c>
      <c r="F39" s="3456"/>
      <c r="G39" s="3457" t="s">
        <v>1996</v>
      </c>
      <c r="H39" s="3454"/>
      <c r="I39" s="3453">
        <v>260000</v>
      </c>
      <c r="J39" s="383"/>
      <c r="K39" s="393">
        <f>C39-I39</f>
        <v>0</v>
      </c>
      <c r="L39" s="391"/>
    </row>
    <row r="40" spans="1:12">
      <c r="A40" s="380">
        <v>24</v>
      </c>
      <c r="C40" s="1289"/>
      <c r="D40" s="1289"/>
      <c r="E40" s="1289"/>
      <c r="G40" s="1290"/>
      <c r="I40" s="1290"/>
      <c r="J40" s="392"/>
    </row>
    <row r="41" spans="1:12">
      <c r="A41" s="380">
        <v>25</v>
      </c>
      <c r="B41" s="372" t="s">
        <v>1997</v>
      </c>
      <c r="K41" s="394">
        <v>0</v>
      </c>
    </row>
    <row r="42" spans="1:12" ht="15.6" thickBot="1">
      <c r="A42" s="380">
        <v>26</v>
      </c>
      <c r="B42" s="372" t="s">
        <v>2588</v>
      </c>
      <c r="G42" s="372" t="s">
        <v>391</v>
      </c>
      <c r="K42" s="384">
        <f>SUM(K37:K41)</f>
        <v>115100</v>
      </c>
      <c r="L42" s="2617" t="s">
        <v>837</v>
      </c>
    </row>
    <row r="43" spans="1:12" ht="15.6" thickTop="1">
      <c r="A43" s="380"/>
      <c r="K43" s="385"/>
    </row>
    <row r="44" spans="1:12">
      <c r="A44" s="380"/>
      <c r="K44" s="385"/>
    </row>
    <row r="45" spans="1:12">
      <c r="A45" s="380"/>
      <c r="B45" s="1250" t="s">
        <v>2589</v>
      </c>
      <c r="K45" s="385"/>
    </row>
  </sheetData>
  <mergeCells count="1">
    <mergeCell ref="B11:L11"/>
  </mergeCells>
  <phoneticPr fontId="4" type="noConversion"/>
  <pageMargins left="1" right="0.75" top="0.98425196850393704" bottom="0" header="0" footer="0"/>
  <pageSetup scale="61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tabColor rgb="FFFF9900"/>
    <pageSetUpPr fitToPage="1"/>
  </sheetPr>
  <dimension ref="A1:R38"/>
  <sheetViews>
    <sheetView zoomScale="90" zoomScaleNormal="90" workbookViewId="0"/>
  </sheetViews>
  <sheetFormatPr defaultColWidth="8" defaultRowHeight="13.2"/>
  <cols>
    <col min="1" max="1" width="8" style="2620" customWidth="1"/>
    <col min="2" max="2" width="1.6640625" style="2620" customWidth="1"/>
    <col min="3" max="3" width="13" style="2620" customWidth="1"/>
    <col min="4" max="4" width="2.33203125" style="2620" customWidth="1"/>
    <col min="5" max="5" width="40.6640625" style="2620" customWidth="1"/>
    <col min="6" max="6" width="1.88671875" style="2620" customWidth="1"/>
    <col min="7" max="7" width="13.5546875" style="2620" customWidth="1"/>
    <col min="8" max="8" width="1.33203125" style="2620" customWidth="1"/>
    <col min="9" max="9" width="12.88671875" style="2620" customWidth="1"/>
    <col min="10" max="10" width="1.6640625" style="2620" customWidth="1"/>
    <col min="11" max="11" width="11.88671875" style="2620" customWidth="1"/>
    <col min="12" max="12" width="3" style="2620" customWidth="1"/>
    <col min="13" max="13" width="13.44140625" style="2620" customWidth="1"/>
    <col min="14" max="14" width="2.33203125" style="2620" customWidth="1"/>
    <col min="15" max="15" width="10.109375" style="2620" customWidth="1"/>
    <col min="16" max="16" width="2.33203125" style="2620" customWidth="1"/>
    <col min="17" max="17" width="14.6640625" style="2620" customWidth="1"/>
    <col min="18" max="16384" width="8" style="2620"/>
  </cols>
  <sheetData>
    <row r="1" spans="1:17">
      <c r="A1" s="2618" t="str">
        <f>COMPANY</f>
        <v>DUKE ENERGY KENTUCKY, INC.</v>
      </c>
      <c r="B1" s="2619"/>
      <c r="C1" s="2619"/>
      <c r="D1" s="2619"/>
      <c r="E1" s="2619"/>
      <c r="F1" s="2619"/>
      <c r="G1" s="2619"/>
      <c r="H1" s="2619"/>
      <c r="I1" s="2619"/>
      <c r="J1" s="2618"/>
      <c r="K1" s="2619"/>
      <c r="L1" s="2619"/>
      <c r="M1" s="2619"/>
      <c r="N1" s="2619"/>
      <c r="O1" s="2619"/>
      <c r="P1" s="2619"/>
      <c r="Q1" s="2619"/>
    </row>
    <row r="2" spans="1:17">
      <c r="A2" s="2618" t="str">
        <f>CASE</f>
        <v>CASE NO. 2018-00261</v>
      </c>
      <c r="B2" s="2619"/>
      <c r="C2" s="2619"/>
      <c r="D2" s="2619"/>
      <c r="E2" s="2619"/>
      <c r="F2" s="2619"/>
      <c r="G2" s="2619"/>
      <c r="H2" s="2619"/>
      <c r="I2" s="2619"/>
      <c r="J2" s="2619"/>
      <c r="K2" s="2619"/>
      <c r="L2" s="2619"/>
      <c r="M2" s="2619"/>
      <c r="N2" s="2619"/>
      <c r="O2" s="2619"/>
      <c r="P2" s="2619"/>
      <c r="Q2" s="2619"/>
    </row>
    <row r="3" spans="1:17">
      <c r="A3" s="2621" t="s">
        <v>1998</v>
      </c>
      <c r="B3" s="2619"/>
      <c r="C3" s="2619"/>
      <c r="D3" s="2619"/>
      <c r="E3" s="2619"/>
      <c r="F3" s="2619"/>
      <c r="G3" s="2619"/>
      <c r="H3" s="2619"/>
      <c r="I3" s="2619"/>
      <c r="J3" s="2619"/>
      <c r="K3" s="2619"/>
      <c r="L3" s="2619"/>
      <c r="M3" s="2619"/>
      <c r="N3" s="2621"/>
      <c r="O3" s="2619"/>
      <c r="P3" s="2619"/>
      <c r="Q3" s="2619"/>
    </row>
    <row r="4" spans="1:17">
      <c r="A4" s="2621" t="str">
        <f>PERIOD</f>
        <v>FOR THE TWELVE MONTHS ENDED NOVEMBER 30, 2018</v>
      </c>
      <c r="B4" s="2619"/>
      <c r="C4" s="2619"/>
      <c r="D4" s="2619"/>
      <c r="E4" s="2619"/>
      <c r="F4" s="2619"/>
      <c r="G4" s="2619"/>
      <c r="H4" s="2619"/>
      <c r="I4" s="2619"/>
      <c r="J4" s="2619"/>
      <c r="K4" s="2619"/>
      <c r="L4" s="2619"/>
      <c r="M4" s="2619"/>
      <c r="N4" s="2621"/>
      <c r="O4" s="2619"/>
      <c r="P4" s="2619"/>
      <c r="Q4" s="2619"/>
    </row>
    <row r="5" spans="1:17">
      <c r="A5" s="2618" t="str">
        <f>LOGO!B8</f>
        <v>FOR THE TWELVE MONTHS ENDED MARCH 31, 2020</v>
      </c>
      <c r="B5" s="2619"/>
      <c r="C5" s="2619"/>
      <c r="D5" s="2619"/>
      <c r="E5" s="2619"/>
      <c r="F5" s="2619"/>
      <c r="G5" s="2619"/>
      <c r="H5" s="2619"/>
      <c r="I5" s="2619"/>
      <c r="J5" s="2619"/>
      <c r="K5" s="2619"/>
      <c r="L5" s="2619"/>
      <c r="M5" s="2619"/>
      <c r="N5" s="2619"/>
      <c r="O5" s="2619"/>
      <c r="P5" s="2619"/>
      <c r="Q5" s="2619"/>
    </row>
    <row r="7" spans="1:17">
      <c r="A7" s="2622" t="str">
        <f>DataB</f>
        <v>DATA: "X" BASE PERIOD  "X" FORECASTED PERIOD</v>
      </c>
      <c r="O7" s="2372" t="s">
        <v>1999</v>
      </c>
    </row>
    <row r="8" spans="1:17">
      <c r="A8" s="2622" t="str">
        <f>Type</f>
        <v xml:space="preserve">TYPE OF FILING:  "X" ORIGINAL   UPDATED    REVISED  </v>
      </c>
      <c r="O8" s="2372" t="s">
        <v>2037</v>
      </c>
    </row>
    <row r="9" spans="1:17">
      <c r="A9" s="2372" t="s">
        <v>655</v>
      </c>
      <c r="O9" s="2372" t="s">
        <v>387</v>
      </c>
    </row>
    <row r="10" spans="1:17">
      <c r="O10" s="2620" t="str">
        <f>"     "&amp;LOGO!G6</f>
        <v xml:space="preserve">     S. E. LAWLER</v>
      </c>
    </row>
    <row r="11" spans="1:17">
      <c r="A11" s="2623"/>
      <c r="B11" s="2623"/>
      <c r="C11" s="2623"/>
      <c r="D11" s="2623"/>
      <c r="E11" s="2623"/>
      <c r="F11" s="2623"/>
      <c r="G11" s="2623"/>
      <c r="H11" s="2623"/>
      <c r="I11" s="2623"/>
      <c r="J11" s="2623"/>
      <c r="K11" s="2623"/>
      <c r="L11" s="2623"/>
      <c r="M11" s="2623"/>
      <c r="N11" s="2623"/>
      <c r="O11" s="2623"/>
      <c r="P11" s="2623"/>
      <c r="Q11" s="2623"/>
    </row>
    <row r="12" spans="1:17">
      <c r="A12" s="2415"/>
      <c r="B12" s="2415"/>
      <c r="C12" s="2415"/>
      <c r="D12" s="2415"/>
      <c r="E12" s="2415"/>
      <c r="F12" s="2415"/>
      <c r="G12" s="2404" t="s">
        <v>1726</v>
      </c>
      <c r="H12" s="2416"/>
      <c r="I12" s="2416"/>
      <c r="J12" s="2416"/>
      <c r="K12" s="2416"/>
      <c r="L12" s="2415"/>
      <c r="M12" s="2404" t="s">
        <v>1231</v>
      </c>
      <c r="N12" s="2416"/>
      <c r="O12" s="2416"/>
      <c r="P12" s="2416"/>
      <c r="Q12" s="2416"/>
    </row>
    <row r="13" spans="1:17">
      <c r="A13" s="2417" t="s">
        <v>567</v>
      </c>
      <c r="B13" s="2410"/>
      <c r="C13" s="2417" t="s">
        <v>2160</v>
      </c>
      <c r="D13" s="2417"/>
      <c r="E13" s="2417"/>
      <c r="F13" s="2409"/>
      <c r="G13" s="2355" t="s">
        <v>884</v>
      </c>
      <c r="H13" s="2417"/>
      <c r="I13" s="3595" t="s">
        <v>686</v>
      </c>
      <c r="J13" s="3595"/>
      <c r="K13" s="3595"/>
      <c r="L13" s="2409"/>
      <c r="M13" s="2355" t="s">
        <v>884</v>
      </c>
      <c r="N13" s="2417"/>
      <c r="O13" s="3595" t="s">
        <v>686</v>
      </c>
      <c r="P13" s="3595"/>
      <c r="Q13" s="3595"/>
    </row>
    <row r="14" spans="1:17">
      <c r="A14" s="2417" t="s">
        <v>766</v>
      </c>
      <c r="B14" s="2410"/>
      <c r="C14" s="2417" t="s">
        <v>766</v>
      </c>
      <c r="D14" s="2417"/>
      <c r="E14" s="2417" t="s">
        <v>2115</v>
      </c>
      <c r="F14" s="2409"/>
      <c r="G14" s="2356" t="s">
        <v>358</v>
      </c>
      <c r="H14" s="2417"/>
      <c r="I14" s="2419" t="s">
        <v>2040</v>
      </c>
      <c r="J14" s="2409"/>
      <c r="K14" s="2420" t="s">
        <v>2098</v>
      </c>
      <c r="L14" s="2409"/>
      <c r="M14" s="2356" t="s">
        <v>358</v>
      </c>
      <c r="N14" s="2417"/>
      <c r="O14" s="2419" t="s">
        <v>2040</v>
      </c>
      <c r="P14" s="2409"/>
      <c r="Q14" s="2420" t="s">
        <v>2098</v>
      </c>
    </row>
    <row r="15" spans="1:17">
      <c r="A15" s="2414"/>
      <c r="B15" s="2414"/>
      <c r="C15" s="2414"/>
      <c r="D15" s="2414"/>
      <c r="E15" s="2414"/>
      <c r="F15" s="2414"/>
      <c r="G15" s="2414"/>
      <c r="H15" s="2414"/>
      <c r="I15" s="2421" t="s">
        <v>837</v>
      </c>
      <c r="J15" s="2414"/>
      <c r="K15" s="2414"/>
      <c r="L15" s="2414"/>
      <c r="M15" s="2414"/>
      <c r="N15" s="2414"/>
      <c r="O15" s="2421" t="s">
        <v>837</v>
      </c>
      <c r="P15" s="2414"/>
      <c r="Q15" s="2414"/>
    </row>
    <row r="16" spans="1:17">
      <c r="A16" s="2410"/>
      <c r="B16" s="2410"/>
      <c r="C16" s="2410"/>
      <c r="D16" s="2410"/>
      <c r="E16" s="2410"/>
      <c r="F16" s="2410"/>
      <c r="G16" s="2417" t="s">
        <v>1134</v>
      </c>
      <c r="H16" s="2417"/>
      <c r="I16" s="2417" t="s">
        <v>2097</v>
      </c>
      <c r="J16" s="2409"/>
      <c r="K16" s="2417" t="s">
        <v>1134</v>
      </c>
      <c r="L16" s="2410"/>
      <c r="M16" s="2417" t="s">
        <v>1134</v>
      </c>
      <c r="N16" s="2417"/>
      <c r="O16" s="2417" t="s">
        <v>2097</v>
      </c>
      <c r="P16" s="2409"/>
      <c r="Q16" s="2417" t="s">
        <v>1134</v>
      </c>
    </row>
    <row r="17" spans="1:18">
      <c r="M17" s="2624"/>
      <c r="N17" s="2624"/>
      <c r="Q17" s="2624"/>
    </row>
    <row r="18" spans="1:18">
      <c r="A18" s="2385">
        <v>1</v>
      </c>
      <c r="B18" s="2380"/>
      <c r="C18" s="2385">
        <v>426400</v>
      </c>
      <c r="D18" s="2380"/>
      <c r="E18" s="2386" t="s">
        <v>2562</v>
      </c>
      <c r="F18" s="2380"/>
      <c r="G18" s="3458">
        <v>551</v>
      </c>
      <c r="H18" s="2387"/>
      <c r="I18" s="2340">
        <f t="shared" ref="I18:I26" si="0">VLOOKUP($E$33,ALLOCTABLE,2)</f>
        <v>100</v>
      </c>
      <c r="J18" s="2338"/>
      <c r="K18" s="2341">
        <f t="shared" ref="K18:K25" si="1">ROUND(G18*(I18/100),2)</f>
        <v>551</v>
      </c>
      <c r="L18" s="2389"/>
      <c r="M18" s="3458">
        <v>0</v>
      </c>
      <c r="N18" s="2387"/>
      <c r="O18" s="2340">
        <f t="shared" ref="O18:O26" si="2">VLOOKUP($E$33,ALLOCTABLE,2)</f>
        <v>100</v>
      </c>
      <c r="P18" s="2338"/>
      <c r="Q18" s="2341">
        <f t="shared" ref="Q18:Q25" si="3">ROUND(M18*(O18/100),2)</f>
        <v>0</v>
      </c>
    </row>
    <row r="19" spans="1:18">
      <c r="A19" s="2383">
        <v>2</v>
      </c>
      <c r="B19" s="2380"/>
      <c r="C19" s="2385">
        <v>426400</v>
      </c>
      <c r="D19" s="2385"/>
      <c r="E19" s="2386" t="s">
        <v>2591</v>
      </c>
      <c r="F19" s="2380"/>
      <c r="G19" s="3458">
        <v>293</v>
      </c>
      <c r="H19" s="2387"/>
      <c r="I19" s="2340">
        <f t="shared" si="0"/>
        <v>100</v>
      </c>
      <c r="J19" s="2338"/>
      <c r="K19" s="2341">
        <f t="shared" si="1"/>
        <v>293</v>
      </c>
      <c r="L19" s="2389"/>
      <c r="M19" s="3458">
        <v>0</v>
      </c>
      <c r="N19" s="2387"/>
      <c r="O19" s="2340">
        <f t="shared" si="2"/>
        <v>100</v>
      </c>
      <c r="P19" s="2338"/>
      <c r="Q19" s="2341">
        <f t="shared" si="3"/>
        <v>0</v>
      </c>
    </row>
    <row r="20" spans="1:18">
      <c r="A20" s="2385">
        <v>3</v>
      </c>
      <c r="B20" s="2380"/>
      <c r="C20" s="2385">
        <v>426400</v>
      </c>
      <c r="D20" s="2385"/>
      <c r="E20" s="2386" t="s">
        <v>2752</v>
      </c>
      <c r="F20" s="2380"/>
      <c r="G20" s="3458">
        <v>858</v>
      </c>
      <c r="H20" s="2387"/>
      <c r="I20" s="2340">
        <f t="shared" si="0"/>
        <v>100</v>
      </c>
      <c r="J20" s="2338"/>
      <c r="K20" s="2341">
        <f t="shared" si="1"/>
        <v>858</v>
      </c>
      <c r="L20" s="2389"/>
      <c r="M20" s="3458">
        <v>0</v>
      </c>
      <c r="N20" s="2387"/>
      <c r="O20" s="2340">
        <f t="shared" si="2"/>
        <v>100</v>
      </c>
      <c r="P20" s="2338"/>
      <c r="Q20" s="2341">
        <f t="shared" si="3"/>
        <v>0</v>
      </c>
      <c r="R20" s="2625"/>
    </row>
    <row r="21" spans="1:18">
      <c r="A21" s="2383">
        <v>4</v>
      </c>
      <c r="B21" s="2380"/>
      <c r="C21" s="2385">
        <v>426400</v>
      </c>
      <c r="D21" s="2385"/>
      <c r="E21" s="2386" t="s">
        <v>2753</v>
      </c>
      <c r="F21" s="2380"/>
      <c r="G21" s="3458">
        <v>103</v>
      </c>
      <c r="H21" s="2387"/>
      <c r="I21" s="2340">
        <f t="shared" si="0"/>
        <v>100</v>
      </c>
      <c r="J21" s="2338"/>
      <c r="K21" s="2341">
        <f t="shared" ref="K21:K22" si="4">ROUND(G21*(I21/100),2)</f>
        <v>103</v>
      </c>
      <c r="L21" s="2389"/>
      <c r="M21" s="3458">
        <v>0</v>
      </c>
      <c r="N21" s="2387"/>
      <c r="O21" s="2340">
        <f t="shared" si="2"/>
        <v>100</v>
      </c>
      <c r="P21" s="2338"/>
      <c r="Q21" s="2341">
        <f t="shared" ref="Q21:Q22" si="5">ROUND(M21*(O21/100),2)</f>
        <v>0</v>
      </c>
      <c r="R21" s="2624"/>
    </row>
    <row r="22" spans="1:18">
      <c r="A22" s="2385">
        <v>5</v>
      </c>
      <c r="B22" s="2380"/>
      <c r="C22" s="2385">
        <v>426400</v>
      </c>
      <c r="D22" s="2385"/>
      <c r="E22" s="2386" t="s">
        <v>2754</v>
      </c>
      <c r="F22" s="2380"/>
      <c r="G22" s="3458">
        <v>1272</v>
      </c>
      <c r="H22" s="2387"/>
      <c r="I22" s="2340">
        <f t="shared" si="0"/>
        <v>100</v>
      </c>
      <c r="J22" s="2338"/>
      <c r="K22" s="2341">
        <f t="shared" si="4"/>
        <v>1272</v>
      </c>
      <c r="L22" s="2389"/>
      <c r="M22" s="3458">
        <v>0</v>
      </c>
      <c r="N22" s="2387"/>
      <c r="O22" s="2340">
        <f t="shared" si="2"/>
        <v>100</v>
      </c>
      <c r="P22" s="2338"/>
      <c r="Q22" s="2341">
        <f t="shared" si="5"/>
        <v>0</v>
      </c>
      <c r="R22" s="2624"/>
    </row>
    <row r="23" spans="1:18">
      <c r="A23" s="2383">
        <v>6</v>
      </c>
      <c r="B23" s="2380"/>
      <c r="C23" s="2385">
        <v>426400</v>
      </c>
      <c r="D23" s="2385"/>
      <c r="E23" s="2386" t="s">
        <v>2755</v>
      </c>
      <c r="F23" s="2380"/>
      <c r="G23" s="3458">
        <v>5687</v>
      </c>
      <c r="H23" s="2387"/>
      <c r="I23" s="2340">
        <f t="shared" si="0"/>
        <v>100</v>
      </c>
      <c r="J23" s="2338"/>
      <c r="K23" s="2341">
        <f t="shared" si="1"/>
        <v>5687</v>
      </c>
      <c r="L23" s="2389"/>
      <c r="M23" s="3458">
        <v>0</v>
      </c>
      <c r="N23" s="2387"/>
      <c r="O23" s="2340">
        <f t="shared" si="2"/>
        <v>100</v>
      </c>
      <c r="P23" s="2338"/>
      <c r="Q23" s="2341">
        <f t="shared" si="3"/>
        <v>0</v>
      </c>
      <c r="R23" s="2624"/>
    </row>
    <row r="24" spans="1:18">
      <c r="A24" s="2385">
        <v>7</v>
      </c>
      <c r="B24" s="2380"/>
      <c r="C24" s="2385">
        <v>426400</v>
      </c>
      <c r="D24" s="2385"/>
      <c r="E24" s="2386" t="s">
        <v>2592</v>
      </c>
      <c r="F24" s="2380"/>
      <c r="G24" s="3458">
        <v>444</v>
      </c>
      <c r="H24" s="2387"/>
      <c r="I24" s="2340">
        <f t="shared" si="0"/>
        <v>100</v>
      </c>
      <c r="J24" s="2338"/>
      <c r="K24" s="2341">
        <f t="shared" si="1"/>
        <v>444</v>
      </c>
      <c r="L24" s="2389"/>
      <c r="M24" s="3458">
        <v>0</v>
      </c>
      <c r="N24" s="2387"/>
      <c r="O24" s="2340">
        <f t="shared" si="2"/>
        <v>100</v>
      </c>
      <c r="P24" s="2338"/>
      <c r="Q24" s="2341">
        <f t="shared" si="3"/>
        <v>0</v>
      </c>
    </row>
    <row r="25" spans="1:18">
      <c r="A25" s="2383">
        <v>8</v>
      </c>
      <c r="B25" s="2380"/>
      <c r="C25" s="2385">
        <v>426400</v>
      </c>
      <c r="D25" s="2385"/>
      <c r="E25" s="2386" t="s">
        <v>2593</v>
      </c>
      <c r="F25" s="2380"/>
      <c r="G25" s="3458">
        <v>89454</v>
      </c>
      <c r="H25" s="2387"/>
      <c r="I25" s="2340">
        <f t="shared" si="0"/>
        <v>100</v>
      </c>
      <c r="J25" s="2338"/>
      <c r="K25" s="2341">
        <f t="shared" si="1"/>
        <v>89454</v>
      </c>
      <c r="L25" s="2389"/>
      <c r="M25" s="3458">
        <v>0</v>
      </c>
      <c r="N25" s="2387"/>
      <c r="O25" s="2340">
        <f t="shared" si="2"/>
        <v>100</v>
      </c>
      <c r="P25" s="2338"/>
      <c r="Q25" s="2341">
        <f t="shared" si="3"/>
        <v>0</v>
      </c>
    </row>
    <row r="26" spans="1:18">
      <c r="A26" s="2385">
        <v>9</v>
      </c>
      <c r="B26" s="2376"/>
      <c r="C26" s="2385">
        <v>426400</v>
      </c>
      <c r="D26" s="582"/>
      <c r="E26" s="582" t="s">
        <v>821</v>
      </c>
      <c r="F26" s="582"/>
      <c r="G26" s="3459">
        <v>100470</v>
      </c>
      <c r="H26" s="2387"/>
      <c r="I26" s="2340">
        <f t="shared" si="0"/>
        <v>100</v>
      </c>
      <c r="J26" s="2338"/>
      <c r="K26" s="2331">
        <f>ROUND(G26*(I26/100),2)</f>
        <v>100470</v>
      </c>
      <c r="L26" s="2389"/>
      <c r="M26" s="3459">
        <v>227404</v>
      </c>
      <c r="N26" s="2387"/>
      <c r="O26" s="2340">
        <f t="shared" si="2"/>
        <v>100</v>
      </c>
      <c r="P26" s="2338"/>
      <c r="Q26" s="2331">
        <f>ROUND(M26*(O26/100),2)</f>
        <v>227404</v>
      </c>
    </row>
    <row r="27" spans="1:18">
      <c r="A27" s="2383">
        <v>10</v>
      </c>
      <c r="B27" s="2376"/>
      <c r="C27" s="582"/>
      <c r="D27" s="582"/>
      <c r="E27" s="582"/>
      <c r="F27" s="582"/>
      <c r="G27" s="1149"/>
      <c r="H27" s="582"/>
      <c r="I27" s="582"/>
      <c r="J27" s="582"/>
      <c r="K27" s="1149"/>
      <c r="L27" s="582"/>
      <c r="M27" s="1149"/>
      <c r="N27" s="582"/>
      <c r="O27" s="582"/>
      <c r="P27" s="582"/>
      <c r="Q27" s="1149"/>
    </row>
    <row r="28" spans="1:18" ht="13.8" thickBot="1">
      <c r="A28" s="2385">
        <v>11</v>
      </c>
      <c r="B28" s="2376"/>
      <c r="C28" s="582"/>
      <c r="D28" s="582"/>
      <c r="E28" s="2380" t="s">
        <v>2594</v>
      </c>
      <c r="F28" s="2380"/>
      <c r="G28" s="2394">
        <f>SUM(G18:G26)</f>
        <v>199132</v>
      </c>
      <c r="H28" s="2389"/>
      <c r="I28" s="2395"/>
      <c r="J28" s="2389"/>
      <c r="K28" s="2394">
        <f>SUM(K18:K25)</f>
        <v>98662</v>
      </c>
      <c r="L28" s="2380"/>
      <c r="M28" s="2394">
        <f>SUM(M18:M26)</f>
        <v>227404</v>
      </c>
      <c r="N28" s="2380"/>
      <c r="O28" s="2395"/>
      <c r="P28" s="2389"/>
      <c r="Q28" s="2394">
        <f>SUM(Q18:Q25)</f>
        <v>0</v>
      </c>
    </row>
    <row r="29" spans="1:18" ht="13.8" thickTop="1">
      <c r="A29" s="582"/>
      <c r="B29" s="2376"/>
      <c r="C29" s="582"/>
      <c r="D29" s="582"/>
      <c r="E29" s="582"/>
      <c r="F29" s="582"/>
      <c r="G29" s="582"/>
      <c r="H29" s="582"/>
      <c r="I29" s="582"/>
      <c r="J29" s="582"/>
      <c r="K29" s="582"/>
      <c r="L29" s="582"/>
      <c r="M29" s="1149"/>
      <c r="N29" s="582"/>
      <c r="O29" s="582"/>
      <c r="P29" s="582"/>
      <c r="Q29" s="1149"/>
    </row>
    <row r="30" spans="1:18">
      <c r="A30" s="582"/>
      <c r="B30" s="2376"/>
      <c r="C30" s="582"/>
      <c r="D30" s="582"/>
      <c r="E30" s="582"/>
      <c r="F30" s="582"/>
      <c r="G30" s="582"/>
      <c r="H30" s="582"/>
      <c r="I30" s="582"/>
      <c r="J30" s="582"/>
      <c r="K30" s="582"/>
      <c r="L30" s="582"/>
      <c r="M30" s="582"/>
      <c r="N30" s="582"/>
      <c r="O30" s="582"/>
      <c r="P30" s="582"/>
      <c r="Q30" s="582"/>
    </row>
    <row r="31" spans="1:18">
      <c r="A31" s="582"/>
      <c r="B31" s="582"/>
      <c r="C31" s="582"/>
      <c r="D31" s="582"/>
      <c r="E31" s="582"/>
      <c r="F31" s="582"/>
      <c r="G31" s="582"/>
      <c r="H31" s="582"/>
      <c r="I31" s="582"/>
      <c r="J31" s="582"/>
      <c r="K31" s="582"/>
      <c r="L31" s="582"/>
      <c r="M31" s="582"/>
      <c r="N31" s="582"/>
      <c r="O31" s="582"/>
      <c r="P31" s="582"/>
      <c r="Q31" s="582"/>
    </row>
    <row r="32" spans="1:18">
      <c r="A32" s="582"/>
      <c r="B32" s="582"/>
      <c r="C32" s="582"/>
      <c r="D32" s="582"/>
      <c r="E32" s="582"/>
      <c r="F32" s="582"/>
      <c r="G32" s="582"/>
      <c r="H32" s="582"/>
      <c r="I32" s="582"/>
      <c r="J32" s="582"/>
      <c r="K32" s="582"/>
      <c r="L32" s="582"/>
      <c r="M32" s="582"/>
      <c r="N32" s="582"/>
      <c r="O32" s="582"/>
      <c r="P32" s="582"/>
      <c r="Q32" s="582"/>
    </row>
    <row r="33" spans="1:17">
      <c r="A33" s="582"/>
      <c r="B33" s="2338" t="s">
        <v>2110</v>
      </c>
      <c r="C33" s="2380"/>
      <c r="D33" s="2338"/>
      <c r="E33" s="2375" t="s">
        <v>591</v>
      </c>
      <c r="F33" s="582"/>
      <c r="G33" s="582"/>
      <c r="H33" s="582"/>
      <c r="I33" s="582"/>
      <c r="J33" s="582"/>
      <c r="K33" s="582"/>
      <c r="L33" s="582"/>
      <c r="M33" s="582"/>
      <c r="N33" s="582"/>
      <c r="O33" s="582"/>
      <c r="P33" s="582"/>
      <c r="Q33" s="582"/>
    </row>
    <row r="34" spans="1:17">
      <c r="A34" s="582"/>
      <c r="B34" s="582"/>
      <c r="C34" s="582"/>
      <c r="D34" s="582"/>
      <c r="E34" s="582"/>
      <c r="F34" s="582"/>
      <c r="G34" s="582"/>
      <c r="H34" s="582"/>
      <c r="I34" s="582"/>
      <c r="J34" s="582"/>
      <c r="K34" s="582"/>
      <c r="L34" s="582"/>
      <c r="M34" s="582"/>
      <c r="N34" s="582"/>
      <c r="O34" s="582"/>
      <c r="P34" s="582"/>
      <c r="Q34" s="582"/>
    </row>
    <row r="35" spans="1:17">
      <c r="A35" s="582"/>
      <c r="B35" s="2376"/>
      <c r="C35" s="582"/>
      <c r="D35" s="582"/>
      <c r="E35" s="582"/>
      <c r="F35" s="582"/>
      <c r="G35" s="582"/>
      <c r="H35" s="582"/>
      <c r="I35" s="582"/>
      <c r="J35" s="582"/>
      <c r="K35" s="582"/>
      <c r="L35" s="582"/>
      <c r="M35" s="582"/>
      <c r="N35" s="582"/>
      <c r="O35" s="582"/>
      <c r="P35" s="582"/>
      <c r="Q35" s="582"/>
    </row>
    <row r="36" spans="1:17">
      <c r="A36" s="582"/>
      <c r="B36" s="582"/>
      <c r="C36" s="582"/>
      <c r="D36" s="582"/>
      <c r="E36" s="582"/>
      <c r="F36" s="582"/>
      <c r="G36" s="582"/>
      <c r="H36" s="582"/>
      <c r="I36" s="582"/>
      <c r="J36" s="582"/>
      <c r="K36" s="582"/>
      <c r="L36" s="582"/>
      <c r="M36" s="582"/>
      <c r="N36" s="582"/>
      <c r="O36" s="582"/>
      <c r="P36" s="582"/>
      <c r="Q36" s="582"/>
    </row>
    <row r="37" spans="1:17">
      <c r="A37" s="582"/>
      <c r="B37" s="582"/>
      <c r="C37" s="582"/>
      <c r="D37" s="582"/>
      <c r="E37" s="582"/>
      <c r="F37" s="582"/>
      <c r="G37" s="582"/>
      <c r="H37" s="582"/>
      <c r="I37" s="582"/>
      <c r="J37" s="582"/>
      <c r="K37" s="582"/>
      <c r="L37" s="582"/>
      <c r="M37" s="582"/>
      <c r="N37" s="582"/>
      <c r="O37" s="582"/>
      <c r="P37" s="582"/>
      <c r="Q37" s="582"/>
    </row>
    <row r="38" spans="1:17">
      <c r="A38" s="582"/>
      <c r="B38" s="582"/>
      <c r="C38" s="582"/>
      <c r="D38" s="582"/>
      <c r="E38" s="582"/>
      <c r="F38" s="582"/>
      <c r="G38" s="582"/>
      <c r="H38" s="582"/>
      <c r="I38" s="582"/>
      <c r="J38" s="582"/>
      <c r="K38" s="582"/>
      <c r="L38" s="582"/>
      <c r="M38" s="582"/>
      <c r="N38" s="582"/>
      <c r="O38" s="582"/>
      <c r="P38" s="582"/>
      <c r="Q38" s="582"/>
    </row>
  </sheetData>
  <mergeCells count="2">
    <mergeCell ref="I13:K13"/>
    <mergeCell ref="O13:Q13"/>
  </mergeCells>
  <phoneticPr fontId="4" type="noConversion"/>
  <pageMargins left="1" right="0.75" top="0.98425196850393704" bottom="0" header="0" footer="0"/>
  <pageSetup scale="55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tabColor rgb="FF949494"/>
    <pageSetUpPr fitToPage="1"/>
  </sheetPr>
  <dimension ref="A1:O38"/>
  <sheetViews>
    <sheetView zoomScale="75" workbookViewId="0"/>
  </sheetViews>
  <sheetFormatPr defaultColWidth="8" defaultRowHeight="15"/>
  <cols>
    <col min="1" max="1" width="10.5546875" style="1035" customWidth="1"/>
    <col min="2" max="2" width="6.6640625" style="1035" customWidth="1"/>
    <col min="3" max="3" width="1.109375" style="1035" customWidth="1"/>
    <col min="4" max="4" width="34.109375" style="1035" customWidth="1"/>
    <col min="5" max="5" width="5.88671875" style="1035" customWidth="1"/>
    <col min="6" max="6" width="18.5546875" style="1035" customWidth="1"/>
    <col min="7" max="7" width="14.109375" style="1035" customWidth="1"/>
    <col min="8" max="8" width="21" style="1035" customWidth="1"/>
    <col min="9" max="9" width="1" style="1038" customWidth="1"/>
    <col min="10" max="10" width="18.33203125" style="1035" customWidth="1"/>
    <col min="11" max="11" width="1.44140625" style="1038" customWidth="1"/>
    <col min="12" max="12" width="22" style="1035" customWidth="1"/>
    <col min="13" max="16384" width="8" style="1035"/>
  </cols>
  <sheetData>
    <row r="1" spans="2:15">
      <c r="B1" s="1032" t="str">
        <f>COMPANY</f>
        <v>DUKE ENERGY KENTUCKY, INC.</v>
      </c>
      <c r="C1" s="1033"/>
      <c r="D1" s="1033"/>
      <c r="E1" s="1033"/>
      <c r="F1" s="1033"/>
      <c r="G1" s="1033"/>
      <c r="H1" s="1033"/>
      <c r="I1" s="1034"/>
      <c r="J1" s="1033"/>
      <c r="K1" s="1034"/>
      <c r="L1" s="1033"/>
    </row>
    <row r="2" spans="2:15">
      <c r="B2" s="1032" t="str">
        <f>CASE</f>
        <v>CASE NO. 2018-00261</v>
      </c>
      <c r="C2" s="1033"/>
      <c r="D2" s="1033"/>
      <c r="E2" s="1033"/>
      <c r="F2" s="1033"/>
      <c r="G2" s="1036"/>
      <c r="H2" s="1033"/>
      <c r="I2" s="1034"/>
      <c r="J2" s="1033"/>
      <c r="K2" s="1034"/>
      <c r="L2" s="1033"/>
    </row>
    <row r="3" spans="2:15">
      <c r="B3" s="1032" t="s">
        <v>623</v>
      </c>
      <c r="C3" s="1033"/>
      <c r="D3" s="1033"/>
      <c r="E3" s="1033"/>
      <c r="F3" s="1033"/>
      <c r="G3" s="1033"/>
      <c r="H3" s="1033"/>
      <c r="I3" s="1034"/>
      <c r="J3" s="1033"/>
      <c r="K3" s="1034"/>
      <c r="L3" s="1033"/>
    </row>
    <row r="4" spans="2:15">
      <c r="B4" s="1032" t="str">
        <f>PERIOD</f>
        <v>FOR THE TWELVE MONTHS ENDED NOVEMBER 30, 2018</v>
      </c>
      <c r="C4" s="1033"/>
      <c r="D4" s="1033"/>
      <c r="E4" s="1033"/>
      <c r="F4" s="1033"/>
      <c r="G4" s="1033"/>
      <c r="H4" s="1033"/>
      <c r="I4" s="1034"/>
      <c r="J4" s="1033"/>
      <c r="K4" s="1034"/>
      <c r="L4" s="1033"/>
      <c r="O4" s="2032"/>
    </row>
    <row r="5" spans="2:15">
      <c r="B5" s="1032" t="str">
        <f>LOGO!B8</f>
        <v>FOR THE TWELVE MONTHS ENDED MARCH 31, 2020</v>
      </c>
      <c r="C5" s="1033"/>
      <c r="D5" s="1033"/>
      <c r="E5" s="1033"/>
      <c r="F5" s="1033"/>
      <c r="G5" s="1033"/>
      <c r="H5" s="1033"/>
      <c r="I5" s="1034"/>
      <c r="J5" s="1033"/>
      <c r="K5" s="1034"/>
      <c r="L5" s="1033"/>
    </row>
    <row r="7" spans="2:15">
      <c r="B7" s="1037" t="str">
        <f>DataB</f>
        <v>DATA: "X" BASE PERIOD  "X" FORECASTED PERIOD</v>
      </c>
      <c r="J7" s="1039" t="s">
        <v>624</v>
      </c>
      <c r="K7" s="1040"/>
    </row>
    <row r="8" spans="2:15">
      <c r="B8" s="1037" t="str">
        <f>Type</f>
        <v xml:space="preserve">TYPE OF FILING:  "X" ORIGINAL   UPDATED    REVISED  </v>
      </c>
      <c r="J8" s="1039" t="s">
        <v>625</v>
      </c>
      <c r="K8" s="1040"/>
    </row>
    <row r="9" spans="2:15">
      <c r="B9" s="1041" t="s">
        <v>852</v>
      </c>
      <c r="J9" s="1039" t="s">
        <v>2046</v>
      </c>
      <c r="K9" s="1040"/>
    </row>
    <row r="10" spans="2:15">
      <c r="J10" s="1042" t="str">
        <f>"                      "&amp;_WIT1</f>
        <v xml:space="preserve">                      S. E. LAWLER</v>
      </c>
      <c r="K10" s="1043"/>
      <c r="L10" s="581"/>
    </row>
    <row r="11" spans="2:15">
      <c r="B11" s="1044"/>
      <c r="C11" s="1044"/>
      <c r="D11" s="1044"/>
      <c r="E11" s="1044"/>
      <c r="F11" s="1044"/>
      <c r="G11" s="1044"/>
      <c r="H11" s="1044"/>
      <c r="I11" s="1044"/>
      <c r="J11" s="1044"/>
      <c r="K11" s="1044"/>
      <c r="L11" s="1044"/>
    </row>
    <row r="13" spans="2:15">
      <c r="F13" s="1045" t="s">
        <v>626</v>
      </c>
      <c r="G13" s="1028"/>
      <c r="H13" s="1029"/>
      <c r="I13" s="1029"/>
      <c r="J13" s="1029"/>
      <c r="K13" s="1029"/>
      <c r="L13" s="1029"/>
    </row>
    <row r="14" spans="2:15">
      <c r="F14" s="1030" t="s">
        <v>884</v>
      </c>
      <c r="G14" s="1046" t="s">
        <v>2094</v>
      </c>
    </row>
    <row r="15" spans="2:15">
      <c r="B15" s="1030" t="s">
        <v>567</v>
      </c>
      <c r="F15" s="2033" t="s">
        <v>637</v>
      </c>
      <c r="G15" s="1030" t="s">
        <v>2096</v>
      </c>
      <c r="H15" s="1030" t="s">
        <v>686</v>
      </c>
      <c r="I15" s="1043"/>
      <c r="L15" s="1030" t="s">
        <v>686</v>
      </c>
    </row>
    <row r="16" spans="2:15">
      <c r="B16" s="1030" t="s">
        <v>766</v>
      </c>
      <c r="D16" s="2031" t="s">
        <v>623</v>
      </c>
      <c r="E16" s="1030"/>
      <c r="F16" s="1030" t="s">
        <v>1927</v>
      </c>
      <c r="G16" s="1030" t="s">
        <v>2012</v>
      </c>
      <c r="H16" s="1030" t="s">
        <v>1927</v>
      </c>
      <c r="I16" s="1043"/>
      <c r="J16" s="1030" t="s">
        <v>731</v>
      </c>
      <c r="K16" s="1043"/>
      <c r="L16" s="1030" t="s">
        <v>816</v>
      </c>
    </row>
    <row r="17" spans="1:12">
      <c r="B17" s="1044"/>
      <c r="C17" s="1044"/>
      <c r="D17" s="1044"/>
      <c r="E17" s="1044"/>
      <c r="F17" s="1047"/>
      <c r="G17" s="1044"/>
      <c r="H17" s="1044"/>
      <c r="I17" s="1044"/>
      <c r="J17" s="1044"/>
      <c r="K17" s="1044"/>
      <c r="L17" s="1044"/>
    </row>
    <row r="19" spans="1:12" ht="15.6">
      <c r="B19" s="1046">
        <v>1</v>
      </c>
      <c r="D19" s="1048" t="s">
        <v>1968</v>
      </c>
    </row>
    <row r="20" spans="1:12">
      <c r="B20" s="1030">
        <v>2</v>
      </c>
      <c r="D20" s="1586" t="s">
        <v>378</v>
      </c>
      <c r="E20" s="1041"/>
      <c r="F20" s="3460">
        <f>3601675+3752666</f>
        <v>7354341</v>
      </c>
      <c r="G20" s="2034">
        <f>VLOOKUP($E$34,ALLOCTABLE,2)</f>
        <v>100</v>
      </c>
      <c r="H20" s="2035">
        <f>ROUND(F20*(G20/100),0)</f>
        <v>7354341</v>
      </c>
      <c r="I20" s="2036"/>
      <c r="J20" s="2037">
        <v>0</v>
      </c>
      <c r="K20" s="2036"/>
      <c r="L20" s="2035">
        <f>H20+J20</f>
        <v>7354341</v>
      </c>
    </row>
    <row r="21" spans="1:12">
      <c r="B21" s="1030">
        <v>3</v>
      </c>
      <c r="D21" s="2032" t="s">
        <v>2518</v>
      </c>
      <c r="F21" s="3460">
        <f>388271+678905</f>
        <v>1067176</v>
      </c>
      <c r="G21" s="2034">
        <f>VLOOKUP($E$34,ALLOCTABLE,2)</f>
        <v>100</v>
      </c>
      <c r="H21" s="2035">
        <f t="shared" ref="H21:H23" si="0">ROUND(F21*(G21/100),0)</f>
        <v>1067176</v>
      </c>
      <c r="I21" s="2036"/>
      <c r="J21" s="2037">
        <v>0</v>
      </c>
      <c r="K21" s="2036"/>
      <c r="L21" s="2035">
        <f t="shared" ref="L21:L23" si="1">H21+J21</f>
        <v>1067176</v>
      </c>
    </row>
    <row r="22" spans="1:12">
      <c r="A22" s="1035">
        <v>926</v>
      </c>
      <c r="B22" s="1030">
        <v>4</v>
      </c>
      <c r="D22" s="1041" t="s">
        <v>547</v>
      </c>
      <c r="E22" s="1041"/>
      <c r="F22" s="2038">
        <f t="array" ref="F22">SUM(IF(FERCBP=A22,AmountBP))</f>
        <v>2609947</v>
      </c>
      <c r="G22" s="2034">
        <f>VLOOKUP($E$34,ALLOCTABLE,2)</f>
        <v>100</v>
      </c>
      <c r="H22" s="2035">
        <f t="shared" si="0"/>
        <v>2609947</v>
      </c>
      <c r="I22" s="2036"/>
      <c r="J22" s="2037">
        <v>0</v>
      </c>
      <c r="K22" s="2036"/>
      <c r="L22" s="2035">
        <f t="shared" si="1"/>
        <v>2609947</v>
      </c>
    </row>
    <row r="23" spans="1:12">
      <c r="A23" s="1035">
        <v>408960</v>
      </c>
      <c r="B23" s="1046">
        <v>5</v>
      </c>
      <c r="D23" s="1041" t="s">
        <v>548</v>
      </c>
      <c r="E23" s="1041"/>
      <c r="F23" s="2038">
        <f>ROUND(VLOOKUP(A23,BasePeriod,5,FALSE),0)</f>
        <v>473789</v>
      </c>
      <c r="G23" s="2034">
        <f>VLOOKUP($E$34,ALLOCTABLE,2)</f>
        <v>100</v>
      </c>
      <c r="H23" s="2035">
        <f t="shared" si="0"/>
        <v>473789</v>
      </c>
      <c r="I23" s="2036"/>
      <c r="J23" s="2037">
        <v>0</v>
      </c>
      <c r="K23" s="2036"/>
      <c r="L23" s="2035">
        <f t="shared" si="1"/>
        <v>473789</v>
      </c>
    </row>
    <row r="24" spans="1:12" ht="15.6" thickBot="1">
      <c r="B24" s="1030">
        <v>6</v>
      </c>
      <c r="D24" s="1041" t="s">
        <v>549</v>
      </c>
      <c r="E24" s="1041"/>
      <c r="F24" s="1054">
        <f>SUM(F20:F23)</f>
        <v>11505253</v>
      </c>
      <c r="G24" s="1046"/>
      <c r="H24" s="1054">
        <f>SUM(H20:H23)</f>
        <v>11505253</v>
      </c>
      <c r="I24" s="1053"/>
      <c r="J24" s="1054">
        <f>SUM(J20:J23)</f>
        <v>0</v>
      </c>
      <c r="K24" s="1053"/>
      <c r="L24" s="1054">
        <f>SUM(L20:L23)</f>
        <v>11505253</v>
      </c>
    </row>
    <row r="25" spans="1:12" ht="15.6" thickTop="1">
      <c r="B25" s="1030">
        <v>7</v>
      </c>
      <c r="F25" s="1049"/>
      <c r="H25" s="1050"/>
      <c r="I25" s="1051"/>
      <c r="J25" s="1049"/>
      <c r="K25" s="1052"/>
      <c r="L25" s="1049"/>
    </row>
    <row r="26" spans="1:12" ht="15.6">
      <c r="B26" s="1030">
        <v>8</v>
      </c>
      <c r="D26" s="1048" t="s">
        <v>1233</v>
      </c>
    </row>
    <row r="27" spans="1:12">
      <c r="B27" s="1046">
        <v>9</v>
      </c>
      <c r="D27" s="1586" t="s">
        <v>378</v>
      </c>
      <c r="E27" s="1041"/>
      <c r="F27" s="3460">
        <v>8436572</v>
      </c>
      <c r="G27" s="2034">
        <f>VLOOKUP($E$34,ALLOCTABLE,2)</f>
        <v>100</v>
      </c>
      <c r="H27" s="2035">
        <f>ROUND(F27*(G27/100),0)</f>
        <v>8436572</v>
      </c>
      <c r="I27" s="2036"/>
      <c r="J27" s="2037">
        <v>0</v>
      </c>
      <c r="K27" s="2036"/>
      <c r="L27" s="2035">
        <f>H27+J27</f>
        <v>8436572</v>
      </c>
    </row>
    <row r="28" spans="1:12">
      <c r="B28" s="1030">
        <v>10</v>
      </c>
      <c r="D28" s="2032" t="s">
        <v>2518</v>
      </c>
      <c r="E28" s="1041"/>
      <c r="F28" s="3460">
        <v>1421761</v>
      </c>
      <c r="G28" s="2034">
        <f>VLOOKUP($E$34,ALLOCTABLE,2)</f>
        <v>100</v>
      </c>
      <c r="H28" s="2035">
        <f t="shared" ref="H28:H30" si="2">ROUND(F28*(G28/100),0)</f>
        <v>1421761</v>
      </c>
      <c r="I28" s="2036"/>
      <c r="J28" s="2037">
        <v>0</v>
      </c>
      <c r="K28" s="2036"/>
      <c r="L28" s="2035">
        <f t="shared" ref="L28:L30" si="3">H28+J28</f>
        <v>1421761</v>
      </c>
    </row>
    <row r="29" spans="1:12">
      <c r="A29" s="1035">
        <v>926</v>
      </c>
      <c r="B29" s="1030">
        <v>11</v>
      </c>
      <c r="D29" s="1041" t="s">
        <v>547</v>
      </c>
      <c r="F29" s="2038">
        <f t="array" aca="1" ref="F29" ca="1">SUM(IF(FERCFP=A29,AmountFP))</f>
        <v>2381447</v>
      </c>
      <c r="G29" s="2034">
        <f>VLOOKUP($E$34,ALLOCTABLE,2)</f>
        <v>100</v>
      </c>
      <c r="H29" s="2035">
        <f t="shared" ca="1" si="2"/>
        <v>2381447</v>
      </c>
      <c r="I29" s="2036"/>
      <c r="J29" s="2037">
        <v>0</v>
      </c>
      <c r="K29" s="2036"/>
      <c r="L29" s="2035">
        <f t="shared" ca="1" si="3"/>
        <v>2381447</v>
      </c>
    </row>
    <row r="30" spans="1:12">
      <c r="A30" s="1035">
        <v>408960</v>
      </c>
      <c r="B30" s="1030">
        <v>12</v>
      </c>
      <c r="D30" s="1041" t="s">
        <v>548</v>
      </c>
      <c r="E30" s="1041"/>
      <c r="F30" s="2038">
        <f>ROUND(VLOOKUP(A30,FPERIOD,5,FALSE),0)</f>
        <v>708964</v>
      </c>
      <c r="G30" s="2034">
        <f>VLOOKUP($E$34,ALLOCTABLE,2)</f>
        <v>100</v>
      </c>
      <c r="H30" s="2035">
        <f t="shared" si="2"/>
        <v>708964</v>
      </c>
      <c r="I30" s="2036"/>
      <c r="J30" s="2037">
        <v>0</v>
      </c>
      <c r="K30" s="2036"/>
      <c r="L30" s="2035">
        <f t="shared" si="3"/>
        <v>708964</v>
      </c>
    </row>
    <row r="31" spans="1:12" ht="15.6" thickBot="1">
      <c r="B31" s="1046">
        <v>13</v>
      </c>
      <c r="D31" s="1041" t="s">
        <v>549</v>
      </c>
      <c r="E31" s="1041"/>
      <c r="F31" s="1054">
        <f ca="1">SUM(F27:F30)</f>
        <v>12948744</v>
      </c>
      <c r="G31" s="1046"/>
      <c r="H31" s="1054">
        <f ca="1">SUM(H27:H30)</f>
        <v>12948744</v>
      </c>
      <c r="I31" s="1053"/>
      <c r="J31" s="1054">
        <f>SUM(J27:J30)</f>
        <v>0</v>
      </c>
      <c r="K31" s="1053"/>
      <c r="L31" s="1054">
        <f ca="1">SUM(L27:L30)</f>
        <v>12948744</v>
      </c>
    </row>
    <row r="32" spans="1:12" ht="15.6" thickTop="1"/>
    <row r="34" spans="2:9">
      <c r="D34" s="1041" t="s">
        <v>550</v>
      </c>
      <c r="E34" s="1055" t="s">
        <v>591</v>
      </c>
    </row>
    <row r="35" spans="2:9">
      <c r="D35" s="1223"/>
      <c r="I35" s="1035"/>
    </row>
    <row r="37" spans="2:9">
      <c r="I37" s="1035"/>
    </row>
    <row r="38" spans="2:9">
      <c r="B38" s="1041"/>
      <c r="D38" s="2032"/>
      <c r="I38" s="1035"/>
    </row>
  </sheetData>
  <phoneticPr fontId="4" type="noConversion"/>
  <pageMargins left="1" right="0.75" top="0.75" bottom="0.75" header="0" footer="0"/>
  <pageSetup scale="61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tabColor rgb="FF949494"/>
    <pageSetUpPr fitToPage="1"/>
  </sheetPr>
  <dimension ref="B1:BE39"/>
  <sheetViews>
    <sheetView zoomScale="90" zoomScaleNormal="90" workbookViewId="0"/>
  </sheetViews>
  <sheetFormatPr defaultColWidth="16.109375" defaultRowHeight="13.2"/>
  <cols>
    <col min="1" max="1" width="1.5546875" style="2039" customWidth="1"/>
    <col min="2" max="2" width="7.109375" style="2039" customWidth="1"/>
    <col min="3" max="3" width="37.6640625" style="2039" customWidth="1"/>
    <col min="4" max="4" width="2" style="2039" customWidth="1"/>
    <col min="5" max="5" width="16" style="2075" customWidth="1"/>
    <col min="6" max="6" width="5.88671875" style="2039" customWidth="1"/>
    <col min="7" max="7" width="10.6640625" style="2075" customWidth="1"/>
    <col min="8" max="8" width="5.5546875" style="2039" customWidth="1"/>
    <col min="9" max="9" width="17.88671875" style="2075" customWidth="1"/>
    <col min="10" max="29" width="16.109375" style="2039"/>
    <col min="30" max="30" width="5.88671875" style="2039" customWidth="1"/>
    <col min="31" max="31" width="26.44140625" style="2039" customWidth="1"/>
    <col min="32" max="32" width="16.109375" style="2039" customWidth="1"/>
    <col min="33" max="33" width="9.6640625" style="2039" customWidth="1"/>
    <col min="34" max="34" width="16.109375" style="2039" customWidth="1"/>
    <col min="35" max="35" width="9.6640625" style="2039" customWidth="1"/>
    <col min="36" max="36" width="16.109375" style="2039" customWidth="1"/>
    <col min="37" max="37" width="9.6640625" style="2039" customWidth="1"/>
    <col min="38" max="38" width="16.109375" style="2039" customWidth="1"/>
    <col min="39" max="39" width="9.6640625" style="2039" customWidth="1"/>
    <col min="40" max="40" width="16.109375" style="2039" customWidth="1"/>
    <col min="41" max="41" width="9.6640625" style="2039" customWidth="1"/>
    <col min="42" max="42" width="16.109375" style="2039" customWidth="1"/>
    <col min="43" max="43" width="9.6640625" style="2039" customWidth="1"/>
    <col min="44" max="55" width="16.109375" style="2039"/>
    <col min="56" max="56" width="5.88671875" style="2039" customWidth="1"/>
    <col min="57" max="57" width="88.109375" style="2039" customWidth="1"/>
    <col min="58" max="16384" width="16.109375" style="2039"/>
  </cols>
  <sheetData>
    <row r="1" spans="2:57">
      <c r="B1" s="2043" t="str">
        <f>COMPANY</f>
        <v>DUKE ENERGY KENTUCKY, INC.</v>
      </c>
      <c r="C1" s="2044"/>
      <c r="D1" s="2045"/>
      <c r="E1" s="2046"/>
      <c r="F1" s="2044"/>
      <c r="G1" s="2046"/>
      <c r="H1" s="2044"/>
      <c r="I1" s="2046"/>
      <c r="AD1" s="2047"/>
      <c r="AG1" s="2041"/>
      <c r="AH1" s="2041"/>
      <c r="AI1" s="2041"/>
      <c r="AJ1" s="2041"/>
      <c r="AK1" s="2041"/>
      <c r="AL1" s="2041"/>
      <c r="AM1" s="2041"/>
      <c r="BE1" s="2048" t="s">
        <v>551</v>
      </c>
    </row>
    <row r="2" spans="2:57">
      <c r="B2" s="2043" t="str">
        <f>CASE</f>
        <v>CASE NO. 2018-00261</v>
      </c>
      <c r="C2" s="2044"/>
      <c r="D2" s="2045"/>
      <c r="E2" s="2046"/>
      <c r="F2" s="2044"/>
      <c r="G2" s="2046"/>
      <c r="H2" s="2044"/>
      <c r="I2" s="2046"/>
      <c r="AD2" s="2047"/>
    </row>
    <row r="3" spans="2:57">
      <c r="B3" s="2044" t="s">
        <v>2519</v>
      </c>
      <c r="C3" s="2044"/>
      <c r="D3" s="2045"/>
      <c r="E3" s="2046"/>
      <c r="F3" s="2044"/>
      <c r="G3" s="2046"/>
      <c r="H3" s="2044"/>
      <c r="I3" s="2046"/>
      <c r="AD3" s="2047"/>
      <c r="BD3" s="2049" t="s">
        <v>674</v>
      </c>
      <c r="BE3" s="2047" t="s">
        <v>675</v>
      </c>
    </row>
    <row r="4" spans="2:57">
      <c r="B4" s="1625" t="str">
        <f>"FOR THE TWELVE MONTHS ENDED " &amp;RIGHT(TESTYR,(LEN(TESTYR)-16))</f>
        <v>FOR THE TWELVE MONTHS ENDED NOVEMBER 30, 2018</v>
      </c>
      <c r="C4" s="2044"/>
      <c r="D4" s="2044"/>
      <c r="E4" s="2050"/>
      <c r="F4" s="2044"/>
      <c r="G4" s="2050"/>
      <c r="H4" s="2044"/>
      <c r="I4" s="2050"/>
      <c r="AG4" s="2041"/>
      <c r="AH4" s="2041"/>
      <c r="AI4" s="2041"/>
      <c r="AJ4" s="2041"/>
      <c r="AK4" s="2041"/>
      <c r="AL4" s="2041"/>
      <c r="AM4" s="2041"/>
      <c r="AP4" s="2049"/>
    </row>
    <row r="5" spans="2:57">
      <c r="B5" s="1625" t="str">
        <f>"FOR THE TWELVE MONTHS ENDED " &amp;RIGHT(Forecast,(LEN(Forecast)-16))</f>
        <v>FOR THE TWELVE MONTHS ENDED MARCH 31, 2020</v>
      </c>
      <c r="C5" s="2044"/>
      <c r="D5" s="2044"/>
      <c r="E5" s="2050"/>
      <c r="F5" s="2044"/>
      <c r="G5" s="2050"/>
      <c r="H5" s="2044"/>
      <c r="I5" s="2050"/>
      <c r="AG5" s="2041"/>
      <c r="AH5" s="2041"/>
      <c r="AI5" s="2041"/>
      <c r="AJ5" s="2041"/>
      <c r="AK5" s="2041"/>
      <c r="AL5" s="2041"/>
      <c r="AM5" s="2041"/>
      <c r="AP5" s="2049"/>
    </row>
    <row r="6" spans="2:57">
      <c r="B6" s="2051"/>
      <c r="C6" s="2051"/>
      <c r="D6" s="2051"/>
      <c r="E6" s="2052"/>
      <c r="F6" s="2051"/>
      <c r="G6" s="2052"/>
      <c r="H6" s="2051"/>
      <c r="I6" s="2052"/>
      <c r="AF6" s="2048"/>
      <c r="AG6" s="2053"/>
      <c r="AH6" s="2048"/>
      <c r="AI6" s="2053"/>
      <c r="AJ6" s="2048"/>
      <c r="AK6" s="2053"/>
      <c r="AL6" s="2048"/>
      <c r="AM6" s="2053"/>
      <c r="AN6" s="2048"/>
      <c r="AO6" s="2053"/>
      <c r="AP6" s="2048"/>
      <c r="AQ6" s="2053"/>
      <c r="BD6" s="2049" t="s">
        <v>676</v>
      </c>
      <c r="BE6" s="2047" t="s">
        <v>677</v>
      </c>
    </row>
    <row r="7" spans="2:57">
      <c r="B7" s="2054" t="str">
        <f>DataB</f>
        <v>DATA: "X" BASE PERIOD  "X" FORECASTED PERIOD</v>
      </c>
      <c r="C7" s="2051"/>
      <c r="D7" s="2051"/>
      <c r="E7" s="2052"/>
      <c r="F7" s="2051"/>
      <c r="G7" s="2052"/>
      <c r="H7" s="2055" t="s">
        <v>978</v>
      </c>
      <c r="I7" s="2052"/>
      <c r="AD7" s="2056"/>
      <c r="AE7" s="2056"/>
      <c r="AF7" s="2056"/>
      <c r="AG7" s="2056"/>
      <c r="AH7" s="2056"/>
      <c r="AI7" s="2056"/>
      <c r="AJ7" s="2056"/>
      <c r="AK7" s="2056"/>
      <c r="AL7" s="2056"/>
      <c r="AM7" s="2056"/>
      <c r="AN7" s="2056"/>
      <c r="AO7" s="2056"/>
      <c r="AP7" s="2056"/>
      <c r="AQ7" s="2056"/>
      <c r="BE7" s="2047" t="s">
        <v>827</v>
      </c>
    </row>
    <row r="8" spans="2:57">
      <c r="B8" s="2054" t="str">
        <f>Type</f>
        <v xml:space="preserve">TYPE OF FILING:  "X" ORIGINAL   UPDATED    REVISED  </v>
      </c>
      <c r="C8" s="2051"/>
      <c r="D8" s="2051"/>
      <c r="E8" s="2057"/>
      <c r="F8" s="2051"/>
      <c r="G8" s="2052"/>
      <c r="H8" s="2055" t="s">
        <v>564</v>
      </c>
      <c r="I8" s="2052"/>
      <c r="AD8" s="2047"/>
      <c r="AE8" s="2047"/>
      <c r="AF8" s="2041"/>
      <c r="AG8" s="2058"/>
      <c r="AH8" s="2041"/>
      <c r="AI8" s="2041"/>
      <c r="AJ8" s="2041"/>
      <c r="AK8" s="2041"/>
      <c r="AL8" s="2041"/>
      <c r="AM8" s="2041"/>
      <c r="AN8" s="2041"/>
      <c r="AP8" s="2059"/>
    </row>
    <row r="9" spans="2:57">
      <c r="B9" s="2060" t="s">
        <v>655</v>
      </c>
      <c r="C9" s="2051"/>
      <c r="D9" s="2051"/>
      <c r="E9" s="2052"/>
      <c r="F9" s="2051"/>
      <c r="G9" s="2052"/>
      <c r="H9" s="2055" t="s">
        <v>566</v>
      </c>
      <c r="I9" s="2052"/>
      <c r="AE9" s="2047"/>
      <c r="AF9" s="2041"/>
      <c r="AG9" s="2058"/>
      <c r="AH9" s="2041"/>
      <c r="AI9" s="2041"/>
      <c r="AJ9" s="2041"/>
      <c r="AK9" s="2041"/>
      <c r="AL9" s="2041"/>
      <c r="AM9" s="2041"/>
      <c r="BD9" s="2049" t="s">
        <v>828</v>
      </c>
      <c r="BE9" s="2047" t="s">
        <v>829</v>
      </c>
    </row>
    <row r="10" spans="2:57">
      <c r="B10" s="2051"/>
      <c r="C10" s="2051"/>
      <c r="D10" s="2061"/>
      <c r="E10" s="2062"/>
      <c r="F10" s="2061"/>
      <c r="G10" s="2062"/>
      <c r="H10" s="2055" t="str">
        <f>_Wit8</f>
        <v>R. H. METZLER</v>
      </c>
      <c r="I10" s="2062"/>
      <c r="AE10" s="2047"/>
      <c r="AF10" s="2041"/>
      <c r="AG10" s="2058"/>
      <c r="AH10" s="2041"/>
      <c r="AJ10" s="2041"/>
      <c r="AL10" s="2041"/>
      <c r="AN10" s="2041"/>
      <c r="AP10" s="2041"/>
      <c r="BE10" s="2047" t="s">
        <v>830</v>
      </c>
    </row>
    <row r="11" spans="2:57">
      <c r="D11" s="2063"/>
      <c r="E11" s="2064"/>
      <c r="F11" s="2065"/>
      <c r="G11" s="2064"/>
      <c r="H11" s="2065"/>
      <c r="I11" s="2064"/>
      <c r="AE11" s="2047"/>
      <c r="AF11" s="2041"/>
      <c r="AG11" s="2058"/>
      <c r="AH11" s="2041"/>
      <c r="AJ11" s="2041"/>
      <c r="AL11" s="2041"/>
      <c r="AN11" s="2041"/>
      <c r="AP11" s="2041"/>
    </row>
    <row r="12" spans="2:57">
      <c r="D12" s="2063"/>
      <c r="E12" s="2064"/>
      <c r="F12" s="2065"/>
      <c r="G12" s="2064"/>
      <c r="H12" s="2065"/>
      <c r="I12" s="2064"/>
      <c r="AE12" s="2047"/>
      <c r="AF12" s="2041"/>
      <c r="AG12" s="2058"/>
      <c r="AH12" s="2041"/>
      <c r="AJ12" s="2041"/>
      <c r="AL12" s="2041"/>
      <c r="AN12" s="2041"/>
      <c r="AP12" s="2041"/>
    </row>
    <row r="13" spans="2:57">
      <c r="B13" s="3565"/>
      <c r="C13" s="3565"/>
      <c r="D13" s="3566"/>
      <c r="E13" s="3567"/>
      <c r="F13" s="3568"/>
      <c r="G13" s="3567"/>
      <c r="H13" s="3568"/>
      <c r="I13" s="3567"/>
      <c r="AE13" s="2047"/>
      <c r="AF13" s="2041"/>
      <c r="AG13" s="2058"/>
      <c r="AH13" s="2041"/>
      <c r="AJ13" s="2041"/>
      <c r="AL13" s="2041"/>
      <c r="AN13" s="2041"/>
      <c r="AP13" s="2041"/>
    </row>
    <row r="14" spans="2:57">
      <c r="B14" s="2048" t="s">
        <v>567</v>
      </c>
      <c r="D14" s="2066"/>
      <c r="E14" s="2067" t="s">
        <v>740</v>
      </c>
      <c r="F14" s="2066"/>
      <c r="G14" s="2067" t="s">
        <v>2097</v>
      </c>
      <c r="H14" s="2066"/>
      <c r="I14" s="2067" t="s">
        <v>1127</v>
      </c>
      <c r="K14" s="2068"/>
      <c r="AE14" s="2047"/>
      <c r="AF14" s="2041"/>
      <c r="AG14" s="2058"/>
      <c r="AH14" s="2041"/>
      <c r="AJ14" s="2041"/>
      <c r="AL14" s="2041"/>
      <c r="AN14" s="2041"/>
      <c r="AP14" s="2041"/>
      <c r="BD14" s="2049" t="s">
        <v>831</v>
      </c>
      <c r="BE14" s="2047" t="s">
        <v>720</v>
      </c>
    </row>
    <row r="15" spans="2:57">
      <c r="B15" s="2048" t="s">
        <v>766</v>
      </c>
      <c r="C15" s="2047" t="s">
        <v>741</v>
      </c>
      <c r="D15" s="3569"/>
      <c r="E15" s="3570" t="s">
        <v>743</v>
      </c>
      <c r="F15" s="3569"/>
      <c r="G15" s="3570" t="s">
        <v>858</v>
      </c>
      <c r="H15" s="3569"/>
      <c r="I15" s="3570" t="s">
        <v>743</v>
      </c>
      <c r="AE15" s="2047"/>
      <c r="AF15" s="2041"/>
      <c r="AG15" s="2058"/>
      <c r="AH15" s="2041"/>
      <c r="AJ15" s="2041"/>
      <c r="AL15" s="2041"/>
      <c r="AN15" s="2041"/>
      <c r="AP15" s="2041"/>
      <c r="BE15" s="2047" t="s">
        <v>722</v>
      </c>
    </row>
    <row r="16" spans="2:57">
      <c r="B16" s="3571"/>
      <c r="C16" s="3572"/>
      <c r="D16" s="3573"/>
      <c r="E16" s="3574"/>
      <c r="F16" s="3573"/>
      <c r="G16" s="3574"/>
      <c r="H16" s="3573"/>
      <c r="I16" s="3574"/>
      <c r="AE16" s="2047"/>
      <c r="AF16" s="2041"/>
      <c r="AG16" s="2058"/>
      <c r="AH16" s="2041"/>
      <c r="AJ16" s="2041"/>
      <c r="AL16" s="2041"/>
      <c r="AN16" s="2041"/>
      <c r="AP16" s="2041"/>
      <c r="BE16" s="2047"/>
    </row>
    <row r="17" spans="2:57">
      <c r="B17" s="2069"/>
      <c r="C17" s="2070"/>
      <c r="D17" s="2071"/>
      <c r="E17" s="2072"/>
      <c r="F17" s="2071"/>
      <c r="G17" s="2072"/>
      <c r="H17" s="2071"/>
      <c r="I17" s="2072"/>
      <c r="AE17" s="2047"/>
      <c r="AF17" s="2041"/>
      <c r="AG17" s="2058"/>
      <c r="AH17" s="2041"/>
      <c r="AJ17" s="2041"/>
      <c r="AL17" s="2041"/>
      <c r="AN17" s="2041"/>
      <c r="AP17" s="2041"/>
      <c r="BE17" s="2047"/>
    </row>
    <row r="18" spans="2:57">
      <c r="B18" s="2048">
        <v>1</v>
      </c>
      <c r="C18" s="2073" t="s">
        <v>723</v>
      </c>
      <c r="D18" s="2074"/>
      <c r="F18" s="2074"/>
      <c r="H18" s="2074"/>
      <c r="AE18" s="2047"/>
      <c r="AF18" s="2041"/>
      <c r="AG18" s="2058"/>
      <c r="AH18" s="2041"/>
      <c r="AJ18" s="2041"/>
      <c r="AL18" s="2041"/>
      <c r="AN18" s="2041"/>
      <c r="AP18" s="2041"/>
    </row>
    <row r="19" spans="2:57">
      <c r="B19" s="2048">
        <v>2</v>
      </c>
      <c r="C19" s="2047" t="s">
        <v>724</v>
      </c>
      <c r="D19" s="2074"/>
      <c r="E19" s="3461">
        <v>326328</v>
      </c>
      <c r="F19" s="2074"/>
      <c r="G19" s="2076">
        <f>IF(E19=0,0,ROUND((I19-E19)/E19,4))</f>
        <v>0</v>
      </c>
      <c r="H19" s="2074"/>
      <c r="I19" s="3461">
        <f>E19</f>
        <v>326328</v>
      </c>
      <c r="AF19" s="2041"/>
      <c r="AG19" s="2058"/>
      <c r="AH19" s="2041"/>
      <c r="AI19" s="2041"/>
      <c r="AJ19" s="2041"/>
      <c r="AK19" s="2041"/>
      <c r="AL19" s="2041"/>
      <c r="AM19" s="2041"/>
      <c r="BD19" s="2049" t="s">
        <v>726</v>
      </c>
      <c r="BE19" s="2047" t="s">
        <v>863</v>
      </c>
    </row>
    <row r="20" spans="2:57">
      <c r="B20" s="2048">
        <v>3</v>
      </c>
      <c r="C20" s="2047" t="s">
        <v>864</v>
      </c>
      <c r="D20" s="2074"/>
      <c r="E20" s="3461">
        <v>31110</v>
      </c>
      <c r="F20" s="2074"/>
      <c r="G20" s="2076">
        <f t="shared" ref="G20:G21" si="0">IF(E20=0,0,ROUND((I20-E20)/E20,4))</f>
        <v>0</v>
      </c>
      <c r="H20" s="2074"/>
      <c r="I20" s="3461">
        <f>E20</f>
        <v>31110</v>
      </c>
      <c r="AD20" s="2047"/>
      <c r="AE20" s="2047"/>
      <c r="AF20" s="2041"/>
      <c r="AH20" s="2041"/>
      <c r="AJ20" s="2041"/>
      <c r="AL20" s="2041"/>
      <c r="AN20" s="2041"/>
      <c r="AP20" s="2059"/>
      <c r="BE20" s="2047" t="s">
        <v>865</v>
      </c>
    </row>
    <row r="21" spans="2:57" ht="13.8" thickBot="1">
      <c r="B21" s="2048">
        <v>4</v>
      </c>
      <c r="C21" s="2047" t="s">
        <v>866</v>
      </c>
      <c r="D21" s="2074"/>
      <c r="E21" s="2077">
        <f>SUM(E19:E20)</f>
        <v>357438</v>
      </c>
      <c r="F21" s="2074"/>
      <c r="G21" s="2076">
        <f t="shared" si="0"/>
        <v>0</v>
      </c>
      <c r="H21" s="2074"/>
      <c r="I21" s="2077">
        <f>SUM(I19:I20)</f>
        <v>357438</v>
      </c>
      <c r="AE21" s="2047"/>
      <c r="AF21" s="2041"/>
      <c r="AH21" s="2041"/>
      <c r="AJ21" s="2041"/>
      <c r="AL21" s="2041"/>
      <c r="AN21" s="2041"/>
      <c r="AP21" s="2041"/>
    </row>
    <row r="22" spans="2:57" ht="13.8" thickTop="1">
      <c r="B22" s="2048">
        <v>5</v>
      </c>
      <c r="D22" s="2078"/>
      <c r="E22" s="2079"/>
      <c r="F22" s="2078"/>
      <c r="G22" s="2079"/>
      <c r="H22" s="2078"/>
      <c r="I22" s="2079"/>
    </row>
    <row r="23" spans="2:57">
      <c r="B23" s="2048">
        <v>6</v>
      </c>
      <c r="C23" s="2047" t="s">
        <v>867</v>
      </c>
      <c r="D23" s="2080"/>
      <c r="F23" s="2080"/>
      <c r="H23" s="2080"/>
      <c r="AE23" s="2047"/>
      <c r="AF23" s="2041"/>
      <c r="AH23" s="2041"/>
      <c r="AJ23" s="2041"/>
      <c r="AL23" s="2041"/>
      <c r="AN23" s="2041"/>
      <c r="AP23" s="2041"/>
    </row>
    <row r="24" spans="2:57">
      <c r="B24" s="2048">
        <v>7</v>
      </c>
      <c r="C24" s="2047" t="s">
        <v>868</v>
      </c>
      <c r="D24" s="2081"/>
      <c r="E24" s="2058">
        <f>ROUND(E20/E19*100,2)</f>
        <v>9.5299999999999994</v>
      </c>
      <c r="F24" s="2058"/>
      <c r="G24" s="2076"/>
      <c r="H24" s="2076"/>
      <c r="I24" s="2058">
        <f>ROUND(I20/I19*100,2)</f>
        <v>9.5299999999999994</v>
      </c>
    </row>
    <row r="25" spans="2:57">
      <c r="D25" s="2074"/>
      <c r="E25" s="2042"/>
      <c r="F25" s="2074"/>
      <c r="G25" s="2042"/>
      <c r="H25" s="2074"/>
      <c r="I25" s="2042"/>
    </row>
    <row r="26" spans="2:57">
      <c r="D26" s="2041"/>
      <c r="E26" s="2042"/>
      <c r="F26" s="2074"/>
      <c r="G26" s="2042"/>
      <c r="H26" s="2041"/>
      <c r="I26" s="2042"/>
    </row>
    <row r="27" spans="2:57">
      <c r="C27" s="2039" t="s">
        <v>2520</v>
      </c>
      <c r="D27" s="2040"/>
      <c r="E27" s="2041"/>
      <c r="F27" s="2041"/>
      <c r="G27" s="2042"/>
      <c r="H27" s="2042"/>
      <c r="I27" s="2042"/>
    </row>
    <row r="28" spans="2:57">
      <c r="C28" s="2039" t="s">
        <v>3046</v>
      </c>
      <c r="E28" s="2041"/>
      <c r="F28" s="2041"/>
      <c r="G28" s="2042"/>
      <c r="H28" s="2042"/>
      <c r="I28" s="2042"/>
    </row>
    <row r="29" spans="2:57">
      <c r="D29" s="2041"/>
      <c r="E29" s="2042"/>
      <c r="F29" s="2041"/>
      <c r="G29" s="2042"/>
      <c r="H29" s="2041"/>
      <c r="I29" s="2042"/>
    </row>
    <row r="30" spans="2:57">
      <c r="D30" s="2041"/>
      <c r="E30" s="2042"/>
      <c r="F30" s="2041"/>
      <c r="G30" s="2042"/>
      <c r="H30" s="2041"/>
      <c r="I30" s="2042"/>
    </row>
    <row r="31" spans="2:57">
      <c r="D31" s="2041"/>
      <c r="E31" s="2042"/>
      <c r="F31" s="2041"/>
      <c r="G31" s="2042"/>
      <c r="H31" s="2041"/>
      <c r="I31" s="2042"/>
    </row>
    <row r="32" spans="2:57">
      <c r="D32" s="2041"/>
      <c r="E32" s="2042"/>
      <c r="F32" s="2041"/>
      <c r="G32" s="2042"/>
      <c r="H32" s="2041"/>
      <c r="I32" s="2042"/>
    </row>
    <row r="33" spans="4:9">
      <c r="D33" s="2041"/>
      <c r="E33" s="2042"/>
      <c r="F33" s="2041"/>
      <c r="G33" s="2042"/>
      <c r="H33" s="2041"/>
      <c r="I33" s="2042"/>
    </row>
    <row r="34" spans="4:9">
      <c r="D34" s="2041"/>
      <c r="E34" s="2042"/>
      <c r="F34" s="2041"/>
      <c r="G34" s="2042"/>
      <c r="H34" s="2041"/>
      <c r="I34" s="2042"/>
    </row>
    <row r="35" spans="4:9">
      <c r="D35" s="2041"/>
      <c r="E35" s="2042"/>
      <c r="F35" s="2041"/>
      <c r="G35" s="2042"/>
      <c r="H35" s="2041"/>
      <c r="I35" s="2042"/>
    </row>
    <row r="36" spans="4:9">
      <c r="D36" s="2041"/>
      <c r="E36" s="2042"/>
      <c r="F36" s="2041"/>
      <c r="G36" s="2042"/>
      <c r="H36" s="2041"/>
      <c r="I36" s="2042"/>
    </row>
    <row r="37" spans="4:9">
      <c r="D37" s="2041"/>
      <c r="E37" s="2042"/>
      <c r="F37" s="2041"/>
      <c r="G37" s="2042"/>
      <c r="H37" s="2041"/>
      <c r="I37" s="2042"/>
    </row>
    <row r="38" spans="4:9">
      <c r="D38" s="2041"/>
      <c r="E38" s="2042"/>
      <c r="F38" s="2041"/>
      <c r="G38" s="2042"/>
      <c r="H38" s="2041"/>
      <c r="I38" s="2042"/>
    </row>
    <row r="39" spans="4:9">
      <c r="D39" s="2041"/>
      <c r="E39" s="2042"/>
      <c r="F39" s="2041"/>
      <c r="G39" s="2042"/>
      <c r="H39" s="2041"/>
      <c r="I39" s="2042"/>
    </row>
  </sheetData>
  <phoneticPr fontId="4" type="noConversion"/>
  <pageMargins left="1" right="0.75" top="1" bottom="1" header="0" footer="0"/>
  <pageSetup orientation="landscape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tabColor rgb="FF949494"/>
    <pageSetUpPr fitToPage="1"/>
  </sheetPr>
  <dimension ref="A1:O50"/>
  <sheetViews>
    <sheetView zoomScale="90" zoomScaleNormal="90" workbookViewId="0"/>
  </sheetViews>
  <sheetFormatPr defaultColWidth="8" defaultRowHeight="13.2"/>
  <cols>
    <col min="1" max="1" width="6.6640625" style="2092" customWidth="1"/>
    <col min="2" max="2" width="3.44140625" style="2092" customWidth="1"/>
    <col min="3" max="3" width="44.109375" style="2092" customWidth="1"/>
    <col min="4" max="4" width="5.88671875" style="2092" customWidth="1"/>
    <col min="5" max="5" width="17.6640625" style="2092" customWidth="1"/>
    <col min="6" max="6" width="3.5546875" style="2092" customWidth="1"/>
    <col min="7" max="7" width="17.88671875" style="2092" customWidth="1"/>
    <col min="8" max="8" width="24" style="2092" customWidth="1"/>
    <col min="9" max="9" width="1" style="2091" customWidth="1"/>
    <col min="10" max="13" width="8" style="2092" customWidth="1"/>
    <col min="14" max="14" width="10.33203125" style="2093" customWidth="1"/>
    <col min="15" max="15" width="8" style="2091"/>
    <col min="16" max="16384" width="8" style="2092"/>
  </cols>
  <sheetData>
    <row r="1" spans="1:14">
      <c r="A1" s="2088" t="str">
        <f>COMPANY</f>
        <v>DUKE ENERGY KENTUCKY, INC.</v>
      </c>
      <c r="B1" s="2089"/>
      <c r="C1" s="2089"/>
      <c r="D1" s="2089"/>
      <c r="E1" s="2089"/>
      <c r="F1" s="2089"/>
      <c r="G1" s="2090"/>
      <c r="H1" s="2090"/>
      <c r="N1" s="3166"/>
    </row>
    <row r="2" spans="1:14">
      <c r="A2" s="2088" t="str">
        <f>CASE</f>
        <v>CASE NO. 2018-00261</v>
      </c>
      <c r="B2" s="2089"/>
      <c r="C2" s="2089"/>
      <c r="D2" s="2089"/>
      <c r="E2" s="2089"/>
      <c r="F2" s="2089"/>
      <c r="G2" s="2090"/>
      <c r="H2" s="2090"/>
    </row>
    <row r="3" spans="1:14">
      <c r="A3" s="2088" t="s">
        <v>128</v>
      </c>
      <c r="B3" s="2089"/>
      <c r="C3" s="2089"/>
      <c r="D3" s="2089"/>
      <c r="E3" s="2089"/>
      <c r="F3" s="2089"/>
      <c r="G3" s="2090"/>
      <c r="H3" s="2090"/>
    </row>
    <row r="4" spans="1:14">
      <c r="A4" s="2088" t="str">
        <f>PERIOD</f>
        <v>FOR THE TWELVE MONTHS ENDED NOVEMBER 30, 2018</v>
      </c>
      <c r="B4" s="2089"/>
      <c r="C4" s="2089"/>
      <c r="D4" s="2089"/>
      <c r="E4" s="2089"/>
      <c r="F4" s="2089"/>
      <c r="G4" s="2090"/>
      <c r="H4" s="2090"/>
    </row>
    <row r="5" spans="1:14">
      <c r="G5" s="2094"/>
      <c r="H5" s="2094"/>
    </row>
    <row r="6" spans="1:14">
      <c r="A6" s="2095" t="str">
        <f>DataB</f>
        <v>DATA: "X" BASE PERIOD  "X" FORECASTED PERIOD</v>
      </c>
      <c r="G6" s="2094"/>
      <c r="H6" s="2094" t="s">
        <v>2521</v>
      </c>
    </row>
    <row r="7" spans="1:14">
      <c r="A7" s="2095" t="str">
        <f>Type</f>
        <v xml:space="preserve">TYPE OF FILING:  "X" ORIGINAL   UPDATED    REVISED  </v>
      </c>
      <c r="G7" s="2094"/>
      <c r="H7" s="2094" t="s">
        <v>564</v>
      </c>
    </row>
    <row r="8" spans="1:14">
      <c r="A8" s="2096" t="s">
        <v>129</v>
      </c>
      <c r="G8" s="2094"/>
      <c r="H8" s="2094" t="s">
        <v>566</v>
      </c>
    </row>
    <row r="9" spans="1:14">
      <c r="G9" s="2094"/>
      <c r="H9" s="2094" t="str">
        <f>_Wit8</f>
        <v>R. H. METZLER</v>
      </c>
    </row>
    <row r="10" spans="1:14">
      <c r="A10" s="2097"/>
      <c r="B10" s="2097"/>
      <c r="C10" s="2097"/>
      <c r="D10" s="2097"/>
      <c r="E10" s="2097"/>
      <c r="F10" s="2097"/>
      <c r="G10" s="2097"/>
      <c r="H10" s="2097"/>
      <c r="I10" s="2098"/>
    </row>
    <row r="12" spans="1:14">
      <c r="A12" s="2099" t="s">
        <v>567</v>
      </c>
      <c r="E12" s="2099"/>
      <c r="F12" s="2099"/>
      <c r="G12" s="2099"/>
      <c r="H12" s="2099"/>
      <c r="I12" s="2100"/>
    </row>
    <row r="13" spans="1:14">
      <c r="A13" s="2099" t="s">
        <v>766</v>
      </c>
      <c r="C13" s="2099" t="s">
        <v>741</v>
      </c>
      <c r="D13" s="2099"/>
      <c r="E13" s="2099" t="s">
        <v>740</v>
      </c>
      <c r="F13" s="2099"/>
      <c r="G13" s="2099"/>
      <c r="H13" s="2099" t="s">
        <v>1127</v>
      </c>
      <c r="I13" s="2100"/>
    </row>
    <row r="14" spans="1:14">
      <c r="A14" s="2097"/>
      <c r="B14" s="2097"/>
      <c r="C14" s="2097"/>
      <c r="D14" s="2097"/>
      <c r="E14" s="3167" t="s">
        <v>743</v>
      </c>
      <c r="F14" s="3168"/>
      <c r="G14" s="3168" t="s">
        <v>2948</v>
      </c>
      <c r="H14" s="3168" t="s">
        <v>743</v>
      </c>
      <c r="I14" s="2098"/>
    </row>
    <row r="16" spans="1:14" ht="14.4">
      <c r="A16" s="2082">
        <v>1</v>
      </c>
      <c r="B16" s="2083"/>
      <c r="C16" s="3169" t="s">
        <v>2929</v>
      </c>
      <c r="D16" s="3163"/>
      <c r="E16" s="3163"/>
      <c r="F16" s="3163"/>
      <c r="G16" s="3163"/>
      <c r="H16" s="3163"/>
    </row>
    <row r="17" spans="1:9" ht="14.4">
      <c r="A17" s="2082">
        <v>2</v>
      </c>
      <c r="B17" s="2083"/>
      <c r="C17" s="3170"/>
      <c r="D17" s="3163"/>
      <c r="E17" s="3164"/>
      <c r="F17" s="3163"/>
      <c r="G17" s="3163"/>
      <c r="H17" s="3164"/>
    </row>
    <row r="18" spans="1:9" ht="14.4">
      <c r="A18" s="2082">
        <v>3</v>
      </c>
      <c r="B18" s="2083"/>
      <c r="C18" s="3169" t="s">
        <v>2930</v>
      </c>
      <c r="D18" s="3163"/>
      <c r="E18" s="3165"/>
      <c r="F18" s="3163"/>
      <c r="G18" s="3163"/>
      <c r="H18" s="3164"/>
    </row>
    <row r="19" spans="1:9" ht="14.4">
      <c r="A19" s="2082">
        <v>4</v>
      </c>
      <c r="B19" s="2083"/>
      <c r="C19" s="3171" t="s">
        <v>2931</v>
      </c>
      <c r="D19" s="3163"/>
      <c r="E19" s="3462">
        <v>6820083</v>
      </c>
      <c r="F19" s="3172"/>
      <c r="G19" s="3462">
        <v>281759</v>
      </c>
      <c r="H19" s="3462">
        <v>7101843</v>
      </c>
    </row>
    <row r="20" spans="1:9" ht="14.4">
      <c r="A20" s="2082">
        <v>5</v>
      </c>
      <c r="B20" s="2083"/>
      <c r="C20" s="3171" t="s">
        <v>2932</v>
      </c>
      <c r="D20" s="3163"/>
      <c r="E20" s="3462">
        <v>26786419</v>
      </c>
      <c r="F20" s="3463"/>
      <c r="G20" s="3464">
        <v>1660978</v>
      </c>
      <c r="H20" s="3462">
        <v>28447396</v>
      </c>
    </row>
    <row r="21" spans="1:9" ht="14.4">
      <c r="A21" s="2082">
        <v>6</v>
      </c>
      <c r="B21" s="2083"/>
      <c r="C21" s="3171" t="s">
        <v>2933</v>
      </c>
      <c r="D21" s="3163"/>
      <c r="E21" s="3173">
        <v>33606502</v>
      </c>
      <c r="F21" s="3172"/>
      <c r="G21" s="3173">
        <v>1942737</v>
      </c>
      <c r="H21" s="3173">
        <v>35549239</v>
      </c>
    </row>
    <row r="22" spans="1:9" ht="14.4">
      <c r="A22" s="2082"/>
      <c r="B22" s="2083"/>
      <c r="C22" s="3171"/>
      <c r="D22" s="3163"/>
      <c r="E22" s="3184"/>
      <c r="F22" s="3172"/>
      <c r="G22" s="3184"/>
      <c r="H22" s="3184"/>
    </row>
    <row r="23" spans="1:9" ht="15" customHeight="1">
      <c r="A23" s="2082"/>
      <c r="F23" s="2086"/>
      <c r="G23" s="2083"/>
      <c r="H23" s="2083"/>
      <c r="I23" s="2101"/>
    </row>
    <row r="24" spans="1:9" ht="15" customHeight="1">
      <c r="A24" s="3170" t="s">
        <v>2934</v>
      </c>
      <c r="B24" s="3175"/>
      <c r="C24" s="3170"/>
      <c r="D24" s="3170"/>
      <c r="E24" s="3176"/>
      <c r="F24" s="3170"/>
      <c r="G24" s="3176"/>
      <c r="H24" s="2083"/>
      <c r="I24" s="2101"/>
    </row>
    <row r="25" spans="1:9" ht="15" customHeight="1">
      <c r="A25" s="3177" t="s">
        <v>2949</v>
      </c>
      <c r="B25" s="3175"/>
      <c r="C25" s="3170"/>
      <c r="D25" s="3170"/>
      <c r="E25" s="3176"/>
      <c r="F25" s="3170"/>
      <c r="G25" s="3176"/>
    </row>
    <row r="26" spans="1:9" ht="15" customHeight="1">
      <c r="A26" s="3178" t="s">
        <v>2950</v>
      </c>
      <c r="B26" s="3175"/>
      <c r="C26" s="3170"/>
      <c r="D26" s="3170"/>
      <c r="E26" s="3176"/>
      <c r="F26" s="3170"/>
      <c r="G26" s="3176"/>
    </row>
    <row r="27" spans="1:9" ht="15" customHeight="1">
      <c r="A27" s="3179"/>
      <c r="B27" s="3175"/>
      <c r="C27" s="3170"/>
      <c r="D27" s="3170"/>
      <c r="E27" s="3176"/>
      <c r="F27" s="3170"/>
      <c r="G27" s="3176"/>
    </row>
    <row r="28" spans="1:9" ht="15" customHeight="1">
      <c r="A28" s="3180" t="s">
        <v>2935</v>
      </c>
      <c r="B28" s="3181"/>
      <c r="C28" s="3175"/>
      <c r="D28" s="3170"/>
      <c r="E28" s="3182"/>
      <c r="F28" s="3170"/>
      <c r="G28" s="3182"/>
    </row>
    <row r="29" spans="1:9" ht="15" customHeight="1">
      <c r="A29" s="3183" t="s">
        <v>2936</v>
      </c>
      <c r="B29" s="3181"/>
      <c r="C29" s="3170"/>
      <c r="D29" s="3170"/>
      <c r="E29" s="3176"/>
      <c r="F29" s="3170"/>
      <c r="G29" s="3176"/>
    </row>
    <row r="30" spans="1:9" ht="15" customHeight="1">
      <c r="A30" s="3183" t="s">
        <v>2937</v>
      </c>
      <c r="B30" s="3181"/>
      <c r="C30" s="3170"/>
      <c r="D30" s="3170"/>
      <c r="E30" s="3176"/>
      <c r="F30" s="3170"/>
      <c r="G30" s="3176"/>
    </row>
    <row r="31" spans="1:9" ht="15" customHeight="1">
      <c r="A31" s="3183" t="s">
        <v>2938</v>
      </c>
      <c r="B31" s="3181"/>
      <c r="C31" s="3170"/>
      <c r="D31" s="3170"/>
      <c r="E31" s="3170"/>
      <c r="F31" s="3174"/>
      <c r="G31" s="3170"/>
    </row>
    <row r="32" spans="1:9" ht="15" customHeight="1">
      <c r="A32" s="3183" t="s">
        <v>2939</v>
      </c>
      <c r="B32" s="3181"/>
      <c r="C32" s="3170"/>
      <c r="D32" s="3170"/>
      <c r="E32" s="3170"/>
      <c r="F32" s="3170"/>
      <c r="G32" s="3170"/>
    </row>
    <row r="33" spans="1:7" ht="15" customHeight="1">
      <c r="A33" s="3183" t="s">
        <v>2940</v>
      </c>
      <c r="B33" s="3181"/>
      <c r="C33" s="3170"/>
      <c r="D33" s="3170"/>
      <c r="E33" s="3170"/>
      <c r="F33" s="3170"/>
      <c r="G33" s="3170"/>
    </row>
    <row r="34" spans="1:7" ht="15" customHeight="1">
      <c r="A34" s="3183" t="s">
        <v>2941</v>
      </c>
      <c r="B34" s="3181"/>
      <c r="C34" s="3170"/>
      <c r="D34" s="3170"/>
      <c r="E34" s="3170"/>
      <c r="F34" s="3170"/>
      <c r="G34" s="3170"/>
    </row>
    <row r="35" spans="1:7" ht="15" customHeight="1">
      <c r="A35" s="3183" t="s">
        <v>2942</v>
      </c>
      <c r="B35" s="3181"/>
      <c r="C35" s="3170"/>
      <c r="D35" s="3170"/>
      <c r="E35" s="3170"/>
      <c r="F35" s="3170"/>
      <c r="G35" s="3170"/>
    </row>
    <row r="36" spans="1:7" ht="15" customHeight="1">
      <c r="A36" s="3183" t="s">
        <v>2943</v>
      </c>
      <c r="B36" s="3181"/>
      <c r="C36" s="3170"/>
      <c r="D36" s="3170"/>
      <c r="E36" s="3170"/>
      <c r="F36" s="3170"/>
      <c r="G36" s="3170"/>
    </row>
    <row r="37" spans="1:7" ht="15" customHeight="1">
      <c r="A37" s="3181" t="s">
        <v>2944</v>
      </c>
      <c r="B37" s="3170"/>
      <c r="C37" s="3170"/>
      <c r="D37" s="3170"/>
      <c r="E37" s="3170"/>
      <c r="F37" s="3170"/>
      <c r="G37" s="3170"/>
    </row>
    <row r="38" spans="1:7" ht="15" customHeight="1">
      <c r="A38" s="3181" t="s">
        <v>2945</v>
      </c>
      <c r="B38" s="3170"/>
      <c r="C38" s="3170"/>
      <c r="D38" s="3170"/>
      <c r="E38" s="3170"/>
      <c r="F38" s="3170"/>
      <c r="G38" s="3170"/>
    </row>
    <row r="39" spans="1:7" ht="15" customHeight="1">
      <c r="A39" s="3183" t="s">
        <v>2946</v>
      </c>
      <c r="B39" s="3181"/>
      <c r="C39" s="3170"/>
      <c r="D39" s="3170"/>
      <c r="E39" s="3170"/>
      <c r="F39" s="3170"/>
      <c r="G39" s="3170"/>
    </row>
    <row r="40" spans="1:7" ht="15" customHeight="1">
      <c r="A40" s="3181"/>
      <c r="B40" s="3181"/>
      <c r="C40" s="3170"/>
      <c r="D40" s="3170"/>
      <c r="E40" s="3170"/>
      <c r="F40" s="3170"/>
      <c r="G40" s="3170"/>
    </row>
    <row r="41" spans="1:7" ht="15" customHeight="1">
      <c r="A41" s="3181" t="s">
        <v>2947</v>
      </c>
      <c r="B41" s="3181"/>
      <c r="C41" s="3170"/>
      <c r="D41" s="3170"/>
      <c r="E41" s="3170"/>
      <c r="F41" s="3170"/>
      <c r="G41" s="3170"/>
    </row>
    <row r="42" spans="1:7" ht="15" customHeight="1">
      <c r="B42" s="2087"/>
      <c r="C42" s="1610"/>
      <c r="D42" s="2084"/>
      <c r="E42" s="2085"/>
    </row>
    <row r="43" spans="1:7" ht="15" customHeight="1">
      <c r="B43" s="2083"/>
      <c r="C43" s="1610"/>
      <c r="D43" s="2084"/>
      <c r="E43" s="2085"/>
    </row>
    <row r="44" spans="1:7" ht="15" customHeight="1">
      <c r="C44" s="2096"/>
      <c r="D44" s="2102"/>
    </row>
    <row r="45" spans="1:7" ht="15" customHeight="1"/>
    <row r="46" spans="1:7" ht="15" customHeight="1"/>
    <row r="47" spans="1:7" ht="15" customHeight="1"/>
    <row r="48" spans="1:7" ht="15" customHeight="1"/>
    <row r="49" ht="15" customHeight="1"/>
    <row r="50" ht="15" customHeight="1"/>
  </sheetData>
  <phoneticPr fontId="4" type="noConversion"/>
  <pageMargins left="1" right="0.75" top="0.75" bottom="0.75" header="0" footer="0"/>
  <pageSetup scale="70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tabColor rgb="FFFA9500"/>
    <pageSetUpPr fitToPage="1"/>
  </sheetPr>
  <dimension ref="A1:BH328"/>
  <sheetViews>
    <sheetView zoomScale="90" zoomScaleNormal="90" workbookViewId="0"/>
  </sheetViews>
  <sheetFormatPr defaultColWidth="8" defaultRowHeight="13.2"/>
  <cols>
    <col min="1" max="1" width="7.33203125" style="2628" customWidth="1"/>
    <col min="2" max="2" width="53.88671875" style="2628" customWidth="1"/>
    <col min="3" max="3" width="3.109375" style="2628" customWidth="1"/>
    <col min="4" max="4" width="7.6640625" style="2628" customWidth="1"/>
    <col min="5" max="5" width="2.33203125" style="2628" customWidth="1"/>
    <col min="6" max="6" width="13.44140625" style="2628" customWidth="1"/>
    <col min="7" max="7" width="2.109375" style="2628" customWidth="1"/>
    <col min="8" max="8" width="12.6640625" style="2628" customWidth="1"/>
    <col min="9" max="9" width="31.88671875" style="2628" customWidth="1"/>
    <col min="10" max="10" width="7.33203125" style="2628" customWidth="1"/>
    <col min="11" max="11" width="8.6640625" style="2628" customWidth="1"/>
    <col min="12" max="12" width="31.33203125" style="2628" customWidth="1"/>
    <col min="13" max="25" width="11.44140625" style="2628" customWidth="1"/>
    <col min="26" max="27" width="13" style="2628" customWidth="1"/>
    <col min="28" max="28" width="7" style="2628" customWidth="1"/>
    <col min="29" max="29" width="7.6640625" style="2628" customWidth="1"/>
    <col min="30" max="30" width="45.44140625" style="2628" customWidth="1"/>
    <col min="31" max="31" width="4.33203125" style="2628" customWidth="1"/>
    <col min="32" max="32" width="16.109375" style="2628" customWidth="1"/>
    <col min="33" max="33" width="2.6640625" style="2628" customWidth="1"/>
    <col min="34" max="34" width="19.44140625" style="2628" customWidth="1"/>
    <col min="35" max="35" width="14.109375" style="2628" customWidth="1"/>
    <col min="36" max="36" width="6.6640625" style="2628" customWidth="1"/>
    <col min="37" max="37" width="44.109375" style="2628" customWidth="1"/>
    <col min="38" max="38" width="19.6640625" style="2628" customWidth="1"/>
    <col min="39" max="39" width="14.44140625" style="2628" customWidth="1"/>
    <col min="40" max="40" width="19" style="2628" customWidth="1"/>
    <col min="41" max="41" width="11.88671875" style="2628" customWidth="1"/>
    <col min="42" max="16384" width="8" style="2628"/>
  </cols>
  <sheetData>
    <row r="1" spans="1:9">
      <c r="A1" s="2626" t="str">
        <f>COMPANY</f>
        <v>DUKE ENERGY KENTUCKY, INC.</v>
      </c>
      <c r="B1" s="2627"/>
      <c r="C1" s="2627"/>
      <c r="D1" s="2627"/>
      <c r="E1" s="2627"/>
      <c r="F1" s="2627"/>
      <c r="G1" s="2627"/>
      <c r="H1" s="2627"/>
      <c r="I1" s="2627"/>
    </row>
    <row r="2" spans="1:9">
      <c r="A2" s="2626" t="str">
        <f>CASE</f>
        <v>CASE NO. 2018-00261</v>
      </c>
      <c r="B2" s="2627"/>
      <c r="C2" s="2627"/>
      <c r="D2" s="2627"/>
      <c r="E2" s="2627"/>
      <c r="F2" s="2627"/>
      <c r="G2" s="2627"/>
      <c r="H2" s="2627"/>
      <c r="I2" s="2627"/>
    </row>
    <row r="3" spans="1:9">
      <c r="A3" s="2626" t="s">
        <v>1313</v>
      </c>
      <c r="B3" s="2627"/>
      <c r="C3" s="2627"/>
      <c r="D3" s="2627"/>
      <c r="E3" s="2627"/>
      <c r="F3" s="2627"/>
      <c r="G3" s="2627"/>
      <c r="H3" s="2627"/>
      <c r="I3" s="2627"/>
    </row>
    <row r="4" spans="1:9">
      <c r="A4" s="2626" t="str">
        <f>LOGO!B8</f>
        <v>FOR THE TWELVE MONTHS ENDED MARCH 31, 2020</v>
      </c>
      <c r="B4" s="2627"/>
      <c r="C4" s="2627"/>
      <c r="D4" s="2627"/>
      <c r="E4" s="2627"/>
      <c r="F4" s="2627"/>
      <c r="G4" s="2627"/>
      <c r="H4" s="2627"/>
      <c r="I4" s="2627"/>
    </row>
    <row r="5" spans="1:9">
      <c r="A5" s="2627"/>
      <c r="B5" s="2627"/>
      <c r="C5" s="2627"/>
      <c r="D5" s="2627"/>
      <c r="E5" s="2627"/>
      <c r="F5" s="2627"/>
      <c r="G5" s="2627"/>
      <c r="H5" s="2627"/>
      <c r="I5" s="2627"/>
    </row>
    <row r="6" spans="1:9">
      <c r="A6" s="2629" t="str">
        <f>Data</f>
        <v>DATA: "X" BASE PERIOD   FORECASTED PERIOD</v>
      </c>
      <c r="I6" s="2630" t="s">
        <v>1314</v>
      </c>
    </row>
    <row r="7" spans="1:9">
      <c r="A7" s="2629" t="str">
        <f>Type</f>
        <v xml:space="preserve">TYPE OF FILING:  "X" ORIGINAL   UPDATED    REVISED  </v>
      </c>
      <c r="I7" s="2630" t="s">
        <v>2092</v>
      </c>
    </row>
    <row r="8" spans="1:9">
      <c r="A8" s="2630" t="s">
        <v>611</v>
      </c>
      <c r="I8" s="2630" t="s">
        <v>566</v>
      </c>
    </row>
    <row r="9" spans="1:9">
      <c r="I9" s="2630" t="str">
        <f>LOGO!G6</f>
        <v>S. E. LAWLER</v>
      </c>
    </row>
    <row r="10" spans="1:9">
      <c r="A10" s="2631"/>
      <c r="B10" s="2631"/>
      <c r="C10" s="2631"/>
      <c r="D10" s="2631"/>
      <c r="E10" s="2631"/>
      <c r="F10" s="2631"/>
      <c r="G10" s="2631"/>
      <c r="H10" s="2631"/>
      <c r="I10" s="2631"/>
    </row>
    <row r="11" spans="1:9">
      <c r="I11" s="2632" t="s">
        <v>1315</v>
      </c>
    </row>
    <row r="12" spans="1:9">
      <c r="A12" s="2632" t="s">
        <v>567</v>
      </c>
      <c r="I12" s="2632" t="s">
        <v>1316</v>
      </c>
    </row>
    <row r="13" spans="1:9">
      <c r="A13" s="2632" t="s">
        <v>2169</v>
      </c>
      <c r="B13" s="2630" t="s">
        <v>1131</v>
      </c>
      <c r="I13" s="2632" t="s">
        <v>1317</v>
      </c>
    </row>
    <row r="14" spans="1:9">
      <c r="A14" s="2631"/>
      <c r="B14" s="2631"/>
      <c r="C14" s="2631"/>
      <c r="D14" s="2631"/>
      <c r="E14" s="2631"/>
      <c r="F14" s="2631"/>
      <c r="G14" s="2631"/>
      <c r="H14" s="2631"/>
      <c r="I14" s="2633" t="s">
        <v>687</v>
      </c>
    </row>
    <row r="16" spans="1:9">
      <c r="A16" s="2632">
        <v>1</v>
      </c>
      <c r="B16" s="2630" t="s">
        <v>1318</v>
      </c>
      <c r="D16" s="2634"/>
      <c r="E16" s="2634"/>
      <c r="I16" s="2635">
        <v>1</v>
      </c>
    </row>
    <row r="17" spans="1:12">
      <c r="A17" s="2636">
        <v>2</v>
      </c>
      <c r="I17" s="2637"/>
    </row>
    <row r="18" spans="1:12">
      <c r="A18" s="2636">
        <v>3</v>
      </c>
      <c r="I18" s="2637"/>
    </row>
    <row r="19" spans="1:12">
      <c r="A19" s="2632">
        <v>4</v>
      </c>
      <c r="B19" s="2630" t="s">
        <v>2781</v>
      </c>
      <c r="E19" s="2637"/>
      <c r="F19" s="2635">
        <f>LOGO!C21</f>
        <v>2E-3</v>
      </c>
      <c r="I19" s="2637"/>
    </row>
    <row r="20" spans="1:12">
      <c r="A20" s="2636">
        <v>5</v>
      </c>
      <c r="B20" s="2632" t="s">
        <v>1319</v>
      </c>
      <c r="D20" s="2638"/>
      <c r="E20" s="2637"/>
      <c r="F20" s="2638"/>
      <c r="I20" s="2639">
        <f>F19</f>
        <v>2E-3</v>
      </c>
    </row>
    <row r="21" spans="1:12">
      <c r="A21" s="2636">
        <v>6</v>
      </c>
      <c r="D21" s="2640"/>
      <c r="E21" s="2640"/>
      <c r="F21" s="2640"/>
      <c r="I21" s="2640"/>
    </row>
    <row r="22" spans="1:12">
      <c r="A22" s="2632">
        <v>7</v>
      </c>
      <c r="B22" s="2630" t="s">
        <v>2782</v>
      </c>
      <c r="D22" s="2641"/>
      <c r="E22" s="2641"/>
      <c r="F22" s="2634"/>
      <c r="I22" s="2635">
        <f>ROUND(+I16-I20,6)</f>
        <v>0.998</v>
      </c>
    </row>
    <row r="23" spans="1:12">
      <c r="A23" s="2636">
        <v>8</v>
      </c>
      <c r="I23" s="2634"/>
    </row>
    <row r="24" spans="1:12">
      <c r="A24" s="2636">
        <v>9</v>
      </c>
      <c r="B24" s="2650" t="s">
        <v>1320</v>
      </c>
      <c r="C24" s="2650"/>
      <c r="D24" s="2650"/>
      <c r="E24" s="2650"/>
      <c r="F24" s="2650"/>
      <c r="G24" s="2650"/>
      <c r="H24" s="2650"/>
      <c r="I24" s="2658"/>
      <c r="J24" s="2650"/>
      <c r="K24" s="3131"/>
      <c r="L24" s="3131"/>
    </row>
    <row r="25" spans="1:12">
      <c r="A25" s="2632">
        <v>10</v>
      </c>
      <c r="B25" s="2650" t="str">
        <f>"      ("&amp;TEXT(SIT,"0.000%")&amp;" * "&amp;TEXT(I22,"##.####%")&amp;" * "&amp;TEXT(APPORT,"##.####%")&amp;")"</f>
        <v xml:space="preserve">      (5.000% * 99.8% * 99.37%)</v>
      </c>
      <c r="C25" s="2650"/>
      <c r="D25" s="2650"/>
      <c r="E25" s="2650"/>
      <c r="F25" s="2650"/>
      <c r="G25" s="2650"/>
      <c r="H25" s="2650"/>
      <c r="I25" s="2660">
        <f>ROUND(SIT*SCH_H!I22*APPORT,6)</f>
        <v>4.9585999999999998E-2</v>
      </c>
      <c r="J25" s="2650"/>
      <c r="K25" s="2650"/>
      <c r="L25" s="2650"/>
    </row>
    <row r="26" spans="1:12">
      <c r="A26" s="2636">
        <v>11</v>
      </c>
      <c r="I26" s="2634"/>
    </row>
    <row r="27" spans="1:12">
      <c r="A27" s="2636">
        <v>12</v>
      </c>
      <c r="B27" s="2630" t="s">
        <v>2783</v>
      </c>
      <c r="I27" s="2635">
        <f>I22-I25</f>
        <v>0.94841399999999998</v>
      </c>
    </row>
    <row r="28" spans="1:12">
      <c r="A28" s="2632">
        <v>13</v>
      </c>
      <c r="I28" s="2634"/>
    </row>
    <row r="29" spans="1:12">
      <c r="A29" s="2636">
        <v>14</v>
      </c>
      <c r="B29" s="2630" t="str">
        <f>"        Federal Income Tax ("&amp;TEXT(FIT,"##%")&amp;" x "&amp;TEXT(I27,"##.####%")&amp;")"</f>
        <v xml:space="preserve">        Federal Income Tax (21% x 94.8414%)</v>
      </c>
      <c r="C29" s="2637"/>
      <c r="D29" s="2642"/>
      <c r="E29" s="2642"/>
      <c r="F29" s="2637"/>
      <c r="G29" s="2630"/>
      <c r="H29" s="2630"/>
      <c r="I29" s="2639">
        <f>ROUND(FIT*SCH_H!I27,6)</f>
        <v>0.19916700000000001</v>
      </c>
    </row>
    <row r="30" spans="1:12">
      <c r="A30" s="2636">
        <v>15</v>
      </c>
      <c r="C30" s="2637"/>
      <c r="F30" s="2634"/>
      <c r="I30" s="2640"/>
    </row>
    <row r="31" spans="1:12">
      <c r="A31" s="2632">
        <v>16</v>
      </c>
      <c r="B31" s="2630" t="s">
        <v>2784</v>
      </c>
      <c r="D31" s="2641"/>
      <c r="E31" s="2641"/>
      <c r="I31" s="2643">
        <f>ROUND(+I27-I29,6)</f>
        <v>0.749247</v>
      </c>
    </row>
    <row r="32" spans="1:12">
      <c r="A32" s="2636">
        <v>17</v>
      </c>
      <c r="I32" s="2642"/>
    </row>
    <row r="33" spans="1:60">
      <c r="A33" s="2636">
        <v>18</v>
      </c>
      <c r="B33" s="2630" t="str">
        <f>"   Gross Revenue Conversion Factor ("&amp;TEXT(I16,"####%")&amp;" / "&amp;TEXT(I31,"##.####%")&amp;")"</f>
        <v xml:space="preserve">   Gross Revenue Conversion Factor (100% / 74.9247%)</v>
      </c>
      <c r="I33" s="2644">
        <f>ROUND((I16/I31),6)</f>
        <v>1.334673</v>
      </c>
    </row>
    <row r="34" spans="1:60">
      <c r="A34" s="2632"/>
      <c r="B34" s="2642"/>
      <c r="C34" s="2637"/>
      <c r="D34" s="2630"/>
      <c r="E34" s="2630"/>
    </row>
    <row r="35" spans="1:60">
      <c r="A35" s="2636"/>
      <c r="I35" s="2642"/>
    </row>
    <row r="36" spans="1:60">
      <c r="A36" s="2630"/>
    </row>
    <row r="37" spans="1:60">
      <c r="A37" s="2601"/>
      <c r="B37" s="2601"/>
      <c r="C37" s="2601"/>
      <c r="D37" s="2601"/>
      <c r="E37" s="2601"/>
      <c r="F37" s="2601"/>
      <c r="G37" s="2601"/>
      <c r="H37" s="2601"/>
      <c r="I37" s="2601"/>
      <c r="J37" s="2645"/>
      <c r="K37" s="2646"/>
      <c r="L37" s="2646"/>
      <c r="M37" s="2647"/>
      <c r="N37" s="2647"/>
      <c r="O37" s="2646"/>
      <c r="P37" s="2646"/>
      <c r="Q37" s="2646"/>
      <c r="R37" s="2646"/>
      <c r="S37" s="2646"/>
      <c r="T37" s="2646"/>
      <c r="U37" s="2646"/>
      <c r="V37" s="2646"/>
      <c r="W37" s="2646"/>
      <c r="X37" s="2646"/>
      <c r="Y37" s="2646"/>
      <c r="Z37" s="2646"/>
      <c r="AA37" s="2646"/>
      <c r="AB37" s="2646"/>
      <c r="AC37" s="2646"/>
      <c r="AD37" s="2646"/>
      <c r="AE37" s="2646"/>
      <c r="AF37" s="2646"/>
      <c r="AG37" s="2646"/>
      <c r="AH37" s="2646"/>
      <c r="AI37" s="2646"/>
      <c r="AJ37" s="2646"/>
      <c r="AK37" s="2646"/>
      <c r="AL37" s="2646"/>
      <c r="AM37" s="2646"/>
      <c r="AN37" s="2646"/>
      <c r="AO37" s="2646"/>
      <c r="AP37" s="2646"/>
      <c r="AQ37" s="2646"/>
      <c r="AR37" s="2646"/>
      <c r="AS37" s="2646"/>
      <c r="AT37" s="2646"/>
      <c r="AU37" s="2646"/>
      <c r="AV37" s="2646"/>
      <c r="AW37" s="2646"/>
      <c r="AX37" s="2646"/>
      <c r="AY37" s="2646"/>
      <c r="AZ37" s="2646"/>
      <c r="BA37" s="2646"/>
      <c r="BB37" s="2646"/>
      <c r="BC37" s="2646"/>
      <c r="BD37" s="2646"/>
      <c r="BE37" s="2646"/>
      <c r="BF37" s="2646"/>
      <c r="BG37" s="2646"/>
      <c r="BH37" s="2646"/>
    </row>
    <row r="38" spans="1:60">
      <c r="A38" s="2648" t="str">
        <f>COMPANY</f>
        <v>DUKE ENERGY KENTUCKY, INC.</v>
      </c>
      <c r="B38" s="2649"/>
      <c r="C38" s="2649"/>
      <c r="D38" s="2649"/>
      <c r="E38" s="2649"/>
      <c r="F38" s="2649"/>
      <c r="G38" s="2649"/>
      <c r="H38" s="2649"/>
      <c r="I38" s="2649"/>
      <c r="J38" s="2645"/>
      <c r="K38" s="2646"/>
      <c r="L38" s="2646"/>
      <c r="M38" s="2647"/>
      <c r="N38" s="2647"/>
      <c r="O38" s="2646"/>
      <c r="P38" s="2646"/>
      <c r="Q38" s="2646"/>
      <c r="R38" s="2646"/>
      <c r="S38" s="2646"/>
      <c r="T38" s="2646"/>
      <c r="U38" s="2646"/>
      <c r="V38" s="2646"/>
      <c r="W38" s="2646"/>
      <c r="X38" s="2646"/>
      <c r="Y38" s="2646"/>
      <c r="Z38" s="2646"/>
      <c r="AA38" s="2646"/>
      <c r="AB38" s="2646"/>
      <c r="AC38" s="2646"/>
      <c r="AD38" s="2646"/>
      <c r="AE38" s="2646"/>
      <c r="AF38" s="2646"/>
      <c r="AG38" s="2646"/>
      <c r="AH38" s="2646"/>
      <c r="AI38" s="2646"/>
      <c r="AJ38" s="2646"/>
      <c r="AK38" s="2646"/>
      <c r="AL38" s="2646"/>
      <c r="AM38" s="2646"/>
      <c r="AN38" s="2646"/>
      <c r="AO38" s="2646"/>
      <c r="AP38" s="2646"/>
      <c r="AQ38" s="2646"/>
      <c r="AR38" s="2646"/>
      <c r="AS38" s="2646"/>
      <c r="AT38" s="2646"/>
      <c r="AU38" s="2646"/>
      <c r="AV38" s="2646"/>
      <c r="AW38" s="2646"/>
      <c r="AX38" s="2646"/>
      <c r="AY38" s="2646"/>
      <c r="AZ38" s="2646"/>
      <c r="BA38" s="2646"/>
      <c r="BB38" s="2646"/>
      <c r="BC38" s="2646"/>
      <c r="BD38" s="2646"/>
      <c r="BE38" s="2646"/>
      <c r="BF38" s="2646"/>
      <c r="BG38" s="2646"/>
      <c r="BH38" s="2646"/>
    </row>
    <row r="39" spans="1:60">
      <c r="A39" s="2648" t="str">
        <f>CASE</f>
        <v>CASE NO. 2018-00261</v>
      </c>
      <c r="B39" s="2649"/>
      <c r="C39" s="2649"/>
      <c r="D39" s="2649"/>
      <c r="E39" s="2649"/>
      <c r="F39" s="2649"/>
      <c r="G39" s="2649"/>
      <c r="H39" s="2649"/>
      <c r="I39" s="2649"/>
      <c r="J39" s="2645"/>
      <c r="K39" s="2646"/>
      <c r="L39" s="2646"/>
      <c r="M39" s="2647"/>
      <c r="N39" s="2647"/>
      <c r="O39" s="2646"/>
      <c r="P39" s="2646"/>
      <c r="Q39" s="2646"/>
      <c r="R39" s="2646"/>
      <c r="S39" s="2646"/>
      <c r="T39" s="2646"/>
      <c r="U39" s="2646"/>
      <c r="V39" s="2646"/>
      <c r="W39" s="2646"/>
      <c r="X39" s="2646"/>
      <c r="Y39" s="2646"/>
      <c r="Z39" s="2646"/>
      <c r="AA39" s="2646"/>
      <c r="AB39" s="2646"/>
      <c r="AC39" s="2646"/>
      <c r="AD39" s="2646"/>
      <c r="AE39" s="2646"/>
      <c r="AF39" s="2646"/>
      <c r="AG39" s="2646"/>
      <c r="AH39" s="2646"/>
      <c r="AI39" s="2646"/>
      <c r="AJ39" s="2646"/>
      <c r="AK39" s="2646"/>
      <c r="AL39" s="2646"/>
      <c r="AM39" s="2646"/>
      <c r="AN39" s="2646"/>
      <c r="AO39" s="2646"/>
      <c r="AP39" s="2646"/>
      <c r="AQ39" s="2646"/>
      <c r="AR39" s="2646"/>
      <c r="AS39" s="2646"/>
      <c r="AT39" s="2646"/>
      <c r="AU39" s="2646"/>
      <c r="AV39" s="2646"/>
      <c r="AW39" s="2646"/>
      <c r="AX39" s="2646"/>
      <c r="AY39" s="2646"/>
      <c r="AZ39" s="2646"/>
      <c r="BA39" s="2646"/>
      <c r="BB39" s="2646"/>
      <c r="BC39" s="2646"/>
      <c r="BD39" s="2646"/>
      <c r="BE39" s="2646"/>
      <c r="BF39" s="2646"/>
      <c r="BG39" s="2646"/>
      <c r="BH39" s="2646"/>
    </row>
    <row r="40" spans="1:60">
      <c r="A40" s="2648" t="s">
        <v>1313</v>
      </c>
      <c r="B40" s="2649"/>
      <c r="C40" s="2649"/>
      <c r="D40" s="2649"/>
      <c r="E40" s="2649"/>
      <c r="F40" s="2649"/>
      <c r="G40" s="2649"/>
      <c r="H40" s="2649"/>
      <c r="I40" s="2649"/>
      <c r="J40" s="2645"/>
      <c r="K40" s="2646"/>
      <c r="L40" s="2646"/>
      <c r="M40" s="2647"/>
      <c r="N40" s="2647"/>
      <c r="O40" s="2646"/>
      <c r="P40" s="2646"/>
      <c r="Q40" s="2646"/>
      <c r="R40" s="2646"/>
      <c r="S40" s="2646"/>
      <c r="T40" s="2646"/>
      <c r="U40" s="2646"/>
      <c r="V40" s="2646"/>
      <c r="W40" s="2646"/>
      <c r="X40" s="2646"/>
      <c r="Y40" s="2646"/>
      <c r="Z40" s="2646"/>
      <c r="AA40" s="2646"/>
      <c r="AB40" s="2646"/>
      <c r="AC40" s="2646"/>
      <c r="AD40" s="2646"/>
      <c r="AE40" s="2646"/>
      <c r="AF40" s="2646"/>
      <c r="AG40" s="2646"/>
      <c r="AH40" s="2646"/>
      <c r="AI40" s="2646"/>
      <c r="AJ40" s="2646"/>
      <c r="AK40" s="2646"/>
      <c r="AL40" s="2646"/>
      <c r="AM40" s="2646"/>
      <c r="AN40" s="2646"/>
      <c r="AO40" s="2646"/>
      <c r="AP40" s="2646"/>
      <c r="AQ40" s="2646"/>
      <c r="AR40" s="2646"/>
      <c r="AS40" s="2646"/>
      <c r="AT40" s="2646"/>
      <c r="AU40" s="2646"/>
      <c r="AV40" s="2646"/>
      <c r="AW40" s="2646"/>
      <c r="AX40" s="2646"/>
      <c r="AY40" s="2646"/>
      <c r="AZ40" s="2646"/>
      <c r="BA40" s="2646"/>
      <c r="BB40" s="2646"/>
      <c r="BC40" s="2646"/>
      <c r="BD40" s="2646"/>
      <c r="BE40" s="2646"/>
      <c r="BF40" s="2646"/>
      <c r="BG40" s="2646"/>
      <c r="BH40" s="2646"/>
    </row>
    <row r="41" spans="1:60">
      <c r="A41" s="2648" t="str">
        <f>PeriodF</f>
        <v>FOR THE TWELVE MONTHS ENDED MARCH 31, 2020</v>
      </c>
      <c r="B41" s="2649"/>
      <c r="C41" s="2649"/>
      <c r="D41" s="2649"/>
      <c r="E41" s="2649"/>
      <c r="F41" s="2649"/>
      <c r="G41" s="2649"/>
      <c r="H41" s="2649"/>
      <c r="I41" s="2649"/>
      <c r="J41" s="2645"/>
      <c r="K41" s="2646"/>
      <c r="L41" s="2646"/>
      <c r="M41" s="2647"/>
      <c r="N41" s="2647"/>
      <c r="O41" s="2646"/>
      <c r="P41" s="2646"/>
      <c r="Q41" s="2646"/>
      <c r="R41" s="2646"/>
      <c r="S41" s="2646"/>
      <c r="T41" s="2646"/>
      <c r="U41" s="2646"/>
      <c r="V41" s="2646"/>
      <c r="W41" s="2646"/>
      <c r="X41" s="2646"/>
      <c r="Y41" s="2646"/>
      <c r="Z41" s="2646"/>
      <c r="AA41" s="2646"/>
      <c r="AB41" s="2646"/>
      <c r="AC41" s="2646"/>
      <c r="AD41" s="2646"/>
      <c r="AE41" s="2646"/>
      <c r="AF41" s="2646"/>
      <c r="AG41" s="2646"/>
      <c r="AH41" s="2646"/>
      <c r="AI41" s="2646"/>
      <c r="AJ41" s="2646"/>
      <c r="AK41" s="2646"/>
      <c r="AL41" s="2646"/>
      <c r="AM41" s="2646"/>
      <c r="AN41" s="2646"/>
      <c r="AO41" s="2646"/>
      <c r="AP41" s="2646"/>
      <c r="AQ41" s="2646"/>
      <c r="AR41" s="2646"/>
      <c r="AS41" s="2646"/>
      <c r="AT41" s="2646"/>
      <c r="AU41" s="2646"/>
      <c r="AV41" s="2646"/>
      <c r="AW41" s="2646"/>
      <c r="AX41" s="2646"/>
      <c r="AY41" s="2646"/>
      <c r="AZ41" s="2646"/>
      <c r="BA41" s="2646"/>
      <c r="BB41" s="2646"/>
      <c r="BC41" s="2646"/>
      <c r="BD41" s="2646"/>
      <c r="BE41" s="2646"/>
      <c r="BF41" s="2646"/>
      <c r="BG41" s="2646"/>
      <c r="BH41" s="2646"/>
    </row>
    <row r="42" spans="1:60">
      <c r="A42" s="2649"/>
      <c r="B42" s="2649"/>
      <c r="C42" s="2649"/>
      <c r="D42" s="2649"/>
      <c r="E42" s="2649"/>
      <c r="F42" s="2649"/>
      <c r="G42" s="2649"/>
      <c r="H42" s="2649"/>
      <c r="I42" s="2649"/>
      <c r="J42" s="2645"/>
      <c r="K42" s="2646"/>
      <c r="L42" s="2646"/>
      <c r="M42" s="2647"/>
      <c r="N42" s="2647"/>
      <c r="O42" s="2646"/>
      <c r="P42" s="2646"/>
      <c r="Q42" s="2646"/>
      <c r="R42" s="2646"/>
      <c r="S42" s="2646"/>
      <c r="T42" s="2646"/>
      <c r="U42" s="2646"/>
      <c r="V42" s="2646"/>
      <c r="W42" s="2646"/>
      <c r="X42" s="2646"/>
      <c r="Y42" s="2646"/>
      <c r="Z42" s="2646"/>
      <c r="AA42" s="2646"/>
      <c r="AB42" s="2646"/>
      <c r="AC42" s="2646"/>
      <c r="AD42" s="2646"/>
      <c r="AE42" s="2646"/>
      <c r="AF42" s="2646"/>
      <c r="AG42" s="2646"/>
      <c r="AH42" s="2646"/>
      <c r="AI42" s="2646"/>
      <c r="AJ42" s="2646"/>
      <c r="AK42" s="2646"/>
      <c r="AL42" s="2646"/>
      <c r="AM42" s="2646"/>
      <c r="AN42" s="2646"/>
      <c r="AO42" s="2646"/>
      <c r="AP42" s="2646"/>
      <c r="AQ42" s="2646"/>
      <c r="AR42" s="2646"/>
      <c r="AS42" s="2646"/>
      <c r="AT42" s="2646"/>
      <c r="AU42" s="2646"/>
      <c r="AV42" s="2646"/>
      <c r="AW42" s="2646"/>
      <c r="AX42" s="2646"/>
      <c r="AY42" s="2646"/>
      <c r="AZ42" s="2646"/>
      <c r="BA42" s="2646"/>
      <c r="BB42" s="2646"/>
      <c r="BC42" s="2646"/>
      <c r="BD42" s="2646"/>
      <c r="BE42" s="2646"/>
      <c r="BF42" s="2646"/>
      <c r="BG42" s="2646"/>
      <c r="BH42" s="2646"/>
    </row>
    <row r="43" spans="1:60">
      <c r="A43" s="1787" t="str">
        <f>DataF</f>
        <v>DATA:  BASE PERIOD  "X" FORECASTED PERIOD</v>
      </c>
      <c r="B43" s="2650"/>
      <c r="C43" s="2650"/>
      <c r="D43" s="2650"/>
      <c r="E43" s="2650"/>
      <c r="F43" s="2650"/>
      <c r="G43" s="2650"/>
      <c r="H43" s="2650"/>
      <c r="I43" s="2651" t="s">
        <v>1314</v>
      </c>
      <c r="J43" s="2645"/>
      <c r="K43" s="2646"/>
      <c r="L43" s="2646"/>
      <c r="M43" s="2647"/>
      <c r="N43" s="2647"/>
      <c r="O43" s="2646"/>
      <c r="P43" s="2646"/>
      <c r="Q43" s="2646"/>
      <c r="R43" s="2646"/>
      <c r="S43" s="2646"/>
      <c r="T43" s="2646"/>
      <c r="U43" s="2646"/>
      <c r="V43" s="2646"/>
      <c r="W43" s="2646"/>
      <c r="X43" s="2646"/>
      <c r="Y43" s="2646"/>
      <c r="Z43" s="2646"/>
      <c r="AA43" s="2646"/>
      <c r="AB43" s="2646"/>
      <c r="AC43" s="2646"/>
      <c r="AD43" s="2646"/>
      <c r="AE43" s="2646"/>
      <c r="AF43" s="2646"/>
      <c r="AG43" s="2646"/>
      <c r="AH43" s="2646"/>
      <c r="AI43" s="2646"/>
      <c r="AJ43" s="2646"/>
      <c r="AK43" s="2646"/>
      <c r="AL43" s="2646"/>
      <c r="AM43" s="2646"/>
      <c r="AN43" s="2646"/>
      <c r="AO43" s="2646"/>
      <c r="AP43" s="2646"/>
      <c r="AQ43" s="2646"/>
      <c r="AR43" s="2646"/>
      <c r="AS43" s="2646"/>
      <c r="AT43" s="2646"/>
      <c r="AU43" s="2646"/>
      <c r="AV43" s="2646"/>
      <c r="AW43" s="2646"/>
      <c r="AX43" s="2646"/>
      <c r="AY43" s="2646"/>
      <c r="AZ43" s="2646"/>
      <c r="BA43" s="2646"/>
      <c r="BB43" s="2646"/>
      <c r="BC43" s="2646"/>
      <c r="BD43" s="2646"/>
      <c r="BE43" s="2646"/>
      <c r="BF43" s="2646"/>
      <c r="BG43" s="2646"/>
      <c r="BH43" s="2646"/>
    </row>
    <row r="44" spans="1:60">
      <c r="A44" s="1787" t="str">
        <f>Type</f>
        <v xml:space="preserve">TYPE OF FILING:  "X" ORIGINAL   UPDATED    REVISED  </v>
      </c>
      <c r="B44" s="2650"/>
      <c r="C44" s="2650"/>
      <c r="D44" s="2650"/>
      <c r="E44" s="2650"/>
      <c r="F44" s="2650"/>
      <c r="G44" s="2650"/>
      <c r="H44" s="2650"/>
      <c r="I44" s="2651" t="s">
        <v>762</v>
      </c>
      <c r="J44" s="2645"/>
      <c r="K44" s="2646"/>
      <c r="L44" s="2646"/>
      <c r="M44" s="2647"/>
      <c r="N44" s="2647"/>
      <c r="O44" s="2646"/>
      <c r="P44" s="2646"/>
      <c r="Q44" s="2646"/>
      <c r="R44" s="2646"/>
      <c r="S44" s="2646"/>
      <c r="T44" s="2646"/>
      <c r="U44" s="2646"/>
      <c r="V44" s="2646"/>
      <c r="W44" s="2646"/>
      <c r="X44" s="2646"/>
      <c r="Y44" s="2646"/>
      <c r="Z44" s="2646"/>
      <c r="AA44" s="2646"/>
      <c r="AB44" s="2646"/>
      <c r="AC44" s="2646"/>
      <c r="AD44" s="2646"/>
      <c r="AE44" s="2646"/>
      <c r="AF44" s="2646"/>
      <c r="AG44" s="2646"/>
      <c r="AH44" s="2646"/>
      <c r="AI44" s="2646"/>
      <c r="AJ44" s="2646"/>
      <c r="AK44" s="2646"/>
      <c r="AL44" s="2646"/>
      <c r="AM44" s="2646"/>
      <c r="AN44" s="2646"/>
      <c r="AO44" s="2646"/>
      <c r="AP44" s="2646"/>
      <c r="AQ44" s="2646"/>
      <c r="AR44" s="2646"/>
      <c r="AS44" s="2646"/>
      <c r="AT44" s="2646"/>
      <c r="AU44" s="2646"/>
      <c r="AV44" s="2646"/>
      <c r="AW44" s="2646"/>
      <c r="AX44" s="2646"/>
      <c r="AY44" s="2646"/>
      <c r="AZ44" s="2646"/>
      <c r="BA44" s="2646"/>
      <c r="BB44" s="2646"/>
      <c r="BC44" s="2646"/>
      <c r="BD44" s="2646"/>
      <c r="BE44" s="2646"/>
      <c r="BF44" s="2646"/>
      <c r="BG44" s="2646"/>
      <c r="BH44" s="2646"/>
    </row>
    <row r="45" spans="1:60">
      <c r="A45" s="2651" t="s">
        <v>611</v>
      </c>
      <c r="B45" s="2650"/>
      <c r="C45" s="2650"/>
      <c r="D45" s="2650"/>
      <c r="E45" s="2650"/>
      <c r="F45" s="2650"/>
      <c r="G45" s="2650"/>
      <c r="H45" s="2650"/>
      <c r="I45" s="2651" t="s">
        <v>566</v>
      </c>
      <c r="J45" s="2645"/>
      <c r="K45" s="2646"/>
      <c r="L45" s="2646"/>
      <c r="M45" s="2647"/>
      <c r="N45" s="2647"/>
      <c r="O45" s="2646"/>
      <c r="P45" s="2646"/>
      <c r="Q45" s="2646"/>
      <c r="R45" s="2646"/>
      <c r="S45" s="2646"/>
      <c r="T45" s="2646"/>
      <c r="U45" s="2646"/>
      <c r="V45" s="2646"/>
      <c r="W45" s="2646"/>
      <c r="X45" s="2646"/>
      <c r="Y45" s="2646"/>
      <c r="Z45" s="2646"/>
      <c r="AA45" s="2646"/>
      <c r="AB45" s="2646"/>
      <c r="AC45" s="2646"/>
      <c r="AD45" s="2646"/>
      <c r="AE45" s="2646"/>
      <c r="AF45" s="2646"/>
      <c r="AG45" s="2646"/>
      <c r="AH45" s="2646"/>
      <c r="AI45" s="2646"/>
      <c r="AJ45" s="2646"/>
      <c r="AK45" s="2646"/>
      <c r="AL45" s="2646"/>
      <c r="AM45" s="2646"/>
      <c r="AN45" s="2646"/>
      <c r="AO45" s="2646"/>
      <c r="AP45" s="2646"/>
      <c r="AQ45" s="2646"/>
      <c r="AR45" s="2646"/>
      <c r="AS45" s="2646"/>
      <c r="AT45" s="2646"/>
      <c r="AU45" s="2646"/>
      <c r="AV45" s="2646"/>
      <c r="AW45" s="2646"/>
      <c r="AX45" s="2646"/>
      <c r="AY45" s="2646"/>
      <c r="AZ45" s="2646"/>
      <c r="BA45" s="2646"/>
      <c r="BB45" s="2646"/>
      <c r="BC45" s="2646"/>
      <c r="BD45" s="2646"/>
      <c r="BE45" s="2646"/>
      <c r="BF45" s="2646"/>
      <c r="BG45" s="2646"/>
      <c r="BH45" s="2646"/>
    </row>
    <row r="46" spans="1:60">
      <c r="A46" s="2650"/>
      <c r="B46" s="2650"/>
      <c r="C46" s="2650"/>
      <c r="D46" s="2650"/>
      <c r="E46" s="2650"/>
      <c r="F46" s="2650"/>
      <c r="G46" s="2650"/>
      <c r="H46" s="2650"/>
      <c r="I46" s="2651" t="str">
        <f>_WIT1</f>
        <v>S. E. LAWLER</v>
      </c>
      <c r="J46" s="2645"/>
      <c r="K46" s="2646"/>
      <c r="L46" s="2646"/>
      <c r="M46" s="2647"/>
      <c r="N46" s="2647"/>
      <c r="O46" s="2646"/>
      <c r="P46" s="2646"/>
      <c r="Q46" s="2646"/>
      <c r="R46" s="2646"/>
      <c r="S46" s="2646"/>
      <c r="T46" s="2646"/>
      <c r="U46" s="2646"/>
      <c r="V46" s="2646"/>
      <c r="W46" s="2646"/>
      <c r="X46" s="2646"/>
      <c r="Y46" s="2646"/>
      <c r="Z46" s="2646"/>
      <c r="AA46" s="2646"/>
      <c r="AB46" s="2646"/>
      <c r="AC46" s="2646"/>
      <c r="AD46" s="2646"/>
      <c r="AE46" s="2646"/>
      <c r="AF46" s="2646"/>
      <c r="AG46" s="2646"/>
      <c r="AH46" s="2646"/>
      <c r="AI46" s="2646"/>
      <c r="AJ46" s="2646"/>
      <c r="AK46" s="2646"/>
      <c r="AL46" s="2646"/>
      <c r="AM46" s="2646"/>
      <c r="AN46" s="2646"/>
      <c r="AO46" s="2646"/>
      <c r="AP46" s="2646"/>
      <c r="AQ46" s="2646"/>
      <c r="AR46" s="2646"/>
      <c r="AS46" s="2646"/>
      <c r="AT46" s="2646"/>
      <c r="AU46" s="2646"/>
      <c r="AV46" s="2646"/>
      <c r="AW46" s="2646"/>
      <c r="AX46" s="2646"/>
      <c r="AY46" s="2646"/>
      <c r="AZ46" s="2646"/>
      <c r="BA46" s="2646"/>
      <c r="BB46" s="2646"/>
      <c r="BC46" s="2646"/>
      <c r="BD46" s="2646"/>
      <c r="BE46" s="2646"/>
      <c r="BF46" s="2646"/>
      <c r="BG46" s="2646"/>
      <c r="BH46" s="2646"/>
    </row>
    <row r="47" spans="1:60">
      <c r="A47" s="2652"/>
      <c r="B47" s="2652"/>
      <c r="C47" s="2652"/>
      <c r="D47" s="2652"/>
      <c r="E47" s="2652"/>
      <c r="F47" s="2652"/>
      <c r="G47" s="2652"/>
      <c r="H47" s="2652"/>
      <c r="I47" s="2652"/>
      <c r="J47" s="2645"/>
      <c r="K47" s="2646"/>
      <c r="L47" s="2646"/>
      <c r="M47" s="2647"/>
      <c r="N47" s="2647"/>
      <c r="O47" s="2646"/>
      <c r="P47" s="2646"/>
      <c r="Q47" s="2646"/>
      <c r="R47" s="2646"/>
      <c r="S47" s="2646"/>
      <c r="T47" s="2646"/>
      <c r="U47" s="2646"/>
      <c r="V47" s="2646"/>
      <c r="W47" s="2646"/>
      <c r="X47" s="2646"/>
      <c r="Y47" s="2646"/>
      <c r="Z47" s="2646"/>
      <c r="AA47" s="2646"/>
      <c r="AB47" s="2646"/>
      <c r="AC47" s="2646"/>
      <c r="AD47" s="2646"/>
      <c r="AE47" s="2646"/>
      <c r="AF47" s="2646"/>
      <c r="AG47" s="2646"/>
      <c r="AH47" s="2646"/>
      <c r="AI47" s="2646"/>
      <c r="AJ47" s="2646"/>
      <c r="AK47" s="2646"/>
      <c r="AL47" s="2646"/>
      <c r="AM47" s="2646"/>
      <c r="AN47" s="2646"/>
      <c r="AO47" s="2646"/>
      <c r="AP47" s="2646"/>
      <c r="AQ47" s="2646"/>
      <c r="AR47" s="2646"/>
      <c r="AS47" s="2646"/>
      <c r="AT47" s="2646"/>
      <c r="AU47" s="2646"/>
      <c r="AV47" s="2646"/>
      <c r="AW47" s="2646"/>
      <c r="AX47" s="2646"/>
      <c r="AY47" s="2646"/>
      <c r="AZ47" s="2646"/>
      <c r="BA47" s="2646"/>
      <c r="BB47" s="2646"/>
      <c r="BC47" s="2646"/>
      <c r="BD47" s="2646"/>
      <c r="BE47" s="2646"/>
      <c r="BF47" s="2646"/>
      <c r="BG47" s="2646"/>
      <c r="BH47" s="2646"/>
    </row>
    <row r="48" spans="1:60">
      <c r="A48" s="2650"/>
      <c r="B48" s="2650"/>
      <c r="C48" s="2650"/>
      <c r="D48" s="2650"/>
      <c r="E48" s="2650"/>
      <c r="F48" s="2650"/>
      <c r="G48" s="2650"/>
      <c r="H48" s="2650"/>
      <c r="I48" s="2653" t="s">
        <v>1315</v>
      </c>
      <c r="J48" s="2645"/>
      <c r="K48" s="2646"/>
      <c r="L48" s="2646"/>
      <c r="M48" s="2647"/>
      <c r="N48" s="2647"/>
      <c r="O48" s="2646"/>
      <c r="P48" s="2646"/>
      <c r="Q48" s="2646"/>
      <c r="R48" s="2646"/>
      <c r="S48" s="2646"/>
      <c r="T48" s="2646"/>
      <c r="U48" s="2646"/>
      <c r="V48" s="2646"/>
      <c r="W48" s="2646"/>
      <c r="X48" s="2646"/>
      <c r="Y48" s="2646"/>
      <c r="Z48" s="2646"/>
      <c r="AA48" s="2646"/>
      <c r="AB48" s="2646"/>
      <c r="AC48" s="2646"/>
      <c r="AD48" s="2646"/>
      <c r="AE48" s="2646"/>
      <c r="AF48" s="2646"/>
      <c r="AG48" s="2646"/>
      <c r="AH48" s="2646"/>
      <c r="AI48" s="2646"/>
      <c r="AJ48" s="2646"/>
      <c r="AK48" s="2646"/>
      <c r="AL48" s="2646"/>
      <c r="AM48" s="2646"/>
      <c r="AN48" s="2646"/>
      <c r="AO48" s="2646"/>
      <c r="AP48" s="2646"/>
      <c r="AQ48" s="2646"/>
      <c r="AR48" s="2646"/>
      <c r="AS48" s="2646"/>
      <c r="AT48" s="2646"/>
      <c r="AU48" s="2646"/>
      <c r="AV48" s="2646"/>
      <c r="AW48" s="2646"/>
      <c r="AX48" s="2646"/>
      <c r="AY48" s="2646"/>
      <c r="AZ48" s="2646"/>
      <c r="BA48" s="2646"/>
      <c r="BB48" s="2646"/>
      <c r="BC48" s="2646"/>
      <c r="BD48" s="2646"/>
      <c r="BE48" s="2646"/>
      <c r="BF48" s="2646"/>
      <c r="BG48" s="2646"/>
      <c r="BH48" s="2646"/>
    </row>
    <row r="49" spans="1:60">
      <c r="A49" s="2653" t="s">
        <v>567</v>
      </c>
      <c r="B49" s="2650"/>
      <c r="C49" s="2650"/>
      <c r="D49" s="2650"/>
      <c r="E49" s="2650"/>
      <c r="F49" s="2650"/>
      <c r="G49" s="2650"/>
      <c r="H49" s="2650"/>
      <c r="I49" s="2653" t="s">
        <v>1316</v>
      </c>
      <c r="J49" s="2645"/>
      <c r="K49" s="2646"/>
      <c r="L49" s="2646"/>
      <c r="M49" s="2647"/>
      <c r="N49" s="2647"/>
      <c r="O49" s="2646"/>
      <c r="P49" s="2646"/>
      <c r="Q49" s="2646"/>
      <c r="R49" s="2646"/>
      <c r="S49" s="2646"/>
      <c r="T49" s="2646"/>
      <c r="U49" s="2646"/>
      <c r="V49" s="2646"/>
      <c r="W49" s="2646"/>
      <c r="X49" s="2646"/>
      <c r="Y49" s="2646"/>
      <c r="Z49" s="2646"/>
      <c r="AA49" s="2646"/>
      <c r="AB49" s="2646"/>
      <c r="AC49" s="2646"/>
      <c r="AD49" s="2646"/>
      <c r="AE49" s="2646"/>
      <c r="AF49" s="2646"/>
      <c r="AG49" s="2646"/>
      <c r="AH49" s="2646"/>
      <c r="AI49" s="2646"/>
      <c r="AJ49" s="2646"/>
      <c r="AK49" s="2646"/>
      <c r="AL49" s="2646"/>
      <c r="AM49" s="2646"/>
      <c r="AN49" s="2646"/>
      <c r="AO49" s="2646"/>
      <c r="AP49" s="2646"/>
      <c r="AQ49" s="2646"/>
      <c r="AR49" s="2646"/>
      <c r="AS49" s="2646"/>
      <c r="AT49" s="2646"/>
      <c r="AU49" s="2646"/>
      <c r="AV49" s="2646"/>
      <c r="AW49" s="2646"/>
      <c r="AX49" s="2646"/>
      <c r="AY49" s="2646"/>
      <c r="AZ49" s="2646"/>
      <c r="BA49" s="2646"/>
      <c r="BB49" s="2646"/>
      <c r="BC49" s="2646"/>
      <c r="BD49" s="2646"/>
      <c r="BE49" s="2646"/>
      <c r="BF49" s="2646"/>
      <c r="BG49" s="2646"/>
      <c r="BH49" s="2646"/>
    </row>
    <row r="50" spans="1:60">
      <c r="A50" s="2653" t="s">
        <v>2169</v>
      </c>
      <c r="B50" s="2651" t="s">
        <v>1131</v>
      </c>
      <c r="C50" s="2650"/>
      <c r="D50" s="2650"/>
      <c r="E50" s="2650"/>
      <c r="F50" s="2650"/>
      <c r="G50" s="2650"/>
      <c r="H50" s="2650"/>
      <c r="I50" s="2653" t="s">
        <v>1317</v>
      </c>
      <c r="J50" s="2645"/>
      <c r="K50" s="2646"/>
      <c r="L50" s="2646"/>
      <c r="M50" s="2647"/>
      <c r="N50" s="2647"/>
      <c r="O50" s="2646"/>
      <c r="P50" s="2646"/>
      <c r="Q50" s="2646"/>
      <c r="R50" s="2646"/>
      <c r="S50" s="2646"/>
      <c r="T50" s="2646"/>
      <c r="U50" s="2646"/>
      <c r="V50" s="2646"/>
      <c r="W50" s="2646"/>
      <c r="X50" s="2646"/>
      <c r="Y50" s="2646"/>
      <c r="Z50" s="2646"/>
      <c r="AA50" s="2646"/>
      <c r="AB50" s="2646"/>
      <c r="AC50" s="2646"/>
      <c r="AD50" s="2646"/>
      <c r="AE50" s="2646"/>
      <c r="AF50" s="2646"/>
      <c r="AG50" s="2646"/>
      <c r="AH50" s="2646"/>
      <c r="AI50" s="2646"/>
      <c r="AJ50" s="2646"/>
      <c r="AK50" s="2646"/>
      <c r="AL50" s="2646"/>
      <c r="AM50" s="2646"/>
      <c r="AN50" s="2646"/>
      <c r="AO50" s="2646"/>
      <c r="AP50" s="2646"/>
      <c r="AQ50" s="2646"/>
      <c r="AR50" s="2646"/>
      <c r="AS50" s="2646"/>
      <c r="AT50" s="2646"/>
      <c r="AU50" s="2646"/>
      <c r="AV50" s="2646"/>
      <c r="AW50" s="2646"/>
      <c r="AX50" s="2646"/>
      <c r="AY50" s="2646"/>
      <c r="AZ50" s="2646"/>
      <c r="BA50" s="2646"/>
      <c r="BB50" s="2646"/>
      <c r="BC50" s="2646"/>
      <c r="BD50" s="2646"/>
      <c r="BE50" s="2646"/>
      <c r="BF50" s="2646"/>
      <c r="BG50" s="2646"/>
      <c r="BH50" s="2646"/>
    </row>
    <row r="51" spans="1:60">
      <c r="A51" s="2652"/>
      <c r="B51" s="2652"/>
      <c r="C51" s="2652"/>
      <c r="D51" s="2652"/>
      <c r="E51" s="2652"/>
      <c r="F51" s="2652"/>
      <c r="G51" s="2652"/>
      <c r="H51" s="2652"/>
      <c r="I51" s="2654" t="s">
        <v>687</v>
      </c>
      <c r="J51" s="2645"/>
      <c r="K51" s="2646"/>
      <c r="L51" s="2646"/>
      <c r="M51" s="2647"/>
      <c r="N51" s="2647"/>
      <c r="O51" s="2646"/>
      <c r="P51" s="2646"/>
      <c r="Q51" s="2646"/>
      <c r="R51" s="2646"/>
      <c r="S51" s="2646"/>
      <c r="T51" s="2646"/>
      <c r="U51" s="2646"/>
      <c r="V51" s="2646"/>
      <c r="W51" s="2646"/>
      <c r="X51" s="2646"/>
      <c r="Y51" s="2646"/>
      <c r="Z51" s="2646"/>
      <c r="AA51" s="2646"/>
      <c r="AB51" s="2646"/>
      <c r="AC51" s="2646"/>
      <c r="AD51" s="2646"/>
      <c r="AE51" s="2646"/>
      <c r="AF51" s="2646"/>
      <c r="AG51" s="2646"/>
      <c r="AH51" s="2646"/>
      <c r="AI51" s="2646"/>
      <c r="AJ51" s="2646"/>
      <c r="AK51" s="2646"/>
      <c r="AL51" s="2646"/>
      <c r="AM51" s="2646"/>
      <c r="AN51" s="2646"/>
      <c r="AO51" s="2646"/>
      <c r="AP51" s="2646"/>
      <c r="AQ51" s="2646"/>
      <c r="AR51" s="2646"/>
      <c r="AS51" s="2646"/>
      <c r="AT51" s="2646"/>
      <c r="AU51" s="2646"/>
      <c r="AV51" s="2646"/>
      <c r="AW51" s="2646"/>
      <c r="AX51" s="2646"/>
      <c r="AY51" s="2646"/>
      <c r="AZ51" s="2646"/>
      <c r="BA51" s="2646"/>
      <c r="BB51" s="2646"/>
      <c r="BC51" s="2646"/>
      <c r="BD51" s="2646"/>
      <c r="BE51" s="2646"/>
      <c r="BF51" s="2646"/>
      <c r="BG51" s="2646"/>
      <c r="BH51" s="2646"/>
    </row>
    <row r="52" spans="1:60">
      <c r="A52" s="2650"/>
      <c r="B52" s="2650"/>
      <c r="C52" s="2650"/>
      <c r="D52" s="2650"/>
      <c r="E52" s="2650"/>
      <c r="F52" s="2650"/>
      <c r="G52" s="2650"/>
      <c r="H52" s="2650"/>
      <c r="I52" s="2650"/>
      <c r="J52" s="2645"/>
      <c r="K52" s="2646"/>
      <c r="L52" s="2646"/>
      <c r="M52" s="2647"/>
      <c r="N52" s="2647"/>
      <c r="O52" s="2646"/>
      <c r="P52" s="2646"/>
      <c r="Q52" s="2646"/>
      <c r="R52" s="2646"/>
      <c r="S52" s="2646"/>
      <c r="T52" s="2646"/>
      <c r="U52" s="2646"/>
      <c r="V52" s="2646"/>
      <c r="W52" s="2646"/>
      <c r="X52" s="2646"/>
      <c r="Y52" s="2646"/>
      <c r="Z52" s="2646"/>
      <c r="AA52" s="2646"/>
      <c r="AB52" s="2646"/>
      <c r="AC52" s="2646"/>
      <c r="AD52" s="2646"/>
      <c r="AE52" s="2646"/>
      <c r="AF52" s="2646"/>
      <c r="AG52" s="2646"/>
      <c r="AH52" s="2646"/>
      <c r="AI52" s="2646"/>
      <c r="AJ52" s="2646"/>
      <c r="AK52" s="2646"/>
      <c r="AL52" s="2646"/>
      <c r="AM52" s="2646"/>
      <c r="AN52" s="2646"/>
      <c r="AO52" s="2646"/>
      <c r="AP52" s="2646"/>
      <c r="AQ52" s="2646"/>
      <c r="AR52" s="2646"/>
      <c r="AS52" s="2646"/>
      <c r="AT52" s="2646"/>
      <c r="AU52" s="2646"/>
      <c r="AV52" s="2646"/>
      <c r="AW52" s="2646"/>
      <c r="AX52" s="2646"/>
      <c r="AY52" s="2646"/>
      <c r="AZ52" s="2646"/>
      <c r="BA52" s="2646"/>
      <c r="BB52" s="2646"/>
      <c r="BC52" s="2646"/>
      <c r="BD52" s="2646"/>
      <c r="BE52" s="2646"/>
      <c r="BF52" s="2646"/>
      <c r="BG52" s="2646"/>
      <c r="BH52" s="2646"/>
    </row>
    <row r="53" spans="1:60">
      <c r="A53" s="2653">
        <v>1</v>
      </c>
      <c r="B53" s="2651" t="s">
        <v>1318</v>
      </c>
      <c r="C53" s="2650"/>
      <c r="D53" s="2655"/>
      <c r="E53" s="2655"/>
      <c r="F53" s="2650"/>
      <c r="G53" s="2650"/>
      <c r="H53" s="2650"/>
      <c r="I53" s="2656">
        <v>1</v>
      </c>
      <c r="J53" s="2645"/>
      <c r="K53" s="2646"/>
      <c r="L53" s="2646"/>
      <c r="M53" s="2647"/>
      <c r="N53" s="2647"/>
      <c r="O53" s="2646"/>
      <c r="P53" s="2646"/>
      <c r="Q53" s="2646"/>
      <c r="R53" s="2646"/>
      <c r="S53" s="2646"/>
      <c r="T53" s="2646"/>
      <c r="U53" s="2646"/>
      <c r="V53" s="2646"/>
      <c r="W53" s="2646"/>
      <c r="X53" s="2646"/>
      <c r="Y53" s="2646"/>
      <c r="Z53" s="2646"/>
      <c r="AA53" s="2646"/>
      <c r="AB53" s="2646"/>
      <c r="AC53" s="2646"/>
      <c r="AD53" s="2646"/>
      <c r="AE53" s="2646"/>
      <c r="AF53" s="2646"/>
      <c r="AG53" s="2646"/>
      <c r="AH53" s="2646"/>
      <c r="AI53" s="2646"/>
      <c r="AJ53" s="2646"/>
      <c r="AK53" s="2646"/>
      <c r="AL53" s="2646"/>
      <c r="AM53" s="2646"/>
      <c r="AN53" s="2646"/>
      <c r="AO53" s="2646"/>
      <c r="AP53" s="2646"/>
      <c r="AQ53" s="2646"/>
      <c r="AR53" s="2646"/>
      <c r="AS53" s="2646"/>
      <c r="AT53" s="2646"/>
      <c r="AU53" s="2646"/>
      <c r="AV53" s="2646"/>
      <c r="AW53" s="2646"/>
      <c r="AX53" s="2646"/>
      <c r="AY53" s="2646"/>
      <c r="AZ53" s="2646"/>
      <c r="BA53" s="2646"/>
      <c r="BB53" s="2646"/>
      <c r="BC53" s="2646"/>
      <c r="BD53" s="2646"/>
      <c r="BE53" s="2646"/>
      <c r="BF53" s="2646"/>
      <c r="BG53" s="2646"/>
      <c r="BH53" s="2646"/>
    </row>
    <row r="54" spans="1:60">
      <c r="A54" s="2657">
        <v>2</v>
      </c>
      <c r="B54" s="2650"/>
      <c r="C54" s="2650"/>
      <c r="D54" s="2650"/>
      <c r="E54" s="2650"/>
      <c r="F54" s="2650"/>
      <c r="G54" s="2650"/>
      <c r="H54" s="2650"/>
      <c r="I54" s="2658"/>
      <c r="J54" s="2645"/>
      <c r="K54" s="2646"/>
      <c r="L54" s="2646"/>
      <c r="M54" s="2647"/>
      <c r="N54" s="2647"/>
      <c r="O54" s="2646"/>
      <c r="P54" s="2646"/>
      <c r="Q54" s="2646"/>
      <c r="R54" s="2646"/>
      <c r="S54" s="2646"/>
      <c r="T54" s="2646"/>
      <c r="U54" s="2646"/>
      <c r="V54" s="2646"/>
      <c r="W54" s="2646"/>
      <c r="X54" s="2646"/>
      <c r="Y54" s="2646"/>
      <c r="Z54" s="2646"/>
      <c r="AA54" s="2646"/>
      <c r="AB54" s="2646"/>
      <c r="AC54" s="2646"/>
      <c r="AD54" s="2646"/>
      <c r="AE54" s="2646"/>
      <c r="AF54" s="2646"/>
      <c r="AG54" s="2646"/>
      <c r="AH54" s="2646"/>
      <c r="AI54" s="2646"/>
      <c r="AJ54" s="2646"/>
      <c r="AK54" s="2646"/>
      <c r="AL54" s="2646"/>
      <c r="AM54" s="2646"/>
      <c r="AN54" s="2646"/>
      <c r="AO54" s="2646"/>
      <c r="AP54" s="2646"/>
      <c r="AQ54" s="2646"/>
      <c r="AR54" s="2646"/>
      <c r="AS54" s="2646"/>
      <c r="AT54" s="2646"/>
      <c r="AU54" s="2646"/>
      <c r="AV54" s="2646"/>
      <c r="AW54" s="2646"/>
      <c r="AX54" s="2646"/>
      <c r="AY54" s="2646"/>
      <c r="AZ54" s="2646"/>
      <c r="BA54" s="2646"/>
      <c r="BB54" s="2646"/>
      <c r="BC54" s="2646"/>
      <c r="BD54" s="2646"/>
      <c r="BE54" s="2646"/>
      <c r="BF54" s="2646"/>
      <c r="BG54" s="2646"/>
      <c r="BH54" s="2646"/>
    </row>
    <row r="55" spans="1:60">
      <c r="A55" s="2657">
        <v>3</v>
      </c>
      <c r="B55" s="2650"/>
      <c r="C55" s="2650"/>
      <c r="D55" s="2650"/>
      <c r="E55" s="2650"/>
      <c r="F55" s="2650"/>
      <c r="G55" s="2650"/>
      <c r="H55" s="2650"/>
      <c r="I55" s="2658"/>
      <c r="J55" s="2645"/>
      <c r="K55" s="2646"/>
      <c r="L55" s="2646"/>
      <c r="M55" s="2647"/>
      <c r="N55" s="2647"/>
      <c r="O55" s="2646"/>
      <c r="P55" s="2646"/>
      <c r="Q55" s="2646"/>
      <c r="R55" s="2646"/>
      <c r="S55" s="2646"/>
      <c r="T55" s="2646"/>
      <c r="U55" s="2646"/>
      <c r="V55" s="2646"/>
      <c r="W55" s="2646"/>
      <c r="X55" s="2646"/>
      <c r="Y55" s="2646"/>
      <c r="Z55" s="2646"/>
      <c r="AA55" s="2646"/>
      <c r="AB55" s="2646"/>
      <c r="AC55" s="2646"/>
      <c r="AD55" s="2646"/>
      <c r="AE55" s="2646"/>
      <c r="AF55" s="2646"/>
      <c r="AG55" s="2646"/>
      <c r="AH55" s="2646"/>
      <c r="AI55" s="2646"/>
      <c r="AJ55" s="2646"/>
      <c r="AK55" s="2646"/>
      <c r="AL55" s="2646"/>
      <c r="AM55" s="2646"/>
      <c r="AN55" s="2646"/>
      <c r="AO55" s="2646"/>
      <c r="AP55" s="2646"/>
      <c r="AQ55" s="2646"/>
      <c r="AR55" s="2646"/>
      <c r="AS55" s="2646"/>
      <c r="AT55" s="2646"/>
      <c r="AU55" s="2646"/>
      <c r="AV55" s="2646"/>
      <c r="AW55" s="2646"/>
      <c r="AX55" s="2646"/>
      <c r="AY55" s="2646"/>
      <c r="AZ55" s="2646"/>
      <c r="BA55" s="2646"/>
      <c r="BB55" s="2646"/>
      <c r="BC55" s="2646"/>
      <c r="BD55" s="2646"/>
      <c r="BE55" s="2646"/>
      <c r="BF55" s="2646"/>
      <c r="BG55" s="2646"/>
      <c r="BH55" s="2646"/>
    </row>
    <row r="56" spans="1:60">
      <c r="A56" s="2653">
        <v>4</v>
      </c>
      <c r="B56" s="2630" t="s">
        <v>2781</v>
      </c>
      <c r="C56" s="2650"/>
      <c r="D56" s="2650"/>
      <c r="E56" s="2658"/>
      <c r="F56" s="2656">
        <f>F19</f>
        <v>2E-3</v>
      </c>
      <c r="G56" s="2650"/>
      <c r="H56" s="2650"/>
      <c r="I56" s="2658"/>
      <c r="J56" s="2645"/>
      <c r="K56" s="2646"/>
      <c r="L56" s="2646"/>
      <c r="M56" s="2647"/>
      <c r="N56" s="2647"/>
      <c r="O56" s="2646"/>
      <c r="P56" s="2646"/>
      <c r="Q56" s="2646"/>
      <c r="R56" s="2646"/>
      <c r="S56" s="2646"/>
      <c r="T56" s="2646"/>
      <c r="U56" s="2646"/>
      <c r="V56" s="2646"/>
      <c r="W56" s="2646"/>
      <c r="X56" s="2646"/>
      <c r="Y56" s="2646"/>
      <c r="Z56" s="2646"/>
      <c r="AA56" s="2646"/>
      <c r="AB56" s="2646"/>
      <c r="AC56" s="2646"/>
      <c r="AD56" s="2646"/>
      <c r="AE56" s="2646"/>
      <c r="AF56" s="2646"/>
      <c r="AG56" s="2646"/>
      <c r="AH56" s="2646"/>
      <c r="AI56" s="2646"/>
      <c r="AJ56" s="2646"/>
      <c r="AK56" s="2646"/>
      <c r="AL56" s="2646"/>
      <c r="AM56" s="2646"/>
      <c r="AN56" s="2646"/>
      <c r="AO56" s="2646"/>
      <c r="AP56" s="2646"/>
      <c r="AQ56" s="2646"/>
      <c r="AR56" s="2646"/>
      <c r="AS56" s="2646"/>
      <c r="AT56" s="2646"/>
      <c r="AU56" s="2646"/>
      <c r="AV56" s="2646"/>
      <c r="AW56" s="2646"/>
      <c r="AX56" s="2646"/>
      <c r="AY56" s="2646"/>
      <c r="AZ56" s="2646"/>
      <c r="BA56" s="2646"/>
      <c r="BB56" s="2646"/>
      <c r="BC56" s="2646"/>
      <c r="BD56" s="2646"/>
      <c r="BE56" s="2646"/>
      <c r="BF56" s="2646"/>
      <c r="BG56" s="2646"/>
      <c r="BH56" s="2646"/>
    </row>
    <row r="57" spans="1:60">
      <c r="A57" s="2657">
        <v>5</v>
      </c>
      <c r="B57" s="2632" t="s">
        <v>1319</v>
      </c>
      <c r="C57" s="2650"/>
      <c r="D57" s="2659"/>
      <c r="E57" s="2658"/>
      <c r="F57" s="2659"/>
      <c r="G57" s="2650"/>
      <c r="H57" s="2650"/>
      <c r="I57" s="2660">
        <f>F56</f>
        <v>2E-3</v>
      </c>
      <c r="J57" s="2645"/>
      <c r="K57" s="2646"/>
      <c r="L57" s="2646"/>
      <c r="M57" s="2647"/>
      <c r="N57" s="2647"/>
      <c r="O57" s="2646"/>
      <c r="P57" s="2646"/>
      <c r="Q57" s="2646"/>
      <c r="R57" s="2646"/>
      <c r="S57" s="2646"/>
      <c r="T57" s="2646"/>
      <c r="U57" s="2646"/>
      <c r="V57" s="2646"/>
      <c r="W57" s="2646"/>
      <c r="X57" s="2646"/>
      <c r="Y57" s="2646"/>
      <c r="Z57" s="2646"/>
      <c r="AA57" s="2646"/>
      <c r="AB57" s="2646"/>
      <c r="AC57" s="2646"/>
      <c r="AD57" s="2646"/>
      <c r="AE57" s="2646"/>
      <c r="AF57" s="2646"/>
      <c r="AG57" s="2646"/>
      <c r="AH57" s="2646"/>
      <c r="AI57" s="2646"/>
      <c r="AJ57" s="2646"/>
      <c r="AK57" s="2646"/>
      <c r="AL57" s="2646"/>
      <c r="AM57" s="2646"/>
      <c r="AN57" s="2646"/>
      <c r="AO57" s="2646"/>
      <c r="AP57" s="2646"/>
      <c r="AQ57" s="2646"/>
      <c r="AR57" s="2646"/>
      <c r="AS57" s="2646"/>
      <c r="AT57" s="2646"/>
      <c r="AU57" s="2646"/>
      <c r="AV57" s="2646"/>
      <c r="AW57" s="2646"/>
      <c r="AX57" s="2646"/>
      <c r="AY57" s="2646"/>
      <c r="AZ57" s="2646"/>
      <c r="BA57" s="2646"/>
      <c r="BB57" s="2646"/>
      <c r="BC57" s="2646"/>
      <c r="BD57" s="2646"/>
      <c r="BE57" s="2646"/>
      <c r="BF57" s="2646"/>
      <c r="BG57" s="2646"/>
      <c r="BH57" s="2646"/>
    </row>
    <row r="58" spans="1:60">
      <c r="A58" s="2657">
        <v>6</v>
      </c>
      <c r="B58" s="2650"/>
      <c r="C58" s="2650"/>
      <c r="D58" s="2661"/>
      <c r="E58" s="2661"/>
      <c r="F58" s="2661"/>
      <c r="G58" s="2650"/>
      <c r="H58" s="2650"/>
      <c r="I58" s="2661"/>
      <c r="J58" s="2645"/>
      <c r="K58" s="2646"/>
      <c r="L58" s="2646"/>
      <c r="M58" s="2647"/>
      <c r="N58" s="2647"/>
      <c r="O58" s="2646"/>
      <c r="P58" s="2646"/>
      <c r="Q58" s="2646"/>
      <c r="R58" s="2646"/>
      <c r="S58" s="2646"/>
      <c r="T58" s="2646"/>
      <c r="U58" s="2646"/>
      <c r="V58" s="2646"/>
      <c r="W58" s="2646"/>
      <c r="X58" s="2646"/>
      <c r="Y58" s="2646"/>
      <c r="Z58" s="2646"/>
      <c r="AA58" s="2646"/>
      <c r="AB58" s="2646"/>
      <c r="AC58" s="2646"/>
      <c r="AD58" s="2646"/>
      <c r="AE58" s="2646"/>
      <c r="AF58" s="2646"/>
      <c r="AG58" s="2646"/>
      <c r="AH58" s="2646"/>
      <c r="AI58" s="2646"/>
      <c r="AJ58" s="2646"/>
      <c r="AK58" s="2646"/>
      <c r="AL58" s="2646"/>
      <c r="AM58" s="2646"/>
      <c r="AN58" s="2646"/>
      <c r="AO58" s="2646"/>
      <c r="AP58" s="2646"/>
      <c r="AQ58" s="2646"/>
      <c r="AR58" s="2646"/>
      <c r="AS58" s="2646"/>
      <c r="AT58" s="2646"/>
      <c r="AU58" s="2646"/>
      <c r="AV58" s="2646"/>
      <c r="AW58" s="2646"/>
      <c r="AX58" s="2646"/>
      <c r="AY58" s="2646"/>
      <c r="AZ58" s="2646"/>
      <c r="BA58" s="2646"/>
      <c r="BB58" s="2646"/>
      <c r="BC58" s="2646"/>
      <c r="BD58" s="2646"/>
      <c r="BE58" s="2646"/>
      <c r="BF58" s="2646"/>
      <c r="BG58" s="2646"/>
      <c r="BH58" s="2646"/>
    </row>
    <row r="59" spans="1:60">
      <c r="A59" s="2653">
        <v>7</v>
      </c>
      <c r="B59" s="2651" t="s">
        <v>2782</v>
      </c>
      <c r="C59" s="2650"/>
      <c r="D59" s="2662"/>
      <c r="E59" s="2662"/>
      <c r="F59" s="2655"/>
      <c r="G59" s="2650"/>
      <c r="H59" s="2650"/>
      <c r="I59" s="2656">
        <f>ROUND(I53-I57,6)</f>
        <v>0.998</v>
      </c>
      <c r="J59" s="2645"/>
      <c r="K59" s="2646"/>
      <c r="L59" s="2646"/>
      <c r="M59" s="2647"/>
      <c r="N59" s="2647"/>
      <c r="O59" s="2646"/>
      <c r="P59" s="2646"/>
      <c r="Q59" s="2646"/>
      <c r="R59" s="2646"/>
      <c r="S59" s="2646"/>
      <c r="T59" s="2646"/>
      <c r="U59" s="2646"/>
      <c r="V59" s="2646"/>
      <c r="W59" s="2646"/>
      <c r="X59" s="2646"/>
      <c r="Y59" s="2646"/>
      <c r="Z59" s="2646"/>
      <c r="AA59" s="2646"/>
      <c r="AB59" s="2646"/>
      <c r="AC59" s="2646"/>
      <c r="AD59" s="2646"/>
      <c r="AE59" s="2646"/>
      <c r="AF59" s="2646"/>
      <c r="AG59" s="2646"/>
      <c r="AH59" s="2646"/>
      <c r="AI59" s="2646"/>
      <c r="AJ59" s="2646"/>
      <c r="AK59" s="2646"/>
      <c r="AL59" s="2646"/>
      <c r="AM59" s="2646"/>
      <c r="AN59" s="2646"/>
      <c r="AO59" s="2646"/>
      <c r="AP59" s="2646"/>
      <c r="AQ59" s="2646"/>
      <c r="AR59" s="2646"/>
      <c r="AS59" s="2646"/>
      <c r="AT59" s="2646"/>
      <c r="AU59" s="2646"/>
      <c r="AV59" s="2646"/>
      <c r="AW59" s="2646"/>
      <c r="AX59" s="2646"/>
      <c r="AY59" s="2646"/>
      <c r="AZ59" s="2646"/>
      <c r="BA59" s="2646"/>
      <c r="BB59" s="2646"/>
      <c r="BC59" s="2646"/>
      <c r="BD59" s="2646"/>
      <c r="BE59" s="2646"/>
      <c r="BF59" s="2646"/>
      <c r="BG59" s="2646"/>
      <c r="BH59" s="2646"/>
    </row>
    <row r="60" spans="1:60">
      <c r="A60" s="2657">
        <v>8</v>
      </c>
      <c r="B60" s="2650"/>
      <c r="C60" s="2650"/>
      <c r="D60" s="2650"/>
      <c r="E60" s="2650"/>
      <c r="F60" s="2650"/>
      <c r="G60" s="2650"/>
      <c r="H60" s="2650"/>
      <c r="I60" s="2655"/>
      <c r="J60" s="2645"/>
      <c r="K60" s="2646"/>
      <c r="L60" s="2646"/>
      <c r="M60" s="2647"/>
      <c r="N60" s="2647"/>
      <c r="O60" s="2646"/>
      <c r="P60" s="2646"/>
      <c r="Q60" s="2646"/>
      <c r="R60" s="2646"/>
      <c r="S60" s="2646"/>
      <c r="T60" s="2646"/>
      <c r="U60" s="2646"/>
      <c r="V60" s="2646"/>
      <c r="W60" s="2646"/>
      <c r="X60" s="2646"/>
      <c r="Y60" s="2646"/>
      <c r="Z60" s="2646"/>
      <c r="AA60" s="2646"/>
      <c r="AB60" s="2646"/>
      <c r="AC60" s="2646"/>
      <c r="AD60" s="2646"/>
      <c r="AE60" s="2646"/>
      <c r="AF60" s="2646"/>
      <c r="AG60" s="2646"/>
      <c r="AH60" s="2646"/>
      <c r="AI60" s="2646"/>
      <c r="AJ60" s="2646"/>
      <c r="AK60" s="2646"/>
      <c r="AL60" s="2646"/>
      <c r="AM60" s="2646"/>
      <c r="AN60" s="2646"/>
      <c r="AO60" s="2646"/>
      <c r="AP60" s="2646"/>
      <c r="AQ60" s="2646"/>
      <c r="AR60" s="2646"/>
      <c r="AS60" s="2646"/>
      <c r="AT60" s="2646"/>
      <c r="AU60" s="2646"/>
      <c r="AV60" s="2646"/>
      <c r="AW60" s="2646"/>
      <c r="AX60" s="2646"/>
      <c r="AY60" s="2646"/>
      <c r="AZ60" s="2646"/>
      <c r="BA60" s="2646"/>
      <c r="BB60" s="2646"/>
      <c r="BC60" s="2646"/>
      <c r="BD60" s="2646"/>
      <c r="BE60" s="2646"/>
      <c r="BF60" s="2646"/>
      <c r="BG60" s="2646"/>
      <c r="BH60" s="2646"/>
    </row>
    <row r="61" spans="1:60">
      <c r="A61" s="2657">
        <v>9</v>
      </c>
      <c r="B61" s="2650" t="s">
        <v>1320</v>
      </c>
      <c r="C61" s="2650"/>
      <c r="D61" s="2650"/>
      <c r="E61" s="2650"/>
      <c r="F61" s="2650"/>
      <c r="G61" s="2650"/>
      <c r="H61" s="2650"/>
      <c r="I61" s="2658"/>
      <c r="J61" s="2645"/>
      <c r="K61" s="2646"/>
      <c r="L61" s="2646"/>
      <c r="M61" s="2647"/>
      <c r="N61" s="2647"/>
      <c r="O61" s="2646"/>
      <c r="P61" s="2646"/>
      <c r="Q61" s="2646"/>
      <c r="R61" s="2646"/>
      <c r="S61" s="2646"/>
      <c r="T61" s="2646"/>
      <c r="U61" s="2646"/>
      <c r="V61" s="2646"/>
      <c r="W61" s="2646"/>
      <c r="X61" s="2646"/>
      <c r="Y61" s="2646"/>
      <c r="Z61" s="2646"/>
      <c r="AA61" s="2646"/>
      <c r="AB61" s="2646"/>
      <c r="AC61" s="2646"/>
      <c r="AD61" s="2646"/>
      <c r="AE61" s="2646"/>
      <c r="AF61" s="2646"/>
      <c r="AG61" s="2646"/>
      <c r="AH61" s="2646"/>
      <c r="AI61" s="2646"/>
      <c r="AJ61" s="2646"/>
      <c r="AK61" s="2646"/>
      <c r="AL61" s="2646"/>
      <c r="AM61" s="2646"/>
      <c r="AN61" s="2646"/>
      <c r="AO61" s="2646"/>
      <c r="AP61" s="2646"/>
      <c r="AQ61" s="2646"/>
      <c r="AR61" s="2646"/>
      <c r="AS61" s="2646"/>
      <c r="AT61" s="2646"/>
      <c r="AU61" s="2646"/>
      <c r="AV61" s="2646"/>
      <c r="AW61" s="2646"/>
      <c r="AX61" s="2646"/>
      <c r="AY61" s="2646"/>
      <c r="AZ61" s="2646"/>
      <c r="BA61" s="2646"/>
      <c r="BB61" s="2646"/>
      <c r="BC61" s="2646"/>
      <c r="BD61" s="2646"/>
      <c r="BE61" s="2646"/>
      <c r="BF61" s="2646"/>
      <c r="BG61" s="2646"/>
      <c r="BH61" s="2646"/>
    </row>
    <row r="62" spans="1:60">
      <c r="A62" s="2653">
        <v>10</v>
      </c>
      <c r="B62" s="2650" t="str">
        <f>"      ("&amp;TEXT(SIT,"0.00#%")&amp;" * "&amp;TEXT(I59,"##.####%")&amp;" * "&amp;TEXT(APPORT,"##.####%")&amp;")"</f>
        <v xml:space="preserve">      (5.00% * 99.8% * 99.37%)</v>
      </c>
      <c r="C62" s="2650"/>
      <c r="D62" s="2650"/>
      <c r="E62" s="2650"/>
      <c r="F62" s="2650"/>
      <c r="G62" s="2650"/>
      <c r="H62" s="2650"/>
      <c r="I62" s="2660">
        <f>ROUND(SIT*SCH_H!I59*APPORT,6)</f>
        <v>4.9585999999999998E-2</v>
      </c>
      <c r="J62" s="2645"/>
      <c r="K62" s="2646"/>
      <c r="L62" s="2646"/>
      <c r="M62" s="2647"/>
      <c r="N62" s="2647"/>
      <c r="O62" s="2646"/>
      <c r="P62" s="2646"/>
      <c r="Q62" s="2646"/>
      <c r="R62" s="2646"/>
      <c r="S62" s="2646"/>
      <c r="T62" s="2646"/>
      <c r="U62" s="2646"/>
      <c r="V62" s="2646"/>
      <c r="W62" s="2646"/>
      <c r="X62" s="2646"/>
      <c r="Y62" s="2646"/>
      <c r="Z62" s="2646"/>
      <c r="AA62" s="2646"/>
      <c r="AB62" s="2646"/>
      <c r="AC62" s="2646"/>
      <c r="AD62" s="2646"/>
      <c r="AE62" s="2646"/>
      <c r="AF62" s="2646"/>
      <c r="AG62" s="2646"/>
      <c r="AH62" s="2646"/>
      <c r="AI62" s="2646"/>
      <c r="AJ62" s="2646"/>
      <c r="AK62" s="2646"/>
      <c r="AL62" s="2646"/>
      <c r="AM62" s="2646"/>
      <c r="AN62" s="2646"/>
      <c r="AO62" s="2646"/>
      <c r="AP62" s="2646"/>
      <c r="AQ62" s="2646"/>
      <c r="AR62" s="2646"/>
      <c r="AS62" s="2646"/>
      <c r="AT62" s="2646"/>
      <c r="AU62" s="2646"/>
      <c r="AV62" s="2646"/>
      <c r="AW62" s="2646"/>
      <c r="AX62" s="2646"/>
      <c r="AY62" s="2646"/>
      <c r="AZ62" s="2646"/>
      <c r="BA62" s="2646"/>
      <c r="BB62" s="2646"/>
      <c r="BC62" s="2646"/>
      <c r="BD62" s="2646"/>
      <c r="BE62" s="2646"/>
      <c r="BF62" s="2646"/>
      <c r="BG62" s="2646"/>
      <c r="BH62" s="2646"/>
    </row>
    <row r="63" spans="1:60">
      <c r="A63" s="2657">
        <v>11</v>
      </c>
      <c r="B63" s="2650"/>
      <c r="C63" s="2650"/>
      <c r="D63" s="2650"/>
      <c r="E63" s="2650"/>
      <c r="F63" s="2650"/>
      <c r="G63" s="2650"/>
      <c r="H63" s="2650"/>
      <c r="I63" s="2655"/>
      <c r="J63" s="2645"/>
      <c r="K63" s="2646"/>
      <c r="L63" s="2646"/>
      <c r="M63" s="2647"/>
      <c r="N63" s="2647"/>
      <c r="O63" s="2646"/>
      <c r="P63" s="2646"/>
      <c r="Q63" s="2646"/>
      <c r="R63" s="2646"/>
      <c r="S63" s="2646"/>
      <c r="T63" s="2646"/>
      <c r="U63" s="2646"/>
      <c r="V63" s="2646"/>
      <c r="W63" s="2646"/>
      <c r="X63" s="2646"/>
      <c r="Y63" s="2646"/>
      <c r="Z63" s="2646"/>
      <c r="AA63" s="2646"/>
      <c r="AB63" s="2646"/>
      <c r="AC63" s="2646"/>
      <c r="AD63" s="2646"/>
      <c r="AE63" s="2646"/>
      <c r="AF63" s="2646"/>
      <c r="AG63" s="2646"/>
      <c r="AH63" s="2646"/>
      <c r="AI63" s="2646"/>
      <c r="AJ63" s="2646"/>
      <c r="AK63" s="2646"/>
      <c r="AL63" s="2646"/>
      <c r="AM63" s="2646"/>
      <c r="AN63" s="2646"/>
      <c r="AO63" s="2646"/>
      <c r="AP63" s="2646"/>
      <c r="AQ63" s="2646"/>
      <c r="AR63" s="2646"/>
      <c r="AS63" s="2646"/>
      <c r="AT63" s="2646"/>
      <c r="AU63" s="2646"/>
      <c r="AV63" s="2646"/>
      <c r="AW63" s="2646"/>
      <c r="AX63" s="2646"/>
      <c r="AY63" s="2646"/>
      <c r="AZ63" s="2646"/>
      <c r="BA63" s="2646"/>
      <c r="BB63" s="2646"/>
      <c r="BC63" s="2646"/>
      <c r="BD63" s="2646"/>
      <c r="BE63" s="2646"/>
      <c r="BF63" s="2646"/>
      <c r="BG63" s="2646"/>
      <c r="BH63" s="2646"/>
    </row>
    <row r="64" spans="1:60">
      <c r="A64" s="2657">
        <v>12</v>
      </c>
      <c r="B64" s="2651" t="s">
        <v>2783</v>
      </c>
      <c r="C64" s="2650"/>
      <c r="D64" s="2650"/>
      <c r="E64" s="2650"/>
      <c r="F64" s="2650"/>
      <c r="G64" s="2650"/>
      <c r="H64" s="2650"/>
      <c r="I64" s="2656">
        <f>I59-I62</f>
        <v>0.94841399999999998</v>
      </c>
      <c r="J64" s="2645"/>
      <c r="K64" s="2646"/>
      <c r="L64" s="2646"/>
      <c r="M64" s="2647"/>
      <c r="N64" s="2647"/>
      <c r="O64" s="2646"/>
      <c r="P64" s="2646"/>
      <c r="Q64" s="2646"/>
      <c r="R64" s="2646"/>
      <c r="S64" s="2646"/>
      <c r="T64" s="2646"/>
      <c r="U64" s="2646"/>
      <c r="V64" s="2646"/>
      <c r="W64" s="2646"/>
      <c r="X64" s="2646"/>
      <c r="Y64" s="2646"/>
      <c r="Z64" s="2646"/>
      <c r="AA64" s="2646"/>
      <c r="AB64" s="2646"/>
      <c r="AC64" s="2646"/>
      <c r="AD64" s="2646"/>
      <c r="AE64" s="2646"/>
      <c r="AF64" s="2646"/>
      <c r="AG64" s="2646"/>
      <c r="AH64" s="2646"/>
      <c r="AI64" s="2646"/>
      <c r="AJ64" s="2646"/>
      <c r="AK64" s="2646"/>
      <c r="AL64" s="2646"/>
      <c r="AM64" s="2646"/>
      <c r="AN64" s="2646"/>
      <c r="AO64" s="2646"/>
      <c r="AP64" s="2646"/>
      <c r="AQ64" s="2646"/>
      <c r="AR64" s="2646"/>
      <c r="AS64" s="2646"/>
      <c r="AT64" s="2646"/>
      <c r="AU64" s="2646"/>
      <c r="AV64" s="2646"/>
      <c r="AW64" s="2646"/>
      <c r="AX64" s="2646"/>
      <c r="AY64" s="2646"/>
      <c r="AZ64" s="2646"/>
      <c r="BA64" s="2646"/>
      <c r="BB64" s="2646"/>
      <c r="BC64" s="2646"/>
      <c r="BD64" s="2646"/>
      <c r="BE64" s="2646"/>
      <c r="BF64" s="2646"/>
      <c r="BG64" s="2646"/>
      <c r="BH64" s="2646"/>
    </row>
    <row r="65" spans="1:60">
      <c r="A65" s="2653">
        <v>13</v>
      </c>
      <c r="B65" s="2650"/>
      <c r="C65" s="2650"/>
      <c r="D65" s="2650"/>
      <c r="E65" s="2650"/>
      <c r="F65" s="2650"/>
      <c r="G65" s="2650"/>
      <c r="H65" s="2650"/>
      <c r="I65" s="2655"/>
      <c r="J65" s="2645"/>
      <c r="K65" s="2646"/>
      <c r="L65" s="2646"/>
      <c r="M65" s="2647"/>
      <c r="N65" s="2647"/>
      <c r="O65" s="2646"/>
      <c r="P65" s="2646"/>
      <c r="Q65" s="2646"/>
      <c r="R65" s="2646"/>
      <c r="S65" s="2646"/>
      <c r="T65" s="2646"/>
      <c r="U65" s="2646"/>
      <c r="V65" s="2646"/>
      <c r="W65" s="2646"/>
      <c r="X65" s="2646"/>
      <c r="Y65" s="2646"/>
      <c r="Z65" s="2646"/>
      <c r="AA65" s="2646"/>
      <c r="AB65" s="2646"/>
      <c r="AC65" s="2646"/>
      <c r="AD65" s="2646"/>
      <c r="AE65" s="2646"/>
      <c r="AF65" s="2646"/>
      <c r="AG65" s="2646"/>
      <c r="AH65" s="2646"/>
      <c r="AI65" s="2646"/>
      <c r="AJ65" s="2646"/>
      <c r="AK65" s="2646"/>
      <c r="AL65" s="2646"/>
      <c r="AM65" s="2646"/>
      <c r="AN65" s="2646"/>
      <c r="AO65" s="2646"/>
      <c r="AP65" s="2646"/>
      <c r="AQ65" s="2646"/>
      <c r="AR65" s="2646"/>
      <c r="AS65" s="2646"/>
      <c r="AT65" s="2646"/>
      <c r="AU65" s="2646"/>
      <c r="AV65" s="2646"/>
      <c r="AW65" s="2646"/>
      <c r="AX65" s="2646"/>
      <c r="AY65" s="2646"/>
      <c r="AZ65" s="2646"/>
      <c r="BA65" s="2646"/>
      <c r="BB65" s="2646"/>
      <c r="BC65" s="2646"/>
      <c r="BD65" s="2646"/>
      <c r="BE65" s="2646"/>
      <c r="BF65" s="2646"/>
      <c r="BG65" s="2646"/>
      <c r="BH65" s="2646"/>
    </row>
    <row r="66" spans="1:60">
      <c r="A66" s="2657">
        <v>14</v>
      </c>
      <c r="B66" s="2651" t="str">
        <f>"        Federal Income Tax ("&amp;TEXT(FIT,"##%")&amp;" x "&amp;TEXT(I64,"##.####%")&amp;")"</f>
        <v xml:space="preserve">        Federal Income Tax (21% x 94.8414%)</v>
      </c>
      <c r="C66" s="2658"/>
      <c r="D66" s="2663"/>
      <c r="E66" s="2663"/>
      <c r="F66" s="2658"/>
      <c r="G66" s="2651"/>
      <c r="H66" s="2651"/>
      <c r="I66" s="2660">
        <f>ROUND(FIT*I64,6)</f>
        <v>0.19916700000000001</v>
      </c>
      <c r="J66" s="2645"/>
      <c r="K66" s="2646"/>
      <c r="L66" s="2646"/>
      <c r="M66" s="2647"/>
      <c r="N66" s="2647"/>
      <c r="O66" s="2646"/>
      <c r="P66" s="2646"/>
      <c r="Q66" s="2646"/>
      <c r="R66" s="2646"/>
      <c r="S66" s="2646"/>
      <c r="T66" s="2646"/>
      <c r="U66" s="2646"/>
      <c r="V66" s="2646"/>
      <c r="W66" s="2646"/>
      <c r="X66" s="2646"/>
      <c r="Y66" s="2646"/>
      <c r="Z66" s="2646"/>
      <c r="AA66" s="2646"/>
      <c r="AB66" s="2646"/>
      <c r="AC66" s="2646"/>
      <c r="AD66" s="2646"/>
      <c r="AE66" s="2646"/>
      <c r="AF66" s="2646"/>
      <c r="AG66" s="2646"/>
      <c r="AH66" s="2646"/>
      <c r="AI66" s="2646"/>
      <c r="AJ66" s="2646"/>
      <c r="AK66" s="2646"/>
      <c r="AL66" s="2646"/>
      <c r="AM66" s="2646"/>
      <c r="AN66" s="2646"/>
      <c r="AO66" s="2646"/>
      <c r="AP66" s="2646"/>
      <c r="AQ66" s="2646"/>
      <c r="AR66" s="2646"/>
      <c r="AS66" s="2646"/>
      <c r="AT66" s="2646"/>
      <c r="AU66" s="2646"/>
      <c r="AV66" s="2646"/>
      <c r="AW66" s="2646"/>
      <c r="AX66" s="2646"/>
      <c r="AY66" s="2646"/>
      <c r="AZ66" s="2646"/>
      <c r="BA66" s="2646"/>
      <c r="BB66" s="2646"/>
      <c r="BC66" s="2646"/>
      <c r="BD66" s="2646"/>
      <c r="BE66" s="2646"/>
      <c r="BF66" s="2646"/>
      <c r="BG66" s="2646"/>
      <c r="BH66" s="2646"/>
    </row>
    <row r="67" spans="1:60">
      <c r="A67" s="2657">
        <v>15</v>
      </c>
      <c r="B67" s="2650"/>
      <c r="C67" s="2658"/>
      <c r="D67" s="2650"/>
      <c r="E67" s="2650"/>
      <c r="F67" s="2655"/>
      <c r="G67" s="2650"/>
      <c r="H67" s="2650"/>
      <c r="I67" s="2661"/>
      <c r="J67" s="2645"/>
      <c r="K67" s="2646"/>
      <c r="L67" s="2646"/>
      <c r="M67" s="2647"/>
      <c r="N67" s="2647"/>
      <c r="O67" s="2646"/>
      <c r="P67" s="2646"/>
      <c r="Q67" s="2646"/>
      <c r="R67" s="2646"/>
      <c r="S67" s="2646"/>
      <c r="T67" s="2646"/>
      <c r="U67" s="2646"/>
      <c r="V67" s="2646"/>
      <c r="W67" s="2646"/>
      <c r="X67" s="2646"/>
      <c r="Y67" s="2646"/>
      <c r="Z67" s="2646"/>
      <c r="AA67" s="2646"/>
      <c r="AB67" s="2646"/>
      <c r="AC67" s="2646"/>
      <c r="AD67" s="2646"/>
      <c r="AE67" s="2646"/>
      <c r="AF67" s="2646"/>
      <c r="AG67" s="2646"/>
      <c r="AH67" s="2646"/>
      <c r="AI67" s="2646"/>
      <c r="AJ67" s="2646"/>
      <c r="AK67" s="2646"/>
      <c r="AL67" s="2646"/>
      <c r="AM67" s="2646"/>
      <c r="AN67" s="2646"/>
      <c r="AO67" s="2646"/>
      <c r="AP67" s="2646"/>
      <c r="AQ67" s="2646"/>
      <c r="AR67" s="2646"/>
      <c r="AS67" s="2646"/>
      <c r="AT67" s="2646"/>
      <c r="AU67" s="2646"/>
      <c r="AV67" s="2646"/>
      <c r="AW67" s="2646"/>
      <c r="AX67" s="2646"/>
      <c r="AY67" s="2646"/>
      <c r="AZ67" s="2646"/>
      <c r="BA67" s="2646"/>
      <c r="BB67" s="2646"/>
      <c r="BC67" s="2646"/>
      <c r="BD67" s="2646"/>
      <c r="BE67" s="2646"/>
      <c r="BF67" s="2646"/>
      <c r="BG67" s="2646"/>
      <c r="BH67" s="2646"/>
    </row>
    <row r="68" spans="1:60">
      <c r="A68" s="2653">
        <v>16</v>
      </c>
      <c r="B68" s="2651" t="s">
        <v>2784</v>
      </c>
      <c r="C68" s="2650"/>
      <c r="D68" s="2662"/>
      <c r="E68" s="2662"/>
      <c r="F68" s="2650"/>
      <c r="G68" s="2650"/>
      <c r="H68" s="2650"/>
      <c r="I68" s="2664">
        <f>ROUND(+I64-I66,6)</f>
        <v>0.749247</v>
      </c>
      <c r="J68" s="2645"/>
      <c r="K68" s="2646"/>
      <c r="L68" s="2646"/>
      <c r="M68" s="2647"/>
      <c r="N68" s="2647"/>
      <c r="O68" s="2646"/>
      <c r="P68" s="2646"/>
      <c r="Q68" s="2646"/>
      <c r="R68" s="2646"/>
      <c r="S68" s="2646"/>
      <c r="T68" s="2646"/>
      <c r="U68" s="2646"/>
      <c r="V68" s="2646"/>
      <c r="W68" s="2646"/>
      <c r="X68" s="2646"/>
      <c r="Y68" s="2646"/>
      <c r="Z68" s="2646"/>
      <c r="AA68" s="2646"/>
      <c r="AB68" s="2646"/>
      <c r="AC68" s="2646"/>
      <c r="AD68" s="2646"/>
      <c r="AE68" s="2646"/>
      <c r="AF68" s="2646"/>
      <c r="AG68" s="2646"/>
      <c r="AH68" s="2646"/>
      <c r="AI68" s="2646"/>
      <c r="AJ68" s="2646"/>
      <c r="AK68" s="2646"/>
      <c r="AL68" s="2646"/>
      <c r="AM68" s="2646"/>
      <c r="AN68" s="2646"/>
      <c r="AO68" s="2646"/>
      <c r="AP68" s="2646"/>
      <c r="AQ68" s="2646"/>
      <c r="AR68" s="2646"/>
      <c r="AS68" s="2646"/>
      <c r="AT68" s="2646"/>
      <c r="AU68" s="2646"/>
      <c r="AV68" s="2646"/>
      <c r="AW68" s="2646"/>
      <c r="AX68" s="2646"/>
      <c r="AY68" s="2646"/>
      <c r="AZ68" s="2646"/>
      <c r="BA68" s="2646"/>
      <c r="BB68" s="2646"/>
      <c r="BC68" s="2646"/>
      <c r="BD68" s="2646"/>
      <c r="BE68" s="2646"/>
      <c r="BF68" s="2646"/>
      <c r="BG68" s="2646"/>
      <c r="BH68" s="2646"/>
    </row>
    <row r="69" spans="1:60">
      <c r="A69" s="2657">
        <v>17</v>
      </c>
      <c r="B69" s="2650"/>
      <c r="C69" s="2650"/>
      <c r="D69" s="2650"/>
      <c r="E69" s="2650"/>
      <c r="F69" s="2650"/>
      <c r="G69" s="2650"/>
      <c r="H69" s="2650"/>
      <c r="I69" s="2663"/>
      <c r="J69" s="2645"/>
      <c r="K69" s="2646"/>
      <c r="L69" s="2646"/>
      <c r="M69" s="2647"/>
      <c r="N69" s="2647"/>
      <c r="O69" s="2646"/>
      <c r="P69" s="2646"/>
      <c r="Q69" s="2646"/>
      <c r="R69" s="2646"/>
      <c r="S69" s="2646"/>
      <c r="T69" s="2646"/>
      <c r="U69" s="2646"/>
      <c r="V69" s="2646"/>
      <c r="W69" s="2646"/>
      <c r="X69" s="2646"/>
      <c r="Y69" s="2646"/>
      <c r="Z69" s="2646"/>
      <c r="AA69" s="2646"/>
      <c r="AB69" s="2646"/>
      <c r="AC69" s="2646"/>
      <c r="AD69" s="2646"/>
      <c r="AE69" s="2646"/>
      <c r="AF69" s="2646"/>
      <c r="AG69" s="2646"/>
      <c r="AH69" s="2646"/>
      <c r="AI69" s="2646"/>
      <c r="AJ69" s="2646"/>
      <c r="AK69" s="2646"/>
      <c r="AL69" s="2646"/>
      <c r="AM69" s="2646"/>
      <c r="AN69" s="2646"/>
      <c r="AO69" s="2646"/>
      <c r="AP69" s="2646"/>
      <c r="AQ69" s="2646"/>
      <c r="AR69" s="2646"/>
      <c r="AS69" s="2646"/>
      <c r="AT69" s="2646"/>
      <c r="AU69" s="2646"/>
      <c r="AV69" s="2646"/>
      <c r="AW69" s="2646"/>
      <c r="AX69" s="2646"/>
      <c r="AY69" s="2646"/>
      <c r="AZ69" s="2646"/>
      <c r="BA69" s="2646"/>
      <c r="BB69" s="2646"/>
      <c r="BC69" s="2646"/>
      <c r="BD69" s="2646"/>
      <c r="BE69" s="2646"/>
      <c r="BF69" s="2646"/>
      <c r="BG69" s="2646"/>
      <c r="BH69" s="2646"/>
    </row>
    <row r="70" spans="1:60">
      <c r="A70" s="2657">
        <v>18</v>
      </c>
      <c r="B70" s="2651" t="str">
        <f>"   Gross Revenue Conversion Factor ("&amp;TEXT(I53,"####%")&amp;" / "&amp;TEXT(I68,"##.####%")&amp;")"</f>
        <v xml:space="preserve">   Gross Revenue Conversion Factor (100% / 74.9247%)</v>
      </c>
      <c r="C70" s="2650"/>
      <c r="D70" s="2650"/>
      <c r="E70" s="2650"/>
      <c r="F70" s="2650"/>
      <c r="G70" s="2650"/>
      <c r="H70" s="2650"/>
      <c r="I70" s="2665">
        <f>ROUND((I53/I68),6)</f>
        <v>1.334673</v>
      </c>
      <c r="J70" s="2645"/>
      <c r="K70" s="2646"/>
      <c r="L70" s="2646"/>
      <c r="M70" s="2647"/>
      <c r="N70" s="2647"/>
      <c r="O70" s="2646"/>
      <c r="P70" s="2646"/>
      <c r="Q70" s="2646"/>
      <c r="R70" s="2646"/>
      <c r="S70" s="2646"/>
      <c r="T70" s="2646"/>
      <c r="U70" s="2646"/>
      <c r="V70" s="2646"/>
      <c r="W70" s="2646"/>
      <c r="X70" s="2646"/>
      <c r="Y70" s="2646"/>
      <c r="Z70" s="2646"/>
      <c r="AA70" s="2646"/>
      <c r="AB70" s="2646"/>
      <c r="AC70" s="2646"/>
      <c r="AD70" s="2646"/>
      <c r="AE70" s="2646"/>
      <c r="AF70" s="2646"/>
      <c r="AG70" s="2646"/>
      <c r="AH70" s="2646"/>
      <c r="AI70" s="2646"/>
      <c r="AJ70" s="2646"/>
      <c r="AK70" s="2646"/>
      <c r="AL70" s="2646"/>
      <c r="AM70" s="2646"/>
      <c r="AN70" s="2646"/>
      <c r="AO70" s="2646"/>
      <c r="AP70" s="2646"/>
      <c r="AQ70" s="2646"/>
      <c r="AR70" s="2646"/>
      <c r="AS70" s="2646"/>
      <c r="AT70" s="2646"/>
      <c r="AU70" s="2646"/>
      <c r="AV70" s="2646"/>
      <c r="AW70" s="2646"/>
      <c r="AX70" s="2646"/>
      <c r="AY70" s="2646"/>
      <c r="AZ70" s="2646"/>
      <c r="BA70" s="2646"/>
      <c r="BB70" s="2646"/>
      <c r="BC70" s="2646"/>
      <c r="BD70" s="2646"/>
      <c r="BE70" s="2646"/>
      <c r="BF70" s="2646"/>
      <c r="BG70" s="2646"/>
      <c r="BH70" s="2646"/>
    </row>
    <row r="71" spans="1:60">
      <c r="J71" s="2645"/>
      <c r="K71" s="2646"/>
      <c r="L71" s="2646"/>
      <c r="M71" s="2647"/>
      <c r="N71" s="2647"/>
      <c r="O71" s="2646"/>
      <c r="P71" s="2646"/>
      <c r="Q71" s="2646"/>
      <c r="R71" s="2646"/>
      <c r="S71" s="2646"/>
      <c r="T71" s="2646"/>
      <c r="U71" s="2646"/>
      <c r="V71" s="2646"/>
      <c r="W71" s="2646"/>
      <c r="X71" s="2646"/>
      <c r="Y71" s="2646"/>
      <c r="Z71" s="2646"/>
      <c r="AA71" s="2646"/>
      <c r="AB71" s="2646"/>
      <c r="AC71" s="2646"/>
      <c r="AD71" s="2646"/>
      <c r="AE71" s="2646"/>
      <c r="AF71" s="2646"/>
      <c r="AG71" s="2646"/>
      <c r="AH71" s="2646"/>
      <c r="AI71" s="2646"/>
      <c r="AJ71" s="2646"/>
      <c r="AK71" s="2646"/>
      <c r="AL71" s="2646"/>
      <c r="AM71" s="2646"/>
      <c r="AN71" s="2646"/>
      <c r="AO71" s="2646"/>
      <c r="AP71" s="2646"/>
      <c r="AQ71" s="2646"/>
      <c r="AR71" s="2646"/>
      <c r="AS71" s="2646"/>
      <c r="AT71" s="2646"/>
      <c r="AU71" s="2646"/>
      <c r="AV71" s="2646"/>
      <c r="AW71" s="2646"/>
      <c r="AX71" s="2646"/>
      <c r="AY71" s="2646"/>
      <c r="AZ71" s="2646"/>
      <c r="BA71" s="2646"/>
      <c r="BB71" s="2646"/>
      <c r="BC71" s="2646"/>
      <c r="BD71" s="2646"/>
      <c r="BE71" s="2646"/>
      <c r="BF71" s="2646"/>
      <c r="BG71" s="2646"/>
      <c r="BH71" s="2646"/>
    </row>
    <row r="72" spans="1:60">
      <c r="J72" s="2645"/>
      <c r="K72" s="2646"/>
      <c r="L72" s="2646"/>
      <c r="M72" s="2647"/>
      <c r="N72" s="2647"/>
      <c r="O72" s="2646"/>
      <c r="P72" s="2646"/>
      <c r="Q72" s="2646"/>
      <c r="R72" s="2646"/>
      <c r="S72" s="2646"/>
      <c r="T72" s="2646"/>
      <c r="U72" s="2646"/>
      <c r="V72" s="2646"/>
      <c r="W72" s="2646"/>
      <c r="X72" s="2646"/>
      <c r="Y72" s="2646"/>
      <c r="Z72" s="2646"/>
      <c r="AA72" s="2646"/>
      <c r="AB72" s="2646"/>
      <c r="AC72" s="2646"/>
      <c r="AD72" s="2646"/>
      <c r="AE72" s="2646"/>
      <c r="AF72" s="2646"/>
      <c r="AG72" s="2646"/>
      <c r="AH72" s="2646"/>
      <c r="AI72" s="2646"/>
      <c r="AJ72" s="2646"/>
      <c r="AK72" s="2646"/>
      <c r="AL72" s="2646"/>
      <c r="AM72" s="2646"/>
      <c r="AN72" s="2646"/>
      <c r="AO72" s="2646"/>
      <c r="AP72" s="2646"/>
      <c r="AQ72" s="2646"/>
      <c r="AR72" s="2646"/>
      <c r="AS72" s="2646"/>
      <c r="AT72" s="2646"/>
      <c r="AU72" s="2646"/>
      <c r="AV72" s="2646"/>
      <c r="AW72" s="2646"/>
      <c r="AX72" s="2646"/>
      <c r="AY72" s="2646"/>
      <c r="AZ72" s="2646"/>
      <c r="BA72" s="2646"/>
      <c r="BB72" s="2646"/>
      <c r="BC72" s="2646"/>
      <c r="BD72" s="2646"/>
      <c r="BE72" s="2646"/>
      <c r="BF72" s="2646"/>
      <c r="BG72" s="2646"/>
      <c r="BH72" s="2646"/>
    </row>
    <row r="73" spans="1:60">
      <c r="J73" s="2645"/>
      <c r="K73" s="2646"/>
      <c r="L73" s="2646"/>
      <c r="M73" s="2647"/>
      <c r="N73" s="2647"/>
      <c r="O73" s="2646"/>
      <c r="P73" s="2646"/>
      <c r="Q73" s="2646"/>
      <c r="R73" s="2646"/>
      <c r="S73" s="2646"/>
      <c r="T73" s="2646"/>
      <c r="U73" s="2646"/>
      <c r="V73" s="2646"/>
      <c r="W73" s="2646"/>
      <c r="X73" s="2646"/>
      <c r="Y73" s="2646"/>
      <c r="Z73" s="2646"/>
      <c r="AA73" s="2646"/>
      <c r="AB73" s="2646"/>
      <c r="AC73" s="2646"/>
      <c r="AD73" s="2646"/>
      <c r="AE73" s="2646"/>
      <c r="AF73" s="2646"/>
      <c r="AG73" s="2646"/>
      <c r="AH73" s="2646"/>
      <c r="AI73" s="2646"/>
      <c r="AJ73" s="2646"/>
      <c r="AK73" s="2646"/>
      <c r="AL73" s="2646"/>
      <c r="AM73" s="2646"/>
      <c r="AN73" s="2646"/>
      <c r="AO73" s="2646"/>
      <c r="AP73" s="2646"/>
      <c r="AQ73" s="2646"/>
      <c r="AR73" s="2646"/>
      <c r="AS73" s="2646"/>
      <c r="AT73" s="2646"/>
      <c r="AU73" s="2646"/>
      <c r="AV73" s="2646"/>
      <c r="AW73" s="2646"/>
      <c r="AX73" s="2646"/>
      <c r="AY73" s="2646"/>
      <c r="AZ73" s="2646"/>
      <c r="BA73" s="2646"/>
      <c r="BB73" s="2646"/>
      <c r="BC73" s="2646"/>
      <c r="BD73" s="2646"/>
      <c r="BE73" s="2646"/>
      <c r="BF73" s="2646"/>
      <c r="BG73" s="2646"/>
      <c r="BH73" s="2646"/>
    </row>
    <row r="74" spans="1:60">
      <c r="J74" s="2645"/>
      <c r="K74" s="2646"/>
      <c r="L74" s="2646"/>
      <c r="M74" s="2647"/>
      <c r="N74" s="2647"/>
      <c r="O74" s="2646"/>
      <c r="P74" s="2646"/>
      <c r="Q74" s="2646"/>
      <c r="R74" s="2646"/>
      <c r="S74" s="2646"/>
      <c r="T74" s="2646"/>
      <c r="U74" s="2646"/>
      <c r="V74" s="2646"/>
      <c r="W74" s="2646"/>
      <c r="X74" s="2646"/>
      <c r="Y74" s="2646"/>
      <c r="Z74" s="2646"/>
      <c r="AA74" s="2646"/>
      <c r="AB74" s="2646"/>
      <c r="AC74" s="2646"/>
      <c r="AD74" s="2646"/>
      <c r="AE74" s="2646"/>
      <c r="AF74" s="2646"/>
      <c r="AG74" s="2646"/>
      <c r="AH74" s="2646"/>
      <c r="AI74" s="2646"/>
      <c r="AJ74" s="2646"/>
      <c r="AK74" s="2646"/>
      <c r="AL74" s="2646"/>
      <c r="AM74" s="2646"/>
      <c r="AN74" s="2646"/>
      <c r="AO74" s="2646"/>
      <c r="AP74" s="2646"/>
      <c r="AQ74" s="2646"/>
      <c r="AR74" s="2646"/>
      <c r="AS74" s="2646"/>
      <c r="AT74" s="2646"/>
      <c r="AU74" s="2646"/>
      <c r="AV74" s="2646"/>
      <c r="AW74" s="2646"/>
      <c r="AX74" s="2646"/>
      <c r="AY74" s="2646"/>
      <c r="AZ74" s="2646"/>
      <c r="BA74" s="2646"/>
      <c r="BB74" s="2646"/>
      <c r="BC74" s="2646"/>
      <c r="BD74" s="2646"/>
      <c r="BE74" s="2646"/>
      <c r="BF74" s="2646"/>
      <c r="BG74" s="2646"/>
      <c r="BH74" s="2646"/>
    </row>
    <row r="75" spans="1:60">
      <c r="J75" s="2645"/>
      <c r="K75" s="2646"/>
      <c r="L75" s="2646"/>
      <c r="M75" s="2647"/>
      <c r="N75" s="2647"/>
      <c r="O75" s="2646"/>
      <c r="P75" s="2646"/>
      <c r="Q75" s="2646"/>
      <c r="R75" s="2646"/>
      <c r="S75" s="2646"/>
      <c r="T75" s="2646"/>
      <c r="U75" s="2646"/>
      <c r="V75" s="2646"/>
      <c r="W75" s="2646"/>
      <c r="X75" s="2646"/>
      <c r="Y75" s="2646"/>
      <c r="Z75" s="2646"/>
      <c r="AA75" s="2646"/>
      <c r="AB75" s="2646"/>
      <c r="AC75" s="2646"/>
      <c r="AD75" s="2646"/>
      <c r="AE75" s="2646"/>
      <c r="AF75" s="2646"/>
      <c r="AG75" s="2646"/>
      <c r="AH75" s="2646"/>
      <c r="AI75" s="2646"/>
      <c r="AJ75" s="2646"/>
      <c r="AK75" s="2646"/>
      <c r="AL75" s="2646"/>
      <c r="AM75" s="2646"/>
      <c r="AN75" s="2646"/>
      <c r="AO75" s="2646"/>
      <c r="AP75" s="2646"/>
      <c r="AQ75" s="2646"/>
      <c r="AR75" s="2646"/>
      <c r="AS75" s="2646"/>
      <c r="AT75" s="2646"/>
      <c r="AU75" s="2646"/>
      <c r="AV75" s="2646"/>
      <c r="AW75" s="2646"/>
      <c r="AX75" s="2646"/>
      <c r="AY75" s="2646"/>
      <c r="AZ75" s="2646"/>
      <c r="BA75" s="2646"/>
      <c r="BB75" s="2646"/>
      <c r="BC75" s="2646"/>
      <c r="BD75" s="2646"/>
      <c r="BE75" s="2646"/>
      <c r="BF75" s="2646"/>
      <c r="BG75" s="2646"/>
      <c r="BH75" s="2646"/>
    </row>
    <row r="76" spans="1:60">
      <c r="J76" s="2645"/>
      <c r="K76" s="2646"/>
      <c r="L76" s="2646"/>
      <c r="M76" s="2647"/>
      <c r="N76" s="2647"/>
      <c r="O76" s="2646"/>
      <c r="P76" s="2646"/>
      <c r="Q76" s="2646"/>
      <c r="R76" s="2646"/>
      <c r="S76" s="2646"/>
      <c r="T76" s="2646"/>
      <c r="U76" s="2646"/>
      <c r="V76" s="2646"/>
      <c r="W76" s="2646"/>
      <c r="X76" s="2646"/>
      <c r="Y76" s="2646"/>
      <c r="Z76" s="2646"/>
      <c r="AA76" s="2646"/>
      <c r="AB76" s="2646"/>
      <c r="AC76" s="2646"/>
      <c r="AD76" s="2646"/>
      <c r="AE76" s="2646"/>
      <c r="AF76" s="2646"/>
      <c r="AG76" s="2646"/>
      <c r="AH76" s="2646"/>
      <c r="AI76" s="2646"/>
      <c r="AJ76" s="2646"/>
      <c r="AK76" s="2646"/>
      <c r="AL76" s="2646"/>
      <c r="AM76" s="2646"/>
      <c r="AN76" s="2646"/>
      <c r="AO76" s="2646"/>
      <c r="AP76" s="2646"/>
      <c r="AQ76" s="2646"/>
      <c r="AR76" s="2646"/>
      <c r="AS76" s="2646"/>
      <c r="AT76" s="2646"/>
      <c r="AU76" s="2646"/>
      <c r="AV76" s="2646"/>
      <c r="AW76" s="2646"/>
      <c r="AX76" s="2646"/>
      <c r="AY76" s="2646"/>
      <c r="AZ76" s="2646"/>
      <c r="BA76" s="2646"/>
      <c r="BB76" s="2646"/>
      <c r="BC76" s="2646"/>
      <c r="BD76" s="2646"/>
      <c r="BE76" s="2646"/>
      <c r="BF76" s="2646"/>
      <c r="BG76" s="2646"/>
      <c r="BH76" s="2646"/>
    </row>
    <row r="77" spans="1:60">
      <c r="F77" s="2646"/>
      <c r="G77" s="2646"/>
      <c r="H77" s="2646"/>
      <c r="I77" s="2646"/>
      <c r="J77" s="2645"/>
      <c r="K77" s="2646"/>
      <c r="L77" s="2646"/>
      <c r="M77" s="2647"/>
      <c r="N77" s="2647"/>
      <c r="O77" s="2646"/>
      <c r="P77" s="2646"/>
      <c r="Q77" s="2646"/>
      <c r="R77" s="2646"/>
      <c r="S77" s="2646"/>
      <c r="T77" s="2646"/>
      <c r="U77" s="2646"/>
      <c r="V77" s="2646"/>
      <c r="W77" s="2646"/>
      <c r="X77" s="2646"/>
      <c r="Y77" s="2646"/>
      <c r="Z77" s="2646"/>
      <c r="AA77" s="2646"/>
      <c r="AB77" s="2646"/>
      <c r="AC77" s="2646"/>
      <c r="AD77" s="2646"/>
      <c r="AE77" s="2646"/>
      <c r="AF77" s="2646"/>
      <c r="AG77" s="2646"/>
      <c r="AH77" s="2646"/>
      <c r="AI77" s="2646"/>
      <c r="AJ77" s="2646"/>
      <c r="AK77" s="2646"/>
      <c r="AL77" s="2646"/>
      <c r="AM77" s="2646"/>
      <c r="AN77" s="2646"/>
      <c r="AO77" s="2646"/>
      <c r="AP77" s="2646"/>
      <c r="AQ77" s="2646"/>
      <c r="AR77" s="2646"/>
      <c r="AS77" s="2646"/>
      <c r="AT77" s="2646"/>
      <c r="AU77" s="2646"/>
      <c r="AV77" s="2646"/>
      <c r="AW77" s="2646"/>
      <c r="AX77" s="2646"/>
      <c r="AY77" s="2646"/>
      <c r="AZ77" s="2646"/>
      <c r="BA77" s="2646"/>
      <c r="BB77" s="2646"/>
      <c r="BC77" s="2646"/>
      <c r="BD77" s="2646"/>
      <c r="BE77" s="2646"/>
      <c r="BF77" s="2646"/>
      <c r="BG77" s="2646"/>
      <c r="BH77" s="2646"/>
    </row>
    <row r="78" spans="1:60">
      <c r="F78" s="2646"/>
      <c r="G78" s="2646"/>
      <c r="H78" s="2646"/>
      <c r="I78" s="2646"/>
      <c r="J78" s="2645"/>
      <c r="AC78" s="2646"/>
      <c r="AD78" s="2646"/>
      <c r="AE78" s="2646"/>
      <c r="AF78" s="2646"/>
      <c r="AG78" s="2646"/>
      <c r="AH78" s="2646"/>
      <c r="AI78" s="2646"/>
      <c r="AJ78" s="2646"/>
      <c r="AK78" s="2646"/>
      <c r="AL78" s="2646"/>
      <c r="AM78" s="2646"/>
      <c r="AN78" s="2646"/>
      <c r="AO78" s="2646"/>
      <c r="AP78" s="2646"/>
      <c r="AQ78" s="2646"/>
      <c r="AR78" s="2646"/>
      <c r="AS78" s="2646"/>
      <c r="AT78" s="2646"/>
      <c r="AU78" s="2646"/>
      <c r="AV78" s="2646"/>
      <c r="AW78" s="2646"/>
      <c r="AX78" s="2646"/>
      <c r="AY78" s="2646"/>
      <c r="AZ78" s="2646"/>
      <c r="BA78" s="2646"/>
      <c r="BB78" s="2646"/>
      <c r="BC78" s="2646"/>
      <c r="BD78" s="2646"/>
      <c r="BE78" s="2646"/>
      <c r="BF78" s="2646"/>
      <c r="BG78" s="2646"/>
      <c r="BH78" s="2646"/>
    </row>
    <row r="79" spans="1:60">
      <c r="F79" s="2666"/>
      <c r="G79" s="2666"/>
      <c r="H79" s="2666"/>
      <c r="I79" s="3578"/>
      <c r="J79" s="2645"/>
      <c r="AC79" s="2646"/>
      <c r="AD79" s="2646"/>
      <c r="AE79" s="2646"/>
      <c r="AF79" s="2646"/>
      <c r="AG79" s="2646"/>
      <c r="AH79" s="2646"/>
      <c r="AI79" s="2646"/>
      <c r="AJ79" s="2646"/>
      <c r="AK79" s="2646"/>
      <c r="AL79" s="2646"/>
      <c r="AM79" s="2646"/>
      <c r="AN79" s="2646"/>
      <c r="AO79" s="2646"/>
      <c r="AP79" s="2646"/>
      <c r="AQ79" s="2646"/>
      <c r="AR79" s="2646"/>
      <c r="AS79" s="2646"/>
      <c r="AT79" s="2646"/>
      <c r="AU79" s="2646"/>
      <c r="AV79" s="2646"/>
      <c r="AW79" s="2646"/>
      <c r="AX79" s="2646"/>
      <c r="AY79" s="2646"/>
      <c r="AZ79" s="2646"/>
      <c r="BA79" s="2646"/>
      <c r="BB79" s="2646"/>
      <c r="BC79" s="2646"/>
      <c r="BD79" s="2646"/>
      <c r="BE79" s="2646"/>
      <c r="BF79" s="2646"/>
      <c r="BG79" s="2646"/>
      <c r="BH79" s="2646"/>
    </row>
    <row r="80" spans="1:60">
      <c r="F80" s="2646"/>
      <c r="G80" s="2646"/>
      <c r="H80" s="2646"/>
      <c r="I80" s="2646"/>
      <c r="J80" s="2645"/>
      <c r="AC80" s="2646"/>
      <c r="AD80" s="2646"/>
      <c r="AE80" s="2646"/>
      <c r="AF80" s="2646"/>
      <c r="AG80" s="2646"/>
      <c r="AH80" s="2646"/>
      <c r="AI80" s="2646"/>
      <c r="AJ80" s="2646"/>
      <c r="AK80" s="2646"/>
      <c r="AL80" s="2646"/>
      <c r="AM80" s="2646"/>
      <c r="AN80" s="2646"/>
      <c r="AO80" s="2646"/>
      <c r="AP80" s="2646"/>
      <c r="AQ80" s="2646"/>
      <c r="AR80" s="2646"/>
      <c r="AS80" s="2646"/>
      <c r="AT80" s="2646"/>
      <c r="AU80" s="2646"/>
      <c r="AV80" s="2646"/>
      <c r="AW80" s="2646"/>
      <c r="AX80" s="2646"/>
      <c r="AY80" s="2646"/>
      <c r="AZ80" s="2646"/>
      <c r="BA80" s="2646"/>
      <c r="BB80" s="2646"/>
      <c r="BC80" s="2646"/>
      <c r="BD80" s="2646"/>
      <c r="BE80" s="2646"/>
      <c r="BF80" s="2646"/>
      <c r="BG80" s="2646"/>
      <c r="BH80" s="2646"/>
    </row>
    <row r="81" spans="6:60">
      <c r="F81" s="2646"/>
      <c r="G81" s="2646"/>
      <c r="H81" s="2646"/>
      <c r="I81" s="2646"/>
      <c r="J81" s="2647"/>
      <c r="AC81" s="2646"/>
      <c r="AD81" s="2646"/>
      <c r="AE81" s="2646"/>
      <c r="AF81" s="2646"/>
      <c r="AG81" s="2646"/>
      <c r="AH81" s="2646"/>
      <c r="AI81" s="2646"/>
      <c r="AJ81" s="2646"/>
      <c r="AK81" s="2646"/>
      <c r="AL81" s="2646"/>
      <c r="AM81" s="2646"/>
      <c r="AN81" s="2646"/>
      <c r="AO81" s="2646"/>
      <c r="AP81" s="2646"/>
      <c r="AQ81" s="2646"/>
      <c r="AR81" s="2646"/>
      <c r="AS81" s="2646"/>
      <c r="AT81" s="2646"/>
      <c r="AU81" s="2646"/>
      <c r="AV81" s="2646"/>
      <c r="AW81" s="2646"/>
      <c r="AX81" s="2646"/>
      <c r="AY81" s="2646"/>
      <c r="AZ81" s="2646"/>
      <c r="BA81" s="2646"/>
      <c r="BB81" s="2646"/>
      <c r="BC81" s="2646"/>
      <c r="BD81" s="2646"/>
      <c r="BE81" s="2646"/>
      <c r="BF81" s="2646"/>
      <c r="BG81" s="2646"/>
      <c r="BH81" s="2646"/>
    </row>
    <row r="82" spans="6:60">
      <c r="F82" s="2646"/>
      <c r="G82" s="2646"/>
      <c r="H82" s="2646"/>
      <c r="I82" s="2646"/>
      <c r="J82" s="2646"/>
      <c r="AC82" s="2646"/>
      <c r="AD82" s="2646"/>
      <c r="AE82" s="2646"/>
      <c r="AF82" s="2646"/>
      <c r="AG82" s="2646"/>
      <c r="AH82" s="2646"/>
      <c r="AI82" s="2646"/>
      <c r="AJ82" s="2646"/>
      <c r="AK82" s="2646"/>
      <c r="AL82" s="2646"/>
      <c r="AM82" s="2646"/>
      <c r="AN82" s="2646"/>
      <c r="AO82" s="2646"/>
      <c r="AP82" s="2646"/>
      <c r="AQ82" s="2646"/>
      <c r="AR82" s="2646"/>
      <c r="AS82" s="2646"/>
      <c r="AT82" s="2646"/>
      <c r="AU82" s="2646"/>
      <c r="AV82" s="2646"/>
      <c r="AW82" s="2646"/>
      <c r="AX82" s="2646"/>
      <c r="AY82" s="2646"/>
      <c r="AZ82" s="2646"/>
      <c r="BA82" s="2646"/>
      <c r="BB82" s="2646"/>
      <c r="BC82" s="2646"/>
      <c r="BD82" s="2646"/>
      <c r="BE82" s="2646"/>
      <c r="BF82" s="2646"/>
      <c r="BG82" s="2646"/>
      <c r="BH82" s="2646"/>
    </row>
    <row r="83" spans="6:60">
      <c r="J83" s="2645"/>
      <c r="AC83" s="2646"/>
      <c r="AD83" s="2646"/>
      <c r="AE83" s="2646"/>
      <c r="AF83" s="2646"/>
      <c r="AG83" s="2646"/>
      <c r="AH83" s="2646"/>
      <c r="AI83" s="2646"/>
      <c r="AJ83" s="2646"/>
      <c r="AK83" s="2646"/>
      <c r="AL83" s="2646"/>
      <c r="AM83" s="2646"/>
      <c r="AN83" s="2646"/>
      <c r="AO83" s="2646"/>
      <c r="AP83" s="2646"/>
      <c r="AQ83" s="2646"/>
      <c r="AR83" s="2646"/>
      <c r="AS83" s="2646"/>
      <c r="AT83" s="2646"/>
      <c r="AU83" s="2646"/>
      <c r="AV83" s="2646"/>
      <c r="AW83" s="2646"/>
      <c r="AX83" s="2646"/>
      <c r="AY83" s="2646"/>
      <c r="AZ83" s="2646"/>
      <c r="BA83" s="2646"/>
      <c r="BB83" s="2646"/>
      <c r="BC83" s="2646"/>
      <c r="BD83" s="2646"/>
      <c r="BE83" s="2646"/>
      <c r="BF83" s="2646"/>
      <c r="BG83" s="2646"/>
      <c r="BH83" s="2646"/>
    </row>
    <row r="84" spans="6:60">
      <c r="J84" s="2646"/>
      <c r="AC84" s="2646"/>
      <c r="AD84" s="2646"/>
      <c r="AE84" s="2646"/>
      <c r="AF84" s="2646"/>
      <c r="AG84" s="2646"/>
      <c r="AH84" s="2646"/>
      <c r="AI84" s="2646"/>
      <c r="AJ84" s="2646"/>
      <c r="AK84" s="2646"/>
      <c r="AL84" s="2646"/>
      <c r="AM84" s="2646"/>
      <c r="AN84" s="2646"/>
      <c r="AO84" s="2646"/>
      <c r="AP84" s="2646"/>
      <c r="AQ84" s="2646"/>
      <c r="AR84" s="2646"/>
      <c r="AS84" s="2646"/>
      <c r="AT84" s="2646"/>
      <c r="AU84" s="2646"/>
      <c r="AV84" s="2646"/>
      <c r="AW84" s="2646"/>
      <c r="AX84" s="2646"/>
      <c r="AY84" s="2646"/>
      <c r="AZ84" s="2646"/>
      <c r="BA84" s="2646"/>
      <c r="BB84" s="2646"/>
      <c r="BC84" s="2646"/>
      <c r="BD84" s="2646"/>
      <c r="BE84" s="2646"/>
      <c r="BF84" s="2646"/>
      <c r="BG84" s="2646"/>
      <c r="BH84" s="2646"/>
    </row>
    <row r="85" spans="6:60">
      <c r="J85" s="2646"/>
      <c r="AC85" s="2646"/>
      <c r="AD85" s="2646"/>
      <c r="AE85" s="2646"/>
      <c r="AF85" s="2646"/>
      <c r="AG85" s="2646"/>
      <c r="AH85" s="2646"/>
      <c r="AI85" s="2646"/>
      <c r="AJ85" s="2646"/>
      <c r="AK85" s="2646"/>
      <c r="AL85" s="2646"/>
      <c r="AM85" s="2646"/>
      <c r="AN85" s="2646"/>
      <c r="AO85" s="2646"/>
      <c r="AP85" s="2646"/>
      <c r="AQ85" s="2646"/>
      <c r="AR85" s="2646"/>
      <c r="AS85" s="2646"/>
      <c r="AT85" s="2646"/>
      <c r="AU85" s="2646"/>
      <c r="AV85" s="2646"/>
      <c r="AW85" s="2646"/>
      <c r="AX85" s="2646"/>
      <c r="AY85" s="2646"/>
      <c r="AZ85" s="2646"/>
      <c r="BA85" s="2646"/>
      <c r="BB85" s="2646"/>
      <c r="BC85" s="2646"/>
      <c r="BD85" s="2646"/>
      <c r="BE85" s="2646"/>
      <c r="BF85" s="2646"/>
      <c r="BG85" s="2646"/>
      <c r="BH85" s="2646"/>
    </row>
    <row r="86" spans="6:60">
      <c r="J86" s="2668"/>
      <c r="AC86" s="2646"/>
      <c r="AD86" s="2646"/>
      <c r="AE86" s="2646"/>
      <c r="AF86" s="2646"/>
      <c r="AG86" s="2646"/>
      <c r="AH86" s="2646"/>
      <c r="AI86" s="2646"/>
      <c r="AJ86" s="2646"/>
      <c r="AK86" s="2646"/>
      <c r="AL86" s="2646"/>
      <c r="AM86" s="2646"/>
      <c r="AN86" s="2646"/>
      <c r="AO86" s="2646"/>
      <c r="AP86" s="2646"/>
      <c r="AQ86" s="2646"/>
      <c r="AR86" s="2646"/>
      <c r="AS86" s="2646"/>
      <c r="AT86" s="2646"/>
      <c r="AU86" s="2646"/>
      <c r="AV86" s="2646"/>
      <c r="AW86" s="2646"/>
      <c r="AX86" s="2646"/>
      <c r="AY86" s="2646"/>
      <c r="AZ86" s="2646"/>
      <c r="BA86" s="2646"/>
      <c r="BB86" s="2646"/>
      <c r="BC86" s="2646"/>
      <c r="BD86" s="2646"/>
      <c r="BE86" s="2646"/>
      <c r="BF86" s="2646"/>
      <c r="BG86" s="2646"/>
      <c r="BH86" s="2646"/>
    </row>
    <row r="87" spans="6:60">
      <c r="J87" s="2669"/>
      <c r="AC87" s="2646"/>
      <c r="AD87" s="2646"/>
      <c r="AE87" s="2646"/>
      <c r="AF87" s="2646"/>
      <c r="AG87" s="2646"/>
      <c r="AH87" s="2646"/>
      <c r="AI87" s="2646"/>
      <c r="AJ87" s="2646"/>
      <c r="AK87" s="2646"/>
      <c r="AL87" s="2646"/>
      <c r="AM87" s="2646"/>
      <c r="AN87" s="2646"/>
      <c r="AO87" s="2646"/>
      <c r="AP87" s="2646"/>
      <c r="AQ87" s="2646"/>
      <c r="AR87" s="2646"/>
      <c r="AS87" s="2646"/>
      <c r="AT87" s="2646"/>
      <c r="AU87" s="2646"/>
      <c r="AV87" s="2646"/>
      <c r="AW87" s="2646"/>
      <c r="AX87" s="2646"/>
      <c r="AY87" s="2646"/>
      <c r="AZ87" s="2646"/>
      <c r="BA87" s="2646"/>
      <c r="BB87" s="2646"/>
      <c r="BC87" s="2646"/>
      <c r="BD87" s="2646"/>
      <c r="BE87" s="2646"/>
      <c r="BF87" s="2646"/>
      <c r="BG87" s="2646"/>
      <c r="BH87" s="2646"/>
    </row>
    <row r="88" spans="6:60">
      <c r="J88" s="2647"/>
      <c r="AC88" s="2646"/>
      <c r="AD88" s="2646"/>
      <c r="AE88" s="2646"/>
      <c r="AF88" s="2646"/>
      <c r="AG88" s="2646"/>
      <c r="AH88" s="2646"/>
      <c r="AI88" s="2646"/>
      <c r="AJ88" s="2646"/>
      <c r="AK88" s="2646"/>
      <c r="AL88" s="2646"/>
      <c r="AM88" s="2646"/>
      <c r="AN88" s="2646"/>
      <c r="AO88" s="2646"/>
      <c r="AP88" s="2646"/>
      <c r="AQ88" s="2646"/>
      <c r="AR88" s="2646"/>
      <c r="AS88" s="2646"/>
      <c r="AT88" s="2646"/>
      <c r="AU88" s="2646"/>
      <c r="AV88" s="2646"/>
      <c r="AW88" s="2646"/>
      <c r="AX88" s="2646"/>
      <c r="AY88" s="2646"/>
      <c r="AZ88" s="2646"/>
      <c r="BA88" s="2646"/>
      <c r="BB88" s="2646"/>
      <c r="BC88" s="2646"/>
      <c r="BD88" s="2646"/>
      <c r="BE88" s="2646"/>
      <c r="BF88" s="2646"/>
      <c r="BG88" s="2646"/>
      <c r="BH88" s="2646"/>
    </row>
    <row r="89" spans="6:60">
      <c r="J89" s="2668"/>
      <c r="AC89" s="2646"/>
      <c r="AD89" s="2646"/>
      <c r="AE89" s="2646"/>
      <c r="AF89" s="2646"/>
      <c r="AG89" s="2646"/>
      <c r="AH89" s="2646"/>
      <c r="AI89" s="2646"/>
      <c r="AJ89" s="2646"/>
      <c r="AK89" s="2646"/>
      <c r="AL89" s="2646"/>
      <c r="AM89" s="2646"/>
      <c r="AN89" s="2646"/>
      <c r="AO89" s="2646"/>
      <c r="AP89" s="2646"/>
      <c r="AQ89" s="2646"/>
      <c r="AR89" s="2646"/>
      <c r="AS89" s="2646"/>
      <c r="AT89" s="2646"/>
      <c r="AU89" s="2646"/>
      <c r="AV89" s="2646"/>
      <c r="AW89" s="2646"/>
      <c r="AX89" s="2646"/>
      <c r="AY89" s="2646"/>
      <c r="AZ89" s="2646"/>
      <c r="BA89" s="2646"/>
      <c r="BB89" s="2646"/>
      <c r="BC89" s="2646"/>
      <c r="BD89" s="2646"/>
      <c r="BE89" s="2646"/>
      <c r="BF89" s="2646"/>
      <c r="BG89" s="2646"/>
      <c r="BH89" s="2646"/>
    </row>
    <row r="90" spans="6:60">
      <c r="J90" s="2668"/>
      <c r="AC90" s="2646"/>
      <c r="AD90" s="2646"/>
      <c r="AE90" s="2646"/>
      <c r="AF90" s="2646"/>
      <c r="AG90" s="2646"/>
      <c r="AH90" s="2646"/>
      <c r="AI90" s="2646"/>
      <c r="AJ90" s="2646"/>
      <c r="AK90" s="2646"/>
      <c r="AL90" s="2646"/>
      <c r="AM90" s="2646"/>
      <c r="AN90" s="2646"/>
      <c r="AO90" s="2646"/>
      <c r="AP90" s="2646"/>
      <c r="AQ90" s="2646"/>
      <c r="AR90" s="2646"/>
      <c r="AS90" s="2646"/>
      <c r="AT90" s="2646"/>
      <c r="AU90" s="2646"/>
      <c r="AV90" s="2646"/>
      <c r="AW90" s="2646"/>
      <c r="AX90" s="2646"/>
      <c r="AY90" s="2646"/>
      <c r="AZ90" s="2646"/>
      <c r="BA90" s="2646"/>
      <c r="BB90" s="2646"/>
      <c r="BC90" s="2646"/>
      <c r="BD90" s="2646"/>
      <c r="BE90" s="2646"/>
      <c r="BF90" s="2646"/>
      <c r="BG90" s="2646"/>
      <c r="BH90" s="2646"/>
    </row>
    <row r="91" spans="6:60">
      <c r="J91" s="2668"/>
      <c r="AC91" s="2646"/>
      <c r="AD91" s="2646"/>
      <c r="AE91" s="2646"/>
      <c r="AF91" s="2646"/>
      <c r="AG91" s="2646"/>
      <c r="AH91" s="2646"/>
      <c r="AI91" s="2646"/>
      <c r="AJ91" s="2646"/>
      <c r="AK91" s="2646"/>
      <c r="AL91" s="2646"/>
      <c r="AM91" s="2646"/>
      <c r="AN91" s="2646"/>
      <c r="AO91" s="2646"/>
      <c r="AP91" s="2646"/>
      <c r="AQ91" s="2646"/>
      <c r="AR91" s="2646"/>
      <c r="AS91" s="2646"/>
      <c r="AT91" s="2646"/>
      <c r="AU91" s="2646"/>
      <c r="AV91" s="2646"/>
      <c r="AW91" s="2646"/>
      <c r="AX91" s="2646"/>
      <c r="AY91" s="2646"/>
      <c r="AZ91" s="2646"/>
      <c r="BA91" s="2646"/>
      <c r="BB91" s="2646"/>
      <c r="BC91" s="2646"/>
      <c r="BD91" s="2646"/>
      <c r="BE91" s="2646"/>
      <c r="BF91" s="2646"/>
      <c r="BG91" s="2646"/>
      <c r="BH91" s="2646"/>
    </row>
    <row r="92" spans="6:60" ht="15" customHeight="1">
      <c r="J92" s="2668"/>
      <c r="AC92" s="2646"/>
      <c r="AD92" s="2646"/>
      <c r="AE92" s="2646"/>
      <c r="AF92" s="2646"/>
      <c r="AG92" s="2646"/>
      <c r="AH92" s="2646"/>
      <c r="AI92" s="2646"/>
      <c r="AJ92" s="2646"/>
      <c r="AK92" s="2646"/>
      <c r="AL92" s="2646"/>
      <c r="AM92" s="2646"/>
      <c r="AN92" s="2646"/>
      <c r="AO92" s="2646"/>
      <c r="AP92" s="2646"/>
      <c r="AQ92" s="2646"/>
      <c r="AR92" s="2646"/>
      <c r="AS92" s="2646"/>
      <c r="AT92" s="2646"/>
      <c r="AU92" s="2646"/>
      <c r="AV92" s="2646"/>
      <c r="AW92" s="2646"/>
      <c r="AX92" s="2646"/>
      <c r="AY92" s="2646"/>
      <c r="AZ92" s="2646"/>
      <c r="BA92" s="2646"/>
      <c r="BB92" s="2646"/>
      <c r="BC92" s="2646"/>
      <c r="BD92" s="2646"/>
      <c r="BE92" s="2646"/>
      <c r="BF92" s="2646"/>
      <c r="BG92" s="2646"/>
      <c r="BH92" s="2646"/>
    </row>
    <row r="93" spans="6:60">
      <c r="J93" s="2668"/>
      <c r="AC93" s="2646"/>
      <c r="AD93" s="2646"/>
      <c r="AE93" s="2646"/>
      <c r="AF93" s="2646"/>
      <c r="AG93" s="2646"/>
      <c r="AH93" s="2646"/>
      <c r="AI93" s="2646"/>
      <c r="AJ93" s="2646"/>
      <c r="AK93" s="2646"/>
      <c r="AL93" s="2646"/>
      <c r="AM93" s="2646"/>
      <c r="AN93" s="2646"/>
      <c r="AO93" s="2646"/>
      <c r="AP93" s="2646"/>
      <c r="AQ93" s="2646"/>
      <c r="AR93" s="2646"/>
      <c r="AS93" s="2646"/>
      <c r="AT93" s="2646"/>
      <c r="AU93" s="2646"/>
      <c r="AV93" s="2646"/>
      <c r="AW93" s="2646"/>
      <c r="AX93" s="2646"/>
      <c r="AY93" s="2646"/>
      <c r="AZ93" s="2646"/>
      <c r="BA93" s="2646"/>
      <c r="BB93" s="2646"/>
      <c r="BC93" s="2646"/>
      <c r="BD93" s="2646"/>
      <c r="BE93" s="2646"/>
      <c r="BF93" s="2646"/>
      <c r="BG93" s="2646"/>
      <c r="BH93" s="2646"/>
    </row>
    <row r="94" spans="6:60" ht="15" customHeight="1">
      <c r="J94" s="2668"/>
      <c r="AC94" s="2646"/>
      <c r="AD94" s="2646"/>
      <c r="AE94" s="2646"/>
      <c r="AF94" s="2646"/>
      <c r="AG94" s="2646"/>
      <c r="AH94" s="2646"/>
      <c r="AI94" s="2646"/>
      <c r="AJ94" s="2646"/>
      <c r="AK94" s="2646"/>
      <c r="AL94" s="2646"/>
      <c r="AM94" s="2646"/>
      <c r="AN94" s="2646"/>
      <c r="AO94" s="2646"/>
      <c r="AP94" s="2646"/>
      <c r="AQ94" s="2646"/>
      <c r="AR94" s="2646"/>
      <c r="AS94" s="2646"/>
      <c r="AT94" s="2646"/>
      <c r="AU94" s="2646"/>
      <c r="AV94" s="2646"/>
      <c r="AW94" s="2646"/>
      <c r="AX94" s="2646"/>
      <c r="AY94" s="2646"/>
      <c r="AZ94" s="2646"/>
      <c r="BA94" s="2646"/>
      <c r="BB94" s="2646"/>
      <c r="BC94" s="2646"/>
      <c r="BD94" s="2646"/>
      <c r="BE94" s="2646"/>
      <c r="BF94" s="2646"/>
      <c r="BG94" s="2646"/>
      <c r="BH94" s="2646"/>
    </row>
    <row r="95" spans="6:60">
      <c r="J95" s="2668"/>
      <c r="AC95" s="2646"/>
      <c r="AD95" s="2646"/>
      <c r="AE95" s="2646"/>
      <c r="AF95" s="2646"/>
      <c r="AG95" s="2646"/>
      <c r="AH95" s="2646"/>
      <c r="AI95" s="2646"/>
      <c r="AJ95" s="2646"/>
      <c r="AK95" s="2646"/>
      <c r="AL95" s="2646"/>
      <c r="AM95" s="2646"/>
      <c r="AN95" s="2646"/>
      <c r="AO95" s="2646"/>
      <c r="AP95" s="2646"/>
      <c r="AQ95" s="2646"/>
      <c r="AR95" s="2646"/>
      <c r="AS95" s="2646"/>
      <c r="AT95" s="2646"/>
      <c r="AU95" s="2646"/>
      <c r="AV95" s="2646"/>
      <c r="AW95" s="2646"/>
      <c r="AX95" s="2646"/>
      <c r="AY95" s="2646"/>
      <c r="AZ95" s="2646"/>
      <c r="BA95" s="2646"/>
      <c r="BB95" s="2646"/>
      <c r="BC95" s="2646"/>
      <c r="BD95" s="2646"/>
      <c r="BE95" s="2646"/>
      <c r="BF95" s="2646"/>
      <c r="BG95" s="2646"/>
      <c r="BH95" s="2646"/>
    </row>
    <row r="96" spans="6:60">
      <c r="J96" s="2668"/>
      <c r="AC96" s="2646"/>
      <c r="AD96" s="2646"/>
      <c r="AE96" s="2646"/>
      <c r="AF96" s="2646"/>
      <c r="AG96" s="2646"/>
      <c r="AH96" s="2646"/>
      <c r="AI96" s="2646"/>
      <c r="AJ96" s="2646"/>
      <c r="AK96" s="2646"/>
      <c r="AL96" s="2646"/>
      <c r="AM96" s="2646"/>
      <c r="AN96" s="2646"/>
      <c r="AO96" s="2646"/>
      <c r="AP96" s="2646"/>
      <c r="AQ96" s="2646"/>
      <c r="AR96" s="2646"/>
      <c r="AS96" s="2646"/>
      <c r="AT96" s="2646"/>
      <c r="AU96" s="2646"/>
      <c r="AV96" s="2646"/>
      <c r="AW96" s="2646"/>
      <c r="AX96" s="2646"/>
      <c r="AY96" s="2646"/>
      <c r="AZ96" s="2646"/>
      <c r="BA96" s="2646"/>
      <c r="BB96" s="2646"/>
      <c r="BC96" s="2646"/>
      <c r="BD96" s="2646"/>
      <c r="BE96" s="2646"/>
      <c r="BF96" s="2646"/>
      <c r="BG96" s="2646"/>
      <c r="BH96" s="2646"/>
    </row>
    <row r="97" spans="10:60">
      <c r="J97" s="2668"/>
      <c r="AC97" s="2646"/>
      <c r="AD97" s="2646"/>
      <c r="AE97" s="2646"/>
      <c r="AF97" s="2646"/>
      <c r="AG97" s="2646"/>
      <c r="AH97" s="2646"/>
      <c r="AI97" s="2646"/>
      <c r="AJ97" s="2646"/>
      <c r="AK97" s="2646"/>
      <c r="AL97" s="2646"/>
      <c r="AM97" s="2646"/>
      <c r="AN97" s="2646"/>
      <c r="AO97" s="2646"/>
      <c r="AP97" s="2646"/>
      <c r="AQ97" s="2646"/>
      <c r="AR97" s="2646"/>
      <c r="AS97" s="2646"/>
      <c r="AT97" s="2646"/>
      <c r="AU97" s="2646"/>
      <c r="AV97" s="2646"/>
      <c r="AW97" s="2646"/>
      <c r="AX97" s="2646"/>
      <c r="AY97" s="2646"/>
      <c r="AZ97" s="2646"/>
      <c r="BA97" s="2646"/>
      <c r="BB97" s="2646"/>
      <c r="BC97" s="2646"/>
      <c r="BD97" s="2646"/>
      <c r="BE97" s="2646"/>
      <c r="BF97" s="2646"/>
      <c r="BG97" s="2646"/>
      <c r="BH97" s="2646"/>
    </row>
    <row r="98" spans="10:60">
      <c r="J98" s="2668"/>
      <c r="AC98" s="2646"/>
      <c r="AD98" s="2646"/>
      <c r="AE98" s="2646"/>
      <c r="AF98" s="2646"/>
      <c r="AG98" s="2646"/>
      <c r="AH98" s="2646"/>
      <c r="AI98" s="2646"/>
      <c r="AJ98" s="2646"/>
      <c r="AK98" s="2646"/>
      <c r="AL98" s="2646"/>
      <c r="AM98" s="2646"/>
      <c r="AN98" s="2646"/>
      <c r="AO98" s="2646"/>
      <c r="AP98" s="2646"/>
      <c r="AQ98" s="2646"/>
      <c r="AR98" s="2646"/>
      <c r="AS98" s="2646"/>
      <c r="AT98" s="2646"/>
      <c r="AU98" s="2646"/>
      <c r="AV98" s="2646"/>
      <c r="AW98" s="2646"/>
      <c r="AX98" s="2646"/>
      <c r="AY98" s="2646"/>
      <c r="AZ98" s="2646"/>
      <c r="BA98" s="2646"/>
      <c r="BB98" s="2646"/>
      <c r="BC98" s="2646"/>
      <c r="BD98" s="2646"/>
      <c r="BE98" s="2646"/>
      <c r="BF98" s="2646"/>
      <c r="BG98" s="2646"/>
      <c r="BH98" s="2646"/>
    </row>
    <row r="99" spans="10:60">
      <c r="J99" s="2668"/>
      <c r="K99" s="1642"/>
      <c r="L99" s="2314"/>
      <c r="M99" s="2671"/>
      <c r="N99" s="2671"/>
      <c r="O99" s="2671"/>
      <c r="P99" s="2671"/>
      <c r="Q99" s="2671"/>
      <c r="R99" s="2671"/>
      <c r="S99" s="2671"/>
      <c r="T99" s="2671"/>
      <c r="U99" s="2671"/>
      <c r="V99" s="2671"/>
      <c r="W99" s="2671"/>
      <c r="X99" s="2671"/>
      <c r="Y99" s="2673"/>
      <c r="Z99" s="2672"/>
      <c r="AA99" s="2672"/>
      <c r="AB99" s="2672"/>
      <c r="AC99" s="2646"/>
      <c r="AD99" s="2646"/>
      <c r="AE99" s="2646"/>
      <c r="AF99" s="2646"/>
      <c r="AG99" s="2646"/>
      <c r="AH99" s="2646"/>
      <c r="AI99" s="2646"/>
      <c r="AJ99" s="2646"/>
      <c r="AK99" s="2646"/>
      <c r="AL99" s="2646"/>
      <c r="AM99" s="2646"/>
      <c r="AN99" s="2646"/>
      <c r="AO99" s="2646"/>
      <c r="AP99" s="2646"/>
      <c r="AQ99" s="2646"/>
      <c r="AR99" s="2646"/>
      <c r="AS99" s="2646"/>
      <c r="AT99" s="2646"/>
      <c r="AU99" s="2646"/>
      <c r="AV99" s="2646"/>
      <c r="AW99" s="2646"/>
      <c r="AX99" s="2646"/>
      <c r="AY99" s="2646"/>
      <c r="AZ99" s="2646"/>
      <c r="BA99" s="2646"/>
      <c r="BB99" s="2646"/>
      <c r="BC99" s="2646"/>
      <c r="BD99" s="2646"/>
      <c r="BE99" s="2646"/>
      <c r="BF99" s="2646"/>
      <c r="BG99" s="2646"/>
      <c r="BH99" s="2646"/>
    </row>
    <row r="100" spans="10:60">
      <c r="J100" s="2668"/>
      <c r="K100" s="1642"/>
      <c r="L100" s="2314"/>
      <c r="M100" s="2673"/>
      <c r="N100" s="2674"/>
      <c r="O100" s="2675"/>
      <c r="P100" s="2675"/>
      <c r="Q100" s="1603"/>
      <c r="R100" s="2676"/>
      <c r="S100" s="2676"/>
      <c r="T100" s="2676"/>
      <c r="U100" s="2676"/>
      <c r="V100" s="2676"/>
      <c r="W100" s="2676"/>
      <c r="X100" s="2666"/>
      <c r="Y100" s="2666"/>
      <c r="Z100" s="2672"/>
      <c r="AA100" s="2672"/>
      <c r="AB100" s="2672"/>
      <c r="AC100" s="2646"/>
      <c r="AD100" s="2646"/>
      <c r="AE100" s="2646"/>
      <c r="AF100" s="2646"/>
      <c r="AG100" s="2646"/>
      <c r="AH100" s="2646"/>
      <c r="AI100" s="2646"/>
      <c r="AJ100" s="2646"/>
      <c r="AK100" s="2646"/>
      <c r="AL100" s="2646"/>
      <c r="AM100" s="2646"/>
      <c r="AN100" s="2646"/>
      <c r="AO100" s="2646"/>
      <c r="AP100" s="2646"/>
      <c r="AQ100" s="2646"/>
      <c r="AR100" s="2646"/>
      <c r="AS100" s="2646"/>
      <c r="AT100" s="2646"/>
      <c r="AU100" s="2646"/>
      <c r="AV100" s="2646"/>
      <c r="AW100" s="2646"/>
      <c r="AX100" s="2646"/>
      <c r="AY100" s="2646"/>
      <c r="AZ100" s="2646"/>
      <c r="BA100" s="2646"/>
      <c r="BB100" s="2646"/>
      <c r="BC100" s="2646"/>
      <c r="BD100" s="2646"/>
      <c r="BE100" s="2646"/>
      <c r="BF100" s="2646"/>
      <c r="BG100" s="2646"/>
      <c r="BH100" s="2646"/>
    </row>
    <row r="101" spans="10:60">
      <c r="J101" s="2668"/>
      <c r="K101" s="2677"/>
      <c r="L101" s="2678"/>
      <c r="M101" s="2679"/>
      <c r="N101" s="2679"/>
      <c r="O101" s="2679"/>
      <c r="P101" s="2679"/>
      <c r="Q101" s="2679"/>
      <c r="R101" s="2679"/>
      <c r="S101" s="2679"/>
      <c r="T101" s="2679"/>
      <c r="U101" s="2679"/>
      <c r="V101" s="2679"/>
      <c r="W101" s="2679"/>
      <c r="X101" s="2679"/>
      <c r="Y101" s="2672"/>
      <c r="Z101" s="2672"/>
      <c r="AA101" s="2672"/>
      <c r="AB101" s="2672"/>
      <c r="AC101" s="2646"/>
      <c r="AD101" s="2646"/>
      <c r="AE101" s="2646"/>
      <c r="AF101" s="2646"/>
      <c r="AG101" s="2646"/>
      <c r="AH101" s="2646"/>
      <c r="AI101" s="2646"/>
      <c r="AJ101" s="2646"/>
      <c r="AK101" s="2646"/>
      <c r="AL101" s="2646"/>
      <c r="AM101" s="2646"/>
      <c r="AN101" s="2646"/>
      <c r="AO101" s="2646"/>
      <c r="AP101" s="2646"/>
      <c r="AQ101" s="2646"/>
      <c r="AR101" s="2646"/>
      <c r="AS101" s="2646"/>
      <c r="AT101" s="2646"/>
      <c r="AU101" s="2646"/>
      <c r="AV101" s="2646"/>
      <c r="AW101" s="2646"/>
      <c r="AX101" s="2646"/>
      <c r="AY101" s="2646"/>
      <c r="AZ101" s="2646"/>
      <c r="BA101" s="2646"/>
      <c r="BB101" s="2646"/>
      <c r="BC101" s="2646"/>
      <c r="BD101" s="2646"/>
      <c r="BE101" s="2646"/>
      <c r="BF101" s="2646"/>
      <c r="BG101" s="2646"/>
      <c r="BH101" s="2646"/>
    </row>
    <row r="102" spans="10:60" ht="15" customHeight="1">
      <c r="J102" s="2668"/>
      <c r="K102" s="2677"/>
      <c r="L102" s="2680"/>
      <c r="M102" s="2679"/>
      <c r="N102" s="2679"/>
      <c r="O102" s="2679"/>
      <c r="P102" s="2679"/>
      <c r="Q102" s="2679"/>
      <c r="R102" s="2679"/>
      <c r="S102" s="2679"/>
      <c r="T102" s="2679"/>
      <c r="U102" s="2679"/>
      <c r="V102" s="2679"/>
      <c r="W102" s="2679"/>
      <c r="X102" s="2679"/>
      <c r="Y102" s="2681"/>
      <c r="Z102" s="2681"/>
      <c r="AA102" s="2681"/>
      <c r="AB102" s="2681"/>
      <c r="AC102" s="2646"/>
      <c r="AD102" s="2646"/>
      <c r="AE102" s="2646"/>
      <c r="AF102" s="2646"/>
      <c r="AG102" s="2646"/>
      <c r="AH102" s="2646"/>
      <c r="AI102" s="2646"/>
      <c r="AJ102" s="2646"/>
      <c r="AK102" s="2646"/>
      <c r="AL102" s="2646"/>
      <c r="AM102" s="2646"/>
      <c r="AN102" s="2646"/>
      <c r="AO102" s="2646"/>
      <c r="AP102" s="2646"/>
      <c r="AQ102" s="2646"/>
      <c r="AR102" s="2646"/>
      <c r="AS102" s="2646"/>
      <c r="AT102" s="2646"/>
      <c r="AU102" s="2646"/>
      <c r="AV102" s="2646"/>
      <c r="AW102" s="2646"/>
      <c r="AX102" s="2646"/>
      <c r="AY102" s="2646"/>
      <c r="AZ102" s="2646"/>
      <c r="BA102" s="2646"/>
      <c r="BB102" s="2646"/>
      <c r="BC102" s="2646"/>
      <c r="BD102" s="2646"/>
      <c r="BE102" s="2646"/>
      <c r="BF102" s="2646"/>
      <c r="BG102" s="2646"/>
      <c r="BH102" s="2646"/>
    </row>
    <row r="103" spans="10:60">
      <c r="J103" s="2668"/>
      <c r="K103" s="2677"/>
      <c r="L103" s="2682"/>
      <c r="M103" s="2679"/>
      <c r="N103" s="2679"/>
      <c r="O103" s="2679"/>
      <c r="P103" s="2679"/>
      <c r="Q103" s="2679"/>
      <c r="R103" s="2679"/>
      <c r="S103" s="2679"/>
      <c r="T103" s="2679"/>
      <c r="U103" s="2679"/>
      <c r="V103" s="2679"/>
      <c r="W103" s="2679"/>
      <c r="X103" s="2679"/>
      <c r="Y103" s="2683"/>
      <c r="Z103" s="2683"/>
      <c r="AA103" s="2683"/>
      <c r="AB103" s="2683"/>
      <c r="AC103" s="2646"/>
      <c r="AD103" s="2646"/>
      <c r="AE103" s="2646"/>
      <c r="AF103" s="2646"/>
      <c r="AG103" s="2646"/>
      <c r="AH103" s="2646"/>
      <c r="AI103" s="2646"/>
      <c r="AJ103" s="2646"/>
      <c r="AK103" s="2646"/>
      <c r="AL103" s="2646"/>
      <c r="AM103" s="2646"/>
      <c r="AN103" s="2646"/>
      <c r="AO103" s="2646"/>
      <c r="AP103" s="2646"/>
      <c r="AQ103" s="2646"/>
      <c r="AR103" s="2646"/>
      <c r="AS103" s="2646"/>
      <c r="AT103" s="2646"/>
      <c r="AU103" s="2646"/>
      <c r="AV103" s="2646"/>
      <c r="AW103" s="2646"/>
      <c r="AX103" s="2646"/>
      <c r="AY103" s="2646"/>
      <c r="AZ103" s="2646"/>
      <c r="BA103" s="2646"/>
      <c r="BB103" s="2646"/>
      <c r="BC103" s="2646"/>
      <c r="BD103" s="2646"/>
      <c r="BE103" s="2646"/>
      <c r="BF103" s="2646"/>
      <c r="BG103" s="2646"/>
      <c r="BH103" s="2646"/>
    </row>
    <row r="104" spans="10:60">
      <c r="J104" s="2668"/>
      <c r="K104" s="2677"/>
      <c r="L104" s="2682"/>
      <c r="M104" s="2679"/>
      <c r="N104" s="2679"/>
      <c r="O104" s="2679"/>
      <c r="P104" s="2679"/>
      <c r="Q104" s="2679"/>
      <c r="R104" s="2679"/>
      <c r="S104" s="2679"/>
      <c r="T104" s="2679"/>
      <c r="U104" s="2679"/>
      <c r="V104" s="2679"/>
      <c r="W104" s="2679"/>
      <c r="X104" s="2679"/>
      <c r="Y104" s="2672"/>
      <c r="Z104" s="2672"/>
      <c r="AA104" s="2672"/>
      <c r="AB104" s="2672"/>
      <c r="AC104" s="2646"/>
      <c r="AD104" s="2646"/>
      <c r="AE104" s="2646"/>
      <c r="AF104" s="2646"/>
      <c r="AG104" s="2646"/>
      <c r="AH104" s="2646"/>
      <c r="AI104" s="2646"/>
      <c r="AJ104" s="2646"/>
      <c r="AK104" s="2646"/>
      <c r="AL104" s="2646"/>
      <c r="AM104" s="2646"/>
      <c r="AN104" s="2646"/>
      <c r="AO104" s="2646"/>
      <c r="AP104" s="2646"/>
      <c r="AQ104" s="2646"/>
      <c r="AR104" s="2646"/>
      <c r="AS104" s="2646"/>
      <c r="AT104" s="2646"/>
      <c r="AU104" s="2646"/>
      <c r="AV104" s="2646"/>
      <c r="AW104" s="2646"/>
      <c r="AX104" s="2646"/>
      <c r="AY104" s="2646"/>
      <c r="AZ104" s="2646"/>
      <c r="BA104" s="2646"/>
      <c r="BB104" s="2646"/>
      <c r="BC104" s="2646"/>
      <c r="BD104" s="2646"/>
      <c r="BE104" s="2646"/>
      <c r="BF104" s="2646"/>
      <c r="BG104" s="2646"/>
      <c r="BH104" s="2646"/>
    </row>
    <row r="105" spans="10:60">
      <c r="J105" s="2668"/>
      <c r="K105" s="2677"/>
      <c r="L105" s="2682"/>
      <c r="M105" s="1184"/>
      <c r="N105" s="2673"/>
      <c r="O105" s="1184"/>
      <c r="P105" s="2684"/>
      <c r="Q105" s="2685"/>
      <c r="R105" s="1684"/>
      <c r="S105" s="2685"/>
      <c r="T105" s="1627"/>
      <c r="U105" s="2672"/>
      <c r="V105" s="2672"/>
      <c r="W105" s="2672"/>
      <c r="X105" s="2672"/>
      <c r="Y105" s="2672"/>
      <c r="Z105" s="2672"/>
      <c r="AA105" s="2672"/>
      <c r="AB105" s="2672"/>
      <c r="AC105" s="2646"/>
      <c r="AD105" s="2646"/>
      <c r="AE105" s="2646"/>
      <c r="AF105" s="2646"/>
      <c r="AG105" s="2646"/>
      <c r="AH105" s="2646"/>
      <c r="AI105" s="2646"/>
      <c r="AJ105" s="2646"/>
      <c r="AK105" s="2646"/>
      <c r="AL105" s="2646"/>
      <c r="AM105" s="2646"/>
      <c r="AN105" s="2646"/>
      <c r="AO105" s="2646"/>
      <c r="AP105" s="2646"/>
      <c r="AQ105" s="2646"/>
      <c r="AR105" s="2646"/>
      <c r="AS105" s="2646"/>
      <c r="AT105" s="2646"/>
      <c r="AU105" s="2646"/>
      <c r="AV105" s="2646"/>
      <c r="AW105" s="2646"/>
      <c r="AX105" s="2646"/>
      <c r="AY105" s="2646"/>
      <c r="AZ105" s="2646"/>
      <c r="BA105" s="2646"/>
      <c r="BB105" s="2646"/>
      <c r="BC105" s="2646"/>
      <c r="BD105" s="2646"/>
      <c r="BE105" s="2646"/>
      <c r="BF105" s="2646"/>
      <c r="BG105" s="2646"/>
      <c r="BH105" s="2646"/>
    </row>
    <row r="106" spans="10:60">
      <c r="J106" s="2668"/>
      <c r="K106" s="2677"/>
      <c r="L106" s="2682"/>
      <c r="M106" s="1184"/>
      <c r="N106" s="2673"/>
      <c r="O106" s="1184"/>
      <c r="P106" s="2684"/>
      <c r="Q106" s="2685"/>
      <c r="R106" s="1684"/>
      <c r="S106" s="2685"/>
      <c r="T106" s="1627"/>
      <c r="U106" s="2672"/>
      <c r="V106" s="2672"/>
      <c r="W106" s="2672"/>
      <c r="X106" s="2672"/>
      <c r="Y106" s="2672"/>
      <c r="Z106" s="2672"/>
      <c r="AA106" s="2672"/>
      <c r="AB106" s="2672"/>
      <c r="AC106" s="2646"/>
      <c r="AD106" s="2646"/>
      <c r="AE106" s="2646"/>
      <c r="AF106" s="2646"/>
      <c r="AG106" s="2646"/>
      <c r="AH106" s="2646"/>
      <c r="AI106" s="2646"/>
      <c r="AJ106" s="2646"/>
      <c r="AK106" s="2646"/>
      <c r="AL106" s="2646"/>
      <c r="AM106" s="2646"/>
      <c r="AN106" s="2646"/>
      <c r="AO106" s="2646"/>
      <c r="AP106" s="2646"/>
      <c r="AQ106" s="2646"/>
      <c r="AR106" s="2646"/>
      <c r="AS106" s="2646"/>
      <c r="AT106" s="2646"/>
      <c r="AU106" s="2646"/>
      <c r="AV106" s="2646"/>
      <c r="AW106" s="2646"/>
      <c r="AX106" s="2646"/>
      <c r="AY106" s="2646"/>
      <c r="AZ106" s="2646"/>
      <c r="BA106" s="2646"/>
      <c r="BB106" s="2646"/>
      <c r="BC106" s="2646"/>
      <c r="BD106" s="2646"/>
      <c r="BE106" s="2646"/>
      <c r="BF106" s="2646"/>
      <c r="BG106" s="2646"/>
      <c r="BH106" s="2646"/>
    </row>
    <row r="107" spans="10:60">
      <c r="J107" s="2668"/>
      <c r="K107" s="2677"/>
      <c r="L107" s="2682"/>
      <c r="M107" s="1184"/>
      <c r="N107" s="2673"/>
      <c r="O107" s="1184"/>
      <c r="P107" s="2684"/>
      <c r="Q107" s="2685"/>
      <c r="R107" s="1684"/>
      <c r="S107" s="2685"/>
      <c r="T107" s="1627"/>
      <c r="U107" s="2672"/>
      <c r="V107" s="2672"/>
      <c r="W107" s="2672"/>
      <c r="X107" s="2672"/>
      <c r="Y107" s="2672"/>
      <c r="Z107" s="2672"/>
      <c r="AA107" s="2672"/>
      <c r="AB107" s="2672"/>
      <c r="AC107" s="2646"/>
      <c r="AD107" s="2646"/>
      <c r="AE107" s="2646"/>
      <c r="AF107" s="2646"/>
      <c r="AG107" s="2646"/>
      <c r="AH107" s="2646"/>
      <c r="AI107" s="2646"/>
      <c r="AJ107" s="2646"/>
      <c r="AK107" s="2646"/>
      <c r="AL107" s="2646"/>
      <c r="AM107" s="2646"/>
      <c r="AN107" s="2646"/>
      <c r="AO107" s="2646"/>
      <c r="AP107" s="2646"/>
      <c r="AQ107" s="2646"/>
      <c r="AR107" s="2646"/>
      <c r="AS107" s="2646"/>
      <c r="AT107" s="2646"/>
      <c r="AU107" s="2646"/>
      <c r="AV107" s="2646"/>
      <c r="AW107" s="2646"/>
      <c r="AX107" s="2646"/>
      <c r="AY107" s="2646"/>
      <c r="AZ107" s="2646"/>
      <c r="BA107" s="2646"/>
      <c r="BB107" s="2646"/>
      <c r="BC107" s="2646"/>
      <c r="BD107" s="2646"/>
      <c r="BE107" s="2646"/>
      <c r="BF107" s="2646"/>
      <c r="BG107" s="2646"/>
      <c r="BH107" s="2646"/>
    </row>
    <row r="108" spans="10:60">
      <c r="J108" s="2668"/>
      <c r="K108" s="2677"/>
      <c r="L108" s="2682"/>
      <c r="M108" s="1184"/>
      <c r="N108" s="2673"/>
      <c r="O108" s="1184"/>
      <c r="P108" s="2684"/>
      <c r="Q108" s="2672"/>
      <c r="R108" s="2672"/>
      <c r="S108" s="2672"/>
      <c r="T108" s="2672"/>
      <c r="U108" s="2672"/>
      <c r="V108" s="2672"/>
      <c r="W108" s="2672"/>
      <c r="X108" s="2672"/>
      <c r="Y108" s="2672"/>
      <c r="Z108" s="2672"/>
      <c r="AA108" s="2672"/>
      <c r="AB108" s="2672"/>
      <c r="AC108" s="2646"/>
      <c r="AD108" s="2646"/>
      <c r="AE108" s="2646"/>
      <c r="AF108" s="2646"/>
      <c r="AG108" s="2646"/>
      <c r="AH108" s="2646"/>
      <c r="AI108" s="2646"/>
      <c r="AJ108" s="2646"/>
      <c r="AK108" s="2646"/>
      <c r="AL108" s="2646"/>
      <c r="AM108" s="2646"/>
      <c r="AN108" s="2646"/>
      <c r="AO108" s="2646"/>
      <c r="AP108" s="2646"/>
      <c r="AQ108" s="2646"/>
      <c r="AR108" s="2646"/>
      <c r="AS108" s="2646"/>
      <c r="AT108" s="2646"/>
      <c r="AU108" s="2646"/>
      <c r="AV108" s="2646"/>
      <c r="AW108" s="2646"/>
      <c r="AX108" s="2646"/>
      <c r="AY108" s="2646"/>
      <c r="AZ108" s="2646"/>
      <c r="BA108" s="2646"/>
      <c r="BB108" s="2646"/>
      <c r="BC108" s="2646"/>
      <c r="BD108" s="2646"/>
      <c r="BE108" s="2646"/>
      <c r="BF108" s="2646"/>
      <c r="BG108" s="2646"/>
      <c r="BH108" s="2646"/>
    </row>
    <row r="109" spans="10:60">
      <c r="J109" s="2668"/>
      <c r="K109" s="2677"/>
      <c r="L109" s="2682"/>
      <c r="M109" s="1184"/>
      <c r="N109" s="2673"/>
      <c r="O109" s="1184"/>
      <c r="P109" s="2684"/>
      <c r="Q109" s="2672"/>
      <c r="R109" s="2672"/>
      <c r="S109" s="2672"/>
      <c r="T109" s="2672"/>
      <c r="U109" s="2672"/>
      <c r="V109" s="2672"/>
      <c r="W109" s="2672"/>
      <c r="X109" s="2672"/>
      <c r="Y109" s="2672"/>
      <c r="Z109" s="2672"/>
      <c r="AA109" s="2672"/>
      <c r="AB109" s="2672"/>
      <c r="AC109" s="2646"/>
      <c r="AD109" s="2646"/>
      <c r="AE109" s="2646"/>
      <c r="AF109" s="2646"/>
      <c r="AG109" s="2646"/>
      <c r="AH109" s="2646"/>
      <c r="AI109" s="2646"/>
      <c r="AJ109" s="2646"/>
      <c r="AK109" s="2646"/>
      <c r="AL109" s="2646"/>
      <c r="AM109" s="2646"/>
      <c r="AN109" s="2646"/>
      <c r="AO109" s="2646"/>
      <c r="AP109" s="2646"/>
      <c r="AQ109" s="2646"/>
      <c r="AR109" s="2646"/>
      <c r="AS109" s="2646"/>
      <c r="AT109" s="2646"/>
      <c r="AU109" s="2646"/>
      <c r="AV109" s="2646"/>
      <c r="AW109" s="2646"/>
      <c r="AX109" s="2646"/>
      <c r="AY109" s="2646"/>
      <c r="AZ109" s="2646"/>
      <c r="BA109" s="2646"/>
      <c r="BB109" s="2646"/>
      <c r="BC109" s="2646"/>
      <c r="BD109" s="2646"/>
      <c r="BE109" s="2646"/>
      <c r="BF109" s="2646"/>
      <c r="BG109" s="2646"/>
      <c r="BH109" s="2646"/>
    </row>
    <row r="110" spans="10:60">
      <c r="J110" s="2668"/>
      <c r="K110" s="2677"/>
      <c r="L110" s="2682"/>
      <c r="M110" s="1184"/>
      <c r="N110" s="2673"/>
      <c r="O110" s="1184"/>
      <c r="P110" s="2684"/>
      <c r="Q110" s="2672"/>
      <c r="R110" s="2672"/>
      <c r="S110" s="2672"/>
      <c r="T110" s="2672"/>
      <c r="U110" s="2672"/>
      <c r="V110" s="2672"/>
      <c r="W110" s="2672"/>
      <c r="X110" s="2672"/>
      <c r="Y110" s="2672"/>
      <c r="Z110" s="2672"/>
      <c r="AA110" s="2672"/>
      <c r="AB110" s="2672"/>
      <c r="AC110" s="2646"/>
      <c r="AD110" s="2646"/>
      <c r="AE110" s="2646"/>
      <c r="AF110" s="2646"/>
      <c r="AG110" s="2646"/>
      <c r="AH110" s="2646"/>
      <c r="AI110" s="2646"/>
      <c r="AJ110" s="2646"/>
      <c r="AK110" s="2646"/>
      <c r="AL110" s="2646"/>
      <c r="AM110" s="2646"/>
      <c r="AN110" s="2646"/>
      <c r="AO110" s="2646"/>
      <c r="AP110" s="2646"/>
      <c r="AQ110" s="2646"/>
      <c r="AR110" s="2646"/>
      <c r="AS110" s="2646"/>
      <c r="AT110" s="2646"/>
      <c r="AU110" s="2646"/>
      <c r="AV110" s="2646"/>
      <c r="AW110" s="2646"/>
      <c r="AX110" s="2646"/>
      <c r="AY110" s="2646"/>
      <c r="AZ110" s="2646"/>
      <c r="BA110" s="2646"/>
      <c r="BB110" s="2646"/>
      <c r="BC110" s="2646"/>
      <c r="BD110" s="2646"/>
      <c r="BE110" s="2646"/>
      <c r="BF110" s="2646"/>
      <c r="BG110" s="2646"/>
      <c r="BH110" s="2646"/>
    </row>
    <row r="111" spans="10:60">
      <c r="J111" s="2668"/>
      <c r="K111" s="2677"/>
      <c r="L111" s="2682"/>
      <c r="M111" s="1184"/>
      <c r="N111" s="2673"/>
      <c r="O111" s="1184"/>
      <c r="P111" s="2684"/>
      <c r="Q111" s="2672"/>
      <c r="R111" s="2672"/>
      <c r="S111" s="2672"/>
      <c r="T111" s="2672"/>
      <c r="U111" s="2672"/>
      <c r="V111" s="2672"/>
      <c r="W111" s="2672"/>
      <c r="X111" s="2672"/>
      <c r="Y111" s="2672"/>
      <c r="Z111" s="2672"/>
      <c r="AA111" s="2672"/>
      <c r="AB111" s="2672"/>
      <c r="AC111" s="2646"/>
      <c r="AD111" s="2646"/>
      <c r="AE111" s="2646"/>
      <c r="AF111" s="2646"/>
      <c r="AG111" s="2646"/>
      <c r="AH111" s="2646"/>
      <c r="AI111" s="2646"/>
      <c r="AJ111" s="2646"/>
      <c r="AK111" s="2646"/>
      <c r="AL111" s="2646"/>
      <c r="AM111" s="2646"/>
      <c r="AN111" s="2646"/>
      <c r="AO111" s="2646"/>
      <c r="AP111" s="2646"/>
      <c r="AQ111" s="2646"/>
      <c r="AR111" s="2646"/>
      <c r="AS111" s="2646"/>
      <c r="AT111" s="2646"/>
      <c r="AU111" s="2646"/>
      <c r="AV111" s="2646"/>
      <c r="AW111" s="2646"/>
      <c r="AX111" s="2646"/>
      <c r="AY111" s="2646"/>
      <c r="AZ111" s="2646"/>
      <c r="BA111" s="2646"/>
      <c r="BB111" s="2646"/>
      <c r="BC111" s="2646"/>
      <c r="BD111" s="2646"/>
      <c r="BE111" s="2646"/>
      <c r="BF111" s="2646"/>
      <c r="BG111" s="2646"/>
      <c r="BH111" s="2646"/>
    </row>
    <row r="112" spans="10:60">
      <c r="J112" s="2668"/>
      <c r="K112" s="2677"/>
      <c r="L112" s="2682"/>
      <c r="M112" s="1184"/>
      <c r="N112" s="2673"/>
      <c r="O112" s="1184"/>
      <c r="P112" s="2684"/>
      <c r="Q112" s="2672"/>
      <c r="R112" s="2672"/>
      <c r="S112" s="2672"/>
      <c r="T112" s="2672"/>
      <c r="U112" s="2672"/>
      <c r="V112" s="2672"/>
      <c r="W112" s="2672"/>
      <c r="X112" s="2672"/>
      <c r="Y112" s="2672"/>
      <c r="Z112" s="2672"/>
      <c r="AA112" s="2672"/>
      <c r="AB112" s="2672"/>
      <c r="AC112" s="2646"/>
      <c r="AD112" s="2646"/>
      <c r="AE112" s="2646"/>
      <c r="AF112" s="2646"/>
      <c r="AG112" s="2646"/>
      <c r="AH112" s="2646"/>
      <c r="AI112" s="2646"/>
      <c r="AJ112" s="2646"/>
      <c r="AK112" s="2646"/>
      <c r="AL112" s="2646"/>
      <c r="AM112" s="2646"/>
      <c r="AN112" s="2646"/>
      <c r="AO112" s="2646"/>
      <c r="AP112" s="2646"/>
      <c r="AQ112" s="2646"/>
      <c r="AR112" s="2646"/>
      <c r="AS112" s="2646"/>
      <c r="AT112" s="2646"/>
      <c r="AU112" s="2646"/>
      <c r="AV112" s="2646"/>
      <c r="AW112" s="2646"/>
      <c r="AX112" s="2646"/>
      <c r="AY112" s="2646"/>
      <c r="AZ112" s="2646"/>
      <c r="BA112" s="2646"/>
      <c r="BB112" s="2646"/>
      <c r="BC112" s="2646"/>
      <c r="BD112" s="2646"/>
      <c r="BE112" s="2646"/>
      <c r="BF112" s="2646"/>
      <c r="BG112" s="2646"/>
      <c r="BH112" s="2646"/>
    </row>
    <row r="113" spans="10:60">
      <c r="J113" s="2668"/>
      <c r="K113" s="2677"/>
      <c r="L113" s="2682"/>
      <c r="M113" s="1184"/>
      <c r="N113" s="2673"/>
      <c r="O113" s="1184"/>
      <c r="P113" s="2684"/>
      <c r="Q113" s="2672"/>
      <c r="R113" s="2672"/>
      <c r="S113" s="2672"/>
      <c r="T113" s="2672"/>
      <c r="U113" s="2672"/>
      <c r="V113" s="2672"/>
      <c r="W113" s="2672"/>
      <c r="X113" s="2672"/>
      <c r="Y113" s="2672"/>
      <c r="Z113" s="2672"/>
      <c r="AA113" s="2672"/>
      <c r="AB113" s="2672"/>
      <c r="AC113" s="2646"/>
      <c r="AD113" s="2646"/>
      <c r="AE113" s="2646"/>
      <c r="AF113" s="2646"/>
      <c r="AG113" s="2646"/>
      <c r="AH113" s="2646"/>
      <c r="AI113" s="2646"/>
      <c r="AJ113" s="2646"/>
      <c r="AK113" s="2646"/>
      <c r="AL113" s="2646"/>
      <c r="AM113" s="2646"/>
      <c r="AN113" s="2646"/>
      <c r="AO113" s="2646"/>
      <c r="AP113" s="2646"/>
      <c r="AQ113" s="2646"/>
      <c r="AR113" s="2646"/>
      <c r="AS113" s="2646"/>
      <c r="AT113" s="2646"/>
      <c r="AU113" s="2646"/>
      <c r="AV113" s="2646"/>
      <c r="AW113" s="2646"/>
      <c r="AX113" s="2646"/>
      <c r="AY113" s="2646"/>
      <c r="AZ113" s="2646"/>
      <c r="BA113" s="2646"/>
      <c r="BB113" s="2646"/>
      <c r="BC113" s="2646"/>
      <c r="BD113" s="2646"/>
      <c r="BE113" s="2646"/>
      <c r="BF113" s="2646"/>
      <c r="BG113" s="2646"/>
      <c r="BH113" s="2646"/>
    </row>
    <row r="114" spans="10:60">
      <c r="J114" s="2668"/>
      <c r="K114" s="2677"/>
      <c r="L114" s="2682"/>
      <c r="M114" s="1184"/>
      <c r="N114" s="2673"/>
      <c r="O114" s="1184"/>
      <c r="P114" s="2684"/>
      <c r="Q114" s="2672"/>
      <c r="R114" s="2672"/>
      <c r="S114" s="2672"/>
      <c r="T114" s="2672"/>
      <c r="U114" s="2672"/>
      <c r="V114" s="2672"/>
      <c r="W114" s="2672"/>
      <c r="X114" s="2672"/>
      <c r="Y114" s="2672"/>
      <c r="Z114" s="2672"/>
      <c r="AA114" s="2672"/>
      <c r="AB114" s="2672"/>
      <c r="AC114" s="2646"/>
      <c r="AD114" s="2646"/>
      <c r="AE114" s="2646"/>
      <c r="AF114" s="2646"/>
      <c r="AG114" s="2646"/>
      <c r="AH114" s="2646"/>
      <c r="AI114" s="2646"/>
      <c r="AJ114" s="2646"/>
      <c r="AK114" s="2646"/>
      <c r="AL114" s="2646"/>
      <c r="AM114" s="2646"/>
      <c r="AN114" s="2646"/>
      <c r="AO114" s="2646"/>
      <c r="AP114" s="2646"/>
      <c r="AQ114" s="2646"/>
      <c r="AR114" s="2646"/>
      <c r="AS114" s="2646"/>
      <c r="AT114" s="2646"/>
      <c r="AU114" s="2646"/>
      <c r="AV114" s="2646"/>
      <c r="AW114" s="2646"/>
      <c r="AX114" s="2646"/>
      <c r="AY114" s="2646"/>
      <c r="AZ114" s="2646"/>
      <c r="BA114" s="2646"/>
      <c r="BB114" s="2646"/>
      <c r="BC114" s="2646"/>
      <c r="BD114" s="2646"/>
      <c r="BE114" s="2646"/>
      <c r="BF114" s="2646"/>
      <c r="BG114" s="2646"/>
      <c r="BH114" s="2646"/>
    </row>
    <row r="115" spans="10:60">
      <c r="J115" s="2668"/>
      <c r="K115" s="2677"/>
      <c r="L115" s="2682"/>
      <c r="M115" s="1184"/>
      <c r="N115" s="2673"/>
      <c r="O115" s="1184"/>
      <c r="P115" s="2684"/>
      <c r="Q115" s="2672"/>
      <c r="R115" s="2672"/>
      <c r="S115" s="2672"/>
      <c r="T115" s="2672"/>
      <c r="U115" s="2672"/>
      <c r="V115" s="2672"/>
      <c r="W115" s="2672"/>
      <c r="X115" s="2672"/>
      <c r="Y115" s="2672"/>
      <c r="Z115" s="2672"/>
      <c r="AA115" s="2672"/>
      <c r="AB115" s="2672"/>
      <c r="AC115" s="2646"/>
      <c r="AD115" s="2646"/>
      <c r="AE115" s="2646"/>
      <c r="AF115" s="2646"/>
      <c r="AG115" s="2646"/>
      <c r="AH115" s="2646"/>
      <c r="AI115" s="2646"/>
      <c r="AJ115" s="2646"/>
      <c r="AK115" s="2646"/>
      <c r="AL115" s="2646"/>
      <c r="AM115" s="2646"/>
      <c r="AN115" s="2646"/>
      <c r="AO115" s="2646"/>
      <c r="AP115" s="2646"/>
      <c r="AQ115" s="2646"/>
      <c r="AR115" s="2646"/>
      <c r="AS115" s="2646"/>
      <c r="AT115" s="2646"/>
      <c r="AU115" s="2646"/>
      <c r="AV115" s="2646"/>
      <c r="AW115" s="2646"/>
      <c r="AX115" s="2646"/>
      <c r="AY115" s="2646"/>
      <c r="AZ115" s="2646"/>
      <c r="BA115" s="2646"/>
      <c r="BB115" s="2646"/>
      <c r="BC115" s="2646"/>
      <c r="BD115" s="2646"/>
      <c r="BE115" s="2646"/>
      <c r="BF115" s="2646"/>
      <c r="BG115" s="2646"/>
      <c r="BH115" s="2646"/>
    </row>
    <row r="116" spans="10:60">
      <c r="J116" s="2668"/>
      <c r="K116" s="2677"/>
      <c r="L116" s="2682"/>
      <c r="M116" s="1184"/>
      <c r="N116" s="2673"/>
      <c r="O116" s="1184"/>
      <c r="P116" s="2684"/>
      <c r="Q116" s="2672"/>
      <c r="R116" s="2672"/>
      <c r="S116" s="2672"/>
      <c r="T116" s="2672"/>
      <c r="U116" s="2672"/>
      <c r="V116" s="2672"/>
      <c r="W116" s="2672"/>
      <c r="X116" s="2672"/>
      <c r="Y116" s="2672"/>
      <c r="Z116" s="2672"/>
      <c r="AA116" s="2672"/>
      <c r="AB116" s="2672"/>
      <c r="AC116" s="2646"/>
      <c r="AD116" s="2646"/>
      <c r="AE116" s="2646"/>
      <c r="AF116" s="2646"/>
      <c r="AG116" s="2646"/>
      <c r="AH116" s="2646"/>
      <c r="AI116" s="2646"/>
      <c r="AJ116" s="2646"/>
      <c r="AK116" s="2646"/>
      <c r="AL116" s="2646"/>
      <c r="AM116" s="2646"/>
      <c r="AN116" s="2646"/>
      <c r="AO116" s="2646"/>
      <c r="AP116" s="2646"/>
      <c r="AQ116" s="2646"/>
      <c r="AR116" s="2646"/>
      <c r="AS116" s="2646"/>
      <c r="AT116" s="2646"/>
      <c r="AU116" s="2646"/>
      <c r="AV116" s="2646"/>
      <c r="AW116" s="2646"/>
      <c r="AX116" s="2646"/>
      <c r="AY116" s="2646"/>
      <c r="AZ116" s="2646"/>
      <c r="BA116" s="2646"/>
      <c r="BB116" s="2646"/>
      <c r="BC116" s="2646"/>
      <c r="BD116" s="2646"/>
      <c r="BE116" s="2646"/>
      <c r="BF116" s="2646"/>
      <c r="BG116" s="2646"/>
      <c r="BH116" s="2646"/>
    </row>
    <row r="117" spans="10:60">
      <c r="J117" s="2668"/>
      <c r="K117" s="2677"/>
      <c r="L117" s="2682"/>
      <c r="M117" s="1184"/>
      <c r="N117" s="2673"/>
      <c r="O117" s="1184"/>
      <c r="P117" s="2684"/>
      <c r="Q117" s="2672"/>
      <c r="R117" s="2672"/>
      <c r="S117" s="2672"/>
      <c r="T117" s="2672"/>
      <c r="U117" s="2672"/>
      <c r="V117" s="2672"/>
      <c r="W117" s="2672"/>
      <c r="X117" s="2672"/>
      <c r="Y117" s="2672"/>
      <c r="Z117" s="2672"/>
      <c r="AA117" s="2672"/>
      <c r="AB117" s="2672"/>
      <c r="AC117" s="2646"/>
      <c r="AD117" s="2646"/>
      <c r="AE117" s="2646"/>
      <c r="AF117" s="2646"/>
      <c r="AG117" s="2646"/>
      <c r="AH117" s="2646"/>
      <c r="AI117" s="2646"/>
      <c r="AJ117" s="2646"/>
      <c r="AK117" s="2646"/>
      <c r="AL117" s="2646"/>
      <c r="AM117" s="2646"/>
      <c r="AN117" s="2646"/>
      <c r="AO117" s="2646"/>
      <c r="AP117" s="2646"/>
      <c r="AQ117" s="2646"/>
      <c r="AR117" s="2646"/>
      <c r="AS117" s="2646"/>
      <c r="AT117" s="2646"/>
      <c r="AU117" s="2646"/>
      <c r="AV117" s="2646"/>
      <c r="AW117" s="2646"/>
      <c r="AX117" s="2646"/>
      <c r="AY117" s="2646"/>
      <c r="AZ117" s="2646"/>
      <c r="BA117" s="2646"/>
      <c r="BB117" s="2646"/>
      <c r="BC117" s="2646"/>
      <c r="BD117" s="2646"/>
      <c r="BE117" s="2646"/>
      <c r="BF117" s="2646"/>
      <c r="BG117" s="2646"/>
      <c r="BH117" s="2646"/>
    </row>
    <row r="118" spans="10:60">
      <c r="J118" s="2668"/>
      <c r="K118" s="2677"/>
      <c r="L118" s="2682"/>
      <c r="M118" s="1184"/>
      <c r="N118" s="2673"/>
      <c r="O118" s="1184"/>
      <c r="P118" s="2684"/>
      <c r="Q118" s="2672"/>
      <c r="R118" s="2672"/>
      <c r="S118" s="2672"/>
      <c r="T118" s="2672"/>
      <c r="U118" s="2672"/>
      <c r="V118" s="2672"/>
      <c r="W118" s="2672"/>
      <c r="X118" s="2672"/>
      <c r="Y118" s="2672"/>
      <c r="Z118" s="2672"/>
      <c r="AA118" s="2672"/>
      <c r="AB118" s="2672"/>
      <c r="AC118" s="2646"/>
      <c r="AD118" s="2646"/>
      <c r="AE118" s="2646"/>
      <c r="AF118" s="2646"/>
      <c r="AG118" s="2646"/>
      <c r="AH118" s="2646"/>
      <c r="AI118" s="2646"/>
      <c r="AJ118" s="2646"/>
      <c r="AK118" s="2646"/>
      <c r="AL118" s="2646"/>
      <c r="AM118" s="2646"/>
      <c r="AN118" s="2646"/>
      <c r="AO118" s="2646"/>
      <c r="AP118" s="2646"/>
      <c r="AQ118" s="2646"/>
      <c r="AR118" s="2646"/>
      <c r="AS118" s="2646"/>
      <c r="AT118" s="2646"/>
      <c r="AU118" s="2646"/>
      <c r="AV118" s="2646"/>
      <c r="AW118" s="2646"/>
      <c r="AX118" s="2646"/>
      <c r="AY118" s="2646"/>
      <c r="AZ118" s="2646"/>
      <c r="BA118" s="2646"/>
      <c r="BB118" s="2646"/>
      <c r="BC118" s="2646"/>
      <c r="BD118" s="2646"/>
      <c r="BE118" s="2646"/>
      <c r="BF118" s="2646"/>
      <c r="BG118" s="2646"/>
      <c r="BH118" s="2646"/>
    </row>
    <row r="119" spans="10:60">
      <c r="J119" s="2668"/>
      <c r="K119" s="2677"/>
      <c r="L119" s="2682"/>
      <c r="M119" s="1184"/>
      <c r="N119" s="2673"/>
      <c r="O119" s="1184"/>
      <c r="P119" s="2684"/>
      <c r="Q119" s="2672"/>
      <c r="R119" s="2672"/>
      <c r="S119" s="2672"/>
      <c r="T119" s="2672"/>
      <c r="U119" s="2672"/>
      <c r="V119" s="2672"/>
      <c r="W119" s="2672"/>
      <c r="X119" s="2672"/>
      <c r="Y119" s="2672"/>
      <c r="Z119" s="2672"/>
      <c r="AA119" s="2672"/>
      <c r="AB119" s="2672"/>
      <c r="AC119" s="2646"/>
      <c r="AD119" s="2646"/>
      <c r="AE119" s="2646"/>
      <c r="AF119" s="2646"/>
      <c r="AG119" s="2646"/>
      <c r="AH119" s="2646"/>
      <c r="AI119" s="2646"/>
      <c r="AJ119" s="2646"/>
      <c r="AK119" s="2646"/>
      <c r="AL119" s="2646"/>
      <c r="AM119" s="2646"/>
      <c r="AN119" s="2646"/>
      <c r="AO119" s="2646"/>
      <c r="AP119" s="2646"/>
      <c r="AQ119" s="2646"/>
      <c r="AR119" s="2646"/>
      <c r="AS119" s="2646"/>
      <c r="AT119" s="2646"/>
      <c r="AU119" s="2646"/>
      <c r="AV119" s="2646"/>
      <c r="AW119" s="2646"/>
      <c r="AX119" s="2646"/>
      <c r="AY119" s="2646"/>
      <c r="AZ119" s="2646"/>
      <c r="BA119" s="2646"/>
      <c r="BB119" s="2646"/>
      <c r="BC119" s="2646"/>
      <c r="BD119" s="2646"/>
      <c r="BE119" s="2646"/>
      <c r="BF119" s="2646"/>
      <c r="BG119" s="2646"/>
      <c r="BH119" s="2646"/>
    </row>
    <row r="120" spans="10:60">
      <c r="J120" s="2668"/>
      <c r="K120" s="2677"/>
      <c r="L120" s="2682"/>
      <c r="M120" s="1184"/>
      <c r="N120" s="2673"/>
      <c r="O120" s="1184"/>
      <c r="P120" s="2684"/>
      <c r="Q120" s="2672"/>
      <c r="R120" s="2672"/>
      <c r="S120" s="2672"/>
      <c r="T120" s="2672"/>
      <c r="U120" s="2672"/>
      <c r="V120" s="2672"/>
      <c r="W120" s="2672"/>
      <c r="X120" s="2672"/>
      <c r="Y120" s="2672"/>
      <c r="Z120" s="2672"/>
      <c r="AA120" s="2672"/>
      <c r="AB120" s="2672"/>
      <c r="AC120" s="2646"/>
      <c r="AD120" s="2646"/>
      <c r="AE120" s="2646"/>
      <c r="AF120" s="2646"/>
      <c r="AG120" s="2646"/>
      <c r="AH120" s="2646"/>
      <c r="AI120" s="2646"/>
      <c r="AJ120" s="2646"/>
      <c r="AK120" s="2646"/>
      <c r="AL120" s="2646"/>
      <c r="AM120" s="2646"/>
      <c r="AN120" s="2646"/>
      <c r="AO120" s="2646"/>
      <c r="AP120" s="2646"/>
      <c r="AQ120" s="2646"/>
      <c r="AR120" s="2646"/>
      <c r="AS120" s="2646"/>
      <c r="AT120" s="2646"/>
      <c r="AU120" s="2646"/>
      <c r="AV120" s="2646"/>
      <c r="AW120" s="2646"/>
      <c r="AX120" s="2646"/>
      <c r="AY120" s="2646"/>
      <c r="AZ120" s="2646"/>
      <c r="BA120" s="2646"/>
      <c r="BB120" s="2646"/>
      <c r="BC120" s="2646"/>
      <c r="BD120" s="2646"/>
      <c r="BE120" s="2646"/>
      <c r="BF120" s="2646"/>
      <c r="BG120" s="2646"/>
      <c r="BH120" s="2646"/>
    </row>
    <row r="121" spans="10:60">
      <c r="J121" s="2668"/>
      <c r="K121" s="2677"/>
      <c r="L121" s="2682"/>
      <c r="M121" s="1184"/>
      <c r="N121" s="2673"/>
      <c r="O121" s="1184"/>
      <c r="P121" s="2684"/>
      <c r="Q121" s="2672"/>
      <c r="R121" s="2647"/>
      <c r="S121" s="2646"/>
      <c r="T121" s="2646"/>
      <c r="U121" s="2646"/>
      <c r="V121" s="2646"/>
      <c r="W121" s="2646"/>
      <c r="X121" s="2647"/>
      <c r="Y121" s="2646"/>
      <c r="Z121" s="2646"/>
      <c r="AA121" s="2646"/>
      <c r="AB121" s="2672"/>
      <c r="AC121" s="2646"/>
      <c r="AD121" s="2646"/>
      <c r="AE121" s="2646"/>
      <c r="AF121" s="2646"/>
      <c r="AG121" s="2646"/>
      <c r="AH121" s="2646"/>
      <c r="AI121" s="2646"/>
      <c r="AJ121" s="2646"/>
      <c r="AK121" s="2646"/>
      <c r="AL121" s="2646"/>
      <c r="AM121" s="2646"/>
      <c r="AN121" s="2646"/>
      <c r="AO121" s="2646"/>
      <c r="AP121" s="2646"/>
      <c r="AQ121" s="2646"/>
      <c r="AR121" s="2646"/>
      <c r="AS121" s="2646"/>
      <c r="AT121" s="2646"/>
      <c r="AU121" s="2646"/>
      <c r="AV121" s="2646"/>
      <c r="AW121" s="2646"/>
      <c r="AX121" s="2646"/>
      <c r="AY121" s="2646"/>
      <c r="AZ121" s="2646"/>
      <c r="BA121" s="2646"/>
      <c r="BB121" s="2646"/>
      <c r="BC121" s="2646"/>
      <c r="BD121" s="2646"/>
      <c r="BE121" s="2646"/>
      <c r="BF121" s="2646"/>
      <c r="BG121" s="2646"/>
      <c r="BH121" s="2646"/>
    </row>
    <row r="122" spans="10:60">
      <c r="J122" s="2668"/>
      <c r="K122" s="2677"/>
      <c r="L122" s="2682"/>
      <c r="M122" s="1184"/>
      <c r="N122" s="1639"/>
      <c r="O122" s="1184"/>
      <c r="P122" s="2684"/>
      <c r="Q122" s="2672"/>
      <c r="R122" s="2645"/>
      <c r="S122" s="2646"/>
      <c r="T122" s="2646"/>
      <c r="U122" s="2646"/>
      <c r="V122" s="2646"/>
      <c r="W122" s="2646"/>
      <c r="X122" s="2647"/>
      <c r="Y122" s="2646"/>
      <c r="Z122" s="2646"/>
      <c r="AA122" s="2646"/>
      <c r="AB122" s="2672"/>
      <c r="AC122" s="2646"/>
      <c r="AD122" s="2646"/>
      <c r="AE122" s="2646"/>
      <c r="AF122" s="2646"/>
      <c r="AG122" s="2646"/>
      <c r="AH122" s="2646"/>
      <c r="AI122" s="2646"/>
      <c r="AJ122" s="2646"/>
      <c r="AK122" s="2646"/>
      <c r="AL122" s="2646"/>
      <c r="AM122" s="2646"/>
      <c r="AN122" s="2646"/>
      <c r="AO122" s="2646"/>
      <c r="AP122" s="2646"/>
      <c r="AQ122" s="2646"/>
      <c r="AR122" s="2646"/>
      <c r="AS122" s="2646"/>
      <c r="AT122" s="2646"/>
      <c r="AU122" s="2646"/>
      <c r="AV122" s="2646"/>
      <c r="AW122" s="2646"/>
      <c r="AX122" s="2646"/>
      <c r="AY122" s="2646"/>
      <c r="AZ122" s="2646"/>
      <c r="BA122" s="2646"/>
      <c r="BB122" s="2646"/>
      <c r="BC122" s="2646"/>
      <c r="BD122" s="2646"/>
      <c r="BE122" s="2646"/>
      <c r="BF122" s="2646"/>
      <c r="BG122" s="2646"/>
      <c r="BH122" s="2646"/>
    </row>
    <row r="123" spans="10:60">
      <c r="J123" s="2668"/>
      <c r="K123" s="2677"/>
      <c r="L123" s="2682"/>
      <c r="M123" s="1184"/>
      <c r="N123" s="1184"/>
      <c r="O123" s="1184"/>
      <c r="P123" s="2686"/>
      <c r="Q123" s="2672"/>
      <c r="R123" s="2647"/>
      <c r="S123" s="2646"/>
      <c r="T123" s="2646"/>
      <c r="U123" s="2646"/>
      <c r="V123" s="2646"/>
      <c r="W123" s="2646"/>
      <c r="X123" s="2646"/>
      <c r="Y123" s="2646"/>
      <c r="Z123" s="2646"/>
      <c r="AA123" s="2646"/>
      <c r="AB123" s="2672"/>
      <c r="AC123" s="2646"/>
      <c r="AD123" s="2646"/>
      <c r="AE123" s="2646"/>
      <c r="AF123" s="2646"/>
      <c r="AG123" s="2646"/>
      <c r="AH123" s="2646"/>
      <c r="AI123" s="2646"/>
      <c r="AJ123" s="2646"/>
      <c r="AK123" s="2646"/>
      <c r="AL123" s="2646"/>
      <c r="AM123" s="2646"/>
      <c r="AN123" s="2646"/>
      <c r="AO123" s="2646"/>
      <c r="AP123" s="2646"/>
      <c r="AQ123" s="2646"/>
      <c r="AR123" s="2646"/>
      <c r="AS123" s="2646"/>
      <c r="AT123" s="2646"/>
      <c r="AU123" s="2646"/>
      <c r="AV123" s="2646"/>
      <c r="AW123" s="2646"/>
      <c r="AX123" s="2646"/>
      <c r="AY123" s="2646"/>
      <c r="AZ123" s="2646"/>
      <c r="BA123" s="2646"/>
      <c r="BB123" s="2646"/>
      <c r="BC123" s="2646"/>
      <c r="BD123" s="2646"/>
      <c r="BE123" s="2646"/>
      <c r="BF123" s="2646"/>
      <c r="BG123" s="2646"/>
      <c r="BH123" s="2646"/>
    </row>
    <row r="124" spans="10:60">
      <c r="J124" s="2668"/>
      <c r="K124" s="2677"/>
      <c r="L124" s="2687"/>
      <c r="M124" s="2688"/>
      <c r="N124" s="2688"/>
      <c r="O124" s="2688"/>
      <c r="P124" s="2688"/>
      <c r="Q124" s="2672"/>
      <c r="R124" s="2647"/>
      <c r="S124" s="2646"/>
      <c r="T124" s="2646"/>
      <c r="U124" s="2646"/>
      <c r="V124" s="2646"/>
      <c r="W124" s="2646"/>
      <c r="X124" s="2646"/>
      <c r="Y124" s="2647"/>
      <c r="Z124" s="2646"/>
      <c r="AA124" s="2646"/>
      <c r="AB124" s="2672"/>
      <c r="AC124" s="2646"/>
      <c r="AD124" s="2646"/>
      <c r="AE124" s="2646"/>
      <c r="AF124" s="2646"/>
      <c r="AG124" s="2646"/>
      <c r="AH124" s="2646"/>
      <c r="AI124" s="2646"/>
      <c r="AJ124" s="2646"/>
      <c r="AK124" s="2646"/>
      <c r="AL124" s="2646"/>
      <c r="AM124" s="2646"/>
      <c r="AN124" s="2646"/>
      <c r="AO124" s="2646"/>
      <c r="AP124" s="2646"/>
      <c r="AQ124" s="2646"/>
      <c r="AR124" s="2646"/>
      <c r="AS124" s="2646"/>
      <c r="AT124" s="2646"/>
      <c r="AU124" s="2646"/>
      <c r="AV124" s="2646"/>
      <c r="AW124" s="2646"/>
      <c r="AX124" s="2646"/>
      <c r="AY124" s="2646"/>
      <c r="AZ124" s="2646"/>
      <c r="BA124" s="2646"/>
      <c r="BB124" s="2646"/>
      <c r="BC124" s="2646"/>
      <c r="BD124" s="2646"/>
      <c r="BE124" s="2646"/>
      <c r="BF124" s="2646"/>
      <c r="BG124" s="2646"/>
      <c r="BH124" s="2646"/>
    </row>
    <row r="125" spans="10:60">
      <c r="J125" s="2668"/>
      <c r="K125" s="2677"/>
      <c r="L125" s="2689"/>
      <c r="M125" s="2688"/>
      <c r="N125" s="2688"/>
      <c r="O125" s="2688"/>
      <c r="P125" s="2688"/>
      <c r="Q125" s="2672"/>
      <c r="R125" s="2646"/>
      <c r="S125" s="2646"/>
      <c r="T125" s="2646"/>
      <c r="U125" s="2646"/>
      <c r="V125" s="2646"/>
      <c r="W125" s="2646"/>
      <c r="X125" s="2646"/>
      <c r="Y125" s="2646"/>
      <c r="Z125" s="2690"/>
      <c r="AA125" s="2646"/>
      <c r="AB125" s="2672"/>
      <c r="AC125" s="2646"/>
      <c r="AD125" s="2646"/>
      <c r="AE125" s="2646"/>
      <c r="AF125" s="2646"/>
      <c r="AG125" s="2646"/>
      <c r="AH125" s="2646"/>
      <c r="AI125" s="2646"/>
      <c r="AJ125" s="2646"/>
      <c r="AK125" s="2646"/>
      <c r="AL125" s="2646"/>
      <c r="AM125" s="2646"/>
      <c r="AN125" s="2646"/>
      <c r="AO125" s="2646"/>
      <c r="AP125" s="2646"/>
      <c r="AQ125" s="2646"/>
      <c r="AR125" s="2646"/>
      <c r="AS125" s="2646"/>
      <c r="AT125" s="2646"/>
      <c r="AU125" s="2646"/>
      <c r="AV125" s="2646"/>
      <c r="AW125" s="2646"/>
      <c r="AX125" s="2646"/>
      <c r="AY125" s="2646"/>
      <c r="AZ125" s="2646"/>
      <c r="BA125" s="2646"/>
      <c r="BB125" s="2646"/>
      <c r="BC125" s="2646"/>
      <c r="BD125" s="2646"/>
      <c r="BE125" s="2646"/>
      <c r="BF125" s="2646"/>
      <c r="BG125" s="2646"/>
      <c r="BH125" s="2646"/>
    </row>
    <row r="126" spans="10:60">
      <c r="J126" s="2668"/>
      <c r="K126" s="2677"/>
      <c r="L126" s="2687"/>
      <c r="M126" s="2688"/>
      <c r="N126" s="2691"/>
      <c r="O126" s="2691"/>
      <c r="P126" s="2688"/>
      <c r="Q126" s="2672"/>
      <c r="R126" s="2645"/>
      <c r="S126" s="2646"/>
      <c r="T126" s="2646"/>
      <c r="U126" s="2646"/>
      <c r="V126" s="2646"/>
      <c r="W126" s="2646"/>
      <c r="X126" s="2646"/>
      <c r="Y126" s="2646"/>
      <c r="Z126" s="2646"/>
      <c r="AA126" s="2646"/>
      <c r="AB126" s="2672"/>
      <c r="AC126" s="2646"/>
      <c r="AD126" s="2646"/>
      <c r="AE126" s="2646"/>
      <c r="AF126" s="2646"/>
      <c r="AG126" s="2646"/>
      <c r="AH126" s="2646"/>
      <c r="AI126" s="2646"/>
      <c r="AJ126" s="2646"/>
      <c r="AK126" s="2646"/>
      <c r="AL126" s="2646"/>
      <c r="AM126" s="2646"/>
      <c r="AN126" s="2646"/>
      <c r="AO126" s="2646"/>
      <c r="AP126" s="2646"/>
      <c r="AQ126" s="2646"/>
      <c r="AR126" s="2646"/>
      <c r="AS126" s="2646"/>
      <c r="AT126" s="2646"/>
      <c r="AU126" s="2646"/>
      <c r="AV126" s="2646"/>
      <c r="AW126" s="2646"/>
      <c r="AX126" s="2646"/>
      <c r="AY126" s="2646"/>
      <c r="AZ126" s="2646"/>
      <c r="BA126" s="2646"/>
      <c r="BB126" s="2646"/>
      <c r="BC126" s="2646"/>
      <c r="BD126" s="2646"/>
      <c r="BE126" s="2646"/>
      <c r="BF126" s="2646"/>
      <c r="BG126" s="2646"/>
      <c r="BH126" s="2646"/>
    </row>
    <row r="127" spans="10:60">
      <c r="J127" s="2668"/>
      <c r="K127" s="2677"/>
      <c r="L127" s="2689"/>
      <c r="M127" s="2688"/>
      <c r="N127" s="2688"/>
      <c r="O127" s="2688"/>
      <c r="P127" s="2686"/>
      <c r="Q127" s="2672"/>
      <c r="R127" s="2646"/>
      <c r="S127" s="2646"/>
      <c r="T127" s="2646"/>
      <c r="U127" s="2646"/>
      <c r="V127" s="2646"/>
      <c r="W127" s="2646"/>
      <c r="X127" s="2646"/>
      <c r="Y127" s="2646"/>
      <c r="Z127" s="2646"/>
      <c r="AA127" s="2646"/>
      <c r="AB127" s="2672"/>
      <c r="AC127" s="2646"/>
      <c r="AD127" s="2646"/>
      <c r="AE127" s="2646"/>
      <c r="AF127" s="2646"/>
      <c r="AG127" s="2646"/>
      <c r="AH127" s="2646"/>
      <c r="AI127" s="2646"/>
      <c r="AJ127" s="2646"/>
      <c r="AK127" s="2646"/>
      <c r="AL127" s="2646"/>
      <c r="AM127" s="2646"/>
      <c r="AN127" s="2646"/>
      <c r="AO127" s="2646"/>
      <c r="AP127" s="2646"/>
      <c r="AQ127" s="2646"/>
      <c r="AR127" s="2646"/>
      <c r="AS127" s="2646"/>
      <c r="AT127" s="2646"/>
      <c r="AU127" s="2646"/>
      <c r="AV127" s="2646"/>
      <c r="AW127" s="2646"/>
      <c r="AX127" s="2646"/>
      <c r="AY127" s="2646"/>
      <c r="AZ127" s="2646"/>
      <c r="BA127" s="2646"/>
      <c r="BB127" s="2646"/>
      <c r="BC127" s="2646"/>
      <c r="BD127" s="2646"/>
      <c r="BE127" s="2646"/>
      <c r="BF127" s="2646"/>
      <c r="BG127" s="2646"/>
      <c r="BH127" s="2646"/>
    </row>
    <row r="128" spans="10:60">
      <c r="J128" s="2668"/>
      <c r="K128" s="2692"/>
      <c r="L128" s="2672"/>
      <c r="M128" s="2672"/>
      <c r="N128" s="2672"/>
      <c r="O128" s="2672"/>
      <c r="P128" s="2672"/>
      <c r="Q128" s="2672"/>
      <c r="R128" s="2646"/>
      <c r="S128" s="2646"/>
      <c r="T128" s="2646"/>
      <c r="U128" s="2668"/>
      <c r="V128" s="2646"/>
      <c r="W128" s="2646"/>
      <c r="X128" s="2646"/>
      <c r="Y128" s="2646"/>
      <c r="Z128" s="2646"/>
      <c r="AA128" s="2646"/>
      <c r="AB128" s="2672"/>
      <c r="AC128" s="2646"/>
      <c r="AD128" s="2646"/>
      <c r="AE128" s="2646"/>
      <c r="AF128" s="2646"/>
      <c r="AG128" s="2646"/>
      <c r="AH128" s="2646"/>
      <c r="AI128" s="2646"/>
      <c r="AJ128" s="2646"/>
      <c r="AK128" s="2646"/>
      <c r="AL128" s="2646"/>
      <c r="AM128" s="2646"/>
      <c r="AN128" s="2646"/>
      <c r="AO128" s="2646"/>
      <c r="AP128" s="2646"/>
      <c r="AQ128" s="2646"/>
      <c r="AR128" s="2646"/>
      <c r="AS128" s="2646"/>
      <c r="AT128" s="2646"/>
      <c r="AU128" s="2646"/>
      <c r="AV128" s="2646"/>
      <c r="AW128" s="2646"/>
      <c r="AX128" s="2646"/>
      <c r="AY128" s="2646"/>
      <c r="AZ128" s="2646"/>
      <c r="BA128" s="2646"/>
      <c r="BB128" s="2646"/>
      <c r="BC128" s="2646"/>
      <c r="BD128" s="2646"/>
      <c r="BE128" s="2646"/>
      <c r="BF128" s="2646"/>
      <c r="BG128" s="2646"/>
      <c r="BH128" s="2646"/>
    </row>
    <row r="129" spans="10:60">
      <c r="J129" s="2668"/>
      <c r="K129" s="2692"/>
      <c r="L129" s="2672"/>
      <c r="M129" s="2672"/>
      <c r="N129" s="2672"/>
      <c r="O129" s="2672"/>
      <c r="P129" s="2672"/>
      <c r="Q129" s="2672"/>
      <c r="R129" s="2668"/>
      <c r="S129" s="2646"/>
      <c r="T129" s="2646"/>
      <c r="U129" s="2668"/>
      <c r="V129" s="2646"/>
      <c r="W129" s="2668"/>
      <c r="X129" s="2646"/>
      <c r="Y129" s="2668"/>
      <c r="Z129" s="2646"/>
      <c r="AA129" s="2646"/>
      <c r="AB129" s="2672"/>
      <c r="AC129" s="2646"/>
      <c r="AD129" s="2646"/>
      <c r="AE129" s="2646"/>
      <c r="AF129" s="2646"/>
      <c r="AG129" s="2646"/>
      <c r="AH129" s="2646"/>
      <c r="AI129" s="2646"/>
      <c r="AJ129" s="2646"/>
      <c r="AK129" s="2646"/>
      <c r="AL129" s="2646"/>
      <c r="AM129" s="2646"/>
      <c r="AN129" s="2646"/>
      <c r="AO129" s="2646"/>
      <c r="AP129" s="2646"/>
      <c r="AQ129" s="2646"/>
      <c r="AR129" s="2646"/>
      <c r="AS129" s="2646"/>
      <c r="AT129" s="2646"/>
      <c r="AU129" s="2646"/>
      <c r="AV129" s="2646"/>
      <c r="AW129" s="2646"/>
      <c r="AX129" s="2646"/>
      <c r="AY129" s="2646"/>
      <c r="AZ129" s="2646"/>
      <c r="BA129" s="2646"/>
      <c r="BB129" s="2646"/>
      <c r="BC129" s="2646"/>
      <c r="BD129" s="2646"/>
      <c r="BE129" s="2646"/>
      <c r="BF129" s="2646"/>
      <c r="BG129" s="2646"/>
      <c r="BH129" s="2646"/>
    </row>
    <row r="130" spans="10:60">
      <c r="J130" s="2668"/>
      <c r="K130" s="2692"/>
      <c r="L130" s="2672"/>
      <c r="M130" s="2672"/>
      <c r="N130" s="2672"/>
      <c r="O130" s="2672"/>
      <c r="P130" s="2672"/>
      <c r="Q130" s="2672"/>
      <c r="R130" s="2669"/>
      <c r="S130" s="2693"/>
      <c r="T130" s="2669"/>
      <c r="U130" s="2669"/>
      <c r="V130" s="2693"/>
      <c r="W130" s="2669"/>
      <c r="X130" s="2693"/>
      <c r="Y130" s="2669"/>
      <c r="Z130" s="2646"/>
      <c r="AA130" s="2646"/>
      <c r="AB130" s="2672"/>
      <c r="AC130" s="2646"/>
      <c r="AD130" s="2646"/>
      <c r="AE130" s="2646"/>
      <c r="AF130" s="2646"/>
      <c r="AG130" s="2646"/>
      <c r="AH130" s="2646"/>
      <c r="AI130" s="2646"/>
      <c r="AJ130" s="2646"/>
      <c r="AK130" s="2646"/>
      <c r="AL130" s="2646"/>
      <c r="AM130" s="2646"/>
      <c r="AN130" s="2646"/>
      <c r="AO130" s="2646"/>
      <c r="AP130" s="2646"/>
      <c r="AQ130" s="2646"/>
      <c r="AR130" s="2646"/>
      <c r="AS130" s="2646"/>
      <c r="AT130" s="2646"/>
      <c r="AU130" s="2646"/>
      <c r="AV130" s="2646"/>
      <c r="AW130" s="2646"/>
      <c r="AX130" s="2646"/>
      <c r="AY130" s="2646"/>
      <c r="AZ130" s="2646"/>
      <c r="BA130" s="2646"/>
      <c r="BB130" s="2646"/>
      <c r="BC130" s="2646"/>
      <c r="BD130" s="2646"/>
      <c r="BE130" s="2646"/>
      <c r="BF130" s="2646"/>
      <c r="BG130" s="2646"/>
      <c r="BH130" s="2646"/>
    </row>
    <row r="131" spans="10:60">
      <c r="J131" s="2668"/>
      <c r="K131" s="2692"/>
      <c r="L131" s="2672"/>
      <c r="M131" s="2672"/>
      <c r="N131" s="2672"/>
      <c r="O131" s="2672"/>
      <c r="P131" s="2672"/>
      <c r="Q131" s="2672"/>
      <c r="R131" s="2646"/>
      <c r="S131" s="2646"/>
      <c r="T131" s="2646"/>
      <c r="U131" s="2646"/>
      <c r="V131" s="2646"/>
      <c r="W131" s="2646"/>
      <c r="X131" s="2646"/>
      <c r="Y131" s="2646"/>
      <c r="Z131" s="2646"/>
      <c r="AA131" s="2646"/>
      <c r="AB131" s="2672"/>
      <c r="AC131" s="2646"/>
      <c r="AD131" s="2646"/>
      <c r="AE131" s="2646"/>
      <c r="AF131" s="2646"/>
      <c r="AG131" s="2646"/>
      <c r="AH131" s="2646"/>
      <c r="AI131" s="2646"/>
      <c r="AJ131" s="2646"/>
      <c r="AK131" s="2646"/>
      <c r="AL131" s="2646"/>
      <c r="AM131" s="2646"/>
      <c r="AN131" s="2646"/>
      <c r="AO131" s="2646"/>
      <c r="AP131" s="2646"/>
      <c r="AQ131" s="2646"/>
      <c r="AR131" s="2646"/>
      <c r="AS131" s="2646"/>
      <c r="AT131" s="2646"/>
      <c r="AU131" s="2646"/>
      <c r="AV131" s="2646"/>
      <c r="AW131" s="2646"/>
      <c r="AX131" s="2646"/>
      <c r="AY131" s="2646"/>
      <c r="AZ131" s="2646"/>
      <c r="BA131" s="2646"/>
      <c r="BB131" s="2646"/>
      <c r="BC131" s="2646"/>
      <c r="BD131" s="2646"/>
      <c r="BE131" s="2646"/>
      <c r="BF131" s="2646"/>
      <c r="BG131" s="2646"/>
      <c r="BH131" s="2646"/>
    </row>
    <row r="132" spans="10:60">
      <c r="J132" s="2668"/>
      <c r="K132" s="2692"/>
      <c r="L132" s="2672"/>
      <c r="M132" s="2672"/>
      <c r="N132" s="2672"/>
      <c r="O132" s="2672"/>
      <c r="P132" s="2672"/>
      <c r="Q132" s="2672"/>
      <c r="R132" s="2694"/>
      <c r="S132" s="2646"/>
      <c r="T132" s="2647"/>
      <c r="U132" s="2668"/>
      <c r="V132" s="2646"/>
      <c r="W132" s="2646"/>
      <c r="X132" s="2646"/>
      <c r="Y132" s="2695"/>
      <c r="Z132" s="2647"/>
      <c r="AA132" s="2646"/>
      <c r="AB132" s="2672"/>
      <c r="AC132" s="2646"/>
      <c r="AD132" s="2646"/>
      <c r="AE132" s="2646"/>
      <c r="AF132" s="2646"/>
      <c r="AG132" s="2646"/>
      <c r="AH132" s="2646"/>
      <c r="AI132" s="2646"/>
      <c r="AJ132" s="2646"/>
      <c r="AK132" s="2646"/>
      <c r="AL132" s="2646"/>
      <c r="AM132" s="2646"/>
      <c r="AN132" s="2646"/>
      <c r="AO132" s="2646"/>
      <c r="AP132" s="2646"/>
      <c r="AQ132" s="2646"/>
      <c r="AR132" s="2646"/>
      <c r="AS132" s="2646"/>
      <c r="AT132" s="2646"/>
      <c r="AU132" s="2646"/>
      <c r="AV132" s="2646"/>
      <c r="AW132" s="2646"/>
      <c r="AX132" s="2646"/>
      <c r="AY132" s="2646"/>
      <c r="AZ132" s="2646"/>
      <c r="BA132" s="2646"/>
      <c r="BB132" s="2646"/>
      <c r="BC132" s="2646"/>
      <c r="BD132" s="2646"/>
      <c r="BE132" s="2646"/>
      <c r="BF132" s="2646"/>
      <c r="BG132" s="2646"/>
      <c r="BH132" s="2646"/>
    </row>
    <row r="133" spans="10:60">
      <c r="J133" s="2668"/>
      <c r="K133" s="2692"/>
      <c r="L133" s="2672"/>
      <c r="M133" s="2672"/>
      <c r="N133" s="2672"/>
      <c r="O133" s="2672"/>
      <c r="P133" s="2672"/>
      <c r="Q133" s="2672"/>
      <c r="R133" s="2694"/>
      <c r="S133" s="2646"/>
      <c r="T133" s="2646"/>
      <c r="U133" s="2646"/>
      <c r="V133" s="2646"/>
      <c r="W133" s="2646"/>
      <c r="X133" s="2646"/>
      <c r="Y133" s="2646"/>
      <c r="Z133" s="2647"/>
      <c r="AA133" s="2646"/>
      <c r="AB133" s="2672"/>
      <c r="AC133" s="2646"/>
      <c r="AD133" s="2646"/>
      <c r="AE133" s="2646"/>
      <c r="AF133" s="2646"/>
      <c r="AG133" s="2646"/>
      <c r="AH133" s="2646"/>
      <c r="AI133" s="2646"/>
      <c r="AJ133" s="2646"/>
      <c r="AK133" s="2646"/>
      <c r="AL133" s="2646"/>
      <c r="AM133" s="2646"/>
      <c r="AN133" s="2646"/>
      <c r="AO133" s="2646"/>
      <c r="AP133" s="2646"/>
      <c r="AQ133" s="2646"/>
      <c r="AR133" s="2646"/>
      <c r="AS133" s="2646"/>
      <c r="AT133" s="2646"/>
      <c r="AU133" s="2646"/>
      <c r="AV133" s="2646"/>
      <c r="AW133" s="2646"/>
      <c r="AX133" s="2646"/>
      <c r="AY133" s="2646"/>
      <c r="AZ133" s="2646"/>
      <c r="BA133" s="2646"/>
      <c r="BB133" s="2646"/>
      <c r="BC133" s="2646"/>
      <c r="BD133" s="2646"/>
      <c r="BE133" s="2646"/>
      <c r="BF133" s="2646"/>
      <c r="BG133" s="2646"/>
      <c r="BH133" s="2646"/>
    </row>
    <row r="134" spans="10:60">
      <c r="J134" s="2668"/>
      <c r="K134" s="2692"/>
      <c r="L134" s="2672"/>
      <c r="M134" s="2672"/>
      <c r="N134" s="2672"/>
      <c r="O134" s="2672"/>
      <c r="P134" s="2672"/>
      <c r="Q134" s="2672"/>
      <c r="R134" s="2694"/>
      <c r="S134" s="2646"/>
      <c r="T134" s="2646"/>
      <c r="U134" s="2646"/>
      <c r="V134" s="2646"/>
      <c r="W134" s="2646"/>
      <c r="X134" s="2646"/>
      <c r="Y134" s="2646"/>
      <c r="Z134" s="2647"/>
      <c r="AA134" s="2646"/>
      <c r="AB134" s="2672"/>
      <c r="AC134" s="2646"/>
      <c r="AD134" s="2646"/>
      <c r="AE134" s="2646"/>
      <c r="AF134" s="2646"/>
      <c r="AG134" s="2646"/>
      <c r="AH134" s="2646"/>
      <c r="AI134" s="2646"/>
      <c r="AJ134" s="2646"/>
      <c r="AK134" s="2646"/>
      <c r="AL134" s="2646"/>
      <c r="AM134" s="2646"/>
      <c r="AN134" s="2646"/>
      <c r="AO134" s="2646"/>
      <c r="AP134" s="2646"/>
      <c r="AQ134" s="2646"/>
      <c r="AR134" s="2646"/>
      <c r="AS134" s="2646"/>
      <c r="AT134" s="2646"/>
      <c r="AU134" s="2646"/>
      <c r="AV134" s="2646"/>
      <c r="AW134" s="2646"/>
      <c r="AX134" s="2646"/>
      <c r="AY134" s="2646"/>
      <c r="AZ134" s="2646"/>
      <c r="BA134" s="2646"/>
      <c r="BB134" s="2646"/>
      <c r="BC134" s="2646"/>
      <c r="BD134" s="2646"/>
      <c r="BE134" s="2646"/>
      <c r="BF134" s="2646"/>
      <c r="BG134" s="2646"/>
      <c r="BH134" s="2646"/>
    </row>
    <row r="135" spans="10:60">
      <c r="J135" s="2668"/>
      <c r="K135" s="2692"/>
      <c r="L135" s="2672"/>
      <c r="M135" s="2672"/>
      <c r="N135" s="2672"/>
      <c r="O135" s="2672"/>
      <c r="P135" s="2672"/>
      <c r="Q135" s="2672"/>
      <c r="R135" s="2694"/>
      <c r="S135" s="2646"/>
      <c r="T135" s="2646"/>
      <c r="U135" s="2646"/>
      <c r="V135" s="2646"/>
      <c r="W135" s="2646"/>
      <c r="X135" s="2646"/>
      <c r="Y135" s="2646"/>
      <c r="Z135" s="2647"/>
      <c r="AA135" s="2646"/>
      <c r="AB135" s="2672"/>
      <c r="AC135" s="2646"/>
      <c r="AD135" s="2646"/>
      <c r="AE135" s="2646"/>
      <c r="AF135" s="2646"/>
      <c r="AG135" s="2646"/>
      <c r="AH135" s="2646"/>
      <c r="AI135" s="2646"/>
      <c r="AJ135" s="2646"/>
      <c r="AK135" s="2646"/>
      <c r="AL135" s="2646"/>
      <c r="AM135" s="2646"/>
      <c r="AN135" s="2646"/>
      <c r="AO135" s="2646"/>
      <c r="AP135" s="2646"/>
      <c r="AQ135" s="2646"/>
      <c r="AR135" s="2646"/>
      <c r="AS135" s="2646"/>
      <c r="AT135" s="2646"/>
      <c r="AU135" s="2646"/>
      <c r="AV135" s="2646"/>
      <c r="AW135" s="2646"/>
      <c r="AX135" s="2646"/>
      <c r="AY135" s="2646"/>
      <c r="AZ135" s="2646"/>
      <c r="BA135" s="2646"/>
      <c r="BB135" s="2646"/>
      <c r="BC135" s="2646"/>
      <c r="BD135" s="2646"/>
      <c r="BE135" s="2646"/>
      <c r="BF135" s="2646"/>
      <c r="BG135" s="2646"/>
      <c r="BH135" s="2646"/>
    </row>
    <row r="136" spans="10:60">
      <c r="J136" s="2668"/>
      <c r="K136" s="2692"/>
      <c r="L136" s="2672"/>
      <c r="M136" s="2672"/>
      <c r="N136" s="2672"/>
      <c r="O136" s="2672"/>
      <c r="P136" s="2672"/>
      <c r="Q136" s="2672"/>
      <c r="R136" s="2694"/>
      <c r="S136" s="2646"/>
      <c r="T136" s="2696"/>
      <c r="U136" s="2697"/>
      <c r="V136" s="2646"/>
      <c r="W136" s="2698"/>
      <c r="X136" s="2646"/>
      <c r="Y136" s="2646"/>
      <c r="Z136" s="2647"/>
      <c r="AA136" s="2646"/>
      <c r="AB136" s="2672"/>
      <c r="AC136" s="2646"/>
      <c r="AD136" s="2646"/>
      <c r="AE136" s="2646"/>
      <c r="AF136" s="2646"/>
      <c r="AG136" s="2646"/>
      <c r="AH136" s="2646"/>
      <c r="AI136" s="2646"/>
      <c r="AJ136" s="2646"/>
      <c r="AK136" s="2646"/>
      <c r="AL136" s="2646"/>
      <c r="AM136" s="2646"/>
      <c r="AN136" s="2646"/>
      <c r="AO136" s="2646"/>
      <c r="AP136" s="2646"/>
      <c r="AQ136" s="2646"/>
      <c r="AR136" s="2646"/>
      <c r="AS136" s="2646"/>
      <c r="AT136" s="2646"/>
      <c r="AU136" s="2646"/>
      <c r="AV136" s="2646"/>
      <c r="AW136" s="2646"/>
      <c r="AX136" s="2646"/>
      <c r="AY136" s="2646"/>
      <c r="AZ136" s="2646"/>
      <c r="BA136" s="2646"/>
      <c r="BB136" s="2646"/>
      <c r="BC136" s="2646"/>
      <c r="BD136" s="2646"/>
      <c r="BE136" s="2646"/>
      <c r="BF136" s="2646"/>
      <c r="BG136" s="2646"/>
      <c r="BH136" s="2646"/>
    </row>
    <row r="137" spans="10:60">
      <c r="J137" s="2668"/>
      <c r="K137" s="2692"/>
      <c r="L137" s="2672"/>
      <c r="M137" s="2672"/>
      <c r="N137" s="2672"/>
      <c r="O137" s="2672"/>
      <c r="P137" s="2672"/>
      <c r="Q137" s="2672"/>
      <c r="R137" s="2694"/>
      <c r="S137" s="2646"/>
      <c r="T137" s="2647"/>
      <c r="U137" s="2697"/>
      <c r="V137" s="2646"/>
      <c r="W137" s="2698"/>
      <c r="X137" s="2646"/>
      <c r="Y137" s="2646"/>
      <c r="Z137" s="2647"/>
      <c r="AA137" s="2646"/>
      <c r="AB137" s="2672"/>
      <c r="AC137" s="2646"/>
      <c r="AD137" s="2646"/>
      <c r="AE137" s="2646"/>
      <c r="AF137" s="2646"/>
      <c r="AG137" s="2646"/>
      <c r="AH137" s="2646"/>
      <c r="AI137" s="2646"/>
      <c r="AJ137" s="2646"/>
      <c r="AK137" s="2646"/>
      <c r="AL137" s="2646"/>
      <c r="AM137" s="2646"/>
      <c r="AN137" s="2646"/>
      <c r="AO137" s="2646"/>
      <c r="AP137" s="2646"/>
      <c r="AQ137" s="2646"/>
      <c r="AR137" s="2646"/>
      <c r="AS137" s="2646"/>
      <c r="AT137" s="2646"/>
      <c r="AU137" s="2646"/>
      <c r="AV137" s="2646"/>
      <c r="AW137" s="2646"/>
      <c r="AX137" s="2646"/>
      <c r="AY137" s="2646"/>
      <c r="AZ137" s="2646"/>
      <c r="BA137" s="2646"/>
      <c r="BB137" s="2646"/>
      <c r="BC137" s="2646"/>
      <c r="BD137" s="2646"/>
      <c r="BE137" s="2646"/>
      <c r="BF137" s="2646"/>
      <c r="BG137" s="2646"/>
      <c r="BH137" s="2646"/>
    </row>
    <row r="138" spans="10:60">
      <c r="J138" s="2668"/>
      <c r="K138" s="2692"/>
      <c r="L138" s="2672"/>
      <c r="M138" s="2672"/>
      <c r="N138" s="2672"/>
      <c r="O138" s="2672"/>
      <c r="P138" s="2672"/>
      <c r="Q138" s="2672"/>
      <c r="R138" s="2694"/>
      <c r="S138" s="2646"/>
      <c r="T138" s="2646"/>
      <c r="U138" s="2646"/>
      <c r="V138" s="2646"/>
      <c r="W138" s="2646"/>
      <c r="X138" s="2646"/>
      <c r="Y138" s="2646"/>
      <c r="Z138" s="2647"/>
      <c r="AA138" s="2646"/>
      <c r="AB138" s="2672"/>
      <c r="AC138" s="2646"/>
      <c r="AD138" s="2646"/>
      <c r="AE138" s="2646"/>
      <c r="AF138" s="2646"/>
      <c r="AG138" s="2646"/>
      <c r="AH138" s="2646"/>
      <c r="AI138" s="2646"/>
      <c r="AJ138" s="2646"/>
      <c r="AK138" s="2646"/>
      <c r="AL138" s="2646"/>
      <c r="AM138" s="2646"/>
      <c r="AN138" s="2646"/>
      <c r="AO138" s="2646"/>
      <c r="AP138" s="2646"/>
      <c r="AQ138" s="2646"/>
      <c r="AR138" s="2646"/>
      <c r="AS138" s="2646"/>
      <c r="AT138" s="2646"/>
      <c r="AU138" s="2646"/>
      <c r="AV138" s="2646"/>
      <c r="AW138" s="2646"/>
      <c r="AX138" s="2646"/>
      <c r="AY138" s="2646"/>
      <c r="AZ138" s="2646"/>
      <c r="BA138" s="2646"/>
      <c r="BB138" s="2646"/>
      <c r="BC138" s="2646"/>
      <c r="BD138" s="2646"/>
      <c r="BE138" s="2646"/>
      <c r="BF138" s="2646"/>
      <c r="BG138" s="2646"/>
      <c r="BH138" s="2646"/>
    </row>
    <row r="139" spans="10:60">
      <c r="J139" s="2668"/>
      <c r="K139" s="2692"/>
      <c r="L139" s="2672"/>
      <c r="M139" s="2672"/>
      <c r="N139" s="2672"/>
      <c r="O139" s="2672"/>
      <c r="P139" s="2672"/>
      <c r="Q139" s="2672"/>
      <c r="R139" s="2694"/>
      <c r="S139" s="2646"/>
      <c r="T139" s="2647"/>
      <c r="U139" s="2646"/>
      <c r="V139" s="2646"/>
      <c r="W139" s="2646"/>
      <c r="X139" s="2646"/>
      <c r="Y139" s="2699"/>
      <c r="Z139" s="2647"/>
      <c r="AA139" s="2646"/>
      <c r="AB139" s="2672"/>
      <c r="AC139" s="2646"/>
      <c r="AD139" s="2646"/>
      <c r="AE139" s="2646"/>
      <c r="AF139" s="2646"/>
      <c r="AG139" s="2646"/>
      <c r="AH139" s="2646"/>
      <c r="AI139" s="2646"/>
      <c r="AJ139" s="2646"/>
      <c r="AK139" s="2646"/>
      <c r="AL139" s="2646"/>
      <c r="AM139" s="2646"/>
      <c r="AN139" s="2646"/>
      <c r="AO139" s="2646"/>
      <c r="AP139" s="2646"/>
      <c r="AQ139" s="2646"/>
      <c r="AR139" s="2646"/>
      <c r="AS139" s="2646"/>
      <c r="AT139" s="2646"/>
      <c r="AU139" s="2646"/>
      <c r="AV139" s="2646"/>
      <c r="AW139" s="2646"/>
      <c r="AX139" s="2646"/>
      <c r="AY139" s="2646"/>
      <c r="AZ139" s="2646"/>
      <c r="BA139" s="2646"/>
      <c r="BB139" s="2646"/>
      <c r="BC139" s="2646"/>
      <c r="BD139" s="2646"/>
      <c r="BE139" s="2646"/>
      <c r="BF139" s="2646"/>
      <c r="BG139" s="2646"/>
      <c r="BH139" s="2646"/>
    </row>
    <row r="140" spans="10:60">
      <c r="J140" s="2668"/>
      <c r="K140" s="2692"/>
      <c r="L140" s="2672"/>
      <c r="M140" s="2672"/>
      <c r="N140" s="2672"/>
      <c r="O140" s="2672"/>
      <c r="P140" s="2672"/>
      <c r="Q140" s="2672"/>
      <c r="R140" s="2694"/>
      <c r="S140" s="2646"/>
      <c r="T140" s="2646"/>
      <c r="U140" s="2646"/>
      <c r="V140" s="2646"/>
      <c r="W140" s="2646"/>
      <c r="X140" s="2646"/>
      <c r="Y140" s="2646"/>
      <c r="Z140" s="2647"/>
      <c r="AA140" s="2646"/>
      <c r="AB140" s="2672"/>
      <c r="AC140" s="2646"/>
      <c r="AD140" s="2646"/>
      <c r="AE140" s="2646"/>
      <c r="AF140" s="2646"/>
      <c r="AG140" s="2646"/>
      <c r="AH140" s="2646"/>
      <c r="AI140" s="2646"/>
      <c r="AJ140" s="2646"/>
      <c r="AK140" s="2646"/>
      <c r="AL140" s="2646"/>
      <c r="AM140" s="2646"/>
      <c r="AN140" s="2646"/>
      <c r="AO140" s="2646"/>
      <c r="AP140" s="2646"/>
      <c r="AQ140" s="2646"/>
      <c r="AR140" s="2646"/>
      <c r="AS140" s="2646"/>
      <c r="AT140" s="2646"/>
      <c r="AU140" s="2646"/>
      <c r="AV140" s="2646"/>
      <c r="AW140" s="2646"/>
      <c r="AX140" s="2646"/>
      <c r="AY140" s="2646"/>
      <c r="AZ140" s="2646"/>
      <c r="BA140" s="2646"/>
      <c r="BB140" s="2646"/>
      <c r="BC140" s="2646"/>
      <c r="BD140" s="2646"/>
      <c r="BE140" s="2646"/>
      <c r="BF140" s="2646"/>
      <c r="BG140" s="2646"/>
      <c r="BH140" s="2646"/>
    </row>
    <row r="141" spans="10:60">
      <c r="J141" s="2668"/>
      <c r="K141" s="2692"/>
      <c r="L141" s="2672"/>
      <c r="M141" s="2672"/>
      <c r="N141" s="2672"/>
      <c r="O141" s="2672"/>
      <c r="P141" s="2672"/>
      <c r="Q141" s="2672"/>
      <c r="R141" s="2694"/>
      <c r="S141" s="2646"/>
      <c r="T141" s="2646"/>
      <c r="U141" s="2646"/>
      <c r="V141" s="2646"/>
      <c r="W141" s="2646"/>
      <c r="X141" s="2646"/>
      <c r="Y141" s="2646"/>
      <c r="Z141" s="2647"/>
      <c r="AA141" s="2646"/>
      <c r="AB141" s="2672"/>
      <c r="AC141" s="2646"/>
      <c r="AD141" s="2646"/>
      <c r="AE141" s="2646"/>
      <c r="AF141" s="2646"/>
      <c r="AG141" s="2646"/>
      <c r="AH141" s="2646"/>
      <c r="AI141" s="2646"/>
      <c r="AJ141" s="2646"/>
      <c r="AK141" s="2646"/>
      <c r="AL141" s="2646"/>
      <c r="AM141" s="2646"/>
      <c r="AN141" s="2646"/>
      <c r="AO141" s="2646"/>
      <c r="AP141" s="2646"/>
      <c r="AQ141" s="2646"/>
      <c r="AR141" s="2646"/>
      <c r="AS141" s="2646"/>
      <c r="AT141" s="2646"/>
      <c r="AU141" s="2646"/>
      <c r="AV141" s="2646"/>
      <c r="AW141" s="2646"/>
      <c r="AX141" s="2646"/>
      <c r="AY141" s="2646"/>
      <c r="AZ141" s="2646"/>
      <c r="BA141" s="2646"/>
      <c r="BB141" s="2646"/>
      <c r="BC141" s="2646"/>
      <c r="BD141" s="2646"/>
      <c r="BE141" s="2646"/>
      <c r="BF141" s="2646"/>
      <c r="BG141" s="2646"/>
      <c r="BH141" s="2646"/>
    </row>
    <row r="142" spans="10:60">
      <c r="J142" s="2668"/>
      <c r="K142" s="2692"/>
      <c r="L142" s="2672"/>
      <c r="M142" s="2672"/>
      <c r="N142" s="2672"/>
      <c r="O142" s="2672"/>
      <c r="P142" s="2672"/>
      <c r="Q142" s="2672"/>
      <c r="R142" s="2694"/>
      <c r="S142" s="2646"/>
      <c r="T142" s="2646"/>
      <c r="U142" s="2646"/>
      <c r="V142" s="2646"/>
      <c r="W142" s="2646"/>
      <c r="X142" s="2646"/>
      <c r="Y142" s="2646"/>
      <c r="Z142" s="2647"/>
      <c r="AA142" s="2646"/>
      <c r="AB142" s="2672"/>
      <c r="AC142" s="2646"/>
      <c r="AD142" s="2646"/>
      <c r="AE142" s="2646"/>
      <c r="AF142" s="2646"/>
      <c r="AG142" s="2646"/>
      <c r="AH142" s="2646"/>
      <c r="AI142" s="2646"/>
      <c r="AJ142" s="2646"/>
      <c r="AK142" s="2646"/>
      <c r="AL142" s="2646"/>
      <c r="AM142" s="2646"/>
      <c r="AN142" s="2646"/>
      <c r="AO142" s="2646"/>
      <c r="AP142" s="2646"/>
      <c r="AQ142" s="2646"/>
      <c r="AR142" s="2646"/>
      <c r="AS142" s="2646"/>
      <c r="AT142" s="2646"/>
      <c r="AU142" s="2646"/>
      <c r="AV142" s="2646"/>
      <c r="AW142" s="2646"/>
      <c r="AX142" s="2646"/>
      <c r="AY142" s="2646"/>
      <c r="AZ142" s="2646"/>
      <c r="BA142" s="2646"/>
      <c r="BB142" s="2646"/>
      <c r="BC142" s="2646"/>
      <c r="BD142" s="2646"/>
      <c r="BE142" s="2646"/>
      <c r="BF142" s="2646"/>
      <c r="BG142" s="2646"/>
      <c r="BH142" s="2646"/>
    </row>
    <row r="143" spans="10:60">
      <c r="J143" s="2668"/>
      <c r="K143" s="2692"/>
      <c r="L143" s="2672"/>
      <c r="M143" s="2672"/>
      <c r="N143" s="2672"/>
      <c r="O143" s="2672"/>
      <c r="P143" s="2672"/>
      <c r="Q143" s="2672"/>
      <c r="R143" s="2694"/>
      <c r="S143" s="2646"/>
      <c r="T143" s="2696"/>
      <c r="U143" s="2697"/>
      <c r="V143" s="2646"/>
      <c r="W143" s="2698"/>
      <c r="X143" s="2646"/>
      <c r="Y143" s="2646"/>
      <c r="Z143" s="2647"/>
      <c r="AA143" s="2646"/>
      <c r="AB143" s="2672"/>
      <c r="AC143" s="2646"/>
      <c r="AD143" s="2646"/>
      <c r="AE143" s="2646"/>
      <c r="AF143" s="2646"/>
      <c r="AG143" s="2646"/>
      <c r="AH143" s="2646"/>
      <c r="AI143" s="2646"/>
      <c r="AJ143" s="2646"/>
      <c r="AK143" s="2646"/>
      <c r="AL143" s="2646"/>
      <c r="AM143" s="2646"/>
      <c r="AN143" s="2646"/>
      <c r="AO143" s="2646"/>
      <c r="AP143" s="2646"/>
      <c r="AQ143" s="2646"/>
      <c r="AR143" s="2646"/>
      <c r="AS143" s="2646"/>
      <c r="AT143" s="2646"/>
      <c r="AU143" s="2646"/>
      <c r="AV143" s="2646"/>
      <c r="AW143" s="2646"/>
      <c r="AX143" s="2646"/>
      <c r="AY143" s="2646"/>
      <c r="AZ143" s="2646"/>
      <c r="BA143" s="2646"/>
      <c r="BB143" s="2646"/>
      <c r="BC143" s="2646"/>
      <c r="BD143" s="2646"/>
      <c r="BE143" s="2646"/>
      <c r="BF143" s="2646"/>
      <c r="BG143" s="2646"/>
      <c r="BH143" s="2646"/>
    </row>
    <row r="144" spans="10:60">
      <c r="J144" s="2668"/>
      <c r="K144" s="2692"/>
      <c r="L144" s="2672"/>
      <c r="M144" s="2672"/>
      <c r="N144" s="2672"/>
      <c r="O144" s="2672"/>
      <c r="P144" s="2672"/>
      <c r="Q144" s="2672"/>
      <c r="R144" s="2694"/>
      <c r="S144" s="2646"/>
      <c r="T144" s="2647"/>
      <c r="U144" s="2697"/>
      <c r="V144" s="2646"/>
      <c r="W144" s="2698"/>
      <c r="X144" s="2646"/>
      <c r="Y144" s="2646"/>
      <c r="Z144" s="2647"/>
      <c r="AA144" s="2646"/>
      <c r="AB144" s="2672"/>
      <c r="AC144" s="2646"/>
      <c r="AD144" s="2646"/>
      <c r="AE144" s="2646"/>
      <c r="AF144" s="2646"/>
      <c r="AG144" s="2646"/>
      <c r="AH144" s="2646"/>
      <c r="AI144" s="2646"/>
      <c r="AJ144" s="2646"/>
      <c r="AK144" s="2646"/>
      <c r="AL144" s="2646"/>
      <c r="AM144" s="2646"/>
      <c r="AN144" s="2646"/>
      <c r="AO144" s="2646"/>
      <c r="AP144" s="2646"/>
      <c r="AQ144" s="2646"/>
      <c r="AR144" s="2646"/>
      <c r="AS144" s="2646"/>
      <c r="AT144" s="2646"/>
      <c r="AU144" s="2646"/>
      <c r="AV144" s="2646"/>
      <c r="AW144" s="2646"/>
      <c r="AX144" s="2646"/>
      <c r="AY144" s="2646"/>
      <c r="AZ144" s="2646"/>
      <c r="BA144" s="2646"/>
      <c r="BB144" s="2646"/>
      <c r="BC144" s="2646"/>
      <c r="BD144" s="2646"/>
      <c r="BE144" s="2646"/>
      <c r="BF144" s="2646"/>
      <c r="BG144" s="2646"/>
      <c r="BH144" s="2646"/>
    </row>
    <row r="145" spans="10:60">
      <c r="J145" s="2668"/>
      <c r="K145" s="2692"/>
      <c r="L145" s="2672"/>
      <c r="M145" s="2672"/>
      <c r="N145" s="2672"/>
      <c r="O145" s="2672"/>
      <c r="P145" s="2672"/>
      <c r="Q145" s="2672"/>
      <c r="R145" s="2694"/>
      <c r="S145" s="2646"/>
      <c r="T145" s="2646"/>
      <c r="U145" s="2646"/>
      <c r="V145" s="2646"/>
      <c r="W145" s="2646"/>
      <c r="X145" s="2646"/>
      <c r="Y145" s="2646"/>
      <c r="Z145" s="2647"/>
      <c r="AA145" s="2646"/>
      <c r="AB145" s="2672"/>
      <c r="AC145" s="2646"/>
      <c r="AD145" s="2646"/>
      <c r="AE145" s="2646"/>
      <c r="AF145" s="2646"/>
      <c r="AG145" s="2646"/>
      <c r="AH145" s="2646"/>
      <c r="AI145" s="2646"/>
      <c r="AJ145" s="2646"/>
      <c r="AK145" s="2646"/>
      <c r="AL145" s="2646"/>
      <c r="AM145" s="2646"/>
      <c r="AN145" s="2646"/>
      <c r="AO145" s="2646"/>
      <c r="AP145" s="2646"/>
      <c r="AQ145" s="2646"/>
      <c r="AR145" s="2646"/>
      <c r="AS145" s="2646"/>
      <c r="AT145" s="2646"/>
      <c r="AU145" s="2646"/>
      <c r="AV145" s="2646"/>
      <c r="AW145" s="2646"/>
      <c r="AX145" s="2646"/>
      <c r="AY145" s="2646"/>
      <c r="AZ145" s="2646"/>
      <c r="BA145" s="2646"/>
      <c r="BB145" s="2646"/>
      <c r="BC145" s="2646"/>
      <c r="BD145" s="2646"/>
      <c r="BE145" s="2646"/>
      <c r="BF145" s="2646"/>
      <c r="BG145" s="2646"/>
      <c r="BH145" s="2646"/>
    </row>
    <row r="146" spans="10:60">
      <c r="J146" s="2668"/>
      <c r="K146" s="2692"/>
      <c r="L146" s="2672"/>
      <c r="M146" s="2672"/>
      <c r="N146" s="2672"/>
      <c r="O146" s="2672"/>
      <c r="P146" s="2672"/>
      <c r="Q146" s="2672"/>
      <c r="R146" s="2694"/>
      <c r="S146" s="2646"/>
      <c r="T146" s="2647"/>
      <c r="U146" s="2646"/>
      <c r="V146" s="2646"/>
      <c r="W146" s="2646"/>
      <c r="X146" s="2646"/>
      <c r="Y146" s="2699"/>
      <c r="Z146" s="2647"/>
      <c r="AA146" s="2646"/>
      <c r="AB146" s="2672"/>
      <c r="AC146" s="2646"/>
      <c r="AD146" s="2646"/>
      <c r="AE146" s="2646"/>
      <c r="AF146" s="2646"/>
      <c r="AG146" s="2646"/>
      <c r="AH146" s="2646"/>
      <c r="AI146" s="2646"/>
      <c r="AJ146" s="2646"/>
      <c r="AK146" s="2646"/>
      <c r="AL146" s="2646"/>
      <c r="AM146" s="2646"/>
      <c r="AN146" s="2646"/>
      <c r="AO146" s="2646"/>
      <c r="AP146" s="2646"/>
      <c r="AQ146" s="2646"/>
      <c r="AR146" s="2646"/>
      <c r="AS146" s="2646"/>
      <c r="AT146" s="2646"/>
      <c r="AU146" s="2646"/>
      <c r="AV146" s="2646"/>
      <c r="AW146" s="2646"/>
      <c r="AX146" s="2646"/>
      <c r="AY146" s="2646"/>
      <c r="AZ146" s="2646"/>
      <c r="BA146" s="2646"/>
      <c r="BB146" s="2646"/>
      <c r="BC146" s="2646"/>
      <c r="BD146" s="2646"/>
      <c r="BE146" s="2646"/>
      <c r="BF146" s="2646"/>
      <c r="BG146" s="2646"/>
      <c r="BH146" s="2646"/>
    </row>
    <row r="147" spans="10:60">
      <c r="J147" s="2668"/>
      <c r="K147" s="2692"/>
      <c r="L147" s="2672"/>
      <c r="M147" s="2672"/>
      <c r="N147" s="2672"/>
      <c r="O147" s="2672"/>
      <c r="P147" s="2672"/>
      <c r="Q147" s="2672"/>
      <c r="R147" s="2694"/>
      <c r="S147" s="2646"/>
      <c r="T147" s="2646"/>
      <c r="U147" s="2646"/>
      <c r="V147" s="2646"/>
      <c r="W147" s="2646"/>
      <c r="X147" s="2646"/>
      <c r="Y147" s="2646"/>
      <c r="Z147" s="2647"/>
      <c r="AA147" s="2646"/>
      <c r="AB147" s="2672"/>
      <c r="AC147" s="2646"/>
      <c r="AD147" s="2646"/>
      <c r="AE147" s="2646"/>
      <c r="AF147" s="2646"/>
      <c r="AG147" s="2646"/>
      <c r="AH147" s="2646"/>
      <c r="AI147" s="2646"/>
      <c r="AJ147" s="2646"/>
      <c r="AK147" s="2646"/>
      <c r="AL147" s="2646"/>
      <c r="AM147" s="2646"/>
      <c r="AN147" s="2646"/>
      <c r="AO147" s="2646"/>
      <c r="AP147" s="2646"/>
      <c r="AQ147" s="2646"/>
      <c r="AR147" s="2646"/>
      <c r="AS147" s="2646"/>
      <c r="AT147" s="2646"/>
      <c r="AU147" s="2646"/>
      <c r="AV147" s="2646"/>
      <c r="AW147" s="2646"/>
      <c r="AX147" s="2646"/>
      <c r="AY147" s="2646"/>
      <c r="AZ147" s="2646"/>
      <c r="BA147" s="2646"/>
      <c r="BB147" s="2646"/>
      <c r="BC147" s="2646"/>
      <c r="BD147" s="2646"/>
      <c r="BE147" s="2646"/>
      <c r="BF147" s="2646"/>
      <c r="BG147" s="2646"/>
      <c r="BH147" s="2646"/>
    </row>
    <row r="148" spans="10:60">
      <c r="J148" s="2668"/>
      <c r="K148" s="2692"/>
      <c r="L148" s="2672"/>
      <c r="M148" s="2672"/>
      <c r="N148" s="2672"/>
      <c r="O148" s="2672"/>
      <c r="P148" s="2672"/>
      <c r="Q148" s="2672"/>
      <c r="R148" s="2694"/>
      <c r="S148" s="2646"/>
      <c r="T148" s="2646"/>
      <c r="U148" s="2646"/>
      <c r="V148" s="2646"/>
      <c r="W148" s="2646"/>
      <c r="X148" s="2646"/>
      <c r="Y148" s="2646"/>
      <c r="Z148" s="2647"/>
      <c r="AA148" s="2646"/>
      <c r="AB148" s="2672"/>
      <c r="AC148" s="2646"/>
      <c r="AD148" s="2646"/>
      <c r="AE148" s="2646"/>
      <c r="AF148" s="2646"/>
      <c r="AG148" s="2646"/>
      <c r="AH148" s="2646"/>
      <c r="AI148" s="2646"/>
      <c r="AJ148" s="2646"/>
      <c r="AK148" s="2646"/>
      <c r="AL148" s="2646"/>
      <c r="AM148" s="2646"/>
      <c r="AN148" s="2646"/>
      <c r="AO148" s="2646"/>
      <c r="AP148" s="2646"/>
      <c r="AQ148" s="2646"/>
      <c r="AR148" s="2646"/>
      <c r="AS148" s="2646"/>
      <c r="AT148" s="2646"/>
      <c r="AU148" s="2646"/>
      <c r="AV148" s="2646"/>
      <c r="AW148" s="2646"/>
      <c r="AX148" s="2646"/>
      <c r="AY148" s="2646"/>
      <c r="AZ148" s="2646"/>
      <c r="BA148" s="2646"/>
      <c r="BB148" s="2646"/>
      <c r="BC148" s="2646"/>
      <c r="BD148" s="2646"/>
      <c r="BE148" s="2646"/>
      <c r="BF148" s="2646"/>
      <c r="BG148" s="2646"/>
      <c r="BH148" s="2646"/>
    </row>
    <row r="149" spans="10:60">
      <c r="J149" s="2668"/>
      <c r="K149" s="2692"/>
      <c r="L149" s="2672"/>
      <c r="M149" s="2672"/>
      <c r="N149" s="2672"/>
      <c r="O149" s="2672"/>
      <c r="P149" s="2672"/>
      <c r="Q149" s="2672"/>
      <c r="R149" s="2694"/>
      <c r="S149" s="2646"/>
      <c r="T149" s="2647"/>
      <c r="U149" s="2646"/>
      <c r="V149" s="2646"/>
      <c r="W149" s="2646"/>
      <c r="X149" s="2646"/>
      <c r="Y149" s="2700"/>
      <c r="Z149" s="2647"/>
      <c r="AA149" s="2646"/>
      <c r="AB149" s="2672"/>
      <c r="AC149" s="2646"/>
      <c r="AD149" s="2646"/>
      <c r="AE149" s="2646"/>
      <c r="AF149" s="2646"/>
      <c r="AG149" s="2646"/>
      <c r="AH149" s="2646"/>
      <c r="AI149" s="2646"/>
      <c r="AJ149" s="2646"/>
      <c r="AK149" s="2646"/>
      <c r="AL149" s="2646"/>
      <c r="AM149" s="2646"/>
      <c r="AN149" s="2646"/>
      <c r="AO149" s="2646"/>
      <c r="AP149" s="2646"/>
      <c r="AQ149" s="2646"/>
      <c r="AR149" s="2646"/>
      <c r="AS149" s="2646"/>
      <c r="AT149" s="2646"/>
      <c r="AU149" s="2646"/>
      <c r="AV149" s="2646"/>
      <c r="AW149" s="2646"/>
      <c r="AX149" s="2646"/>
      <c r="AY149" s="2646"/>
      <c r="AZ149" s="2646"/>
      <c r="BA149" s="2646"/>
      <c r="BB149" s="2646"/>
      <c r="BC149" s="2646"/>
      <c r="BD149" s="2646"/>
      <c r="BE149" s="2646"/>
      <c r="BF149" s="2646"/>
      <c r="BG149" s="2646"/>
      <c r="BH149" s="2646"/>
    </row>
    <row r="150" spans="10:60">
      <c r="J150" s="2668"/>
      <c r="K150" s="2692"/>
      <c r="L150" s="2672"/>
      <c r="M150" s="2672"/>
      <c r="N150" s="2672"/>
      <c r="O150" s="2672"/>
      <c r="P150" s="2672"/>
      <c r="Q150" s="2672"/>
      <c r="R150" s="2694"/>
      <c r="S150" s="2646"/>
      <c r="T150" s="2646"/>
      <c r="U150" s="2646"/>
      <c r="V150" s="2646"/>
      <c r="W150" s="2646"/>
      <c r="X150" s="2646"/>
      <c r="Y150" s="2646"/>
      <c r="Z150" s="2647"/>
      <c r="AA150" s="2646"/>
      <c r="AB150" s="2672"/>
      <c r="AC150" s="2646"/>
      <c r="AD150" s="2646"/>
      <c r="AE150" s="2646"/>
      <c r="AF150" s="2646"/>
      <c r="AG150" s="2646"/>
      <c r="AH150" s="2646"/>
      <c r="AI150" s="2646"/>
      <c r="AJ150" s="2646"/>
      <c r="AK150" s="2646"/>
      <c r="AL150" s="2646"/>
      <c r="AM150" s="2646"/>
      <c r="AN150" s="2646"/>
      <c r="AO150" s="2646"/>
      <c r="AP150" s="2646"/>
      <c r="AQ150" s="2646"/>
      <c r="AR150" s="2646"/>
      <c r="AS150" s="2646"/>
      <c r="AT150" s="2646"/>
      <c r="AU150" s="2646"/>
      <c r="AV150" s="2646"/>
      <c r="AW150" s="2646"/>
      <c r="AX150" s="2646"/>
      <c r="AY150" s="2646"/>
      <c r="AZ150" s="2646"/>
      <c r="BA150" s="2646"/>
      <c r="BB150" s="2646"/>
      <c r="BC150" s="2646"/>
      <c r="BD150" s="2646"/>
      <c r="BE150" s="2646"/>
      <c r="BF150" s="2646"/>
      <c r="BG150" s="2646"/>
      <c r="BH150" s="2646"/>
    </row>
    <row r="151" spans="10:60">
      <c r="J151" s="2668"/>
      <c r="K151" s="2692"/>
      <c r="L151" s="2672"/>
      <c r="M151" s="2672"/>
      <c r="N151" s="2672"/>
      <c r="O151" s="2672"/>
      <c r="P151" s="2672"/>
      <c r="Q151" s="2672"/>
      <c r="R151" s="2694"/>
      <c r="S151" s="2646"/>
      <c r="T151" s="2647"/>
      <c r="U151" s="2646"/>
      <c r="V151" s="2646"/>
      <c r="W151" s="2646"/>
      <c r="X151" s="2646"/>
      <c r="Y151" s="2700"/>
      <c r="Z151" s="2647"/>
      <c r="AA151" s="2646"/>
      <c r="AB151" s="2672"/>
      <c r="AC151" s="2646"/>
      <c r="AD151" s="2646"/>
      <c r="AE151" s="2646"/>
      <c r="AF151" s="2646"/>
      <c r="AG151" s="2646"/>
      <c r="AH151" s="2646"/>
      <c r="AI151" s="2646"/>
      <c r="AJ151" s="2646"/>
      <c r="AK151" s="2646"/>
      <c r="AL151" s="2646"/>
      <c r="AM151" s="2646"/>
      <c r="AN151" s="2646"/>
      <c r="AO151" s="2646"/>
      <c r="AP151" s="2646"/>
      <c r="AQ151" s="2646"/>
      <c r="AR151" s="2646"/>
      <c r="AS151" s="2646"/>
      <c r="AT151" s="2646"/>
      <c r="AU151" s="2646"/>
      <c r="AV151" s="2646"/>
      <c r="AW151" s="2646"/>
      <c r="AX151" s="2646"/>
      <c r="AY151" s="2646"/>
      <c r="AZ151" s="2646"/>
      <c r="BA151" s="2646"/>
      <c r="BB151" s="2646"/>
      <c r="BC151" s="2646"/>
      <c r="BD151" s="2646"/>
      <c r="BE151" s="2646"/>
      <c r="BF151" s="2646"/>
      <c r="BG151" s="2646"/>
      <c r="BH151" s="2646"/>
    </row>
    <row r="152" spans="10:60">
      <c r="J152" s="2668"/>
      <c r="K152" s="2692"/>
      <c r="L152" s="2672"/>
      <c r="M152" s="2672"/>
      <c r="N152" s="2672"/>
      <c r="O152" s="2672"/>
      <c r="P152" s="2672"/>
      <c r="Q152" s="2672"/>
      <c r="R152" s="2694"/>
      <c r="S152" s="2646"/>
      <c r="T152" s="2646"/>
      <c r="U152" s="2646"/>
      <c r="V152" s="2646"/>
      <c r="W152" s="2646"/>
      <c r="X152" s="2646"/>
      <c r="Y152" s="2646"/>
      <c r="Z152" s="2647"/>
      <c r="AA152" s="2646"/>
      <c r="AB152" s="2672"/>
      <c r="AC152" s="2646"/>
      <c r="AD152" s="2646"/>
      <c r="AE152" s="2646"/>
      <c r="AF152" s="2646"/>
      <c r="AG152" s="2646"/>
      <c r="AH152" s="2646"/>
      <c r="AI152" s="2646"/>
      <c r="AJ152" s="2646"/>
      <c r="AK152" s="2646"/>
      <c r="AL152" s="2646"/>
      <c r="AM152" s="2646"/>
      <c r="AN152" s="2646"/>
      <c r="AO152" s="2646"/>
      <c r="AP152" s="2646"/>
      <c r="AQ152" s="2646"/>
      <c r="AR152" s="2646"/>
      <c r="AS152" s="2646"/>
      <c r="AT152" s="2646"/>
      <c r="AU152" s="2646"/>
      <c r="AV152" s="2646"/>
      <c r="AW152" s="2646"/>
      <c r="AX152" s="2646"/>
      <c r="AY152" s="2646"/>
      <c r="AZ152" s="2646"/>
      <c r="BA152" s="2646"/>
      <c r="BB152" s="2646"/>
      <c r="BC152" s="2646"/>
      <c r="BD152" s="2646"/>
      <c r="BE152" s="2646"/>
      <c r="BF152" s="2646"/>
      <c r="BG152" s="2646"/>
      <c r="BH152" s="2646"/>
    </row>
    <row r="153" spans="10:60">
      <c r="J153" s="2668"/>
      <c r="K153" s="2692"/>
      <c r="L153" s="2672"/>
      <c r="M153" s="2672"/>
      <c r="N153" s="2672"/>
      <c r="O153" s="2672"/>
      <c r="P153" s="2672"/>
      <c r="Q153" s="2672"/>
      <c r="R153" s="2694"/>
      <c r="S153" s="2646"/>
      <c r="T153" s="2647"/>
      <c r="U153" s="2646"/>
      <c r="V153" s="2646"/>
      <c r="W153" s="2646"/>
      <c r="X153" s="2646"/>
      <c r="Y153" s="2695"/>
      <c r="Z153" s="2647"/>
      <c r="AA153" s="2646"/>
      <c r="AB153" s="2672"/>
      <c r="AC153" s="2646"/>
      <c r="AD153" s="2646"/>
      <c r="AE153" s="2646"/>
      <c r="AF153" s="2646"/>
      <c r="AG153" s="2646"/>
      <c r="AH153" s="2646"/>
      <c r="AI153" s="2646"/>
      <c r="AJ153" s="2646"/>
      <c r="AK153" s="2646"/>
      <c r="AL153" s="2646"/>
      <c r="AM153" s="2646"/>
      <c r="AN153" s="2646"/>
      <c r="AO153" s="2646"/>
      <c r="AP153" s="2646"/>
      <c r="AQ153" s="2646"/>
      <c r="AR153" s="2646"/>
      <c r="AS153" s="2646"/>
      <c r="AT153" s="2646"/>
      <c r="AU153" s="2646"/>
      <c r="AV153" s="2646"/>
      <c r="AW153" s="2646"/>
      <c r="AX153" s="2646"/>
      <c r="AY153" s="2646"/>
      <c r="AZ153" s="2646"/>
      <c r="BA153" s="2646"/>
      <c r="BB153" s="2646"/>
      <c r="BC153" s="2646"/>
      <c r="BD153" s="2646"/>
      <c r="BE153" s="2646"/>
      <c r="BF153" s="2646"/>
      <c r="BG153" s="2646"/>
      <c r="BH153" s="2646"/>
    </row>
    <row r="154" spans="10:60">
      <c r="J154" s="2668"/>
      <c r="K154" s="2692"/>
      <c r="L154" s="2672"/>
      <c r="M154" s="2672"/>
      <c r="N154" s="2672"/>
      <c r="O154" s="2672"/>
      <c r="P154" s="2672"/>
      <c r="Q154" s="2672"/>
      <c r="R154" s="2694"/>
      <c r="S154" s="2646"/>
      <c r="T154" s="2646"/>
      <c r="U154" s="2646"/>
      <c r="V154" s="2646"/>
      <c r="W154" s="2646"/>
      <c r="X154" s="2646"/>
      <c r="Y154" s="2646"/>
      <c r="Z154" s="2646"/>
      <c r="AA154" s="2646"/>
      <c r="AB154" s="2672"/>
      <c r="AC154" s="2646"/>
      <c r="AD154" s="2646"/>
      <c r="AE154" s="2646"/>
      <c r="AF154" s="2646"/>
      <c r="AG154" s="2646"/>
      <c r="AH154" s="2646"/>
      <c r="AI154" s="2646"/>
      <c r="AJ154" s="2646"/>
      <c r="AK154" s="2646"/>
      <c r="AL154" s="2646"/>
      <c r="AM154" s="2646"/>
      <c r="AN154" s="2646"/>
      <c r="AO154" s="2646"/>
      <c r="AP154" s="2646"/>
      <c r="AQ154" s="2646"/>
      <c r="AR154" s="2646"/>
      <c r="AS154" s="2646"/>
      <c r="AT154" s="2646"/>
      <c r="AU154" s="2646"/>
      <c r="AV154" s="2646"/>
      <c r="AW154" s="2646"/>
      <c r="AX154" s="2646"/>
      <c r="AY154" s="2646"/>
      <c r="AZ154" s="2646"/>
      <c r="BA154" s="2646"/>
      <c r="BB154" s="2646"/>
      <c r="BC154" s="2646"/>
      <c r="BD154" s="2646"/>
      <c r="BE154" s="2646"/>
      <c r="BF154" s="2646"/>
      <c r="BG154" s="2646"/>
      <c r="BH154" s="2646"/>
    </row>
    <row r="155" spans="10:60">
      <c r="J155" s="2668"/>
      <c r="K155" s="2692"/>
      <c r="L155" s="2672"/>
      <c r="M155" s="2672"/>
      <c r="N155" s="2672"/>
      <c r="O155" s="2672"/>
      <c r="P155" s="2672"/>
      <c r="Q155" s="2672"/>
      <c r="R155" s="2646"/>
      <c r="S155" s="2646"/>
      <c r="T155" s="2646"/>
      <c r="U155" s="2646"/>
      <c r="V155" s="2646"/>
      <c r="W155" s="2646"/>
      <c r="X155" s="2646"/>
      <c r="Y155" s="2646"/>
      <c r="Z155" s="2646"/>
      <c r="AA155" s="2646"/>
      <c r="AB155" s="2672"/>
      <c r="AC155" s="2646"/>
      <c r="AD155" s="2646"/>
      <c r="AE155" s="2646"/>
      <c r="AF155" s="2646"/>
      <c r="AG155" s="2646"/>
      <c r="AH155" s="2646"/>
      <c r="AI155" s="2646"/>
      <c r="AJ155" s="2646"/>
      <c r="AK155" s="2646"/>
      <c r="AL155" s="2646"/>
      <c r="AM155" s="2646"/>
      <c r="AN155" s="2646"/>
      <c r="AO155" s="2646"/>
      <c r="AP155" s="2646"/>
      <c r="AQ155" s="2646"/>
      <c r="AR155" s="2646"/>
      <c r="AS155" s="2646"/>
      <c r="AT155" s="2646"/>
      <c r="AU155" s="2646"/>
      <c r="AV155" s="2646"/>
      <c r="AW155" s="2646"/>
      <c r="AX155" s="2646"/>
      <c r="AY155" s="2646"/>
      <c r="AZ155" s="2646"/>
      <c r="BA155" s="2646"/>
      <c r="BB155" s="2646"/>
      <c r="BC155" s="2646"/>
      <c r="BD155" s="2646"/>
      <c r="BE155" s="2646"/>
      <c r="BF155" s="2646"/>
      <c r="BG155" s="2646"/>
      <c r="BH155" s="2646"/>
    </row>
    <row r="156" spans="10:60">
      <c r="J156" s="2668"/>
      <c r="K156" s="2692"/>
      <c r="L156" s="2672"/>
      <c r="M156" s="2672"/>
      <c r="N156" s="2672"/>
      <c r="O156" s="2672"/>
      <c r="P156" s="2672"/>
      <c r="Q156" s="2672"/>
      <c r="R156" s="2646"/>
      <c r="S156" s="2646"/>
      <c r="T156" s="2646"/>
      <c r="U156" s="2646"/>
      <c r="V156" s="2646"/>
      <c r="W156" s="2646"/>
      <c r="X156" s="2646"/>
      <c r="Y156" s="2646"/>
      <c r="Z156" s="2646"/>
      <c r="AA156" s="2646"/>
      <c r="AB156" s="2672"/>
      <c r="AC156" s="2646"/>
      <c r="AD156" s="2646"/>
      <c r="AE156" s="2646"/>
      <c r="AF156" s="2646"/>
      <c r="AG156" s="2646"/>
      <c r="AH156" s="2646"/>
      <c r="AI156" s="2646"/>
      <c r="AJ156" s="2646"/>
      <c r="AK156" s="2646"/>
      <c r="AL156" s="2646"/>
      <c r="AM156" s="2646"/>
      <c r="AN156" s="2646"/>
      <c r="AO156" s="2646"/>
      <c r="AP156" s="2646"/>
      <c r="AQ156" s="2646"/>
      <c r="AR156" s="2646"/>
      <c r="AS156" s="2646"/>
      <c r="AT156" s="2646"/>
      <c r="AU156" s="2646"/>
      <c r="AV156" s="2646"/>
      <c r="AW156" s="2646"/>
      <c r="AX156" s="2646"/>
      <c r="AY156" s="2646"/>
      <c r="AZ156" s="2646"/>
      <c r="BA156" s="2646"/>
      <c r="BB156" s="2646"/>
      <c r="BC156" s="2646"/>
      <c r="BD156" s="2646"/>
      <c r="BE156" s="2646"/>
      <c r="BF156" s="2646"/>
      <c r="BG156" s="2646"/>
      <c r="BH156" s="2646"/>
    </row>
    <row r="157" spans="10:60">
      <c r="J157" s="2668"/>
      <c r="K157" s="2692"/>
      <c r="L157" s="2646"/>
      <c r="M157" s="2646"/>
      <c r="N157" s="2646"/>
      <c r="O157" s="2646"/>
      <c r="P157" s="2672"/>
      <c r="Q157" s="2672"/>
      <c r="R157" s="2647"/>
      <c r="S157" s="2646"/>
      <c r="T157" s="2646"/>
      <c r="U157" s="2646"/>
      <c r="V157" s="2646"/>
      <c r="W157" s="2646"/>
      <c r="X157" s="2646"/>
      <c r="Y157" s="2646"/>
      <c r="Z157" s="2646"/>
      <c r="AA157" s="2646"/>
      <c r="AB157" s="2672"/>
      <c r="AC157" s="2646"/>
      <c r="AD157" s="2646"/>
      <c r="AE157" s="2646"/>
      <c r="AF157" s="2646"/>
      <c r="AG157" s="2646"/>
      <c r="AH157" s="2646"/>
      <c r="AI157" s="2646"/>
      <c r="AJ157" s="2646"/>
      <c r="AK157" s="2646"/>
      <c r="AL157" s="2646"/>
      <c r="AM157" s="2646"/>
      <c r="AN157" s="2646"/>
      <c r="AO157" s="2646"/>
      <c r="AP157" s="2646"/>
      <c r="AQ157" s="2646"/>
      <c r="AR157" s="2646"/>
      <c r="AS157" s="2646"/>
      <c r="AT157" s="2646"/>
      <c r="AU157" s="2646"/>
      <c r="AV157" s="2646"/>
      <c r="AW157" s="2646"/>
      <c r="AX157" s="2646"/>
      <c r="AY157" s="2646"/>
      <c r="AZ157" s="2646"/>
      <c r="BA157" s="2646"/>
      <c r="BB157" s="2646"/>
      <c r="BC157" s="2646"/>
      <c r="BD157" s="2646"/>
      <c r="BE157" s="2646"/>
      <c r="BF157" s="2646"/>
      <c r="BG157" s="2646"/>
      <c r="BH157" s="2646"/>
    </row>
    <row r="158" spans="10:60">
      <c r="J158" s="2668"/>
      <c r="K158" s="2692"/>
      <c r="L158" s="2646"/>
      <c r="M158" s="2646"/>
      <c r="N158" s="2646"/>
      <c r="O158" s="2646"/>
      <c r="P158" s="2672"/>
      <c r="Q158" s="2672"/>
      <c r="R158" s="2647"/>
      <c r="S158" s="2646"/>
      <c r="T158" s="2646"/>
      <c r="U158" s="2646"/>
      <c r="V158" s="2646"/>
      <c r="W158" s="2646"/>
      <c r="X158" s="2646"/>
      <c r="Y158" s="2646"/>
      <c r="Z158" s="2646"/>
      <c r="AA158" s="2646"/>
      <c r="AB158" s="2672"/>
      <c r="AC158" s="2646"/>
      <c r="AD158" s="2646"/>
      <c r="AE158" s="2646"/>
      <c r="AF158" s="2646"/>
      <c r="AG158" s="2646"/>
      <c r="AH158" s="2646"/>
      <c r="AI158" s="2646"/>
      <c r="AJ158" s="2646"/>
      <c r="AK158" s="2646"/>
      <c r="AL158" s="2646"/>
      <c r="AM158" s="2646"/>
      <c r="AN158" s="2646"/>
      <c r="AO158" s="2646"/>
      <c r="AP158" s="2646"/>
      <c r="AQ158" s="2646"/>
      <c r="AR158" s="2646"/>
      <c r="AS158" s="2646"/>
      <c r="AT158" s="2646"/>
      <c r="AU158" s="2646"/>
      <c r="AV158" s="2646"/>
      <c r="AW158" s="2646"/>
      <c r="AX158" s="2646"/>
      <c r="AY158" s="2646"/>
      <c r="AZ158" s="2646"/>
      <c r="BA158" s="2646"/>
      <c r="BB158" s="2646"/>
      <c r="BC158" s="2646"/>
      <c r="BD158" s="2646"/>
      <c r="BE158" s="2646"/>
      <c r="BF158" s="2646"/>
      <c r="BG158" s="2646"/>
      <c r="BH158" s="2646"/>
    </row>
    <row r="159" spans="10:60">
      <c r="J159" s="2668"/>
      <c r="K159" s="2692"/>
      <c r="L159" s="2646"/>
      <c r="M159" s="2646"/>
      <c r="N159" s="2646"/>
      <c r="O159" s="2646"/>
      <c r="P159" s="2672"/>
      <c r="Q159" s="2672"/>
      <c r="R159" s="2647"/>
      <c r="S159" s="2646"/>
      <c r="T159" s="2646"/>
      <c r="U159" s="2646"/>
      <c r="V159" s="2646"/>
      <c r="W159" s="2646"/>
      <c r="X159" s="2646"/>
      <c r="Y159" s="2646"/>
      <c r="Z159" s="2646"/>
      <c r="AA159" s="2646"/>
      <c r="AB159" s="2672"/>
      <c r="AC159" s="2646"/>
      <c r="AD159" s="2646"/>
      <c r="AE159" s="2646"/>
      <c r="AF159" s="2646"/>
      <c r="AG159" s="2646"/>
      <c r="AH159" s="2646"/>
      <c r="AI159" s="2646"/>
      <c r="AJ159" s="2646"/>
      <c r="AK159" s="2646"/>
      <c r="AL159" s="2646"/>
      <c r="AM159" s="2646"/>
      <c r="AN159" s="2646"/>
      <c r="AO159" s="2646"/>
      <c r="AP159" s="2646"/>
      <c r="AQ159" s="2646"/>
      <c r="AR159" s="2646"/>
      <c r="AS159" s="2646"/>
      <c r="AT159" s="2646"/>
      <c r="AU159" s="2646"/>
      <c r="AV159" s="2646"/>
      <c r="AW159" s="2646"/>
      <c r="AX159" s="2646"/>
      <c r="AY159" s="2646"/>
      <c r="AZ159" s="2646"/>
      <c r="BA159" s="2646"/>
      <c r="BB159" s="2646"/>
      <c r="BC159" s="2646"/>
      <c r="BD159" s="2646"/>
      <c r="BE159" s="2646"/>
      <c r="BF159" s="2646"/>
      <c r="BG159" s="2646"/>
      <c r="BH159" s="2646"/>
    </row>
    <row r="160" spans="10:60">
      <c r="J160" s="2668"/>
      <c r="K160" s="2692"/>
      <c r="L160" s="2646"/>
      <c r="M160" s="2646"/>
      <c r="N160" s="2646"/>
      <c r="O160" s="2646"/>
      <c r="P160" s="2672"/>
      <c r="Q160" s="2672"/>
      <c r="R160" s="2647"/>
      <c r="S160" s="2646"/>
      <c r="T160" s="2646"/>
      <c r="U160" s="2646"/>
      <c r="V160" s="2646"/>
      <c r="W160" s="2646"/>
      <c r="X160" s="2646"/>
      <c r="Y160" s="2646"/>
      <c r="Z160" s="2646"/>
      <c r="AA160" s="2646"/>
      <c r="AB160" s="2672"/>
      <c r="AC160" s="2646"/>
      <c r="AD160" s="2646"/>
      <c r="AE160" s="2646"/>
      <c r="AF160" s="2646"/>
      <c r="AG160" s="2646"/>
      <c r="AH160" s="2646"/>
      <c r="AI160" s="2646"/>
      <c r="AJ160" s="2646"/>
      <c r="AK160" s="2646"/>
      <c r="AL160" s="2646"/>
      <c r="AM160" s="2646"/>
      <c r="AN160" s="2646"/>
      <c r="AO160" s="2646"/>
      <c r="AP160" s="2646"/>
      <c r="AQ160" s="2646"/>
      <c r="AR160" s="2646"/>
      <c r="AS160" s="2646"/>
      <c r="AT160" s="2646"/>
      <c r="AU160" s="2646"/>
      <c r="AV160" s="2646"/>
      <c r="AW160" s="2646"/>
      <c r="AX160" s="2646"/>
      <c r="AY160" s="2646"/>
      <c r="AZ160" s="2646"/>
      <c r="BA160" s="2646"/>
      <c r="BB160" s="2646"/>
      <c r="BC160" s="2646"/>
      <c r="BD160" s="2646"/>
      <c r="BE160" s="2646"/>
      <c r="BF160" s="2646"/>
      <c r="BG160" s="2646"/>
      <c r="BH160" s="2646"/>
    </row>
    <row r="161" spans="10:60">
      <c r="J161" s="2668"/>
      <c r="K161" s="2646"/>
      <c r="L161" s="2646"/>
      <c r="M161" s="2646"/>
      <c r="N161" s="2646"/>
      <c r="O161" s="2646"/>
      <c r="P161" s="2672"/>
      <c r="Q161" s="2672"/>
      <c r="R161" s="2647"/>
      <c r="S161" s="2646"/>
      <c r="T161" s="2646"/>
      <c r="U161" s="2646"/>
      <c r="V161" s="2646"/>
      <c r="W161" s="2646"/>
      <c r="X161" s="2646"/>
      <c r="Y161" s="2646"/>
      <c r="Z161" s="2646"/>
      <c r="AA161" s="2646"/>
      <c r="AB161" s="2672"/>
      <c r="AC161" s="2646"/>
      <c r="AD161" s="2646"/>
      <c r="AE161" s="2646"/>
      <c r="AF161" s="2646"/>
      <c r="AG161" s="2646"/>
      <c r="AH161" s="2646"/>
      <c r="AI161" s="2646"/>
      <c r="AJ161" s="2646"/>
      <c r="AK161" s="2646"/>
      <c r="AL161" s="2646"/>
      <c r="AM161" s="2646"/>
      <c r="AN161" s="2646"/>
      <c r="AO161" s="2646"/>
      <c r="AP161" s="2646"/>
      <c r="AQ161" s="2646"/>
      <c r="AR161" s="2646"/>
      <c r="AS161" s="2646"/>
      <c r="AT161" s="2646"/>
      <c r="AU161" s="2646"/>
      <c r="AV161" s="2646"/>
      <c r="AW161" s="2646"/>
      <c r="AX161" s="2646"/>
      <c r="AY161" s="2646"/>
      <c r="AZ161" s="2646"/>
      <c r="BA161" s="2646"/>
      <c r="BB161" s="2646"/>
      <c r="BC161" s="2646"/>
      <c r="BD161" s="2646"/>
      <c r="BE161" s="2646"/>
      <c r="BF161" s="2646"/>
      <c r="BG161" s="2646"/>
      <c r="BH161" s="2646"/>
    </row>
    <row r="162" spans="10:60">
      <c r="J162" s="2647"/>
      <c r="K162" s="2646"/>
      <c r="L162" s="2646"/>
      <c r="M162" s="2646"/>
      <c r="N162" s="2646"/>
      <c r="O162" s="2646"/>
      <c r="P162" s="2672"/>
      <c r="Q162" s="2672"/>
      <c r="R162" s="2647"/>
      <c r="S162" s="2646"/>
      <c r="T162" s="2646"/>
      <c r="U162" s="2646"/>
      <c r="V162" s="2646"/>
      <c r="W162" s="2646"/>
      <c r="X162" s="2646"/>
      <c r="Y162" s="2646"/>
      <c r="Z162" s="2646"/>
      <c r="AA162" s="2646"/>
      <c r="AB162" s="2672"/>
      <c r="AC162" s="2646"/>
      <c r="AD162" s="2646"/>
      <c r="AE162" s="2646"/>
      <c r="AF162" s="2646"/>
      <c r="AG162" s="2646"/>
      <c r="AH162" s="2646"/>
      <c r="AI162" s="2646"/>
      <c r="AJ162" s="2646"/>
      <c r="AK162" s="2646"/>
      <c r="AL162" s="2646"/>
      <c r="AM162" s="2646"/>
      <c r="AN162" s="2646"/>
      <c r="AO162" s="2646"/>
      <c r="AP162" s="2646"/>
      <c r="AQ162" s="2646"/>
      <c r="AR162" s="2646"/>
      <c r="AS162" s="2646"/>
      <c r="AT162" s="2646"/>
      <c r="AU162" s="2646"/>
      <c r="AV162" s="2646"/>
      <c r="AW162" s="2646"/>
      <c r="AX162" s="2646"/>
      <c r="AY162" s="2646"/>
      <c r="AZ162" s="2646"/>
      <c r="BA162" s="2646"/>
      <c r="BB162" s="2646"/>
      <c r="BC162" s="2646"/>
      <c r="BD162" s="2646"/>
      <c r="BE162" s="2646"/>
      <c r="BF162" s="2646"/>
      <c r="BG162" s="2646"/>
      <c r="BH162" s="2646"/>
    </row>
    <row r="163" spans="10:60">
      <c r="J163" s="2646"/>
      <c r="K163" s="2692"/>
      <c r="L163" s="2646"/>
      <c r="M163" s="2646"/>
      <c r="N163" s="2646"/>
      <c r="O163" s="2646"/>
      <c r="P163" s="2646"/>
      <c r="Q163" s="2646"/>
      <c r="R163" s="2646"/>
      <c r="S163" s="2646"/>
      <c r="T163" s="2646"/>
      <c r="U163" s="2646"/>
      <c r="V163" s="2646"/>
      <c r="W163" s="2646"/>
      <c r="X163" s="2646"/>
      <c r="Y163" s="2646"/>
      <c r="Z163" s="2646"/>
      <c r="AA163" s="2646"/>
      <c r="AB163" s="2646"/>
      <c r="AC163" s="2645"/>
      <c r="AD163" s="2646"/>
      <c r="AE163" s="2646"/>
      <c r="AF163" s="2646"/>
      <c r="AG163" s="2646"/>
      <c r="AH163" s="2647"/>
      <c r="AI163" s="2646"/>
      <c r="AJ163" s="2646"/>
      <c r="AK163" s="2646"/>
      <c r="AL163" s="2646"/>
      <c r="AM163" s="2646"/>
      <c r="AN163" s="2646"/>
      <c r="AO163" s="2646"/>
      <c r="AP163" s="2646"/>
      <c r="AQ163" s="2646"/>
      <c r="AR163" s="2646"/>
      <c r="AS163" s="2646"/>
      <c r="AT163" s="2646"/>
      <c r="AU163" s="2646"/>
      <c r="AV163" s="2646"/>
      <c r="AW163" s="2646"/>
      <c r="AX163" s="2646"/>
      <c r="AY163" s="2646"/>
      <c r="AZ163" s="2646"/>
      <c r="BA163" s="2646"/>
      <c r="BB163" s="2646"/>
      <c r="BC163" s="2646"/>
      <c r="BD163" s="2646"/>
      <c r="BE163" s="2646"/>
      <c r="BF163" s="2646"/>
      <c r="BG163" s="2646"/>
      <c r="BH163" s="2646"/>
    </row>
    <row r="164" spans="10:60">
      <c r="J164" s="2646"/>
      <c r="K164" s="2646"/>
      <c r="L164" s="2646"/>
      <c r="M164" s="2646"/>
      <c r="N164" s="2646"/>
      <c r="O164" s="2646"/>
      <c r="P164" s="2646"/>
      <c r="Q164" s="2646"/>
      <c r="R164" s="2646"/>
      <c r="S164" s="2646"/>
      <c r="T164" s="2646"/>
      <c r="U164" s="2646"/>
      <c r="V164" s="2646"/>
      <c r="W164" s="2646"/>
      <c r="X164" s="2646"/>
      <c r="Y164" s="2646"/>
      <c r="Z164" s="2646"/>
      <c r="AA164" s="2646"/>
      <c r="AB164" s="2646"/>
      <c r="AC164" s="2645"/>
      <c r="AD164" s="2646"/>
      <c r="AE164" s="2646"/>
      <c r="AF164" s="2646"/>
      <c r="AG164" s="2646"/>
      <c r="AH164" s="2647"/>
      <c r="AI164" s="2646"/>
      <c r="AJ164" s="2646"/>
      <c r="AK164" s="2646"/>
      <c r="AL164" s="2646"/>
      <c r="AM164" s="2646"/>
      <c r="AN164" s="2646"/>
      <c r="AO164" s="2646"/>
      <c r="AP164" s="2646"/>
      <c r="AQ164" s="2646"/>
      <c r="AR164" s="2646"/>
      <c r="AS164" s="2646"/>
      <c r="AT164" s="2646"/>
      <c r="AU164" s="2646"/>
      <c r="AV164" s="2646"/>
      <c r="AW164" s="2646"/>
      <c r="AX164" s="2646"/>
      <c r="AY164" s="2646"/>
      <c r="AZ164" s="2646"/>
      <c r="BA164" s="2646"/>
      <c r="BB164" s="2646"/>
      <c r="BC164" s="2646"/>
      <c r="BD164" s="2646"/>
      <c r="BE164" s="2646"/>
      <c r="BF164" s="2646"/>
      <c r="BG164" s="2646"/>
      <c r="BH164" s="2646"/>
    </row>
    <row r="165" spans="10:60">
      <c r="J165" s="2646"/>
      <c r="K165" s="2646"/>
      <c r="L165" s="2646"/>
      <c r="M165" s="2646"/>
      <c r="N165" s="2646"/>
      <c r="O165" s="2646"/>
      <c r="P165" s="2646"/>
      <c r="Q165" s="2646"/>
      <c r="R165" s="2646"/>
      <c r="S165" s="2646"/>
      <c r="T165" s="2646"/>
      <c r="U165" s="2646"/>
      <c r="V165" s="2646"/>
      <c r="W165" s="2646"/>
      <c r="X165" s="2646"/>
      <c r="Y165" s="2646"/>
      <c r="Z165" s="2646"/>
      <c r="AA165" s="2646"/>
      <c r="AB165" s="2646"/>
      <c r="AC165" s="2645"/>
      <c r="AD165" s="2646"/>
      <c r="AE165" s="2646"/>
      <c r="AF165" s="2646"/>
      <c r="AG165" s="2646"/>
      <c r="AH165" s="2647"/>
      <c r="AI165" s="2646"/>
      <c r="AJ165" s="2646"/>
      <c r="AK165" s="2646"/>
      <c r="AL165" s="2646"/>
      <c r="AM165" s="2646"/>
      <c r="AN165" s="2646"/>
      <c r="AO165" s="2646"/>
      <c r="AP165" s="2646"/>
      <c r="AQ165" s="2646"/>
      <c r="AR165" s="2646"/>
      <c r="AS165" s="2646"/>
      <c r="AT165" s="2646"/>
      <c r="AU165" s="2646"/>
      <c r="AV165" s="2646"/>
      <c r="AW165" s="2646"/>
      <c r="AX165" s="2646"/>
      <c r="AY165" s="2646"/>
      <c r="AZ165" s="2646"/>
      <c r="BA165" s="2646"/>
      <c r="BB165" s="2646"/>
      <c r="BC165" s="2646"/>
      <c r="BD165" s="2646"/>
      <c r="BE165" s="2646"/>
      <c r="BF165" s="2646"/>
      <c r="BG165" s="2646"/>
      <c r="BH165" s="2646"/>
    </row>
    <row r="166" spans="10:60">
      <c r="J166" s="2646"/>
      <c r="K166" s="2646"/>
      <c r="L166" s="2646"/>
      <c r="M166" s="2646"/>
      <c r="N166" s="2646"/>
      <c r="O166" s="2646"/>
      <c r="P166" s="2646"/>
      <c r="Q166" s="2646"/>
      <c r="R166" s="2646"/>
      <c r="S166" s="2646"/>
      <c r="T166" s="2646"/>
      <c r="U166" s="2646"/>
      <c r="V166" s="2646"/>
      <c r="W166" s="2646"/>
      <c r="X166" s="2646"/>
      <c r="Y166" s="2646"/>
      <c r="Z166" s="2646"/>
      <c r="AA166" s="2646"/>
      <c r="AB166" s="2646"/>
      <c r="AC166" s="2647"/>
      <c r="AD166" s="2646"/>
      <c r="AE166" s="2646"/>
      <c r="AF166" s="2646"/>
      <c r="AG166" s="2646"/>
      <c r="AH166" s="2646"/>
      <c r="AI166" s="2667"/>
      <c r="AJ166" s="2646"/>
      <c r="AK166" s="2646"/>
      <c r="AL166" s="2646"/>
      <c r="AM166" s="2646"/>
      <c r="AN166" s="2646"/>
      <c r="AO166" s="2646"/>
      <c r="AP166" s="2646"/>
      <c r="AQ166" s="2646"/>
      <c r="AR166" s="2646"/>
      <c r="AS166" s="2646"/>
      <c r="AT166" s="2646"/>
      <c r="AU166" s="2646"/>
      <c r="AV166" s="2646"/>
      <c r="AW166" s="2646"/>
      <c r="AX166" s="2646"/>
      <c r="AY166" s="2646"/>
      <c r="AZ166" s="2646"/>
      <c r="BA166" s="2646"/>
      <c r="BB166" s="2646"/>
      <c r="BC166" s="2646"/>
      <c r="BD166" s="2646"/>
      <c r="BE166" s="2646"/>
      <c r="BF166" s="2646"/>
      <c r="BG166" s="2646"/>
      <c r="BH166" s="2646"/>
    </row>
    <row r="167" spans="10:60">
      <c r="J167" s="2646"/>
      <c r="K167" s="2646"/>
      <c r="L167" s="2646"/>
      <c r="M167" s="2646"/>
      <c r="N167" s="2646"/>
      <c r="O167" s="2646"/>
      <c r="P167" s="2646"/>
      <c r="Q167" s="2646"/>
      <c r="R167" s="2646"/>
      <c r="S167" s="2646"/>
      <c r="T167" s="2646"/>
      <c r="U167" s="2646"/>
      <c r="V167" s="2646"/>
      <c r="W167" s="2646"/>
      <c r="X167" s="2646"/>
      <c r="Y167" s="2646"/>
      <c r="Z167" s="2646"/>
      <c r="AA167" s="2646"/>
      <c r="AB167" s="2646"/>
      <c r="AC167" s="2646"/>
      <c r="AD167" s="2646"/>
      <c r="AE167" s="2646"/>
      <c r="AF167" s="2646"/>
      <c r="AG167" s="2646"/>
      <c r="AH167" s="2646"/>
      <c r="AI167" s="2646"/>
      <c r="AJ167" s="2646"/>
      <c r="AK167" s="2646"/>
      <c r="AL167" s="2646"/>
      <c r="AM167" s="2646"/>
      <c r="AN167" s="2646"/>
      <c r="AO167" s="2646"/>
      <c r="AP167" s="2646"/>
      <c r="AQ167" s="2646"/>
      <c r="AR167" s="2646"/>
      <c r="AS167" s="2646"/>
      <c r="AT167" s="2646"/>
      <c r="AU167" s="2646"/>
      <c r="AV167" s="2646"/>
      <c r="AW167" s="2646"/>
      <c r="AX167" s="2646"/>
      <c r="AY167" s="2646"/>
      <c r="AZ167" s="2646"/>
      <c r="BA167" s="2646"/>
      <c r="BB167" s="2646"/>
      <c r="BC167" s="2646"/>
      <c r="BD167" s="2646"/>
      <c r="BE167" s="2646"/>
      <c r="BF167" s="2646"/>
      <c r="BG167" s="2646"/>
      <c r="BH167" s="2646"/>
    </row>
    <row r="168" spans="10:60">
      <c r="J168" s="2646"/>
      <c r="K168" s="2646"/>
      <c r="L168" s="2646"/>
      <c r="M168" s="2646"/>
      <c r="N168" s="2646"/>
      <c r="O168" s="2646"/>
      <c r="P168" s="2646"/>
      <c r="Q168" s="2646"/>
      <c r="R168" s="2646"/>
      <c r="S168" s="2646"/>
      <c r="T168" s="2646"/>
      <c r="U168" s="2646"/>
      <c r="V168" s="2646"/>
      <c r="W168" s="2646"/>
      <c r="X168" s="2646"/>
      <c r="Y168" s="2646"/>
      <c r="Z168" s="2646"/>
      <c r="AA168" s="2646"/>
      <c r="AB168" s="2646"/>
      <c r="AC168" s="2645"/>
      <c r="AD168" s="2646"/>
      <c r="AE168" s="2646"/>
      <c r="AF168" s="2646"/>
      <c r="AG168" s="2646"/>
      <c r="AH168" s="2646"/>
      <c r="AI168" s="2646"/>
      <c r="AJ168" s="2646"/>
      <c r="AK168" s="2646"/>
      <c r="AL168" s="2646"/>
      <c r="AM168" s="2646"/>
      <c r="AN168" s="2646"/>
      <c r="AO168" s="2646"/>
      <c r="AP168" s="2646"/>
      <c r="AQ168" s="2646"/>
      <c r="AR168" s="2646"/>
      <c r="AS168" s="2646"/>
      <c r="AT168" s="2646"/>
      <c r="AU168" s="2646"/>
      <c r="AV168" s="2646"/>
      <c r="AW168" s="2646"/>
      <c r="AX168" s="2646"/>
      <c r="AY168" s="2646"/>
      <c r="AZ168" s="2646"/>
      <c r="BA168" s="2646"/>
      <c r="BB168" s="2646"/>
      <c r="BC168" s="2646"/>
      <c r="BD168" s="2646"/>
      <c r="BE168" s="2646"/>
      <c r="BF168" s="2646"/>
      <c r="BG168" s="2646"/>
      <c r="BH168" s="2646"/>
    </row>
    <row r="169" spans="10:60">
      <c r="J169" s="2646"/>
      <c r="K169" s="2646"/>
      <c r="L169" s="2646"/>
      <c r="M169" s="2646"/>
      <c r="N169" s="2646"/>
      <c r="O169" s="2646"/>
      <c r="P169" s="2646"/>
      <c r="Q169" s="2646"/>
      <c r="R169" s="2646"/>
      <c r="S169" s="2646"/>
      <c r="T169" s="2646"/>
      <c r="U169" s="2646"/>
      <c r="V169" s="2646"/>
      <c r="W169" s="2646"/>
      <c r="X169" s="2646"/>
      <c r="Y169" s="2646"/>
      <c r="Z169" s="2646"/>
      <c r="AA169" s="2646"/>
      <c r="AB169" s="2646"/>
      <c r="AC169" s="2646"/>
      <c r="AD169" s="2646"/>
      <c r="AE169" s="2646"/>
      <c r="AF169" s="2646"/>
      <c r="AG169" s="2646"/>
      <c r="AH169" s="2646"/>
      <c r="AI169" s="2646"/>
      <c r="AJ169" s="2646"/>
      <c r="AK169" s="2646"/>
      <c r="AL169" s="2646"/>
      <c r="AM169" s="2646"/>
      <c r="AN169" s="2646"/>
      <c r="AO169" s="2646"/>
      <c r="AP169" s="2646"/>
      <c r="AQ169" s="2646"/>
      <c r="AR169" s="2646"/>
      <c r="AS169" s="2646"/>
      <c r="AT169" s="2646"/>
      <c r="AU169" s="2646"/>
      <c r="AV169" s="2646"/>
      <c r="AW169" s="2646"/>
      <c r="AX169" s="2646"/>
      <c r="AY169" s="2646"/>
      <c r="AZ169" s="2646"/>
      <c r="BA169" s="2646"/>
      <c r="BB169" s="2646"/>
      <c r="BC169" s="2646"/>
      <c r="BD169" s="2646"/>
      <c r="BE169" s="2646"/>
      <c r="BF169" s="2646"/>
      <c r="BG169" s="2646"/>
      <c r="BH169" s="2646"/>
    </row>
    <row r="170" spans="10:60">
      <c r="J170" s="2646"/>
      <c r="K170" s="2646"/>
      <c r="L170" s="2646"/>
      <c r="M170" s="2646"/>
      <c r="N170" s="2646"/>
      <c r="O170" s="2646"/>
      <c r="P170" s="2646"/>
      <c r="Q170" s="2646"/>
      <c r="R170" s="2646"/>
      <c r="S170" s="2646"/>
      <c r="T170" s="2646"/>
      <c r="U170" s="2646"/>
      <c r="V170" s="2646"/>
      <c r="W170" s="2646"/>
      <c r="X170" s="2646"/>
      <c r="Y170" s="2646"/>
      <c r="Z170" s="2646"/>
      <c r="AA170" s="2646"/>
      <c r="AB170" s="2646"/>
      <c r="AC170" s="2646"/>
      <c r="AD170" s="2646"/>
      <c r="AE170" s="2646"/>
      <c r="AF170" s="2668"/>
      <c r="AG170" s="2668"/>
      <c r="AH170" s="2646"/>
      <c r="AI170" s="2646"/>
      <c r="AJ170" s="2646"/>
      <c r="AK170" s="2646"/>
      <c r="AL170" s="2646"/>
      <c r="AM170" s="2646"/>
      <c r="AN170" s="2646"/>
      <c r="AO170" s="2646"/>
      <c r="AP170" s="2646"/>
      <c r="AQ170" s="2646"/>
      <c r="AR170" s="2646"/>
      <c r="AS170" s="2646"/>
      <c r="AT170" s="2646"/>
      <c r="AU170" s="2646"/>
      <c r="AV170" s="2646"/>
      <c r="AW170" s="2646"/>
      <c r="AX170" s="2646"/>
      <c r="AY170" s="2646"/>
      <c r="AZ170" s="2646"/>
      <c r="BA170" s="2646"/>
      <c r="BB170" s="2646"/>
      <c r="BC170" s="2646"/>
      <c r="BD170" s="2646"/>
      <c r="BE170" s="2646"/>
      <c r="BF170" s="2646"/>
      <c r="BG170" s="2646"/>
      <c r="BH170" s="2646"/>
    </row>
    <row r="171" spans="10:60">
      <c r="J171" s="2646"/>
      <c r="K171" s="2646"/>
      <c r="L171" s="2646"/>
      <c r="M171" s="2646"/>
      <c r="N171" s="2646"/>
      <c r="O171" s="2646"/>
      <c r="P171" s="2646"/>
      <c r="Q171" s="2646"/>
      <c r="R171" s="2646"/>
      <c r="S171" s="2646"/>
      <c r="T171" s="2646"/>
      <c r="U171" s="2646"/>
      <c r="V171" s="2646"/>
      <c r="W171" s="2646"/>
      <c r="X171" s="2646"/>
      <c r="Y171" s="2646"/>
      <c r="Z171" s="2646"/>
      <c r="AA171" s="2646"/>
      <c r="AB171" s="2646"/>
      <c r="AC171" s="2668"/>
      <c r="AD171" s="2646"/>
      <c r="AE171" s="2646"/>
      <c r="AF171" s="2668"/>
      <c r="AG171" s="2668"/>
      <c r="AH171" s="2668"/>
      <c r="AI171" s="2668"/>
      <c r="AJ171" s="2646"/>
      <c r="AK171" s="2646"/>
      <c r="AL171" s="2646"/>
      <c r="AM171" s="2646"/>
      <c r="AN171" s="2646"/>
      <c r="AO171" s="2646"/>
      <c r="AP171" s="2646"/>
      <c r="AQ171" s="2646"/>
      <c r="AR171" s="2646"/>
      <c r="AS171" s="2646"/>
      <c r="AT171" s="2646"/>
      <c r="AU171" s="2646"/>
      <c r="AV171" s="2646"/>
      <c r="AW171" s="2646"/>
      <c r="AX171" s="2646"/>
      <c r="AY171" s="2646"/>
      <c r="AZ171" s="2646"/>
      <c r="BA171" s="2646"/>
      <c r="BB171" s="2646"/>
      <c r="BC171" s="2646"/>
      <c r="BD171" s="2646"/>
      <c r="BE171" s="2646"/>
      <c r="BF171" s="2646"/>
      <c r="BG171" s="2646"/>
      <c r="BH171" s="2646"/>
    </row>
    <row r="172" spans="10:60">
      <c r="J172" s="2646"/>
      <c r="K172" s="2646"/>
      <c r="L172" s="2646"/>
      <c r="M172" s="2646"/>
      <c r="N172" s="2646"/>
      <c r="O172" s="2646"/>
      <c r="P172" s="2646"/>
      <c r="Q172" s="2646"/>
      <c r="R172" s="2646"/>
      <c r="S172" s="2646"/>
      <c r="T172" s="2646"/>
      <c r="U172" s="2646"/>
      <c r="V172" s="2646"/>
      <c r="W172" s="2646"/>
      <c r="X172" s="2646"/>
      <c r="Y172" s="2646"/>
      <c r="Z172" s="2646"/>
      <c r="AA172" s="2646"/>
      <c r="AB172" s="2646"/>
      <c r="AC172" s="2669"/>
      <c r="AD172" s="2669"/>
      <c r="AE172" s="2646"/>
      <c r="AF172" s="2669"/>
      <c r="AG172" s="2669"/>
      <c r="AH172" s="2669"/>
      <c r="AI172" s="2669"/>
      <c r="AJ172" s="2646"/>
      <c r="AK172" s="2646"/>
      <c r="AL172" s="2646"/>
      <c r="AM172" s="2646"/>
      <c r="AN172" s="2646"/>
      <c r="AO172" s="2646"/>
      <c r="AP172" s="2646"/>
      <c r="AQ172" s="2646"/>
      <c r="AR172" s="2646"/>
      <c r="AS172" s="2646"/>
      <c r="AT172" s="2646"/>
      <c r="AU172" s="2646"/>
      <c r="AV172" s="2646"/>
      <c r="AW172" s="2646"/>
      <c r="AX172" s="2646"/>
      <c r="AY172" s="2646"/>
      <c r="AZ172" s="2646"/>
      <c r="BA172" s="2646"/>
      <c r="BB172" s="2646"/>
      <c r="BC172" s="2646"/>
      <c r="BD172" s="2646"/>
      <c r="BE172" s="2646"/>
      <c r="BF172" s="2646"/>
      <c r="BG172" s="2646"/>
      <c r="BH172" s="2646"/>
    </row>
    <row r="173" spans="10:60">
      <c r="J173" s="2646"/>
      <c r="K173" s="2646"/>
      <c r="L173" s="2646"/>
      <c r="M173" s="2646"/>
      <c r="N173" s="2646"/>
      <c r="O173" s="2646"/>
      <c r="P173" s="2646"/>
      <c r="Q173" s="2646"/>
      <c r="R173" s="2646"/>
      <c r="S173" s="2646"/>
      <c r="T173" s="2646"/>
      <c r="U173" s="2646"/>
      <c r="V173" s="2646"/>
      <c r="W173" s="2646"/>
      <c r="X173" s="2646"/>
      <c r="Y173" s="2646"/>
      <c r="Z173" s="2646"/>
      <c r="AA173" s="2646"/>
      <c r="AB173" s="2646"/>
      <c r="AC173" s="2668"/>
      <c r="AD173" s="2701"/>
      <c r="AE173" s="2647"/>
      <c r="AF173" s="2647"/>
      <c r="AG173" s="2647"/>
      <c r="AH173" s="2670"/>
      <c r="AI173" s="2670"/>
      <c r="AJ173" s="2646"/>
      <c r="AK173" s="2646"/>
      <c r="AL173" s="2646"/>
      <c r="AM173" s="2646"/>
      <c r="AN173" s="2646"/>
      <c r="AO173" s="2646"/>
      <c r="AP173" s="2646"/>
      <c r="AQ173" s="2646"/>
      <c r="AR173" s="2646"/>
      <c r="AS173" s="2646"/>
      <c r="AT173" s="2646"/>
      <c r="AU173" s="2646"/>
      <c r="AV173" s="2646"/>
      <c r="AW173" s="2646"/>
      <c r="AX173" s="2646"/>
      <c r="AY173" s="2646"/>
      <c r="AZ173" s="2646"/>
      <c r="BA173" s="2646"/>
      <c r="BB173" s="2646"/>
      <c r="BC173" s="2646"/>
      <c r="BD173" s="2646"/>
      <c r="BE173" s="2646"/>
      <c r="BF173" s="2646"/>
      <c r="BG173" s="2646"/>
      <c r="BH173" s="2646"/>
    </row>
    <row r="174" spans="10:60">
      <c r="J174" s="2646"/>
      <c r="K174" s="2646"/>
      <c r="L174" s="2646"/>
      <c r="M174" s="2646"/>
      <c r="N174" s="2646"/>
      <c r="O174" s="2646"/>
      <c r="P174" s="2646"/>
      <c r="Q174" s="2646"/>
      <c r="R174" s="2646"/>
      <c r="S174" s="2646"/>
      <c r="T174" s="2646"/>
      <c r="U174" s="2646"/>
      <c r="V174" s="2646"/>
      <c r="W174" s="2646"/>
      <c r="X174" s="2646"/>
      <c r="Y174" s="2646"/>
      <c r="Z174" s="2646"/>
      <c r="AA174" s="2646"/>
      <c r="AB174" s="2646"/>
      <c r="AC174" s="2668"/>
      <c r="AD174" s="2646"/>
      <c r="AE174" s="2646"/>
      <c r="AF174" s="2646"/>
      <c r="AG174" s="2646"/>
      <c r="AH174" s="2646"/>
      <c r="AI174" s="2646"/>
      <c r="AJ174" s="2646"/>
      <c r="AK174" s="2646"/>
      <c r="AL174" s="2646"/>
      <c r="AM174" s="2646"/>
      <c r="AN174" s="2646"/>
      <c r="AO174" s="2646"/>
      <c r="AP174" s="2646"/>
      <c r="AQ174" s="2646"/>
      <c r="AR174" s="2646"/>
      <c r="AS174" s="2646"/>
      <c r="AT174" s="2646"/>
      <c r="AU174" s="2646"/>
      <c r="AV174" s="2646"/>
      <c r="AW174" s="2646"/>
      <c r="AX174" s="2646"/>
      <c r="AY174" s="2646"/>
      <c r="AZ174" s="2646"/>
      <c r="BA174" s="2646"/>
      <c r="BB174" s="2646"/>
      <c r="BC174" s="2646"/>
      <c r="BD174" s="2646"/>
      <c r="BE174" s="2646"/>
      <c r="BF174" s="2646"/>
      <c r="BG174" s="2646"/>
      <c r="BH174" s="2646"/>
    </row>
    <row r="175" spans="10:60">
      <c r="J175" s="2646"/>
      <c r="K175" s="2646"/>
      <c r="L175" s="2646"/>
      <c r="M175" s="2646"/>
      <c r="N175" s="2646"/>
      <c r="O175" s="2646"/>
      <c r="P175" s="2646"/>
      <c r="Q175" s="2646"/>
      <c r="R175" s="2646"/>
      <c r="S175" s="2646"/>
      <c r="T175" s="2646"/>
      <c r="U175" s="2646"/>
      <c r="V175" s="2646"/>
      <c r="W175" s="2646"/>
      <c r="X175" s="2646"/>
      <c r="Y175" s="2646"/>
      <c r="Z175" s="2646"/>
      <c r="AA175" s="2646"/>
      <c r="AB175" s="2646"/>
      <c r="AC175" s="2668"/>
      <c r="AD175" s="2647"/>
      <c r="AE175" s="2646"/>
      <c r="AF175" s="2672"/>
      <c r="AG175" s="2672"/>
      <c r="AH175" s="2672"/>
      <c r="AI175" s="2646"/>
      <c r="AJ175" s="2646"/>
      <c r="AK175" s="2646"/>
      <c r="AL175" s="2646"/>
      <c r="AM175" s="2646"/>
      <c r="AN175" s="2646"/>
      <c r="AO175" s="2646"/>
      <c r="AP175" s="2646"/>
      <c r="AQ175" s="2646"/>
      <c r="AR175" s="2646"/>
      <c r="AS175" s="2646"/>
      <c r="AT175" s="2646"/>
      <c r="AU175" s="2646"/>
      <c r="AV175" s="2646"/>
      <c r="AW175" s="2646"/>
      <c r="AX175" s="2646"/>
      <c r="AY175" s="2646"/>
      <c r="AZ175" s="2646"/>
      <c r="BA175" s="2646"/>
      <c r="BB175" s="2646"/>
      <c r="BC175" s="2646"/>
      <c r="BD175" s="2646"/>
      <c r="BE175" s="2646"/>
      <c r="BF175" s="2646"/>
      <c r="BG175" s="2646"/>
      <c r="BH175" s="2646"/>
    </row>
    <row r="176" spans="10:60">
      <c r="J176" s="2646"/>
      <c r="K176" s="2646"/>
      <c r="L176" s="2646"/>
      <c r="M176" s="2646"/>
      <c r="N176" s="2646"/>
      <c r="O176" s="2646"/>
      <c r="P176" s="2646"/>
      <c r="Q176" s="2646"/>
      <c r="R176" s="2646"/>
      <c r="S176" s="2646"/>
      <c r="T176" s="2646"/>
      <c r="U176" s="2646"/>
      <c r="V176" s="2646"/>
      <c r="W176" s="2646"/>
      <c r="X176" s="2646"/>
      <c r="Y176" s="2646"/>
      <c r="Z176" s="2646"/>
      <c r="AA176" s="2646"/>
      <c r="AB176" s="2646"/>
      <c r="AC176" s="2668"/>
      <c r="AD176" s="2647"/>
      <c r="AE176" s="2646"/>
      <c r="AF176" s="2646"/>
      <c r="AG176" s="2646"/>
      <c r="AH176" s="2646"/>
      <c r="AI176" s="2646"/>
      <c r="AJ176" s="2646"/>
      <c r="AK176" s="2646"/>
      <c r="AL176" s="2646"/>
      <c r="AM176" s="2646"/>
      <c r="AN176" s="2646"/>
      <c r="AO176" s="2646"/>
      <c r="AP176" s="2646"/>
      <c r="AQ176" s="2646"/>
      <c r="AR176" s="2646"/>
      <c r="AS176" s="2646"/>
      <c r="AT176" s="2646"/>
      <c r="AU176" s="2646"/>
      <c r="AV176" s="2646"/>
      <c r="AW176" s="2646"/>
      <c r="AX176" s="2646"/>
      <c r="AY176" s="2646"/>
      <c r="AZ176" s="2646"/>
      <c r="BA176" s="2646"/>
      <c r="BB176" s="2646"/>
      <c r="BC176" s="2646"/>
      <c r="BD176" s="2646"/>
      <c r="BE176" s="2646"/>
      <c r="BF176" s="2646"/>
      <c r="BG176" s="2646"/>
      <c r="BH176" s="2646"/>
    </row>
    <row r="177" spans="10:60">
      <c r="J177" s="2646"/>
      <c r="K177" s="2646"/>
      <c r="L177" s="2646"/>
      <c r="M177" s="2646"/>
      <c r="N177" s="2646"/>
      <c r="O177" s="2646"/>
      <c r="P177" s="2646"/>
      <c r="Q177" s="2646"/>
      <c r="R177" s="2646"/>
      <c r="S177" s="2646"/>
      <c r="T177" s="2646"/>
      <c r="U177" s="2646"/>
      <c r="V177" s="2646"/>
      <c r="W177" s="2646"/>
      <c r="X177" s="2646"/>
      <c r="Y177" s="2646"/>
      <c r="Z177" s="2646"/>
      <c r="AA177" s="2646"/>
      <c r="AB177" s="2646"/>
      <c r="AC177" s="2668"/>
      <c r="AD177" s="2647"/>
      <c r="AE177" s="2646"/>
      <c r="AF177" s="2702"/>
      <c r="AG177" s="2702"/>
      <c r="AH177" s="2703"/>
      <c r="AI177" s="2646"/>
      <c r="AJ177" s="2646"/>
      <c r="AK177" s="2646"/>
      <c r="AL177" s="2646"/>
      <c r="AM177" s="2646"/>
      <c r="AN177" s="2646"/>
      <c r="AO177" s="2646"/>
      <c r="AP177" s="2646"/>
      <c r="AQ177" s="2646"/>
      <c r="AR177" s="2646"/>
      <c r="AS177" s="2646"/>
      <c r="AT177" s="2646"/>
      <c r="AU177" s="2646"/>
      <c r="AV177" s="2646"/>
      <c r="AW177" s="2646"/>
      <c r="AX177" s="2646"/>
      <c r="AY177" s="2646"/>
      <c r="AZ177" s="2646"/>
      <c r="BA177" s="2646"/>
      <c r="BB177" s="2646"/>
      <c r="BC177" s="2646"/>
      <c r="BD177" s="2646"/>
      <c r="BE177" s="2646"/>
      <c r="BF177" s="2646"/>
      <c r="BG177" s="2646"/>
      <c r="BH177" s="2646"/>
    </row>
    <row r="178" spans="10:60">
      <c r="J178" s="2646"/>
      <c r="K178" s="2646"/>
      <c r="L178" s="2646"/>
      <c r="M178" s="2646"/>
      <c r="N178" s="2646"/>
      <c r="O178" s="2646"/>
      <c r="P178" s="2646"/>
      <c r="Q178" s="2646"/>
      <c r="R178" s="2646"/>
      <c r="S178" s="2646"/>
      <c r="T178" s="2646"/>
      <c r="U178" s="2646"/>
      <c r="V178" s="2646"/>
      <c r="W178" s="2646"/>
      <c r="X178" s="2646"/>
      <c r="Y178" s="2646"/>
      <c r="Z178" s="2646"/>
      <c r="AA178" s="2646"/>
      <c r="AB178" s="2646"/>
      <c r="AC178" s="2668"/>
      <c r="AD178" s="2692"/>
      <c r="AE178" s="2646"/>
      <c r="AF178" s="2646"/>
      <c r="AG178" s="2646"/>
      <c r="AH178" s="2670"/>
      <c r="AI178" s="2646"/>
      <c r="AJ178" s="2646"/>
      <c r="AK178" s="2646"/>
      <c r="AL178" s="2646"/>
      <c r="AM178" s="2646"/>
      <c r="AN178" s="2646"/>
      <c r="AO178" s="2646"/>
      <c r="AP178" s="2646"/>
      <c r="AQ178" s="2646"/>
      <c r="AR178" s="2646"/>
      <c r="AS178" s="2646"/>
      <c r="AT178" s="2646"/>
      <c r="AU178" s="2646"/>
      <c r="AV178" s="2646"/>
      <c r="AW178" s="2646"/>
      <c r="AX178" s="2646"/>
      <c r="AY178" s="2646"/>
      <c r="AZ178" s="2646"/>
      <c r="BA178" s="2646"/>
      <c r="BB178" s="2646"/>
      <c r="BC178" s="2646"/>
      <c r="BD178" s="2646"/>
      <c r="BE178" s="2646"/>
      <c r="BF178" s="2646"/>
      <c r="BG178" s="2646"/>
      <c r="BH178" s="2646"/>
    </row>
    <row r="179" spans="10:60">
      <c r="J179" s="2646"/>
      <c r="K179" s="2646"/>
      <c r="L179" s="2646"/>
      <c r="M179" s="2646"/>
      <c r="N179" s="2646"/>
      <c r="O179" s="2646"/>
      <c r="P179" s="2646"/>
      <c r="Q179" s="2646"/>
      <c r="R179" s="2646"/>
      <c r="S179" s="2646"/>
      <c r="T179" s="2646"/>
      <c r="U179" s="2646"/>
      <c r="V179" s="2646"/>
      <c r="W179" s="2646"/>
      <c r="X179" s="2646"/>
      <c r="Y179" s="2646"/>
      <c r="Z179" s="2646"/>
      <c r="AA179" s="2646"/>
      <c r="AB179" s="2646"/>
      <c r="AC179" s="2668"/>
      <c r="AD179" s="2692"/>
      <c r="AE179" s="2646"/>
      <c r="AF179" s="2646"/>
      <c r="AG179" s="2646"/>
      <c r="AH179" s="2646"/>
      <c r="AI179" s="2646"/>
      <c r="AJ179" s="2646"/>
      <c r="AK179" s="2646"/>
      <c r="AL179" s="2646"/>
      <c r="AM179" s="2646"/>
      <c r="AN179" s="2646"/>
      <c r="AO179" s="2646"/>
      <c r="AP179" s="2646"/>
      <c r="AQ179" s="2646"/>
      <c r="AR179" s="2646"/>
      <c r="AS179" s="2646"/>
      <c r="AT179" s="2646"/>
      <c r="AU179" s="2646"/>
      <c r="AV179" s="2646"/>
      <c r="AW179" s="2646"/>
      <c r="AX179" s="2646"/>
      <c r="AY179" s="2646"/>
      <c r="AZ179" s="2646"/>
      <c r="BA179" s="2646"/>
      <c r="BB179" s="2646"/>
      <c r="BC179" s="2646"/>
      <c r="BD179" s="2646"/>
      <c r="BE179" s="2646"/>
      <c r="BF179" s="2646"/>
      <c r="BG179" s="2646"/>
      <c r="BH179" s="2646"/>
    </row>
    <row r="180" spans="10:60">
      <c r="J180" s="2646"/>
      <c r="K180" s="2646"/>
      <c r="L180" s="2646"/>
      <c r="M180" s="2646"/>
      <c r="N180" s="2646"/>
      <c r="O180" s="2646"/>
      <c r="P180" s="2646"/>
      <c r="Q180" s="2646"/>
      <c r="R180" s="2646"/>
      <c r="S180" s="2646"/>
      <c r="T180" s="2646"/>
      <c r="U180" s="2646"/>
      <c r="V180" s="2646"/>
      <c r="W180" s="2646"/>
      <c r="X180" s="2646"/>
      <c r="Y180" s="2646"/>
      <c r="Z180" s="2646"/>
      <c r="AA180" s="2646"/>
      <c r="AB180" s="2646"/>
      <c r="AC180" s="2668"/>
      <c r="AD180" s="2692"/>
      <c r="AE180" s="2646"/>
      <c r="AF180" s="2646"/>
      <c r="AG180" s="2646"/>
      <c r="AH180" s="2646"/>
      <c r="AI180" s="2646"/>
      <c r="AJ180" s="2646"/>
      <c r="AK180" s="2646"/>
      <c r="AL180" s="2646"/>
      <c r="AM180" s="2646"/>
      <c r="AN180" s="2646"/>
      <c r="AO180" s="2646"/>
      <c r="AP180" s="2646"/>
      <c r="AQ180" s="2646"/>
      <c r="AR180" s="2646"/>
      <c r="AS180" s="2646"/>
      <c r="AT180" s="2646"/>
      <c r="AU180" s="2646"/>
      <c r="AV180" s="2646"/>
      <c r="AW180" s="2646"/>
      <c r="AX180" s="2646"/>
      <c r="AY180" s="2646"/>
      <c r="AZ180" s="2646"/>
      <c r="BA180" s="2646"/>
      <c r="BB180" s="2646"/>
      <c r="BC180" s="2646"/>
      <c r="BD180" s="2646"/>
      <c r="BE180" s="2646"/>
      <c r="BF180" s="2646"/>
      <c r="BG180" s="2646"/>
      <c r="BH180" s="2646"/>
    </row>
    <row r="181" spans="10:60">
      <c r="J181" s="2646"/>
      <c r="K181" s="2646"/>
      <c r="L181" s="2646"/>
      <c r="M181" s="2646"/>
      <c r="N181" s="2646"/>
      <c r="O181" s="2646"/>
      <c r="P181" s="2646"/>
      <c r="Q181" s="2646"/>
      <c r="R181" s="2646"/>
      <c r="S181" s="2646"/>
      <c r="T181" s="2646"/>
      <c r="U181" s="2646"/>
      <c r="V181" s="2646"/>
      <c r="W181" s="2646"/>
      <c r="X181" s="2646"/>
      <c r="Y181" s="2646"/>
      <c r="Z181" s="2646"/>
      <c r="AA181" s="2646"/>
      <c r="AB181" s="2646"/>
      <c r="AC181" s="2668"/>
      <c r="AD181" s="2647"/>
      <c r="AE181" s="2646"/>
      <c r="AF181" s="2646"/>
      <c r="AG181" s="2646"/>
      <c r="AH181" s="2646"/>
      <c r="AI181" s="2646"/>
      <c r="AJ181" s="2646"/>
      <c r="AK181" s="2646"/>
      <c r="AL181" s="2646"/>
      <c r="AM181" s="2646"/>
      <c r="AN181" s="2646"/>
      <c r="AO181" s="2646"/>
      <c r="AP181" s="2646"/>
      <c r="AQ181" s="2646"/>
      <c r="AR181" s="2646"/>
      <c r="AS181" s="2646"/>
      <c r="AT181" s="2646"/>
      <c r="AU181" s="2646"/>
      <c r="AV181" s="2646"/>
      <c r="AW181" s="2646"/>
      <c r="AX181" s="2646"/>
      <c r="AY181" s="2646"/>
      <c r="AZ181" s="2646"/>
      <c r="BA181" s="2646"/>
      <c r="BB181" s="2646"/>
      <c r="BC181" s="2646"/>
      <c r="BD181" s="2646"/>
      <c r="BE181" s="2646"/>
      <c r="BF181" s="2646"/>
      <c r="BG181" s="2646"/>
      <c r="BH181" s="2646"/>
    </row>
    <row r="182" spans="10:60">
      <c r="J182" s="2646"/>
      <c r="K182" s="2646"/>
      <c r="L182" s="2646"/>
      <c r="M182" s="2646"/>
      <c r="N182" s="2646"/>
      <c r="O182" s="2646"/>
      <c r="P182" s="2646"/>
      <c r="Q182" s="2646"/>
      <c r="R182" s="2646"/>
      <c r="S182" s="2646"/>
      <c r="T182" s="2646"/>
      <c r="U182" s="2646"/>
      <c r="V182" s="2646"/>
      <c r="W182" s="2646"/>
      <c r="X182" s="2646"/>
      <c r="Y182" s="2646"/>
      <c r="Z182" s="2646"/>
      <c r="AA182" s="2646"/>
      <c r="AB182" s="2646"/>
      <c r="AC182" s="2668"/>
      <c r="AD182" s="2647"/>
      <c r="AE182" s="2646"/>
      <c r="AF182" s="2668"/>
      <c r="AG182" s="2668"/>
      <c r="AH182" s="2703"/>
      <c r="AI182" s="2646"/>
      <c r="AJ182" s="2646"/>
      <c r="AK182" s="2646"/>
      <c r="AL182" s="2646"/>
      <c r="AM182" s="2646"/>
      <c r="AN182" s="2646"/>
      <c r="AO182" s="2646"/>
      <c r="AP182" s="2646"/>
      <c r="AQ182" s="2646"/>
      <c r="AR182" s="2646"/>
      <c r="AS182" s="2646"/>
      <c r="AT182" s="2646"/>
      <c r="AU182" s="2646"/>
      <c r="AV182" s="2646"/>
      <c r="AW182" s="2646"/>
      <c r="AX182" s="2646"/>
      <c r="AY182" s="2646"/>
      <c r="AZ182" s="2646"/>
      <c r="BA182" s="2646"/>
      <c r="BB182" s="2646"/>
      <c r="BC182" s="2646"/>
      <c r="BD182" s="2646"/>
      <c r="BE182" s="2646"/>
      <c r="BF182" s="2646"/>
      <c r="BG182" s="2646"/>
      <c r="BH182" s="2646"/>
    </row>
    <row r="183" spans="10:60">
      <c r="J183" s="2646"/>
      <c r="K183" s="2646"/>
      <c r="L183" s="2646"/>
      <c r="M183" s="2646"/>
      <c r="N183" s="2646"/>
      <c r="O183" s="2646"/>
      <c r="P183" s="2646"/>
      <c r="Q183" s="2646"/>
      <c r="R183" s="2646"/>
      <c r="S183" s="2646"/>
      <c r="T183" s="2646"/>
      <c r="U183" s="2646"/>
      <c r="V183" s="2646"/>
      <c r="W183" s="2646"/>
      <c r="X183" s="2646"/>
      <c r="Y183" s="2646"/>
      <c r="Z183" s="2646"/>
      <c r="AA183" s="2646"/>
      <c r="AB183" s="2646"/>
      <c r="AC183" s="2668"/>
      <c r="AD183" s="2692"/>
      <c r="AE183" s="2646"/>
      <c r="AF183" s="2646"/>
      <c r="AG183" s="2646"/>
      <c r="AH183" s="2701"/>
      <c r="AI183" s="2646"/>
      <c r="AJ183" s="2646"/>
      <c r="AK183" s="2646"/>
      <c r="AL183" s="2646"/>
      <c r="AM183" s="2646"/>
      <c r="AN183" s="2646"/>
      <c r="AO183" s="2646"/>
      <c r="AP183" s="2646"/>
      <c r="AQ183" s="2646"/>
      <c r="AR183" s="2646"/>
      <c r="AS183" s="2646"/>
      <c r="AT183" s="2646"/>
      <c r="AU183" s="2646"/>
      <c r="AV183" s="2646"/>
      <c r="AW183" s="2646"/>
      <c r="AX183" s="2646"/>
      <c r="AY183" s="2646"/>
      <c r="AZ183" s="2646"/>
      <c r="BA183" s="2646"/>
      <c r="BB183" s="2646"/>
      <c r="BC183" s="2646"/>
      <c r="BD183" s="2646"/>
      <c r="BE183" s="2646"/>
      <c r="BF183" s="2646"/>
      <c r="BG183" s="2646"/>
      <c r="BH183" s="2646"/>
    </row>
    <row r="184" spans="10:60">
      <c r="J184" s="2646"/>
      <c r="K184" s="2646"/>
      <c r="L184" s="2646"/>
      <c r="M184" s="2646"/>
      <c r="N184" s="2646"/>
      <c r="O184" s="2646"/>
      <c r="P184" s="2646"/>
      <c r="Q184" s="2646"/>
      <c r="R184" s="2646"/>
      <c r="S184" s="2646"/>
      <c r="T184" s="2646"/>
      <c r="U184" s="2646"/>
      <c r="V184" s="2646"/>
      <c r="W184" s="2646"/>
      <c r="X184" s="2646"/>
      <c r="Y184" s="2646"/>
      <c r="Z184" s="2646"/>
      <c r="AA184" s="2646"/>
      <c r="AB184" s="2646"/>
      <c r="AC184" s="2668"/>
      <c r="AD184" s="2692"/>
      <c r="AE184" s="2646"/>
      <c r="AF184" s="2646"/>
      <c r="AG184" s="2646"/>
      <c r="AH184" s="2646"/>
      <c r="AI184" s="2646"/>
      <c r="AJ184" s="2646"/>
      <c r="AK184" s="2646"/>
      <c r="AL184" s="2646"/>
      <c r="AM184" s="2646"/>
      <c r="AN184" s="2646"/>
      <c r="AO184" s="2646"/>
      <c r="AP184" s="2646"/>
      <c r="AQ184" s="2646"/>
      <c r="AR184" s="2646"/>
      <c r="AS184" s="2646"/>
      <c r="AT184" s="2646"/>
      <c r="AU184" s="2646"/>
      <c r="AV184" s="2646"/>
      <c r="AW184" s="2646"/>
      <c r="AX184" s="2646"/>
      <c r="AY184" s="2646"/>
      <c r="AZ184" s="2646"/>
      <c r="BA184" s="2646"/>
      <c r="BB184" s="2646"/>
      <c r="BC184" s="2646"/>
      <c r="BD184" s="2646"/>
      <c r="BE184" s="2646"/>
      <c r="BF184" s="2646"/>
      <c r="BG184" s="2646"/>
      <c r="BH184" s="2646"/>
    </row>
    <row r="185" spans="10:60">
      <c r="J185" s="2646"/>
      <c r="K185" s="2646"/>
      <c r="L185" s="2646"/>
      <c r="M185" s="2646"/>
      <c r="N185" s="2646"/>
      <c r="O185" s="2646"/>
      <c r="P185" s="2646"/>
      <c r="Q185" s="2646"/>
      <c r="R185" s="2646"/>
      <c r="S185" s="2646"/>
      <c r="T185" s="2646"/>
      <c r="U185" s="2646"/>
      <c r="V185" s="2646"/>
      <c r="W185" s="2646"/>
      <c r="X185" s="2646"/>
      <c r="Y185" s="2646"/>
      <c r="Z185" s="2646"/>
      <c r="AA185" s="2646"/>
      <c r="AB185" s="2646"/>
      <c r="AC185" s="2668"/>
      <c r="AD185" s="2692"/>
      <c r="AE185" s="2646"/>
      <c r="AF185" s="2646"/>
      <c r="AG185" s="2646"/>
      <c r="AH185" s="2646"/>
      <c r="AI185" s="2646"/>
      <c r="AJ185" s="2646"/>
      <c r="AK185" s="2646"/>
      <c r="AL185" s="2646"/>
      <c r="AM185" s="2646"/>
      <c r="AN185" s="2646"/>
      <c r="AO185" s="2646"/>
      <c r="AP185" s="2646"/>
      <c r="AQ185" s="2646"/>
      <c r="AR185" s="2646"/>
      <c r="AS185" s="2646"/>
      <c r="AT185" s="2646"/>
      <c r="AU185" s="2646"/>
      <c r="AV185" s="2646"/>
      <c r="AW185" s="2646"/>
      <c r="AX185" s="2646"/>
      <c r="AY185" s="2646"/>
      <c r="AZ185" s="2646"/>
      <c r="BA185" s="2646"/>
      <c r="BB185" s="2646"/>
      <c r="BC185" s="2646"/>
      <c r="BD185" s="2646"/>
      <c r="BE185" s="2646"/>
      <c r="BF185" s="2646"/>
      <c r="BG185" s="2646"/>
      <c r="BH185" s="2646"/>
    </row>
    <row r="186" spans="10:60">
      <c r="J186" s="2646"/>
      <c r="K186" s="2646"/>
      <c r="L186" s="2646"/>
      <c r="M186" s="2646"/>
      <c r="N186" s="2646"/>
      <c r="O186" s="2646"/>
      <c r="P186" s="2646"/>
      <c r="Q186" s="2646"/>
      <c r="R186" s="2646"/>
      <c r="S186" s="2646"/>
      <c r="T186" s="2646"/>
      <c r="U186" s="2646"/>
      <c r="V186" s="2646"/>
      <c r="W186" s="2646"/>
      <c r="X186" s="2646"/>
      <c r="Y186" s="2646"/>
      <c r="Z186" s="2646"/>
      <c r="AA186" s="2646"/>
      <c r="AB186" s="2646"/>
      <c r="AC186" s="2668"/>
      <c r="AD186" s="2647"/>
      <c r="AE186" s="2646"/>
      <c r="AF186" s="2646"/>
      <c r="AG186" s="2647"/>
      <c r="AH186" s="2646"/>
      <c r="AI186" s="2681"/>
      <c r="AJ186" s="2646"/>
      <c r="AK186" s="2646"/>
      <c r="AL186" s="2646"/>
      <c r="AM186" s="2646"/>
      <c r="AN186" s="2646"/>
      <c r="AO186" s="2646"/>
      <c r="AP186" s="2646"/>
      <c r="AQ186" s="2646"/>
      <c r="AR186" s="2646"/>
      <c r="AS186" s="2646"/>
      <c r="AT186" s="2646"/>
      <c r="AU186" s="2646"/>
      <c r="AV186" s="2646"/>
      <c r="AW186" s="2646"/>
      <c r="AX186" s="2646"/>
      <c r="AY186" s="2646"/>
      <c r="AZ186" s="2646"/>
      <c r="BA186" s="2646"/>
      <c r="BB186" s="2646"/>
      <c r="BC186" s="2646"/>
      <c r="BD186" s="2646"/>
      <c r="BE186" s="2646"/>
      <c r="BF186" s="2646"/>
      <c r="BG186" s="2646"/>
      <c r="BH186" s="2646"/>
    </row>
    <row r="187" spans="10:60">
      <c r="J187" s="2646"/>
      <c r="K187" s="2646"/>
      <c r="L187" s="2646"/>
      <c r="M187" s="2646"/>
      <c r="N187" s="2646"/>
      <c r="O187" s="2646"/>
      <c r="P187" s="2646"/>
      <c r="Q187" s="2646"/>
      <c r="R187" s="2646"/>
      <c r="S187" s="2646"/>
      <c r="T187" s="2646"/>
      <c r="U187" s="2646"/>
      <c r="V187" s="2646"/>
      <c r="W187" s="2646"/>
      <c r="X187" s="2646"/>
      <c r="Y187" s="2646"/>
      <c r="Z187" s="2646"/>
      <c r="AA187" s="2646"/>
      <c r="AB187" s="2646"/>
      <c r="AC187" s="2668"/>
      <c r="AD187" s="2692"/>
      <c r="AE187" s="2646"/>
      <c r="AF187" s="2646"/>
      <c r="AG187" s="2646"/>
      <c r="AH187" s="2646"/>
      <c r="AI187" s="2701"/>
      <c r="AJ187" s="2646"/>
      <c r="AK187" s="2646"/>
      <c r="AL187" s="2646"/>
      <c r="AM187" s="2646"/>
      <c r="AN187" s="2646"/>
      <c r="AO187" s="2646"/>
      <c r="AP187" s="2646"/>
      <c r="AQ187" s="2646"/>
      <c r="AR187" s="2646"/>
      <c r="AS187" s="2646"/>
      <c r="AT187" s="2646"/>
      <c r="AU187" s="2646"/>
      <c r="AV187" s="2646"/>
      <c r="AW187" s="2646"/>
      <c r="AX187" s="2646"/>
      <c r="AY187" s="2646"/>
      <c r="AZ187" s="2646"/>
      <c r="BA187" s="2646"/>
      <c r="BB187" s="2646"/>
      <c r="BC187" s="2646"/>
      <c r="BD187" s="2646"/>
      <c r="BE187" s="2646"/>
      <c r="BF187" s="2646"/>
      <c r="BG187" s="2646"/>
      <c r="BH187" s="2646"/>
    </row>
    <row r="188" spans="10:60">
      <c r="J188" s="2646"/>
      <c r="K188" s="2646"/>
      <c r="L188" s="2646"/>
      <c r="M188" s="2646"/>
      <c r="N188" s="2646"/>
      <c r="O188" s="2646"/>
      <c r="P188" s="2646"/>
      <c r="Q188" s="2646"/>
      <c r="R188" s="2646"/>
      <c r="S188" s="2646"/>
      <c r="T188" s="2646"/>
      <c r="U188" s="2646"/>
      <c r="V188" s="2646"/>
      <c r="W188" s="2646"/>
      <c r="X188" s="2646"/>
      <c r="Y188" s="2646"/>
      <c r="Z188" s="2646"/>
      <c r="AA188" s="2646"/>
      <c r="AB188" s="2646"/>
      <c r="AC188" s="2647"/>
      <c r="AD188" s="2692"/>
      <c r="AE188" s="2646"/>
      <c r="AF188" s="2646"/>
      <c r="AG188" s="2646"/>
      <c r="AH188" s="2646"/>
      <c r="AI188" s="2646"/>
      <c r="AJ188" s="2646"/>
      <c r="AK188" s="2646"/>
      <c r="AL188" s="2646"/>
      <c r="AM188" s="2646"/>
      <c r="AN188" s="2646"/>
      <c r="AO188" s="2646"/>
      <c r="AP188" s="2646"/>
      <c r="AQ188" s="2646"/>
      <c r="AR188" s="2646"/>
      <c r="AS188" s="2646"/>
      <c r="AT188" s="2646"/>
      <c r="AU188" s="2646"/>
      <c r="AV188" s="2646"/>
      <c r="AW188" s="2646"/>
      <c r="AX188" s="2646"/>
      <c r="AY188" s="2646"/>
      <c r="AZ188" s="2646"/>
      <c r="BA188" s="2646"/>
      <c r="BB188" s="2646"/>
      <c r="BC188" s="2646"/>
      <c r="BD188" s="2646"/>
      <c r="BE188" s="2646"/>
      <c r="BF188" s="2646"/>
      <c r="BG188" s="2646"/>
      <c r="BH188" s="2646"/>
    </row>
    <row r="189" spans="10:60">
      <c r="J189" s="2646"/>
      <c r="K189" s="2646"/>
      <c r="L189" s="2646"/>
      <c r="M189" s="2646"/>
      <c r="N189" s="2646"/>
      <c r="O189" s="2646"/>
      <c r="P189" s="2646"/>
      <c r="Q189" s="2646"/>
      <c r="R189" s="2646"/>
      <c r="S189" s="2646"/>
      <c r="T189" s="2646"/>
      <c r="U189" s="2646"/>
      <c r="V189" s="2646"/>
      <c r="W189" s="2646"/>
      <c r="X189" s="2646"/>
      <c r="Y189" s="2646"/>
      <c r="Z189" s="2646"/>
      <c r="AA189" s="2646"/>
      <c r="AB189" s="2646"/>
      <c r="AC189" s="2646"/>
      <c r="AD189" s="2646"/>
      <c r="AE189" s="2646"/>
      <c r="AF189" s="2646"/>
      <c r="AG189" s="2646"/>
      <c r="AH189" s="2646"/>
      <c r="AI189" s="2646"/>
      <c r="AJ189" s="2646"/>
      <c r="AK189" s="2646"/>
      <c r="AL189" s="2646"/>
      <c r="AM189" s="2646"/>
      <c r="AN189" s="2646"/>
      <c r="AO189" s="2646"/>
      <c r="AP189" s="2646"/>
      <c r="AQ189" s="2646"/>
      <c r="AR189" s="2646"/>
      <c r="AS189" s="2646"/>
      <c r="AT189" s="2646"/>
      <c r="AU189" s="2646"/>
      <c r="AV189" s="2646"/>
      <c r="AW189" s="2646"/>
      <c r="AX189" s="2646"/>
      <c r="AY189" s="2646"/>
      <c r="AZ189" s="2646"/>
      <c r="BA189" s="2646"/>
      <c r="BB189" s="2646"/>
      <c r="BC189" s="2646"/>
      <c r="BD189" s="2646"/>
      <c r="BE189" s="2646"/>
      <c r="BF189" s="2646"/>
      <c r="BG189" s="2646"/>
      <c r="BH189" s="2646"/>
    </row>
    <row r="190" spans="10:60">
      <c r="J190" s="2646"/>
      <c r="K190" s="2646"/>
      <c r="L190" s="2646"/>
      <c r="M190" s="2646"/>
      <c r="N190" s="2646"/>
      <c r="O190" s="2646"/>
      <c r="P190" s="2646"/>
      <c r="Q190" s="2646"/>
      <c r="R190" s="2646"/>
      <c r="S190" s="2646"/>
      <c r="T190" s="2646"/>
      <c r="U190" s="2646"/>
      <c r="V190" s="2646"/>
      <c r="W190" s="2646"/>
      <c r="X190" s="2646"/>
      <c r="Y190" s="2646"/>
      <c r="Z190" s="2646"/>
      <c r="AA190" s="2646"/>
      <c r="AB190" s="2646"/>
      <c r="AC190" s="2646"/>
      <c r="AD190" s="2646"/>
      <c r="AE190" s="2646"/>
      <c r="AF190" s="2646"/>
      <c r="AG190" s="2646"/>
      <c r="AH190" s="2646"/>
      <c r="AI190" s="2646"/>
      <c r="AJ190" s="2646"/>
      <c r="AK190" s="2646"/>
      <c r="AL190" s="2646"/>
      <c r="AM190" s="2646"/>
      <c r="AN190" s="2646"/>
      <c r="AO190" s="2646"/>
      <c r="AP190" s="2646"/>
      <c r="AQ190" s="2646"/>
      <c r="AR190" s="2646"/>
      <c r="AS190" s="2646"/>
      <c r="AT190" s="2646"/>
      <c r="AU190" s="2646"/>
      <c r="AV190" s="2646"/>
      <c r="AW190" s="2646"/>
      <c r="AX190" s="2646"/>
      <c r="AY190" s="2646"/>
      <c r="AZ190" s="2646"/>
      <c r="BA190" s="2646"/>
      <c r="BB190" s="2646"/>
      <c r="BC190" s="2646"/>
      <c r="BD190" s="2646"/>
      <c r="BE190" s="2646"/>
      <c r="BF190" s="2646"/>
      <c r="BG190" s="2646"/>
      <c r="BH190" s="2646"/>
    </row>
    <row r="191" spans="10:60">
      <c r="J191" s="2646"/>
      <c r="K191" s="2646"/>
      <c r="L191" s="2646"/>
      <c r="M191" s="2646"/>
      <c r="N191" s="2646"/>
      <c r="O191" s="2646"/>
      <c r="P191" s="2646"/>
      <c r="Q191" s="2646"/>
      <c r="R191" s="2646"/>
      <c r="S191" s="2646"/>
      <c r="T191" s="2646"/>
      <c r="U191" s="2646"/>
      <c r="V191" s="2646"/>
      <c r="W191" s="2646"/>
      <c r="X191" s="2646"/>
      <c r="Y191" s="2646"/>
      <c r="Z191" s="2646"/>
      <c r="AA191" s="2646"/>
      <c r="AB191" s="2646"/>
      <c r="AC191" s="2646"/>
      <c r="AD191" s="2646"/>
      <c r="AE191" s="2646"/>
      <c r="AF191" s="2646"/>
      <c r="AG191" s="2646"/>
      <c r="AH191" s="2646"/>
      <c r="AI191" s="2646"/>
      <c r="AJ191" s="2646"/>
      <c r="AK191" s="2646"/>
      <c r="AL191" s="2646"/>
      <c r="AM191" s="2646"/>
      <c r="AN191" s="2646"/>
      <c r="AO191" s="2646"/>
      <c r="AP191" s="2646"/>
      <c r="AQ191" s="2646"/>
      <c r="AR191" s="2646"/>
      <c r="AS191" s="2646"/>
      <c r="AT191" s="2646"/>
      <c r="AU191" s="2646"/>
      <c r="AV191" s="2646"/>
      <c r="AW191" s="2646"/>
      <c r="AX191" s="2646"/>
      <c r="AY191" s="2646"/>
      <c r="AZ191" s="2646"/>
      <c r="BA191" s="2646"/>
      <c r="BB191" s="2646"/>
      <c r="BC191" s="2646"/>
      <c r="BD191" s="2646"/>
      <c r="BE191" s="2646"/>
      <c r="BF191" s="2646"/>
      <c r="BG191" s="2646"/>
      <c r="BH191" s="2646"/>
    </row>
    <row r="192" spans="10:60">
      <c r="J192" s="2646"/>
      <c r="K192" s="2646"/>
      <c r="L192" s="2646"/>
      <c r="M192" s="2646"/>
      <c r="N192" s="2646"/>
      <c r="O192" s="2646"/>
      <c r="P192" s="2646"/>
      <c r="Q192" s="2646"/>
      <c r="R192" s="2646"/>
      <c r="S192" s="2646"/>
      <c r="T192" s="2646"/>
      <c r="U192" s="2646"/>
      <c r="V192" s="2646"/>
      <c r="W192" s="2646"/>
      <c r="X192" s="2646"/>
      <c r="Y192" s="2646"/>
      <c r="Z192" s="2646"/>
      <c r="AA192" s="2646"/>
      <c r="AB192" s="2646"/>
      <c r="AC192" s="2646"/>
      <c r="AD192" s="2646"/>
      <c r="AE192" s="2646"/>
      <c r="AF192" s="2646"/>
      <c r="AG192" s="2646"/>
      <c r="AH192" s="2646"/>
      <c r="AI192" s="2646"/>
      <c r="AJ192" s="2646"/>
      <c r="AK192" s="2646"/>
      <c r="AL192" s="2646"/>
      <c r="AM192" s="2646"/>
      <c r="AN192" s="2646"/>
      <c r="AO192" s="2646"/>
      <c r="AP192" s="2646"/>
      <c r="AQ192" s="2646"/>
      <c r="AR192" s="2646"/>
      <c r="AS192" s="2646"/>
      <c r="AT192" s="2646"/>
      <c r="AU192" s="2646"/>
      <c r="AV192" s="2646"/>
      <c r="AW192" s="2646"/>
      <c r="AX192" s="2646"/>
      <c r="AY192" s="2646"/>
      <c r="AZ192" s="2646"/>
      <c r="BA192" s="2646"/>
      <c r="BB192" s="2646"/>
      <c r="BC192" s="2646"/>
      <c r="BD192" s="2646"/>
      <c r="BE192" s="2646"/>
      <c r="BF192" s="2646"/>
      <c r="BG192" s="2646"/>
      <c r="BH192" s="2646"/>
    </row>
    <row r="193" spans="10:60">
      <c r="J193" s="2646"/>
      <c r="K193" s="2646"/>
      <c r="L193" s="2646"/>
      <c r="M193" s="2646"/>
      <c r="N193" s="2646"/>
      <c r="O193" s="2646"/>
      <c r="P193" s="2646"/>
      <c r="Q193" s="2646"/>
      <c r="R193" s="2646"/>
      <c r="S193" s="2646"/>
      <c r="T193" s="2646"/>
      <c r="U193" s="2646"/>
      <c r="V193" s="2646"/>
      <c r="W193" s="2646"/>
      <c r="X193" s="2646"/>
      <c r="Y193" s="2646"/>
      <c r="Z193" s="2646"/>
      <c r="AA193" s="2646"/>
      <c r="AB193" s="2646"/>
      <c r="AC193" s="2646"/>
      <c r="AD193" s="2646"/>
      <c r="AE193" s="2646"/>
      <c r="AF193" s="2646"/>
      <c r="AG193" s="2646"/>
      <c r="AH193" s="2646"/>
      <c r="AI193" s="2646"/>
      <c r="AJ193" s="2645"/>
      <c r="AK193" s="2646"/>
      <c r="AL193" s="2646"/>
      <c r="AM193" s="2646"/>
      <c r="AN193" s="2647"/>
      <c r="AO193" s="2646"/>
      <c r="AP193" s="2646"/>
      <c r="AQ193" s="2646"/>
      <c r="AR193" s="2646"/>
      <c r="AS193" s="2646"/>
      <c r="AT193" s="2646"/>
      <c r="AU193" s="2646"/>
      <c r="AV193" s="2646"/>
      <c r="AW193" s="2646"/>
      <c r="AX193" s="2646"/>
      <c r="AY193" s="2646"/>
      <c r="AZ193" s="2646"/>
      <c r="BA193" s="2646"/>
      <c r="BB193" s="2646"/>
      <c r="BC193" s="2646"/>
      <c r="BD193" s="2646"/>
      <c r="BE193" s="2646"/>
      <c r="BF193" s="2646"/>
      <c r="BG193" s="2646"/>
      <c r="BH193" s="2646"/>
    </row>
    <row r="194" spans="10:60">
      <c r="J194" s="2646"/>
      <c r="K194" s="2646"/>
      <c r="L194" s="2646"/>
      <c r="M194" s="2646"/>
      <c r="N194" s="2646"/>
      <c r="O194" s="2646"/>
      <c r="P194" s="2646"/>
      <c r="Q194" s="2646"/>
      <c r="R194" s="2646"/>
      <c r="S194" s="2646"/>
      <c r="T194" s="2646"/>
      <c r="U194" s="2646"/>
      <c r="V194" s="2646"/>
      <c r="W194" s="2646"/>
      <c r="X194" s="2646"/>
      <c r="Y194" s="2646"/>
      <c r="Z194" s="2646"/>
      <c r="AA194" s="2646"/>
      <c r="AB194" s="2646"/>
      <c r="AC194" s="2646"/>
      <c r="AD194" s="2646"/>
      <c r="AE194" s="2646"/>
      <c r="AF194" s="2646"/>
      <c r="AG194" s="2646"/>
      <c r="AH194" s="2646"/>
      <c r="AI194" s="2646"/>
      <c r="AJ194" s="2645"/>
      <c r="AK194" s="2646"/>
      <c r="AL194" s="2646"/>
      <c r="AM194" s="2646"/>
      <c r="AN194" s="2647"/>
      <c r="AO194" s="2646"/>
      <c r="AP194" s="2646"/>
      <c r="AQ194" s="2646"/>
      <c r="AR194" s="2646"/>
      <c r="AS194" s="2646"/>
      <c r="AT194" s="2646"/>
      <c r="AU194" s="2646"/>
      <c r="AV194" s="2646"/>
      <c r="AW194" s="2646"/>
      <c r="AX194" s="2646"/>
      <c r="AY194" s="2646"/>
      <c r="AZ194" s="2646"/>
      <c r="BA194" s="2646"/>
      <c r="BB194" s="2646"/>
      <c r="BC194" s="2646"/>
      <c r="BD194" s="2646"/>
      <c r="BE194" s="2646"/>
      <c r="BF194" s="2646"/>
      <c r="BG194" s="2646"/>
      <c r="BH194" s="2646"/>
    </row>
    <row r="195" spans="10:60">
      <c r="J195" s="2646"/>
      <c r="K195" s="2646"/>
      <c r="L195" s="2646"/>
      <c r="M195" s="2646"/>
      <c r="N195" s="2646"/>
      <c r="O195" s="2646"/>
      <c r="P195" s="2646"/>
      <c r="Q195" s="2646"/>
      <c r="R195" s="2646"/>
      <c r="S195" s="2646"/>
      <c r="T195" s="2646"/>
      <c r="U195" s="2646"/>
      <c r="V195" s="2646"/>
      <c r="W195" s="2646"/>
      <c r="X195" s="2646"/>
      <c r="Y195" s="2646"/>
      <c r="Z195" s="2646"/>
      <c r="AA195" s="2646"/>
      <c r="AB195" s="2646"/>
      <c r="AC195" s="2646"/>
      <c r="AD195" s="2646"/>
      <c r="AE195" s="2646"/>
      <c r="AF195" s="2646"/>
      <c r="AG195" s="2646"/>
      <c r="AH195" s="2646"/>
      <c r="AI195" s="2646"/>
      <c r="AJ195" s="2645"/>
      <c r="AK195" s="2646"/>
      <c r="AL195" s="2646"/>
      <c r="AM195" s="2646"/>
      <c r="AN195" s="2647"/>
      <c r="AO195" s="2646"/>
      <c r="AP195" s="2646"/>
      <c r="AQ195" s="2646"/>
      <c r="AR195" s="2646"/>
      <c r="AS195" s="2646"/>
      <c r="AT195" s="2646"/>
      <c r="AU195" s="2646"/>
      <c r="AV195" s="2646"/>
      <c r="AW195" s="2646"/>
      <c r="AX195" s="2646"/>
      <c r="AY195" s="2646"/>
      <c r="AZ195" s="2646"/>
      <c r="BA195" s="2646"/>
      <c r="BB195" s="2646"/>
      <c r="BC195" s="2646"/>
      <c r="BD195" s="2646"/>
      <c r="BE195" s="2646"/>
      <c r="BF195" s="2646"/>
      <c r="BG195" s="2646"/>
      <c r="BH195" s="2646"/>
    </row>
    <row r="196" spans="10:60">
      <c r="J196" s="2646"/>
      <c r="K196" s="2646"/>
      <c r="L196" s="2646"/>
      <c r="M196" s="2646"/>
      <c r="N196" s="2646"/>
      <c r="O196" s="2646"/>
      <c r="P196" s="2646"/>
      <c r="Q196" s="2646"/>
      <c r="R196" s="2646"/>
      <c r="S196" s="2646"/>
      <c r="T196" s="2646"/>
      <c r="U196" s="2646"/>
      <c r="V196" s="2646"/>
      <c r="W196" s="2646"/>
      <c r="X196" s="2646"/>
      <c r="Y196" s="2646"/>
      <c r="Z196" s="2646"/>
      <c r="AA196" s="2646"/>
      <c r="AB196" s="2646"/>
      <c r="AC196" s="2646"/>
      <c r="AD196" s="2646"/>
      <c r="AE196" s="2646"/>
      <c r="AF196" s="2646"/>
      <c r="AG196" s="2646"/>
      <c r="AH196" s="2646"/>
      <c r="AI196" s="2646"/>
      <c r="AJ196" s="2647"/>
      <c r="AK196" s="2646"/>
      <c r="AL196" s="2646"/>
      <c r="AM196" s="2646"/>
      <c r="AN196" s="2667"/>
      <c r="AO196" s="2646"/>
      <c r="AP196" s="2646"/>
      <c r="AQ196" s="2646"/>
      <c r="AR196" s="2646"/>
      <c r="AS196" s="2646"/>
      <c r="AT196" s="2646"/>
      <c r="AU196" s="2646"/>
      <c r="AV196" s="2646"/>
      <c r="AW196" s="2646"/>
      <c r="AX196" s="2646"/>
      <c r="AY196" s="2646"/>
      <c r="AZ196" s="2646"/>
      <c r="BA196" s="2646"/>
      <c r="BB196" s="2646"/>
      <c r="BC196" s="2646"/>
      <c r="BD196" s="2646"/>
      <c r="BE196" s="2646"/>
      <c r="BF196" s="2646"/>
      <c r="BG196" s="2646"/>
      <c r="BH196" s="2646"/>
    </row>
    <row r="197" spans="10:60">
      <c r="J197" s="2646"/>
      <c r="K197" s="2646"/>
      <c r="L197" s="2646"/>
      <c r="M197" s="2646"/>
      <c r="N197" s="2646"/>
      <c r="O197" s="2646"/>
      <c r="P197" s="2646"/>
      <c r="Q197" s="2646"/>
      <c r="R197" s="2646"/>
      <c r="S197" s="2646"/>
      <c r="T197" s="2646"/>
      <c r="U197" s="2646"/>
      <c r="V197" s="2646"/>
      <c r="W197" s="2646"/>
      <c r="X197" s="2646"/>
      <c r="Y197" s="2646"/>
      <c r="Z197" s="2646"/>
      <c r="AA197" s="2646"/>
      <c r="AB197" s="2646"/>
      <c r="AC197" s="2646"/>
      <c r="AD197" s="2646"/>
      <c r="AE197" s="2646"/>
      <c r="AF197" s="2646"/>
      <c r="AG197" s="2646"/>
      <c r="AH197" s="2646"/>
      <c r="AI197" s="2646"/>
      <c r="AJ197" s="2646"/>
      <c r="AK197" s="2646"/>
      <c r="AL197" s="2646"/>
      <c r="AM197" s="2646"/>
      <c r="AN197" s="2646"/>
      <c r="AO197" s="2646"/>
      <c r="AP197" s="2646"/>
      <c r="AQ197" s="2646"/>
      <c r="AR197" s="2646"/>
      <c r="AS197" s="2646"/>
      <c r="AT197" s="2646"/>
      <c r="AU197" s="2646"/>
      <c r="AV197" s="2646"/>
      <c r="AW197" s="2646"/>
      <c r="AX197" s="2646"/>
      <c r="AY197" s="2646"/>
      <c r="AZ197" s="2646"/>
      <c r="BA197" s="2646"/>
      <c r="BB197" s="2646"/>
      <c r="BC197" s="2646"/>
      <c r="BD197" s="2646"/>
      <c r="BE197" s="2646"/>
      <c r="BF197" s="2646"/>
      <c r="BG197" s="2646"/>
      <c r="BH197" s="2646"/>
    </row>
    <row r="198" spans="10:60">
      <c r="J198" s="2646"/>
      <c r="K198" s="2646"/>
      <c r="L198" s="2646"/>
      <c r="M198" s="2646"/>
      <c r="N198" s="2646"/>
      <c r="O198" s="2646"/>
      <c r="P198" s="2646"/>
      <c r="Q198" s="2646"/>
      <c r="R198" s="2646"/>
      <c r="S198" s="2646"/>
      <c r="T198" s="2646"/>
      <c r="U198" s="2646"/>
      <c r="V198" s="2646"/>
      <c r="W198" s="2646"/>
      <c r="X198" s="2646"/>
      <c r="Y198" s="2646"/>
      <c r="Z198" s="2646"/>
      <c r="AA198" s="2646"/>
      <c r="AB198" s="2646"/>
      <c r="AC198" s="2646"/>
      <c r="AD198" s="2646"/>
      <c r="AE198" s="2646"/>
      <c r="AF198" s="2646"/>
      <c r="AG198" s="2646"/>
      <c r="AH198" s="2646"/>
      <c r="AI198" s="2646"/>
      <c r="AJ198" s="2645"/>
      <c r="AK198" s="2646"/>
      <c r="AL198" s="2646"/>
      <c r="AM198" s="2646"/>
      <c r="AN198" s="2646"/>
      <c r="AO198" s="2646"/>
      <c r="AP198" s="2646"/>
      <c r="AQ198" s="2646"/>
      <c r="AR198" s="2646"/>
      <c r="AS198" s="2646"/>
      <c r="AT198" s="2646"/>
      <c r="AU198" s="2646"/>
      <c r="AV198" s="2646"/>
      <c r="AW198" s="2646"/>
      <c r="AX198" s="2646"/>
      <c r="AY198" s="2646"/>
      <c r="AZ198" s="2646"/>
      <c r="BA198" s="2646"/>
      <c r="BB198" s="2646"/>
      <c r="BC198" s="2646"/>
      <c r="BD198" s="2646"/>
      <c r="BE198" s="2646"/>
      <c r="BF198" s="2646"/>
      <c r="BG198" s="2646"/>
      <c r="BH198" s="2646"/>
    </row>
    <row r="199" spans="10:60">
      <c r="J199" s="2646"/>
      <c r="K199" s="2646"/>
      <c r="L199" s="2646"/>
      <c r="M199" s="2646"/>
      <c r="N199" s="2646"/>
      <c r="O199" s="2646"/>
      <c r="P199" s="2646"/>
      <c r="Q199" s="2646"/>
      <c r="R199" s="2646"/>
      <c r="S199" s="2646"/>
      <c r="T199" s="2646"/>
      <c r="U199" s="2646"/>
      <c r="V199" s="2646"/>
      <c r="W199" s="2646"/>
      <c r="X199" s="2646"/>
      <c r="Y199" s="2646"/>
      <c r="Z199" s="2646"/>
      <c r="AA199" s="2646"/>
      <c r="AB199" s="2646"/>
      <c r="AC199" s="2646"/>
      <c r="AD199" s="2646"/>
      <c r="AE199" s="2646"/>
      <c r="AF199" s="2646"/>
      <c r="AG199" s="2646"/>
      <c r="AH199" s="2646"/>
      <c r="AI199" s="2646"/>
      <c r="AJ199" s="2646"/>
      <c r="AK199" s="2646"/>
      <c r="AL199" s="2646"/>
      <c r="AM199" s="2646"/>
      <c r="AN199" s="2646"/>
      <c r="AO199" s="2646"/>
      <c r="AP199" s="2646"/>
      <c r="AQ199" s="2646"/>
      <c r="AR199" s="2646"/>
      <c r="AS199" s="2646"/>
      <c r="AT199" s="2646"/>
      <c r="AU199" s="2646"/>
      <c r="AV199" s="2646"/>
      <c r="AW199" s="2646"/>
      <c r="AX199" s="2646"/>
      <c r="AY199" s="2646"/>
      <c r="AZ199" s="2646"/>
      <c r="BA199" s="2646"/>
      <c r="BB199" s="2646"/>
      <c r="BC199" s="2646"/>
      <c r="BD199" s="2646"/>
      <c r="BE199" s="2646"/>
      <c r="BF199" s="2646"/>
      <c r="BG199" s="2646"/>
      <c r="BH199" s="2646"/>
    </row>
    <row r="200" spans="10:60">
      <c r="J200" s="2646"/>
      <c r="K200" s="2646"/>
      <c r="L200" s="2646"/>
      <c r="M200" s="2646"/>
      <c r="N200" s="2646"/>
      <c r="O200" s="2646"/>
      <c r="P200" s="2646"/>
      <c r="Q200" s="2646"/>
      <c r="R200" s="2646"/>
      <c r="S200" s="2646"/>
      <c r="T200" s="2646"/>
      <c r="U200" s="2646"/>
      <c r="V200" s="2646"/>
      <c r="W200" s="2646"/>
      <c r="X200" s="2646"/>
      <c r="Y200" s="2646"/>
      <c r="Z200" s="2646"/>
      <c r="AA200" s="2646"/>
      <c r="AB200" s="2646"/>
      <c r="AC200" s="2646"/>
      <c r="AD200" s="2646"/>
      <c r="AE200" s="2646"/>
      <c r="AF200" s="2646"/>
      <c r="AG200" s="2646"/>
      <c r="AH200" s="2646"/>
      <c r="AI200" s="2646"/>
      <c r="AJ200" s="2646"/>
      <c r="AK200" s="2646"/>
      <c r="AL200" s="2646"/>
      <c r="AM200" s="2668"/>
      <c r="AN200" s="2646"/>
      <c r="AO200" s="2646"/>
      <c r="AP200" s="2646"/>
      <c r="AQ200" s="2646"/>
      <c r="AR200" s="2646"/>
      <c r="AS200" s="2646"/>
      <c r="AT200" s="2646"/>
      <c r="AU200" s="2646"/>
      <c r="AV200" s="2646"/>
      <c r="AW200" s="2646"/>
      <c r="AX200" s="2646"/>
      <c r="AY200" s="2646"/>
      <c r="AZ200" s="2646"/>
      <c r="BA200" s="2646"/>
      <c r="BB200" s="2646"/>
      <c r="BC200" s="2646"/>
      <c r="BD200" s="2646"/>
      <c r="BE200" s="2646"/>
      <c r="BF200" s="2646"/>
      <c r="BG200" s="2646"/>
      <c r="BH200" s="2646"/>
    </row>
    <row r="201" spans="10:60">
      <c r="J201" s="2646"/>
      <c r="K201" s="2646"/>
      <c r="L201" s="2646"/>
      <c r="M201" s="2646"/>
      <c r="N201" s="2646"/>
      <c r="O201" s="2646"/>
      <c r="P201" s="2646"/>
      <c r="Q201" s="2646"/>
      <c r="R201" s="2646"/>
      <c r="S201" s="2646"/>
      <c r="T201" s="2646"/>
      <c r="U201" s="2646"/>
      <c r="V201" s="2646"/>
      <c r="W201" s="2646"/>
      <c r="X201" s="2646"/>
      <c r="Y201" s="2646"/>
      <c r="Z201" s="2646"/>
      <c r="AA201" s="2646"/>
      <c r="AB201" s="2646"/>
      <c r="AC201" s="2646"/>
      <c r="AD201" s="2646"/>
      <c r="AE201" s="2646"/>
      <c r="AF201" s="2646"/>
      <c r="AG201" s="2646"/>
      <c r="AH201" s="2646"/>
      <c r="AI201" s="2646"/>
      <c r="AJ201" s="2668"/>
      <c r="AK201" s="2646"/>
      <c r="AL201" s="2646"/>
      <c r="AM201" s="2668"/>
      <c r="AN201" s="2668"/>
      <c r="AO201" s="2668"/>
      <c r="AP201" s="2646"/>
      <c r="AQ201" s="2646"/>
      <c r="AR201" s="2646"/>
      <c r="AS201" s="2646"/>
      <c r="AT201" s="2646"/>
      <c r="AU201" s="2646"/>
      <c r="AV201" s="2646"/>
      <c r="AW201" s="2646"/>
      <c r="AX201" s="2646"/>
      <c r="AY201" s="2646"/>
      <c r="AZ201" s="2646"/>
      <c r="BA201" s="2646"/>
      <c r="BB201" s="2646"/>
      <c r="BC201" s="2646"/>
      <c r="BD201" s="2646"/>
      <c r="BE201" s="2646"/>
      <c r="BF201" s="2646"/>
      <c r="BG201" s="2646"/>
      <c r="BH201" s="2646"/>
    </row>
    <row r="202" spans="10:60">
      <c r="J202" s="2646"/>
      <c r="K202" s="2646"/>
      <c r="L202" s="2646"/>
      <c r="M202" s="2646"/>
      <c r="N202" s="2646"/>
      <c r="O202" s="2646"/>
      <c r="P202" s="2646"/>
      <c r="Q202" s="2646"/>
      <c r="R202" s="2646"/>
      <c r="S202" s="2646"/>
      <c r="T202" s="2646"/>
      <c r="U202" s="2646"/>
      <c r="V202" s="2646"/>
      <c r="W202" s="2646"/>
      <c r="X202" s="2646"/>
      <c r="Y202" s="2646"/>
      <c r="Z202" s="2646"/>
      <c r="AA202" s="2646"/>
      <c r="AB202" s="2646"/>
      <c r="AC202" s="2646"/>
      <c r="AD202" s="2646"/>
      <c r="AE202" s="2646"/>
      <c r="AF202" s="2646"/>
      <c r="AG202" s="2646"/>
      <c r="AH202" s="2646"/>
      <c r="AI202" s="2646"/>
      <c r="AJ202" s="2669"/>
      <c r="AK202" s="2704"/>
      <c r="AL202" s="2646"/>
      <c r="AM202" s="2669"/>
      <c r="AN202" s="2669"/>
      <c r="AO202" s="2669"/>
      <c r="AP202" s="2646"/>
      <c r="AQ202" s="2646"/>
      <c r="AR202" s="2646"/>
      <c r="AS202" s="2646"/>
      <c r="AT202" s="2646"/>
      <c r="AU202" s="2646"/>
      <c r="AV202" s="2646"/>
      <c r="AW202" s="2646"/>
      <c r="AX202" s="2646"/>
      <c r="AY202" s="2646"/>
      <c r="AZ202" s="2646"/>
      <c r="BA202" s="2646"/>
      <c r="BB202" s="2646"/>
      <c r="BC202" s="2646"/>
      <c r="BD202" s="2646"/>
      <c r="BE202" s="2646"/>
      <c r="BF202" s="2646"/>
      <c r="BG202" s="2646"/>
      <c r="BH202" s="2646"/>
    </row>
    <row r="203" spans="10:60">
      <c r="J203" s="2646"/>
      <c r="K203" s="2646"/>
      <c r="L203" s="2646"/>
      <c r="M203" s="2646"/>
      <c r="N203" s="2646"/>
      <c r="O203" s="2646"/>
      <c r="P203" s="2646"/>
      <c r="Q203" s="2646"/>
      <c r="R203" s="2646"/>
      <c r="S203" s="2646"/>
      <c r="T203" s="2646"/>
      <c r="U203" s="2646"/>
      <c r="V203" s="2646"/>
      <c r="W203" s="2646"/>
      <c r="X203" s="2646"/>
      <c r="Y203" s="2646"/>
      <c r="Z203" s="2646"/>
      <c r="AA203" s="2646"/>
      <c r="AB203" s="2646"/>
      <c r="AC203" s="2646"/>
      <c r="AD203" s="2646"/>
      <c r="AE203" s="2646"/>
      <c r="AF203" s="2646"/>
      <c r="AG203" s="2646"/>
      <c r="AH203" s="2646"/>
      <c r="AI203" s="2646"/>
      <c r="AJ203" s="2647"/>
      <c r="AK203" s="2647"/>
      <c r="AL203" s="2646"/>
      <c r="AM203" s="2647"/>
      <c r="AN203" s="2670"/>
      <c r="AO203" s="2670"/>
      <c r="AP203" s="2646"/>
      <c r="AQ203" s="2646"/>
      <c r="AR203" s="2646"/>
      <c r="AS203" s="2646"/>
      <c r="AT203" s="2646"/>
      <c r="AU203" s="2646"/>
      <c r="AV203" s="2646"/>
      <c r="AW203" s="2646"/>
      <c r="AX203" s="2646"/>
      <c r="AY203" s="2646"/>
      <c r="AZ203" s="2646"/>
      <c r="BA203" s="2646"/>
      <c r="BB203" s="2646"/>
      <c r="BC203" s="2646"/>
      <c r="BD203" s="2646"/>
      <c r="BE203" s="2646"/>
      <c r="BF203" s="2646"/>
      <c r="BG203" s="2646"/>
      <c r="BH203" s="2646"/>
    </row>
    <row r="204" spans="10:60">
      <c r="J204" s="2646"/>
      <c r="K204" s="2646"/>
      <c r="L204" s="2646"/>
      <c r="M204" s="2646"/>
      <c r="N204" s="2646"/>
      <c r="O204" s="2646"/>
      <c r="P204" s="2646"/>
      <c r="Q204" s="2646"/>
      <c r="R204" s="2646"/>
      <c r="S204" s="2646"/>
      <c r="T204" s="2646"/>
      <c r="U204" s="2646"/>
      <c r="V204" s="2646"/>
      <c r="W204" s="2646"/>
      <c r="X204" s="2646"/>
      <c r="Y204" s="2646"/>
      <c r="Z204" s="2646"/>
      <c r="AA204" s="2646"/>
      <c r="AB204" s="2646"/>
      <c r="AC204" s="2646"/>
      <c r="AD204" s="2646"/>
      <c r="AE204" s="2646"/>
      <c r="AF204" s="2646"/>
      <c r="AG204" s="2646"/>
      <c r="AH204" s="2646"/>
      <c r="AI204" s="2646"/>
      <c r="AJ204" s="2668"/>
      <c r="AK204" s="2692"/>
      <c r="AL204" s="2646"/>
      <c r="AM204" s="2646"/>
      <c r="AN204" s="2646"/>
      <c r="AO204" s="2646"/>
      <c r="AP204" s="2646"/>
      <c r="AQ204" s="2646"/>
      <c r="AR204" s="2646"/>
      <c r="AS204" s="2646"/>
      <c r="AT204" s="2646"/>
      <c r="AU204" s="2646"/>
      <c r="AV204" s="2646"/>
      <c r="AW204" s="2646"/>
      <c r="AX204" s="2646"/>
      <c r="AY204" s="2646"/>
      <c r="AZ204" s="2646"/>
      <c r="BA204" s="2646"/>
      <c r="BB204" s="2646"/>
      <c r="BC204" s="2646"/>
      <c r="BD204" s="2646"/>
      <c r="BE204" s="2646"/>
      <c r="BF204" s="2646"/>
      <c r="BG204" s="2646"/>
      <c r="BH204" s="2646"/>
    </row>
    <row r="205" spans="10:60">
      <c r="J205" s="2646"/>
      <c r="K205" s="2646"/>
      <c r="L205" s="2646"/>
      <c r="M205" s="2646"/>
      <c r="N205" s="2646"/>
      <c r="O205" s="2646"/>
      <c r="P205" s="2646"/>
      <c r="Q205" s="2646"/>
      <c r="R205" s="2646"/>
      <c r="S205" s="2646"/>
      <c r="T205" s="2646"/>
      <c r="U205" s="2646"/>
      <c r="V205" s="2646"/>
      <c r="W205" s="2646"/>
      <c r="X205" s="2646"/>
      <c r="Y205" s="2646"/>
      <c r="Z205" s="2646"/>
      <c r="AA205" s="2646"/>
      <c r="AB205" s="2646"/>
      <c r="AC205" s="2646"/>
      <c r="AD205" s="2646"/>
      <c r="AE205" s="2646"/>
      <c r="AF205" s="2646"/>
      <c r="AG205" s="2646"/>
      <c r="AH205" s="2646"/>
      <c r="AI205" s="2646"/>
      <c r="AJ205" s="2668"/>
      <c r="AK205" s="2647"/>
      <c r="AL205" s="2646"/>
      <c r="AM205" s="2672"/>
      <c r="AN205" s="2672"/>
      <c r="AO205" s="2646"/>
      <c r="AP205" s="2646"/>
      <c r="AQ205" s="2646"/>
      <c r="AR205" s="2646"/>
      <c r="AS205" s="2646"/>
      <c r="AT205" s="2646"/>
      <c r="AU205" s="2646"/>
      <c r="AV205" s="2646"/>
      <c r="AW205" s="2646"/>
      <c r="AX205" s="2646"/>
      <c r="AY205" s="2646"/>
      <c r="AZ205" s="2646"/>
      <c r="BA205" s="2646"/>
      <c r="BB205" s="2646"/>
      <c r="BC205" s="2646"/>
      <c r="BD205" s="2646"/>
      <c r="BE205" s="2646"/>
      <c r="BF205" s="2646"/>
      <c r="BG205" s="2646"/>
      <c r="BH205" s="2646"/>
    </row>
    <row r="206" spans="10:60">
      <c r="J206" s="2646"/>
      <c r="K206" s="2646"/>
      <c r="L206" s="2646"/>
      <c r="M206" s="2646"/>
      <c r="N206" s="2646"/>
      <c r="O206" s="2646"/>
      <c r="P206" s="2646"/>
      <c r="Q206" s="2646"/>
      <c r="R206" s="2646"/>
      <c r="S206" s="2646"/>
      <c r="T206" s="2646"/>
      <c r="U206" s="2646"/>
      <c r="V206" s="2646"/>
      <c r="W206" s="2646"/>
      <c r="X206" s="2646"/>
      <c r="Y206" s="2646"/>
      <c r="Z206" s="2646"/>
      <c r="AA206" s="2646"/>
      <c r="AB206" s="2646"/>
      <c r="AC206" s="2646"/>
      <c r="AD206" s="2646"/>
      <c r="AE206" s="2646"/>
      <c r="AF206" s="2646"/>
      <c r="AG206" s="2646"/>
      <c r="AH206" s="2646"/>
      <c r="AI206" s="2646"/>
      <c r="AJ206" s="2668"/>
      <c r="AK206" s="2647"/>
      <c r="AL206" s="2646"/>
      <c r="AM206" s="2646"/>
      <c r="AN206" s="2646"/>
      <c r="AO206" s="2646"/>
      <c r="AP206" s="2646"/>
      <c r="AQ206" s="2646"/>
      <c r="AR206" s="2646"/>
      <c r="AS206" s="2646"/>
      <c r="AT206" s="2646"/>
      <c r="AU206" s="2646"/>
      <c r="AV206" s="2646"/>
      <c r="AW206" s="2646"/>
      <c r="AX206" s="2646"/>
      <c r="AY206" s="2646"/>
      <c r="AZ206" s="2646"/>
      <c r="BA206" s="2646"/>
      <c r="BB206" s="2646"/>
      <c r="BC206" s="2646"/>
      <c r="BD206" s="2646"/>
      <c r="BE206" s="2646"/>
      <c r="BF206" s="2646"/>
      <c r="BG206" s="2646"/>
      <c r="BH206" s="2646"/>
    </row>
    <row r="207" spans="10:60">
      <c r="J207" s="2646"/>
      <c r="K207" s="2646"/>
      <c r="L207" s="2646"/>
      <c r="M207" s="2646"/>
      <c r="N207" s="2646"/>
      <c r="O207" s="2646"/>
      <c r="P207" s="2646"/>
      <c r="Q207" s="2646"/>
      <c r="R207" s="2646"/>
      <c r="S207" s="2646"/>
      <c r="T207" s="2646"/>
      <c r="U207" s="2646"/>
      <c r="V207" s="2646"/>
      <c r="W207" s="2646"/>
      <c r="X207" s="2646"/>
      <c r="Y207" s="2646"/>
      <c r="Z207" s="2646"/>
      <c r="AA207" s="2646"/>
      <c r="AB207" s="2646"/>
      <c r="AC207" s="2646"/>
      <c r="AD207" s="2646"/>
      <c r="AE207" s="2646"/>
      <c r="AF207" s="2646"/>
      <c r="AG207" s="2646"/>
      <c r="AH207" s="2646"/>
      <c r="AI207" s="2646"/>
      <c r="AJ207" s="2668"/>
      <c r="AK207" s="2647"/>
      <c r="AL207" s="2646"/>
      <c r="AM207" s="2702"/>
      <c r="AN207" s="2703"/>
      <c r="AO207" s="2646"/>
      <c r="AP207" s="2646"/>
      <c r="AQ207" s="2646"/>
      <c r="AR207" s="2646"/>
      <c r="AS207" s="2646"/>
      <c r="AT207" s="2646"/>
      <c r="AU207" s="2646"/>
      <c r="AV207" s="2646"/>
      <c r="AW207" s="2646"/>
      <c r="AX207" s="2646"/>
      <c r="AY207" s="2646"/>
      <c r="AZ207" s="2646"/>
      <c r="BA207" s="2646"/>
      <c r="BB207" s="2646"/>
      <c r="BC207" s="2646"/>
      <c r="BD207" s="2646"/>
      <c r="BE207" s="2646"/>
      <c r="BF207" s="2646"/>
      <c r="BG207" s="2646"/>
      <c r="BH207" s="2646"/>
    </row>
    <row r="208" spans="10:60">
      <c r="J208" s="2646"/>
      <c r="K208" s="2646"/>
      <c r="L208" s="2646"/>
      <c r="M208" s="2646"/>
      <c r="N208" s="2646"/>
      <c r="O208" s="2646"/>
      <c r="P208" s="2646"/>
      <c r="Q208" s="2646"/>
      <c r="R208" s="2646"/>
      <c r="S208" s="2646"/>
      <c r="T208" s="2646"/>
      <c r="U208" s="2646"/>
      <c r="V208" s="2646"/>
      <c r="W208" s="2646"/>
      <c r="X208" s="2646"/>
      <c r="Y208" s="2646"/>
      <c r="Z208" s="2646"/>
      <c r="AA208" s="2646"/>
      <c r="AB208" s="2646"/>
      <c r="AC208" s="2646"/>
      <c r="AD208" s="2646"/>
      <c r="AE208" s="2646"/>
      <c r="AF208" s="2646"/>
      <c r="AG208" s="2646"/>
      <c r="AH208" s="2646"/>
      <c r="AI208" s="2646"/>
      <c r="AJ208" s="2668"/>
      <c r="AK208" s="2692"/>
      <c r="AL208" s="2646"/>
      <c r="AM208" s="2646"/>
      <c r="AN208" s="2670"/>
      <c r="AO208" s="2646"/>
      <c r="AP208" s="2646"/>
      <c r="AQ208" s="2646"/>
      <c r="AR208" s="2646"/>
      <c r="AS208" s="2646"/>
      <c r="AT208" s="2646"/>
      <c r="AU208" s="2646"/>
      <c r="AV208" s="2646"/>
      <c r="AW208" s="2646"/>
      <c r="AX208" s="2646"/>
      <c r="AY208" s="2646"/>
      <c r="AZ208" s="2646"/>
      <c r="BA208" s="2646"/>
      <c r="BB208" s="2646"/>
      <c r="BC208" s="2646"/>
      <c r="BD208" s="2646"/>
      <c r="BE208" s="2646"/>
      <c r="BF208" s="2646"/>
      <c r="BG208" s="2646"/>
      <c r="BH208" s="2646"/>
    </row>
    <row r="209" spans="10:60">
      <c r="J209" s="2646"/>
      <c r="K209" s="2646"/>
      <c r="L209" s="2646"/>
      <c r="M209" s="2646"/>
      <c r="N209" s="2646"/>
      <c r="O209" s="2646"/>
      <c r="P209" s="2646"/>
      <c r="Q209" s="2646"/>
      <c r="R209" s="2646"/>
      <c r="S209" s="2646"/>
      <c r="T209" s="2646"/>
      <c r="U209" s="2646"/>
      <c r="V209" s="2646"/>
      <c r="W209" s="2646"/>
      <c r="X209" s="2646"/>
      <c r="Y209" s="2646"/>
      <c r="Z209" s="2646"/>
      <c r="AA209" s="2646"/>
      <c r="AB209" s="2646"/>
      <c r="AC209" s="2646"/>
      <c r="AD209" s="2646"/>
      <c r="AE209" s="2646"/>
      <c r="AF209" s="2646"/>
      <c r="AG209" s="2646"/>
      <c r="AH209" s="2646"/>
      <c r="AI209" s="2646"/>
      <c r="AJ209" s="2668"/>
      <c r="AK209" s="2692"/>
      <c r="AL209" s="2646"/>
      <c r="AM209" s="2646"/>
      <c r="AN209" s="2646"/>
      <c r="AO209" s="2646"/>
      <c r="AP209" s="2646"/>
      <c r="AQ209" s="2646"/>
      <c r="AR209" s="2646"/>
      <c r="AS209" s="2646"/>
      <c r="AT209" s="2646"/>
      <c r="AU209" s="2646"/>
      <c r="AV209" s="2646"/>
      <c r="AW209" s="2646"/>
      <c r="AX209" s="2646"/>
      <c r="AY209" s="2646"/>
      <c r="AZ209" s="2646"/>
      <c r="BA209" s="2646"/>
      <c r="BB209" s="2646"/>
      <c r="BC209" s="2646"/>
      <c r="BD209" s="2646"/>
      <c r="BE209" s="2646"/>
      <c r="BF209" s="2646"/>
      <c r="BG209" s="2646"/>
      <c r="BH209" s="2646"/>
    </row>
    <row r="210" spans="10:60">
      <c r="J210" s="2646"/>
      <c r="K210" s="2646"/>
      <c r="L210" s="2646"/>
      <c r="M210" s="2646"/>
      <c r="N210" s="2646"/>
      <c r="O210" s="2646"/>
      <c r="P210" s="2646"/>
      <c r="Q210" s="2646"/>
      <c r="R210" s="2646"/>
      <c r="S210" s="2646"/>
      <c r="T210" s="2646"/>
      <c r="U210" s="2646"/>
      <c r="V210" s="2646"/>
      <c r="W210" s="2646"/>
      <c r="X210" s="2646"/>
      <c r="Y210" s="2646"/>
      <c r="Z210" s="2646"/>
      <c r="AA210" s="2646"/>
      <c r="AB210" s="2646"/>
      <c r="AC210" s="2646"/>
      <c r="AD210" s="2646"/>
      <c r="AE210" s="2646"/>
      <c r="AF210" s="2646"/>
      <c r="AG210" s="2646"/>
      <c r="AH210" s="2646"/>
      <c r="AI210" s="2646"/>
      <c r="AJ210" s="2668"/>
      <c r="AK210" s="2692"/>
      <c r="AL210" s="2646"/>
      <c r="AM210" s="2646"/>
      <c r="AN210" s="2646"/>
      <c r="AO210" s="2646"/>
      <c r="AP210" s="2646"/>
      <c r="AQ210" s="2646"/>
      <c r="AR210" s="2646"/>
      <c r="AS210" s="2646"/>
      <c r="AT210" s="2646"/>
      <c r="AU210" s="2646"/>
      <c r="AV210" s="2646"/>
      <c r="AW210" s="2646"/>
      <c r="AX210" s="2646"/>
      <c r="AY210" s="2646"/>
      <c r="AZ210" s="2646"/>
      <c r="BA210" s="2646"/>
      <c r="BB210" s="2646"/>
      <c r="BC210" s="2646"/>
      <c r="BD210" s="2646"/>
      <c r="BE210" s="2646"/>
      <c r="BF210" s="2646"/>
      <c r="BG210" s="2646"/>
      <c r="BH210" s="2646"/>
    </row>
    <row r="211" spans="10:60">
      <c r="J211" s="2646"/>
      <c r="K211" s="2646"/>
      <c r="L211" s="2646"/>
      <c r="M211" s="2646"/>
      <c r="N211" s="2646"/>
      <c r="O211" s="2646"/>
      <c r="P211" s="2646"/>
      <c r="Q211" s="2646"/>
      <c r="R211" s="2646"/>
      <c r="S211" s="2646"/>
      <c r="T211" s="2646"/>
      <c r="U211" s="2646"/>
      <c r="V211" s="2646"/>
      <c r="W211" s="2646"/>
      <c r="X211" s="2646"/>
      <c r="Y211" s="2646"/>
      <c r="Z211" s="2646"/>
      <c r="AA211" s="2646"/>
      <c r="AB211" s="2646"/>
      <c r="AC211" s="2646"/>
      <c r="AD211" s="2646"/>
      <c r="AE211" s="2646"/>
      <c r="AF211" s="2646"/>
      <c r="AG211" s="2646"/>
      <c r="AH211" s="2646"/>
      <c r="AI211" s="2646"/>
      <c r="AJ211" s="2668"/>
      <c r="AK211" s="2647"/>
      <c r="AL211" s="2646"/>
      <c r="AM211" s="2646"/>
      <c r="AN211" s="2646"/>
      <c r="AO211" s="2646"/>
      <c r="AP211" s="2646"/>
      <c r="AQ211" s="2646"/>
      <c r="AR211" s="2646"/>
      <c r="AS211" s="2646"/>
      <c r="AT211" s="2646"/>
      <c r="AU211" s="2646"/>
      <c r="AV211" s="2646"/>
      <c r="AW211" s="2646"/>
      <c r="AX211" s="2646"/>
      <c r="AY211" s="2646"/>
      <c r="AZ211" s="2646"/>
      <c r="BA211" s="2646"/>
      <c r="BB211" s="2646"/>
      <c r="BC211" s="2646"/>
      <c r="BD211" s="2646"/>
      <c r="BE211" s="2646"/>
      <c r="BF211" s="2646"/>
      <c r="BG211" s="2646"/>
      <c r="BH211" s="2646"/>
    </row>
    <row r="212" spans="10:60">
      <c r="J212" s="2646"/>
      <c r="K212" s="2646"/>
      <c r="L212" s="2646"/>
      <c r="M212" s="2646"/>
      <c r="N212" s="2646"/>
      <c r="O212" s="2646"/>
      <c r="P212" s="2646"/>
      <c r="Q212" s="2646"/>
      <c r="R212" s="2646"/>
      <c r="S212" s="2646"/>
      <c r="T212" s="2646"/>
      <c r="U212" s="2646"/>
      <c r="V212" s="2646"/>
      <c r="W212" s="2646"/>
      <c r="X212" s="2646"/>
      <c r="Y212" s="2646"/>
      <c r="Z212" s="2646"/>
      <c r="AA212" s="2646"/>
      <c r="AB212" s="2646"/>
      <c r="AC212" s="2646"/>
      <c r="AD212" s="2646"/>
      <c r="AE212" s="2646"/>
      <c r="AF212" s="2646"/>
      <c r="AG212" s="2646"/>
      <c r="AH212" s="2646"/>
      <c r="AI212" s="2646"/>
      <c r="AJ212" s="2668"/>
      <c r="AK212" s="2647"/>
      <c r="AL212" s="2646"/>
      <c r="AM212" s="2702"/>
      <c r="AN212" s="2703"/>
      <c r="AO212" s="2646"/>
      <c r="AP212" s="2646"/>
      <c r="AQ212" s="2646"/>
      <c r="AR212" s="2646"/>
      <c r="AS212" s="2646"/>
      <c r="AT212" s="2646"/>
      <c r="AU212" s="2646"/>
      <c r="AV212" s="2646"/>
      <c r="AW212" s="2646"/>
      <c r="AX212" s="2646"/>
      <c r="AY212" s="2646"/>
      <c r="AZ212" s="2646"/>
      <c r="BA212" s="2646"/>
      <c r="BB212" s="2646"/>
      <c r="BC212" s="2646"/>
      <c r="BD212" s="2646"/>
      <c r="BE212" s="2646"/>
      <c r="BF212" s="2646"/>
      <c r="BG212" s="2646"/>
      <c r="BH212" s="2646"/>
    </row>
    <row r="213" spans="10:60">
      <c r="J213" s="2646"/>
      <c r="K213" s="2646"/>
      <c r="L213" s="2646"/>
      <c r="M213" s="2646"/>
      <c r="N213" s="2646"/>
      <c r="O213" s="2646"/>
      <c r="P213" s="2646"/>
      <c r="Q213" s="2646"/>
      <c r="R213" s="2646"/>
      <c r="S213" s="2646"/>
      <c r="T213" s="2646"/>
      <c r="U213" s="2646"/>
      <c r="V213" s="2646"/>
      <c r="W213" s="2646"/>
      <c r="X213" s="2646"/>
      <c r="Y213" s="2646"/>
      <c r="Z213" s="2646"/>
      <c r="AA213" s="2646"/>
      <c r="AB213" s="2646"/>
      <c r="AC213" s="2646"/>
      <c r="AD213" s="2646"/>
      <c r="AE213" s="2646"/>
      <c r="AF213" s="2646"/>
      <c r="AG213" s="2646"/>
      <c r="AH213" s="2646"/>
      <c r="AI213" s="2646"/>
      <c r="AJ213" s="2668"/>
      <c r="AK213" s="2692"/>
      <c r="AL213" s="2646"/>
      <c r="AM213" s="2646"/>
      <c r="AN213" s="2701"/>
      <c r="AO213" s="2646"/>
      <c r="AP213" s="2646"/>
      <c r="AQ213" s="2646"/>
      <c r="AR213" s="2646"/>
      <c r="AS213" s="2646"/>
      <c r="AT213" s="2646"/>
      <c r="AU213" s="2646"/>
      <c r="AV213" s="2646"/>
      <c r="AW213" s="2646"/>
      <c r="AX213" s="2646"/>
      <c r="AY213" s="2646"/>
      <c r="AZ213" s="2646"/>
      <c r="BA213" s="2646"/>
      <c r="BB213" s="2646"/>
      <c r="BC213" s="2646"/>
      <c r="BD213" s="2646"/>
      <c r="BE213" s="2646"/>
      <c r="BF213" s="2646"/>
      <c r="BG213" s="2646"/>
      <c r="BH213" s="2646"/>
    </row>
    <row r="214" spans="10:60">
      <c r="J214" s="2646"/>
      <c r="K214" s="2646"/>
      <c r="L214" s="2646"/>
      <c r="M214" s="2646"/>
      <c r="N214" s="2646"/>
      <c r="O214" s="2646"/>
      <c r="P214" s="2646"/>
      <c r="Q214" s="2646"/>
      <c r="R214" s="2646"/>
      <c r="S214" s="2646"/>
      <c r="T214" s="2646"/>
      <c r="U214" s="2646"/>
      <c r="V214" s="2646"/>
      <c r="W214" s="2646"/>
      <c r="X214" s="2646"/>
      <c r="Y214" s="2646"/>
      <c r="Z214" s="2646"/>
      <c r="AA214" s="2646"/>
      <c r="AB214" s="2646"/>
      <c r="AC214" s="2646"/>
      <c r="AD214" s="2646"/>
      <c r="AE214" s="2646"/>
      <c r="AF214" s="2646"/>
      <c r="AG214" s="2646"/>
      <c r="AH214" s="2646"/>
      <c r="AI214" s="2646"/>
      <c r="AJ214" s="2668"/>
      <c r="AK214" s="2692"/>
      <c r="AL214" s="2646"/>
      <c r="AM214" s="2646"/>
      <c r="AN214" s="2646"/>
      <c r="AO214" s="2646"/>
      <c r="AP214" s="2646"/>
      <c r="AQ214" s="2646"/>
      <c r="AR214" s="2646"/>
      <c r="AS214" s="2646"/>
      <c r="AT214" s="2646"/>
      <c r="AU214" s="2646"/>
      <c r="AV214" s="2646"/>
      <c r="AW214" s="2646"/>
      <c r="AX214" s="2646"/>
      <c r="AY214" s="2646"/>
      <c r="AZ214" s="2646"/>
      <c r="BA214" s="2646"/>
      <c r="BB214" s="2646"/>
      <c r="BC214" s="2646"/>
      <c r="BD214" s="2646"/>
      <c r="BE214" s="2646"/>
      <c r="BF214" s="2646"/>
      <c r="BG214" s="2646"/>
      <c r="BH214" s="2646"/>
    </row>
    <row r="215" spans="10:60">
      <c r="J215" s="2646"/>
      <c r="K215" s="2646"/>
      <c r="L215" s="2646"/>
      <c r="M215" s="2646"/>
      <c r="N215" s="2646"/>
      <c r="O215" s="2646"/>
      <c r="P215" s="2646"/>
      <c r="Q215" s="2646"/>
      <c r="R215" s="2646"/>
      <c r="S215" s="2646"/>
      <c r="T215" s="2646"/>
      <c r="U215" s="2646"/>
      <c r="V215" s="2646"/>
      <c r="W215" s="2646"/>
      <c r="X215" s="2646"/>
      <c r="Y215" s="2646"/>
      <c r="Z215" s="2646"/>
      <c r="AA215" s="2646"/>
      <c r="AB215" s="2646"/>
      <c r="AC215" s="2646"/>
      <c r="AD215" s="2646"/>
      <c r="AE215" s="2646"/>
      <c r="AF215" s="2646"/>
      <c r="AG215" s="2646"/>
      <c r="AH215" s="2646"/>
      <c r="AI215" s="2646"/>
      <c r="AJ215" s="2668"/>
      <c r="AK215" s="2692"/>
      <c r="AL215" s="2646"/>
      <c r="AM215" s="2646"/>
      <c r="AN215" s="2646"/>
      <c r="AO215" s="2646"/>
      <c r="AP215" s="2646"/>
      <c r="AQ215" s="2646"/>
      <c r="AR215" s="2646"/>
      <c r="AS215" s="2646"/>
      <c r="AT215" s="2646"/>
      <c r="AU215" s="2646"/>
      <c r="AV215" s="2646"/>
      <c r="AW215" s="2646"/>
      <c r="AX215" s="2646"/>
      <c r="AY215" s="2646"/>
      <c r="AZ215" s="2646"/>
      <c r="BA215" s="2646"/>
      <c r="BB215" s="2646"/>
      <c r="BC215" s="2646"/>
      <c r="BD215" s="2646"/>
      <c r="BE215" s="2646"/>
      <c r="BF215" s="2646"/>
      <c r="BG215" s="2646"/>
      <c r="BH215" s="2646"/>
    </row>
    <row r="216" spans="10:60">
      <c r="J216" s="2646"/>
      <c r="K216" s="2646"/>
      <c r="L216" s="2646"/>
      <c r="M216" s="2646"/>
      <c r="N216" s="2646"/>
      <c r="O216" s="2646"/>
      <c r="P216" s="2646"/>
      <c r="Q216" s="2646"/>
      <c r="R216" s="2646"/>
      <c r="S216" s="2646"/>
      <c r="T216" s="2646"/>
      <c r="U216" s="2646"/>
      <c r="V216" s="2646"/>
      <c r="W216" s="2646"/>
      <c r="X216" s="2646"/>
      <c r="Y216" s="2646"/>
      <c r="Z216" s="2646"/>
      <c r="AA216" s="2646"/>
      <c r="AB216" s="2646"/>
      <c r="AC216" s="2646"/>
      <c r="AD216" s="2646"/>
      <c r="AE216" s="2646"/>
      <c r="AF216" s="2646"/>
      <c r="AG216" s="2646"/>
      <c r="AH216" s="2646"/>
      <c r="AI216" s="2646"/>
      <c r="AJ216" s="2668"/>
      <c r="AK216" s="2647"/>
      <c r="AL216" s="2646"/>
      <c r="AM216" s="2646"/>
      <c r="AN216" s="2668"/>
      <c r="AO216" s="2681"/>
      <c r="AP216" s="2646"/>
      <c r="AQ216" s="2646"/>
      <c r="AR216" s="2646"/>
      <c r="AS216" s="2646"/>
      <c r="AT216" s="2646"/>
      <c r="AU216" s="2646"/>
      <c r="AV216" s="2646"/>
      <c r="AW216" s="2646"/>
      <c r="AX216" s="2646"/>
      <c r="AY216" s="2646"/>
      <c r="AZ216" s="2646"/>
      <c r="BA216" s="2646"/>
      <c r="BB216" s="2646"/>
      <c r="BC216" s="2646"/>
      <c r="BD216" s="2646"/>
      <c r="BE216" s="2646"/>
      <c r="BF216" s="2646"/>
      <c r="BG216" s="2646"/>
      <c r="BH216" s="2646"/>
    </row>
    <row r="217" spans="10:60">
      <c r="J217" s="2646"/>
      <c r="K217" s="2646"/>
      <c r="L217" s="2646"/>
      <c r="M217" s="2646"/>
      <c r="N217" s="2646"/>
      <c r="O217" s="2646"/>
      <c r="P217" s="2646"/>
      <c r="Q217" s="2646"/>
      <c r="R217" s="2646"/>
      <c r="S217" s="2646"/>
      <c r="T217" s="2646"/>
      <c r="U217" s="2646"/>
      <c r="V217" s="2646"/>
      <c r="W217" s="2646"/>
      <c r="X217" s="2646"/>
      <c r="Y217" s="2646"/>
      <c r="Z217" s="2646"/>
      <c r="AA217" s="2646"/>
      <c r="AB217" s="2646"/>
      <c r="AC217" s="2646"/>
      <c r="AD217" s="2646"/>
      <c r="AE217" s="2646"/>
      <c r="AF217" s="2646"/>
      <c r="AG217" s="2646"/>
      <c r="AH217" s="2646"/>
      <c r="AI217" s="2646"/>
      <c r="AJ217" s="2645"/>
      <c r="AK217" s="2692"/>
      <c r="AL217" s="2646"/>
      <c r="AM217" s="2646"/>
      <c r="AN217" s="2646"/>
      <c r="AO217" s="2701"/>
      <c r="AP217" s="2646"/>
      <c r="AQ217" s="2646"/>
      <c r="AR217" s="2646"/>
      <c r="AS217" s="2646"/>
      <c r="AT217" s="2646"/>
      <c r="AU217" s="2646"/>
      <c r="AV217" s="2646"/>
      <c r="AW217" s="2646"/>
      <c r="AX217" s="2646"/>
      <c r="AY217" s="2646"/>
      <c r="AZ217" s="2646"/>
      <c r="BA217" s="2646"/>
      <c r="BB217" s="2646"/>
      <c r="BC217" s="2646"/>
      <c r="BD217" s="2646"/>
      <c r="BE217" s="2646"/>
      <c r="BF217" s="2646"/>
      <c r="BG217" s="2646"/>
      <c r="BH217" s="2646"/>
    </row>
    <row r="218" spans="10:60">
      <c r="J218" s="2646"/>
      <c r="K218" s="2646"/>
      <c r="L218" s="2646"/>
      <c r="M218" s="2646"/>
      <c r="N218" s="2646"/>
      <c r="O218" s="2646"/>
      <c r="P218" s="2646"/>
      <c r="Q218" s="2646"/>
      <c r="R218" s="2646"/>
      <c r="S218" s="2646"/>
      <c r="T218" s="2646"/>
      <c r="U218" s="2646"/>
      <c r="V218" s="2646"/>
      <c r="W218" s="2646"/>
      <c r="X218" s="2646"/>
      <c r="Y218" s="2646"/>
      <c r="Z218" s="2646"/>
      <c r="AA218" s="2646"/>
      <c r="AB218" s="2646"/>
      <c r="AC218" s="2646"/>
      <c r="AD218" s="2646"/>
      <c r="AE218" s="2646"/>
      <c r="AF218" s="2646"/>
      <c r="AG218" s="2646"/>
      <c r="AH218" s="2646"/>
      <c r="AI218" s="2646"/>
      <c r="AJ218" s="2647"/>
      <c r="AK218" s="2692"/>
      <c r="AL218" s="2646"/>
      <c r="AM218" s="2646"/>
      <c r="AN218" s="2646"/>
      <c r="AO218" s="2646"/>
      <c r="AP218" s="2646"/>
      <c r="AQ218" s="2646"/>
      <c r="AR218" s="2646"/>
      <c r="AS218" s="2646"/>
      <c r="AT218" s="2646"/>
      <c r="AU218" s="2646"/>
      <c r="AV218" s="2646"/>
      <c r="AW218" s="2646"/>
      <c r="AX218" s="2646"/>
      <c r="AY218" s="2646"/>
      <c r="AZ218" s="2646"/>
      <c r="BA218" s="2646"/>
      <c r="BB218" s="2646"/>
      <c r="BC218" s="2646"/>
      <c r="BD218" s="2646"/>
      <c r="BE218" s="2646"/>
      <c r="BF218" s="2646"/>
      <c r="BG218" s="2646"/>
      <c r="BH218" s="2646"/>
    </row>
    <row r="219" spans="10:60">
      <c r="J219" s="2646"/>
      <c r="K219" s="2646"/>
      <c r="L219" s="2646"/>
      <c r="M219" s="2646"/>
      <c r="N219" s="2646"/>
      <c r="O219" s="2646"/>
      <c r="P219" s="2646"/>
      <c r="Q219" s="2646"/>
      <c r="R219" s="2646"/>
      <c r="S219" s="2646"/>
      <c r="T219" s="2646"/>
      <c r="U219" s="2646"/>
      <c r="V219" s="2646"/>
      <c r="W219" s="2646"/>
      <c r="X219" s="2646"/>
      <c r="Y219" s="2646"/>
      <c r="Z219" s="2646"/>
      <c r="AA219" s="2646"/>
      <c r="AB219" s="2646"/>
      <c r="AC219" s="2646"/>
      <c r="AD219" s="2646"/>
      <c r="AE219" s="2646"/>
      <c r="AF219" s="2646"/>
      <c r="AG219" s="2646"/>
      <c r="AH219" s="2646"/>
      <c r="AI219" s="2646"/>
      <c r="AJ219" s="2646"/>
      <c r="AK219" s="2646"/>
      <c r="AL219" s="2646"/>
      <c r="AM219" s="2646"/>
      <c r="AN219" s="2646"/>
      <c r="AO219" s="2646"/>
      <c r="AP219" s="2646"/>
      <c r="AQ219" s="2646"/>
      <c r="AR219" s="2646"/>
      <c r="AS219" s="2646"/>
      <c r="AT219" s="2646"/>
      <c r="AU219" s="2646"/>
      <c r="AV219" s="2646"/>
      <c r="AW219" s="2646"/>
      <c r="AX219" s="2646"/>
      <c r="AY219" s="2646"/>
      <c r="AZ219" s="2646"/>
      <c r="BA219" s="2646"/>
      <c r="BB219" s="2646"/>
      <c r="BC219" s="2646"/>
      <c r="BD219" s="2646"/>
      <c r="BE219" s="2646"/>
      <c r="BF219" s="2646"/>
      <c r="BG219" s="2646"/>
      <c r="BH219" s="2646"/>
    </row>
    <row r="220" spans="10:60">
      <c r="J220" s="2646"/>
      <c r="K220" s="2646"/>
      <c r="L220" s="2646"/>
      <c r="M220" s="2646"/>
      <c r="N220" s="2646"/>
      <c r="O220" s="2646"/>
      <c r="P220" s="2646"/>
      <c r="Q220" s="2646"/>
      <c r="R220" s="2646"/>
      <c r="S220" s="2646"/>
      <c r="T220" s="2646"/>
      <c r="U220" s="2646"/>
      <c r="V220" s="2646"/>
      <c r="W220" s="2646"/>
      <c r="X220" s="2646"/>
      <c r="Y220" s="2646"/>
      <c r="Z220" s="2646"/>
      <c r="AA220" s="2646"/>
      <c r="AB220" s="2646"/>
      <c r="AC220" s="2646"/>
      <c r="AD220" s="2646"/>
      <c r="AE220" s="2646"/>
      <c r="AF220" s="2646"/>
      <c r="AG220" s="2646"/>
      <c r="AH220" s="2646"/>
      <c r="AI220" s="2646"/>
      <c r="AJ220" s="2646"/>
      <c r="AK220" s="2646"/>
      <c r="AL220" s="2646"/>
      <c r="AM220" s="2646"/>
      <c r="AN220" s="2646"/>
      <c r="AO220" s="2646"/>
      <c r="AP220" s="2646"/>
      <c r="AQ220" s="2646"/>
      <c r="AR220" s="2646"/>
      <c r="AS220" s="2646"/>
      <c r="AT220" s="2646"/>
      <c r="AU220" s="2646"/>
      <c r="AV220" s="2646"/>
      <c r="AW220" s="2646"/>
      <c r="AX220" s="2646"/>
      <c r="AY220" s="2646"/>
      <c r="AZ220" s="2646"/>
      <c r="BA220" s="2646"/>
      <c r="BB220" s="2646"/>
      <c r="BC220" s="2646"/>
      <c r="BD220" s="2646"/>
      <c r="BE220" s="2646"/>
      <c r="BF220" s="2646"/>
      <c r="BG220" s="2646"/>
      <c r="BH220" s="2646"/>
    </row>
    <row r="221" spans="10:60">
      <c r="J221" s="2646"/>
      <c r="K221" s="2646"/>
      <c r="L221" s="2646"/>
      <c r="M221" s="2646"/>
      <c r="N221" s="2646"/>
      <c r="O221" s="2646"/>
      <c r="P221" s="2646"/>
      <c r="Q221" s="2646"/>
      <c r="R221" s="2646"/>
      <c r="S221" s="2646"/>
      <c r="T221" s="2646"/>
      <c r="U221" s="2646"/>
      <c r="V221" s="2646"/>
      <c r="W221" s="2646"/>
      <c r="X221" s="2646"/>
      <c r="Y221" s="2646"/>
      <c r="Z221" s="2646"/>
      <c r="AA221" s="2646"/>
      <c r="AB221" s="2646"/>
      <c r="AC221" s="2646"/>
      <c r="AD221" s="2646"/>
      <c r="AE221" s="2646"/>
      <c r="AF221" s="2646"/>
      <c r="AG221" s="2646"/>
      <c r="AH221" s="2646"/>
      <c r="AI221" s="2646"/>
      <c r="AJ221" s="2646"/>
      <c r="AK221" s="2646"/>
      <c r="AL221" s="2646"/>
      <c r="AM221" s="2646"/>
      <c r="AN221" s="2646"/>
      <c r="AO221" s="2646"/>
      <c r="AP221" s="2646"/>
      <c r="AQ221" s="2646"/>
      <c r="AR221" s="2646"/>
      <c r="AS221" s="2646"/>
      <c r="AT221" s="2646"/>
      <c r="AU221" s="2646"/>
      <c r="AV221" s="2646"/>
      <c r="AW221" s="2646"/>
      <c r="AX221" s="2646"/>
      <c r="AY221" s="2646"/>
      <c r="AZ221" s="2646"/>
      <c r="BA221" s="2646"/>
      <c r="BB221" s="2646"/>
      <c r="BC221" s="2646"/>
      <c r="BD221" s="2646"/>
      <c r="BE221" s="2646"/>
      <c r="BF221" s="2646"/>
      <c r="BG221" s="2646"/>
      <c r="BH221" s="2646"/>
    </row>
    <row r="222" spans="10:60">
      <c r="J222" s="2646"/>
      <c r="K222" s="2646"/>
      <c r="L222" s="2646"/>
      <c r="M222" s="2646"/>
      <c r="N222" s="2646"/>
      <c r="O222" s="2646"/>
      <c r="P222" s="2646"/>
      <c r="Q222" s="2646"/>
      <c r="R222" s="2646"/>
      <c r="S222" s="2646"/>
      <c r="T222" s="2646"/>
      <c r="U222" s="2646"/>
      <c r="V222" s="2646"/>
      <c r="W222" s="2646"/>
      <c r="X222" s="2646"/>
      <c r="Y222" s="2646"/>
      <c r="Z222" s="2646"/>
      <c r="AA222" s="2646"/>
      <c r="AB222" s="2646"/>
      <c r="AC222" s="2646"/>
      <c r="AD222" s="2646"/>
      <c r="AE222" s="2646"/>
      <c r="AF222" s="2646"/>
      <c r="AG222" s="2646"/>
      <c r="AH222" s="2646"/>
      <c r="AI222" s="2646"/>
      <c r="AJ222" s="2646"/>
      <c r="AK222" s="2646"/>
      <c r="AL222" s="2646"/>
      <c r="AM222" s="2646"/>
      <c r="AN222" s="2646"/>
      <c r="AO222" s="2646"/>
      <c r="AP222" s="2646"/>
      <c r="AQ222" s="2646"/>
      <c r="AR222" s="2646"/>
      <c r="AS222" s="2646"/>
      <c r="AT222" s="2646"/>
      <c r="AU222" s="2646"/>
      <c r="AV222" s="2646"/>
      <c r="AW222" s="2646"/>
      <c r="AX222" s="2646"/>
      <c r="AY222" s="2646"/>
      <c r="AZ222" s="2646"/>
      <c r="BA222" s="2646"/>
      <c r="BB222" s="2646"/>
      <c r="BC222" s="2646"/>
      <c r="BD222" s="2646"/>
      <c r="BE222" s="2646"/>
      <c r="BF222" s="2646"/>
      <c r="BG222" s="2646"/>
      <c r="BH222" s="2646"/>
    </row>
    <row r="223" spans="10:60">
      <c r="J223" s="2646"/>
      <c r="K223" s="2646"/>
      <c r="L223" s="2646"/>
      <c r="M223" s="2646"/>
      <c r="N223" s="2646"/>
      <c r="O223" s="2646"/>
      <c r="P223" s="2646"/>
      <c r="Q223" s="2646"/>
      <c r="R223" s="2646"/>
      <c r="S223" s="2646"/>
      <c r="T223" s="2646"/>
      <c r="U223" s="2646"/>
      <c r="V223" s="2646"/>
      <c r="W223" s="2646"/>
      <c r="X223" s="2646"/>
      <c r="Y223" s="2646"/>
      <c r="Z223" s="2646"/>
      <c r="AA223" s="2646"/>
      <c r="AB223" s="2646"/>
      <c r="AC223" s="2646"/>
      <c r="AD223" s="2646"/>
      <c r="AE223" s="2646"/>
      <c r="AF223" s="2646"/>
      <c r="AG223" s="2646"/>
      <c r="AH223" s="2646"/>
      <c r="AI223" s="2646"/>
      <c r="AJ223" s="2646"/>
      <c r="AK223" s="2646"/>
      <c r="AL223" s="2646"/>
      <c r="AM223" s="2646"/>
      <c r="AN223" s="2646"/>
      <c r="AO223" s="2646"/>
      <c r="AP223" s="2646"/>
      <c r="AQ223" s="2646"/>
      <c r="AR223" s="2646"/>
      <c r="AS223" s="2646"/>
      <c r="AT223" s="2646"/>
      <c r="AU223" s="2646"/>
      <c r="AV223" s="2646"/>
      <c r="AW223" s="2646"/>
      <c r="AX223" s="2646"/>
      <c r="AY223" s="2646"/>
      <c r="AZ223" s="2646"/>
      <c r="BA223" s="2646"/>
      <c r="BB223" s="2646"/>
      <c r="BC223" s="2646"/>
      <c r="BD223" s="2646"/>
      <c r="BE223" s="2646"/>
      <c r="BF223" s="2646"/>
      <c r="BG223" s="2646"/>
      <c r="BH223" s="2646"/>
    </row>
    <row r="224" spans="10:60">
      <c r="J224" s="2646"/>
      <c r="K224" s="2646"/>
      <c r="L224" s="2646"/>
      <c r="M224" s="2646"/>
      <c r="N224" s="2646"/>
      <c r="O224" s="2646"/>
      <c r="P224" s="2646"/>
      <c r="Q224" s="2646"/>
      <c r="R224" s="2646"/>
      <c r="S224" s="2646"/>
      <c r="T224" s="2646"/>
      <c r="U224" s="2646"/>
      <c r="V224" s="2646"/>
      <c r="W224" s="2646"/>
      <c r="X224" s="2646"/>
      <c r="Y224" s="2646"/>
      <c r="Z224" s="2646"/>
      <c r="AA224" s="2646"/>
      <c r="AB224" s="2646"/>
      <c r="AC224" s="2646"/>
      <c r="AD224" s="2646"/>
      <c r="AE224" s="2646"/>
      <c r="AF224" s="2646"/>
      <c r="AG224" s="2646"/>
      <c r="AH224" s="2646"/>
      <c r="AI224" s="2646"/>
      <c r="AJ224" s="2646"/>
      <c r="AK224" s="2646"/>
      <c r="AL224" s="2646"/>
      <c r="AM224" s="2646"/>
      <c r="AN224" s="2646"/>
      <c r="AO224" s="2646"/>
      <c r="AP224" s="2646"/>
      <c r="AQ224" s="2646"/>
      <c r="AR224" s="2646"/>
      <c r="AS224" s="2646"/>
      <c r="AT224" s="2646"/>
      <c r="AU224" s="2646"/>
      <c r="AV224" s="2646"/>
      <c r="AW224" s="2646"/>
      <c r="AX224" s="2646"/>
      <c r="AY224" s="2646"/>
      <c r="AZ224" s="2646"/>
      <c r="BA224" s="2646"/>
      <c r="BB224" s="2646"/>
      <c r="BC224" s="2646"/>
      <c r="BD224" s="2646"/>
      <c r="BE224" s="2646"/>
      <c r="BF224" s="2646"/>
      <c r="BG224" s="2646"/>
      <c r="BH224" s="2646"/>
    </row>
    <row r="225" spans="10:60">
      <c r="J225" s="2646"/>
      <c r="K225" s="2646"/>
      <c r="L225" s="2646"/>
      <c r="M225" s="2646"/>
      <c r="N225" s="2646"/>
      <c r="O225" s="2646"/>
      <c r="P225" s="2646"/>
      <c r="Q225" s="2646"/>
      <c r="R225" s="2646"/>
      <c r="S225" s="2646"/>
      <c r="T225" s="2646"/>
      <c r="U225" s="2646"/>
      <c r="V225" s="2646"/>
      <c r="W225" s="2646"/>
      <c r="X225" s="2646"/>
      <c r="Y225" s="2646"/>
      <c r="Z225" s="2646"/>
      <c r="AA225" s="2646"/>
      <c r="AB225" s="2646"/>
      <c r="AC225" s="2646"/>
      <c r="AD225" s="2646"/>
      <c r="AE225" s="2646"/>
      <c r="AF225" s="2646"/>
      <c r="AG225" s="2646"/>
      <c r="AH225" s="2646"/>
      <c r="AI225" s="2646"/>
      <c r="AJ225" s="2646"/>
      <c r="AK225" s="2646"/>
      <c r="AL225" s="2646"/>
      <c r="AM225" s="2646"/>
      <c r="AN225" s="2646"/>
      <c r="AO225" s="2646"/>
      <c r="AP225" s="2646"/>
      <c r="AQ225" s="2646"/>
      <c r="AR225" s="2646"/>
      <c r="AS225" s="2646"/>
      <c r="AT225" s="2646"/>
      <c r="AU225" s="2646"/>
      <c r="AV225" s="2646"/>
      <c r="AW225" s="2646"/>
      <c r="AX225" s="2646"/>
      <c r="AY225" s="2646"/>
      <c r="AZ225" s="2646"/>
      <c r="BA225" s="2646"/>
      <c r="BB225" s="2646"/>
      <c r="BC225" s="2646"/>
      <c r="BD225" s="2646"/>
      <c r="BE225" s="2646"/>
      <c r="BF225" s="2646"/>
      <c r="BG225" s="2646"/>
      <c r="BH225" s="2646"/>
    </row>
    <row r="226" spans="10:60">
      <c r="J226" s="2646"/>
      <c r="K226" s="2646"/>
      <c r="L226" s="2646"/>
      <c r="M226" s="2646"/>
      <c r="N226" s="2646"/>
      <c r="O226" s="2646"/>
      <c r="P226" s="2646"/>
      <c r="Q226" s="2646"/>
      <c r="R226" s="2646"/>
      <c r="S226" s="2646"/>
      <c r="T226" s="2646"/>
      <c r="U226" s="2646"/>
      <c r="V226" s="2646"/>
      <c r="W226" s="2646"/>
      <c r="X226" s="2646"/>
      <c r="Y226" s="2646"/>
      <c r="Z226" s="2646"/>
      <c r="AA226" s="2646"/>
      <c r="AB226" s="2646"/>
      <c r="AC226" s="2646"/>
      <c r="AD226" s="2646"/>
      <c r="AE226" s="2646"/>
      <c r="AF226" s="2646"/>
      <c r="AG226" s="2646"/>
      <c r="AH226" s="2646"/>
      <c r="AI226" s="2646"/>
      <c r="AJ226" s="2646"/>
      <c r="AK226" s="2646"/>
      <c r="AL226" s="2646"/>
      <c r="AM226" s="2646"/>
      <c r="AN226" s="2646"/>
      <c r="AO226" s="2646"/>
      <c r="AP226" s="2646"/>
      <c r="AQ226" s="2646"/>
      <c r="AR226" s="2646"/>
      <c r="AS226" s="2646"/>
      <c r="AT226" s="2646"/>
      <c r="AU226" s="2646"/>
      <c r="AV226" s="2646"/>
      <c r="AW226" s="2646"/>
      <c r="AX226" s="2646"/>
      <c r="AY226" s="2646"/>
      <c r="AZ226" s="2646"/>
      <c r="BA226" s="2646"/>
      <c r="BB226" s="2646"/>
      <c r="BC226" s="2646"/>
      <c r="BD226" s="2646"/>
      <c r="BE226" s="2646"/>
      <c r="BF226" s="2646"/>
      <c r="BG226" s="2646"/>
      <c r="BH226" s="2646"/>
    </row>
    <row r="227" spans="10:60">
      <c r="J227" s="2646"/>
      <c r="K227" s="2646"/>
      <c r="L227" s="2646"/>
      <c r="M227" s="2646"/>
      <c r="N227" s="2646"/>
      <c r="O227" s="2646"/>
      <c r="P227" s="2646"/>
      <c r="Q227" s="2646"/>
      <c r="R227" s="2646"/>
      <c r="S227" s="2646"/>
      <c r="T227" s="2646"/>
      <c r="U227" s="2646"/>
      <c r="V227" s="2646"/>
      <c r="W227" s="2646"/>
      <c r="X227" s="2646"/>
      <c r="Y227" s="2646"/>
      <c r="Z227" s="2646"/>
      <c r="AA227" s="2646"/>
      <c r="AB227" s="2646"/>
      <c r="AC227" s="2646"/>
      <c r="AD227" s="2646"/>
      <c r="AE227" s="2646"/>
      <c r="AF227" s="2646"/>
      <c r="AG227" s="2646"/>
      <c r="AH227" s="2646"/>
      <c r="AI227" s="2646"/>
      <c r="AJ227" s="2646"/>
      <c r="AK227" s="2646"/>
      <c r="AL227" s="2646"/>
      <c r="AM227" s="2646"/>
      <c r="AN227" s="2646"/>
      <c r="AO227" s="2646"/>
      <c r="AP227" s="2646"/>
      <c r="AQ227" s="2646"/>
      <c r="AR227" s="2646"/>
      <c r="AS227" s="2646"/>
      <c r="AT227" s="2646"/>
      <c r="AU227" s="2646"/>
      <c r="AV227" s="2646"/>
      <c r="AW227" s="2646"/>
      <c r="AX227" s="2646"/>
      <c r="AY227" s="2646"/>
      <c r="AZ227" s="2646"/>
      <c r="BA227" s="2646"/>
      <c r="BB227" s="2646"/>
      <c r="BC227" s="2646"/>
      <c r="BD227" s="2646"/>
      <c r="BE227" s="2646"/>
      <c r="BF227" s="2646"/>
      <c r="BG227" s="2646"/>
      <c r="BH227" s="2646"/>
    </row>
    <row r="228" spans="10:60">
      <c r="J228" s="2646"/>
      <c r="K228" s="2646"/>
      <c r="L228" s="2646"/>
      <c r="M228" s="2646"/>
      <c r="N228" s="2646"/>
      <c r="O228" s="2646"/>
      <c r="P228" s="2646"/>
      <c r="Q228" s="2646"/>
      <c r="R228" s="2646"/>
      <c r="S228" s="2646"/>
      <c r="T228" s="2646"/>
      <c r="U228" s="2646"/>
      <c r="V228" s="2646"/>
      <c r="W228" s="2646"/>
      <c r="X228" s="2646"/>
      <c r="Y228" s="2646"/>
      <c r="Z228" s="2646"/>
      <c r="AA228" s="2646"/>
      <c r="AB228" s="2646"/>
      <c r="AC228" s="2646"/>
      <c r="AD228" s="2646"/>
      <c r="AE228" s="2646"/>
      <c r="AF228" s="2646"/>
      <c r="AG228" s="2646"/>
      <c r="AH228" s="2646"/>
      <c r="AI228" s="2646"/>
      <c r="AJ228" s="2646"/>
      <c r="AK228" s="2646"/>
      <c r="AL228" s="2646"/>
      <c r="AM228" s="2646"/>
      <c r="AN228" s="2646"/>
      <c r="AO228" s="2646"/>
      <c r="AP228" s="2646"/>
      <c r="AQ228" s="2646"/>
      <c r="AR228" s="2646"/>
      <c r="AS228" s="2646"/>
      <c r="AT228" s="2646"/>
      <c r="AU228" s="2646"/>
      <c r="AV228" s="2646"/>
      <c r="AW228" s="2646"/>
      <c r="AX228" s="2646"/>
      <c r="AY228" s="2646"/>
      <c r="AZ228" s="2646"/>
      <c r="BA228" s="2646"/>
      <c r="BB228" s="2646"/>
      <c r="BC228" s="2646"/>
      <c r="BD228" s="2646"/>
      <c r="BE228" s="2646"/>
      <c r="BF228" s="2646"/>
      <c r="BG228" s="2646"/>
      <c r="BH228" s="2646"/>
    </row>
    <row r="229" spans="10:60">
      <c r="J229" s="2646"/>
      <c r="K229" s="2646"/>
      <c r="L229" s="2646"/>
      <c r="M229" s="2646"/>
      <c r="N229" s="2646"/>
      <c r="O229" s="2646"/>
      <c r="P229" s="2646"/>
      <c r="Q229" s="2646"/>
      <c r="R229" s="2646"/>
      <c r="S229" s="2646"/>
      <c r="T229" s="2646"/>
      <c r="U229" s="2646"/>
      <c r="V229" s="2646"/>
      <c r="W229" s="2646"/>
      <c r="X229" s="2646"/>
      <c r="Y229" s="2646"/>
      <c r="Z229" s="2646"/>
      <c r="AA229" s="2646"/>
      <c r="AB229" s="2646"/>
      <c r="AC229" s="2646"/>
      <c r="AD229" s="2646"/>
      <c r="AE229" s="2646"/>
      <c r="AF229" s="2646"/>
      <c r="AG229" s="2646"/>
      <c r="AH229" s="2646"/>
      <c r="AI229" s="2646"/>
      <c r="AJ229" s="2646"/>
      <c r="AK229" s="2646"/>
      <c r="AL229" s="2646"/>
      <c r="AM229" s="2646"/>
      <c r="AN229" s="2646"/>
      <c r="AO229" s="2646"/>
      <c r="AP229" s="2646"/>
      <c r="AQ229" s="2646"/>
      <c r="AR229" s="2646"/>
      <c r="AS229" s="2646"/>
      <c r="AT229" s="2646"/>
      <c r="AU229" s="2646"/>
      <c r="AV229" s="2646"/>
      <c r="AW229" s="2646"/>
      <c r="AX229" s="2646"/>
      <c r="AY229" s="2646"/>
      <c r="AZ229" s="2646"/>
      <c r="BA229" s="2646"/>
      <c r="BB229" s="2646"/>
      <c r="BC229" s="2646"/>
      <c r="BD229" s="2646"/>
      <c r="BE229" s="2646"/>
      <c r="BF229" s="2646"/>
      <c r="BG229" s="2646"/>
      <c r="BH229" s="2646"/>
    </row>
    <row r="230" spans="10:60">
      <c r="J230" s="2646"/>
      <c r="K230" s="2646"/>
      <c r="L230" s="2646"/>
      <c r="M230" s="2646"/>
      <c r="N230" s="2646"/>
      <c r="O230" s="2646"/>
      <c r="P230" s="2646"/>
      <c r="Q230" s="2646"/>
      <c r="R230" s="2646"/>
      <c r="S230" s="2646"/>
      <c r="T230" s="2646"/>
      <c r="U230" s="2646"/>
      <c r="V230" s="2646"/>
      <c r="W230" s="2646"/>
      <c r="X230" s="2646"/>
      <c r="Y230" s="2646"/>
      <c r="Z230" s="2646"/>
      <c r="AA230" s="2646"/>
      <c r="AB230" s="2646"/>
      <c r="AC230" s="2646"/>
      <c r="AD230" s="2646"/>
      <c r="AE230" s="2646"/>
      <c r="AF230" s="2646"/>
      <c r="AG230" s="2646"/>
      <c r="AH230" s="2646"/>
      <c r="AI230" s="2646"/>
      <c r="AJ230" s="2646"/>
      <c r="AK230" s="2646"/>
      <c r="AL230" s="2646"/>
      <c r="AM230" s="2646"/>
      <c r="AN230" s="2646"/>
      <c r="AO230" s="2646"/>
      <c r="AP230" s="2646"/>
      <c r="AQ230" s="2646"/>
      <c r="AR230" s="2646"/>
      <c r="AS230" s="2646"/>
      <c r="AT230" s="2646"/>
      <c r="AU230" s="2646"/>
      <c r="AV230" s="2646"/>
      <c r="AW230" s="2646"/>
      <c r="AX230" s="2646"/>
      <c r="AY230" s="2646"/>
      <c r="AZ230" s="2646"/>
      <c r="BA230" s="2646"/>
      <c r="BB230" s="2646"/>
      <c r="BC230" s="2646"/>
      <c r="BD230" s="2646"/>
      <c r="BE230" s="2646"/>
      <c r="BF230" s="2646"/>
      <c r="BG230" s="2646"/>
      <c r="BH230" s="2646"/>
    </row>
    <row r="231" spans="10:60">
      <c r="J231" s="2646"/>
      <c r="K231" s="2646"/>
      <c r="L231" s="2646"/>
      <c r="M231" s="2646"/>
      <c r="N231" s="2646"/>
      <c r="O231" s="2646"/>
      <c r="P231" s="2646"/>
      <c r="Q231" s="2646"/>
      <c r="R231" s="2646"/>
      <c r="S231" s="2646"/>
      <c r="T231" s="2646"/>
      <c r="U231" s="2646"/>
      <c r="V231" s="2646"/>
      <c r="W231" s="2646"/>
      <c r="X231" s="2646"/>
      <c r="Y231" s="2646"/>
      <c r="Z231" s="2646"/>
      <c r="AA231" s="2646"/>
      <c r="AB231" s="2646"/>
      <c r="AC231" s="2646"/>
      <c r="AD231" s="2646"/>
      <c r="AE231" s="2646"/>
      <c r="AF231" s="2646"/>
      <c r="AG231" s="2646"/>
      <c r="AH231" s="2646"/>
      <c r="AI231" s="2646"/>
      <c r="AJ231" s="2646"/>
      <c r="AK231" s="2646"/>
      <c r="AL231" s="2646"/>
      <c r="AM231" s="2646"/>
      <c r="AN231" s="2646"/>
      <c r="AO231" s="2646"/>
      <c r="AP231" s="2646"/>
      <c r="AQ231" s="2646"/>
      <c r="AR231" s="2646"/>
      <c r="AS231" s="2646"/>
      <c r="AT231" s="2646"/>
      <c r="AU231" s="2646"/>
      <c r="AV231" s="2646"/>
      <c r="AW231" s="2646"/>
      <c r="AX231" s="2646"/>
      <c r="AY231" s="2646"/>
      <c r="AZ231" s="2646"/>
      <c r="BA231" s="2646"/>
      <c r="BB231" s="2646"/>
      <c r="BC231" s="2646"/>
      <c r="BD231" s="2646"/>
      <c r="BE231" s="2646"/>
      <c r="BF231" s="2646"/>
      <c r="BG231" s="2646"/>
      <c r="BH231" s="2646"/>
    </row>
    <row r="232" spans="10:60">
      <c r="J232" s="2646"/>
      <c r="K232" s="2646"/>
      <c r="L232" s="2646"/>
      <c r="M232" s="2646"/>
      <c r="N232" s="2646"/>
      <c r="O232" s="2646"/>
      <c r="P232" s="2646"/>
      <c r="Q232" s="2646"/>
      <c r="R232" s="2646"/>
      <c r="S232" s="2646"/>
      <c r="T232" s="2646"/>
      <c r="U232" s="2646"/>
      <c r="V232" s="2646"/>
      <c r="W232" s="2646"/>
      <c r="X232" s="2646"/>
      <c r="Y232" s="2646"/>
      <c r="Z232" s="2646"/>
      <c r="AA232" s="2646"/>
      <c r="AB232" s="2646"/>
      <c r="AC232" s="2646"/>
      <c r="AD232" s="2646"/>
      <c r="AE232" s="2646"/>
      <c r="AF232" s="2646"/>
      <c r="AG232" s="2646"/>
      <c r="AH232" s="2646"/>
      <c r="AI232" s="2646"/>
      <c r="AJ232" s="2646"/>
      <c r="AK232" s="2646"/>
      <c r="AL232" s="2646"/>
      <c r="AM232" s="2646"/>
      <c r="AN232" s="2646"/>
      <c r="AO232" s="2646"/>
      <c r="AP232" s="2646"/>
      <c r="AQ232" s="2646"/>
      <c r="AR232" s="2646"/>
      <c r="AS232" s="2646"/>
      <c r="AT232" s="2646"/>
      <c r="AU232" s="2646"/>
      <c r="AV232" s="2646"/>
      <c r="AW232" s="2646"/>
      <c r="AX232" s="2646"/>
      <c r="AY232" s="2646"/>
      <c r="AZ232" s="2646"/>
      <c r="BA232" s="2646"/>
      <c r="BB232" s="2646"/>
      <c r="BC232" s="2646"/>
      <c r="BD232" s="2646"/>
      <c r="BE232" s="2646"/>
      <c r="BF232" s="2646"/>
      <c r="BG232" s="2646"/>
      <c r="BH232" s="2646"/>
    </row>
    <row r="233" spans="10:60">
      <c r="J233" s="2646"/>
      <c r="K233" s="2646"/>
      <c r="L233" s="2646"/>
      <c r="M233" s="2646"/>
      <c r="N233" s="2646"/>
      <c r="O233" s="2646"/>
      <c r="P233" s="2646"/>
      <c r="Q233" s="2646"/>
      <c r="R233" s="2646"/>
      <c r="S233" s="2646"/>
      <c r="T233" s="2646"/>
      <c r="U233" s="2646"/>
      <c r="V233" s="2646"/>
      <c r="W233" s="2646"/>
      <c r="X233" s="2646"/>
      <c r="Y233" s="2646"/>
      <c r="Z233" s="2646"/>
      <c r="AA233" s="2646"/>
      <c r="AB233" s="2646"/>
      <c r="AC233" s="2646"/>
      <c r="AD233" s="2646"/>
      <c r="AE233" s="2646"/>
      <c r="AF233" s="2646"/>
      <c r="AG233" s="2646"/>
      <c r="AH233" s="2646"/>
      <c r="AI233" s="2646"/>
      <c r="AJ233" s="2646"/>
      <c r="AK233" s="2646"/>
      <c r="AL233" s="2646"/>
      <c r="AM233" s="2646"/>
      <c r="AN233" s="2646"/>
      <c r="AO233" s="2646"/>
      <c r="AP233" s="2646"/>
      <c r="AQ233" s="2646"/>
      <c r="AR233" s="2646"/>
      <c r="AS233" s="2646"/>
      <c r="AT233" s="2646"/>
      <c r="AU233" s="2646"/>
      <c r="AV233" s="2646"/>
      <c r="AW233" s="2646"/>
      <c r="AX233" s="2646"/>
      <c r="AY233" s="2646"/>
      <c r="AZ233" s="2646"/>
      <c r="BA233" s="2646"/>
      <c r="BB233" s="2646"/>
      <c r="BC233" s="2646"/>
      <c r="BD233" s="2646"/>
      <c r="BE233" s="2646"/>
      <c r="BF233" s="2646"/>
      <c r="BG233" s="2646"/>
      <c r="BH233" s="2646"/>
    </row>
    <row r="234" spans="10:60">
      <c r="J234" s="2646"/>
      <c r="K234" s="2646"/>
      <c r="L234" s="2646"/>
      <c r="M234" s="2646"/>
      <c r="N234" s="2646"/>
      <c r="O234" s="2646"/>
      <c r="P234" s="2646"/>
      <c r="Q234" s="2646"/>
      <c r="R234" s="2646"/>
      <c r="S234" s="2646"/>
      <c r="T234" s="2646"/>
      <c r="U234" s="2646"/>
      <c r="V234" s="2646"/>
      <c r="W234" s="2646"/>
      <c r="X234" s="2646"/>
      <c r="Y234" s="2646"/>
      <c r="Z234" s="2646"/>
      <c r="AA234" s="2646"/>
      <c r="AB234" s="2646"/>
      <c r="AC234" s="2646"/>
      <c r="AD234" s="2646"/>
      <c r="AE234" s="2646"/>
      <c r="AF234" s="2646"/>
      <c r="AG234" s="2646"/>
      <c r="AH234" s="2646"/>
      <c r="AI234" s="2646"/>
      <c r="AJ234" s="2646"/>
      <c r="AK234" s="2646"/>
      <c r="AL234" s="2646"/>
      <c r="AM234" s="2646"/>
      <c r="AN234" s="2646"/>
      <c r="AO234" s="2646"/>
      <c r="AP234" s="2646"/>
      <c r="AQ234" s="2646"/>
      <c r="AR234" s="2646"/>
      <c r="AS234" s="2646"/>
      <c r="AT234" s="2646"/>
      <c r="AU234" s="2646"/>
      <c r="AV234" s="2646"/>
      <c r="AW234" s="2646"/>
      <c r="AX234" s="2646"/>
      <c r="AY234" s="2646"/>
      <c r="AZ234" s="2646"/>
      <c r="BA234" s="2646"/>
      <c r="BB234" s="2646"/>
      <c r="BC234" s="2646"/>
      <c r="BD234" s="2646"/>
      <c r="BE234" s="2646"/>
      <c r="BF234" s="2646"/>
      <c r="BG234" s="2646"/>
      <c r="BH234" s="2646"/>
    </row>
    <row r="235" spans="10:60">
      <c r="J235" s="2646"/>
      <c r="K235" s="2646"/>
      <c r="L235" s="2646"/>
      <c r="M235" s="2646"/>
      <c r="N235" s="2646"/>
      <c r="O235" s="2646"/>
      <c r="P235" s="2646"/>
      <c r="Q235" s="2646"/>
      <c r="R235" s="2646"/>
      <c r="S235" s="2646"/>
      <c r="T235" s="2646"/>
      <c r="U235" s="2646"/>
      <c r="V235" s="2646"/>
      <c r="W235" s="2646"/>
      <c r="X235" s="2646"/>
      <c r="Y235" s="2646"/>
      <c r="Z235" s="2646"/>
      <c r="AA235" s="2646"/>
      <c r="AB235" s="2646"/>
      <c r="AC235" s="2646"/>
      <c r="AD235" s="2646"/>
      <c r="AE235" s="2646"/>
      <c r="AF235" s="2646"/>
      <c r="AG235" s="2646"/>
      <c r="AH235" s="2646"/>
      <c r="AI235" s="2646"/>
      <c r="AJ235" s="2646"/>
      <c r="AK235" s="2646"/>
      <c r="AL235" s="2646"/>
      <c r="AM235" s="2646"/>
      <c r="AN235" s="2646"/>
      <c r="AO235" s="2646"/>
      <c r="AP235" s="2646"/>
      <c r="AQ235" s="2646"/>
      <c r="AR235" s="2646"/>
      <c r="AS235" s="2646"/>
      <c r="AT235" s="2646"/>
      <c r="AU235" s="2646"/>
      <c r="AV235" s="2646"/>
      <c r="AW235" s="2646"/>
      <c r="AX235" s="2646"/>
      <c r="AY235" s="2646"/>
      <c r="AZ235" s="2646"/>
      <c r="BA235" s="2646"/>
      <c r="BB235" s="2646"/>
      <c r="BC235" s="2646"/>
      <c r="BD235" s="2646"/>
      <c r="BE235" s="2646"/>
      <c r="BF235" s="2646"/>
      <c r="BG235" s="2646"/>
      <c r="BH235" s="2646"/>
    </row>
    <row r="236" spans="10:60">
      <c r="J236" s="2646"/>
      <c r="K236" s="2646"/>
      <c r="L236" s="2646"/>
      <c r="M236" s="2646"/>
      <c r="N236" s="2646"/>
      <c r="O236" s="2646"/>
      <c r="P236" s="2646"/>
      <c r="Q236" s="2646"/>
      <c r="R236" s="2646"/>
      <c r="S236" s="2646"/>
      <c r="T236" s="2646"/>
      <c r="U236" s="2646"/>
      <c r="V236" s="2646"/>
      <c r="W236" s="2646"/>
      <c r="X236" s="2646"/>
      <c r="Y236" s="2646"/>
      <c r="Z236" s="2646"/>
      <c r="AA236" s="2646"/>
      <c r="AB236" s="2646"/>
      <c r="AC236" s="2646"/>
      <c r="AD236" s="2646"/>
      <c r="AE236" s="2646"/>
      <c r="AF236" s="2646"/>
      <c r="AG236" s="2646"/>
      <c r="AH236" s="2646"/>
      <c r="AI236" s="2646"/>
      <c r="AJ236" s="2646"/>
      <c r="AK236" s="2646"/>
      <c r="AL236" s="2646"/>
      <c r="AM236" s="2646"/>
      <c r="AN236" s="2646"/>
      <c r="AO236" s="2646"/>
      <c r="AP236" s="2646"/>
      <c r="AQ236" s="2646"/>
      <c r="AR236" s="2646"/>
      <c r="AS236" s="2646"/>
      <c r="AT236" s="2646"/>
      <c r="AU236" s="2646"/>
      <c r="AV236" s="2646"/>
      <c r="AW236" s="2646"/>
      <c r="AX236" s="2646"/>
      <c r="AY236" s="2646"/>
      <c r="AZ236" s="2646"/>
      <c r="BA236" s="2646"/>
      <c r="BB236" s="2646"/>
      <c r="BC236" s="2646"/>
      <c r="BD236" s="2646"/>
      <c r="BE236" s="2646"/>
      <c r="BF236" s="2646"/>
      <c r="BG236" s="2646"/>
      <c r="BH236" s="2646"/>
    </row>
    <row r="237" spans="10:60">
      <c r="J237" s="2646"/>
      <c r="K237" s="2646"/>
      <c r="L237" s="2646"/>
      <c r="M237" s="2646"/>
      <c r="N237" s="2646"/>
      <c r="O237" s="2646"/>
      <c r="P237" s="2646"/>
      <c r="Q237" s="2646"/>
      <c r="R237" s="2646"/>
      <c r="S237" s="2646"/>
      <c r="T237" s="2646"/>
      <c r="U237" s="2646"/>
      <c r="V237" s="2646"/>
      <c r="W237" s="2646"/>
      <c r="X237" s="2646"/>
      <c r="Y237" s="2646"/>
      <c r="Z237" s="2646"/>
      <c r="AA237" s="2646"/>
      <c r="AB237" s="2646"/>
      <c r="AC237" s="2646"/>
      <c r="AD237" s="2646"/>
      <c r="AE237" s="2646"/>
      <c r="AF237" s="2646"/>
      <c r="AG237" s="2646"/>
      <c r="AH237" s="2646"/>
      <c r="AI237" s="2646"/>
      <c r="AJ237" s="2646"/>
      <c r="AK237" s="2646"/>
      <c r="AL237" s="2646"/>
      <c r="AM237" s="2646"/>
      <c r="AN237" s="2646"/>
      <c r="AO237" s="2646"/>
      <c r="AP237" s="2646"/>
      <c r="AQ237" s="2646"/>
      <c r="AR237" s="2646"/>
      <c r="AS237" s="2646"/>
      <c r="AT237" s="2646"/>
      <c r="AU237" s="2646"/>
      <c r="AV237" s="2646"/>
      <c r="AW237" s="2646"/>
      <c r="AX237" s="2646"/>
      <c r="AY237" s="2646"/>
      <c r="AZ237" s="2646"/>
      <c r="BA237" s="2646"/>
      <c r="BB237" s="2646"/>
      <c r="BC237" s="2646"/>
      <c r="BD237" s="2646"/>
      <c r="BE237" s="2646"/>
      <c r="BF237" s="2646"/>
      <c r="BG237" s="2646"/>
      <c r="BH237" s="2646"/>
    </row>
    <row r="238" spans="10:60">
      <c r="J238" s="2646"/>
      <c r="K238" s="2646"/>
      <c r="L238" s="2646"/>
      <c r="M238" s="2646"/>
      <c r="N238" s="2646"/>
      <c r="O238" s="2646"/>
      <c r="P238" s="2646"/>
      <c r="Q238" s="2646"/>
      <c r="R238" s="2646"/>
      <c r="S238" s="2646"/>
      <c r="T238" s="2646"/>
      <c r="U238" s="2646"/>
      <c r="V238" s="2646"/>
      <c r="W238" s="2646"/>
      <c r="X238" s="2646"/>
      <c r="Y238" s="2646"/>
      <c r="Z238" s="2646"/>
      <c r="AA238" s="2646"/>
      <c r="AB238" s="2646"/>
      <c r="AC238" s="2646"/>
      <c r="AD238" s="2646"/>
      <c r="AE238" s="2646"/>
      <c r="AF238" s="2646"/>
      <c r="AG238" s="2646"/>
      <c r="AH238" s="2646"/>
      <c r="AI238" s="2646"/>
      <c r="AJ238" s="2646"/>
      <c r="AK238" s="2646"/>
      <c r="AL238" s="2646"/>
      <c r="AM238" s="2646"/>
      <c r="AN238" s="2646"/>
      <c r="AO238" s="2646"/>
      <c r="AP238" s="2646"/>
      <c r="AQ238" s="2646"/>
      <c r="AR238" s="2646"/>
      <c r="AS238" s="2646"/>
      <c r="AT238" s="2646"/>
      <c r="AU238" s="2646"/>
      <c r="AV238" s="2646"/>
      <c r="AW238" s="2646"/>
      <c r="AX238" s="2646"/>
      <c r="AY238" s="2646"/>
      <c r="AZ238" s="2646"/>
      <c r="BA238" s="2646"/>
      <c r="BB238" s="2646"/>
      <c r="BC238" s="2646"/>
      <c r="BD238" s="2646"/>
      <c r="BE238" s="2646"/>
      <c r="BF238" s="2646"/>
      <c r="BG238" s="2646"/>
      <c r="BH238" s="2646"/>
    </row>
    <row r="239" spans="10:60">
      <c r="J239" s="2646"/>
      <c r="K239" s="2646"/>
      <c r="L239" s="2646"/>
      <c r="M239" s="2646"/>
      <c r="N239" s="2646"/>
      <c r="O239" s="2646"/>
      <c r="P239" s="2646"/>
      <c r="Q239" s="2646"/>
      <c r="R239" s="2646"/>
      <c r="S239" s="2646"/>
      <c r="T239" s="2646"/>
      <c r="U239" s="2646"/>
      <c r="V239" s="2646"/>
      <c r="W239" s="2646"/>
      <c r="X239" s="2646"/>
      <c r="Y239" s="2646"/>
      <c r="Z239" s="2646"/>
      <c r="AA239" s="2646"/>
      <c r="AB239" s="2646"/>
      <c r="AC239" s="2646"/>
      <c r="AD239" s="2646"/>
      <c r="AE239" s="2646"/>
      <c r="AF239" s="2646"/>
      <c r="AG239" s="2646"/>
      <c r="AH239" s="2646"/>
      <c r="AI239" s="2646"/>
      <c r="AJ239" s="2646"/>
      <c r="AK239" s="2646"/>
      <c r="AL239" s="2646"/>
      <c r="AM239" s="2646"/>
      <c r="AN239" s="2646"/>
      <c r="AO239" s="2646"/>
      <c r="AP239" s="2646"/>
      <c r="AQ239" s="2646"/>
      <c r="AR239" s="2646"/>
      <c r="AS239" s="2646"/>
      <c r="AT239" s="2646"/>
      <c r="AU239" s="2646"/>
      <c r="AV239" s="2646"/>
      <c r="AW239" s="2646"/>
      <c r="AX239" s="2646"/>
      <c r="AY239" s="2646"/>
      <c r="AZ239" s="2646"/>
      <c r="BA239" s="2646"/>
      <c r="BB239" s="2646"/>
      <c r="BC239" s="2646"/>
      <c r="BD239" s="2646"/>
      <c r="BE239" s="2646"/>
      <c r="BF239" s="2646"/>
      <c r="BG239" s="2646"/>
      <c r="BH239" s="2646"/>
    </row>
    <row r="240" spans="10:60">
      <c r="J240" s="2646"/>
      <c r="K240" s="2646"/>
      <c r="L240" s="2646"/>
      <c r="M240" s="2646"/>
      <c r="N240" s="2646"/>
      <c r="O240" s="2646"/>
      <c r="P240" s="2646"/>
      <c r="Q240" s="2646"/>
      <c r="R240" s="2646"/>
      <c r="S240" s="2646"/>
      <c r="T240" s="2646"/>
      <c r="U240" s="2646"/>
      <c r="V240" s="2646"/>
      <c r="W240" s="2646"/>
      <c r="X240" s="2646"/>
      <c r="Y240" s="2646"/>
      <c r="Z240" s="2646"/>
      <c r="AA240" s="2646"/>
      <c r="AB240" s="2646"/>
      <c r="AC240" s="2646"/>
      <c r="AD240" s="2646"/>
      <c r="AE240" s="2646"/>
      <c r="AF240" s="2646"/>
      <c r="AG240" s="2646"/>
      <c r="AH240" s="2646"/>
      <c r="AI240" s="2646"/>
      <c r="AJ240" s="2646"/>
      <c r="AK240" s="2646"/>
      <c r="AL240" s="2646"/>
      <c r="AM240" s="2646"/>
      <c r="AN240" s="2646"/>
      <c r="AO240" s="2646"/>
      <c r="AP240" s="2646"/>
      <c r="AQ240" s="2646"/>
      <c r="AR240" s="2646"/>
      <c r="AS240" s="2646"/>
      <c r="AT240" s="2646"/>
      <c r="AU240" s="2646"/>
      <c r="AV240" s="2646"/>
      <c r="AW240" s="2646"/>
      <c r="AX240" s="2646"/>
      <c r="AY240" s="2646"/>
      <c r="AZ240" s="2646"/>
      <c r="BA240" s="2646"/>
      <c r="BB240" s="2646"/>
      <c r="BC240" s="2646"/>
      <c r="BD240" s="2646"/>
      <c r="BE240" s="2646"/>
      <c r="BF240" s="2646"/>
      <c r="BG240" s="2646"/>
      <c r="BH240" s="2646"/>
    </row>
    <row r="241" spans="10:60">
      <c r="J241" s="2646"/>
      <c r="K241" s="2646"/>
      <c r="L241" s="2646"/>
      <c r="M241" s="2646"/>
      <c r="N241" s="2646"/>
      <c r="O241" s="2646"/>
      <c r="P241" s="2646"/>
      <c r="Q241" s="2646"/>
      <c r="R241" s="2646"/>
      <c r="S241" s="2646"/>
      <c r="T241" s="2646"/>
      <c r="U241" s="2646"/>
      <c r="V241" s="2646"/>
      <c r="W241" s="2646"/>
      <c r="X241" s="2646"/>
      <c r="Y241" s="2646"/>
      <c r="Z241" s="2646"/>
      <c r="AA241" s="2646"/>
      <c r="AB241" s="2646"/>
      <c r="AC241" s="2646"/>
      <c r="AD241" s="2646"/>
      <c r="AE241" s="2646"/>
      <c r="AF241" s="2646"/>
      <c r="AG241" s="2646"/>
      <c r="AH241" s="2646"/>
      <c r="AI241" s="2646"/>
      <c r="AJ241" s="2646"/>
      <c r="AK241" s="2646"/>
      <c r="AL241" s="2646"/>
      <c r="AM241" s="2646"/>
      <c r="AN241" s="2646"/>
      <c r="AO241" s="2646"/>
      <c r="AP241" s="2646"/>
      <c r="AQ241" s="2646"/>
      <c r="AR241" s="2646"/>
      <c r="AS241" s="2646"/>
      <c r="AT241" s="2646"/>
      <c r="AU241" s="2646"/>
      <c r="AV241" s="2646"/>
      <c r="AW241" s="2646"/>
      <c r="AX241" s="2646"/>
      <c r="AY241" s="2646"/>
      <c r="AZ241" s="2646"/>
      <c r="BA241" s="2646"/>
      <c r="BB241" s="2646"/>
      <c r="BC241" s="2646"/>
      <c r="BD241" s="2646"/>
      <c r="BE241" s="2646"/>
      <c r="BF241" s="2646"/>
      <c r="BG241" s="2646"/>
      <c r="BH241" s="2646"/>
    </row>
    <row r="242" spans="10:60">
      <c r="J242" s="2646"/>
      <c r="K242" s="2646"/>
      <c r="L242" s="2646"/>
      <c r="M242" s="2646"/>
      <c r="N242" s="2646"/>
      <c r="O242" s="2646"/>
      <c r="P242" s="2646"/>
      <c r="Q242" s="2646"/>
      <c r="R242" s="2646"/>
      <c r="S242" s="2646"/>
      <c r="T242" s="2646"/>
      <c r="U242" s="2646"/>
      <c r="V242" s="2646"/>
      <c r="W242" s="2646"/>
      <c r="X242" s="2646"/>
      <c r="Y242" s="2646"/>
      <c r="Z242" s="2646"/>
      <c r="AA242" s="2646"/>
      <c r="AB242" s="2646"/>
      <c r="AC242" s="2646"/>
      <c r="AD242" s="2646"/>
      <c r="AE242" s="2646"/>
      <c r="AF242" s="2646"/>
      <c r="AG242" s="2646"/>
      <c r="AH242" s="2646"/>
      <c r="AI242" s="2646"/>
      <c r="AJ242" s="2646"/>
      <c r="AK242" s="2646"/>
      <c r="AL242" s="2646"/>
      <c r="AM242" s="2646"/>
      <c r="AN242" s="2646"/>
      <c r="AO242" s="2646"/>
      <c r="AP242" s="2646"/>
      <c r="AQ242" s="2646"/>
      <c r="AR242" s="2646"/>
      <c r="AS242" s="2646"/>
      <c r="AT242" s="2646"/>
      <c r="AU242" s="2646"/>
      <c r="AV242" s="2646"/>
      <c r="AW242" s="2646"/>
      <c r="AX242" s="2646"/>
      <c r="AY242" s="2646"/>
      <c r="AZ242" s="2646"/>
      <c r="BA242" s="2646"/>
      <c r="BB242" s="2646"/>
      <c r="BC242" s="2646"/>
      <c r="BD242" s="2646"/>
      <c r="BE242" s="2646"/>
      <c r="BF242" s="2646"/>
      <c r="BG242" s="2646"/>
      <c r="BH242" s="2646"/>
    </row>
    <row r="243" spans="10:60">
      <c r="J243" s="2646"/>
      <c r="K243" s="2646"/>
      <c r="L243" s="2646"/>
      <c r="M243" s="2646"/>
      <c r="N243" s="2646"/>
      <c r="O243" s="2646"/>
      <c r="P243" s="2646"/>
      <c r="Q243" s="2646"/>
      <c r="R243" s="2646"/>
      <c r="S243" s="2646"/>
      <c r="T243" s="2646"/>
      <c r="U243" s="2646"/>
      <c r="V243" s="2646"/>
      <c r="W243" s="2646"/>
      <c r="X243" s="2646"/>
      <c r="Y243" s="2646"/>
      <c r="Z243" s="2646"/>
      <c r="AA243" s="2646"/>
      <c r="AB243" s="2646"/>
      <c r="AC243" s="2646"/>
      <c r="AD243" s="2646"/>
      <c r="AE243" s="2646"/>
      <c r="AF243" s="2646"/>
      <c r="AG243" s="2646"/>
      <c r="AH243" s="2646"/>
      <c r="AI243" s="2646"/>
      <c r="AJ243" s="2646"/>
      <c r="AK243" s="2646"/>
      <c r="AL243" s="2646"/>
      <c r="AM243" s="2646"/>
      <c r="AN243" s="2646"/>
      <c r="AO243" s="2646"/>
      <c r="AP243" s="2646"/>
      <c r="AQ243" s="2646"/>
      <c r="AR243" s="2646"/>
      <c r="AS243" s="2646"/>
      <c r="AT243" s="2646"/>
      <c r="AU243" s="2646"/>
      <c r="AV243" s="2646"/>
      <c r="AW243" s="2646"/>
      <c r="AX243" s="2646"/>
      <c r="AY243" s="2646"/>
      <c r="AZ243" s="2646"/>
      <c r="BA243" s="2646"/>
      <c r="BB243" s="2646"/>
      <c r="BC243" s="2646"/>
      <c r="BD243" s="2646"/>
      <c r="BE243" s="2646"/>
      <c r="BF243" s="2646"/>
      <c r="BG243" s="2646"/>
      <c r="BH243" s="2646"/>
    </row>
    <row r="244" spans="10:60">
      <c r="J244" s="2646"/>
      <c r="K244" s="2646"/>
      <c r="L244" s="2646"/>
      <c r="M244" s="2646"/>
      <c r="N244" s="2646"/>
      <c r="O244" s="2646"/>
      <c r="P244" s="2646"/>
      <c r="Q244" s="2646"/>
      <c r="R244" s="2646"/>
      <c r="S244" s="2646"/>
      <c r="T244" s="2646"/>
      <c r="U244" s="2646"/>
      <c r="V244" s="2646"/>
      <c r="W244" s="2646"/>
      <c r="X244" s="2646"/>
      <c r="Y244" s="2646"/>
      <c r="Z244" s="2646"/>
      <c r="AA244" s="2646"/>
      <c r="AB244" s="2646"/>
      <c r="AC244" s="2646"/>
      <c r="AD244" s="2646"/>
      <c r="AE244" s="2646"/>
      <c r="AF244" s="2646"/>
      <c r="AG244" s="2646"/>
      <c r="AH244" s="2646"/>
      <c r="AI244" s="2646"/>
      <c r="AJ244" s="2646"/>
      <c r="AK244" s="2646"/>
      <c r="AL244" s="2646"/>
      <c r="AM244" s="2646"/>
      <c r="AN244" s="2646"/>
      <c r="AO244" s="2646"/>
      <c r="AP244" s="2646"/>
      <c r="AQ244" s="2646"/>
      <c r="AR244" s="2646"/>
      <c r="AS244" s="2646"/>
      <c r="AT244" s="2646"/>
      <c r="AU244" s="2646"/>
      <c r="AV244" s="2646"/>
      <c r="AW244" s="2646"/>
      <c r="AX244" s="2646"/>
      <c r="AY244" s="2646"/>
      <c r="AZ244" s="2646"/>
      <c r="BA244" s="2646"/>
      <c r="BB244" s="2646"/>
      <c r="BC244" s="2646"/>
      <c r="BD244" s="2646"/>
      <c r="BE244" s="2646"/>
      <c r="BF244" s="2646"/>
      <c r="BG244" s="2646"/>
      <c r="BH244" s="2646"/>
    </row>
    <row r="245" spans="10:60">
      <c r="J245" s="2646"/>
      <c r="K245" s="2646"/>
      <c r="L245" s="2646"/>
      <c r="M245" s="2646"/>
      <c r="N245" s="2646"/>
      <c r="O245" s="2646"/>
      <c r="P245" s="2646"/>
      <c r="Q245" s="2646"/>
      <c r="R245" s="2646"/>
      <c r="S245" s="2646"/>
      <c r="T245" s="2646"/>
      <c r="U245" s="2646"/>
      <c r="V245" s="2646"/>
      <c r="W245" s="2646"/>
      <c r="X245" s="2646"/>
      <c r="Y245" s="2646"/>
      <c r="Z245" s="2646"/>
      <c r="AA245" s="2646"/>
      <c r="AB245" s="2646"/>
      <c r="AC245" s="2646"/>
      <c r="AD245" s="2646"/>
      <c r="AE245" s="2646"/>
      <c r="AF245" s="2646"/>
      <c r="AG245" s="2646"/>
      <c r="AH245" s="2646"/>
      <c r="AI245" s="2646"/>
      <c r="AJ245" s="2646"/>
      <c r="AK245" s="2646"/>
      <c r="AL245" s="2646"/>
      <c r="AM245" s="2646"/>
      <c r="AN245" s="2646"/>
      <c r="AO245" s="2646"/>
      <c r="AP245" s="2646"/>
      <c r="AQ245" s="2646"/>
      <c r="AR245" s="2646"/>
      <c r="AS245" s="2646"/>
      <c r="AT245" s="2646"/>
      <c r="AU245" s="2646"/>
      <c r="AV245" s="2646"/>
      <c r="AW245" s="2646"/>
      <c r="AX245" s="2646"/>
      <c r="AY245" s="2646"/>
      <c r="AZ245" s="2646"/>
      <c r="BA245" s="2646"/>
      <c r="BB245" s="2646"/>
      <c r="BC245" s="2646"/>
      <c r="BD245" s="2646"/>
      <c r="BE245" s="2646"/>
      <c r="BF245" s="2646"/>
      <c r="BG245" s="2646"/>
      <c r="BH245" s="2646"/>
    </row>
    <row r="246" spans="10:60">
      <c r="J246" s="2646"/>
      <c r="K246" s="2646"/>
      <c r="L246" s="2646"/>
      <c r="M246" s="2646"/>
      <c r="N246" s="2646"/>
      <c r="O246" s="2646"/>
      <c r="P246" s="2646"/>
      <c r="Q246" s="2646"/>
      <c r="R246" s="2646"/>
      <c r="S246" s="2646"/>
      <c r="T246" s="2646"/>
      <c r="U246" s="2646"/>
      <c r="V246" s="2646"/>
      <c r="W246" s="2646"/>
      <c r="X246" s="2646"/>
      <c r="Y246" s="2646"/>
      <c r="Z246" s="2646"/>
      <c r="AA246" s="2646"/>
      <c r="AB246" s="2646"/>
      <c r="AC246" s="2646"/>
      <c r="AD246" s="2646"/>
      <c r="AE246" s="2646"/>
      <c r="AF246" s="2646"/>
      <c r="AG246" s="2646"/>
      <c r="AH246" s="2646"/>
      <c r="AI246" s="2646"/>
      <c r="AJ246" s="2646"/>
      <c r="AK246" s="2646"/>
      <c r="AL246" s="2646"/>
      <c r="AM246" s="2646"/>
      <c r="AN246" s="2646"/>
      <c r="AO246" s="2646"/>
      <c r="AP246" s="2646"/>
      <c r="AQ246" s="2646"/>
      <c r="AR246" s="2646"/>
      <c r="AS246" s="2646"/>
      <c r="AT246" s="2646"/>
      <c r="AU246" s="2646"/>
      <c r="AV246" s="2646"/>
      <c r="AW246" s="2646"/>
      <c r="AX246" s="2646"/>
      <c r="AY246" s="2646"/>
      <c r="AZ246" s="2646"/>
      <c r="BA246" s="2646"/>
      <c r="BB246" s="2646"/>
      <c r="BC246" s="2646"/>
      <c r="BD246" s="2646"/>
      <c r="BE246" s="2646"/>
      <c r="BF246" s="2646"/>
      <c r="BG246" s="2646"/>
      <c r="BH246" s="2646"/>
    </row>
    <row r="247" spans="10:60">
      <c r="J247" s="2646"/>
      <c r="K247" s="2646"/>
      <c r="L247" s="2646"/>
      <c r="M247" s="2646"/>
      <c r="N247" s="2646"/>
      <c r="O247" s="2646"/>
      <c r="P247" s="2646"/>
      <c r="Q247" s="2646"/>
      <c r="R247" s="2646"/>
      <c r="S247" s="2646"/>
      <c r="T247" s="2646"/>
      <c r="U247" s="2646"/>
      <c r="V247" s="2646"/>
      <c r="W247" s="2646"/>
      <c r="X247" s="2646"/>
      <c r="Y247" s="2646"/>
      <c r="Z247" s="2646"/>
      <c r="AA247" s="2646"/>
      <c r="AB247" s="2646"/>
      <c r="AC247" s="2646"/>
      <c r="AD247" s="2646"/>
      <c r="AE247" s="2646"/>
      <c r="AF247" s="2646"/>
      <c r="AG247" s="2646"/>
      <c r="AH247" s="2646"/>
      <c r="AI247" s="2646"/>
      <c r="AJ247" s="2646"/>
      <c r="AK247" s="2646"/>
      <c r="AL247" s="2646"/>
      <c r="AM247" s="2646"/>
      <c r="AN247" s="2646"/>
      <c r="AO247" s="2646"/>
      <c r="AP247" s="2646"/>
      <c r="AQ247" s="2646"/>
      <c r="AR247" s="2646"/>
      <c r="AS247" s="2646"/>
      <c r="AT247" s="2646"/>
      <c r="AU247" s="2646"/>
      <c r="AV247" s="2646"/>
      <c r="AW247" s="2646"/>
      <c r="AX247" s="2646"/>
      <c r="AY247" s="2646"/>
      <c r="AZ247" s="2646"/>
      <c r="BA247" s="2646"/>
      <c r="BB247" s="2646"/>
      <c r="BC247" s="2646"/>
      <c r="BD247" s="2646"/>
      <c r="BE247" s="2646"/>
      <c r="BF247" s="2646"/>
      <c r="BG247" s="2646"/>
      <c r="BH247" s="2646"/>
    </row>
    <row r="248" spans="10:60">
      <c r="J248" s="2646"/>
      <c r="K248" s="2646"/>
      <c r="L248" s="2646"/>
      <c r="M248" s="2646"/>
      <c r="N248" s="2646"/>
      <c r="O248" s="2646"/>
      <c r="P248" s="2646"/>
      <c r="Q248" s="2646"/>
      <c r="R248" s="2646"/>
      <c r="S248" s="2646"/>
      <c r="T248" s="2646"/>
      <c r="U248" s="2646"/>
      <c r="V248" s="2646"/>
      <c r="W248" s="2646"/>
      <c r="X248" s="2646"/>
      <c r="Y248" s="2646"/>
      <c r="Z248" s="2646"/>
      <c r="AA248" s="2646"/>
      <c r="AB248" s="2646"/>
      <c r="AC248" s="2646"/>
      <c r="AD248" s="2646"/>
      <c r="AE248" s="2646"/>
      <c r="AF248" s="2646"/>
      <c r="AG248" s="2646"/>
      <c r="AH248" s="2646"/>
      <c r="AI248" s="2646"/>
      <c r="AJ248" s="2646"/>
      <c r="AK248" s="2646"/>
      <c r="AL248" s="2646"/>
      <c r="AM248" s="2646"/>
      <c r="AN248" s="2646"/>
      <c r="AO248" s="2646"/>
      <c r="AP248" s="2646"/>
      <c r="AQ248" s="2646"/>
      <c r="AR248" s="2646"/>
      <c r="AS248" s="2646"/>
      <c r="AT248" s="2646"/>
      <c r="AU248" s="2646"/>
      <c r="AV248" s="2646"/>
      <c r="AW248" s="2646"/>
      <c r="AX248" s="2646"/>
      <c r="AY248" s="2646"/>
      <c r="AZ248" s="2646"/>
      <c r="BA248" s="2646"/>
      <c r="BB248" s="2646"/>
      <c r="BC248" s="2646"/>
      <c r="BD248" s="2646"/>
      <c r="BE248" s="2646"/>
      <c r="BF248" s="2646"/>
      <c r="BG248" s="2646"/>
      <c r="BH248" s="2646"/>
    </row>
    <row r="249" spans="10:60">
      <c r="J249" s="2646"/>
      <c r="K249" s="2646"/>
      <c r="L249" s="2646"/>
      <c r="M249" s="2646"/>
      <c r="N249" s="2646"/>
      <c r="O249" s="2646"/>
      <c r="P249" s="2646"/>
      <c r="Q249" s="2646"/>
      <c r="R249" s="2646"/>
      <c r="S249" s="2646"/>
      <c r="T249" s="2646"/>
      <c r="U249" s="2646"/>
      <c r="V249" s="2646"/>
      <c r="W249" s="2646"/>
      <c r="X249" s="2646"/>
      <c r="Y249" s="2646"/>
      <c r="Z249" s="2646"/>
      <c r="AA249" s="2646"/>
      <c r="AB249" s="2646"/>
      <c r="AC249" s="2646"/>
      <c r="AD249" s="2646"/>
      <c r="AE249" s="2646"/>
      <c r="AF249" s="2646"/>
      <c r="AG249" s="2646"/>
      <c r="AH249" s="2646"/>
      <c r="AI249" s="2646"/>
      <c r="AJ249" s="2646"/>
      <c r="AK249" s="2646"/>
      <c r="AL249" s="2646"/>
      <c r="AM249" s="2646"/>
      <c r="AN249" s="2646"/>
      <c r="AO249" s="2646"/>
      <c r="AP249" s="2646"/>
      <c r="AQ249" s="2646"/>
      <c r="AR249" s="2646"/>
      <c r="AS249" s="2646"/>
      <c r="AT249" s="2646"/>
      <c r="AU249" s="2646"/>
      <c r="AV249" s="2646"/>
      <c r="AW249" s="2646"/>
      <c r="AX249" s="2646"/>
      <c r="AY249" s="2646"/>
      <c r="AZ249" s="2646"/>
      <c r="BA249" s="2646"/>
      <c r="BB249" s="2646"/>
      <c r="BC249" s="2646"/>
      <c r="BD249" s="2646"/>
      <c r="BE249" s="2646"/>
      <c r="BF249" s="2646"/>
      <c r="BG249" s="2646"/>
      <c r="BH249" s="2646"/>
    </row>
    <row r="250" spans="10:60">
      <c r="J250" s="2646"/>
      <c r="K250" s="2646"/>
      <c r="L250" s="2646"/>
      <c r="M250" s="2646"/>
      <c r="N250" s="2646"/>
      <c r="O250" s="2646"/>
      <c r="P250" s="2646"/>
      <c r="Q250" s="2646"/>
      <c r="R250" s="2646"/>
      <c r="S250" s="2646"/>
      <c r="T250" s="2646"/>
      <c r="U250" s="2646"/>
      <c r="V250" s="2646"/>
      <c r="W250" s="2646"/>
      <c r="X250" s="2646"/>
      <c r="Y250" s="2646"/>
      <c r="Z250" s="2646"/>
      <c r="AA250" s="2646"/>
      <c r="AB250" s="2646"/>
      <c r="AC250" s="2646"/>
      <c r="AD250" s="2646"/>
      <c r="AE250" s="2646"/>
      <c r="AF250" s="2646"/>
      <c r="AG250" s="2646"/>
      <c r="AH250" s="2646"/>
      <c r="AI250" s="2646"/>
      <c r="AJ250" s="2646"/>
      <c r="AK250" s="2646"/>
      <c r="AL250" s="2646"/>
      <c r="AM250" s="2646"/>
      <c r="AN250" s="2646"/>
      <c r="AO250" s="2646"/>
      <c r="AP250" s="2646"/>
      <c r="AQ250" s="2646"/>
      <c r="AR250" s="2646"/>
      <c r="AS250" s="2646"/>
      <c r="AT250" s="2646"/>
      <c r="AU250" s="2646"/>
      <c r="AV250" s="2646"/>
      <c r="AW250" s="2646"/>
      <c r="AX250" s="2646"/>
      <c r="AY250" s="2646"/>
      <c r="AZ250" s="2646"/>
      <c r="BA250" s="2646"/>
      <c r="BB250" s="2646"/>
      <c r="BC250" s="2646"/>
      <c r="BD250" s="2646"/>
      <c r="BE250" s="2646"/>
      <c r="BF250" s="2646"/>
      <c r="BG250" s="2646"/>
      <c r="BH250" s="2646"/>
    </row>
    <row r="251" spans="10:60">
      <c r="J251" s="2646"/>
      <c r="K251" s="2646"/>
      <c r="L251" s="2646"/>
      <c r="M251" s="2646"/>
      <c r="N251" s="2646"/>
      <c r="O251" s="2646"/>
      <c r="P251" s="2646"/>
      <c r="Q251" s="2646"/>
      <c r="R251" s="2646"/>
      <c r="S251" s="2646"/>
      <c r="T251" s="2646"/>
      <c r="U251" s="2646"/>
      <c r="V251" s="2646"/>
      <c r="W251" s="2646"/>
      <c r="X251" s="2646"/>
      <c r="Y251" s="2646"/>
      <c r="Z251" s="2646"/>
      <c r="AA251" s="2646"/>
      <c r="AB251" s="2646"/>
      <c r="AC251" s="2646"/>
      <c r="AD251" s="2646"/>
      <c r="AE251" s="2646"/>
      <c r="AF251" s="2646"/>
      <c r="AG251" s="2646"/>
      <c r="AH251" s="2646"/>
      <c r="AI251" s="2646"/>
      <c r="AJ251" s="2646"/>
      <c r="AK251" s="2646"/>
      <c r="AL251" s="2646"/>
      <c r="AM251" s="2646"/>
      <c r="AN251" s="2646"/>
      <c r="AO251" s="2646"/>
      <c r="AP251" s="2646"/>
      <c r="AQ251" s="2646"/>
      <c r="AR251" s="2646"/>
      <c r="AS251" s="2646"/>
      <c r="AT251" s="2646"/>
      <c r="AU251" s="2646"/>
      <c r="AV251" s="2646"/>
      <c r="AW251" s="2646"/>
      <c r="AX251" s="2646"/>
      <c r="AY251" s="2646"/>
      <c r="AZ251" s="2646"/>
      <c r="BA251" s="2646"/>
      <c r="BB251" s="2646"/>
      <c r="BC251" s="2646"/>
      <c r="BD251" s="2646"/>
      <c r="BE251" s="2646"/>
      <c r="BF251" s="2646"/>
      <c r="BG251" s="2646"/>
      <c r="BH251" s="2646"/>
    </row>
    <row r="252" spans="10:60">
      <c r="J252" s="2646"/>
      <c r="K252" s="2646"/>
      <c r="L252" s="2646"/>
      <c r="M252" s="2646"/>
      <c r="N252" s="2646"/>
      <c r="O252" s="2646"/>
      <c r="P252" s="2646"/>
      <c r="Q252" s="2646"/>
      <c r="R252" s="2646"/>
      <c r="S252" s="2646"/>
      <c r="T252" s="2646"/>
      <c r="U252" s="2646"/>
      <c r="V252" s="2646"/>
      <c r="W252" s="2646"/>
      <c r="X252" s="2646"/>
      <c r="Y252" s="2646"/>
      <c r="Z252" s="2646"/>
      <c r="AA252" s="2646"/>
      <c r="AB252" s="2646"/>
      <c r="AC252" s="2646"/>
      <c r="AD252" s="2646"/>
      <c r="AE252" s="2646"/>
      <c r="AF252" s="2646"/>
      <c r="AG252" s="2646"/>
      <c r="AH252" s="2646"/>
      <c r="AI252" s="2646"/>
      <c r="AJ252" s="2646"/>
      <c r="AK252" s="2646"/>
      <c r="AL252" s="2646"/>
      <c r="AM252" s="2646"/>
      <c r="AN252" s="2646"/>
      <c r="AO252" s="2646"/>
      <c r="AP252" s="2646"/>
      <c r="AQ252" s="2646"/>
      <c r="AR252" s="2646"/>
      <c r="AS252" s="2646"/>
      <c r="AT252" s="2646"/>
      <c r="AU252" s="2646"/>
      <c r="AV252" s="2646"/>
      <c r="AW252" s="2646"/>
      <c r="AX252" s="2646"/>
      <c r="AY252" s="2646"/>
      <c r="AZ252" s="2646"/>
      <c r="BA252" s="2646"/>
      <c r="BB252" s="2646"/>
      <c r="BC252" s="2646"/>
      <c r="BD252" s="2646"/>
      <c r="BE252" s="2646"/>
      <c r="BF252" s="2646"/>
      <c r="BG252" s="2646"/>
      <c r="BH252" s="2646"/>
    </row>
    <row r="253" spans="10:60">
      <c r="J253" s="2646"/>
      <c r="K253" s="2646"/>
      <c r="L253" s="2646"/>
      <c r="M253" s="2646"/>
      <c r="N253" s="2646"/>
      <c r="O253" s="2646"/>
      <c r="P253" s="2646"/>
      <c r="Q253" s="2646"/>
      <c r="R253" s="2646"/>
      <c r="S253" s="2646"/>
      <c r="T253" s="2646"/>
      <c r="U253" s="2646"/>
      <c r="V253" s="2646"/>
      <c r="W253" s="2646"/>
      <c r="X253" s="2646"/>
      <c r="Y253" s="2646"/>
      <c r="Z253" s="2646"/>
      <c r="AA253" s="2646"/>
      <c r="AB253" s="2646"/>
      <c r="AC253" s="2646"/>
      <c r="AD253" s="2646"/>
      <c r="AE253" s="2646"/>
      <c r="AF253" s="2646"/>
      <c r="AG253" s="2646"/>
      <c r="AH253" s="2646"/>
      <c r="AI253" s="2646"/>
      <c r="AJ253" s="2646"/>
      <c r="AK253" s="2646"/>
      <c r="AL253" s="2646"/>
      <c r="AM253" s="2646"/>
      <c r="AN253" s="2646"/>
      <c r="AO253" s="2646"/>
      <c r="AP253" s="2646"/>
      <c r="AQ253" s="2646"/>
      <c r="AR253" s="2646"/>
      <c r="AS253" s="2646"/>
      <c r="AT253" s="2646"/>
      <c r="AU253" s="2646"/>
      <c r="AV253" s="2646"/>
      <c r="AW253" s="2646"/>
      <c r="AX253" s="2646"/>
      <c r="AY253" s="2646"/>
      <c r="AZ253" s="2646"/>
      <c r="BA253" s="2646"/>
      <c r="BB253" s="2646"/>
      <c r="BC253" s="2646"/>
      <c r="BD253" s="2646"/>
      <c r="BE253" s="2646"/>
      <c r="BF253" s="2646"/>
      <c r="BG253" s="2646"/>
      <c r="BH253" s="2646"/>
    </row>
    <row r="254" spans="10:60">
      <c r="J254" s="2646"/>
      <c r="K254" s="2646"/>
      <c r="L254" s="2646"/>
      <c r="M254" s="2646"/>
      <c r="N254" s="2646"/>
      <c r="O254" s="2646"/>
      <c r="P254" s="2646"/>
      <c r="Q254" s="2646"/>
      <c r="R254" s="2646"/>
      <c r="S254" s="2646"/>
      <c r="T254" s="2646"/>
      <c r="U254" s="2646"/>
      <c r="V254" s="2646"/>
      <c r="W254" s="2646"/>
      <c r="X254" s="2646"/>
      <c r="Y254" s="2646"/>
      <c r="Z254" s="2646"/>
      <c r="AA254" s="2646"/>
      <c r="AB254" s="2646"/>
      <c r="AC254" s="2646"/>
      <c r="AD254" s="2646"/>
      <c r="AE254" s="2646"/>
      <c r="AF254" s="2646"/>
      <c r="AG254" s="2646"/>
      <c r="AH254" s="2646"/>
      <c r="AI254" s="2646"/>
      <c r="AJ254" s="2646"/>
      <c r="AK254" s="2646"/>
      <c r="AL254" s="2646"/>
      <c r="AM254" s="2646"/>
      <c r="AN254" s="2646"/>
      <c r="AO254" s="2646"/>
      <c r="AP254" s="2646"/>
      <c r="AQ254" s="2646"/>
      <c r="AR254" s="2646"/>
      <c r="AS254" s="2646"/>
      <c r="AT254" s="2646"/>
      <c r="AU254" s="2646"/>
      <c r="AV254" s="2646"/>
      <c r="AW254" s="2646"/>
      <c r="AX254" s="2646"/>
      <c r="AY254" s="2646"/>
      <c r="AZ254" s="2646"/>
      <c r="BA254" s="2646"/>
      <c r="BB254" s="2646"/>
      <c r="BC254" s="2646"/>
      <c r="BD254" s="2646"/>
      <c r="BE254" s="2646"/>
      <c r="BF254" s="2646"/>
      <c r="BG254" s="2646"/>
      <c r="BH254" s="2646"/>
    </row>
    <row r="255" spans="10:60">
      <c r="J255" s="2646"/>
      <c r="K255" s="2646"/>
      <c r="L255" s="2646"/>
      <c r="M255" s="2646"/>
      <c r="N255" s="2646"/>
      <c r="O255" s="2646"/>
      <c r="P255" s="2646"/>
      <c r="Q255" s="2646"/>
      <c r="R255" s="2646"/>
      <c r="S255" s="2646"/>
      <c r="T255" s="2646"/>
      <c r="U255" s="2646"/>
      <c r="V255" s="2646"/>
      <c r="W255" s="2646"/>
      <c r="X255" s="2646"/>
      <c r="Y255" s="2646"/>
      <c r="Z255" s="2646"/>
      <c r="AA255" s="2646"/>
      <c r="AB255" s="2646"/>
      <c r="AC255" s="2646"/>
      <c r="AD255" s="2646"/>
      <c r="AE255" s="2646"/>
      <c r="AF255" s="2646"/>
      <c r="AG255" s="2646"/>
      <c r="AH255" s="2646"/>
      <c r="AI255" s="2646"/>
      <c r="AJ255" s="2646"/>
      <c r="AK255" s="2646"/>
      <c r="AL255" s="2646"/>
      <c r="AM255" s="2646"/>
      <c r="AN255" s="2646"/>
      <c r="AO255" s="2646"/>
      <c r="AP255" s="2646"/>
      <c r="AQ255" s="2646"/>
      <c r="AR255" s="2646"/>
      <c r="AS255" s="2646"/>
      <c r="AT255" s="2646"/>
      <c r="AU255" s="2646"/>
      <c r="AV255" s="2646"/>
      <c r="AW255" s="2646"/>
      <c r="AX255" s="2646"/>
      <c r="AY255" s="2646"/>
      <c r="AZ255" s="2646"/>
      <c r="BA255" s="2646"/>
      <c r="BB255" s="2646"/>
      <c r="BC255" s="2646"/>
      <c r="BD255" s="2646"/>
      <c r="BE255" s="2646"/>
      <c r="BF255" s="2646"/>
      <c r="BG255" s="2646"/>
      <c r="BH255" s="2646"/>
    </row>
    <row r="256" spans="10:60">
      <c r="J256" s="2646"/>
      <c r="K256" s="2646"/>
      <c r="L256" s="2646"/>
      <c r="M256" s="2646"/>
      <c r="N256" s="2646"/>
      <c r="O256" s="2646"/>
      <c r="P256" s="2646"/>
      <c r="Q256" s="2646"/>
      <c r="R256" s="2646"/>
      <c r="S256" s="2646"/>
      <c r="T256" s="2646"/>
      <c r="U256" s="2646"/>
      <c r="V256" s="2646"/>
      <c r="W256" s="2646"/>
      <c r="X256" s="2646"/>
      <c r="Y256" s="2646"/>
      <c r="Z256" s="2646"/>
      <c r="AA256" s="2646"/>
      <c r="AB256" s="2646"/>
      <c r="AC256" s="2646"/>
      <c r="AD256" s="2646"/>
      <c r="AE256" s="2646"/>
      <c r="AF256" s="2646"/>
      <c r="AG256" s="2646"/>
      <c r="AH256" s="2646"/>
      <c r="AI256" s="2646"/>
      <c r="AJ256" s="2646"/>
      <c r="AK256" s="2646"/>
      <c r="AL256" s="2646"/>
      <c r="AM256" s="2646"/>
      <c r="AN256" s="2646"/>
      <c r="AO256" s="2646"/>
      <c r="AP256" s="2646"/>
      <c r="AQ256" s="2646"/>
      <c r="AR256" s="2646"/>
      <c r="AS256" s="2646"/>
      <c r="AT256" s="2646"/>
      <c r="AU256" s="2646"/>
      <c r="AV256" s="2646"/>
      <c r="AW256" s="2646"/>
      <c r="AX256" s="2646"/>
      <c r="AY256" s="2646"/>
      <c r="AZ256" s="2646"/>
      <c r="BA256" s="2646"/>
      <c r="BB256" s="2646"/>
      <c r="BC256" s="2646"/>
      <c r="BD256" s="2646"/>
      <c r="BE256" s="2646"/>
      <c r="BF256" s="2646"/>
      <c r="BG256" s="2646"/>
      <c r="BH256" s="2646"/>
    </row>
    <row r="257" spans="10:60">
      <c r="J257" s="2646"/>
      <c r="K257" s="2646"/>
      <c r="L257" s="2646"/>
      <c r="M257" s="2646"/>
      <c r="N257" s="2646"/>
      <c r="O257" s="2646"/>
      <c r="P257" s="2646"/>
      <c r="Q257" s="2646"/>
      <c r="R257" s="2646"/>
      <c r="S257" s="2646"/>
      <c r="T257" s="2646"/>
      <c r="U257" s="2646"/>
      <c r="V257" s="2646"/>
      <c r="W257" s="2646"/>
      <c r="X257" s="2646"/>
      <c r="Y257" s="2646"/>
      <c r="Z257" s="2646"/>
      <c r="AA257" s="2646"/>
      <c r="AB257" s="2646"/>
      <c r="AC257" s="2646"/>
      <c r="AD257" s="2646"/>
      <c r="AE257" s="2646"/>
      <c r="AF257" s="2646"/>
      <c r="AG257" s="2646"/>
      <c r="AH257" s="2646"/>
      <c r="AI257" s="2646"/>
      <c r="AJ257" s="2646"/>
      <c r="AK257" s="2646"/>
      <c r="AL257" s="2646"/>
      <c r="AM257" s="2646"/>
      <c r="AN257" s="2646"/>
      <c r="AO257" s="2646"/>
      <c r="AP257" s="2646"/>
      <c r="AQ257" s="2646"/>
      <c r="AR257" s="2646"/>
      <c r="AS257" s="2646"/>
      <c r="AT257" s="2646"/>
      <c r="AU257" s="2646"/>
      <c r="AV257" s="2646"/>
      <c r="AW257" s="2646"/>
      <c r="AX257" s="2646"/>
      <c r="AY257" s="2646"/>
      <c r="AZ257" s="2646"/>
      <c r="BA257" s="2646"/>
      <c r="BB257" s="2646"/>
      <c r="BC257" s="2646"/>
      <c r="BD257" s="2646"/>
      <c r="BE257" s="2646"/>
      <c r="BF257" s="2646"/>
      <c r="BG257" s="2646"/>
      <c r="BH257" s="2646"/>
    </row>
    <row r="258" spans="10:60">
      <c r="J258" s="2646"/>
      <c r="K258" s="2646"/>
      <c r="L258" s="2646"/>
      <c r="M258" s="2646"/>
      <c r="N258" s="2646"/>
      <c r="O258" s="2646"/>
      <c r="P258" s="2646"/>
      <c r="Q258" s="2646"/>
      <c r="R258" s="2646"/>
      <c r="S258" s="2646"/>
      <c r="T258" s="2646"/>
      <c r="U258" s="2646"/>
      <c r="V258" s="2646"/>
      <c r="W258" s="2646"/>
      <c r="X258" s="2646"/>
      <c r="Y258" s="2646"/>
      <c r="Z258" s="2646"/>
      <c r="AA258" s="2646"/>
      <c r="AB258" s="2646"/>
      <c r="AC258" s="2646"/>
      <c r="AD258" s="2646"/>
      <c r="AE258" s="2646"/>
      <c r="AF258" s="2646"/>
      <c r="AG258" s="2646"/>
      <c r="AH258" s="2646"/>
      <c r="AI258" s="2646"/>
      <c r="AJ258" s="2646"/>
      <c r="AK258" s="2646"/>
      <c r="AL258" s="2646"/>
      <c r="AM258" s="2646"/>
      <c r="AN258" s="2646"/>
      <c r="AO258" s="2646"/>
      <c r="AP258" s="2646"/>
      <c r="AQ258" s="2646"/>
      <c r="AR258" s="2646"/>
      <c r="AS258" s="2646"/>
      <c r="AT258" s="2646"/>
      <c r="AU258" s="2646"/>
      <c r="AV258" s="2646"/>
      <c r="AW258" s="2646"/>
      <c r="AX258" s="2646"/>
      <c r="AY258" s="2646"/>
      <c r="AZ258" s="2646"/>
      <c r="BA258" s="2646"/>
      <c r="BB258" s="2646"/>
      <c r="BC258" s="2646"/>
      <c r="BD258" s="2646"/>
      <c r="BE258" s="2646"/>
      <c r="BF258" s="2646"/>
      <c r="BG258" s="2646"/>
      <c r="BH258" s="2646"/>
    </row>
    <row r="259" spans="10:60">
      <c r="J259" s="2646"/>
      <c r="K259" s="2646"/>
      <c r="L259" s="2646"/>
      <c r="M259" s="2646"/>
      <c r="N259" s="2646"/>
      <c r="O259" s="2646"/>
      <c r="P259" s="2646"/>
      <c r="Q259" s="2646"/>
      <c r="R259" s="2646"/>
      <c r="S259" s="2646"/>
      <c r="T259" s="2646"/>
      <c r="U259" s="2646"/>
      <c r="V259" s="2646"/>
      <c r="W259" s="2646"/>
      <c r="X259" s="2646"/>
      <c r="Y259" s="2646"/>
      <c r="Z259" s="2646"/>
      <c r="AA259" s="2646"/>
      <c r="AB259" s="2646"/>
      <c r="AC259" s="2646"/>
      <c r="AD259" s="2646"/>
      <c r="AE259" s="2646"/>
      <c r="AF259" s="2646"/>
      <c r="AG259" s="2646"/>
      <c r="AH259" s="2646"/>
      <c r="AI259" s="2646"/>
      <c r="AJ259" s="2646"/>
      <c r="AK259" s="2646"/>
      <c r="AL259" s="2646"/>
      <c r="AM259" s="2646"/>
      <c r="AN259" s="2646"/>
      <c r="AO259" s="2646"/>
      <c r="AP259" s="2646"/>
      <c r="AQ259" s="2646"/>
      <c r="AR259" s="2646"/>
      <c r="AS259" s="2646"/>
      <c r="AT259" s="2646"/>
      <c r="AU259" s="2646"/>
      <c r="AV259" s="2646"/>
      <c r="AW259" s="2646"/>
      <c r="AX259" s="2646"/>
      <c r="AY259" s="2646"/>
      <c r="AZ259" s="2646"/>
      <c r="BA259" s="2646"/>
      <c r="BB259" s="2646"/>
      <c r="BC259" s="2646"/>
      <c r="BD259" s="2646"/>
      <c r="BE259" s="2646"/>
      <c r="BF259" s="2646"/>
      <c r="BG259" s="2646"/>
      <c r="BH259" s="2646"/>
    </row>
    <row r="260" spans="10:60">
      <c r="J260" s="2646"/>
      <c r="K260" s="2646"/>
      <c r="L260" s="2646"/>
      <c r="M260" s="2646"/>
      <c r="N260" s="2646"/>
      <c r="O260" s="2646"/>
      <c r="P260" s="2646"/>
      <c r="Q260" s="2646"/>
      <c r="R260" s="2646"/>
      <c r="S260" s="2646"/>
      <c r="T260" s="2646"/>
      <c r="U260" s="2646"/>
      <c r="V260" s="2646"/>
      <c r="W260" s="2646"/>
      <c r="X260" s="2646"/>
      <c r="Y260" s="2646"/>
      <c r="Z260" s="2646"/>
      <c r="AA260" s="2646"/>
      <c r="AB260" s="2646"/>
      <c r="AC260" s="2646"/>
      <c r="AD260" s="2646"/>
      <c r="AE260" s="2646"/>
      <c r="AF260" s="2646"/>
      <c r="AG260" s="2646"/>
      <c r="AH260" s="2646"/>
      <c r="AI260" s="2646"/>
      <c r="AJ260" s="2646"/>
      <c r="AK260" s="2646"/>
      <c r="AL260" s="2646"/>
      <c r="AM260" s="2646"/>
      <c r="AN260" s="2646"/>
      <c r="AO260" s="2646"/>
      <c r="AP260" s="2646"/>
      <c r="AQ260" s="2646"/>
      <c r="AR260" s="2646"/>
      <c r="AS260" s="2646"/>
      <c r="AT260" s="2646"/>
      <c r="AU260" s="2646"/>
      <c r="AV260" s="2646"/>
      <c r="AW260" s="2646"/>
      <c r="AX260" s="2646"/>
      <c r="AY260" s="2646"/>
      <c r="AZ260" s="2646"/>
      <c r="BA260" s="2646"/>
      <c r="BB260" s="2646"/>
      <c r="BC260" s="2646"/>
      <c r="BD260" s="2646"/>
      <c r="BE260" s="2646"/>
      <c r="BF260" s="2646"/>
      <c r="BG260" s="2646"/>
      <c r="BH260" s="2646"/>
    </row>
    <row r="261" spans="10:60">
      <c r="J261" s="2646"/>
      <c r="K261" s="2646"/>
      <c r="L261" s="2646"/>
      <c r="M261" s="2646"/>
      <c r="N261" s="2646"/>
      <c r="O261" s="2646"/>
      <c r="P261" s="2646"/>
      <c r="Q261" s="2646"/>
      <c r="R261" s="2646"/>
      <c r="S261" s="2646"/>
      <c r="T261" s="2646"/>
      <c r="U261" s="2646"/>
      <c r="V261" s="2646"/>
      <c r="W261" s="2646"/>
      <c r="X261" s="2646"/>
      <c r="Y261" s="2646"/>
      <c r="Z261" s="2646"/>
      <c r="AA261" s="2646"/>
      <c r="AB261" s="2646"/>
      <c r="AC261" s="2646"/>
      <c r="AD261" s="2646"/>
      <c r="AE261" s="2646"/>
      <c r="AF261" s="2646"/>
      <c r="AG261" s="2646"/>
      <c r="AH261" s="2646"/>
      <c r="AI261" s="2646"/>
      <c r="AJ261" s="2646"/>
      <c r="AK261" s="2646"/>
      <c r="AL261" s="2646"/>
      <c r="AM261" s="2646"/>
      <c r="AN261" s="2646"/>
      <c r="AO261" s="2646"/>
      <c r="AP261" s="2646"/>
      <c r="AQ261" s="2646"/>
      <c r="AR261" s="2646"/>
      <c r="AS261" s="2646"/>
      <c r="AT261" s="2646"/>
      <c r="AU261" s="2646"/>
      <c r="AV261" s="2646"/>
      <c r="AW261" s="2646"/>
      <c r="AX261" s="2646"/>
      <c r="AY261" s="2646"/>
      <c r="AZ261" s="2646"/>
      <c r="BA261" s="2646"/>
      <c r="BB261" s="2646"/>
      <c r="BC261" s="2646"/>
      <c r="BD261" s="2646"/>
      <c r="BE261" s="2646"/>
      <c r="BF261" s="2646"/>
      <c r="BG261" s="2646"/>
      <c r="BH261" s="2646"/>
    </row>
    <row r="262" spans="10:60">
      <c r="J262" s="2646"/>
      <c r="K262" s="2646"/>
      <c r="L262" s="2646"/>
      <c r="M262" s="2646"/>
      <c r="N262" s="2646"/>
      <c r="O262" s="2646"/>
      <c r="P262" s="2646"/>
      <c r="Q262" s="2646"/>
      <c r="R262" s="2646"/>
      <c r="S262" s="2646"/>
      <c r="T262" s="2646"/>
      <c r="U262" s="2646"/>
      <c r="V262" s="2646"/>
      <c r="W262" s="2646"/>
      <c r="X262" s="2646"/>
      <c r="Y262" s="2646"/>
      <c r="Z262" s="2646"/>
      <c r="AA262" s="2646"/>
      <c r="AB262" s="2646"/>
      <c r="AC262" s="2646"/>
      <c r="AD262" s="2646"/>
      <c r="AE262" s="2646"/>
      <c r="AF262" s="2646"/>
      <c r="AG262" s="2646"/>
      <c r="AH262" s="2646"/>
      <c r="AI262" s="2646"/>
      <c r="AJ262" s="2646"/>
      <c r="AK262" s="2646"/>
      <c r="AL262" s="2646"/>
      <c r="AM262" s="2646"/>
      <c r="AN262" s="2646"/>
      <c r="AO262" s="2646"/>
      <c r="AP262" s="2646"/>
      <c r="AQ262" s="2646"/>
      <c r="AR262" s="2646"/>
      <c r="AS262" s="2646"/>
      <c r="AT262" s="2646"/>
      <c r="AU262" s="2646"/>
      <c r="AV262" s="2646"/>
      <c r="AW262" s="2646"/>
      <c r="AX262" s="2646"/>
      <c r="AY262" s="2646"/>
      <c r="AZ262" s="2646"/>
      <c r="BA262" s="2646"/>
      <c r="BB262" s="2646"/>
      <c r="BC262" s="2646"/>
      <c r="BD262" s="2646"/>
      <c r="BE262" s="2646"/>
      <c r="BF262" s="2646"/>
      <c r="BG262" s="2646"/>
      <c r="BH262" s="2646"/>
    </row>
    <row r="263" spans="10:60">
      <c r="J263" s="2646"/>
      <c r="K263" s="2646"/>
      <c r="L263" s="2646"/>
      <c r="M263" s="2646"/>
      <c r="N263" s="2646"/>
      <c r="O263" s="2646"/>
      <c r="P263" s="2646"/>
      <c r="Q263" s="2646"/>
      <c r="R263" s="2646"/>
      <c r="S263" s="2646"/>
      <c r="T263" s="2646"/>
      <c r="U263" s="2646"/>
      <c r="V263" s="2646"/>
      <c r="W263" s="2646"/>
      <c r="X263" s="2646"/>
      <c r="Y263" s="2646"/>
      <c r="Z263" s="2646"/>
      <c r="AA263" s="2646"/>
      <c r="AB263" s="2646"/>
      <c r="AC263" s="2646"/>
      <c r="AD263" s="2646"/>
      <c r="AE263" s="2646"/>
      <c r="AF263" s="2646"/>
      <c r="AG263" s="2646"/>
      <c r="AH263" s="2646"/>
      <c r="AI263" s="2646"/>
      <c r="AJ263" s="2646"/>
      <c r="AK263" s="2646"/>
      <c r="AL263" s="2646"/>
      <c r="AM263" s="2646"/>
      <c r="AN263" s="2646"/>
      <c r="AO263" s="2646"/>
      <c r="AP263" s="2646"/>
      <c r="AQ263" s="2646"/>
      <c r="AR263" s="2646"/>
      <c r="AS263" s="2646"/>
      <c r="AT263" s="2646"/>
      <c r="AU263" s="2646"/>
      <c r="AV263" s="2646"/>
      <c r="AW263" s="2646"/>
      <c r="AX263" s="2646"/>
      <c r="AY263" s="2646"/>
      <c r="AZ263" s="2646"/>
      <c r="BA263" s="2646"/>
      <c r="BB263" s="2646"/>
      <c r="BC263" s="2646"/>
      <c r="BD263" s="2646"/>
      <c r="BE263" s="2646"/>
      <c r="BF263" s="2646"/>
      <c r="BG263" s="2646"/>
      <c r="BH263" s="2646"/>
    </row>
    <row r="264" spans="10:60">
      <c r="J264" s="2646"/>
      <c r="K264" s="2646"/>
      <c r="L264" s="2646"/>
      <c r="M264" s="2646"/>
      <c r="N264" s="2646"/>
      <c r="O264" s="2646"/>
      <c r="P264" s="2646"/>
      <c r="Q264" s="2646"/>
      <c r="R264" s="2646"/>
      <c r="S264" s="2646"/>
      <c r="T264" s="2646"/>
      <c r="U264" s="2646"/>
      <c r="V264" s="2646"/>
      <c r="W264" s="2646"/>
      <c r="X264" s="2646"/>
      <c r="Y264" s="2646"/>
      <c r="Z264" s="2646"/>
      <c r="AA264" s="2646"/>
      <c r="AB264" s="2646"/>
      <c r="AC264" s="2646"/>
      <c r="AD264" s="2646"/>
      <c r="AE264" s="2646"/>
      <c r="AF264" s="2646"/>
      <c r="AG264" s="2646"/>
      <c r="AH264" s="2646"/>
      <c r="AI264" s="2646"/>
      <c r="AJ264" s="2646"/>
      <c r="AK264" s="2646"/>
      <c r="AL264" s="2646"/>
      <c r="AM264" s="2646"/>
      <c r="AN264" s="2646"/>
      <c r="AO264" s="2646"/>
      <c r="AP264" s="2646"/>
      <c r="AQ264" s="2646"/>
      <c r="AR264" s="2646"/>
      <c r="AS264" s="2646"/>
      <c r="AT264" s="2646"/>
      <c r="AU264" s="2646"/>
      <c r="AV264" s="2646"/>
      <c r="AW264" s="2646"/>
      <c r="AX264" s="2646"/>
      <c r="AY264" s="2646"/>
      <c r="AZ264" s="2646"/>
      <c r="BA264" s="2646"/>
      <c r="BB264" s="2646"/>
      <c r="BC264" s="2646"/>
      <c r="BD264" s="2646"/>
      <c r="BE264" s="2646"/>
      <c r="BF264" s="2646"/>
      <c r="BG264" s="2646"/>
      <c r="BH264" s="2646"/>
    </row>
    <row r="265" spans="10:60">
      <c r="J265" s="2646"/>
      <c r="K265" s="2646"/>
      <c r="L265" s="2646"/>
      <c r="M265" s="2646"/>
      <c r="N265" s="2646"/>
      <c r="O265" s="2646"/>
      <c r="P265" s="2646"/>
      <c r="Q265" s="2646"/>
      <c r="R265" s="2646"/>
      <c r="S265" s="2646"/>
      <c r="T265" s="2646"/>
      <c r="U265" s="2646"/>
      <c r="V265" s="2646"/>
      <c r="W265" s="2646"/>
      <c r="X265" s="2646"/>
      <c r="Y265" s="2646"/>
      <c r="Z265" s="2646"/>
      <c r="AA265" s="2646"/>
      <c r="AB265" s="2646"/>
      <c r="AC265" s="2646"/>
      <c r="AD265" s="2646"/>
      <c r="AE265" s="2646"/>
      <c r="AF265" s="2646"/>
      <c r="AG265" s="2646"/>
      <c r="AH265" s="2646"/>
      <c r="AI265" s="2646"/>
      <c r="AJ265" s="2646"/>
      <c r="AK265" s="2646"/>
      <c r="AL265" s="2646"/>
      <c r="AM265" s="2646"/>
      <c r="AN265" s="2646"/>
      <c r="AO265" s="2646"/>
      <c r="AP265" s="2646"/>
      <c r="AQ265" s="2646"/>
      <c r="AR265" s="2646"/>
      <c r="AS265" s="2646"/>
      <c r="AT265" s="2646"/>
      <c r="AU265" s="2646"/>
      <c r="AV265" s="2646"/>
      <c r="AW265" s="2646"/>
      <c r="AX265" s="2646"/>
      <c r="AY265" s="2646"/>
      <c r="AZ265" s="2646"/>
      <c r="BA265" s="2646"/>
      <c r="BB265" s="2646"/>
      <c r="BC265" s="2646"/>
      <c r="BD265" s="2646"/>
      <c r="BE265" s="2646"/>
      <c r="BF265" s="2646"/>
      <c r="BG265" s="2646"/>
      <c r="BH265" s="2646"/>
    </row>
    <row r="266" spans="10:60">
      <c r="J266" s="2646"/>
      <c r="K266" s="2646"/>
      <c r="L266" s="2646"/>
      <c r="M266" s="2646"/>
      <c r="N266" s="2646"/>
      <c r="O266" s="2646"/>
      <c r="P266" s="2646"/>
      <c r="Q266" s="2646"/>
      <c r="R266" s="2646"/>
      <c r="S266" s="2646"/>
      <c r="T266" s="2646"/>
      <c r="U266" s="2646"/>
      <c r="V266" s="2646"/>
      <c r="W266" s="2646"/>
      <c r="X266" s="2646"/>
      <c r="Y266" s="2646"/>
      <c r="Z266" s="2646"/>
      <c r="AA266" s="2646"/>
      <c r="AB266" s="2646"/>
      <c r="AC266" s="2646"/>
      <c r="AD266" s="2646"/>
      <c r="AE266" s="2646"/>
      <c r="AF266" s="2646"/>
      <c r="AG266" s="2646"/>
      <c r="AH266" s="2646"/>
      <c r="AI266" s="2646"/>
      <c r="AJ266" s="2646"/>
      <c r="AK266" s="2646"/>
      <c r="AL266" s="2646"/>
      <c r="AM266" s="2646"/>
      <c r="AN266" s="2646"/>
      <c r="AO266" s="2646"/>
      <c r="AP266" s="2646"/>
      <c r="AQ266" s="2646"/>
      <c r="AR266" s="2646"/>
      <c r="AS266" s="2646"/>
      <c r="AT266" s="2646"/>
      <c r="AU266" s="2646"/>
      <c r="AV266" s="2646"/>
      <c r="AW266" s="2646"/>
      <c r="AX266" s="2646"/>
      <c r="AY266" s="2646"/>
      <c r="AZ266" s="2646"/>
      <c r="BA266" s="2646"/>
      <c r="BB266" s="2646"/>
      <c r="BC266" s="2646"/>
      <c r="BD266" s="2646"/>
      <c r="BE266" s="2646"/>
      <c r="BF266" s="2646"/>
      <c r="BG266" s="2646"/>
      <c r="BH266" s="2646"/>
    </row>
    <row r="267" spans="10:60">
      <c r="J267" s="2646"/>
      <c r="K267" s="2646"/>
      <c r="L267" s="2646"/>
      <c r="M267" s="2646"/>
      <c r="N267" s="2646"/>
      <c r="O267" s="2646"/>
      <c r="P267" s="2646"/>
      <c r="Q267" s="2646"/>
      <c r="R267" s="2646"/>
      <c r="S267" s="2646"/>
      <c r="T267" s="2646"/>
      <c r="U267" s="2646"/>
      <c r="V267" s="2646"/>
      <c r="W267" s="2646"/>
      <c r="X267" s="2646"/>
      <c r="Y267" s="2646"/>
      <c r="Z267" s="2646"/>
      <c r="AA267" s="2646"/>
      <c r="AB267" s="2646"/>
      <c r="AC267" s="2646"/>
      <c r="AD267" s="2646"/>
      <c r="AE267" s="2646"/>
      <c r="AF267" s="2646"/>
      <c r="AG267" s="2646"/>
      <c r="AH267" s="2646"/>
      <c r="AI267" s="2646"/>
      <c r="AJ267" s="2646"/>
      <c r="AK267" s="2646"/>
      <c r="AL267" s="2646"/>
      <c r="AM267" s="2646"/>
      <c r="AN267" s="2646"/>
      <c r="AO267" s="2646"/>
      <c r="AP267" s="2646"/>
      <c r="AQ267" s="2646"/>
      <c r="AR267" s="2646"/>
      <c r="AS267" s="2646"/>
      <c r="AT267" s="2646"/>
      <c r="AU267" s="2646"/>
      <c r="AV267" s="2646"/>
      <c r="AW267" s="2646"/>
      <c r="AX267" s="2646"/>
      <c r="AY267" s="2646"/>
      <c r="AZ267" s="2646"/>
      <c r="BA267" s="2646"/>
      <c r="BB267" s="2646"/>
      <c r="BC267" s="2646"/>
      <c r="BD267" s="2646"/>
      <c r="BE267" s="2646"/>
      <c r="BF267" s="2646"/>
      <c r="BG267" s="2646"/>
      <c r="BH267" s="2646"/>
    </row>
    <row r="268" spans="10:60">
      <c r="J268" s="2646"/>
      <c r="K268" s="2646"/>
      <c r="L268" s="2646"/>
      <c r="M268" s="2646"/>
      <c r="N268" s="2646"/>
      <c r="O268" s="2646"/>
      <c r="P268" s="2646"/>
      <c r="Q268" s="2646"/>
      <c r="R268" s="2646"/>
      <c r="S268" s="2646"/>
      <c r="T268" s="2646"/>
      <c r="U268" s="2646"/>
      <c r="V268" s="2646"/>
      <c r="W268" s="2646"/>
      <c r="X268" s="2646"/>
      <c r="Y268" s="2646"/>
      <c r="Z268" s="2646"/>
      <c r="AA268" s="2646"/>
      <c r="AB268" s="2646"/>
      <c r="AC268" s="2646"/>
      <c r="AD268" s="2646"/>
      <c r="AE268" s="2646"/>
      <c r="AF268" s="2646"/>
      <c r="AG268" s="2646"/>
      <c r="AH268" s="2646"/>
      <c r="AI268" s="2646"/>
      <c r="AJ268" s="2646"/>
      <c r="AK268" s="2646"/>
      <c r="AL268" s="2646"/>
      <c r="AM268" s="2646"/>
      <c r="AN268" s="2646"/>
      <c r="AO268" s="2646"/>
      <c r="AP268" s="2646"/>
      <c r="AQ268" s="2646"/>
      <c r="AR268" s="2646"/>
      <c r="AS268" s="2646"/>
      <c r="AT268" s="2646"/>
      <c r="AU268" s="2646"/>
      <c r="AV268" s="2646"/>
      <c r="AW268" s="2646"/>
      <c r="AX268" s="2646"/>
      <c r="AY268" s="2646"/>
      <c r="AZ268" s="2646"/>
      <c r="BA268" s="2646"/>
      <c r="BB268" s="2646"/>
      <c r="BC268" s="2646"/>
      <c r="BD268" s="2646"/>
      <c r="BE268" s="2646"/>
      <c r="BF268" s="2646"/>
      <c r="BG268" s="2646"/>
      <c r="BH268" s="2646"/>
    </row>
    <row r="269" spans="10:60">
      <c r="J269" s="2646"/>
      <c r="K269" s="2646"/>
      <c r="L269" s="2646"/>
      <c r="M269" s="2646"/>
      <c r="N269" s="2646"/>
      <c r="O269" s="2646"/>
      <c r="P269" s="2646"/>
      <c r="Q269" s="2646"/>
      <c r="R269" s="2646"/>
      <c r="S269" s="2646"/>
      <c r="T269" s="2646"/>
      <c r="U269" s="2646"/>
      <c r="V269" s="2646"/>
      <c r="W269" s="2646"/>
      <c r="X269" s="2646"/>
      <c r="Y269" s="2646"/>
      <c r="Z269" s="2646"/>
      <c r="AA269" s="2646"/>
      <c r="AB269" s="2646"/>
      <c r="AC269" s="2646"/>
      <c r="AD269" s="2646"/>
      <c r="AE269" s="2646"/>
      <c r="AF269" s="2646"/>
      <c r="AG269" s="2646"/>
      <c r="AH269" s="2646"/>
      <c r="AI269" s="2646"/>
      <c r="AJ269" s="2646"/>
      <c r="AK269" s="2646"/>
      <c r="AL269" s="2646"/>
      <c r="AM269" s="2646"/>
      <c r="AN269" s="2646"/>
      <c r="AO269" s="2646"/>
      <c r="AP269" s="2646"/>
      <c r="AQ269" s="2646"/>
      <c r="AR269" s="2646"/>
      <c r="AS269" s="2646"/>
      <c r="AT269" s="2646"/>
      <c r="AU269" s="2646"/>
      <c r="AV269" s="2646"/>
      <c r="AW269" s="2646"/>
      <c r="AX269" s="2646"/>
      <c r="AY269" s="2646"/>
      <c r="AZ269" s="2646"/>
      <c r="BA269" s="2646"/>
      <c r="BB269" s="2646"/>
      <c r="BC269" s="2646"/>
      <c r="BD269" s="2646"/>
      <c r="BE269" s="2646"/>
      <c r="BF269" s="2646"/>
      <c r="BG269" s="2646"/>
      <c r="BH269" s="2646"/>
    </row>
    <row r="270" spans="10:60">
      <c r="J270" s="2646"/>
      <c r="K270" s="2646"/>
      <c r="L270" s="2646"/>
      <c r="M270" s="2646"/>
      <c r="N270" s="2646"/>
      <c r="O270" s="2646"/>
      <c r="P270" s="2646"/>
      <c r="Q270" s="2646"/>
      <c r="R270" s="2646"/>
      <c r="S270" s="2646"/>
      <c r="T270" s="2646"/>
      <c r="U270" s="2646"/>
      <c r="V270" s="2646"/>
      <c r="W270" s="2646"/>
      <c r="X270" s="2646"/>
      <c r="Y270" s="2646"/>
      <c r="Z270" s="2646"/>
      <c r="AA270" s="2646"/>
      <c r="AB270" s="2646"/>
      <c r="AC270" s="2646"/>
      <c r="AD270" s="2646"/>
      <c r="AE270" s="2646"/>
      <c r="AF270" s="2646"/>
      <c r="AG270" s="2646"/>
      <c r="AH270" s="2646"/>
      <c r="AI270" s="2646"/>
      <c r="AJ270" s="2646"/>
      <c r="AK270" s="2646"/>
      <c r="AL270" s="2646"/>
      <c r="AM270" s="2646"/>
      <c r="AN270" s="2646"/>
      <c r="AO270" s="2646"/>
      <c r="AP270" s="2646"/>
      <c r="AQ270" s="2646"/>
      <c r="AR270" s="2646"/>
      <c r="AS270" s="2646"/>
      <c r="AT270" s="2646"/>
      <c r="AU270" s="2646"/>
      <c r="AV270" s="2646"/>
      <c r="AW270" s="2646"/>
      <c r="AX270" s="2646"/>
      <c r="AY270" s="2646"/>
      <c r="AZ270" s="2646"/>
      <c r="BA270" s="2646"/>
      <c r="BB270" s="2646"/>
      <c r="BC270" s="2646"/>
      <c r="BD270" s="2646"/>
      <c r="BE270" s="2646"/>
      <c r="BF270" s="2646"/>
      <c r="BG270" s="2646"/>
      <c r="BH270" s="2646"/>
    </row>
    <row r="271" spans="10:60">
      <c r="J271" s="2646"/>
      <c r="K271" s="2646"/>
      <c r="L271" s="2646"/>
      <c r="M271" s="2646"/>
      <c r="N271" s="2646"/>
      <c r="O271" s="2646"/>
      <c r="P271" s="2646"/>
      <c r="Q271" s="2646"/>
      <c r="R271" s="2646"/>
      <c r="S271" s="2646"/>
      <c r="T271" s="2646"/>
      <c r="U271" s="2646"/>
      <c r="V271" s="2646"/>
      <c r="W271" s="2646"/>
      <c r="X271" s="2646"/>
      <c r="Y271" s="2646"/>
      <c r="Z271" s="2646"/>
      <c r="AA271" s="2646"/>
      <c r="AB271" s="2646"/>
      <c r="AC271" s="2646"/>
      <c r="AD271" s="2646"/>
      <c r="AE271" s="2646"/>
      <c r="AF271" s="2646"/>
      <c r="AG271" s="2646"/>
      <c r="AH271" s="2646"/>
      <c r="AI271" s="2646"/>
      <c r="AJ271" s="2646"/>
      <c r="AK271" s="2646"/>
      <c r="AL271" s="2646"/>
      <c r="AM271" s="2646"/>
      <c r="AN271" s="2646"/>
      <c r="AO271" s="2646"/>
      <c r="AP271" s="2646"/>
      <c r="AQ271" s="2646"/>
      <c r="AR271" s="2646"/>
      <c r="AS271" s="2646"/>
      <c r="AT271" s="2646"/>
      <c r="AU271" s="2646"/>
      <c r="AV271" s="2646"/>
      <c r="AW271" s="2646"/>
      <c r="AX271" s="2646"/>
      <c r="AY271" s="2646"/>
      <c r="AZ271" s="2646"/>
      <c r="BA271" s="2646"/>
      <c r="BB271" s="2646"/>
      <c r="BC271" s="2646"/>
      <c r="BD271" s="2646"/>
      <c r="BE271" s="2646"/>
      <c r="BF271" s="2646"/>
      <c r="BG271" s="2646"/>
      <c r="BH271" s="2646"/>
    </row>
    <row r="272" spans="10:60">
      <c r="J272" s="2646"/>
      <c r="K272" s="2646"/>
      <c r="L272" s="2646"/>
      <c r="M272" s="2646"/>
      <c r="N272" s="2646"/>
      <c r="O272" s="2646"/>
      <c r="P272" s="2646"/>
      <c r="Q272" s="2646"/>
      <c r="R272" s="2646"/>
      <c r="S272" s="2646"/>
      <c r="T272" s="2646"/>
      <c r="U272" s="2646"/>
      <c r="V272" s="2646"/>
      <c r="W272" s="2646"/>
      <c r="X272" s="2646"/>
      <c r="Y272" s="2646"/>
      <c r="Z272" s="2646"/>
      <c r="AA272" s="2646"/>
      <c r="AB272" s="2646"/>
      <c r="AC272" s="2646"/>
      <c r="AD272" s="2646"/>
      <c r="AE272" s="2646"/>
      <c r="AF272" s="2646"/>
      <c r="AG272" s="2646"/>
      <c r="AH272" s="2646"/>
      <c r="AI272" s="2646"/>
      <c r="AJ272" s="2646"/>
      <c r="AK272" s="2646"/>
      <c r="AL272" s="2646"/>
      <c r="AM272" s="2646"/>
      <c r="AN272" s="2646"/>
      <c r="AO272" s="2646"/>
      <c r="AP272" s="2646"/>
      <c r="AQ272" s="2646"/>
      <c r="AR272" s="2646"/>
      <c r="AS272" s="2646"/>
      <c r="AT272" s="2646"/>
      <c r="AU272" s="2646"/>
      <c r="AV272" s="2646"/>
      <c r="AW272" s="2646"/>
      <c r="AX272" s="2646"/>
      <c r="AY272" s="2646"/>
      <c r="AZ272" s="2646"/>
      <c r="BA272" s="2646"/>
      <c r="BB272" s="2646"/>
      <c r="BC272" s="2646"/>
      <c r="BD272" s="2646"/>
      <c r="BE272" s="2646"/>
      <c r="BF272" s="2646"/>
      <c r="BG272" s="2646"/>
      <c r="BH272" s="2646"/>
    </row>
    <row r="273" spans="10:60">
      <c r="J273" s="2646"/>
      <c r="K273" s="2646"/>
      <c r="L273" s="2646"/>
      <c r="M273" s="2646"/>
      <c r="N273" s="2646"/>
      <c r="O273" s="2646"/>
      <c r="P273" s="2646"/>
      <c r="Q273" s="2646"/>
      <c r="R273" s="2646"/>
      <c r="S273" s="2646"/>
      <c r="T273" s="2646"/>
      <c r="U273" s="2646"/>
      <c r="V273" s="2646"/>
      <c r="W273" s="2646"/>
      <c r="X273" s="2646"/>
      <c r="Y273" s="2646"/>
      <c r="Z273" s="2646"/>
      <c r="AA273" s="2646"/>
      <c r="AB273" s="2646"/>
      <c r="AC273" s="2646"/>
      <c r="AD273" s="2646"/>
      <c r="AE273" s="2646"/>
      <c r="AF273" s="2646"/>
      <c r="AG273" s="2646"/>
      <c r="AH273" s="2646"/>
      <c r="AI273" s="2646"/>
      <c r="AJ273" s="2646"/>
      <c r="AK273" s="2646"/>
      <c r="AL273" s="2646"/>
      <c r="AM273" s="2646"/>
      <c r="AN273" s="2646"/>
      <c r="AO273" s="2646"/>
      <c r="AP273" s="2646"/>
      <c r="AQ273" s="2646"/>
      <c r="AR273" s="2646"/>
      <c r="AS273" s="2646"/>
      <c r="AT273" s="2646"/>
      <c r="AU273" s="2646"/>
      <c r="AV273" s="2646"/>
      <c r="AW273" s="2646"/>
      <c r="AX273" s="2646"/>
      <c r="AY273" s="2646"/>
      <c r="AZ273" s="2646"/>
      <c r="BA273" s="2646"/>
      <c r="BB273" s="2646"/>
      <c r="BC273" s="2646"/>
      <c r="BD273" s="2646"/>
      <c r="BE273" s="2646"/>
      <c r="BF273" s="2646"/>
      <c r="BG273" s="2646"/>
      <c r="BH273" s="2646"/>
    </row>
    <row r="274" spans="10:60">
      <c r="J274" s="2646"/>
      <c r="K274" s="2646"/>
      <c r="L274" s="2646"/>
      <c r="M274" s="2646"/>
      <c r="N274" s="2646"/>
      <c r="O274" s="2646"/>
      <c r="P274" s="2646"/>
      <c r="Q274" s="2646"/>
      <c r="R274" s="2646"/>
      <c r="S274" s="2646"/>
      <c r="T274" s="2646"/>
      <c r="U274" s="2646"/>
      <c r="V274" s="2646"/>
      <c r="W274" s="2646"/>
      <c r="X274" s="2646"/>
      <c r="Y274" s="2646"/>
      <c r="Z274" s="2646"/>
      <c r="AA274" s="2646"/>
      <c r="AB274" s="2646"/>
      <c r="AC274" s="2646"/>
      <c r="AD274" s="2646"/>
      <c r="AE274" s="2646"/>
      <c r="AF274" s="2646"/>
      <c r="AG274" s="2646"/>
      <c r="AH274" s="2646"/>
      <c r="AI274" s="2646"/>
      <c r="AJ274" s="2646"/>
      <c r="AK274" s="2646"/>
      <c r="AL274" s="2646"/>
      <c r="AM274" s="2646"/>
      <c r="AN274" s="2646"/>
      <c r="AO274" s="2646"/>
      <c r="AP274" s="2646"/>
      <c r="AQ274" s="2646"/>
      <c r="AR274" s="2646"/>
      <c r="AS274" s="2646"/>
      <c r="AT274" s="2646"/>
      <c r="AU274" s="2646"/>
      <c r="AV274" s="2646"/>
      <c r="AW274" s="2646"/>
      <c r="AX274" s="2646"/>
      <c r="AY274" s="2646"/>
      <c r="AZ274" s="2646"/>
      <c r="BA274" s="2646"/>
      <c r="BB274" s="2646"/>
      <c r="BC274" s="2646"/>
      <c r="BD274" s="2646"/>
      <c r="BE274" s="2646"/>
      <c r="BF274" s="2646"/>
      <c r="BG274" s="2646"/>
      <c r="BH274" s="2646"/>
    </row>
    <row r="275" spans="10:60">
      <c r="J275" s="2646"/>
      <c r="K275" s="2646"/>
      <c r="L275" s="2646"/>
      <c r="M275" s="2646"/>
      <c r="N275" s="2646"/>
      <c r="O275" s="2646"/>
      <c r="P275" s="2646"/>
      <c r="Q275" s="2646"/>
      <c r="R275" s="2646"/>
      <c r="S275" s="2646"/>
      <c r="T275" s="2646"/>
      <c r="U275" s="2646"/>
      <c r="V275" s="2646"/>
      <c r="W275" s="2646"/>
      <c r="X275" s="2646"/>
      <c r="Y275" s="2646"/>
      <c r="Z275" s="2646"/>
      <c r="AA275" s="2646"/>
      <c r="AB275" s="2646"/>
      <c r="AC275" s="2646"/>
      <c r="AD275" s="2646"/>
      <c r="AE275" s="2646"/>
      <c r="AF275" s="2646"/>
      <c r="AG275" s="2646"/>
      <c r="AH275" s="2646"/>
      <c r="AI275" s="2646"/>
      <c r="AJ275" s="2646"/>
      <c r="AK275" s="2646"/>
      <c r="AL275" s="2646"/>
      <c r="AM275" s="2646"/>
      <c r="AN275" s="2646"/>
      <c r="AO275" s="2646"/>
      <c r="AP275" s="2646"/>
      <c r="AQ275" s="2646"/>
      <c r="AR275" s="2646"/>
      <c r="AS275" s="2646"/>
      <c r="AT275" s="2646"/>
      <c r="AU275" s="2646"/>
      <c r="AV275" s="2646"/>
      <c r="AW275" s="2646"/>
      <c r="AX275" s="2646"/>
      <c r="AY275" s="2646"/>
      <c r="AZ275" s="2646"/>
      <c r="BA275" s="2646"/>
      <c r="BB275" s="2646"/>
      <c r="BC275" s="2646"/>
      <c r="BD275" s="2646"/>
      <c r="BE275" s="2646"/>
      <c r="BF275" s="2646"/>
      <c r="BG275" s="2646"/>
      <c r="BH275" s="2646"/>
    </row>
    <row r="276" spans="10:60">
      <c r="J276" s="2646"/>
      <c r="K276" s="2646"/>
      <c r="L276" s="2646"/>
      <c r="M276" s="2646"/>
      <c r="N276" s="2646"/>
      <c r="O276" s="2646"/>
      <c r="P276" s="2646"/>
      <c r="Q276" s="2646"/>
      <c r="R276" s="2646"/>
      <c r="S276" s="2646"/>
      <c r="T276" s="2646"/>
      <c r="U276" s="2646"/>
      <c r="V276" s="2646"/>
      <c r="W276" s="2646"/>
      <c r="X276" s="2646"/>
      <c r="Y276" s="2646"/>
      <c r="Z276" s="2646"/>
      <c r="AA276" s="2646"/>
      <c r="AB276" s="2646"/>
      <c r="AC276" s="2646"/>
      <c r="AD276" s="2646"/>
      <c r="AE276" s="2646"/>
      <c r="AF276" s="2646"/>
      <c r="AG276" s="2646"/>
      <c r="AH276" s="2646"/>
      <c r="AI276" s="2646"/>
      <c r="AJ276" s="2646"/>
      <c r="AK276" s="2646"/>
      <c r="AL276" s="2646"/>
      <c r="AM276" s="2646"/>
      <c r="AN276" s="2646"/>
      <c r="AO276" s="2646"/>
      <c r="AP276" s="2646"/>
      <c r="AQ276" s="2646"/>
      <c r="AR276" s="2646"/>
      <c r="AS276" s="2646"/>
      <c r="AT276" s="2646"/>
      <c r="AU276" s="2646"/>
      <c r="AV276" s="2646"/>
      <c r="AW276" s="2646"/>
      <c r="AX276" s="2646"/>
      <c r="AY276" s="2646"/>
      <c r="AZ276" s="2646"/>
      <c r="BA276" s="2646"/>
      <c r="BB276" s="2646"/>
      <c r="BC276" s="2646"/>
      <c r="BD276" s="2646"/>
      <c r="BE276" s="2646"/>
      <c r="BF276" s="2646"/>
      <c r="BG276" s="2646"/>
      <c r="BH276" s="2646"/>
    </row>
    <row r="277" spans="10:60">
      <c r="J277" s="2646"/>
      <c r="K277" s="2646"/>
      <c r="L277" s="2646"/>
      <c r="M277" s="2646"/>
      <c r="N277" s="2646"/>
      <c r="O277" s="2646"/>
      <c r="P277" s="2646"/>
      <c r="Q277" s="2646"/>
      <c r="R277" s="2646"/>
      <c r="S277" s="2646"/>
      <c r="T277" s="2646"/>
      <c r="U277" s="2646"/>
      <c r="V277" s="2646"/>
      <c r="W277" s="2646"/>
      <c r="X277" s="2646"/>
      <c r="Y277" s="2646"/>
      <c r="Z277" s="2646"/>
      <c r="AA277" s="2646"/>
      <c r="AB277" s="2646"/>
      <c r="AC277" s="2646"/>
      <c r="AD277" s="2646"/>
      <c r="AE277" s="2646"/>
      <c r="AF277" s="2646"/>
      <c r="AG277" s="2646"/>
      <c r="AH277" s="2646"/>
      <c r="AI277" s="2646"/>
      <c r="AJ277" s="2646"/>
      <c r="AK277" s="2646"/>
      <c r="AL277" s="2646"/>
      <c r="AM277" s="2646"/>
      <c r="AN277" s="2646"/>
      <c r="AO277" s="2646"/>
      <c r="AP277" s="2646"/>
      <c r="AQ277" s="2646"/>
      <c r="AR277" s="2646"/>
      <c r="AS277" s="2646"/>
      <c r="AT277" s="2646"/>
      <c r="AU277" s="2646"/>
      <c r="AV277" s="2646"/>
      <c r="AW277" s="2646"/>
      <c r="AX277" s="2646"/>
      <c r="AY277" s="2646"/>
      <c r="AZ277" s="2646"/>
      <c r="BA277" s="2646"/>
      <c r="BB277" s="2646"/>
      <c r="BC277" s="2646"/>
      <c r="BD277" s="2646"/>
      <c r="BE277" s="2646"/>
      <c r="BF277" s="2646"/>
      <c r="BG277" s="2646"/>
      <c r="BH277" s="2646"/>
    </row>
    <row r="278" spans="10:60">
      <c r="J278" s="2646"/>
      <c r="K278" s="2646"/>
      <c r="L278" s="2646"/>
      <c r="M278" s="2646"/>
      <c r="N278" s="2646"/>
      <c r="O278" s="2646"/>
      <c r="P278" s="2646"/>
      <c r="Q278" s="2646"/>
      <c r="R278" s="2646"/>
      <c r="S278" s="2646"/>
      <c r="T278" s="2646"/>
      <c r="U278" s="2646"/>
      <c r="V278" s="2646"/>
      <c r="W278" s="2646"/>
      <c r="X278" s="2646"/>
      <c r="Y278" s="2646"/>
      <c r="Z278" s="2646"/>
      <c r="AA278" s="2646"/>
      <c r="AB278" s="2646"/>
      <c r="AC278" s="2646"/>
      <c r="AD278" s="2646"/>
      <c r="AE278" s="2646"/>
      <c r="AF278" s="2646"/>
      <c r="AG278" s="2646"/>
      <c r="AH278" s="2646"/>
      <c r="AI278" s="2646"/>
      <c r="AJ278" s="2646"/>
      <c r="AK278" s="2646"/>
      <c r="AL278" s="2646"/>
      <c r="AM278" s="2646"/>
      <c r="AN278" s="2646"/>
      <c r="AO278" s="2646"/>
      <c r="AP278" s="2646"/>
      <c r="AQ278" s="2646"/>
      <c r="AR278" s="2646"/>
      <c r="AS278" s="2646"/>
      <c r="AT278" s="2646"/>
      <c r="AU278" s="2646"/>
      <c r="AV278" s="2646"/>
      <c r="AW278" s="2646"/>
      <c r="AX278" s="2646"/>
      <c r="AY278" s="2646"/>
      <c r="AZ278" s="2646"/>
      <c r="BA278" s="2646"/>
      <c r="BB278" s="2646"/>
      <c r="BC278" s="2646"/>
      <c r="BD278" s="2646"/>
      <c r="BE278" s="2646"/>
      <c r="BF278" s="2646"/>
      <c r="BG278" s="2646"/>
      <c r="BH278" s="2646"/>
    </row>
    <row r="279" spans="10:60">
      <c r="J279" s="2646"/>
      <c r="K279" s="2646"/>
      <c r="L279" s="2646"/>
      <c r="M279" s="2646"/>
      <c r="N279" s="2646"/>
      <c r="O279" s="2646"/>
      <c r="P279" s="2646"/>
      <c r="Q279" s="2646"/>
      <c r="R279" s="2646"/>
      <c r="S279" s="2646"/>
      <c r="T279" s="2646"/>
      <c r="U279" s="2646"/>
      <c r="V279" s="2646"/>
      <c r="W279" s="2646"/>
      <c r="X279" s="2646"/>
      <c r="Y279" s="2646"/>
      <c r="Z279" s="2646"/>
      <c r="AA279" s="2646"/>
      <c r="AB279" s="2646"/>
      <c r="AC279" s="2646"/>
      <c r="AD279" s="2646"/>
      <c r="AE279" s="2646"/>
      <c r="AF279" s="2646"/>
      <c r="AG279" s="2646"/>
      <c r="AH279" s="2646"/>
      <c r="AI279" s="2646"/>
      <c r="AJ279" s="2646"/>
      <c r="AK279" s="2646"/>
      <c r="AL279" s="2646"/>
      <c r="AM279" s="2646"/>
      <c r="AN279" s="2646"/>
      <c r="AO279" s="2646"/>
      <c r="AP279" s="2646"/>
      <c r="AQ279" s="2646"/>
      <c r="AR279" s="2646"/>
      <c r="AS279" s="2646"/>
      <c r="AT279" s="2646"/>
      <c r="AU279" s="2646"/>
      <c r="AV279" s="2646"/>
      <c r="AW279" s="2646"/>
      <c r="AX279" s="2646"/>
      <c r="AY279" s="2646"/>
      <c r="AZ279" s="2646"/>
      <c r="BA279" s="2646"/>
      <c r="BB279" s="2646"/>
      <c r="BC279" s="2646"/>
      <c r="BD279" s="2646"/>
      <c r="BE279" s="2646"/>
      <c r="BF279" s="2646"/>
      <c r="BG279" s="2646"/>
      <c r="BH279" s="2646"/>
    </row>
    <row r="280" spans="10:60">
      <c r="J280" s="2646"/>
      <c r="K280" s="2646"/>
      <c r="L280" s="2646"/>
      <c r="M280" s="2646"/>
      <c r="N280" s="2646"/>
      <c r="O280" s="2646"/>
      <c r="P280" s="2646"/>
      <c r="Q280" s="2646"/>
      <c r="R280" s="2646"/>
      <c r="S280" s="2646"/>
      <c r="T280" s="2646"/>
      <c r="U280" s="2646"/>
      <c r="V280" s="2646"/>
      <c r="W280" s="2646"/>
      <c r="X280" s="2646"/>
      <c r="Y280" s="2646"/>
      <c r="Z280" s="2646"/>
      <c r="AA280" s="2646"/>
      <c r="AB280" s="2646"/>
      <c r="AC280" s="2646"/>
      <c r="AD280" s="2646"/>
      <c r="AE280" s="2646"/>
      <c r="AF280" s="2646"/>
      <c r="AG280" s="2646"/>
      <c r="AH280" s="2646"/>
      <c r="AI280" s="2646"/>
      <c r="AJ280" s="2646"/>
      <c r="AK280" s="2646"/>
      <c r="AL280" s="2646"/>
      <c r="AM280" s="2646"/>
      <c r="AN280" s="2646"/>
      <c r="AO280" s="2646"/>
      <c r="AP280" s="2646"/>
      <c r="AQ280" s="2646"/>
      <c r="AR280" s="2646"/>
      <c r="AS280" s="2646"/>
      <c r="AT280" s="2646"/>
      <c r="AU280" s="2646"/>
      <c r="AV280" s="2646"/>
      <c r="AW280" s="2646"/>
      <c r="AX280" s="2646"/>
      <c r="AY280" s="2646"/>
      <c r="AZ280" s="2646"/>
      <c r="BA280" s="2646"/>
      <c r="BB280" s="2646"/>
      <c r="BC280" s="2646"/>
      <c r="BD280" s="2646"/>
      <c r="BE280" s="2646"/>
      <c r="BF280" s="2646"/>
      <c r="BG280" s="2646"/>
      <c r="BH280" s="2646"/>
    </row>
    <row r="281" spans="10:60">
      <c r="J281" s="2646"/>
      <c r="K281" s="2646"/>
      <c r="L281" s="2646"/>
      <c r="M281" s="2646"/>
      <c r="N281" s="2646"/>
      <c r="O281" s="2646"/>
      <c r="P281" s="2646"/>
      <c r="Q281" s="2646"/>
      <c r="R281" s="2646"/>
      <c r="S281" s="2646"/>
      <c r="T281" s="2646"/>
      <c r="U281" s="2646"/>
      <c r="V281" s="2646"/>
      <c r="W281" s="2646"/>
      <c r="X281" s="2646"/>
      <c r="Y281" s="2646"/>
      <c r="Z281" s="2646"/>
      <c r="AA281" s="2646"/>
      <c r="AB281" s="2646"/>
      <c r="AC281" s="2646"/>
      <c r="AD281" s="2646"/>
      <c r="AE281" s="2646"/>
      <c r="AF281" s="2646"/>
      <c r="AG281" s="2646"/>
      <c r="AH281" s="2646"/>
      <c r="AI281" s="2646"/>
      <c r="AJ281" s="2646"/>
      <c r="AK281" s="2646"/>
      <c r="AL281" s="2646"/>
      <c r="AM281" s="2646"/>
      <c r="AN281" s="2646"/>
      <c r="AO281" s="2646"/>
      <c r="AP281" s="2646"/>
      <c r="AQ281" s="2646"/>
      <c r="AR281" s="2646"/>
      <c r="AS281" s="2646"/>
      <c r="AT281" s="2646"/>
      <c r="AU281" s="2646"/>
      <c r="AV281" s="2646"/>
      <c r="AW281" s="2646"/>
      <c r="AX281" s="2646"/>
      <c r="AY281" s="2646"/>
      <c r="AZ281" s="2646"/>
      <c r="BA281" s="2646"/>
      <c r="BB281" s="2646"/>
      <c r="BC281" s="2646"/>
      <c r="BD281" s="2646"/>
      <c r="BE281" s="2646"/>
      <c r="BF281" s="2646"/>
      <c r="BG281" s="2646"/>
      <c r="BH281" s="2646"/>
    </row>
    <row r="282" spans="10:60">
      <c r="J282" s="2646"/>
      <c r="K282" s="2646"/>
      <c r="L282" s="2646"/>
      <c r="M282" s="2646"/>
      <c r="N282" s="2646"/>
      <c r="O282" s="2646"/>
      <c r="P282" s="2646"/>
      <c r="Q282" s="2646"/>
      <c r="R282" s="2646"/>
      <c r="S282" s="2646"/>
      <c r="T282" s="2646"/>
      <c r="U282" s="2646"/>
      <c r="V282" s="2646"/>
      <c r="W282" s="2646"/>
      <c r="X282" s="2646"/>
      <c r="Y282" s="2646"/>
      <c r="Z282" s="2646"/>
      <c r="AA282" s="2646"/>
      <c r="AB282" s="2646"/>
      <c r="AC282" s="2646"/>
      <c r="AD282" s="2646"/>
      <c r="AE282" s="2646"/>
      <c r="AF282" s="2646"/>
      <c r="AG282" s="2646"/>
      <c r="AH282" s="2646"/>
      <c r="AI282" s="2646"/>
      <c r="AJ282" s="2646"/>
      <c r="AK282" s="2646"/>
      <c r="AL282" s="2646"/>
      <c r="AM282" s="2646"/>
      <c r="AN282" s="2646"/>
      <c r="AO282" s="2646"/>
      <c r="AP282" s="2646"/>
      <c r="AQ282" s="2646"/>
      <c r="AR282" s="2646"/>
      <c r="AS282" s="2646"/>
      <c r="AT282" s="2646"/>
      <c r="AU282" s="2646"/>
      <c r="AV282" s="2646"/>
      <c r="AW282" s="2646"/>
      <c r="AX282" s="2646"/>
      <c r="AY282" s="2646"/>
      <c r="AZ282" s="2646"/>
      <c r="BA282" s="2646"/>
      <c r="BB282" s="2646"/>
      <c r="BC282" s="2646"/>
      <c r="BD282" s="2646"/>
      <c r="BE282" s="2646"/>
      <c r="BF282" s="2646"/>
      <c r="BG282" s="2646"/>
      <c r="BH282" s="2646"/>
    </row>
    <row r="283" spans="10:60">
      <c r="J283" s="2646"/>
      <c r="K283" s="2646"/>
      <c r="L283" s="2646"/>
      <c r="M283" s="2646"/>
      <c r="N283" s="2646"/>
      <c r="O283" s="2646"/>
      <c r="P283" s="2646"/>
      <c r="Q283" s="2646"/>
      <c r="R283" s="2646"/>
      <c r="S283" s="2646"/>
      <c r="T283" s="2646"/>
      <c r="U283" s="2646"/>
      <c r="V283" s="2646"/>
      <c r="W283" s="2646"/>
      <c r="X283" s="2646"/>
      <c r="Y283" s="2646"/>
      <c r="Z283" s="2646"/>
      <c r="AA283" s="2646"/>
      <c r="AB283" s="2646"/>
      <c r="AC283" s="2646"/>
      <c r="AD283" s="2646"/>
      <c r="AE283" s="2646"/>
      <c r="AF283" s="2646"/>
      <c r="AG283" s="2646"/>
      <c r="AH283" s="2646"/>
      <c r="AI283" s="2646"/>
      <c r="AJ283" s="2646"/>
      <c r="AK283" s="2646"/>
      <c r="AL283" s="2646"/>
      <c r="AM283" s="2646"/>
      <c r="AN283" s="2646"/>
      <c r="AO283" s="2646"/>
      <c r="AP283" s="2646"/>
      <c r="AQ283" s="2646"/>
      <c r="AR283" s="2646"/>
      <c r="AS283" s="2646"/>
      <c r="AT283" s="2646"/>
      <c r="AU283" s="2646"/>
      <c r="AV283" s="2646"/>
      <c r="AW283" s="2646"/>
      <c r="AX283" s="2646"/>
      <c r="AY283" s="2646"/>
      <c r="AZ283" s="2646"/>
      <c r="BA283" s="2646"/>
      <c r="BB283" s="2646"/>
      <c r="BC283" s="2646"/>
      <c r="BD283" s="2646"/>
      <c r="BE283" s="2646"/>
      <c r="BF283" s="2646"/>
      <c r="BG283" s="2646"/>
      <c r="BH283" s="2646"/>
    </row>
    <row r="284" spans="10:60">
      <c r="J284" s="2646"/>
      <c r="K284" s="2646"/>
      <c r="L284" s="2646"/>
      <c r="M284" s="2646"/>
      <c r="N284" s="2646"/>
      <c r="O284" s="2646"/>
      <c r="P284" s="2646"/>
      <c r="Q284" s="2646"/>
      <c r="R284" s="2646"/>
      <c r="S284" s="2646"/>
      <c r="T284" s="2646"/>
      <c r="U284" s="2646"/>
      <c r="V284" s="2646"/>
      <c r="W284" s="2646"/>
      <c r="X284" s="2646"/>
      <c r="Y284" s="2646"/>
      <c r="Z284" s="2646"/>
      <c r="AA284" s="2646"/>
      <c r="AB284" s="2646"/>
      <c r="AC284" s="2646"/>
      <c r="AD284" s="2646"/>
      <c r="AE284" s="2646"/>
      <c r="AF284" s="2646"/>
      <c r="AG284" s="2646"/>
      <c r="AH284" s="2646"/>
      <c r="AI284" s="2646"/>
      <c r="AJ284" s="2646"/>
      <c r="AK284" s="2646"/>
      <c r="AL284" s="2646"/>
      <c r="AM284" s="2646"/>
      <c r="AN284" s="2646"/>
      <c r="AO284" s="2646"/>
      <c r="AP284" s="2646"/>
      <c r="AQ284" s="2646"/>
      <c r="AR284" s="2646"/>
      <c r="AS284" s="2646"/>
      <c r="AT284" s="2646"/>
      <c r="AU284" s="2646"/>
      <c r="AV284" s="2646"/>
      <c r="AW284" s="2646"/>
      <c r="AX284" s="2646"/>
      <c r="AY284" s="2646"/>
      <c r="AZ284" s="2646"/>
      <c r="BA284" s="2646"/>
      <c r="BB284" s="2646"/>
      <c r="BC284" s="2646"/>
      <c r="BD284" s="2646"/>
      <c r="BE284" s="2646"/>
      <c r="BF284" s="2646"/>
      <c r="BG284" s="2646"/>
      <c r="BH284" s="2646"/>
    </row>
    <row r="285" spans="10:60">
      <c r="J285" s="2646"/>
      <c r="K285" s="2646"/>
      <c r="L285" s="2646"/>
      <c r="M285" s="2646"/>
      <c r="N285" s="2646"/>
      <c r="O285" s="2646"/>
      <c r="P285" s="2646"/>
      <c r="Q285" s="2646"/>
      <c r="R285" s="2646"/>
      <c r="S285" s="2646"/>
      <c r="T285" s="2646"/>
      <c r="U285" s="2646"/>
      <c r="V285" s="2646"/>
      <c r="W285" s="2646"/>
      <c r="X285" s="2646"/>
      <c r="Y285" s="2646"/>
      <c r="Z285" s="2646"/>
      <c r="AA285" s="2646"/>
      <c r="AB285" s="2646"/>
      <c r="AC285" s="2646"/>
      <c r="AD285" s="2646"/>
      <c r="AE285" s="2646"/>
      <c r="AF285" s="2646"/>
      <c r="AG285" s="2646"/>
      <c r="AH285" s="2646"/>
      <c r="AI285" s="2646"/>
      <c r="AJ285" s="2646"/>
      <c r="AK285" s="2646"/>
      <c r="AL285" s="2646"/>
      <c r="AM285" s="2646"/>
      <c r="AN285" s="2646"/>
      <c r="AO285" s="2646"/>
      <c r="AP285" s="2646"/>
      <c r="AQ285" s="2646"/>
      <c r="AR285" s="2646"/>
      <c r="AS285" s="2646"/>
      <c r="AT285" s="2646"/>
      <c r="AU285" s="2646"/>
      <c r="AV285" s="2646"/>
      <c r="AW285" s="2646"/>
      <c r="AX285" s="2646"/>
      <c r="AY285" s="2646"/>
      <c r="AZ285" s="2646"/>
      <c r="BA285" s="2646"/>
      <c r="BB285" s="2646"/>
      <c r="BC285" s="2646"/>
      <c r="BD285" s="2646"/>
      <c r="BE285" s="2646"/>
      <c r="BF285" s="2646"/>
      <c r="BG285" s="2646"/>
      <c r="BH285" s="2646"/>
    </row>
    <row r="286" spans="10:60">
      <c r="J286" s="2646"/>
      <c r="K286" s="2646"/>
      <c r="L286" s="2646"/>
      <c r="M286" s="2646"/>
      <c r="N286" s="2646"/>
      <c r="O286" s="2646"/>
      <c r="P286" s="2646"/>
      <c r="Q286" s="2646"/>
      <c r="R286" s="2646"/>
      <c r="S286" s="2646"/>
      <c r="T286" s="2646"/>
      <c r="U286" s="2646"/>
      <c r="V286" s="2646"/>
      <c r="W286" s="2646"/>
      <c r="X286" s="2646"/>
      <c r="Y286" s="2646"/>
      <c r="Z286" s="2646"/>
      <c r="AA286" s="2646"/>
      <c r="AB286" s="2646"/>
      <c r="AC286" s="2646"/>
      <c r="AD286" s="2646"/>
      <c r="AE286" s="2646"/>
      <c r="AF286" s="2646"/>
      <c r="AG286" s="2646"/>
      <c r="AH286" s="2646"/>
      <c r="AI286" s="2646"/>
      <c r="AJ286" s="2646"/>
      <c r="AK286" s="2646"/>
      <c r="AL286" s="2646"/>
      <c r="AM286" s="2646"/>
      <c r="AN286" s="2646"/>
      <c r="AO286" s="2646"/>
      <c r="AP286" s="2646"/>
      <c r="AQ286" s="2646"/>
      <c r="AR286" s="2646"/>
      <c r="AS286" s="2646"/>
      <c r="AT286" s="2646"/>
      <c r="AU286" s="2646"/>
      <c r="AV286" s="2646"/>
      <c r="AW286" s="2646"/>
      <c r="AX286" s="2646"/>
      <c r="AY286" s="2646"/>
      <c r="AZ286" s="2646"/>
      <c r="BA286" s="2646"/>
      <c r="BB286" s="2646"/>
      <c r="BC286" s="2646"/>
      <c r="BD286" s="2646"/>
      <c r="BE286" s="2646"/>
      <c r="BF286" s="2646"/>
      <c r="BG286" s="2646"/>
      <c r="BH286" s="2646"/>
    </row>
    <row r="287" spans="10:60">
      <c r="J287" s="2646"/>
      <c r="K287" s="2646"/>
      <c r="L287" s="2646"/>
      <c r="M287" s="2646"/>
      <c r="N287" s="2646"/>
      <c r="O287" s="2646"/>
      <c r="P287" s="2646"/>
      <c r="Q287" s="2646"/>
      <c r="R287" s="2646"/>
      <c r="S287" s="2646"/>
      <c r="T287" s="2646"/>
      <c r="U287" s="2646"/>
      <c r="V287" s="2646"/>
      <c r="W287" s="2646"/>
      <c r="X287" s="2646"/>
      <c r="Y287" s="2646"/>
      <c r="Z287" s="2646"/>
      <c r="AA287" s="2646"/>
      <c r="AB287" s="2646"/>
      <c r="AC287" s="2646"/>
      <c r="AD287" s="2646"/>
      <c r="AE287" s="2646"/>
      <c r="AF287" s="2646"/>
      <c r="AG287" s="2646"/>
      <c r="AH287" s="2646"/>
      <c r="AI287" s="2646"/>
      <c r="AJ287" s="2646"/>
      <c r="AK287" s="2646"/>
      <c r="AL287" s="2646"/>
      <c r="AM287" s="2646"/>
      <c r="AN287" s="2646"/>
      <c r="AO287" s="2646"/>
      <c r="AP287" s="2646"/>
      <c r="AQ287" s="2646"/>
      <c r="AR287" s="2646"/>
      <c r="AS287" s="2646"/>
      <c r="AT287" s="2646"/>
      <c r="AU287" s="2646"/>
      <c r="AV287" s="2646"/>
      <c r="AW287" s="2646"/>
      <c r="AX287" s="2646"/>
      <c r="AY287" s="2646"/>
      <c r="AZ287" s="2646"/>
      <c r="BA287" s="2646"/>
      <c r="BB287" s="2646"/>
      <c r="BC287" s="2646"/>
      <c r="BD287" s="2646"/>
      <c r="BE287" s="2646"/>
      <c r="BF287" s="2646"/>
      <c r="BG287" s="2646"/>
      <c r="BH287" s="2646"/>
    </row>
    <row r="288" spans="10:60">
      <c r="J288" s="2646"/>
      <c r="K288" s="2646"/>
      <c r="L288" s="2646"/>
      <c r="M288" s="2646"/>
      <c r="N288" s="2646"/>
      <c r="O288" s="2646"/>
      <c r="P288" s="2646"/>
      <c r="Q288" s="2646"/>
      <c r="R288" s="2646"/>
      <c r="S288" s="2646"/>
      <c r="T288" s="2646"/>
      <c r="U288" s="2646"/>
      <c r="V288" s="2646"/>
      <c r="W288" s="2646"/>
      <c r="X288" s="2646"/>
      <c r="Y288" s="2646"/>
      <c r="Z288" s="2646"/>
      <c r="AA288" s="2646"/>
      <c r="AB288" s="2646"/>
      <c r="AC288" s="2646"/>
      <c r="AD288" s="2646"/>
      <c r="AE288" s="2646"/>
      <c r="AF288" s="2646"/>
      <c r="AG288" s="2646"/>
      <c r="AH288" s="2646"/>
      <c r="AI288" s="2646"/>
      <c r="AJ288" s="2646"/>
      <c r="AK288" s="2646"/>
      <c r="AL288" s="2646"/>
      <c r="AM288" s="2646"/>
      <c r="AN288" s="2646"/>
      <c r="AO288" s="2646"/>
      <c r="AP288" s="2646"/>
      <c r="AQ288" s="2646"/>
      <c r="AR288" s="2646"/>
      <c r="AS288" s="2646"/>
      <c r="AT288" s="2646"/>
      <c r="AU288" s="2646"/>
      <c r="AV288" s="2646"/>
      <c r="AW288" s="2646"/>
      <c r="AX288" s="2646"/>
      <c r="AY288" s="2646"/>
      <c r="AZ288" s="2646"/>
      <c r="BA288" s="2646"/>
      <c r="BB288" s="2646"/>
      <c r="BC288" s="2646"/>
      <c r="BD288" s="2646"/>
      <c r="BE288" s="2646"/>
      <c r="BF288" s="2646"/>
      <c r="BG288" s="2646"/>
      <c r="BH288" s="2646"/>
    </row>
    <row r="289" spans="10:60">
      <c r="J289" s="2646"/>
      <c r="K289" s="2646"/>
      <c r="L289" s="2646"/>
      <c r="M289" s="2646"/>
      <c r="N289" s="2646"/>
      <c r="O289" s="2646"/>
      <c r="P289" s="2646"/>
      <c r="Q289" s="2646"/>
      <c r="R289" s="2646"/>
      <c r="S289" s="2646"/>
      <c r="T289" s="2646"/>
      <c r="U289" s="2646"/>
      <c r="V289" s="2646"/>
      <c r="W289" s="2646"/>
      <c r="X289" s="2646"/>
      <c r="Y289" s="2646"/>
      <c r="Z289" s="2646"/>
      <c r="AA289" s="2646"/>
      <c r="AB289" s="2646"/>
      <c r="AC289" s="2646"/>
      <c r="AD289" s="2646"/>
      <c r="AE289" s="2646"/>
      <c r="AF289" s="2646"/>
      <c r="AG289" s="2646"/>
      <c r="AH289" s="2646"/>
      <c r="AI289" s="2646"/>
      <c r="AJ289" s="2646"/>
      <c r="AK289" s="2646"/>
      <c r="AL289" s="2646"/>
      <c r="AM289" s="2646"/>
      <c r="AN289" s="2646"/>
      <c r="AO289" s="2646"/>
      <c r="AP289" s="2646"/>
      <c r="AQ289" s="2646"/>
      <c r="AR289" s="2646"/>
      <c r="AS289" s="2646"/>
      <c r="AT289" s="2646"/>
      <c r="AU289" s="2646"/>
      <c r="AV289" s="2646"/>
      <c r="AW289" s="2646"/>
      <c r="AX289" s="2646"/>
      <c r="AY289" s="2646"/>
      <c r="AZ289" s="2646"/>
      <c r="BA289" s="2646"/>
      <c r="BB289" s="2646"/>
      <c r="BC289" s="2646"/>
      <c r="BD289" s="2646"/>
      <c r="BE289" s="2646"/>
      <c r="BF289" s="2646"/>
      <c r="BG289" s="2646"/>
      <c r="BH289" s="2646"/>
    </row>
    <row r="290" spans="10:60">
      <c r="J290" s="2646"/>
      <c r="K290" s="2646"/>
      <c r="L290" s="2646"/>
      <c r="M290" s="2646"/>
      <c r="N290" s="2646"/>
      <c r="O290" s="2646"/>
      <c r="P290" s="2646"/>
      <c r="Q290" s="2646"/>
      <c r="R290" s="2646"/>
      <c r="S290" s="2646"/>
      <c r="T290" s="2646"/>
      <c r="U290" s="2646"/>
      <c r="V290" s="2646"/>
      <c r="W290" s="2646"/>
      <c r="X290" s="2646"/>
      <c r="Y290" s="2646"/>
      <c r="Z290" s="2646"/>
      <c r="AA290" s="2646"/>
      <c r="AB290" s="2646"/>
      <c r="AC290" s="2646"/>
      <c r="AD290" s="2646"/>
      <c r="AE290" s="2646"/>
      <c r="AF290" s="2646"/>
      <c r="AG290" s="2646"/>
      <c r="AH290" s="2646"/>
      <c r="AI290" s="2646"/>
      <c r="AJ290" s="2646"/>
      <c r="AK290" s="2646"/>
      <c r="AL290" s="2646"/>
      <c r="AM290" s="2646"/>
      <c r="AN290" s="2646"/>
      <c r="AO290" s="2646"/>
      <c r="AP290" s="2646"/>
      <c r="AQ290" s="2646"/>
      <c r="AR290" s="2646"/>
      <c r="AS290" s="2646"/>
      <c r="AT290" s="2646"/>
      <c r="AU290" s="2646"/>
      <c r="AV290" s="2646"/>
      <c r="AW290" s="2646"/>
      <c r="AX290" s="2646"/>
      <c r="AY290" s="2646"/>
      <c r="AZ290" s="2646"/>
      <c r="BA290" s="2646"/>
      <c r="BB290" s="2646"/>
      <c r="BC290" s="2646"/>
      <c r="BD290" s="2646"/>
      <c r="BE290" s="2646"/>
      <c r="BF290" s="2646"/>
      <c r="BG290" s="2646"/>
      <c r="BH290" s="2646"/>
    </row>
    <row r="291" spans="10:60">
      <c r="J291" s="2646"/>
      <c r="K291" s="2646"/>
      <c r="L291" s="2646"/>
      <c r="M291" s="2646"/>
      <c r="N291" s="2646"/>
      <c r="O291" s="2646"/>
      <c r="P291" s="2646"/>
      <c r="Q291" s="2646"/>
      <c r="R291" s="2646"/>
      <c r="S291" s="2646"/>
      <c r="T291" s="2646"/>
      <c r="U291" s="2646"/>
      <c r="V291" s="2646"/>
      <c r="W291" s="2646"/>
      <c r="X291" s="2646"/>
      <c r="Y291" s="2646"/>
      <c r="Z291" s="2646"/>
      <c r="AA291" s="2646"/>
      <c r="AB291" s="2646"/>
      <c r="AC291" s="2646"/>
      <c r="AD291" s="2646"/>
      <c r="AE291" s="2646"/>
      <c r="AF291" s="2646"/>
      <c r="AG291" s="2646"/>
      <c r="AH291" s="2646"/>
      <c r="AI291" s="2646"/>
      <c r="AJ291" s="2646"/>
      <c r="AK291" s="2646"/>
      <c r="AL291" s="2646"/>
      <c r="AM291" s="2646"/>
      <c r="AN291" s="2646"/>
      <c r="AO291" s="2646"/>
      <c r="AP291" s="2646"/>
      <c r="AQ291" s="2646"/>
      <c r="AR291" s="2646"/>
      <c r="AS291" s="2646"/>
      <c r="AT291" s="2646"/>
      <c r="AU291" s="2646"/>
      <c r="AV291" s="2646"/>
      <c r="AW291" s="2646"/>
      <c r="AX291" s="2646"/>
      <c r="AY291" s="2646"/>
      <c r="AZ291" s="2646"/>
      <c r="BA291" s="2646"/>
      <c r="BB291" s="2646"/>
      <c r="BC291" s="2646"/>
      <c r="BD291" s="2646"/>
      <c r="BE291" s="2646"/>
      <c r="BF291" s="2646"/>
      <c r="BG291" s="2646"/>
      <c r="BH291" s="2646"/>
    </row>
    <row r="292" spans="10:60">
      <c r="J292" s="2646"/>
      <c r="K292" s="2646"/>
      <c r="L292" s="2646"/>
      <c r="M292" s="2646"/>
      <c r="N292" s="2646"/>
      <c r="O292" s="2646"/>
      <c r="P292" s="2646"/>
      <c r="Q292" s="2646"/>
      <c r="R292" s="2646"/>
      <c r="S292" s="2646"/>
      <c r="T292" s="2646"/>
      <c r="U292" s="2646"/>
      <c r="V292" s="2646"/>
      <c r="W292" s="2646"/>
      <c r="X292" s="2646"/>
      <c r="Y292" s="2646"/>
      <c r="Z292" s="2646"/>
      <c r="AA292" s="2646"/>
      <c r="AB292" s="2646"/>
      <c r="AC292" s="2646"/>
      <c r="AD292" s="2646"/>
      <c r="AE292" s="2646"/>
      <c r="AF292" s="2646"/>
      <c r="AG292" s="2646"/>
      <c r="AH292" s="2646"/>
      <c r="AI292" s="2646"/>
      <c r="AJ292" s="2646"/>
      <c r="AK292" s="2646"/>
      <c r="AL292" s="2646"/>
      <c r="AM292" s="2646"/>
      <c r="AN292" s="2646"/>
      <c r="AO292" s="2646"/>
      <c r="AP292" s="2646"/>
      <c r="AQ292" s="2646"/>
      <c r="AR292" s="2646"/>
      <c r="AS292" s="2646"/>
      <c r="AT292" s="2646"/>
      <c r="AU292" s="2646"/>
      <c r="AV292" s="2646"/>
      <c r="AW292" s="2646"/>
      <c r="AX292" s="2646"/>
      <c r="AY292" s="2646"/>
      <c r="AZ292" s="2646"/>
      <c r="BA292" s="2646"/>
      <c r="BB292" s="2646"/>
      <c r="BC292" s="2646"/>
      <c r="BD292" s="2646"/>
      <c r="BE292" s="2646"/>
      <c r="BF292" s="2646"/>
      <c r="BG292" s="2646"/>
      <c r="BH292" s="2646"/>
    </row>
    <row r="293" spans="10:60">
      <c r="J293" s="2646"/>
      <c r="K293" s="2646"/>
      <c r="L293" s="2646"/>
      <c r="M293" s="2646"/>
      <c r="N293" s="2646"/>
      <c r="O293" s="2646"/>
      <c r="P293" s="2646"/>
      <c r="Q293" s="2646"/>
      <c r="R293" s="2646"/>
      <c r="S293" s="2646"/>
      <c r="T293" s="2646"/>
      <c r="U293" s="2646"/>
      <c r="V293" s="2646"/>
      <c r="W293" s="2646"/>
      <c r="X293" s="2646"/>
      <c r="Y293" s="2646"/>
      <c r="Z293" s="2646"/>
      <c r="AA293" s="2646"/>
      <c r="AB293" s="2646"/>
      <c r="AC293" s="2646"/>
      <c r="AD293" s="2646"/>
      <c r="AE293" s="2646"/>
      <c r="AF293" s="2646"/>
      <c r="AG293" s="2646"/>
      <c r="AH293" s="2646"/>
      <c r="AI293" s="2646"/>
      <c r="AJ293" s="2646"/>
      <c r="AK293" s="2646"/>
      <c r="AL293" s="2646"/>
      <c r="AM293" s="2646"/>
      <c r="AN293" s="2646"/>
      <c r="AO293" s="2646"/>
      <c r="AP293" s="2646"/>
      <c r="AQ293" s="2646"/>
      <c r="AR293" s="2646"/>
      <c r="AS293" s="2646"/>
      <c r="AT293" s="2646"/>
      <c r="AU293" s="2646"/>
      <c r="AV293" s="2646"/>
      <c r="AW293" s="2646"/>
      <c r="AX293" s="2646"/>
      <c r="AY293" s="2646"/>
      <c r="AZ293" s="2646"/>
      <c r="BA293" s="2646"/>
      <c r="BB293" s="2646"/>
      <c r="BC293" s="2646"/>
      <c r="BD293" s="2646"/>
      <c r="BE293" s="2646"/>
      <c r="BF293" s="2646"/>
      <c r="BG293" s="2646"/>
      <c r="BH293" s="2646"/>
    </row>
    <row r="294" spans="10:60">
      <c r="J294" s="2646"/>
      <c r="K294" s="2646"/>
      <c r="L294" s="2646"/>
      <c r="M294" s="2646"/>
      <c r="N294" s="2646"/>
      <c r="O294" s="2646"/>
      <c r="P294" s="2646"/>
      <c r="Q294" s="2646"/>
      <c r="R294" s="2646"/>
      <c r="S294" s="2646"/>
      <c r="T294" s="2646"/>
      <c r="U294" s="2646"/>
      <c r="V294" s="2646"/>
      <c r="W294" s="2646"/>
      <c r="X294" s="2646"/>
      <c r="Y294" s="2646"/>
      <c r="Z294" s="2646"/>
      <c r="AA294" s="2646"/>
      <c r="AB294" s="2646"/>
      <c r="AC294" s="2646"/>
      <c r="AD294" s="2646"/>
      <c r="AE294" s="2646"/>
      <c r="AF294" s="2646"/>
      <c r="AG294" s="2646"/>
      <c r="AH294" s="2646"/>
      <c r="AI294" s="2646"/>
      <c r="AJ294" s="2646"/>
      <c r="AK294" s="2646"/>
      <c r="AL294" s="2646"/>
      <c r="AM294" s="2646"/>
      <c r="AN294" s="2646"/>
      <c r="AO294" s="2646"/>
      <c r="AP294" s="2646"/>
      <c r="AQ294" s="2646"/>
      <c r="AR294" s="2646"/>
      <c r="AS294" s="2646"/>
      <c r="AT294" s="2646"/>
      <c r="AU294" s="2646"/>
      <c r="AV294" s="2646"/>
      <c r="AW294" s="2646"/>
      <c r="AX294" s="2646"/>
      <c r="AY294" s="2646"/>
      <c r="AZ294" s="2646"/>
      <c r="BA294" s="2646"/>
      <c r="BB294" s="2646"/>
      <c r="BC294" s="2646"/>
      <c r="BD294" s="2646"/>
      <c r="BE294" s="2646"/>
      <c r="BF294" s="2646"/>
      <c r="BG294" s="2646"/>
      <c r="BH294" s="2646"/>
    </row>
    <row r="295" spans="10:60">
      <c r="J295" s="2646"/>
      <c r="K295" s="2646"/>
      <c r="L295" s="2646"/>
      <c r="M295" s="2646"/>
      <c r="N295" s="2646"/>
      <c r="O295" s="2646"/>
      <c r="P295" s="2646"/>
      <c r="Q295" s="2646"/>
      <c r="R295" s="2646"/>
      <c r="S295" s="2646"/>
      <c r="T295" s="2646"/>
      <c r="U295" s="2646"/>
      <c r="V295" s="2646"/>
      <c r="W295" s="2646"/>
      <c r="X295" s="2646"/>
      <c r="Y295" s="2646"/>
      <c r="Z295" s="2646"/>
      <c r="AA295" s="2646"/>
      <c r="AB295" s="2646"/>
      <c r="AC295" s="2646"/>
      <c r="AD295" s="2646"/>
      <c r="AE295" s="2646"/>
      <c r="AF295" s="2646"/>
      <c r="AG295" s="2646"/>
      <c r="AH295" s="2646"/>
      <c r="AI295" s="2646"/>
      <c r="AJ295" s="2646"/>
      <c r="AK295" s="2646"/>
      <c r="AL295" s="2646"/>
      <c r="AM295" s="2646"/>
      <c r="AN295" s="2646"/>
      <c r="AO295" s="2646"/>
      <c r="AP295" s="2646"/>
      <c r="AQ295" s="2646"/>
      <c r="AR295" s="2646"/>
      <c r="AS295" s="2646"/>
      <c r="AT295" s="2646"/>
      <c r="AU295" s="2646"/>
      <c r="AV295" s="2646"/>
      <c r="AW295" s="2646"/>
      <c r="AX295" s="2646"/>
      <c r="AY295" s="2646"/>
      <c r="AZ295" s="2646"/>
      <c r="BA295" s="2646"/>
      <c r="BB295" s="2646"/>
      <c r="BC295" s="2646"/>
      <c r="BD295" s="2646"/>
      <c r="BE295" s="2646"/>
      <c r="BF295" s="2646"/>
      <c r="BG295" s="2646"/>
      <c r="BH295" s="2646"/>
    </row>
    <row r="296" spans="10:60">
      <c r="J296" s="2646"/>
      <c r="K296" s="2646"/>
      <c r="L296" s="2646"/>
      <c r="M296" s="2646"/>
      <c r="N296" s="2646"/>
      <c r="O296" s="2646"/>
      <c r="P296" s="2646"/>
      <c r="Q296" s="2646"/>
      <c r="R296" s="2646"/>
      <c r="S296" s="2646"/>
      <c r="T296" s="2646"/>
      <c r="U296" s="2646"/>
      <c r="V296" s="2646"/>
      <c r="W296" s="2646"/>
      <c r="X296" s="2646"/>
      <c r="Y296" s="2646"/>
      <c r="Z296" s="2646"/>
      <c r="AA296" s="2646"/>
      <c r="AB296" s="2646"/>
      <c r="AC296" s="2646"/>
      <c r="AD296" s="2646"/>
      <c r="AE296" s="2646"/>
      <c r="AF296" s="2646"/>
      <c r="AG296" s="2646"/>
      <c r="AH296" s="2646"/>
      <c r="AI296" s="2646"/>
      <c r="AJ296" s="2646"/>
      <c r="AK296" s="2646"/>
      <c r="AL296" s="2646"/>
      <c r="AM296" s="2646"/>
      <c r="AN296" s="2646"/>
      <c r="AO296" s="2646"/>
      <c r="AP296" s="2646"/>
      <c r="AQ296" s="2646"/>
      <c r="AR296" s="2646"/>
      <c r="AS296" s="2646"/>
      <c r="AT296" s="2646"/>
      <c r="AU296" s="2646"/>
      <c r="AV296" s="2646"/>
      <c r="AW296" s="2646"/>
      <c r="AX296" s="2646"/>
      <c r="AY296" s="2646"/>
      <c r="AZ296" s="2646"/>
      <c r="BA296" s="2646"/>
      <c r="BB296" s="2646"/>
      <c r="BC296" s="2646"/>
      <c r="BD296" s="2646"/>
      <c r="BE296" s="2646"/>
      <c r="BF296" s="2646"/>
      <c r="BG296" s="2646"/>
      <c r="BH296" s="2646"/>
    </row>
    <row r="297" spans="10:60">
      <c r="J297" s="2646"/>
      <c r="K297" s="2646"/>
      <c r="L297" s="2646"/>
      <c r="M297" s="2646"/>
      <c r="N297" s="2646"/>
      <c r="O297" s="2646"/>
      <c r="P297" s="2646"/>
      <c r="Q297" s="2646"/>
      <c r="R297" s="2646"/>
      <c r="S297" s="2646"/>
      <c r="T297" s="2646"/>
      <c r="U297" s="2646"/>
      <c r="V297" s="2646"/>
      <c r="W297" s="2646"/>
      <c r="X297" s="2646"/>
      <c r="Y297" s="2646"/>
      <c r="Z297" s="2646"/>
      <c r="AA297" s="2646"/>
      <c r="AB297" s="2646"/>
      <c r="AC297" s="2646"/>
      <c r="AD297" s="2646"/>
      <c r="AE297" s="2646"/>
      <c r="AF297" s="2646"/>
      <c r="AG297" s="2646"/>
      <c r="AH297" s="2646"/>
      <c r="AI297" s="2646"/>
      <c r="AJ297" s="2646"/>
      <c r="AK297" s="2646"/>
      <c r="AL297" s="2646"/>
      <c r="AM297" s="2646"/>
      <c r="AN297" s="2646"/>
      <c r="AO297" s="2646"/>
      <c r="AP297" s="2646"/>
      <c r="AQ297" s="2646"/>
      <c r="AR297" s="2646"/>
      <c r="AS297" s="2646"/>
      <c r="AT297" s="2646"/>
      <c r="AU297" s="2646"/>
      <c r="AV297" s="2646"/>
      <c r="AW297" s="2646"/>
      <c r="AX297" s="2646"/>
      <c r="AY297" s="2646"/>
      <c r="AZ297" s="2646"/>
      <c r="BA297" s="2646"/>
      <c r="BB297" s="2646"/>
      <c r="BC297" s="2646"/>
      <c r="BD297" s="2646"/>
      <c r="BE297" s="2646"/>
      <c r="BF297" s="2646"/>
      <c r="BG297" s="2646"/>
      <c r="BH297" s="2646"/>
    </row>
    <row r="298" spans="10:60">
      <c r="J298" s="2646"/>
      <c r="K298" s="2646"/>
      <c r="L298" s="2646"/>
      <c r="M298" s="2646"/>
      <c r="N298" s="2646"/>
      <c r="O298" s="2646"/>
      <c r="P298" s="2646"/>
      <c r="Q298" s="2646"/>
      <c r="R298" s="2646"/>
      <c r="S298" s="2646"/>
      <c r="T298" s="2646"/>
      <c r="U298" s="2646"/>
      <c r="V298" s="2646"/>
      <c r="W298" s="2646"/>
      <c r="X298" s="2646"/>
      <c r="Y298" s="2646"/>
      <c r="Z298" s="2646"/>
      <c r="AA298" s="2646"/>
      <c r="AB298" s="2646"/>
      <c r="AC298" s="2646"/>
      <c r="AD298" s="2646"/>
      <c r="AE298" s="2646"/>
      <c r="AF298" s="2646"/>
      <c r="AG298" s="2646"/>
      <c r="AH298" s="2646"/>
      <c r="AI298" s="2646"/>
      <c r="AJ298" s="2646"/>
      <c r="AK298" s="2646"/>
      <c r="AL298" s="2646"/>
      <c r="AM298" s="2646"/>
      <c r="AN298" s="2646"/>
      <c r="AO298" s="2646"/>
      <c r="AP298" s="2646"/>
      <c r="AQ298" s="2646"/>
      <c r="AR298" s="2646"/>
      <c r="AS298" s="2646"/>
      <c r="AT298" s="2646"/>
      <c r="AU298" s="2646"/>
      <c r="AV298" s="2646"/>
      <c r="AW298" s="2646"/>
      <c r="AX298" s="2646"/>
      <c r="AY298" s="2646"/>
      <c r="AZ298" s="2646"/>
      <c r="BA298" s="2646"/>
      <c r="BB298" s="2646"/>
      <c r="BC298" s="2646"/>
      <c r="BD298" s="2646"/>
      <c r="BE298" s="2646"/>
      <c r="BF298" s="2646"/>
      <c r="BG298" s="2646"/>
      <c r="BH298" s="2646"/>
    </row>
    <row r="299" spans="10:60">
      <c r="J299" s="2646"/>
      <c r="K299" s="2646"/>
      <c r="L299" s="2646"/>
      <c r="M299" s="2646"/>
      <c r="N299" s="2646"/>
      <c r="O299" s="2646"/>
      <c r="P299" s="2646"/>
      <c r="Q299" s="2646"/>
      <c r="R299" s="2646"/>
      <c r="S299" s="2646"/>
      <c r="T299" s="2646"/>
      <c r="U299" s="2646"/>
      <c r="V299" s="2646"/>
      <c r="W299" s="2646"/>
      <c r="X299" s="2646"/>
      <c r="Y299" s="2646"/>
      <c r="Z299" s="2646"/>
      <c r="AA299" s="2646"/>
      <c r="AB299" s="2646"/>
      <c r="AC299" s="2646"/>
      <c r="AD299" s="2646"/>
      <c r="AE299" s="2646"/>
      <c r="AF299" s="2646"/>
      <c r="AG299" s="2646"/>
      <c r="AH299" s="2646"/>
      <c r="AI299" s="2646"/>
      <c r="AJ299" s="2646"/>
      <c r="AK299" s="2646"/>
      <c r="AL299" s="2646"/>
      <c r="AM299" s="2646"/>
      <c r="AN299" s="2646"/>
      <c r="AO299" s="2646"/>
      <c r="AP299" s="2646"/>
      <c r="AQ299" s="2646"/>
      <c r="AR299" s="2646"/>
      <c r="AS299" s="2646"/>
      <c r="AT299" s="2646"/>
      <c r="AU299" s="2646"/>
      <c r="AV299" s="2646"/>
      <c r="AW299" s="2646"/>
      <c r="AX299" s="2646"/>
      <c r="AY299" s="2646"/>
      <c r="AZ299" s="2646"/>
      <c r="BA299" s="2646"/>
      <c r="BB299" s="2646"/>
      <c r="BC299" s="2646"/>
      <c r="BD299" s="2646"/>
      <c r="BE299" s="2646"/>
      <c r="BF299" s="2646"/>
      <c r="BG299" s="2646"/>
      <c r="BH299" s="2646"/>
    </row>
    <row r="300" spans="10:60">
      <c r="J300" s="2646"/>
      <c r="K300" s="2646"/>
      <c r="L300" s="2646"/>
      <c r="M300" s="2646"/>
      <c r="N300" s="2646"/>
      <c r="O300" s="2646"/>
      <c r="P300" s="2646"/>
      <c r="Q300" s="2646"/>
      <c r="R300" s="2646"/>
      <c r="S300" s="2646"/>
      <c r="T300" s="2646"/>
      <c r="U300" s="2646"/>
      <c r="V300" s="2646"/>
      <c r="W300" s="2646"/>
      <c r="X300" s="2646"/>
      <c r="Y300" s="2646"/>
      <c r="Z300" s="2646"/>
      <c r="AA300" s="2646"/>
      <c r="AB300" s="2646"/>
      <c r="AC300" s="2646"/>
      <c r="AD300" s="2646"/>
      <c r="AE300" s="2646"/>
      <c r="AF300" s="2646"/>
      <c r="AG300" s="2646"/>
      <c r="AH300" s="2646"/>
      <c r="AI300" s="2646"/>
      <c r="AJ300" s="2646"/>
      <c r="AK300" s="2646"/>
      <c r="AL300" s="2646"/>
      <c r="AM300" s="2646"/>
      <c r="AN300" s="2646"/>
      <c r="AO300" s="2646"/>
      <c r="AP300" s="2646"/>
      <c r="AQ300" s="2646"/>
      <c r="AR300" s="2646"/>
      <c r="AS300" s="2646"/>
      <c r="AT300" s="2646"/>
      <c r="AU300" s="2646"/>
      <c r="AV300" s="2646"/>
      <c r="AW300" s="2646"/>
      <c r="AX300" s="2646"/>
      <c r="AY300" s="2646"/>
      <c r="AZ300" s="2646"/>
      <c r="BA300" s="2646"/>
      <c r="BB300" s="2646"/>
      <c r="BC300" s="2646"/>
      <c r="BD300" s="2646"/>
      <c r="BE300" s="2646"/>
      <c r="BF300" s="2646"/>
      <c r="BG300" s="2646"/>
      <c r="BH300" s="2646"/>
    </row>
    <row r="301" spans="10:60">
      <c r="J301" s="2646"/>
      <c r="K301" s="2646"/>
      <c r="L301" s="2646"/>
      <c r="M301" s="2646"/>
      <c r="N301" s="2646"/>
      <c r="O301" s="2646"/>
      <c r="P301" s="2646"/>
      <c r="Q301" s="2646"/>
      <c r="R301" s="2646"/>
      <c r="S301" s="2646"/>
      <c r="T301" s="2646"/>
      <c r="U301" s="2646"/>
      <c r="V301" s="2646"/>
      <c r="W301" s="2646"/>
      <c r="X301" s="2646"/>
      <c r="Y301" s="2646"/>
      <c r="Z301" s="2646"/>
      <c r="AA301" s="2646"/>
      <c r="AB301" s="2646"/>
      <c r="AC301" s="2646"/>
      <c r="AD301" s="2646"/>
      <c r="AE301" s="2646"/>
      <c r="AF301" s="2646"/>
      <c r="AG301" s="2646"/>
      <c r="AH301" s="2646"/>
      <c r="AI301" s="2646"/>
      <c r="AJ301" s="2646"/>
      <c r="AK301" s="2646"/>
      <c r="AL301" s="2646"/>
      <c r="AM301" s="2646"/>
      <c r="AN301" s="2646"/>
      <c r="AO301" s="2646"/>
      <c r="AP301" s="2646"/>
      <c r="AQ301" s="2646"/>
      <c r="AR301" s="2646"/>
      <c r="AS301" s="2646"/>
      <c r="AT301" s="2646"/>
      <c r="AU301" s="2646"/>
      <c r="AV301" s="2646"/>
      <c r="AW301" s="2646"/>
      <c r="AX301" s="2646"/>
      <c r="AY301" s="2646"/>
      <c r="AZ301" s="2646"/>
      <c r="BA301" s="2646"/>
      <c r="BB301" s="2646"/>
      <c r="BC301" s="2646"/>
      <c r="BD301" s="2646"/>
      <c r="BE301" s="2646"/>
      <c r="BF301" s="2646"/>
      <c r="BG301" s="2646"/>
      <c r="BH301" s="2646"/>
    </row>
    <row r="302" spans="10:60">
      <c r="J302" s="2646"/>
      <c r="K302" s="2646"/>
      <c r="L302" s="2646"/>
      <c r="M302" s="2646"/>
      <c r="N302" s="2646"/>
      <c r="O302" s="2646"/>
      <c r="P302" s="2646"/>
      <c r="Q302" s="2646"/>
      <c r="R302" s="2646"/>
      <c r="S302" s="2646"/>
      <c r="T302" s="2646"/>
      <c r="U302" s="2646"/>
      <c r="V302" s="2646"/>
      <c r="W302" s="2646"/>
      <c r="X302" s="2646"/>
      <c r="Y302" s="2646"/>
      <c r="Z302" s="2646"/>
      <c r="AA302" s="2646"/>
      <c r="AB302" s="2646"/>
      <c r="AC302" s="2646"/>
      <c r="AD302" s="2646"/>
      <c r="AE302" s="2646"/>
      <c r="AF302" s="2646"/>
      <c r="AG302" s="2646"/>
      <c r="AH302" s="2646"/>
      <c r="AI302" s="2646"/>
      <c r="AJ302" s="2646"/>
      <c r="AK302" s="2646"/>
      <c r="AL302" s="2646"/>
      <c r="AM302" s="2646"/>
      <c r="AN302" s="2646"/>
      <c r="AO302" s="2646"/>
      <c r="AP302" s="2646"/>
      <c r="AQ302" s="2646"/>
      <c r="AR302" s="2646"/>
      <c r="AS302" s="2646"/>
      <c r="AT302" s="2646"/>
      <c r="AU302" s="2646"/>
      <c r="AV302" s="2646"/>
      <c r="AW302" s="2646"/>
      <c r="AX302" s="2646"/>
      <c r="AY302" s="2646"/>
      <c r="AZ302" s="2646"/>
      <c r="BA302" s="2646"/>
      <c r="BB302" s="2646"/>
      <c r="BC302" s="2646"/>
      <c r="BD302" s="2646"/>
      <c r="BE302" s="2646"/>
      <c r="BF302" s="2646"/>
      <c r="BG302" s="2646"/>
      <c r="BH302" s="2646"/>
    </row>
    <row r="303" spans="10:60">
      <c r="J303" s="2646"/>
      <c r="K303" s="2646"/>
      <c r="L303" s="2646"/>
      <c r="M303" s="2646"/>
      <c r="N303" s="2646"/>
      <c r="O303" s="2646"/>
      <c r="P303" s="2646"/>
      <c r="Q303" s="2646"/>
      <c r="R303" s="2646"/>
      <c r="S303" s="2646"/>
      <c r="T303" s="2646"/>
      <c r="U303" s="2646"/>
      <c r="V303" s="2646"/>
      <c r="W303" s="2646"/>
      <c r="X303" s="2646"/>
      <c r="Y303" s="2646"/>
      <c r="Z303" s="2646"/>
      <c r="AA303" s="2646"/>
      <c r="AB303" s="2646"/>
      <c r="AC303" s="2646"/>
      <c r="AD303" s="2646"/>
      <c r="AE303" s="2646"/>
      <c r="AF303" s="2646"/>
      <c r="AG303" s="2646"/>
      <c r="AH303" s="2646"/>
      <c r="AI303" s="2646"/>
      <c r="AJ303" s="2646"/>
      <c r="AK303" s="2646"/>
      <c r="AL303" s="2646"/>
      <c r="AM303" s="2646"/>
      <c r="AN303" s="2646"/>
      <c r="AO303" s="2646"/>
      <c r="AP303" s="2646"/>
      <c r="AQ303" s="2646"/>
      <c r="AR303" s="2646"/>
      <c r="AS303" s="2646"/>
      <c r="AT303" s="2646"/>
      <c r="AU303" s="2646"/>
      <c r="AV303" s="2646"/>
      <c r="AW303" s="2646"/>
      <c r="AX303" s="2646"/>
      <c r="AY303" s="2646"/>
      <c r="AZ303" s="2646"/>
      <c r="BA303" s="2646"/>
      <c r="BB303" s="2646"/>
      <c r="BC303" s="2646"/>
      <c r="BD303" s="2646"/>
      <c r="BE303" s="2646"/>
      <c r="BF303" s="2646"/>
      <c r="BG303" s="2646"/>
      <c r="BH303" s="2646"/>
    </row>
    <row r="304" spans="10:60">
      <c r="J304" s="2646"/>
      <c r="K304" s="2646"/>
      <c r="L304" s="2646"/>
      <c r="M304" s="2646"/>
      <c r="N304" s="2646"/>
      <c r="O304" s="2646"/>
      <c r="P304" s="2646"/>
      <c r="Q304" s="2646"/>
      <c r="R304" s="2646"/>
      <c r="S304" s="2646"/>
      <c r="T304" s="2646"/>
      <c r="U304" s="2646"/>
      <c r="V304" s="2646"/>
      <c r="W304" s="2646"/>
      <c r="X304" s="2646"/>
      <c r="Y304" s="2646"/>
      <c r="Z304" s="2646"/>
      <c r="AA304" s="2646"/>
      <c r="AB304" s="2646"/>
      <c r="AC304" s="2646"/>
      <c r="AD304" s="2646"/>
      <c r="AE304" s="2646"/>
      <c r="AF304" s="2646"/>
      <c r="AG304" s="2646"/>
      <c r="AH304" s="2646"/>
      <c r="AI304" s="2646"/>
      <c r="AJ304" s="2646"/>
      <c r="AK304" s="2646"/>
      <c r="AL304" s="2646"/>
      <c r="AM304" s="2646"/>
      <c r="AN304" s="2646"/>
      <c r="AO304" s="2646"/>
      <c r="AP304" s="2646"/>
      <c r="AQ304" s="2646"/>
      <c r="AR304" s="2646"/>
      <c r="AS304" s="2646"/>
      <c r="AT304" s="2646"/>
      <c r="AU304" s="2646"/>
      <c r="AV304" s="2646"/>
      <c r="AW304" s="2646"/>
      <c r="AX304" s="2646"/>
      <c r="AY304" s="2646"/>
      <c r="AZ304" s="2646"/>
      <c r="BA304" s="2646"/>
      <c r="BB304" s="2646"/>
      <c r="BC304" s="2646"/>
      <c r="BD304" s="2646"/>
      <c r="BE304" s="2646"/>
      <c r="BF304" s="2646"/>
      <c r="BG304" s="2646"/>
      <c r="BH304" s="2646"/>
    </row>
    <row r="305" spans="10:60">
      <c r="J305" s="2646"/>
      <c r="K305" s="2646"/>
      <c r="L305" s="2646"/>
      <c r="M305" s="2646"/>
      <c r="N305" s="2646"/>
      <c r="O305" s="2646"/>
      <c r="P305" s="2646"/>
      <c r="Q305" s="2646"/>
      <c r="R305" s="2646"/>
      <c r="S305" s="2646"/>
      <c r="T305" s="2646"/>
      <c r="U305" s="2646"/>
      <c r="V305" s="2646"/>
      <c r="W305" s="2646"/>
      <c r="X305" s="2646"/>
      <c r="Y305" s="2646"/>
      <c r="Z305" s="2646"/>
      <c r="AA305" s="2646"/>
      <c r="AB305" s="2646"/>
      <c r="AC305" s="2646"/>
      <c r="AD305" s="2646"/>
      <c r="AE305" s="2646"/>
      <c r="AF305" s="2646"/>
      <c r="AG305" s="2646"/>
      <c r="AH305" s="2646"/>
      <c r="AI305" s="2646"/>
      <c r="AJ305" s="2646"/>
      <c r="AK305" s="2646"/>
      <c r="AL305" s="2646"/>
      <c r="AM305" s="2646"/>
      <c r="AN305" s="2646"/>
      <c r="AO305" s="2646"/>
      <c r="AP305" s="2646"/>
      <c r="AQ305" s="2646"/>
      <c r="AR305" s="2646"/>
      <c r="AS305" s="2646"/>
      <c r="AT305" s="2646"/>
      <c r="AU305" s="2646"/>
      <c r="AV305" s="2646"/>
      <c r="AW305" s="2646"/>
      <c r="AX305" s="2646"/>
      <c r="AY305" s="2646"/>
      <c r="AZ305" s="2646"/>
      <c r="BA305" s="2646"/>
      <c r="BB305" s="2646"/>
      <c r="BC305" s="2646"/>
      <c r="BD305" s="2646"/>
      <c r="BE305" s="2646"/>
      <c r="BF305" s="2646"/>
      <c r="BG305" s="2646"/>
      <c r="BH305" s="2646"/>
    </row>
    <row r="306" spans="10:60">
      <c r="J306" s="2646"/>
      <c r="K306" s="2646"/>
      <c r="L306" s="2646"/>
      <c r="M306" s="2646"/>
      <c r="N306" s="2646"/>
      <c r="O306" s="2646"/>
      <c r="P306" s="2646"/>
      <c r="Q306" s="2646"/>
      <c r="R306" s="2646"/>
      <c r="S306" s="2646"/>
      <c r="T306" s="2646"/>
      <c r="U306" s="2646"/>
      <c r="V306" s="2646"/>
      <c r="W306" s="2646"/>
      <c r="X306" s="2646"/>
      <c r="Y306" s="2646"/>
      <c r="Z306" s="2646"/>
      <c r="AA306" s="2646"/>
      <c r="AB306" s="2646"/>
      <c r="AC306" s="2646"/>
      <c r="AD306" s="2646"/>
      <c r="AE306" s="2646"/>
      <c r="AF306" s="2646"/>
      <c r="AG306" s="2646"/>
      <c r="AH306" s="2646"/>
      <c r="AI306" s="2646"/>
      <c r="AJ306" s="2646"/>
      <c r="AK306" s="2646"/>
      <c r="AL306" s="2646"/>
      <c r="AM306" s="2646"/>
      <c r="AN306" s="2646"/>
      <c r="AO306" s="2646"/>
      <c r="AP306" s="2646"/>
      <c r="AQ306" s="2646"/>
      <c r="AR306" s="2646"/>
      <c r="AS306" s="2646"/>
      <c r="AT306" s="2646"/>
      <c r="AU306" s="2646"/>
      <c r="AV306" s="2646"/>
      <c r="AW306" s="2646"/>
      <c r="AX306" s="2646"/>
      <c r="AY306" s="2646"/>
      <c r="AZ306" s="2646"/>
      <c r="BA306" s="2646"/>
      <c r="BB306" s="2646"/>
      <c r="BC306" s="2646"/>
      <c r="BD306" s="2646"/>
      <c r="BE306" s="2646"/>
      <c r="BF306" s="2646"/>
      <c r="BG306" s="2646"/>
      <c r="BH306" s="2646"/>
    </row>
    <row r="307" spans="10:60">
      <c r="J307" s="2646"/>
      <c r="K307" s="2646"/>
      <c r="L307" s="2646"/>
      <c r="M307" s="2646"/>
      <c r="N307" s="2646"/>
      <c r="O307" s="2646"/>
      <c r="P307" s="2646"/>
      <c r="Q307" s="2646"/>
      <c r="R307" s="2646"/>
      <c r="S307" s="2646"/>
      <c r="T307" s="2646"/>
      <c r="U307" s="2646"/>
      <c r="V307" s="2646"/>
      <c r="W307" s="2646"/>
      <c r="X307" s="2646"/>
      <c r="Y307" s="2646"/>
      <c r="Z307" s="2646"/>
      <c r="AA307" s="2646"/>
      <c r="AB307" s="2646"/>
      <c r="AC307" s="2646"/>
      <c r="AD307" s="2646"/>
      <c r="AE307" s="2646"/>
      <c r="AF307" s="2646"/>
      <c r="AG307" s="2646"/>
      <c r="AH307" s="2646"/>
      <c r="AI307" s="2646"/>
      <c r="AJ307" s="2646"/>
      <c r="AK307" s="2646"/>
      <c r="AL307" s="2646"/>
      <c r="AM307" s="2646"/>
      <c r="AN307" s="2646"/>
      <c r="AO307" s="2646"/>
      <c r="AP307" s="2646"/>
      <c r="AQ307" s="2646"/>
      <c r="AR307" s="2646"/>
      <c r="AS307" s="2646"/>
      <c r="AT307" s="2646"/>
      <c r="AU307" s="2646"/>
      <c r="AV307" s="2646"/>
      <c r="AW307" s="2646"/>
      <c r="AX307" s="2646"/>
      <c r="AY307" s="2646"/>
      <c r="AZ307" s="2646"/>
      <c r="BA307" s="2646"/>
      <c r="BB307" s="2646"/>
      <c r="BC307" s="2646"/>
      <c r="BD307" s="2646"/>
      <c r="BE307" s="2646"/>
      <c r="BF307" s="2646"/>
      <c r="BG307" s="2646"/>
      <c r="BH307" s="2646"/>
    </row>
    <row r="308" spans="10:60">
      <c r="J308" s="2646"/>
      <c r="K308" s="2646"/>
      <c r="L308" s="2646"/>
      <c r="M308" s="2646"/>
      <c r="N308" s="2646"/>
      <c r="O308" s="2646"/>
      <c r="P308" s="2646"/>
      <c r="Q308" s="2646"/>
      <c r="R308" s="2646"/>
      <c r="S308" s="2646"/>
      <c r="T308" s="2646"/>
      <c r="U308" s="2646"/>
      <c r="V308" s="2646"/>
      <c r="W308" s="2646"/>
      <c r="X308" s="2646"/>
      <c r="Y308" s="2646"/>
      <c r="Z308" s="2646"/>
      <c r="AA308" s="2646"/>
      <c r="AB308" s="2646"/>
      <c r="AC308" s="2646"/>
      <c r="AD308" s="2646"/>
      <c r="AE308" s="2646"/>
      <c r="AF308" s="2646"/>
      <c r="AG308" s="2646"/>
      <c r="AH308" s="2646"/>
      <c r="AI308" s="2646"/>
      <c r="AJ308" s="2646"/>
      <c r="AK308" s="2646"/>
      <c r="AL308" s="2646"/>
      <c r="AM308" s="2646"/>
      <c r="AN308" s="2646"/>
      <c r="AO308" s="2646"/>
      <c r="AP308" s="2646"/>
      <c r="AQ308" s="2646"/>
      <c r="AR308" s="2646"/>
      <c r="AS308" s="2646"/>
      <c r="AT308" s="2646"/>
      <c r="AU308" s="2646"/>
      <c r="AV308" s="2646"/>
      <c r="AW308" s="2646"/>
      <c r="AX308" s="2646"/>
      <c r="AY308" s="2646"/>
      <c r="AZ308" s="2646"/>
      <c r="BA308" s="2646"/>
      <c r="BB308" s="2646"/>
      <c r="BC308" s="2646"/>
      <c r="BD308" s="2646"/>
      <c r="BE308" s="2646"/>
      <c r="BF308" s="2646"/>
      <c r="BG308" s="2646"/>
      <c r="BH308" s="2646"/>
    </row>
    <row r="309" spans="10:60">
      <c r="J309" s="2646"/>
      <c r="K309" s="2646"/>
      <c r="L309" s="2646"/>
      <c r="M309" s="2646"/>
      <c r="N309" s="2646"/>
      <c r="O309" s="2646"/>
      <c r="P309" s="2646"/>
      <c r="Q309" s="2646"/>
      <c r="R309" s="2646"/>
      <c r="S309" s="2646"/>
      <c r="T309" s="2646"/>
      <c r="U309" s="2646"/>
      <c r="V309" s="2646"/>
      <c r="W309" s="2646"/>
      <c r="X309" s="2646"/>
      <c r="Y309" s="2646"/>
      <c r="Z309" s="2646"/>
      <c r="AA309" s="2646"/>
      <c r="AB309" s="2646"/>
      <c r="AC309" s="2646"/>
      <c r="AD309" s="2646"/>
      <c r="AE309" s="2646"/>
      <c r="AF309" s="2646"/>
      <c r="AG309" s="2646"/>
      <c r="AH309" s="2646"/>
      <c r="AI309" s="2646"/>
      <c r="AJ309" s="2646"/>
      <c r="AK309" s="2646"/>
      <c r="AL309" s="2646"/>
      <c r="AM309" s="2646"/>
      <c r="AN309" s="2646"/>
      <c r="AO309" s="2646"/>
      <c r="AP309" s="2646"/>
      <c r="AQ309" s="2646"/>
      <c r="AR309" s="2646"/>
      <c r="AS309" s="2646"/>
      <c r="AT309" s="2646"/>
      <c r="AU309" s="2646"/>
      <c r="AV309" s="2646"/>
      <c r="AW309" s="2646"/>
      <c r="AX309" s="2646"/>
      <c r="AY309" s="2646"/>
      <c r="AZ309" s="2646"/>
      <c r="BA309" s="2646"/>
      <c r="BB309" s="2646"/>
      <c r="BC309" s="2646"/>
      <c r="BD309" s="2646"/>
      <c r="BE309" s="2646"/>
      <c r="BF309" s="2646"/>
      <c r="BG309" s="2646"/>
      <c r="BH309" s="2646"/>
    </row>
    <row r="310" spans="10:60">
      <c r="J310" s="2646"/>
      <c r="K310" s="2646"/>
      <c r="L310" s="2646"/>
      <c r="M310" s="2646"/>
      <c r="N310" s="2646"/>
      <c r="O310" s="2646"/>
      <c r="P310" s="2646"/>
      <c r="Q310" s="2646"/>
      <c r="R310" s="2646"/>
      <c r="S310" s="2646"/>
      <c r="T310" s="2646"/>
      <c r="U310" s="2646"/>
      <c r="V310" s="2646"/>
      <c r="W310" s="2646"/>
      <c r="X310" s="2646"/>
      <c r="Y310" s="2646"/>
      <c r="Z310" s="2646"/>
      <c r="AA310" s="2646"/>
      <c r="AB310" s="2646"/>
      <c r="AC310" s="2646"/>
      <c r="AD310" s="2646"/>
      <c r="AE310" s="2646"/>
      <c r="AF310" s="2646"/>
      <c r="AG310" s="2646"/>
      <c r="AH310" s="2646"/>
      <c r="AI310" s="2646"/>
      <c r="AJ310" s="2646"/>
      <c r="AK310" s="2646"/>
      <c r="AL310" s="2646"/>
      <c r="AM310" s="2646"/>
      <c r="AN310" s="2646"/>
      <c r="AO310" s="2646"/>
      <c r="AP310" s="2646"/>
      <c r="AQ310" s="2646"/>
      <c r="AR310" s="2646"/>
      <c r="AS310" s="2646"/>
      <c r="AT310" s="2646"/>
      <c r="AU310" s="2646"/>
      <c r="AV310" s="2646"/>
      <c r="AW310" s="2646"/>
      <c r="AX310" s="2646"/>
      <c r="AY310" s="2646"/>
      <c r="AZ310" s="2646"/>
      <c r="BA310" s="2646"/>
      <c r="BB310" s="2646"/>
      <c r="BC310" s="2646"/>
      <c r="BD310" s="2646"/>
      <c r="BE310" s="2646"/>
      <c r="BF310" s="2646"/>
      <c r="BG310" s="2646"/>
      <c r="BH310" s="2646"/>
    </row>
    <row r="311" spans="10:60">
      <c r="J311" s="2646"/>
      <c r="K311" s="2646"/>
      <c r="L311" s="2646"/>
      <c r="M311" s="2646"/>
      <c r="N311" s="2646"/>
      <c r="O311" s="2646"/>
      <c r="P311" s="2646"/>
      <c r="Q311" s="2646"/>
      <c r="R311" s="2646"/>
      <c r="S311" s="2646"/>
      <c r="T311" s="2646"/>
      <c r="U311" s="2646"/>
      <c r="V311" s="2646"/>
      <c r="W311" s="2646"/>
      <c r="X311" s="2646"/>
      <c r="Y311" s="2646"/>
      <c r="Z311" s="2646"/>
      <c r="AA311" s="2646"/>
      <c r="AB311" s="2646"/>
      <c r="AC311" s="2646"/>
      <c r="AD311" s="2646"/>
      <c r="AE311" s="2646"/>
      <c r="AF311" s="2646"/>
      <c r="AG311" s="2646"/>
      <c r="AH311" s="2646"/>
      <c r="AI311" s="2646"/>
      <c r="AJ311" s="2646"/>
      <c r="AK311" s="2646"/>
      <c r="AL311" s="2646"/>
      <c r="AM311" s="2646"/>
      <c r="AN311" s="2646"/>
      <c r="AO311" s="2646"/>
      <c r="AP311" s="2646"/>
      <c r="AQ311" s="2646"/>
      <c r="AR311" s="2646"/>
      <c r="AS311" s="2646"/>
      <c r="AT311" s="2646"/>
      <c r="AU311" s="2646"/>
      <c r="AV311" s="2646"/>
      <c r="AW311" s="2646"/>
      <c r="AX311" s="2646"/>
      <c r="AY311" s="2646"/>
      <c r="AZ311" s="2646"/>
      <c r="BA311" s="2646"/>
      <c r="BB311" s="2646"/>
      <c r="BC311" s="2646"/>
      <c r="BD311" s="2646"/>
      <c r="BE311" s="2646"/>
      <c r="BF311" s="2646"/>
      <c r="BG311" s="2646"/>
      <c r="BH311" s="2646"/>
    </row>
    <row r="312" spans="10:60">
      <c r="J312" s="2646"/>
      <c r="K312" s="2646"/>
      <c r="L312" s="2646"/>
      <c r="M312" s="2646"/>
      <c r="N312" s="2646"/>
      <c r="O312" s="2646"/>
      <c r="P312" s="2646"/>
      <c r="Q312" s="2646"/>
      <c r="R312" s="2646"/>
      <c r="S312" s="2646"/>
      <c r="T312" s="2646"/>
      <c r="U312" s="2646"/>
      <c r="V312" s="2646"/>
      <c r="W312" s="2646"/>
      <c r="X312" s="2646"/>
      <c r="Y312" s="2646"/>
      <c r="Z312" s="2646"/>
      <c r="AA312" s="2646"/>
      <c r="AB312" s="2646"/>
      <c r="AC312" s="2646"/>
      <c r="AD312" s="2646"/>
      <c r="AE312" s="2646"/>
      <c r="AF312" s="2646"/>
      <c r="AG312" s="2646"/>
      <c r="AH312" s="2646"/>
      <c r="AI312" s="2646"/>
      <c r="AJ312" s="2646"/>
      <c r="AK312" s="2646"/>
      <c r="AL312" s="2646"/>
      <c r="AM312" s="2646"/>
      <c r="AN312" s="2646"/>
      <c r="AO312" s="2646"/>
      <c r="AP312" s="2646"/>
      <c r="AQ312" s="2646"/>
      <c r="AR312" s="2646"/>
      <c r="AS312" s="2646"/>
      <c r="AT312" s="2646"/>
      <c r="AU312" s="2646"/>
      <c r="AV312" s="2646"/>
      <c r="AW312" s="2646"/>
      <c r="AX312" s="2646"/>
      <c r="AY312" s="2646"/>
      <c r="AZ312" s="2646"/>
      <c r="BA312" s="2646"/>
      <c r="BB312" s="2646"/>
      <c r="BC312" s="2646"/>
      <c r="BD312" s="2646"/>
      <c r="BE312" s="2646"/>
      <c r="BF312" s="2646"/>
      <c r="BG312" s="2646"/>
      <c r="BH312" s="2646"/>
    </row>
    <row r="313" spans="10:60">
      <c r="J313" s="2646"/>
      <c r="K313" s="2646"/>
      <c r="L313" s="2646"/>
      <c r="M313" s="2646"/>
      <c r="N313" s="2646"/>
      <c r="O313" s="2646"/>
      <c r="P313" s="2646"/>
      <c r="Q313" s="2646"/>
      <c r="R313" s="2646"/>
      <c r="S313" s="2646"/>
      <c r="T313" s="2646"/>
      <c r="U313" s="2646"/>
      <c r="V313" s="2646"/>
      <c r="W313" s="2646"/>
      <c r="X313" s="2646"/>
      <c r="Y313" s="2646"/>
      <c r="Z313" s="2646"/>
      <c r="AA313" s="2646"/>
      <c r="AB313" s="2646"/>
      <c r="AC313" s="2646"/>
      <c r="AD313" s="2646"/>
      <c r="AE313" s="2646"/>
      <c r="AF313" s="2646"/>
      <c r="AG313" s="2646"/>
      <c r="AH313" s="2646"/>
      <c r="AI313" s="2646"/>
      <c r="AJ313" s="2646"/>
      <c r="AK313" s="2646"/>
      <c r="AL313" s="2646"/>
      <c r="AM313" s="2646"/>
      <c r="AN313" s="2646"/>
      <c r="AO313" s="2646"/>
      <c r="AP313" s="2646"/>
      <c r="AQ313" s="2646"/>
      <c r="AR313" s="2646"/>
      <c r="AS313" s="2646"/>
      <c r="AT313" s="2646"/>
      <c r="AU313" s="2646"/>
      <c r="AV313" s="2646"/>
      <c r="AW313" s="2646"/>
      <c r="AX313" s="2646"/>
      <c r="AY313" s="2646"/>
      <c r="AZ313" s="2646"/>
      <c r="BA313" s="2646"/>
      <c r="BB313" s="2646"/>
      <c r="BC313" s="2646"/>
      <c r="BD313" s="2646"/>
      <c r="BE313" s="2646"/>
      <c r="BF313" s="2646"/>
      <c r="BG313" s="2646"/>
      <c r="BH313" s="2646"/>
    </row>
    <row r="314" spans="10:60">
      <c r="J314" s="2646"/>
      <c r="K314" s="2646"/>
      <c r="L314" s="2646"/>
      <c r="M314" s="2646"/>
      <c r="N314" s="2646"/>
      <c r="O314" s="2646"/>
      <c r="P314" s="2646"/>
      <c r="Q314" s="2646"/>
      <c r="R314" s="2646"/>
      <c r="S314" s="2646"/>
      <c r="T314" s="2646"/>
      <c r="U314" s="2646"/>
      <c r="V314" s="2646"/>
      <c r="W314" s="2646"/>
      <c r="X314" s="2646"/>
      <c r="Y314" s="2646"/>
      <c r="Z314" s="2646"/>
      <c r="AA314" s="2646"/>
      <c r="AB314" s="2646"/>
      <c r="AC314" s="2646"/>
      <c r="AD314" s="2646"/>
      <c r="AE314" s="2646"/>
      <c r="AF314" s="2646"/>
      <c r="AG314" s="2646"/>
      <c r="AH314" s="2646"/>
      <c r="AI314" s="2646"/>
      <c r="AJ314" s="2646"/>
      <c r="AK314" s="2646"/>
      <c r="AL314" s="2646"/>
      <c r="AM314" s="2646"/>
      <c r="AN314" s="2646"/>
      <c r="AO314" s="2646"/>
      <c r="AP314" s="2646"/>
      <c r="AQ314" s="2646"/>
      <c r="AR314" s="2646"/>
      <c r="AS314" s="2646"/>
      <c r="AT314" s="2646"/>
      <c r="AU314" s="2646"/>
      <c r="AV314" s="2646"/>
      <c r="AW314" s="2646"/>
      <c r="AX314" s="2646"/>
      <c r="AY314" s="2646"/>
      <c r="AZ314" s="2646"/>
      <c r="BA314" s="2646"/>
      <c r="BB314" s="2646"/>
      <c r="BC314" s="2646"/>
      <c r="BD314" s="2646"/>
      <c r="BE314" s="2646"/>
      <c r="BF314" s="2646"/>
      <c r="BG314" s="2646"/>
      <c r="BH314" s="2646"/>
    </row>
    <row r="315" spans="10:60">
      <c r="J315" s="2646"/>
      <c r="K315" s="2646"/>
      <c r="L315" s="2646"/>
      <c r="M315" s="2646"/>
      <c r="N315" s="2646"/>
      <c r="O315" s="2646"/>
      <c r="P315" s="2646"/>
      <c r="Q315" s="2646"/>
      <c r="R315" s="2646"/>
      <c r="S315" s="2646"/>
      <c r="T315" s="2646"/>
      <c r="U315" s="2646"/>
      <c r="V315" s="2646"/>
      <c r="W315" s="2646"/>
      <c r="X315" s="2646"/>
      <c r="Y315" s="2646"/>
      <c r="Z315" s="2646"/>
      <c r="AA315" s="2646"/>
      <c r="AB315" s="2646"/>
      <c r="AC315" s="2646"/>
      <c r="AD315" s="2646"/>
      <c r="AE315" s="2646"/>
      <c r="AF315" s="2646"/>
      <c r="AG315" s="2646"/>
      <c r="AH315" s="2646"/>
      <c r="AI315" s="2646"/>
      <c r="AJ315" s="2646"/>
      <c r="AK315" s="2646"/>
      <c r="AL315" s="2646"/>
      <c r="AM315" s="2646"/>
      <c r="AN315" s="2646"/>
      <c r="AO315" s="2646"/>
      <c r="AP315" s="2646"/>
      <c r="AQ315" s="2646"/>
      <c r="AR315" s="2646"/>
      <c r="AS315" s="2646"/>
      <c r="AT315" s="2646"/>
      <c r="AU315" s="2646"/>
      <c r="AV315" s="2646"/>
      <c r="AW315" s="2646"/>
      <c r="AX315" s="2646"/>
      <c r="AY315" s="2646"/>
      <c r="AZ315" s="2646"/>
      <c r="BA315" s="2646"/>
      <c r="BB315" s="2646"/>
      <c r="BC315" s="2646"/>
      <c r="BD315" s="2646"/>
      <c r="BE315" s="2646"/>
      <c r="BF315" s="2646"/>
      <c r="BG315" s="2646"/>
      <c r="BH315" s="2646"/>
    </row>
    <row r="316" spans="10:60">
      <c r="J316" s="2646"/>
      <c r="K316" s="2646"/>
      <c r="L316" s="2646"/>
      <c r="M316" s="2646"/>
      <c r="N316" s="2646"/>
      <c r="O316" s="2646"/>
      <c r="P316" s="2646"/>
      <c r="Q316" s="2646"/>
      <c r="R316" s="2646"/>
      <c r="S316" s="2646"/>
      <c r="T316" s="2646"/>
      <c r="U316" s="2646"/>
      <c r="V316" s="2646"/>
      <c r="W316" s="2646"/>
      <c r="X316" s="2646"/>
      <c r="Y316" s="2646"/>
      <c r="Z316" s="2646"/>
      <c r="AA316" s="2646"/>
      <c r="AB316" s="2646"/>
      <c r="AC316" s="2646"/>
      <c r="AD316" s="2646"/>
      <c r="AE316" s="2646"/>
      <c r="AF316" s="2646"/>
      <c r="AG316" s="2646"/>
      <c r="AH316" s="2646"/>
      <c r="AI316" s="2646"/>
      <c r="AJ316" s="2646"/>
      <c r="AK316" s="2646"/>
      <c r="AL316" s="2646"/>
      <c r="AM316" s="2646"/>
      <c r="AN316" s="2646"/>
      <c r="AO316" s="2646"/>
      <c r="AP316" s="2646"/>
      <c r="AQ316" s="2646"/>
      <c r="AR316" s="2646"/>
      <c r="AS316" s="2646"/>
      <c r="AT316" s="2646"/>
      <c r="AU316" s="2646"/>
      <c r="AV316" s="2646"/>
      <c r="AW316" s="2646"/>
      <c r="AX316" s="2646"/>
      <c r="AY316" s="2646"/>
      <c r="AZ316" s="2646"/>
      <c r="BA316" s="2646"/>
      <c r="BB316" s="2646"/>
      <c r="BC316" s="2646"/>
      <c r="BD316" s="2646"/>
      <c r="BE316" s="2646"/>
      <c r="BF316" s="2646"/>
      <c r="BG316" s="2646"/>
      <c r="BH316" s="2646"/>
    </row>
    <row r="317" spans="10:60">
      <c r="J317" s="2646"/>
      <c r="K317" s="2646"/>
      <c r="L317" s="2646"/>
      <c r="M317" s="2646"/>
      <c r="N317" s="2646"/>
      <c r="O317" s="2646"/>
      <c r="P317" s="2646"/>
      <c r="Q317" s="2646"/>
      <c r="R317" s="2646"/>
      <c r="S317" s="2646"/>
      <c r="T317" s="2646"/>
      <c r="U317" s="2646"/>
      <c r="V317" s="2646"/>
      <c r="W317" s="2646"/>
      <c r="X317" s="2646"/>
      <c r="Y317" s="2646"/>
      <c r="Z317" s="2646"/>
      <c r="AA317" s="2646"/>
      <c r="AB317" s="2646"/>
      <c r="AC317" s="2646"/>
      <c r="AD317" s="2646"/>
      <c r="AE317" s="2646"/>
      <c r="AF317" s="2646"/>
      <c r="AG317" s="2646"/>
      <c r="AH317" s="2646"/>
      <c r="AI317" s="2646"/>
      <c r="AJ317" s="2646"/>
      <c r="AK317" s="2646"/>
      <c r="AL317" s="2646"/>
      <c r="AM317" s="2646"/>
      <c r="AN317" s="2646"/>
      <c r="AO317" s="2646"/>
      <c r="AP317" s="2646"/>
      <c r="AQ317" s="2646"/>
      <c r="AR317" s="2646"/>
      <c r="AS317" s="2646"/>
      <c r="AT317" s="2646"/>
      <c r="AU317" s="2646"/>
      <c r="AV317" s="2646"/>
      <c r="AW317" s="2646"/>
      <c r="AX317" s="2646"/>
      <c r="AY317" s="2646"/>
      <c r="AZ317" s="2646"/>
      <c r="BA317" s="2646"/>
      <c r="BB317" s="2646"/>
      <c r="BC317" s="2646"/>
      <c r="BD317" s="2646"/>
      <c r="BE317" s="2646"/>
      <c r="BF317" s="2646"/>
      <c r="BG317" s="2646"/>
      <c r="BH317" s="2646"/>
    </row>
    <row r="318" spans="10:60">
      <c r="J318" s="2646"/>
      <c r="K318" s="2646"/>
      <c r="L318" s="2646"/>
      <c r="M318" s="2646"/>
      <c r="N318" s="2646"/>
      <c r="O318" s="2646"/>
      <c r="P318" s="2646"/>
      <c r="Q318" s="2646"/>
      <c r="R318" s="2646"/>
      <c r="S318" s="2646"/>
      <c r="T318" s="2646"/>
      <c r="U318" s="2646"/>
      <c r="V318" s="2646"/>
      <c r="W318" s="2646"/>
      <c r="X318" s="2646"/>
      <c r="Y318" s="2646"/>
      <c r="Z318" s="2646"/>
      <c r="AA318" s="2646"/>
      <c r="AB318" s="2646"/>
      <c r="AC318" s="2646"/>
      <c r="AD318" s="2646"/>
      <c r="AE318" s="2646"/>
      <c r="AF318" s="2646"/>
      <c r="AG318" s="2646"/>
      <c r="AH318" s="2646"/>
      <c r="AI318" s="2646"/>
      <c r="AJ318" s="2646"/>
      <c r="AK318" s="2646"/>
      <c r="AL318" s="2646"/>
      <c r="AM318" s="2646"/>
      <c r="AN318" s="2646"/>
      <c r="AO318" s="2646"/>
      <c r="AP318" s="2646"/>
      <c r="AQ318" s="2646"/>
      <c r="AR318" s="2646"/>
      <c r="AS318" s="2646"/>
      <c r="AT318" s="2646"/>
      <c r="AU318" s="2646"/>
      <c r="AV318" s="2646"/>
      <c r="AW318" s="2646"/>
      <c r="AX318" s="2646"/>
      <c r="AY318" s="2646"/>
      <c r="AZ318" s="2646"/>
      <c r="BA318" s="2646"/>
      <c r="BB318" s="2646"/>
      <c r="BC318" s="2646"/>
      <c r="BD318" s="2646"/>
      <c r="BE318" s="2646"/>
      <c r="BF318" s="2646"/>
      <c r="BG318" s="2646"/>
      <c r="BH318" s="2646"/>
    </row>
    <row r="319" spans="10:60">
      <c r="J319" s="2646"/>
      <c r="K319" s="2646"/>
      <c r="L319" s="2646"/>
      <c r="M319" s="2646"/>
      <c r="N319" s="2646"/>
      <c r="O319" s="2646"/>
      <c r="P319" s="2646"/>
      <c r="Q319" s="2646"/>
      <c r="R319" s="2646"/>
      <c r="S319" s="2646"/>
      <c r="T319" s="2646"/>
      <c r="U319" s="2646"/>
      <c r="V319" s="2646"/>
      <c r="W319" s="2646"/>
      <c r="X319" s="2646"/>
      <c r="Y319" s="2646"/>
      <c r="Z319" s="2646"/>
      <c r="AA319" s="2646"/>
      <c r="AB319" s="2646"/>
      <c r="AC319" s="2646"/>
      <c r="AD319" s="2646"/>
      <c r="AE319" s="2646"/>
      <c r="AF319" s="2646"/>
      <c r="AG319" s="2646"/>
      <c r="AH319" s="2646"/>
      <c r="AI319" s="2646"/>
      <c r="AJ319" s="2646"/>
      <c r="AK319" s="2646"/>
      <c r="AL319" s="2646"/>
      <c r="AM319" s="2646"/>
      <c r="AN319" s="2646"/>
      <c r="AO319" s="2646"/>
      <c r="AP319" s="2646"/>
      <c r="AQ319" s="2646"/>
      <c r="AR319" s="2646"/>
      <c r="AS319" s="2646"/>
      <c r="AT319" s="2646"/>
      <c r="AU319" s="2646"/>
      <c r="AV319" s="2646"/>
      <c r="AW319" s="2646"/>
      <c r="AX319" s="2646"/>
      <c r="AY319" s="2646"/>
      <c r="AZ319" s="2646"/>
      <c r="BA319" s="2646"/>
      <c r="BB319" s="2646"/>
      <c r="BC319" s="2646"/>
      <c r="BD319" s="2646"/>
      <c r="BE319" s="2646"/>
      <c r="BF319" s="2646"/>
      <c r="BG319" s="2646"/>
      <c r="BH319" s="2646"/>
    </row>
    <row r="320" spans="10:60">
      <c r="J320" s="2646"/>
      <c r="K320" s="2646"/>
      <c r="L320" s="2646"/>
      <c r="M320" s="2646"/>
      <c r="N320" s="2646"/>
      <c r="O320" s="2646"/>
      <c r="P320" s="2646"/>
      <c r="Q320" s="2646"/>
      <c r="R320" s="2646"/>
      <c r="S320" s="2646"/>
      <c r="T320" s="2646"/>
      <c r="U320" s="2646"/>
      <c r="V320" s="2646"/>
      <c r="W320" s="2646"/>
      <c r="X320" s="2646"/>
      <c r="Y320" s="2646"/>
      <c r="Z320" s="2646"/>
      <c r="AA320" s="2646"/>
      <c r="AB320" s="2646"/>
      <c r="AC320" s="2646"/>
      <c r="AD320" s="2646"/>
      <c r="AE320" s="2646"/>
      <c r="AF320" s="2646"/>
      <c r="AG320" s="2646"/>
      <c r="AH320" s="2646"/>
      <c r="AI320" s="2646"/>
      <c r="AJ320" s="2646"/>
      <c r="AK320" s="2646"/>
      <c r="AL320" s="2646"/>
      <c r="AM320" s="2646"/>
      <c r="AN320" s="2646"/>
      <c r="AO320" s="2646"/>
      <c r="AP320" s="2646"/>
      <c r="AQ320" s="2646"/>
      <c r="AR320" s="2646"/>
      <c r="AS320" s="2646"/>
      <c r="AT320" s="2646"/>
      <c r="AU320" s="2646"/>
      <c r="AV320" s="2646"/>
      <c r="AW320" s="2646"/>
      <c r="AX320" s="2646"/>
      <c r="AY320" s="2646"/>
      <c r="AZ320" s="2646"/>
      <c r="BA320" s="2646"/>
      <c r="BB320" s="2646"/>
      <c r="BC320" s="2646"/>
      <c r="BD320" s="2646"/>
      <c r="BE320" s="2646"/>
      <c r="BF320" s="2646"/>
      <c r="BG320" s="2646"/>
      <c r="BH320" s="2646"/>
    </row>
    <row r="321" spans="10:60">
      <c r="J321" s="2646"/>
      <c r="K321" s="2646"/>
      <c r="L321" s="2646"/>
      <c r="M321" s="2646"/>
      <c r="N321" s="2646"/>
      <c r="O321" s="2646"/>
      <c r="P321" s="2646"/>
      <c r="Q321" s="2646"/>
      <c r="R321" s="2646"/>
      <c r="S321" s="2646"/>
      <c r="T321" s="2646"/>
      <c r="U321" s="2646"/>
      <c r="V321" s="2646"/>
      <c r="W321" s="2646"/>
      <c r="X321" s="2646"/>
      <c r="Y321" s="2646"/>
      <c r="Z321" s="2646"/>
      <c r="AA321" s="2646"/>
      <c r="AB321" s="2646"/>
      <c r="AC321" s="2646"/>
      <c r="AD321" s="2646"/>
      <c r="AE321" s="2646"/>
      <c r="AF321" s="2646"/>
      <c r="AG321" s="2646"/>
      <c r="AH321" s="2646"/>
      <c r="AI321" s="2646"/>
      <c r="AJ321" s="2646"/>
      <c r="AK321" s="2646"/>
      <c r="AL321" s="2646"/>
      <c r="AM321" s="2646"/>
      <c r="AN321" s="2646"/>
      <c r="AO321" s="2646"/>
      <c r="AP321" s="2646"/>
      <c r="AQ321" s="2646"/>
      <c r="AR321" s="2646"/>
      <c r="AS321" s="2646"/>
      <c r="AT321" s="2646"/>
      <c r="AU321" s="2646"/>
      <c r="AV321" s="2646"/>
      <c r="AW321" s="2646"/>
      <c r="AX321" s="2646"/>
      <c r="AY321" s="2646"/>
      <c r="AZ321" s="2646"/>
      <c r="BA321" s="2646"/>
      <c r="BB321" s="2646"/>
      <c r="BC321" s="2646"/>
      <c r="BD321" s="2646"/>
      <c r="BE321" s="2646"/>
      <c r="BF321" s="2646"/>
      <c r="BG321" s="2646"/>
      <c r="BH321" s="2646"/>
    </row>
    <row r="322" spans="10:60">
      <c r="J322" s="2646"/>
      <c r="K322" s="2646"/>
      <c r="L322" s="2646"/>
      <c r="M322" s="2646"/>
      <c r="N322" s="2646"/>
      <c r="O322" s="2646"/>
      <c r="P322" s="2646"/>
      <c r="Q322" s="2646"/>
      <c r="R322" s="2646"/>
      <c r="S322" s="2646"/>
      <c r="T322" s="2646"/>
      <c r="U322" s="2646"/>
      <c r="V322" s="2646"/>
      <c r="W322" s="2646"/>
      <c r="X322" s="2646"/>
      <c r="Y322" s="2646"/>
      <c r="Z322" s="2646"/>
      <c r="AA322" s="2646"/>
      <c r="AB322" s="2646"/>
      <c r="AC322" s="2646"/>
      <c r="AD322" s="2646"/>
      <c r="AE322" s="2646"/>
      <c r="AF322" s="2646"/>
      <c r="AG322" s="2646"/>
      <c r="AH322" s="2646"/>
      <c r="AI322" s="2646"/>
      <c r="AJ322" s="2646"/>
      <c r="AK322" s="2646"/>
      <c r="AL322" s="2646"/>
      <c r="AM322" s="2646"/>
      <c r="AN322" s="2646"/>
      <c r="AO322" s="2646"/>
      <c r="AP322" s="2646"/>
      <c r="AQ322" s="2646"/>
      <c r="AR322" s="2646"/>
      <c r="AS322" s="2646"/>
      <c r="AT322" s="2646"/>
      <c r="AU322" s="2646"/>
      <c r="AV322" s="2646"/>
      <c r="AW322" s="2646"/>
      <c r="AX322" s="2646"/>
      <c r="AY322" s="2646"/>
      <c r="AZ322" s="2646"/>
      <c r="BA322" s="2646"/>
      <c r="BB322" s="2646"/>
      <c r="BC322" s="2646"/>
      <c r="BD322" s="2646"/>
      <c r="BE322" s="2646"/>
      <c r="BF322" s="2646"/>
      <c r="BG322" s="2646"/>
      <c r="BH322" s="2646"/>
    </row>
    <row r="323" spans="10:60">
      <c r="J323" s="2646"/>
      <c r="K323" s="2646"/>
      <c r="L323" s="2646"/>
      <c r="M323" s="2646"/>
      <c r="N323" s="2646"/>
      <c r="O323" s="2646"/>
      <c r="P323" s="2646"/>
      <c r="Q323" s="2646"/>
      <c r="R323" s="2646"/>
      <c r="S323" s="2646"/>
      <c r="T323" s="2646"/>
      <c r="U323" s="2646"/>
      <c r="V323" s="2646"/>
      <c r="W323" s="2646"/>
      <c r="X323" s="2646"/>
      <c r="Y323" s="2646"/>
      <c r="Z323" s="2646"/>
      <c r="AA323" s="2646"/>
      <c r="AB323" s="2646"/>
      <c r="AC323" s="2646"/>
      <c r="AD323" s="2646"/>
      <c r="AE323" s="2646"/>
      <c r="AF323" s="2646"/>
      <c r="AG323" s="2646"/>
      <c r="AH323" s="2646"/>
      <c r="AI323" s="2646"/>
      <c r="AJ323" s="2646"/>
      <c r="AK323" s="2646"/>
      <c r="AL323" s="2646"/>
      <c r="AM323" s="2646"/>
      <c r="AN323" s="2646"/>
      <c r="AO323" s="2646"/>
      <c r="AP323" s="2646"/>
      <c r="AQ323" s="2646"/>
      <c r="AR323" s="2646"/>
      <c r="AS323" s="2646"/>
      <c r="AT323" s="2646"/>
      <c r="AU323" s="2646"/>
      <c r="AV323" s="2646"/>
      <c r="AW323" s="2646"/>
      <c r="AX323" s="2646"/>
      <c r="AY323" s="2646"/>
      <c r="AZ323" s="2646"/>
      <c r="BA323" s="2646"/>
      <c r="BB323" s="2646"/>
      <c r="BC323" s="2646"/>
      <c r="BD323" s="2646"/>
      <c r="BE323" s="2646"/>
      <c r="BF323" s="2646"/>
      <c r="BG323" s="2646"/>
      <c r="BH323" s="2646"/>
    </row>
    <row r="324" spans="10:60">
      <c r="J324" s="2646"/>
      <c r="K324" s="2646"/>
      <c r="L324" s="2646"/>
      <c r="M324" s="2646"/>
      <c r="N324" s="2646"/>
      <c r="O324" s="2646"/>
      <c r="P324" s="2646"/>
      <c r="Q324" s="2646"/>
      <c r="R324" s="2646"/>
      <c r="S324" s="2646"/>
      <c r="T324" s="2646"/>
      <c r="U324" s="2646"/>
      <c r="V324" s="2646"/>
      <c r="W324" s="2646"/>
      <c r="X324" s="2646"/>
      <c r="Y324" s="2646"/>
      <c r="Z324" s="2646"/>
      <c r="AA324" s="2646"/>
      <c r="AB324" s="2646"/>
      <c r="AC324" s="2646"/>
      <c r="AD324" s="2646"/>
      <c r="AE324" s="2646"/>
      <c r="AF324" s="2646"/>
      <c r="AG324" s="2646"/>
      <c r="AH324" s="2646"/>
      <c r="AI324" s="2646"/>
      <c r="AJ324" s="2646"/>
      <c r="AK324" s="2646"/>
      <c r="AL324" s="2646"/>
      <c r="AM324" s="2646"/>
      <c r="AN324" s="2646"/>
      <c r="AO324" s="2646"/>
      <c r="AP324" s="2646"/>
      <c r="AQ324" s="2646"/>
      <c r="AR324" s="2646"/>
      <c r="AS324" s="2646"/>
      <c r="AT324" s="2646"/>
      <c r="AU324" s="2646"/>
      <c r="AV324" s="2646"/>
      <c r="AW324" s="2646"/>
      <c r="AX324" s="2646"/>
      <c r="AY324" s="2646"/>
      <c r="AZ324" s="2646"/>
      <c r="BA324" s="2646"/>
      <c r="BB324" s="2646"/>
      <c r="BC324" s="2646"/>
      <c r="BD324" s="2646"/>
      <c r="BE324" s="2646"/>
      <c r="BF324" s="2646"/>
      <c r="BG324" s="2646"/>
      <c r="BH324" s="2646"/>
    </row>
    <row r="325" spans="10:60">
      <c r="J325" s="2646"/>
      <c r="K325" s="2646"/>
      <c r="L325" s="2646"/>
      <c r="M325" s="2646"/>
      <c r="N325" s="2646"/>
      <c r="O325" s="2646"/>
      <c r="P325" s="2646"/>
      <c r="Q325" s="2646"/>
      <c r="R325" s="2646"/>
      <c r="S325" s="2646"/>
      <c r="T325" s="2646"/>
      <c r="U325" s="2646"/>
      <c r="V325" s="2646"/>
      <c r="W325" s="2646"/>
      <c r="X325" s="2646"/>
      <c r="Y325" s="2646"/>
      <c r="Z325" s="2646"/>
      <c r="AA325" s="2646"/>
      <c r="AB325" s="2646"/>
      <c r="AC325" s="2646"/>
      <c r="AD325" s="2646"/>
      <c r="AE325" s="2646"/>
      <c r="AF325" s="2646"/>
      <c r="AG325" s="2646"/>
      <c r="AH325" s="2646"/>
      <c r="AI325" s="2646"/>
      <c r="AJ325" s="2646"/>
      <c r="AK325" s="2646"/>
      <c r="AL325" s="2646"/>
      <c r="AM325" s="2646"/>
      <c r="AN325" s="2646"/>
      <c r="AO325" s="2646"/>
      <c r="AP325" s="2646"/>
      <c r="AQ325" s="2646"/>
      <c r="AR325" s="2646"/>
      <c r="AS325" s="2646"/>
      <c r="AT325" s="2646"/>
      <c r="AU325" s="2646"/>
      <c r="AV325" s="2646"/>
      <c r="AW325" s="2646"/>
      <c r="AX325" s="2646"/>
      <c r="AY325" s="2646"/>
      <c r="AZ325" s="2646"/>
      <c r="BA325" s="2646"/>
      <c r="BB325" s="2646"/>
      <c r="BC325" s="2646"/>
      <c r="BD325" s="2646"/>
      <c r="BE325" s="2646"/>
      <c r="BF325" s="2646"/>
      <c r="BG325" s="2646"/>
      <c r="BH325" s="2646"/>
    </row>
    <row r="326" spans="10:60">
      <c r="J326" s="2646"/>
      <c r="K326" s="2646"/>
      <c r="L326" s="2646"/>
      <c r="M326" s="2646"/>
      <c r="N326" s="2646"/>
      <c r="O326" s="2646"/>
      <c r="P326" s="2646"/>
      <c r="Q326" s="2646"/>
      <c r="R326" s="2646"/>
      <c r="S326" s="2646"/>
      <c r="T326" s="2646"/>
      <c r="U326" s="2646"/>
      <c r="V326" s="2646"/>
      <c r="W326" s="2646"/>
      <c r="X326" s="2646"/>
      <c r="Y326" s="2646"/>
      <c r="Z326" s="2646"/>
      <c r="AA326" s="2646"/>
      <c r="AB326" s="2646"/>
      <c r="AC326" s="2646"/>
      <c r="AD326" s="2646"/>
      <c r="AE326" s="2646"/>
      <c r="AF326" s="2646"/>
      <c r="AG326" s="2646"/>
      <c r="AH326" s="2646"/>
      <c r="AI326" s="2646"/>
      <c r="AJ326" s="2646"/>
      <c r="AK326" s="2646"/>
      <c r="AL326" s="2646"/>
      <c r="AM326" s="2646"/>
      <c r="AN326" s="2646"/>
      <c r="AO326" s="2646"/>
      <c r="AP326" s="2646"/>
      <c r="AQ326" s="2646"/>
      <c r="AR326" s="2646"/>
      <c r="AS326" s="2646"/>
      <c r="AT326" s="2646"/>
      <c r="AU326" s="2646"/>
      <c r="AV326" s="2646"/>
      <c r="AW326" s="2646"/>
      <c r="AX326" s="2646"/>
      <c r="AY326" s="2646"/>
      <c r="AZ326" s="2646"/>
      <c r="BA326" s="2646"/>
      <c r="BB326" s="2646"/>
      <c r="BC326" s="2646"/>
      <c r="BD326" s="2646"/>
      <c r="BE326" s="2646"/>
      <c r="BF326" s="2646"/>
      <c r="BG326" s="2646"/>
      <c r="BH326" s="2646"/>
    </row>
    <row r="327" spans="10:60">
      <c r="J327" s="2646"/>
      <c r="K327" s="2646"/>
      <c r="L327" s="2646"/>
      <c r="M327" s="2646"/>
      <c r="N327" s="2646"/>
      <c r="O327" s="2646"/>
      <c r="P327" s="2646"/>
      <c r="Q327" s="2646"/>
      <c r="R327" s="2646"/>
      <c r="S327" s="2646"/>
      <c r="T327" s="2646"/>
      <c r="U327" s="2646"/>
      <c r="V327" s="2646"/>
      <c r="W327" s="2646"/>
      <c r="X327" s="2646"/>
      <c r="Y327" s="2646"/>
      <c r="Z327" s="2646"/>
      <c r="AA327" s="2646"/>
      <c r="AB327" s="2646"/>
      <c r="AC327" s="2646"/>
      <c r="AD327" s="2646"/>
      <c r="AE327" s="2646"/>
      <c r="AF327" s="2646"/>
      <c r="AG327" s="2646"/>
      <c r="AH327" s="2646"/>
      <c r="AI327" s="2646"/>
      <c r="AJ327" s="2646"/>
      <c r="AK327" s="2646"/>
      <c r="AL327" s="2646"/>
      <c r="AM327" s="2646"/>
      <c r="AN327" s="2646"/>
      <c r="AO327" s="2646"/>
      <c r="AP327" s="2646"/>
      <c r="AQ327" s="2646"/>
      <c r="AR327" s="2646"/>
      <c r="AS327" s="2646"/>
      <c r="AT327" s="2646"/>
      <c r="AU327" s="2646"/>
      <c r="AV327" s="2646"/>
      <c r="AW327" s="2646"/>
      <c r="AX327" s="2646"/>
      <c r="AY327" s="2646"/>
      <c r="AZ327" s="2646"/>
      <c r="BA327" s="2646"/>
      <c r="BB327" s="2646"/>
      <c r="BC327" s="2646"/>
      <c r="BD327" s="2646"/>
      <c r="BE327" s="2646"/>
      <c r="BF327" s="2646"/>
      <c r="BG327" s="2646"/>
      <c r="BH327" s="2646"/>
    </row>
    <row r="328" spans="10:60">
      <c r="J328" s="2646"/>
      <c r="K328" s="2646"/>
      <c r="L328" s="2646"/>
      <c r="M328" s="2646"/>
      <c r="N328" s="2646"/>
      <c r="O328" s="2646"/>
      <c r="P328" s="2646"/>
      <c r="Q328" s="2646"/>
      <c r="R328" s="2646"/>
      <c r="S328" s="2646"/>
      <c r="T328" s="2646"/>
      <c r="U328" s="2646"/>
      <c r="V328" s="2646"/>
      <c r="W328" s="2646"/>
      <c r="X328" s="2646"/>
      <c r="Y328" s="2646"/>
      <c r="Z328" s="2646"/>
      <c r="AA328" s="2646"/>
      <c r="AB328" s="2646"/>
      <c r="AC328" s="2646"/>
      <c r="AD328" s="2646"/>
      <c r="AE328" s="2646"/>
      <c r="AF328" s="2646"/>
      <c r="AG328" s="2646"/>
      <c r="AH328" s="2646"/>
      <c r="AI328" s="2646"/>
      <c r="AJ328" s="2646"/>
      <c r="AK328" s="2646"/>
      <c r="AL328" s="2646"/>
      <c r="AM328" s="2646"/>
      <c r="AN328" s="2646"/>
      <c r="AO328" s="2646"/>
      <c r="AP328" s="2646"/>
      <c r="AQ328" s="2646"/>
      <c r="AR328" s="2646"/>
      <c r="AS328" s="2646"/>
      <c r="AT328" s="2646"/>
      <c r="AU328" s="2646"/>
      <c r="AV328" s="2646"/>
      <c r="AW328" s="2646"/>
      <c r="AX328" s="2646"/>
      <c r="AY328" s="2646"/>
      <c r="AZ328" s="2646"/>
      <c r="BA328" s="2646"/>
      <c r="BB328" s="2646"/>
      <c r="BC328" s="2646"/>
      <c r="BD328" s="2646"/>
      <c r="BE328" s="2646"/>
      <c r="BF328" s="2646"/>
      <c r="BG328" s="2646"/>
      <c r="BH328" s="2646"/>
    </row>
  </sheetData>
  <phoneticPr fontId="4" type="noConversion"/>
  <pageMargins left="1" right="0.75" top="0.98425196850393704" bottom="0" header="0" footer="0"/>
  <pageSetup scale="65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syncVertical="1" syncRef="K55" transitionEvaluation="1" transitionEntry="1" codeName="Sheet63">
    <tabColor rgb="FF00B050"/>
    <pageSetUpPr fitToPage="1"/>
  </sheetPr>
  <dimension ref="A1:BH71"/>
  <sheetViews>
    <sheetView topLeftCell="K55" zoomScale="80" zoomScaleNormal="80" workbookViewId="0"/>
  </sheetViews>
  <sheetFormatPr defaultColWidth="17.88671875" defaultRowHeight="13.2"/>
  <cols>
    <col min="1" max="1" width="6.44140625" style="1785" customWidth="1"/>
    <col min="2" max="2" width="0.6640625" style="1785" customWidth="1"/>
    <col min="3" max="3" width="57.109375" style="1785" customWidth="1"/>
    <col min="4" max="4" width="1.33203125" style="1785" customWidth="1"/>
    <col min="5" max="5" width="16.5546875" style="1785" customWidth="1"/>
    <col min="6" max="6" width="15.6640625" style="1785" customWidth="1"/>
    <col min="7" max="7" width="1.33203125" style="1845" customWidth="1"/>
    <col min="8" max="8" width="17.33203125" style="1785" customWidth="1"/>
    <col min="9" max="9" width="14.88671875" style="1785" customWidth="1"/>
    <col min="10" max="10" width="0.88671875" style="1785" customWidth="1"/>
    <col min="11" max="11" width="16.44140625" style="1785" customWidth="1"/>
    <col min="12" max="12" width="13.44140625" style="1845" customWidth="1"/>
    <col min="13" max="13" width="0.88671875" style="1845" customWidth="1"/>
    <col min="14" max="14" width="15.109375" style="1786" customWidth="1"/>
    <col min="15" max="15" width="13.44140625" style="1785" customWidth="1"/>
    <col min="16" max="16" width="15.33203125" style="1786" customWidth="1"/>
    <col min="17" max="17" width="13.44140625" style="1785" customWidth="1"/>
    <col min="18" max="18" width="15.109375" style="1786" customWidth="1"/>
    <col min="19" max="19" width="14.6640625" style="1785" customWidth="1"/>
    <col min="20" max="20" width="15.6640625" style="1786" customWidth="1"/>
    <col min="21" max="21" width="16.44140625" style="1785" customWidth="1"/>
    <col min="22" max="22" width="15.109375" style="1786" customWidth="1"/>
    <col min="23" max="23" width="12.88671875" style="1785" customWidth="1"/>
    <col min="24" max="24" width="7.6640625" style="1785" customWidth="1"/>
    <col min="25" max="25" width="18.44140625" style="1785" customWidth="1"/>
    <col min="26" max="26" width="3" style="1785" customWidth="1"/>
    <col min="27" max="27" width="6.44140625" style="1785" customWidth="1"/>
    <col min="28" max="28" width="1.109375" style="1785" customWidth="1"/>
    <col min="29" max="29" width="66.5546875" style="1785" customWidth="1"/>
    <col min="30" max="42" width="17.88671875" style="1785"/>
    <col min="43" max="43" width="2" style="1785" customWidth="1"/>
    <col min="44" max="44" width="2.5546875" style="1785" customWidth="1"/>
    <col min="45" max="45" width="7" style="1785" customWidth="1"/>
    <col min="46" max="46" width="2" style="1785" customWidth="1"/>
    <col min="47" max="47" width="67" style="1785" customWidth="1"/>
    <col min="48" max="16384" width="17.88671875" style="1785"/>
  </cols>
  <sheetData>
    <row r="1" spans="1:26">
      <c r="A1" s="1839" t="str">
        <f>COMPANY</f>
        <v>DUKE ENERGY KENTUCKY, INC.</v>
      </c>
      <c r="B1" s="1782"/>
      <c r="C1" s="1782"/>
      <c r="D1" s="1782"/>
      <c r="E1" s="1782"/>
      <c r="F1" s="1782"/>
      <c r="G1" s="1792"/>
      <c r="H1" s="1782"/>
      <c r="I1" s="1782"/>
      <c r="J1" s="1782"/>
      <c r="K1" s="1782"/>
      <c r="L1" s="1792"/>
      <c r="M1" s="1792"/>
      <c r="N1" s="1783"/>
      <c r="O1" s="1782"/>
      <c r="P1" s="1783"/>
      <c r="Q1" s="1782"/>
      <c r="R1" s="1783"/>
      <c r="S1" s="1782"/>
      <c r="T1" s="1783"/>
      <c r="U1" s="1782"/>
      <c r="V1" s="1783"/>
      <c r="W1" s="1782"/>
    </row>
    <row r="2" spans="1:26">
      <c r="A2" s="1839" t="str">
        <f>CASE</f>
        <v>CASE NO. 2018-00261</v>
      </c>
      <c r="B2" s="1782"/>
      <c r="C2" s="1782"/>
      <c r="D2" s="1782"/>
      <c r="E2" s="1782"/>
      <c r="F2" s="1782"/>
      <c r="G2" s="1792"/>
      <c r="H2" s="1782"/>
      <c r="I2" s="1782"/>
      <c r="J2" s="1782"/>
      <c r="K2" s="1782"/>
      <c r="L2" s="1783"/>
      <c r="M2" s="1783"/>
      <c r="N2" s="1782"/>
      <c r="O2" s="1783"/>
      <c r="P2" s="1782"/>
      <c r="Q2" s="1783"/>
      <c r="R2" s="1782"/>
      <c r="S2" s="1783"/>
      <c r="T2" s="1782"/>
      <c r="U2" s="1783"/>
      <c r="V2" s="1782"/>
      <c r="W2" s="1782"/>
    </row>
    <row r="3" spans="1:26">
      <c r="A3" s="1839" t="s">
        <v>638</v>
      </c>
      <c r="B3" s="1782"/>
      <c r="C3" s="1782"/>
      <c r="D3" s="1782"/>
      <c r="E3" s="1782"/>
      <c r="F3" s="1782"/>
      <c r="G3" s="1792"/>
      <c r="H3" s="1782"/>
      <c r="I3" s="1782"/>
      <c r="J3" s="1782"/>
      <c r="K3" s="1782"/>
      <c r="L3" s="1792"/>
      <c r="M3" s="1792"/>
      <c r="N3" s="1783"/>
      <c r="O3" s="1782"/>
      <c r="P3" s="1783"/>
      <c r="Q3" s="1782"/>
      <c r="R3" s="1783"/>
      <c r="S3" s="1782"/>
      <c r="T3" s="1783"/>
      <c r="U3" s="1782"/>
      <c r="V3" s="1783"/>
      <c r="W3" s="1782"/>
    </row>
    <row r="4" spans="1:26">
      <c r="A4" s="1782" t="s">
        <v>847</v>
      </c>
      <c r="B4" s="1782"/>
      <c r="C4" s="1782"/>
      <c r="D4" s="1782"/>
      <c r="E4" s="1782"/>
      <c r="F4" s="1782"/>
      <c r="G4" s="1792"/>
      <c r="H4" s="1782"/>
      <c r="I4" s="1782"/>
      <c r="J4" s="1782"/>
      <c r="K4" s="1782"/>
      <c r="L4" s="1783"/>
      <c r="M4" s="1783"/>
      <c r="N4" s="1782"/>
      <c r="O4" s="1783"/>
      <c r="P4" s="1782"/>
      <c r="Q4" s="1783"/>
      <c r="R4" s="1782"/>
      <c r="S4" s="1783"/>
      <c r="T4" s="1782"/>
      <c r="U4" s="1783"/>
      <c r="V4" s="1782"/>
      <c r="W4" s="1782"/>
    </row>
    <row r="5" spans="1:26">
      <c r="A5" s="2716" t="str">
        <f>PERIOD</f>
        <v>FOR THE TWELVE MONTHS ENDED NOVEMBER 30, 2018</v>
      </c>
      <c r="B5" s="1782"/>
      <c r="C5" s="1782"/>
      <c r="D5" s="1782"/>
      <c r="E5" s="1782"/>
      <c r="F5" s="1782"/>
      <c r="G5" s="1792"/>
      <c r="H5" s="1782"/>
      <c r="I5" s="1782"/>
      <c r="J5" s="1782"/>
      <c r="K5" s="1782"/>
      <c r="L5" s="1783"/>
      <c r="M5" s="1783"/>
      <c r="N5" s="1782"/>
      <c r="O5" s="1783"/>
      <c r="P5" s="1782"/>
      <c r="Q5" s="1783"/>
      <c r="R5" s="1782"/>
      <c r="S5" s="1783"/>
      <c r="T5" s="1782"/>
      <c r="U5" s="1783"/>
      <c r="V5" s="1782"/>
      <c r="W5" s="1782"/>
    </row>
    <row r="6" spans="1:26">
      <c r="A6" s="2716" t="str">
        <f>PeriodF</f>
        <v>FOR THE TWELVE MONTHS ENDED MARCH 31, 2020</v>
      </c>
      <c r="B6" s="1782"/>
      <c r="C6" s="1782"/>
      <c r="D6" s="1782"/>
      <c r="E6" s="1782"/>
      <c r="F6" s="1782"/>
      <c r="G6" s="1792"/>
      <c r="H6" s="1782"/>
      <c r="I6" s="1782"/>
      <c r="J6" s="1782"/>
      <c r="K6" s="1782"/>
      <c r="L6" s="1783"/>
      <c r="M6" s="1783"/>
      <c r="N6" s="1782"/>
      <c r="O6" s="1783"/>
      <c r="P6" s="1782"/>
      <c r="Q6" s="1783"/>
      <c r="R6" s="1782"/>
      <c r="S6" s="1783"/>
      <c r="T6" s="1782"/>
      <c r="U6" s="1783"/>
      <c r="V6" s="1782"/>
      <c r="W6" s="1782"/>
    </row>
    <row r="7" spans="1:26">
      <c r="A7" s="1784"/>
      <c r="L7" s="1786"/>
      <c r="M7" s="1786"/>
      <c r="N7" s="1785"/>
      <c r="O7" s="1786"/>
      <c r="P7" s="1785"/>
      <c r="Q7" s="1786"/>
      <c r="R7" s="1785"/>
      <c r="S7" s="1786"/>
      <c r="T7" s="1603"/>
      <c r="U7" s="1784" t="s">
        <v>848</v>
      </c>
    </row>
    <row r="8" spans="1:26">
      <c r="A8" s="1787" t="str">
        <f>DataB</f>
        <v>DATA: "X" BASE PERIOD  "X" FORECASTED PERIOD</v>
      </c>
      <c r="L8" s="1786"/>
      <c r="M8" s="1786"/>
      <c r="N8" s="1785"/>
      <c r="O8" s="1786"/>
      <c r="P8" s="1785"/>
      <c r="Q8" s="1786"/>
      <c r="R8" s="1785"/>
      <c r="S8" s="1786"/>
      <c r="T8" s="1603"/>
      <c r="U8" s="1857" t="s">
        <v>564</v>
      </c>
    </row>
    <row r="9" spans="1:26">
      <c r="A9" s="1784" t="str">
        <f>Type</f>
        <v xml:space="preserve">TYPE OF FILING:  "X" ORIGINAL   UPDATED    REVISED  </v>
      </c>
      <c r="L9" s="1786"/>
      <c r="M9" s="1786"/>
      <c r="N9" s="1785"/>
      <c r="O9" s="1786"/>
      <c r="P9" s="1785"/>
      <c r="Q9" s="1786"/>
      <c r="R9" s="1785"/>
      <c r="S9" s="1786"/>
      <c r="T9" s="1603"/>
      <c r="U9" s="1785" t="s">
        <v>566</v>
      </c>
    </row>
    <row r="10" spans="1:26">
      <c r="A10" s="1784" t="s">
        <v>852</v>
      </c>
      <c r="L10" s="1786"/>
      <c r="M10" s="1786"/>
      <c r="N10" s="1785"/>
      <c r="O10" s="1786"/>
      <c r="P10" s="1785"/>
      <c r="Q10" s="1786"/>
      <c r="R10" s="1785"/>
      <c r="S10" s="1786"/>
      <c r="T10" s="1603"/>
      <c r="U10" s="1790" t="str">
        <f>_WIT9</f>
        <v>R. H. PRATT</v>
      </c>
    </row>
    <row r="11" spans="1:26">
      <c r="A11" s="1784"/>
      <c r="L11" s="1786"/>
      <c r="M11" s="1786"/>
      <c r="N11" s="1785"/>
      <c r="O11" s="1786"/>
      <c r="P11" s="1785"/>
      <c r="Q11" s="1786"/>
      <c r="R11" s="1785"/>
      <c r="S11" s="1786"/>
      <c r="T11" s="1790"/>
      <c r="U11" s="2717"/>
      <c r="V11" s="1785"/>
    </row>
    <row r="12" spans="1:26">
      <c r="L12" s="1783"/>
      <c r="M12" s="1783"/>
      <c r="N12" s="1843" t="s">
        <v>1727</v>
      </c>
      <c r="O12" s="2718"/>
      <c r="P12" s="1844"/>
      <c r="Q12" s="2719"/>
      <c r="R12" s="1844"/>
      <c r="S12" s="2719"/>
      <c r="T12" s="1844"/>
      <c r="U12" s="2719"/>
      <c r="V12" s="1844"/>
      <c r="W12" s="2720"/>
      <c r="X12" s="1845"/>
      <c r="Z12" s="1793"/>
    </row>
    <row r="13" spans="1:26">
      <c r="A13" s="1793" t="s">
        <v>567</v>
      </c>
      <c r="B13" s="1794"/>
      <c r="C13" s="1794"/>
      <c r="D13" s="1794"/>
      <c r="E13" s="1794"/>
      <c r="F13" s="1794"/>
      <c r="G13" s="1874"/>
      <c r="H13" s="1794" t="s">
        <v>1127</v>
      </c>
      <c r="I13" s="2721" t="s">
        <v>2097</v>
      </c>
      <c r="J13" s="1794"/>
      <c r="K13" s="1794" t="s">
        <v>740</v>
      </c>
      <c r="L13" s="2721" t="s">
        <v>2097</v>
      </c>
      <c r="M13" s="2721"/>
      <c r="N13" s="1603"/>
      <c r="O13" s="2721" t="s">
        <v>2097</v>
      </c>
      <c r="P13" s="1782"/>
      <c r="Q13" s="2721" t="s">
        <v>2097</v>
      </c>
      <c r="R13" s="1782"/>
      <c r="S13" s="2721" t="s">
        <v>2097</v>
      </c>
      <c r="T13" s="1782"/>
      <c r="U13" s="2721" t="s">
        <v>2097</v>
      </c>
      <c r="V13" s="1782"/>
      <c r="W13" s="2721" t="s">
        <v>2097</v>
      </c>
      <c r="X13" s="2721"/>
      <c r="Y13" s="1782"/>
      <c r="Z13" s="2722"/>
    </row>
    <row r="14" spans="1:26">
      <c r="A14" s="1795" t="s">
        <v>766</v>
      </c>
      <c r="B14" s="2723"/>
      <c r="C14" s="1795" t="s">
        <v>642</v>
      </c>
      <c r="D14" s="1795"/>
      <c r="E14" s="2726">
        <v>2021</v>
      </c>
      <c r="F14" s="2726">
        <v>2020</v>
      </c>
      <c r="G14" s="2724"/>
      <c r="H14" s="1796" t="s">
        <v>743</v>
      </c>
      <c r="I14" s="2725" t="s">
        <v>858</v>
      </c>
      <c r="J14" s="1795"/>
      <c r="K14" s="1796" t="s">
        <v>743</v>
      </c>
      <c r="L14" s="2725" t="s">
        <v>858</v>
      </c>
      <c r="M14" s="2725"/>
      <c r="N14" s="2726">
        <v>2017</v>
      </c>
      <c r="O14" s="2725" t="s">
        <v>858</v>
      </c>
      <c r="P14" s="1795">
        <f>N14-1</f>
        <v>2016</v>
      </c>
      <c r="Q14" s="2725" t="s">
        <v>858</v>
      </c>
      <c r="R14" s="1795">
        <f>P14-1</f>
        <v>2015</v>
      </c>
      <c r="S14" s="2725" t="s">
        <v>858</v>
      </c>
      <c r="T14" s="1795">
        <f>R14-1</f>
        <v>2014</v>
      </c>
      <c r="U14" s="2725" t="s">
        <v>858</v>
      </c>
      <c r="V14" s="1795">
        <f>T14-1</f>
        <v>2013</v>
      </c>
      <c r="W14" s="2725" t="s">
        <v>858</v>
      </c>
      <c r="X14" s="2721"/>
      <c r="Y14" s="1795">
        <f>V14-1</f>
        <v>2012</v>
      </c>
    </row>
    <row r="15" spans="1:26">
      <c r="A15" s="1793">
        <v>1</v>
      </c>
      <c r="C15" s="1784" t="s">
        <v>849</v>
      </c>
      <c r="D15" s="1784"/>
      <c r="E15" s="1784"/>
      <c r="F15" s="1784"/>
      <c r="G15" s="1871"/>
      <c r="H15" s="1784"/>
      <c r="I15" s="1784"/>
      <c r="J15" s="1784"/>
      <c r="K15" s="1854"/>
      <c r="L15" s="2727"/>
      <c r="M15" s="2727"/>
      <c r="N15" s="1854"/>
      <c r="O15" s="2727"/>
      <c r="P15" s="1854"/>
      <c r="Q15" s="2714"/>
      <c r="R15" s="1854"/>
      <c r="S15" s="2714"/>
      <c r="T15" s="1854"/>
      <c r="U15" s="2714"/>
      <c r="V15" s="1852"/>
      <c r="W15" s="2728"/>
      <c r="X15" s="2721"/>
      <c r="Y15" s="1852"/>
    </row>
    <row r="16" spans="1:26">
      <c r="A16" s="1793">
        <v>2</v>
      </c>
      <c r="C16" s="1784" t="s">
        <v>850</v>
      </c>
      <c r="D16" s="1784"/>
      <c r="E16" s="3563">
        <v>507281360</v>
      </c>
      <c r="F16" s="3563">
        <v>489134603</v>
      </c>
      <c r="G16" s="3510"/>
      <c r="H16" s="3563">
        <v>468360272</v>
      </c>
      <c r="I16" s="1855">
        <f>IF(K16=0,"-",ROUND((H16-K16)/ABS(K16),4))</f>
        <v>-7.6E-3</v>
      </c>
      <c r="J16" s="1784"/>
      <c r="K16" s="3563">
        <v>471937718</v>
      </c>
      <c r="L16" s="1855">
        <f>IF(N16=0,"-",ROUND((K16-N16)/ABS(N16),4))</f>
        <v>9.9900000000000003E-2</v>
      </c>
      <c r="M16" s="1855"/>
      <c r="N16" s="3563">
        <v>429072243</v>
      </c>
      <c r="O16" s="1855">
        <f>IF(P16=0,"-",ROUND((N16-P16)/ABS(P16),4))</f>
        <v>-2.6599999999999999E-2</v>
      </c>
      <c r="P16" s="3563">
        <v>440779989</v>
      </c>
      <c r="Q16" s="1855">
        <f>IF(R16=0,"-",ROUND((P16-R16)/ABS(R16),4))</f>
        <v>-5.5599999999999997E-2</v>
      </c>
      <c r="R16" s="3563">
        <v>466754287</v>
      </c>
      <c r="S16" s="1855">
        <f>IF(T16=0,"-",ROUND((R16-T16)/ABS(T16),4))</f>
        <v>-4.4999999999999998E-2</v>
      </c>
      <c r="T16" s="3563">
        <v>488724225</v>
      </c>
      <c r="U16" s="1855">
        <f>IF(V16=0,"-",ROUND((T16-V16)/ABS(V16),4))</f>
        <v>0.1012</v>
      </c>
      <c r="V16" s="3563">
        <v>443803682</v>
      </c>
      <c r="W16" s="1855">
        <f>IF(Y16=0,"-",ROUND((V16-Y16)/ABS(Y16),4))</f>
        <v>3.78E-2</v>
      </c>
      <c r="X16" s="1855"/>
      <c r="Y16" s="3563">
        <v>427627327</v>
      </c>
    </row>
    <row r="17" spans="1:27">
      <c r="A17" s="1793">
        <v>3</v>
      </c>
      <c r="C17" s="1784" t="s">
        <v>734</v>
      </c>
      <c r="D17" s="1784"/>
      <c r="E17" s="2706"/>
      <c r="F17" s="2706"/>
      <c r="G17" s="3510"/>
      <c r="H17" s="2706"/>
      <c r="I17" s="1855"/>
      <c r="J17" s="1784"/>
      <c r="K17" s="2706"/>
      <c r="L17" s="1855"/>
      <c r="M17" s="1855"/>
      <c r="N17" s="2706"/>
      <c r="O17" s="1855"/>
      <c r="P17" s="2706"/>
      <c r="Q17" s="1855"/>
      <c r="R17" s="2706"/>
      <c r="S17" s="1855"/>
      <c r="T17" s="2706"/>
      <c r="U17" s="1855"/>
      <c r="V17" s="2706"/>
      <c r="W17" s="1855"/>
      <c r="X17" s="1855"/>
      <c r="Y17" s="2706"/>
    </row>
    <row r="18" spans="1:27">
      <c r="A18" s="1793">
        <v>4</v>
      </c>
      <c r="C18" s="1784" t="s">
        <v>735</v>
      </c>
      <c r="D18" s="1784"/>
      <c r="E18" s="2706">
        <v>275071462</v>
      </c>
      <c r="F18" s="2706">
        <v>270954081</v>
      </c>
      <c r="G18" s="3510"/>
      <c r="H18" s="2706">
        <v>265325104</v>
      </c>
      <c r="I18" s="1855">
        <f t="shared" ref="I18:I33" si="0">IF(K18=0,"-",ROUND((H18-K18)/ABS(K18),4))</f>
        <v>-9.4700000000000006E-2</v>
      </c>
      <c r="J18" s="1784"/>
      <c r="K18" s="2706">
        <v>293080519</v>
      </c>
      <c r="L18" s="1855">
        <f t="shared" ref="L18:L33" si="1">IF(N18=0,"-",ROUND((K18-N18)/ABS(N18),4))</f>
        <v>0.1201</v>
      </c>
      <c r="M18" s="1855"/>
      <c r="N18" s="2706">
        <v>261647225</v>
      </c>
      <c r="O18" s="1855">
        <f t="shared" ref="O18:O33" si="2">IF(P18=0,"-",ROUND((N18-P18)/ABS(P18),4))</f>
        <v>-3.15E-2</v>
      </c>
      <c r="P18" s="2706">
        <v>270158902</v>
      </c>
      <c r="Q18" s="1855">
        <f t="shared" ref="Q18:Q33" si="3">IF(R18=0,"-",ROUND((P18-R18)/ABS(R18),4))</f>
        <v>-5.9700000000000003E-2</v>
      </c>
      <c r="R18" s="2706">
        <v>287322431</v>
      </c>
      <c r="S18" s="1855">
        <f t="shared" ref="S18:S33" si="4">IF(T18=0,"-",ROUND((R18-T18)/ABS(T18),4))</f>
        <v>-0.1201</v>
      </c>
      <c r="T18" s="2706">
        <v>326535049</v>
      </c>
      <c r="U18" s="1855">
        <f t="shared" ref="U18:U33" si="5">IF(V18=0,"-",ROUND((T18-V18)/ABS(V18),4))</f>
        <v>0.15179999999999999</v>
      </c>
      <c r="V18" s="2706">
        <v>283496847</v>
      </c>
      <c r="W18" s="1855">
        <f t="shared" ref="W18:W33" si="6">IF(Y18=0,"-",ROUND((V18-Y18)/ABS(Y18),4))</f>
        <v>3.1699999999999999E-2</v>
      </c>
      <c r="X18" s="1855"/>
      <c r="Y18" s="2706">
        <v>274779814</v>
      </c>
    </row>
    <row r="19" spans="1:27">
      <c r="A19" s="1793">
        <v>5</v>
      </c>
      <c r="C19" s="1784" t="s">
        <v>736</v>
      </c>
      <c r="D19" s="1784"/>
      <c r="E19" s="2706">
        <v>22419702</v>
      </c>
      <c r="F19" s="2706">
        <v>28322385</v>
      </c>
      <c r="G19" s="3510"/>
      <c r="H19" s="2706">
        <v>24650205</v>
      </c>
      <c r="I19" s="1855">
        <f t="shared" si="0"/>
        <v>-0.1145</v>
      </c>
      <c r="J19" s="1784"/>
      <c r="K19" s="2706">
        <v>27838590</v>
      </c>
      <c r="L19" s="1855">
        <f t="shared" si="1"/>
        <v>-0.20150000000000001</v>
      </c>
      <c r="M19" s="1855"/>
      <c r="N19" s="2706">
        <v>34864014</v>
      </c>
      <c r="O19" s="1855">
        <f t="shared" si="2"/>
        <v>4.1300000000000003E-2</v>
      </c>
      <c r="P19" s="2706">
        <v>33479990</v>
      </c>
      <c r="Q19" s="1855">
        <f t="shared" si="3"/>
        <v>4.1799999999999997E-2</v>
      </c>
      <c r="R19" s="2706">
        <v>32137254</v>
      </c>
      <c r="S19" s="1855">
        <f t="shared" si="4"/>
        <v>-0.15379999999999999</v>
      </c>
      <c r="T19" s="2706">
        <v>37977378</v>
      </c>
      <c r="U19" s="1855">
        <f t="shared" si="5"/>
        <v>0.4133</v>
      </c>
      <c r="V19" s="2706">
        <v>26872031</v>
      </c>
      <c r="W19" s="1855">
        <f t="shared" si="6"/>
        <v>-0.22969999999999999</v>
      </c>
      <c r="X19" s="1855"/>
      <c r="Y19" s="2706">
        <v>34886077</v>
      </c>
    </row>
    <row r="20" spans="1:27">
      <c r="A20" s="1793">
        <v>6</v>
      </c>
      <c r="C20" s="1784" t="s">
        <v>737</v>
      </c>
      <c r="D20" s="1784"/>
      <c r="E20" s="2706">
        <v>73984064</v>
      </c>
      <c r="F20" s="2706">
        <v>70580499</v>
      </c>
      <c r="G20" s="3510"/>
      <c r="H20" s="2706">
        <v>69362574</v>
      </c>
      <c r="I20" s="1855">
        <f t="shared" si="0"/>
        <v>0.14979999999999999</v>
      </c>
      <c r="J20" s="1784"/>
      <c r="K20" s="2706">
        <v>60323888</v>
      </c>
      <c r="L20" s="1855">
        <f t="shared" si="1"/>
        <v>0.37590000000000001</v>
      </c>
      <c r="M20" s="1855"/>
      <c r="N20" s="2706">
        <v>43842295</v>
      </c>
      <c r="O20" s="1855">
        <f t="shared" si="2"/>
        <v>6.7900000000000002E-2</v>
      </c>
      <c r="P20" s="2706">
        <v>41052844</v>
      </c>
      <c r="Q20" s="1855">
        <f t="shared" si="3"/>
        <v>1.4E-3</v>
      </c>
      <c r="R20" s="2706">
        <v>40995981</v>
      </c>
      <c r="S20" s="1855">
        <f t="shared" si="4"/>
        <v>-1.1000000000000001E-3</v>
      </c>
      <c r="T20" s="2706">
        <v>41040255</v>
      </c>
      <c r="U20" s="1855">
        <f t="shared" si="5"/>
        <v>4.7999999999999996E-3</v>
      </c>
      <c r="V20" s="2706">
        <v>40842298</v>
      </c>
      <c r="W20" s="1855">
        <f t="shared" si="6"/>
        <v>2.9499999999999998E-2</v>
      </c>
      <c r="X20" s="1855"/>
      <c r="Y20" s="2706">
        <v>39672351</v>
      </c>
    </row>
    <row r="21" spans="1:27">
      <c r="A21" s="1793">
        <v>7</v>
      </c>
      <c r="C21" s="1784" t="s">
        <v>710</v>
      </c>
      <c r="D21" s="1784"/>
      <c r="E21" s="2706">
        <v>0</v>
      </c>
      <c r="F21" s="2706">
        <v>0</v>
      </c>
      <c r="G21" s="3510"/>
      <c r="H21" s="2706">
        <v>0</v>
      </c>
      <c r="I21" s="1855">
        <f t="shared" si="0"/>
        <v>-1</v>
      </c>
      <c r="J21" s="1784"/>
      <c r="K21" s="2706">
        <v>2045817</v>
      </c>
      <c r="L21" s="1855">
        <f t="shared" si="1"/>
        <v>-0.46510000000000001</v>
      </c>
      <c r="M21" s="1855"/>
      <c r="N21" s="2706">
        <v>3824519</v>
      </c>
      <c r="O21" s="1855">
        <f t="shared" si="2"/>
        <v>0.46229999999999999</v>
      </c>
      <c r="P21" s="2706">
        <v>2615436</v>
      </c>
      <c r="Q21" s="1855">
        <f t="shared" si="3"/>
        <v>-7.1400000000000005E-2</v>
      </c>
      <c r="R21" s="2706">
        <v>2816564</v>
      </c>
      <c r="S21" s="1855">
        <f t="shared" si="4"/>
        <v>-0.13489999999999999</v>
      </c>
      <c r="T21" s="2706">
        <v>3255908</v>
      </c>
      <c r="U21" s="1855">
        <f t="shared" si="5"/>
        <v>-3.9100000000000003E-2</v>
      </c>
      <c r="V21" s="2706">
        <v>3388297</v>
      </c>
      <c r="W21" s="1855">
        <f t="shared" si="6"/>
        <v>-0.1467</v>
      </c>
      <c r="X21" s="1855"/>
      <c r="Y21" s="2706">
        <v>3970647</v>
      </c>
    </row>
    <row r="22" spans="1:27">
      <c r="A22" s="1793">
        <v>8</v>
      </c>
      <c r="C22" s="1784" t="s">
        <v>2246</v>
      </c>
      <c r="D22" s="1784"/>
      <c r="E22" s="2706">
        <v>10639017</v>
      </c>
      <c r="F22" s="2706">
        <v>10639017</v>
      </c>
      <c r="G22" s="3510"/>
      <c r="H22" s="2706">
        <v>10639017</v>
      </c>
      <c r="I22" s="1855">
        <f>IF(K22=0,"-",ROUND((H22-K22)/ABS(K22),4))</f>
        <v>1</v>
      </c>
      <c r="J22" s="1784"/>
      <c r="K22" s="2706">
        <v>5319508</v>
      </c>
      <c r="L22" s="1855">
        <f>IF(N22=0,"-",ROUND((K22-N22)/ABS(N22),4))</f>
        <v>8.7609999999999992</v>
      </c>
      <c r="M22" s="1855"/>
      <c r="N22" s="2706">
        <v>544974</v>
      </c>
      <c r="O22" s="1855">
        <f>IF(P22=0,"-",ROUND((N22-P22)/ABS(P22),4))</f>
        <v>-0.89139999999999997</v>
      </c>
      <c r="P22" s="2706">
        <v>5017219</v>
      </c>
      <c r="Q22" s="1855">
        <f>IF(R22=0,"-",ROUND((P22-R22)/ABS(R22),4))</f>
        <v>1.1717</v>
      </c>
      <c r="R22" s="2706">
        <v>2310291</v>
      </c>
      <c r="S22" s="1855">
        <f>IF(T22=0,"-",ROUND((R22-T22)/ABS(T22),4))</f>
        <v>1.415</v>
      </c>
      <c r="T22" s="2706">
        <v>-5567558</v>
      </c>
      <c r="U22" s="1855">
        <f>IF(V22=0,"-",ROUND((T22-V22)/ABS(V22),4))</f>
        <v>0.2205</v>
      </c>
      <c r="V22" s="2706">
        <v>-7142904</v>
      </c>
      <c r="W22" s="1855">
        <f>IF(Y22=0,"-",ROUND((V22-Y22)/ABS(Y22),4))</f>
        <v>-2.0836000000000001</v>
      </c>
      <c r="X22" s="1855"/>
      <c r="Y22" s="2706">
        <v>-2316400</v>
      </c>
    </row>
    <row r="23" spans="1:27">
      <c r="A23" s="1793">
        <v>9</v>
      </c>
      <c r="C23" s="1784" t="s">
        <v>2595</v>
      </c>
      <c r="D23" s="1784"/>
      <c r="E23" s="2706">
        <v>0</v>
      </c>
      <c r="F23" s="2706">
        <v>0</v>
      </c>
      <c r="G23" s="3510"/>
      <c r="H23" s="2706">
        <v>0</v>
      </c>
      <c r="I23" s="1855" t="str">
        <f>IF(K23=0,"-",ROUND((H23-K23)/ABS(K23),4))</f>
        <v>-</v>
      </c>
      <c r="J23" s="1784"/>
      <c r="K23" s="2706">
        <v>0</v>
      </c>
      <c r="L23" s="1855">
        <f>IF(N23=0,"-",ROUND((K23-N23)/ABS(N23),4))</f>
        <v>1</v>
      </c>
      <c r="M23" s="1855"/>
      <c r="N23" s="2706">
        <v>-2772810</v>
      </c>
      <c r="O23" s="1855">
        <f>IF(P23=0,"-",ROUND((N23-P23)/ABS(P23),4))</f>
        <v>-1.6043000000000001</v>
      </c>
      <c r="P23" s="2706">
        <v>-1064723</v>
      </c>
      <c r="Q23" s="1855">
        <f>IF(R23=0,"-",ROUND((P23-R23)/ABS(R23),4))</f>
        <v>-1.6648000000000001</v>
      </c>
      <c r="R23" s="2706">
        <v>-399545</v>
      </c>
      <c r="S23" s="1855">
        <f>IF(T23=0,"-",ROUND((R23-T23)/ABS(T23),4))</f>
        <v>-631.19719999999995</v>
      </c>
      <c r="T23" s="2706">
        <v>634</v>
      </c>
      <c r="U23" s="1855" t="str">
        <f>IF(V23=0,"-",ROUND((T23-V23)/ABS(V23),4))</f>
        <v>-</v>
      </c>
      <c r="V23" s="2706">
        <v>0</v>
      </c>
      <c r="W23" s="1855" t="str">
        <f>IF(Y23=0,"-",ROUND((V23-Y23)/ABS(Y23),4))</f>
        <v>-</v>
      </c>
      <c r="X23" s="1855"/>
      <c r="Y23" s="2706">
        <v>0</v>
      </c>
    </row>
    <row r="24" spans="1:27">
      <c r="A24" s="1793">
        <v>10</v>
      </c>
      <c r="C24" s="1784" t="s">
        <v>711</v>
      </c>
      <c r="D24" s="1784"/>
      <c r="E24" s="2706">
        <v>20089663</v>
      </c>
      <c r="F24" s="2706">
        <v>19047964</v>
      </c>
      <c r="G24" s="3510"/>
      <c r="H24" s="2706">
        <v>18247693</v>
      </c>
      <c r="I24" s="1855">
        <f t="shared" si="0"/>
        <v>0.1981</v>
      </c>
      <c r="J24" s="1784"/>
      <c r="K24" s="2706">
        <v>15230617</v>
      </c>
      <c r="L24" s="1855">
        <f t="shared" si="1"/>
        <v>7.0900000000000005E-2</v>
      </c>
      <c r="M24" s="1855"/>
      <c r="N24" s="2706">
        <v>14222244</v>
      </c>
      <c r="O24" s="1855">
        <f t="shared" si="2"/>
        <v>-2.1600000000000001E-2</v>
      </c>
      <c r="P24" s="2706">
        <v>14536730</v>
      </c>
      <c r="Q24" s="1855">
        <f t="shared" si="3"/>
        <v>0.12139999999999999</v>
      </c>
      <c r="R24" s="2706">
        <v>12963093</v>
      </c>
      <c r="S24" s="1855">
        <f t="shared" si="4"/>
        <v>-3.2099999999999997E-2</v>
      </c>
      <c r="T24" s="2706">
        <v>13393124</v>
      </c>
      <c r="U24" s="1855">
        <f t="shared" si="5"/>
        <v>2.76E-2</v>
      </c>
      <c r="V24" s="2706">
        <v>13033671</v>
      </c>
      <c r="W24" s="1855">
        <f t="shared" si="6"/>
        <v>-0.12230000000000001</v>
      </c>
      <c r="X24" s="1855"/>
      <c r="Y24" s="2706">
        <v>14850162</v>
      </c>
      <c r="Z24" s="1784"/>
      <c r="AA24" s="1784"/>
    </row>
    <row r="25" spans="1:27">
      <c r="A25" s="1793">
        <v>11</v>
      </c>
      <c r="C25" s="1784" t="s">
        <v>712</v>
      </c>
      <c r="D25" s="1784"/>
      <c r="E25" s="2706">
        <v>9508840</v>
      </c>
      <c r="F25" s="2706">
        <v>9176500</v>
      </c>
      <c r="G25" s="3510"/>
      <c r="H25" s="2706">
        <v>6646641</v>
      </c>
      <c r="I25" s="1855">
        <f t="shared" si="0"/>
        <v>3.1124999999999998</v>
      </c>
      <c r="J25" s="1784"/>
      <c r="K25" s="2706">
        <v>1616208</v>
      </c>
      <c r="L25" s="1855">
        <f t="shared" si="1"/>
        <v>1.1056999999999999</v>
      </c>
      <c r="M25" s="1855"/>
      <c r="N25" s="2706">
        <v>-15290192</v>
      </c>
      <c r="O25" s="1855">
        <f t="shared" si="2"/>
        <v>-3.0964</v>
      </c>
      <c r="P25" s="2706">
        <v>-3732567</v>
      </c>
      <c r="Q25" s="1855">
        <f t="shared" si="3"/>
        <v>-3.399</v>
      </c>
      <c r="R25" s="2706">
        <v>1555907</v>
      </c>
      <c r="S25" s="1855">
        <f t="shared" si="4"/>
        <v>4.0940000000000003</v>
      </c>
      <c r="T25" s="2706">
        <v>-502877</v>
      </c>
      <c r="U25" s="1855">
        <f t="shared" si="5"/>
        <v>-1.0333000000000001</v>
      </c>
      <c r="V25" s="2706">
        <v>15119669</v>
      </c>
      <c r="W25" s="1855">
        <f t="shared" si="6"/>
        <v>9.7691999999999997</v>
      </c>
      <c r="X25" s="1855"/>
      <c r="Y25" s="2706">
        <v>1403969</v>
      </c>
      <c r="Z25" s="1784"/>
      <c r="AA25" s="1784"/>
    </row>
    <row r="26" spans="1:27">
      <c r="A26" s="1793">
        <v>12</v>
      </c>
      <c r="C26" s="1784" t="s">
        <v>713</v>
      </c>
      <c r="D26" s="1784"/>
      <c r="E26" s="2706">
        <v>1888999</v>
      </c>
      <c r="F26" s="2706">
        <v>1562478</v>
      </c>
      <c r="G26" s="3510"/>
      <c r="H26" s="2706">
        <v>970678</v>
      </c>
      <c r="I26" s="1855">
        <f t="shared" si="0"/>
        <v>7.3129</v>
      </c>
      <c r="J26" s="1784"/>
      <c r="K26" s="2706">
        <v>116768</v>
      </c>
      <c r="L26" s="1855">
        <f t="shared" si="1"/>
        <v>1.3104</v>
      </c>
      <c r="M26" s="1855"/>
      <c r="N26" s="2706">
        <v>-376169</v>
      </c>
      <c r="O26" s="1855">
        <f t="shared" si="2"/>
        <v>0.56879999999999997</v>
      </c>
      <c r="P26" s="2706">
        <v>-872454</v>
      </c>
      <c r="Q26" s="1855">
        <f t="shared" si="3"/>
        <v>-9.7799999999999998E-2</v>
      </c>
      <c r="R26" s="2706">
        <v>-794708</v>
      </c>
      <c r="S26" s="1855">
        <f t="shared" si="4"/>
        <v>-1.4379</v>
      </c>
      <c r="T26" s="2706">
        <v>1814798</v>
      </c>
      <c r="U26" s="1855">
        <f t="shared" si="5"/>
        <v>0.66479999999999995</v>
      </c>
      <c r="V26" s="2706">
        <v>1090085</v>
      </c>
      <c r="W26" s="1855">
        <f t="shared" si="6"/>
        <v>-0.66890000000000005</v>
      </c>
      <c r="X26" s="1855"/>
      <c r="Y26" s="2706">
        <v>3291869</v>
      </c>
      <c r="Z26" s="1784"/>
      <c r="AA26" s="1784"/>
    </row>
    <row r="27" spans="1:27">
      <c r="A27" s="1793">
        <v>13</v>
      </c>
      <c r="C27" s="1784" t="s">
        <v>714</v>
      </c>
      <c r="D27" s="1784"/>
      <c r="E27" s="2706">
        <v>3946377</v>
      </c>
      <c r="F27" s="2706">
        <v>1049454</v>
      </c>
      <c r="G27" s="3510"/>
      <c r="H27" s="2706">
        <v>1901844</v>
      </c>
      <c r="I27" s="1855">
        <f t="shared" si="0"/>
        <v>1.1680999999999999</v>
      </c>
      <c r="J27" s="1784"/>
      <c r="K27" s="2706">
        <v>-11316730</v>
      </c>
      <c r="L27" s="1855">
        <f t="shared" si="1"/>
        <v>-1.1221000000000001</v>
      </c>
      <c r="M27" s="1855"/>
      <c r="N27" s="2706">
        <v>92675520</v>
      </c>
      <c r="O27" s="1855">
        <f t="shared" si="2"/>
        <v>2.12E-2</v>
      </c>
      <c r="P27" s="2706">
        <v>90755536</v>
      </c>
      <c r="Q27" s="1855">
        <f t="shared" si="3"/>
        <v>-0.3705</v>
      </c>
      <c r="R27" s="2706">
        <v>144168278</v>
      </c>
      <c r="S27" s="1855">
        <f t="shared" si="4"/>
        <v>1.5365</v>
      </c>
      <c r="T27" s="2706">
        <v>56838365</v>
      </c>
      <c r="U27" s="1855">
        <f t="shared" si="5"/>
        <v>0.55079999999999996</v>
      </c>
      <c r="V27" s="2706">
        <v>36651638</v>
      </c>
      <c r="W27" s="1855">
        <f t="shared" si="6"/>
        <v>-0.33379999999999999</v>
      </c>
      <c r="X27" s="1855"/>
      <c r="Y27" s="2706">
        <v>55014396</v>
      </c>
      <c r="Z27" s="1784"/>
    </row>
    <row r="28" spans="1:27">
      <c r="A28" s="1793">
        <v>14</v>
      </c>
      <c r="B28" s="1854"/>
      <c r="C28" s="1853" t="s">
        <v>715</v>
      </c>
      <c r="D28" s="1853"/>
      <c r="E28" s="2706"/>
      <c r="F28" s="2706"/>
      <c r="G28" s="3510"/>
      <c r="H28" s="2706"/>
      <c r="I28" s="1855" t="str">
        <f t="shared" si="0"/>
        <v>-</v>
      </c>
      <c r="J28" s="1853"/>
      <c r="K28" s="2706"/>
      <c r="L28" s="1855">
        <f t="shared" si="1"/>
        <v>1</v>
      </c>
      <c r="M28" s="1855"/>
      <c r="N28" s="2706">
        <v>-56685655</v>
      </c>
      <c r="O28" s="1855">
        <f t="shared" si="2"/>
        <v>0.18</v>
      </c>
      <c r="P28" s="2706">
        <v>-69127951</v>
      </c>
      <c r="Q28" s="1855">
        <f t="shared" si="3"/>
        <v>0.40949999999999998</v>
      </c>
      <c r="R28" s="2706">
        <v>-117061600</v>
      </c>
      <c r="S28" s="1855">
        <f t="shared" si="4"/>
        <v>-2.1760000000000002</v>
      </c>
      <c r="T28" s="2706">
        <v>-36858043</v>
      </c>
      <c r="U28" s="1855">
        <f t="shared" si="5"/>
        <v>-0.30940000000000001</v>
      </c>
      <c r="V28" s="2706">
        <v>-28148659</v>
      </c>
      <c r="W28" s="1855">
        <f t="shared" si="6"/>
        <v>0.34210000000000002</v>
      </c>
      <c r="X28" s="1855"/>
      <c r="Y28" s="2706">
        <v>-42788022</v>
      </c>
      <c r="Z28" s="1784"/>
    </row>
    <row r="29" spans="1:27">
      <c r="A29" s="1793">
        <v>15</v>
      </c>
      <c r="C29" s="1784" t="s">
        <v>716</v>
      </c>
      <c r="D29" s="1784"/>
      <c r="E29" s="2706">
        <v>0</v>
      </c>
      <c r="F29" s="2706">
        <v>0</v>
      </c>
      <c r="G29" s="3510"/>
      <c r="H29" s="2706">
        <v>0</v>
      </c>
      <c r="I29" s="1855">
        <f t="shared" si="0"/>
        <v>1</v>
      </c>
      <c r="J29" s="1784"/>
      <c r="K29" s="2706">
        <v>-40012</v>
      </c>
      <c r="L29" s="1855">
        <f t="shared" si="1"/>
        <v>0.4899</v>
      </c>
      <c r="M29" s="1855"/>
      <c r="N29" s="2706">
        <v>-78441</v>
      </c>
      <c r="O29" s="1855">
        <f t="shared" si="2"/>
        <v>0.1298</v>
      </c>
      <c r="P29" s="2706">
        <v>-90146</v>
      </c>
      <c r="Q29" s="1855">
        <f t="shared" si="3"/>
        <v>7.2700000000000001E-2</v>
      </c>
      <c r="R29" s="2706">
        <v>-97216</v>
      </c>
      <c r="S29" s="1855">
        <f t="shared" si="4"/>
        <v>1.0800000000000001E-2</v>
      </c>
      <c r="T29" s="2706">
        <v>-98281</v>
      </c>
      <c r="U29" s="1855">
        <f t="shared" si="5"/>
        <v>9.06E-2</v>
      </c>
      <c r="V29" s="2706">
        <v>-108070</v>
      </c>
      <c r="W29" s="1855">
        <f t="shared" si="6"/>
        <v>0.1822</v>
      </c>
      <c r="X29" s="1855"/>
      <c r="Y29" s="2706">
        <v>-132145</v>
      </c>
      <c r="Z29" s="1784"/>
      <c r="AA29" s="1784"/>
    </row>
    <row r="30" spans="1:27">
      <c r="A30" s="1793">
        <v>16</v>
      </c>
      <c r="C30" s="2707" t="s">
        <v>1718</v>
      </c>
      <c r="D30" s="2707"/>
      <c r="E30" s="2706"/>
      <c r="F30" s="2706"/>
      <c r="G30" s="3510"/>
      <c r="H30" s="2706"/>
      <c r="I30" s="1855" t="str">
        <f>IF(K30=0,"-",ROUND((H30-K30)/ABS(K30),4))</f>
        <v>-</v>
      </c>
      <c r="J30" s="1784"/>
      <c r="K30" s="2706"/>
      <c r="L30" s="1855">
        <f>IF(N30=0,"-",ROUND((K30-N30)/ABS(N30),4))</f>
        <v>1</v>
      </c>
      <c r="M30" s="1855"/>
      <c r="N30" s="2706">
        <v>-23</v>
      </c>
      <c r="O30" s="1855" t="str">
        <f>IF(P30=0,"-",ROUND((N30-P30)/ABS(P30),4))</f>
        <v>-</v>
      </c>
      <c r="P30" s="2706">
        <v>0</v>
      </c>
      <c r="Q30" s="1855">
        <f>IF(R30=0,"-",ROUND((P30-R30)/ABS(R30),4))</f>
        <v>1</v>
      </c>
      <c r="R30" s="2706">
        <v>-8051</v>
      </c>
      <c r="S30" s="1855">
        <f>IF(T30=0,"-",ROUND((R30-T30)/ABS(T30),4))</f>
        <v>-56.920900000000003</v>
      </c>
      <c r="T30" s="2706">
        <v>-139</v>
      </c>
      <c r="U30" s="1855">
        <f>IF(V30=0,"-",ROUND((T30-V30)/ABS(V30),4))</f>
        <v>-0.51090000000000002</v>
      </c>
      <c r="V30" s="2706">
        <v>-92</v>
      </c>
      <c r="W30" s="1855">
        <f>IF(Y30=0,"-",ROUND((V30-Y30)/ABS(Y30),4))</f>
        <v>0.59289999999999998</v>
      </c>
      <c r="X30" s="1855"/>
      <c r="Y30" s="2706">
        <v>-226</v>
      </c>
      <c r="Z30" s="1784"/>
      <c r="AA30" s="1784"/>
    </row>
    <row r="31" spans="1:27">
      <c r="A31" s="1793">
        <v>17</v>
      </c>
      <c r="C31" s="2707" t="s">
        <v>1719</v>
      </c>
      <c r="D31" s="2707"/>
      <c r="E31" s="2706">
        <v>0</v>
      </c>
      <c r="F31" s="2706">
        <v>0</v>
      </c>
      <c r="G31" s="3510"/>
      <c r="H31" s="2706">
        <v>0</v>
      </c>
      <c r="I31" s="1855" t="str">
        <f>IF(K31=0,"-",ROUND((H31-K31)/ABS(K31),4))</f>
        <v>-</v>
      </c>
      <c r="J31" s="1784"/>
      <c r="K31" s="2706">
        <v>0</v>
      </c>
      <c r="L31" s="1855" t="str">
        <f>IF(N31=0,"-",ROUND((K31-N31)/ABS(N31),4))</f>
        <v>-</v>
      </c>
      <c r="M31" s="1855"/>
      <c r="N31" s="2706">
        <v>0</v>
      </c>
      <c r="O31" s="1855" t="str">
        <f>IF(P31=0,"-",ROUND((N31-P31)/ABS(P31),4))</f>
        <v>-</v>
      </c>
      <c r="P31" s="2706">
        <v>0</v>
      </c>
      <c r="Q31" s="1855" t="str">
        <f>IF(R31=0,"-",ROUND((P31-R31)/ABS(R31),4))</f>
        <v>-</v>
      </c>
      <c r="R31" s="2706">
        <v>0</v>
      </c>
      <c r="S31" s="1855" t="str">
        <f>IF(T31=0,"-",ROUND((R31-T31)/ABS(T31),4))</f>
        <v>-</v>
      </c>
      <c r="T31" s="2706">
        <v>0</v>
      </c>
      <c r="U31" s="1855" t="str">
        <f>IF(V31=0,"-",ROUND((T31-V31)/ABS(V31),4))</f>
        <v>-</v>
      </c>
      <c r="V31" s="2706">
        <v>0</v>
      </c>
      <c r="W31" s="1855" t="str">
        <f>IF(Y31=0,"-",ROUND((V31-Y31)/ABS(Y31),4))</f>
        <v>-</v>
      </c>
      <c r="X31" s="1855"/>
      <c r="Y31" s="2706">
        <v>0</v>
      </c>
      <c r="Z31" s="1784"/>
      <c r="AA31" s="1784"/>
    </row>
    <row r="32" spans="1:27">
      <c r="A32" s="1793">
        <v>18</v>
      </c>
      <c r="C32" s="1784" t="s">
        <v>717</v>
      </c>
      <c r="D32" s="1784"/>
      <c r="E32" s="2711">
        <f>SUM(E18:E29)</f>
        <v>417548124</v>
      </c>
      <c r="F32" s="2711">
        <f>SUM(F18:F31)</f>
        <v>411332378</v>
      </c>
      <c r="G32" s="1869"/>
      <c r="H32" s="2711">
        <f>SUM(H18:H31)</f>
        <v>397743756</v>
      </c>
      <c r="I32" s="1855">
        <f t="shared" si="0"/>
        <v>8.9999999999999993E-3</v>
      </c>
      <c r="J32" s="1784"/>
      <c r="K32" s="2711">
        <f>SUM(K18:K29)</f>
        <v>394215173</v>
      </c>
      <c r="L32" s="1855">
        <f t="shared" si="1"/>
        <v>4.7300000000000002E-2</v>
      </c>
      <c r="M32" s="1855"/>
      <c r="N32" s="2711">
        <f>SUM(N18:N31)</f>
        <v>376417501</v>
      </c>
      <c r="O32" s="1855">
        <f t="shared" si="2"/>
        <v>-1.6500000000000001E-2</v>
      </c>
      <c r="P32" s="2711">
        <f>SUM(P18:P31)</f>
        <v>382728816</v>
      </c>
      <c r="Q32" s="1855">
        <f t="shared" si="3"/>
        <v>-5.7099999999999998E-2</v>
      </c>
      <c r="R32" s="2711">
        <f>SUM(R18:R31)</f>
        <v>405908679</v>
      </c>
      <c r="S32" s="1855">
        <f t="shared" si="4"/>
        <v>-7.2900000000000006E-2</v>
      </c>
      <c r="T32" s="2711">
        <f>SUM(T18:T31)</f>
        <v>437828613</v>
      </c>
      <c r="U32" s="1855">
        <f t="shared" si="5"/>
        <v>0.13689999999999999</v>
      </c>
      <c r="V32" s="2711">
        <f>SUM(V18:V29)</f>
        <v>385094903</v>
      </c>
      <c r="W32" s="1855">
        <f t="shared" si="6"/>
        <v>6.4000000000000003E-3</v>
      </c>
      <c r="X32" s="1855"/>
      <c r="Y32" s="2711">
        <f>SUM(Y18:Y29)</f>
        <v>382632718</v>
      </c>
    </row>
    <row r="33" spans="1:27">
      <c r="A33" s="1793">
        <v>19</v>
      </c>
      <c r="C33" s="1784" t="s">
        <v>753</v>
      </c>
      <c r="D33" s="1784"/>
      <c r="E33" s="2712">
        <f>E16-E32</f>
        <v>89733236</v>
      </c>
      <c r="F33" s="2712">
        <f>F16-F32</f>
        <v>77802225</v>
      </c>
      <c r="G33" s="1869"/>
      <c r="H33" s="2712">
        <f>H16-H32</f>
        <v>70616516</v>
      </c>
      <c r="I33" s="1855">
        <f t="shared" si="0"/>
        <v>-9.1399999999999995E-2</v>
      </c>
      <c r="J33" s="1784"/>
      <c r="K33" s="2712">
        <f>K16-K32</f>
        <v>77722545</v>
      </c>
      <c r="L33" s="1855">
        <f t="shared" si="1"/>
        <v>0.47610000000000002</v>
      </c>
      <c r="M33" s="1855"/>
      <c r="N33" s="2712">
        <f>N16-N32</f>
        <v>52654742</v>
      </c>
      <c r="O33" s="1855">
        <f t="shared" si="2"/>
        <v>-9.2999999999999999E-2</v>
      </c>
      <c r="P33" s="2712">
        <f>P16-P32</f>
        <v>58051173</v>
      </c>
      <c r="Q33" s="1855">
        <f t="shared" si="3"/>
        <v>-4.5900000000000003E-2</v>
      </c>
      <c r="R33" s="2712">
        <f>R16-R32</f>
        <v>60845608</v>
      </c>
      <c r="S33" s="1855">
        <f t="shared" si="4"/>
        <v>0.19550000000000001</v>
      </c>
      <c r="T33" s="2712">
        <f>T16-T32</f>
        <v>50895612</v>
      </c>
      <c r="U33" s="1855">
        <f t="shared" si="5"/>
        <v>-0.1331</v>
      </c>
      <c r="V33" s="2712">
        <f>V16-V32</f>
        <v>58708779</v>
      </c>
      <c r="W33" s="1855">
        <f t="shared" si="6"/>
        <v>0.30480000000000002</v>
      </c>
      <c r="X33" s="1855"/>
      <c r="Y33" s="2712">
        <f>Y16-Y32</f>
        <v>44994609</v>
      </c>
    </row>
    <row r="34" spans="1:27">
      <c r="A34" s="1793">
        <v>20</v>
      </c>
      <c r="C34" s="1784" t="s">
        <v>754</v>
      </c>
      <c r="D34" s="1784"/>
      <c r="E34" s="1854"/>
      <c r="F34" s="1854"/>
      <c r="G34" s="1869"/>
      <c r="H34" s="1854"/>
      <c r="I34" s="1855"/>
      <c r="J34" s="1784"/>
      <c r="K34" s="1854"/>
      <c r="L34" s="1855"/>
      <c r="M34" s="1855"/>
      <c r="N34" s="1854"/>
      <c r="O34" s="1855"/>
      <c r="P34" s="1854"/>
      <c r="Q34" s="1855"/>
      <c r="R34" s="1854"/>
      <c r="S34" s="1855"/>
      <c r="T34" s="1854"/>
      <c r="U34" s="1855"/>
      <c r="V34" s="1854"/>
      <c r="W34" s="1855"/>
      <c r="X34" s="1855"/>
      <c r="Y34" s="1854"/>
    </row>
    <row r="35" spans="1:27">
      <c r="A35" s="1793">
        <v>21</v>
      </c>
      <c r="C35" s="1784" t="s">
        <v>755</v>
      </c>
      <c r="D35" s="1784"/>
      <c r="E35" s="1854"/>
      <c r="F35" s="1854"/>
      <c r="G35" s="1869"/>
      <c r="H35" s="1854"/>
      <c r="I35" s="1855"/>
      <c r="J35" s="1784"/>
      <c r="K35" s="1854"/>
      <c r="L35" s="1855"/>
      <c r="M35" s="1855"/>
      <c r="N35" s="1854"/>
      <c r="O35" s="1855"/>
      <c r="P35" s="1854"/>
      <c r="Q35" s="1855"/>
      <c r="R35" s="1854"/>
      <c r="S35" s="1855"/>
      <c r="T35" s="1854"/>
      <c r="U35" s="1855"/>
      <c r="V35" s="1854"/>
      <c r="W35" s="1855"/>
      <c r="X35" s="1855"/>
      <c r="Y35" s="1854"/>
    </row>
    <row r="36" spans="1:27">
      <c r="A36" s="1793">
        <v>22</v>
      </c>
      <c r="C36" s="1784" t="s">
        <v>756</v>
      </c>
      <c r="D36" s="1784"/>
      <c r="E36" s="2706">
        <v>220000</v>
      </c>
      <c r="F36" s="2706">
        <v>219999.99999999965</v>
      </c>
      <c r="G36" s="3510"/>
      <c r="H36" s="2706">
        <v>219999.99999999965</v>
      </c>
      <c r="I36" s="1855">
        <f t="shared" ref="I36:I41" si="7">IF(K36=0,"-",ROUND((H36-K36)/ABS(K36),4))</f>
        <v>0.99760000000000004</v>
      </c>
      <c r="J36" s="1784"/>
      <c r="K36" s="2706">
        <v>110130</v>
      </c>
      <c r="L36" s="1855">
        <f t="shared" ref="L36:L41" si="8">IF(N36=0,"-",ROUND((K36-N36)/ABS(N36),4))</f>
        <v>-0.84370000000000001</v>
      </c>
      <c r="M36" s="1855"/>
      <c r="N36" s="2706">
        <v>704469</v>
      </c>
      <c r="O36" s="1855">
        <f t="shared" ref="O36:O41" si="9">IF(P36=0,"-",ROUND((N36-P36)/ABS(P36),4))</f>
        <v>0.81759999999999999</v>
      </c>
      <c r="P36" s="2706">
        <v>387576</v>
      </c>
      <c r="Q36" s="1855">
        <f t="shared" ref="Q36:Q41" si="10">IF(R36=0,"-",ROUND((P36-R36)/ABS(R36),4))</f>
        <v>0.18759999999999999</v>
      </c>
      <c r="R36" s="2706">
        <v>326352</v>
      </c>
      <c r="S36" s="1855">
        <f t="shared" ref="S36:S41" si="11">IF(T36=0,"-",ROUND((R36-T36)/ABS(T36),4))</f>
        <v>7.532</v>
      </c>
      <c r="T36" s="2706">
        <v>-49962</v>
      </c>
      <c r="U36" s="1855">
        <f t="shared" ref="U36:U41" si="12">IF(V36=0,"-",ROUND((T36-V36)/ABS(V36),4))</f>
        <v>-1.22</v>
      </c>
      <c r="V36" s="2706">
        <v>227147</v>
      </c>
      <c r="W36" s="1855">
        <f t="shared" ref="W36:W41" si="13">IF(Y36=0,"-",ROUND((V36-Y36)/ABS(Y36),4))</f>
        <v>-0.27239999999999998</v>
      </c>
      <c r="X36" s="1855"/>
      <c r="Y36" s="2706">
        <v>312177</v>
      </c>
      <c r="Z36" s="1784"/>
    </row>
    <row r="37" spans="1:27">
      <c r="A37" s="1793">
        <v>23</v>
      </c>
      <c r="C37" s="1784" t="s">
        <v>1548</v>
      </c>
      <c r="D37" s="1784"/>
      <c r="E37" s="2706">
        <v>1903898</v>
      </c>
      <c r="F37" s="2706">
        <v>1706518</v>
      </c>
      <c r="G37" s="3510"/>
      <c r="H37" s="2706">
        <v>1769129</v>
      </c>
      <c r="I37" s="1855">
        <f t="shared" si="7"/>
        <v>0.22420000000000001</v>
      </c>
      <c r="J37" s="1784"/>
      <c r="K37" s="2706">
        <v>1445179</v>
      </c>
      <c r="L37" s="1855">
        <f t="shared" si="8"/>
        <v>0.16950000000000001</v>
      </c>
      <c r="M37" s="1855"/>
      <c r="N37" s="2706">
        <v>1235748</v>
      </c>
      <c r="O37" s="1855">
        <f t="shared" si="9"/>
        <v>0.248</v>
      </c>
      <c r="P37" s="2706">
        <v>990145</v>
      </c>
      <c r="Q37" s="1855">
        <f t="shared" si="10"/>
        <v>-2.8799999999999999E-2</v>
      </c>
      <c r="R37" s="2706">
        <v>1019460</v>
      </c>
      <c r="S37" s="1855">
        <f t="shared" si="11"/>
        <v>-0.12709999999999999</v>
      </c>
      <c r="T37" s="2706">
        <v>1167836</v>
      </c>
      <c r="U37" s="1855">
        <f t="shared" si="12"/>
        <v>7.8600000000000003E-2</v>
      </c>
      <c r="V37" s="2706">
        <v>1082777</v>
      </c>
      <c r="W37" s="1855">
        <f t="shared" si="13"/>
        <v>-0.1293</v>
      </c>
      <c r="X37" s="1855"/>
      <c r="Y37" s="2706">
        <v>1243599</v>
      </c>
    </row>
    <row r="38" spans="1:27">
      <c r="A38" s="1793">
        <v>24</v>
      </c>
      <c r="C38" s="1784" t="s">
        <v>1549</v>
      </c>
      <c r="D38" s="1784"/>
      <c r="E38" s="2706">
        <v>2731462</v>
      </c>
      <c r="F38" s="2706">
        <v>2964593</v>
      </c>
      <c r="G38" s="3510"/>
      <c r="H38" s="2706">
        <v>2367463</v>
      </c>
      <c r="I38" s="1855">
        <f t="shared" si="7"/>
        <v>-0.44240000000000002</v>
      </c>
      <c r="J38" s="1784"/>
      <c r="K38" s="2706">
        <v>4245572</v>
      </c>
      <c r="L38" s="1855">
        <f t="shared" si="8"/>
        <v>0.26419999999999999</v>
      </c>
      <c r="M38" s="1855"/>
      <c r="N38" s="2706">
        <v>3358208</v>
      </c>
      <c r="O38" s="1855">
        <f t="shared" si="9"/>
        <v>1.5207999999999999</v>
      </c>
      <c r="P38" s="2706">
        <v>1332221</v>
      </c>
      <c r="Q38" s="1855">
        <f t="shared" si="10"/>
        <v>1.1506000000000001</v>
      </c>
      <c r="R38" s="2706">
        <v>619464</v>
      </c>
      <c r="S38" s="1855">
        <f t="shared" si="11"/>
        <v>0.24490000000000001</v>
      </c>
      <c r="T38" s="2706">
        <v>497621</v>
      </c>
      <c r="U38" s="1855">
        <f t="shared" si="12"/>
        <v>3.5900000000000001E-2</v>
      </c>
      <c r="V38" s="2706">
        <v>480390</v>
      </c>
      <c r="W38" s="1855">
        <f t="shared" si="13"/>
        <v>0.86109999999999998</v>
      </c>
      <c r="X38" s="1855"/>
      <c r="Y38" s="2706">
        <v>258123</v>
      </c>
    </row>
    <row r="39" spans="1:27">
      <c r="A39" s="1793">
        <v>25</v>
      </c>
      <c r="C39" s="1784" t="s">
        <v>1670</v>
      </c>
      <c r="D39" s="1784"/>
      <c r="E39" s="2706">
        <v>1718583</v>
      </c>
      <c r="F39" s="2706">
        <v>1170216</v>
      </c>
      <c r="G39" s="3510"/>
      <c r="H39" s="2706">
        <v>895880</v>
      </c>
      <c r="I39" s="1855">
        <f t="shared" si="7"/>
        <v>-0.65490000000000004</v>
      </c>
      <c r="J39" s="1784"/>
      <c r="K39" s="2706">
        <v>2596178</v>
      </c>
      <c r="L39" s="1855">
        <f t="shared" si="8"/>
        <v>626.70259999999996</v>
      </c>
      <c r="M39" s="1855"/>
      <c r="N39" s="2706">
        <v>4136</v>
      </c>
      <c r="O39" s="1855">
        <f t="shared" si="9"/>
        <v>3.9438</v>
      </c>
      <c r="P39" s="2706">
        <v>-1405</v>
      </c>
      <c r="Q39" s="1855">
        <f t="shared" si="10"/>
        <v>-27.0185</v>
      </c>
      <c r="R39" s="2706">
        <v>54</v>
      </c>
      <c r="S39" s="1855">
        <f t="shared" si="11"/>
        <v>-0.99980000000000002</v>
      </c>
      <c r="T39" s="2706">
        <v>230387</v>
      </c>
      <c r="U39" s="1855">
        <f t="shared" si="12"/>
        <v>2993.0390000000002</v>
      </c>
      <c r="V39" s="2706">
        <v>-77</v>
      </c>
      <c r="W39" s="1855">
        <f t="shared" si="13"/>
        <v>-1.0609</v>
      </c>
      <c r="X39" s="1855"/>
      <c r="Y39" s="2706">
        <v>1265</v>
      </c>
    </row>
    <row r="40" spans="1:27">
      <c r="A40" s="1793">
        <v>26</v>
      </c>
      <c r="C40" s="1784" t="s">
        <v>236</v>
      </c>
      <c r="D40" s="1784"/>
      <c r="E40" s="2706">
        <v>0</v>
      </c>
      <c r="F40" s="2706">
        <v>0</v>
      </c>
      <c r="G40" s="3510"/>
      <c r="H40" s="2706">
        <v>0</v>
      </c>
      <c r="I40" s="1855" t="str">
        <f t="shared" si="7"/>
        <v>-</v>
      </c>
      <c r="J40" s="1784"/>
      <c r="K40" s="2706">
        <v>0</v>
      </c>
      <c r="L40" s="1855">
        <f t="shared" si="8"/>
        <v>-1</v>
      </c>
      <c r="M40" s="1855"/>
      <c r="N40" s="2706">
        <v>17045</v>
      </c>
      <c r="O40" s="1855">
        <f t="shared" si="9"/>
        <v>-0.55779999999999996</v>
      </c>
      <c r="P40" s="2706">
        <v>38549</v>
      </c>
      <c r="Q40" s="1855">
        <f t="shared" si="10"/>
        <v>-0.8397</v>
      </c>
      <c r="R40" s="2706">
        <v>240478</v>
      </c>
      <c r="S40" s="1855" t="str">
        <f t="shared" si="11"/>
        <v>-</v>
      </c>
      <c r="T40" s="2706">
        <v>0</v>
      </c>
      <c r="U40" s="1855">
        <f t="shared" si="12"/>
        <v>-1</v>
      </c>
      <c r="V40" s="2706">
        <v>3439636</v>
      </c>
      <c r="W40" s="1855">
        <f t="shared" si="13"/>
        <v>6.3472999999999997</v>
      </c>
      <c r="X40" s="1855"/>
      <c r="Y40" s="2706">
        <v>468150</v>
      </c>
    </row>
    <row r="41" spans="1:27">
      <c r="A41" s="1793">
        <v>27</v>
      </c>
      <c r="C41" s="1784" t="s">
        <v>237</v>
      </c>
      <c r="D41" s="1784"/>
      <c r="E41" s="2711">
        <f>SUM(E36:E40)</f>
        <v>6573943</v>
      </c>
      <c r="F41" s="2711">
        <f>SUM(F36:F40)</f>
        <v>6061327</v>
      </c>
      <c r="G41" s="1869"/>
      <c r="H41" s="2711">
        <f>SUM(H36:H40)</f>
        <v>5252472</v>
      </c>
      <c r="I41" s="1855">
        <f t="shared" si="7"/>
        <v>-0.3745</v>
      </c>
      <c r="J41" s="1784"/>
      <c r="K41" s="2711">
        <f>SUM(K36:K40)</f>
        <v>8397059</v>
      </c>
      <c r="L41" s="1855">
        <f t="shared" si="8"/>
        <v>0.57850000000000001</v>
      </c>
      <c r="M41" s="1855"/>
      <c r="N41" s="2711">
        <f>SUM(N36:N40)</f>
        <v>5319606</v>
      </c>
      <c r="O41" s="1855">
        <f t="shared" si="9"/>
        <v>0.9365</v>
      </c>
      <c r="P41" s="2711">
        <f>SUM(P36:P40)</f>
        <v>2747086</v>
      </c>
      <c r="Q41" s="1855">
        <f t="shared" si="10"/>
        <v>0.24540000000000001</v>
      </c>
      <c r="R41" s="2711">
        <f>SUM(R36:R40)</f>
        <v>2205808</v>
      </c>
      <c r="S41" s="1855">
        <f t="shared" si="11"/>
        <v>0.19500000000000001</v>
      </c>
      <c r="T41" s="2711">
        <f>SUM(T36:T40)</f>
        <v>1845882</v>
      </c>
      <c r="U41" s="1855">
        <f t="shared" si="12"/>
        <v>-0.64710000000000001</v>
      </c>
      <c r="V41" s="2711">
        <f>SUM(V36:V40)</f>
        <v>5229873</v>
      </c>
      <c r="W41" s="1855">
        <f t="shared" si="13"/>
        <v>1.2905</v>
      </c>
      <c r="X41" s="1855"/>
      <c r="Y41" s="2711">
        <f>SUM(Y36:Y40)</f>
        <v>2283314</v>
      </c>
    </row>
    <row r="42" spans="1:27">
      <c r="A42" s="1793">
        <v>28</v>
      </c>
      <c r="C42" s="1784" t="s">
        <v>238</v>
      </c>
      <c r="D42" s="1784"/>
      <c r="E42" s="1854"/>
      <c r="F42" s="1854"/>
      <c r="G42" s="1869"/>
      <c r="H42" s="1854"/>
      <c r="I42" s="1855"/>
      <c r="J42" s="1784"/>
      <c r="K42" s="1854"/>
      <c r="L42" s="1855"/>
      <c r="M42" s="1855"/>
      <c r="N42" s="1854"/>
      <c r="O42" s="1855"/>
      <c r="P42" s="1854"/>
      <c r="Q42" s="1855"/>
      <c r="R42" s="1854"/>
      <c r="S42" s="1855"/>
      <c r="T42" s="1854"/>
      <c r="U42" s="1855"/>
      <c r="V42" s="1854"/>
      <c r="W42" s="1855"/>
      <c r="X42" s="1855"/>
      <c r="Y42" s="1854"/>
    </row>
    <row r="43" spans="1:27">
      <c r="A43" s="1793">
        <v>29</v>
      </c>
      <c r="C43" s="1784" t="s">
        <v>239</v>
      </c>
      <c r="D43" s="1784"/>
      <c r="E43" s="2706">
        <v>0</v>
      </c>
      <c r="F43" s="2706">
        <v>0</v>
      </c>
      <c r="G43" s="3510"/>
      <c r="H43" s="2706">
        <v>0</v>
      </c>
      <c r="I43" s="1855">
        <f>IF(K43=0,"-",ROUND((H43-K43)/ABS(K43),4))</f>
        <v>-1</v>
      </c>
      <c r="J43" s="1784"/>
      <c r="K43" s="2706">
        <v>1187</v>
      </c>
      <c r="L43" s="1855">
        <f>IF(N43=0,"-",ROUND((K43-N43)/ABS(N43),4))</f>
        <v>-0.98970000000000002</v>
      </c>
      <c r="M43" s="1855"/>
      <c r="N43" s="2706">
        <v>115629</v>
      </c>
      <c r="O43" s="1855">
        <f>IF(P43=0,"-",ROUND((N43-P43)/ABS(P43),4))</f>
        <v>9.6540999999999997</v>
      </c>
      <c r="P43" s="2706">
        <v>10853</v>
      </c>
      <c r="Q43" s="1855">
        <f>IF(R43=0,"-",ROUND((P43-R43)/ABS(R43),4))</f>
        <v>3.2461000000000002</v>
      </c>
      <c r="R43" s="2706">
        <v>-4832</v>
      </c>
      <c r="S43" s="1855" t="str">
        <f>IF(T43=0,"-",ROUND((R43-T43)/ABS(T43),4))</f>
        <v>-</v>
      </c>
      <c r="T43" s="2706">
        <v>0</v>
      </c>
      <c r="U43" s="1855" t="str">
        <f>IF(V43=0,"-",ROUND((T43-V43)/ABS(V43),4))</f>
        <v>-</v>
      </c>
      <c r="V43" s="2706">
        <v>0</v>
      </c>
      <c r="W43" s="1855">
        <f>IF(Y43=0,"-",ROUND((V43-Y43)/ABS(Y43),4))</f>
        <v>-1</v>
      </c>
      <c r="X43" s="1855"/>
      <c r="Y43" s="2706">
        <v>20688</v>
      </c>
    </row>
    <row r="44" spans="1:27">
      <c r="A44" s="1793">
        <v>30</v>
      </c>
      <c r="C44" s="1784" t="s">
        <v>240</v>
      </c>
      <c r="D44" s="1784"/>
      <c r="E44" s="2706">
        <v>0</v>
      </c>
      <c r="F44" s="2706">
        <v>0</v>
      </c>
      <c r="G44" s="3510"/>
      <c r="H44" s="2706">
        <v>0</v>
      </c>
      <c r="I44" s="1855" t="str">
        <f>IF(K44=0,"-",ROUND((H44-K44)/ABS(K44),4))</f>
        <v>-</v>
      </c>
      <c r="J44" s="1784"/>
      <c r="K44" s="2706"/>
      <c r="L44" s="1855">
        <f>IF(N44=0,"-",ROUND((K44-N44)/ABS(N44),4))</f>
        <v>-1</v>
      </c>
      <c r="M44" s="1855"/>
      <c r="N44" s="2706">
        <v>4024010</v>
      </c>
      <c r="O44" s="1855">
        <f>IF(P44=0,"-",ROUND((N44-P44)/ABS(P44),4))</f>
        <v>0.97619999999999996</v>
      </c>
      <c r="P44" s="2706">
        <v>2036243</v>
      </c>
      <c r="Q44" s="1855">
        <f>IF(R44=0,"-",ROUND((P44-R44)/ABS(R44),4))</f>
        <v>7.6499999999999999E-2</v>
      </c>
      <c r="R44" s="2706">
        <v>1891569</v>
      </c>
      <c r="S44" s="1855">
        <f>IF(T44=0,"-",ROUND((R44-T44)/ABS(T44),4))</f>
        <v>0.80649999999999999</v>
      </c>
      <c r="T44" s="2706">
        <v>1047066</v>
      </c>
      <c r="U44" s="1855">
        <f>IF(V44=0,"-",ROUND((T44-V44)/ABS(V44),4))</f>
        <v>-1.54E-2</v>
      </c>
      <c r="V44" s="2706">
        <v>1063486</v>
      </c>
      <c r="W44" s="1855">
        <f>IF(Y44=0,"-",ROUND((V44-Y44)/ABS(Y44),4))</f>
        <v>-0.4148</v>
      </c>
      <c r="X44" s="1855"/>
      <c r="Y44" s="2706">
        <v>1817195</v>
      </c>
    </row>
    <row r="45" spans="1:27">
      <c r="A45" s="1793">
        <v>31</v>
      </c>
      <c r="C45" s="1784" t="s">
        <v>241</v>
      </c>
      <c r="D45" s="1784"/>
      <c r="E45" s="2711">
        <f>SUM(E43:E44)</f>
        <v>0</v>
      </c>
      <c r="F45" s="2711">
        <f>SUM(F43:F44)</f>
        <v>0</v>
      </c>
      <c r="G45" s="1869"/>
      <c r="H45" s="2711">
        <f>SUM(H43:H44)</f>
        <v>0</v>
      </c>
      <c r="I45" s="1855">
        <f>IF(K45=0,"-",ROUND((H45-K45)/ABS(K45),4))</f>
        <v>-1</v>
      </c>
      <c r="J45" s="1784"/>
      <c r="K45" s="2711">
        <f>SUM(K43:K44)</f>
        <v>1187</v>
      </c>
      <c r="L45" s="1855">
        <f>IF(N45=0,"-",ROUND((K45-N45)/ABS(N45),4))</f>
        <v>-0.99970000000000003</v>
      </c>
      <c r="M45" s="1855"/>
      <c r="N45" s="2711">
        <f>SUM(N43:N44)</f>
        <v>4139639</v>
      </c>
      <c r="O45" s="1855">
        <f>IF(P45=0,"-",ROUND((N45-P45)/ABS(P45),4))</f>
        <v>1.0222</v>
      </c>
      <c r="P45" s="2711">
        <f>SUM(P43:P44)</f>
        <v>2047096</v>
      </c>
      <c r="Q45" s="1855">
        <f>IF(R45=0,"-",ROUND((P45-R45)/ABS(R45),4))</f>
        <v>8.5000000000000006E-2</v>
      </c>
      <c r="R45" s="2711">
        <f>SUM(R43:R44)</f>
        <v>1886737</v>
      </c>
      <c r="S45" s="1855">
        <f>IF(T45=0,"-",ROUND((R45-T45)/ABS(T45),4))</f>
        <v>0.80189999999999995</v>
      </c>
      <c r="T45" s="2711">
        <f>SUM(T43:T44)</f>
        <v>1047066</v>
      </c>
      <c r="U45" s="1855">
        <f>IF(V45=0,"-",ROUND((T45-V45)/ABS(V45),4))</f>
        <v>-1.54E-2</v>
      </c>
      <c r="V45" s="2711">
        <f>SUM(V43:V44)</f>
        <v>1063486</v>
      </c>
      <c r="W45" s="1855">
        <f>IF(Y45=0,"-",ROUND((V45-Y45)/ABS(Y45),4))</f>
        <v>-0.4214</v>
      </c>
      <c r="X45" s="1855"/>
      <c r="Y45" s="2711">
        <f>SUM(Y43:Y44)</f>
        <v>1837883</v>
      </c>
    </row>
    <row r="46" spans="1:27">
      <c r="A46" s="1793">
        <v>32</v>
      </c>
      <c r="C46" s="1784" t="s">
        <v>242</v>
      </c>
      <c r="D46" s="1784"/>
      <c r="E46" s="1854"/>
      <c r="F46" s="1854"/>
      <c r="G46" s="1869"/>
      <c r="H46" s="1854"/>
      <c r="I46" s="1855"/>
      <c r="J46" s="1784"/>
      <c r="K46" s="1854"/>
      <c r="L46" s="1855"/>
      <c r="M46" s="1855"/>
      <c r="N46" s="1854"/>
      <c r="O46" s="1855"/>
      <c r="P46" s="1854"/>
      <c r="Q46" s="1855"/>
      <c r="R46" s="1854"/>
      <c r="S46" s="1855"/>
      <c r="T46" s="1854"/>
      <c r="U46" s="1855"/>
      <c r="V46" s="1854"/>
      <c r="W46" s="1855"/>
      <c r="X46" s="1855"/>
      <c r="Y46" s="1854"/>
    </row>
    <row r="47" spans="1:27">
      <c r="A47" s="1793">
        <v>33</v>
      </c>
      <c r="C47" s="1784" t="s">
        <v>711</v>
      </c>
      <c r="D47" s="1784"/>
      <c r="E47" s="2706">
        <v>0</v>
      </c>
      <c r="F47" s="2706">
        <v>0</v>
      </c>
      <c r="G47" s="3510"/>
      <c r="H47" s="2706">
        <v>0</v>
      </c>
      <c r="I47" s="1855" t="str">
        <f t="shared" ref="I47:I54" si="14">IF(K47=0,"-",ROUND((H47-K47)/ABS(K47),4))</f>
        <v>-</v>
      </c>
      <c r="J47" s="1784"/>
      <c r="K47" s="2706"/>
      <c r="L47" s="1855">
        <f t="shared" ref="L47:L54" si="15">IF(N47=0,"-",ROUND((K47-N47)/ABS(N47),4))</f>
        <v>-1</v>
      </c>
      <c r="M47" s="1855"/>
      <c r="N47" s="2706">
        <v>117175</v>
      </c>
      <c r="O47" s="1855">
        <f t="shared" ref="O47:O54" si="16">IF(P47=0,"-",ROUND((N47-P47)/ABS(P47),4))</f>
        <v>0.1709</v>
      </c>
      <c r="P47" s="2706">
        <v>100069</v>
      </c>
      <c r="Q47" s="1855">
        <f t="shared" ref="Q47:Q54" si="17">IF(R47=0,"-",ROUND((P47-R47)/ABS(R47),4))</f>
        <v>-0.2074</v>
      </c>
      <c r="R47" s="2706">
        <v>126257</v>
      </c>
      <c r="S47" s="1855">
        <f t="shared" ref="S47:S54" si="18">IF(T47=0,"-",ROUND((R47-T47)/ABS(T47),4))</f>
        <v>2.47E-2</v>
      </c>
      <c r="T47" s="2706">
        <v>123213</v>
      </c>
      <c r="U47" s="1855">
        <f t="shared" ref="U47:U54" si="19">IF(V47=0,"-",ROUND((T47-V47)/ABS(V47),4))</f>
        <v>-0.1772</v>
      </c>
      <c r="V47" s="2706">
        <v>149754</v>
      </c>
      <c r="W47" s="1855">
        <f t="shared" ref="W47:W54" si="20">IF(Y47=0,"-",ROUND((V47-Y47)/ABS(Y47),4))</f>
        <v>8.6300000000000002E-2</v>
      </c>
      <c r="X47" s="1855"/>
      <c r="Y47" s="2706">
        <v>137852</v>
      </c>
      <c r="Z47" s="1784"/>
      <c r="AA47" s="1784"/>
    </row>
    <row r="48" spans="1:27">
      <c r="A48" s="1793">
        <v>34</v>
      </c>
      <c r="C48" s="1784" t="s">
        <v>712</v>
      </c>
      <c r="D48" s="1784"/>
      <c r="E48" s="2706">
        <v>0</v>
      </c>
      <c r="F48" s="2706">
        <v>0</v>
      </c>
      <c r="G48" s="3510"/>
      <c r="H48" s="2706">
        <v>0</v>
      </c>
      <c r="I48" s="1855" t="str">
        <f t="shared" si="14"/>
        <v>-</v>
      </c>
      <c r="J48" s="1784"/>
      <c r="K48" s="2706"/>
      <c r="L48" s="1855">
        <f t="shared" si="15"/>
        <v>-1</v>
      </c>
      <c r="M48" s="1855"/>
      <c r="N48" s="2706">
        <v>1848320</v>
      </c>
      <c r="O48" s="1855">
        <f t="shared" si="16"/>
        <v>-0.41360000000000002</v>
      </c>
      <c r="P48" s="2706">
        <v>3152242</v>
      </c>
      <c r="Q48" s="1855">
        <f t="shared" si="17"/>
        <v>-4.1500000000000002E-2</v>
      </c>
      <c r="R48" s="2706">
        <v>3288690</v>
      </c>
      <c r="S48" s="1855">
        <f t="shared" si="18"/>
        <v>-0.32529999999999998</v>
      </c>
      <c r="T48" s="2706">
        <v>4874288</v>
      </c>
      <c r="U48" s="1855">
        <f t="shared" si="19"/>
        <v>18.0397</v>
      </c>
      <c r="V48" s="2706">
        <v>256006</v>
      </c>
      <c r="W48" s="1855">
        <f t="shared" si="20"/>
        <v>-0.90690000000000004</v>
      </c>
      <c r="X48" s="1855"/>
      <c r="Y48" s="2706">
        <v>2750399</v>
      </c>
      <c r="Z48" s="1784"/>
      <c r="AA48" s="1784"/>
    </row>
    <row r="49" spans="1:27">
      <c r="A49" s="1793">
        <v>35</v>
      </c>
      <c r="C49" s="1784" t="s">
        <v>243</v>
      </c>
      <c r="D49" s="1784"/>
      <c r="E49" s="2706">
        <v>0</v>
      </c>
      <c r="F49" s="2706">
        <v>0</v>
      </c>
      <c r="G49" s="3510"/>
      <c r="H49" s="2706">
        <v>0</v>
      </c>
      <c r="I49" s="1855" t="str">
        <f t="shared" si="14"/>
        <v>-</v>
      </c>
      <c r="J49" s="1784"/>
      <c r="K49" s="2706"/>
      <c r="L49" s="1855">
        <f t="shared" si="15"/>
        <v>-1</v>
      </c>
      <c r="M49" s="1855"/>
      <c r="N49" s="2706">
        <v>289565</v>
      </c>
      <c r="O49" s="1855">
        <f t="shared" si="16"/>
        <v>-0.43419999999999997</v>
      </c>
      <c r="P49" s="2706">
        <v>511744</v>
      </c>
      <c r="Q49" s="1855">
        <f t="shared" si="17"/>
        <v>-6.8400000000000002E-2</v>
      </c>
      <c r="R49" s="2706">
        <v>549325</v>
      </c>
      <c r="S49" s="1855">
        <f t="shared" si="18"/>
        <v>-0.31640000000000001</v>
      </c>
      <c r="T49" s="2706">
        <v>803577</v>
      </c>
      <c r="U49" s="1855">
        <f t="shared" si="19"/>
        <v>3.1429999999999998</v>
      </c>
      <c r="V49" s="2706">
        <v>-374970</v>
      </c>
      <c r="W49" s="1855">
        <f t="shared" si="20"/>
        <v>-2.0127999999999999</v>
      </c>
      <c r="X49" s="1855"/>
      <c r="Y49" s="2706">
        <v>370225</v>
      </c>
      <c r="Z49" s="1784"/>
      <c r="AA49" s="1784"/>
    </row>
    <row r="50" spans="1:27">
      <c r="A50" s="1793">
        <v>36</v>
      </c>
      <c r="C50" s="1784" t="s">
        <v>714</v>
      </c>
      <c r="D50" s="1784"/>
      <c r="E50" s="2706">
        <v>0</v>
      </c>
      <c r="F50" s="2706">
        <v>0</v>
      </c>
      <c r="G50" s="3510"/>
      <c r="H50" s="2706">
        <v>0</v>
      </c>
      <c r="I50" s="1855" t="str">
        <f t="shared" si="14"/>
        <v>-</v>
      </c>
      <c r="J50" s="1784"/>
      <c r="K50" s="2706"/>
      <c r="L50" s="1855">
        <f t="shared" si="15"/>
        <v>-1</v>
      </c>
      <c r="M50" s="1855"/>
      <c r="N50" s="2706">
        <v>1456786</v>
      </c>
      <c r="O50" s="1855">
        <f t="shared" si="16"/>
        <v>5.4067999999999996</v>
      </c>
      <c r="P50" s="2706">
        <v>227382</v>
      </c>
      <c r="Q50" s="1855">
        <f t="shared" si="17"/>
        <v>-0.96660000000000001</v>
      </c>
      <c r="R50" s="2706">
        <v>6808421</v>
      </c>
      <c r="S50" s="1855">
        <f t="shared" si="18"/>
        <v>-0.2366</v>
      </c>
      <c r="T50" s="2706">
        <v>8918546</v>
      </c>
      <c r="U50" s="1855">
        <f t="shared" si="19"/>
        <v>0.49909999999999999</v>
      </c>
      <c r="V50" s="2706">
        <v>5949385</v>
      </c>
      <c r="W50" s="1855">
        <f t="shared" si="20"/>
        <v>21.898399999999999</v>
      </c>
      <c r="X50" s="1855"/>
      <c r="Y50" s="2706">
        <v>259817</v>
      </c>
      <c r="Z50" s="1784"/>
    </row>
    <row r="51" spans="1:27">
      <c r="A51" s="1793">
        <v>37</v>
      </c>
      <c r="C51" s="1784" t="s">
        <v>715</v>
      </c>
      <c r="D51" s="1784"/>
      <c r="E51" s="2706">
        <v>0</v>
      </c>
      <c r="F51" s="2706">
        <v>0</v>
      </c>
      <c r="G51" s="3510"/>
      <c r="H51" s="2706">
        <v>0</v>
      </c>
      <c r="I51" s="1855" t="str">
        <f t="shared" si="14"/>
        <v>-</v>
      </c>
      <c r="J51" s="1784"/>
      <c r="K51" s="2706"/>
      <c r="L51" s="1855">
        <f t="shared" si="15"/>
        <v>1</v>
      </c>
      <c r="M51" s="1855"/>
      <c r="N51" s="2706">
        <v>-24991931</v>
      </c>
      <c r="O51" s="1855">
        <f t="shared" si="16"/>
        <v>-5.6920999999999999</v>
      </c>
      <c r="P51" s="2706">
        <v>-3734569</v>
      </c>
      <c r="Q51" s="1855">
        <f t="shared" si="17"/>
        <v>0.63670000000000004</v>
      </c>
      <c r="R51" s="2706">
        <v>-10280872</v>
      </c>
      <c r="S51" s="1855">
        <f t="shared" si="18"/>
        <v>0.29570000000000002</v>
      </c>
      <c r="T51" s="2706">
        <v>-14596954</v>
      </c>
      <c r="U51" s="1855">
        <f t="shared" si="19"/>
        <v>-2.1711</v>
      </c>
      <c r="V51" s="2706">
        <v>-4603167</v>
      </c>
      <c r="W51" s="1855">
        <f t="shared" si="20"/>
        <v>-0.35870000000000002</v>
      </c>
      <c r="X51" s="1855"/>
      <c r="Y51" s="2706">
        <v>-3387854</v>
      </c>
      <c r="Z51" s="1784"/>
    </row>
    <row r="52" spans="1:27">
      <c r="A52" s="1793">
        <v>38</v>
      </c>
      <c r="C52" s="1784" t="s">
        <v>716</v>
      </c>
      <c r="D52" s="1784"/>
      <c r="E52" s="2706">
        <v>0</v>
      </c>
      <c r="F52" s="2706">
        <v>0</v>
      </c>
      <c r="G52" s="3510"/>
      <c r="H52" s="2706">
        <v>0</v>
      </c>
      <c r="I52" s="1855" t="str">
        <f>IF(K52=0,"-",ROUND((H52-K52)/ABS(K52),4))</f>
        <v>-</v>
      </c>
      <c r="J52" s="1784"/>
      <c r="K52" s="2706"/>
      <c r="L52" s="1855">
        <f>IF(N52=0,"-",ROUND((K52-N52)/ABS(N52),4))</f>
        <v>1</v>
      </c>
      <c r="M52" s="1855"/>
      <c r="N52" s="2706">
        <v>-8911</v>
      </c>
      <c r="O52" s="1855">
        <f>IF(P52=0,"-",ROUND((N52-P52)/ABS(P52),4))</f>
        <v>0.78810000000000002</v>
      </c>
      <c r="P52" s="2706">
        <v>-42057</v>
      </c>
      <c r="Q52" s="1855">
        <f>IF(R52=0,"-",ROUND((P52-R52)/ABS(R52),4))</f>
        <v>0.44180000000000003</v>
      </c>
      <c r="R52" s="2706">
        <v>-75340</v>
      </c>
      <c r="S52" s="1855">
        <f>IF(T52=0,"-",ROUND((R52-T52)/ABS(T52),4))</f>
        <v>0</v>
      </c>
      <c r="T52" s="2706">
        <v>-75340</v>
      </c>
      <c r="U52" s="1855">
        <f>IF(V52=0,"-",ROUND((T52-V52)/ABS(V52),4))</f>
        <v>-1.1713</v>
      </c>
      <c r="V52" s="2706">
        <v>439883</v>
      </c>
      <c r="W52" s="1855">
        <f>IF(Y52=0,"-",ROUND((V52-Y52)/ABS(Y52),4))</f>
        <v>2.0200999999999998</v>
      </c>
      <c r="X52" s="1855"/>
      <c r="Y52" s="2706">
        <v>-431215</v>
      </c>
      <c r="Z52" s="1784"/>
    </row>
    <row r="53" spans="1:27">
      <c r="A53" s="1793">
        <v>39</v>
      </c>
      <c r="C53" s="1784" t="s">
        <v>244</v>
      </c>
      <c r="D53" s="1784"/>
      <c r="E53" s="2711">
        <f>SUM(E47:E52)</f>
        <v>0</v>
      </c>
      <c r="F53" s="2711">
        <f>SUM(F47:F52)</f>
        <v>0</v>
      </c>
      <c r="G53" s="1869"/>
      <c r="H53" s="2711">
        <f>SUM(H47:H52)</f>
        <v>0</v>
      </c>
      <c r="I53" s="1855" t="str">
        <f t="shared" si="14"/>
        <v>-</v>
      </c>
      <c r="J53" s="1784"/>
      <c r="K53" s="2711">
        <f>SUM(K47:K52)</f>
        <v>0</v>
      </c>
      <c r="L53" s="1855">
        <f t="shared" si="15"/>
        <v>1</v>
      </c>
      <c r="M53" s="1855"/>
      <c r="N53" s="2711">
        <f>SUM(N47:N52)</f>
        <v>-21288996</v>
      </c>
      <c r="O53" s="1855">
        <f t="shared" si="16"/>
        <v>-100.1057</v>
      </c>
      <c r="P53" s="2711">
        <f>SUM(P47:P52)</f>
        <v>214811</v>
      </c>
      <c r="Q53" s="1855">
        <f t="shared" si="17"/>
        <v>-0.48420000000000002</v>
      </c>
      <c r="R53" s="2711">
        <f>SUM(R47:R52)</f>
        <v>416481</v>
      </c>
      <c r="S53" s="1855">
        <f t="shared" si="18"/>
        <v>7.7995000000000001</v>
      </c>
      <c r="T53" s="2711">
        <f>SUM(T47:T52)</f>
        <v>47330</v>
      </c>
      <c r="U53" s="1855">
        <f t="shared" si="19"/>
        <v>-0.97399999999999998</v>
      </c>
      <c r="V53" s="2711">
        <f>SUM(V47:V52)</f>
        <v>1816891</v>
      </c>
      <c r="W53" s="1855">
        <f t="shared" si="20"/>
        <v>7.0407000000000002</v>
      </c>
      <c r="X53" s="1855"/>
      <c r="Y53" s="2711">
        <f>SUM(Y47:Y52)</f>
        <v>-300776</v>
      </c>
    </row>
    <row r="54" spans="1:27">
      <c r="A54" s="1793">
        <v>40</v>
      </c>
      <c r="C54" s="1784" t="s">
        <v>245</v>
      </c>
      <c r="D54" s="1784"/>
      <c r="E54" s="2712">
        <f>E41-E45-E53</f>
        <v>6573943</v>
      </c>
      <c r="F54" s="2712">
        <f>F41-F45-F53</f>
        <v>6061327</v>
      </c>
      <c r="G54" s="1869"/>
      <c r="H54" s="2712">
        <f>H41-H45-H53</f>
        <v>5252472</v>
      </c>
      <c r="I54" s="1855">
        <f t="shared" si="14"/>
        <v>-0.37440000000000001</v>
      </c>
      <c r="J54" s="1784"/>
      <c r="K54" s="2712">
        <f>K41-K45-K53</f>
        <v>8395872</v>
      </c>
      <c r="L54" s="1855">
        <f t="shared" si="15"/>
        <v>-0.62629999999999997</v>
      </c>
      <c r="M54" s="1855"/>
      <c r="N54" s="2712">
        <f>N41-N45-N53</f>
        <v>22468963</v>
      </c>
      <c r="O54" s="1855">
        <f t="shared" si="16"/>
        <v>45.310699999999997</v>
      </c>
      <c r="P54" s="2712">
        <f>P41-P45-P53</f>
        <v>485179</v>
      </c>
      <c r="Q54" s="1855">
        <f t="shared" si="17"/>
        <v>5.9808000000000003</v>
      </c>
      <c r="R54" s="2712">
        <f>R41-R45-R53</f>
        <v>-97410</v>
      </c>
      <c r="S54" s="1855">
        <f t="shared" si="18"/>
        <v>-1.1295999999999999</v>
      </c>
      <c r="T54" s="2712">
        <f>T41-T45-T53</f>
        <v>751486</v>
      </c>
      <c r="U54" s="1855">
        <f t="shared" si="19"/>
        <v>-0.68020000000000003</v>
      </c>
      <c r="V54" s="2712">
        <f>V41-V45-V53</f>
        <v>2349496</v>
      </c>
      <c r="W54" s="1855">
        <f t="shared" si="20"/>
        <v>2.1486000000000001</v>
      </c>
      <c r="X54" s="1855"/>
      <c r="Y54" s="2712">
        <f>Y41-Y45-Y53</f>
        <v>746207</v>
      </c>
    </row>
    <row r="55" spans="1:27">
      <c r="A55" s="1793">
        <v>41</v>
      </c>
      <c r="C55" s="1784" t="s">
        <v>246</v>
      </c>
      <c r="D55" s="1784"/>
      <c r="I55" s="1855"/>
      <c r="J55" s="1784"/>
      <c r="L55" s="1855"/>
      <c r="M55" s="1855"/>
      <c r="N55" s="1854"/>
      <c r="O55" s="1855"/>
      <c r="P55" s="1854"/>
      <c r="Q55" s="1855"/>
      <c r="R55" s="1854"/>
      <c r="S55" s="1855"/>
      <c r="T55" s="1854"/>
      <c r="U55" s="1855"/>
      <c r="V55" s="1854"/>
      <c r="W55" s="1855"/>
      <c r="X55" s="1855"/>
      <c r="Y55" s="1854"/>
    </row>
    <row r="56" spans="1:27">
      <c r="A56" s="1793">
        <v>42</v>
      </c>
      <c r="C56" s="1784" t="s">
        <v>247</v>
      </c>
      <c r="D56" s="1784"/>
      <c r="E56" s="2706">
        <v>26329783</v>
      </c>
      <c r="F56" s="2706">
        <v>24286331</v>
      </c>
      <c r="G56" s="3510"/>
      <c r="H56" s="2706">
        <v>23882304</v>
      </c>
      <c r="I56" s="1855">
        <f t="shared" ref="I56:I64" si="21">IF(K56=0,"-",ROUND((H56-K56)/ABS(K56),4))</f>
        <v>0.32790000000000002</v>
      </c>
      <c r="J56" s="1784"/>
      <c r="K56" s="2706">
        <v>17984655</v>
      </c>
      <c r="L56" s="1855">
        <f t="shared" ref="L56:L64" si="22">IF(N56=0,"-",ROUND((K56-N56)/ABS(N56),4))</f>
        <v>0.2303</v>
      </c>
      <c r="M56" s="1855"/>
      <c r="N56" s="2706">
        <v>14618543</v>
      </c>
      <c r="O56" s="1855">
        <f t="shared" ref="O56:O64" si="23">IF(P56=0,"-",ROUND((N56-P56)/ABS(P56),4))</f>
        <v>6.2399999999999997E-2</v>
      </c>
      <c r="P56" s="2706">
        <v>13759989</v>
      </c>
      <c r="Q56" s="1855">
        <f t="shared" ref="Q56:Q64" si="24">IF(R56=0,"-",ROUND((P56-R56)/ABS(R56),4))</f>
        <v>0.1308</v>
      </c>
      <c r="R56" s="2706">
        <v>12168565</v>
      </c>
      <c r="S56" s="1855">
        <f t="shared" ref="S56:S64" si="25">IF(T56=0,"-",ROUND((R56-T56)/ABS(T56),4))</f>
        <v>-0.1353</v>
      </c>
      <c r="T56" s="2706">
        <v>14072706</v>
      </c>
      <c r="U56" s="1855">
        <f t="shared" ref="U56:U64" si="26">IF(V56=0,"-",ROUND((T56-V56)/ABS(V56),4))</f>
        <v>-6.8999999999999999E-3</v>
      </c>
      <c r="V56" s="2706">
        <v>14170932</v>
      </c>
      <c r="W56" s="1855">
        <f t="shared" ref="W56:W64" si="27">IF(Y56=0,"-",ROUND((V56-Y56)/ABS(Y56),4))</f>
        <v>-1.6000000000000001E-3</v>
      </c>
      <c r="X56" s="1855"/>
      <c r="Y56" s="2706">
        <v>14193942</v>
      </c>
      <c r="Z56" s="1784"/>
    </row>
    <row r="57" spans="1:27">
      <c r="A57" s="1793">
        <v>43</v>
      </c>
      <c r="C57" s="1784" t="s">
        <v>248</v>
      </c>
      <c r="D57" s="1784"/>
      <c r="E57" s="2706">
        <v>249934</v>
      </c>
      <c r="F57" s="2706">
        <v>299061</v>
      </c>
      <c r="G57" s="3510"/>
      <c r="H57" s="2706">
        <v>383169</v>
      </c>
      <c r="I57" s="1855">
        <f t="shared" si="21"/>
        <v>-0.2717</v>
      </c>
      <c r="J57" s="1784"/>
      <c r="K57" s="2706">
        <v>526117</v>
      </c>
      <c r="L57" s="1855">
        <f t="shared" si="22"/>
        <v>0.74360000000000004</v>
      </c>
      <c r="M57" s="1855"/>
      <c r="N57" s="2706">
        <v>301742</v>
      </c>
      <c r="O57" s="1855">
        <f t="shared" si="23"/>
        <v>-0.5968</v>
      </c>
      <c r="P57" s="2706">
        <v>748311</v>
      </c>
      <c r="Q57" s="1855">
        <f t="shared" si="24"/>
        <v>0.79139999999999999</v>
      </c>
      <c r="R57" s="2706">
        <v>417713</v>
      </c>
      <c r="S57" s="1855">
        <f t="shared" si="25"/>
        <v>-2.92E-2</v>
      </c>
      <c r="T57" s="2706">
        <v>430274</v>
      </c>
      <c r="U57" s="1855">
        <f t="shared" si="26"/>
        <v>-0.1211</v>
      </c>
      <c r="V57" s="2706">
        <v>489575</v>
      </c>
      <c r="W57" s="1855">
        <f t="shared" si="27"/>
        <v>-5.1499999999999997E-2</v>
      </c>
      <c r="X57" s="1855"/>
      <c r="Y57" s="2706">
        <v>516157</v>
      </c>
      <c r="Z57" s="1784"/>
    </row>
    <row r="58" spans="1:27">
      <c r="A58" s="1793">
        <v>44</v>
      </c>
      <c r="C58" s="1784" t="s">
        <v>1672</v>
      </c>
      <c r="D58" s="1784"/>
      <c r="E58" s="2706"/>
      <c r="F58" s="2706"/>
      <c r="G58" s="3510"/>
      <c r="H58" s="2706"/>
      <c r="I58" s="1855" t="str">
        <f t="shared" si="21"/>
        <v>-</v>
      </c>
      <c r="J58" s="1784"/>
      <c r="K58" s="2706"/>
      <c r="L58" s="1855">
        <f t="shared" si="22"/>
        <v>-1</v>
      </c>
      <c r="M58" s="1855"/>
      <c r="N58" s="2706">
        <v>266474</v>
      </c>
      <c r="O58" s="1855">
        <f t="shared" si="23"/>
        <v>0</v>
      </c>
      <c r="P58" s="2706">
        <v>266474</v>
      </c>
      <c r="Q58" s="1855">
        <f t="shared" si="24"/>
        <v>0</v>
      </c>
      <c r="R58" s="2706">
        <v>266474</v>
      </c>
      <c r="S58" s="1855">
        <f t="shared" si="25"/>
        <v>0</v>
      </c>
      <c r="T58" s="2706">
        <v>266474</v>
      </c>
      <c r="U58" s="1855">
        <f t="shared" si="26"/>
        <v>-3.5200000000000002E-2</v>
      </c>
      <c r="V58" s="2706">
        <v>276185</v>
      </c>
      <c r="W58" s="1855">
        <f t="shared" si="27"/>
        <v>-2.46E-2</v>
      </c>
      <c r="X58" s="1855"/>
      <c r="Y58" s="2706">
        <v>283143</v>
      </c>
    </row>
    <row r="59" spans="1:27">
      <c r="A59" s="1793">
        <v>45</v>
      </c>
      <c r="C59" s="1784" t="s">
        <v>1673</v>
      </c>
      <c r="D59" s="1784"/>
      <c r="E59" s="2706"/>
      <c r="F59" s="2706"/>
      <c r="G59" s="3510"/>
      <c r="H59" s="2706"/>
      <c r="I59" s="1855" t="str">
        <f t="shared" si="21"/>
        <v>-</v>
      </c>
      <c r="J59" s="1784"/>
      <c r="K59" s="2706"/>
      <c r="L59" s="1855" t="str">
        <f t="shared" si="22"/>
        <v>-</v>
      </c>
      <c r="M59" s="1855"/>
      <c r="N59" s="2706">
        <v>0</v>
      </c>
      <c r="O59" s="1855" t="str">
        <f t="shared" si="23"/>
        <v>-</v>
      </c>
      <c r="P59" s="2706">
        <v>0</v>
      </c>
      <c r="Q59" s="1855" t="str">
        <f t="shared" si="24"/>
        <v>-</v>
      </c>
      <c r="R59" s="2706">
        <v>0</v>
      </c>
      <c r="S59" s="1855" t="str">
        <f t="shared" si="25"/>
        <v>-</v>
      </c>
      <c r="T59" s="2706">
        <v>0</v>
      </c>
      <c r="U59" s="1855" t="str">
        <f t="shared" si="26"/>
        <v>-</v>
      </c>
      <c r="V59" s="2706">
        <v>0</v>
      </c>
      <c r="W59" s="1855" t="str">
        <f t="shared" si="27"/>
        <v>-</v>
      </c>
      <c r="X59" s="1855"/>
      <c r="Y59" s="2706">
        <v>0</v>
      </c>
    </row>
    <row r="60" spans="1:27">
      <c r="A60" s="1793">
        <v>46</v>
      </c>
      <c r="C60" s="1784" t="s">
        <v>1674</v>
      </c>
      <c r="D60" s="1784"/>
      <c r="E60" s="2706">
        <v>762500</v>
      </c>
      <c r="F60" s="2706">
        <v>749999.99999999977</v>
      </c>
      <c r="G60" s="3510"/>
      <c r="H60" s="2706">
        <v>754177</v>
      </c>
      <c r="I60" s="1855">
        <f t="shared" si="21"/>
        <v>-0.48799999999999999</v>
      </c>
      <c r="J60" s="1784"/>
      <c r="K60" s="2706">
        <v>1473129</v>
      </c>
      <c r="L60" s="1855">
        <f t="shared" si="22"/>
        <v>2.2471000000000001</v>
      </c>
      <c r="M60" s="1855"/>
      <c r="N60" s="2706">
        <v>453674</v>
      </c>
      <c r="O60" s="1855">
        <f t="shared" si="23"/>
        <v>0.98019999999999996</v>
      </c>
      <c r="P60" s="2706">
        <v>229106</v>
      </c>
      <c r="Q60" s="1855">
        <f t="shared" si="24"/>
        <v>0.21010000000000001</v>
      </c>
      <c r="R60" s="2706">
        <v>189334</v>
      </c>
      <c r="S60" s="1855">
        <f t="shared" si="25"/>
        <v>10.6363</v>
      </c>
      <c r="T60" s="2706">
        <v>16271</v>
      </c>
      <c r="U60" s="1855">
        <f t="shared" si="26"/>
        <v>18.6036</v>
      </c>
      <c r="V60" s="2706">
        <v>830</v>
      </c>
      <c r="W60" s="1855">
        <f t="shared" si="27"/>
        <v>-0.52649999999999997</v>
      </c>
      <c r="X60" s="1855"/>
      <c r="Y60" s="2706">
        <v>1753</v>
      </c>
    </row>
    <row r="61" spans="1:27">
      <c r="A61" s="1793">
        <v>47</v>
      </c>
      <c r="C61" s="1784" t="s">
        <v>1815</v>
      </c>
      <c r="D61" s="1784"/>
      <c r="E61" s="2706">
        <v>1275287</v>
      </c>
      <c r="F61" s="2706">
        <v>1180423</v>
      </c>
      <c r="G61" s="3510"/>
      <c r="H61" s="2706">
        <v>1046701</v>
      </c>
      <c r="I61" s="1855">
        <f t="shared" si="21"/>
        <v>4.1399999999999999E-2</v>
      </c>
      <c r="J61" s="1784"/>
      <c r="K61" s="2706">
        <v>1005128</v>
      </c>
      <c r="L61" s="1855">
        <f t="shared" si="22"/>
        <v>-0.27389999999999998</v>
      </c>
      <c r="M61" s="1855"/>
      <c r="N61" s="2706">
        <v>1384300</v>
      </c>
      <c r="O61" s="1855">
        <f t="shared" si="23"/>
        <v>-6.8400000000000002E-2</v>
      </c>
      <c r="P61" s="2706">
        <v>1485968</v>
      </c>
      <c r="Q61" s="1855">
        <f t="shared" si="24"/>
        <v>-0.15329999999999999</v>
      </c>
      <c r="R61" s="2706">
        <v>1755051</v>
      </c>
      <c r="S61" s="1855">
        <f t="shared" si="25"/>
        <v>-2.0799999999999999E-2</v>
      </c>
      <c r="T61" s="2706">
        <v>1792335</v>
      </c>
      <c r="U61" s="1855">
        <f t="shared" si="26"/>
        <v>0.41270000000000001</v>
      </c>
      <c r="V61" s="2706">
        <v>1268769</v>
      </c>
      <c r="W61" s="1855">
        <f t="shared" si="27"/>
        <v>-0.53639999999999999</v>
      </c>
      <c r="X61" s="1855"/>
      <c r="Y61" s="2706">
        <v>2736819</v>
      </c>
    </row>
    <row r="62" spans="1:27">
      <c r="A62" s="1793">
        <v>48</v>
      </c>
      <c r="C62" s="1784" t="s">
        <v>1816</v>
      </c>
      <c r="D62" s="1784"/>
      <c r="E62" s="2706">
        <v>-952834</v>
      </c>
      <c r="F62" s="2706">
        <v>-1030368</v>
      </c>
      <c r="G62" s="3510"/>
      <c r="H62" s="2706">
        <v>-830749</v>
      </c>
      <c r="I62" s="1855">
        <f t="shared" si="21"/>
        <v>0.50219999999999998</v>
      </c>
      <c r="J62" s="1784"/>
      <c r="K62" s="2706">
        <v>-1668680</v>
      </c>
      <c r="L62" s="1855">
        <f t="shared" si="22"/>
        <v>-0.28360000000000002</v>
      </c>
      <c r="M62" s="1855"/>
      <c r="N62" s="2706">
        <v>-1299958</v>
      </c>
      <c r="O62" s="1855">
        <f t="shared" si="23"/>
        <v>-1.4188000000000001</v>
      </c>
      <c r="P62" s="2706">
        <v>-537434</v>
      </c>
      <c r="Q62" s="1855">
        <f t="shared" si="24"/>
        <v>-1.3932</v>
      </c>
      <c r="R62" s="2706">
        <v>-224569</v>
      </c>
      <c r="S62" s="1855">
        <f t="shared" si="25"/>
        <v>3.5299999999999998E-2</v>
      </c>
      <c r="T62" s="2706">
        <v>-232777</v>
      </c>
      <c r="U62" s="1855">
        <f t="shared" si="26"/>
        <v>-7.0300000000000001E-2</v>
      </c>
      <c r="V62" s="2706">
        <v>-217495</v>
      </c>
      <c r="W62" s="1855">
        <f t="shared" si="27"/>
        <v>-2.7699999999999999E-2</v>
      </c>
      <c r="X62" s="1855"/>
      <c r="Y62" s="2706">
        <v>-211632</v>
      </c>
    </row>
    <row r="63" spans="1:27">
      <c r="A63" s="1793">
        <v>49</v>
      </c>
      <c r="C63" s="1784" t="s">
        <v>1817</v>
      </c>
      <c r="D63" s="1784"/>
      <c r="E63" s="2711">
        <f>SUM(E56:E62)</f>
        <v>27664670</v>
      </c>
      <c r="F63" s="2711">
        <f>SUM(F56:F62)</f>
        <v>25485447</v>
      </c>
      <c r="G63" s="1869"/>
      <c r="H63" s="2711">
        <f>SUM(H56:H62)</f>
        <v>25235602</v>
      </c>
      <c r="I63" s="1855">
        <f t="shared" si="21"/>
        <v>0.30620000000000003</v>
      </c>
      <c r="J63" s="1784"/>
      <c r="K63" s="2711">
        <f>SUM(K56:K62)</f>
        <v>19320349</v>
      </c>
      <c r="L63" s="1855">
        <f t="shared" si="22"/>
        <v>0.22869999999999999</v>
      </c>
      <c r="M63" s="1855"/>
      <c r="N63" s="2711">
        <f>SUM(N56:N62)</f>
        <v>15724775</v>
      </c>
      <c r="O63" s="1855">
        <f t="shared" si="23"/>
        <v>-1.43E-2</v>
      </c>
      <c r="P63" s="2711">
        <f>SUM(P56:P62)</f>
        <v>15952414</v>
      </c>
      <c r="Q63" s="1855">
        <f t="shared" si="24"/>
        <v>9.4700000000000006E-2</v>
      </c>
      <c r="R63" s="2711">
        <f>SUM(R56:R62)</f>
        <v>14572568</v>
      </c>
      <c r="S63" s="1855">
        <f t="shared" si="25"/>
        <v>-0.1085</v>
      </c>
      <c r="T63" s="2711">
        <f>SUM(T56:T62)</f>
        <v>16345283</v>
      </c>
      <c r="U63" s="1855">
        <f t="shared" si="26"/>
        <v>2.23E-2</v>
      </c>
      <c r="V63" s="2711">
        <f>SUM(V56:V62)</f>
        <v>15988796</v>
      </c>
      <c r="W63" s="1855">
        <f t="shared" si="27"/>
        <v>-8.7400000000000005E-2</v>
      </c>
      <c r="X63" s="1855"/>
      <c r="Y63" s="2711">
        <f>SUM(Y56:Y62)</f>
        <v>17520182</v>
      </c>
    </row>
    <row r="64" spans="1:27" ht="13.8" thickBot="1">
      <c r="A64" s="1793">
        <v>50</v>
      </c>
      <c r="C64" s="1784" t="s">
        <v>1818</v>
      </c>
      <c r="D64" s="1784"/>
      <c r="E64" s="2713">
        <f>E33+E54-E63</f>
        <v>68642509</v>
      </c>
      <c r="F64" s="2713">
        <f>F33+F54-F63</f>
        <v>58378105</v>
      </c>
      <c r="G64" s="1869"/>
      <c r="H64" s="2713">
        <f>H33+H54-H63</f>
        <v>50633386</v>
      </c>
      <c r="I64" s="1855">
        <f t="shared" si="21"/>
        <v>-0.24199999999999999</v>
      </c>
      <c r="J64" s="1784"/>
      <c r="K64" s="2713">
        <f>K33+K54-K63</f>
        <v>66798068</v>
      </c>
      <c r="L64" s="1855">
        <f t="shared" si="22"/>
        <v>0.1246</v>
      </c>
      <c r="M64" s="1855"/>
      <c r="N64" s="2713">
        <f>N33+N54-N63</f>
        <v>59398930</v>
      </c>
      <c r="O64" s="1855">
        <f t="shared" si="23"/>
        <v>0.39489999999999997</v>
      </c>
      <c r="P64" s="2713">
        <f>P33+P54-P63</f>
        <v>42583938</v>
      </c>
      <c r="Q64" s="1855">
        <f t="shared" si="24"/>
        <v>-7.7799999999999994E-2</v>
      </c>
      <c r="R64" s="2713">
        <f>R33+R54-R63</f>
        <v>46175630</v>
      </c>
      <c r="S64" s="1855">
        <f t="shared" si="25"/>
        <v>0.308</v>
      </c>
      <c r="T64" s="2713">
        <f>T33+T54-T63</f>
        <v>35301815</v>
      </c>
      <c r="U64" s="1855">
        <f t="shared" si="26"/>
        <v>-0.2167</v>
      </c>
      <c r="V64" s="2713">
        <f>V33+V54-V63</f>
        <v>45069479</v>
      </c>
      <c r="W64" s="1855">
        <f t="shared" si="27"/>
        <v>0.59699999999999998</v>
      </c>
      <c r="X64" s="1855"/>
      <c r="Y64" s="2713">
        <f>Y33+Y54-Y63</f>
        <v>28220634</v>
      </c>
    </row>
    <row r="65" spans="45:60" ht="13.8" thickTop="1">
      <c r="AS65" s="1845"/>
      <c r="AT65" s="1845"/>
      <c r="AU65" s="1845"/>
      <c r="AV65" s="1845"/>
      <c r="AW65" s="1845"/>
      <c r="AX65" s="1845"/>
      <c r="AY65" s="1845"/>
      <c r="AZ65" s="1845"/>
      <c r="BA65" s="1845"/>
      <c r="BB65" s="1845"/>
      <c r="BC65" s="1845"/>
      <c r="BD65" s="1845"/>
      <c r="BE65" s="1845"/>
      <c r="BF65" s="1845"/>
      <c r="BG65" s="1845"/>
      <c r="BH65" s="1845"/>
    </row>
    <row r="66" spans="45:60">
      <c r="AS66" s="1845"/>
      <c r="AT66" s="1845"/>
      <c r="AU66" s="1845"/>
      <c r="AV66" s="1845"/>
      <c r="AW66" s="1845"/>
      <c r="AX66" s="1845"/>
      <c r="AY66" s="1845"/>
      <c r="AZ66" s="1845"/>
      <c r="BA66" s="1845"/>
      <c r="BB66" s="1845"/>
      <c r="BC66" s="1845"/>
      <c r="BD66" s="1845"/>
      <c r="BE66" s="1845"/>
      <c r="BF66" s="1845"/>
      <c r="BG66" s="1845"/>
      <c r="BH66" s="1845"/>
    </row>
    <row r="67" spans="45:60">
      <c r="AS67" s="1845"/>
      <c r="AT67" s="1845"/>
      <c r="AU67" s="1845"/>
      <c r="AV67" s="1845"/>
      <c r="AW67" s="1845"/>
      <c r="AX67" s="1845"/>
      <c r="AY67" s="1845"/>
      <c r="AZ67" s="1845"/>
      <c r="BA67" s="1845"/>
      <c r="BB67" s="1845"/>
      <c r="BC67" s="1845"/>
      <c r="BD67" s="1845"/>
      <c r="BE67" s="1845"/>
      <c r="BF67" s="1845"/>
      <c r="BG67" s="1845"/>
      <c r="BH67" s="1845"/>
    </row>
    <row r="68" spans="45:60">
      <c r="AS68" s="1845"/>
      <c r="AT68" s="1845"/>
      <c r="AU68" s="1845"/>
      <c r="AV68" s="1845"/>
      <c r="AW68" s="1845"/>
      <c r="AX68" s="1845"/>
      <c r="AY68" s="1845"/>
      <c r="AZ68" s="1845"/>
      <c r="BA68" s="1845"/>
      <c r="BB68" s="1845"/>
      <c r="BC68" s="1845"/>
      <c r="BD68" s="1845"/>
      <c r="BE68" s="1845"/>
      <c r="BF68" s="1845"/>
      <c r="BG68" s="1845"/>
      <c r="BH68" s="1845"/>
    </row>
    <row r="69" spans="45:60">
      <c r="AS69" s="1845"/>
      <c r="AT69" s="1845"/>
      <c r="AU69" s="1845"/>
      <c r="AV69" s="1845"/>
      <c r="AW69" s="1845"/>
      <c r="AX69" s="1845"/>
      <c r="AY69" s="1845"/>
      <c r="AZ69" s="1845"/>
      <c r="BA69" s="1845"/>
      <c r="BB69" s="1845"/>
      <c r="BC69" s="1845"/>
      <c r="BD69" s="1845"/>
      <c r="BE69" s="1845"/>
      <c r="BF69" s="1845"/>
      <c r="BG69" s="1845"/>
      <c r="BH69" s="1845"/>
    </row>
    <row r="70" spans="45:60">
      <c r="AS70" s="1845"/>
      <c r="AT70" s="1845"/>
      <c r="AU70" s="1845"/>
      <c r="AV70" s="1845"/>
      <c r="AW70" s="1845"/>
      <c r="AX70" s="1845"/>
      <c r="AY70" s="1845"/>
      <c r="AZ70" s="1845"/>
      <c r="BA70" s="1845"/>
      <c r="BB70" s="1845"/>
      <c r="BC70" s="1845"/>
      <c r="BD70" s="1845"/>
      <c r="BE70" s="1845"/>
      <c r="BF70" s="1845"/>
      <c r="BG70" s="1845"/>
      <c r="BH70" s="1845"/>
    </row>
    <row r="71" spans="45:60">
      <c r="AS71" s="1845"/>
      <c r="AT71" s="1845"/>
      <c r="AU71" s="1845"/>
      <c r="AV71" s="1845"/>
      <c r="AW71" s="1845"/>
      <c r="AX71" s="1845"/>
      <c r="AY71" s="1845"/>
      <c r="AZ71" s="1845"/>
      <c r="BA71" s="1845"/>
      <c r="BB71" s="1845"/>
      <c r="BC71" s="1845"/>
      <c r="BD71" s="1845"/>
      <c r="BE71" s="1845"/>
      <c r="BF71" s="1845"/>
      <c r="BG71" s="1845"/>
      <c r="BH71" s="1845"/>
    </row>
  </sheetData>
  <phoneticPr fontId="4" type="noConversion"/>
  <printOptions horizontalCentered="1"/>
  <pageMargins left="0.75" right="0.75" top="1" bottom="0" header="0" footer="0"/>
  <pageSetup scale="40" orientation="landscape" r:id="rId1"/>
  <headerFooter alignWithMargins="0"/>
  <legacy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64" transitionEvaluation="1" transitionEntry="1" codeName="Sheet85">
    <tabColor rgb="FF00B050"/>
    <pageSetUpPr fitToPage="1"/>
  </sheetPr>
  <dimension ref="A1:BG76"/>
  <sheetViews>
    <sheetView topLeftCell="A64" zoomScale="80" zoomScaleNormal="80" workbookViewId="0"/>
  </sheetViews>
  <sheetFormatPr defaultColWidth="17.88671875" defaultRowHeight="13.2"/>
  <cols>
    <col min="1" max="1" width="6.44140625" style="1785" customWidth="1"/>
    <col min="2" max="2" width="0.6640625" style="1785" customWidth="1"/>
    <col min="3" max="3" width="66.5546875" style="1785" customWidth="1"/>
    <col min="4" max="4" width="16.5546875" style="1785" customWidth="1"/>
    <col min="5" max="5" width="15.6640625" style="1785" customWidth="1"/>
    <col min="6" max="6" width="1.33203125" style="1845" customWidth="1"/>
    <col min="7" max="7" width="17.33203125" style="1785" customWidth="1"/>
    <col min="8" max="8" width="14.88671875" style="1785" customWidth="1"/>
    <col min="9" max="9" width="0.88671875" style="1785" customWidth="1"/>
    <col min="10" max="10" width="16.44140625" style="1785" customWidth="1"/>
    <col min="11" max="11" width="13.44140625" style="1845" customWidth="1"/>
    <col min="12" max="12" width="0.88671875" style="1845" customWidth="1"/>
    <col min="13" max="13" width="15.109375" style="1786" customWidth="1"/>
    <col min="14" max="14" width="13.44140625" style="1785" customWidth="1"/>
    <col min="15" max="15" width="15.33203125" style="1786" customWidth="1"/>
    <col min="16" max="16" width="13.44140625" style="1785" customWidth="1"/>
    <col min="17" max="17" width="15.109375" style="1786" customWidth="1"/>
    <col min="18" max="18" width="14.6640625" style="1785" customWidth="1"/>
    <col min="19" max="19" width="15.6640625" style="1786" customWidth="1"/>
    <col min="20" max="20" width="16.44140625" style="1785" customWidth="1"/>
    <col min="21" max="21" width="15.109375" style="1786" customWidth="1"/>
    <col min="22" max="22" width="12.88671875" style="1785" customWidth="1"/>
    <col min="23" max="23" width="7.6640625" style="1785" customWidth="1"/>
    <col min="24" max="24" width="18.44140625" style="1785" customWidth="1"/>
    <col min="25" max="25" width="3" style="1785" customWidth="1"/>
    <col min="26" max="26" width="6.44140625" style="1785" customWidth="1"/>
    <col min="27" max="27" width="1.109375" style="1785" customWidth="1"/>
    <col min="28" max="28" width="66.5546875" style="1785" customWidth="1"/>
    <col min="29" max="41" width="17.88671875" style="1785"/>
    <col min="42" max="42" width="2" style="1785" customWidth="1"/>
    <col min="43" max="43" width="2.5546875" style="1785" customWidth="1"/>
    <col min="44" max="44" width="7" style="1785" customWidth="1"/>
    <col min="45" max="45" width="2" style="1785" customWidth="1"/>
    <col min="46" max="46" width="67" style="1785" customWidth="1"/>
    <col min="47" max="16384" width="17.88671875" style="1785"/>
  </cols>
  <sheetData>
    <row r="1" spans="1:25">
      <c r="A1" s="1839" t="str">
        <f>COMPANY</f>
        <v>DUKE ENERGY KENTUCKY, INC.</v>
      </c>
      <c r="B1" s="1782"/>
      <c r="C1" s="1782"/>
      <c r="D1" s="1782"/>
      <c r="E1" s="1782"/>
      <c r="F1" s="1792"/>
      <c r="G1" s="1782"/>
      <c r="H1" s="1782"/>
      <c r="I1" s="1782"/>
      <c r="J1" s="1782"/>
      <c r="K1" s="1792"/>
      <c r="L1" s="1792"/>
      <c r="M1" s="1783"/>
      <c r="N1" s="1782"/>
      <c r="O1" s="1783"/>
      <c r="P1" s="1782"/>
      <c r="Q1" s="1783"/>
      <c r="R1" s="1782"/>
      <c r="S1" s="1783"/>
      <c r="T1" s="1782"/>
      <c r="U1" s="1783"/>
      <c r="V1" s="1782"/>
    </row>
    <row r="2" spans="1:25">
      <c r="A2" s="1839" t="str">
        <f>CASE</f>
        <v>CASE NO. 2018-00261</v>
      </c>
      <c r="B2" s="1782"/>
      <c r="C2" s="1782"/>
      <c r="D2" s="1782"/>
      <c r="E2" s="1782"/>
      <c r="F2" s="1792"/>
      <c r="G2" s="1782"/>
      <c r="H2" s="1782"/>
      <c r="I2" s="1782"/>
      <c r="J2" s="1782"/>
      <c r="K2" s="1783"/>
      <c r="L2" s="1783"/>
      <c r="M2" s="1782"/>
      <c r="N2" s="1783"/>
      <c r="O2" s="1782"/>
      <c r="P2" s="1783"/>
      <c r="Q2" s="1782"/>
      <c r="R2" s="1783"/>
      <c r="S2" s="1782"/>
      <c r="T2" s="1783"/>
      <c r="U2" s="1782"/>
      <c r="V2" s="1782"/>
    </row>
    <row r="3" spans="1:25">
      <c r="A3" s="1839" t="s">
        <v>2596</v>
      </c>
      <c r="B3" s="1782"/>
      <c r="C3" s="1782"/>
      <c r="D3" s="1782"/>
      <c r="E3" s="1782"/>
      <c r="F3" s="1792"/>
      <c r="G3" s="1782"/>
      <c r="H3" s="1782"/>
      <c r="I3" s="1782"/>
      <c r="J3" s="1782"/>
      <c r="K3" s="1792"/>
      <c r="L3" s="1792"/>
      <c r="M3" s="1783"/>
      <c r="N3" s="1782"/>
      <c r="O3" s="1783"/>
      <c r="P3" s="1782"/>
      <c r="Q3" s="1783"/>
      <c r="R3" s="1782"/>
      <c r="S3" s="1783"/>
      <c r="T3" s="1782"/>
      <c r="U3" s="1783"/>
      <c r="V3" s="1782"/>
    </row>
    <row r="4" spans="1:25">
      <c r="A4" s="1782" t="s">
        <v>847</v>
      </c>
      <c r="B4" s="1782"/>
      <c r="C4" s="1782"/>
      <c r="D4" s="1782"/>
      <c r="E4" s="1782"/>
      <c r="F4" s="1792"/>
      <c r="G4" s="1782"/>
      <c r="H4" s="1782"/>
      <c r="I4" s="1782"/>
      <c r="J4" s="1782"/>
      <c r="K4" s="1783"/>
      <c r="L4" s="1783"/>
      <c r="M4" s="1782"/>
      <c r="N4" s="1783"/>
      <c r="O4" s="1782"/>
      <c r="P4" s="1783"/>
      <c r="Q4" s="1782"/>
      <c r="R4" s="1783"/>
      <c r="S4" s="1782"/>
      <c r="T4" s="1783"/>
      <c r="U4" s="1782"/>
      <c r="V4" s="1782"/>
    </row>
    <row r="5" spans="1:25">
      <c r="A5" s="2716" t="str">
        <f>PERIOD</f>
        <v>FOR THE TWELVE MONTHS ENDED NOVEMBER 30, 2018</v>
      </c>
      <c r="B5" s="1782"/>
      <c r="C5" s="1782"/>
      <c r="D5" s="1782"/>
      <c r="E5" s="1782"/>
      <c r="F5" s="1792"/>
      <c r="G5" s="1782"/>
      <c r="H5" s="1782"/>
      <c r="I5" s="1782"/>
      <c r="J5" s="1782"/>
      <c r="K5" s="1783"/>
      <c r="L5" s="1783"/>
      <c r="M5" s="1782"/>
      <c r="N5" s="1783"/>
      <c r="O5" s="1782"/>
      <c r="P5" s="1783"/>
      <c r="Q5" s="1782"/>
      <c r="R5" s="1783"/>
      <c r="S5" s="1782"/>
      <c r="T5" s="1783"/>
      <c r="U5" s="1782"/>
      <c r="V5" s="1782"/>
    </row>
    <row r="6" spans="1:25">
      <c r="A6" s="2716" t="str">
        <f>PeriodF</f>
        <v>FOR THE TWELVE MONTHS ENDED MARCH 31, 2020</v>
      </c>
      <c r="B6" s="1782"/>
      <c r="C6" s="1782"/>
      <c r="D6" s="1782"/>
      <c r="E6" s="1782"/>
      <c r="F6" s="1792"/>
      <c r="G6" s="1782"/>
      <c r="H6" s="1782"/>
      <c r="I6" s="1782"/>
      <c r="J6" s="1782"/>
      <c r="K6" s="1783"/>
      <c r="L6" s="1783"/>
      <c r="M6" s="1782"/>
      <c r="N6" s="1783"/>
      <c r="O6" s="1782"/>
      <c r="P6" s="1783"/>
      <c r="Q6" s="1782"/>
      <c r="R6" s="1783"/>
      <c r="S6" s="1782"/>
      <c r="T6" s="1783"/>
      <c r="U6" s="1782"/>
      <c r="V6" s="1782"/>
    </row>
    <row r="7" spans="1:25">
      <c r="A7" s="1784"/>
      <c r="K7" s="1786"/>
      <c r="L7" s="1786"/>
      <c r="M7" s="1785"/>
      <c r="N7" s="1786"/>
      <c r="O7" s="1785"/>
      <c r="P7" s="1786"/>
      <c r="Q7" s="1785"/>
      <c r="R7" s="1786"/>
      <c r="S7" s="1603"/>
      <c r="T7" s="1784" t="s">
        <v>848</v>
      </c>
    </row>
    <row r="8" spans="1:25">
      <c r="A8" s="1787" t="str">
        <f>DataB</f>
        <v>DATA: "X" BASE PERIOD  "X" FORECASTED PERIOD</v>
      </c>
      <c r="K8" s="1786"/>
      <c r="L8" s="1786"/>
      <c r="M8" s="1785"/>
      <c r="N8" s="1786"/>
      <c r="O8" s="1785"/>
      <c r="P8" s="1786"/>
      <c r="Q8" s="1785"/>
      <c r="R8" s="1786"/>
      <c r="S8" s="1603"/>
      <c r="T8" s="1857" t="s">
        <v>564</v>
      </c>
    </row>
    <row r="9" spans="1:25">
      <c r="A9" s="1784" t="str">
        <f>Type</f>
        <v xml:space="preserve">TYPE OF FILING:  "X" ORIGINAL   UPDATED    REVISED  </v>
      </c>
      <c r="K9" s="1786"/>
      <c r="L9" s="1786"/>
      <c r="M9" s="1785"/>
      <c r="N9" s="1786"/>
      <c r="O9" s="1785"/>
      <c r="P9" s="1786"/>
      <c r="Q9" s="1785"/>
      <c r="R9" s="1786"/>
      <c r="S9" s="1603"/>
      <c r="T9" s="1785" t="s">
        <v>566</v>
      </c>
    </row>
    <row r="10" spans="1:25">
      <c r="A10" s="1784" t="s">
        <v>852</v>
      </c>
      <c r="K10" s="1786"/>
      <c r="L10" s="1786"/>
      <c r="M10" s="1785"/>
      <c r="N10" s="1786"/>
      <c r="O10" s="1785"/>
      <c r="P10" s="1786"/>
      <c r="Q10" s="1785"/>
      <c r="R10" s="1786"/>
      <c r="S10" s="1603"/>
      <c r="T10" s="1790" t="str">
        <f>_WIT9</f>
        <v>R. H. PRATT</v>
      </c>
    </row>
    <row r="11" spans="1:25">
      <c r="A11" s="1784"/>
      <c r="K11" s="1786"/>
      <c r="L11" s="1786"/>
      <c r="M11" s="1785"/>
      <c r="N11" s="1786"/>
      <c r="O11" s="1785"/>
      <c r="P11" s="1786"/>
      <c r="Q11" s="1785"/>
      <c r="R11" s="1786"/>
      <c r="S11" s="1790"/>
      <c r="T11" s="2717"/>
      <c r="U11" s="1785"/>
    </row>
    <row r="12" spans="1:25">
      <c r="K12" s="1783"/>
      <c r="L12" s="1783"/>
      <c r="M12" s="1843" t="s">
        <v>1727</v>
      </c>
      <c r="N12" s="2718"/>
      <c r="O12" s="1844"/>
      <c r="P12" s="2719"/>
      <c r="Q12" s="1844"/>
      <c r="R12" s="2719"/>
      <c r="S12" s="1844"/>
      <c r="T12" s="2719"/>
      <c r="U12" s="1844"/>
      <c r="V12" s="2720"/>
      <c r="W12" s="1845"/>
      <c r="Y12" s="1793"/>
    </row>
    <row r="13" spans="1:25">
      <c r="A13" s="1793" t="s">
        <v>567</v>
      </c>
      <c r="B13" s="1794"/>
      <c r="C13" s="1794"/>
      <c r="D13" s="1794"/>
      <c r="E13" s="1794"/>
      <c r="F13" s="1874"/>
      <c r="G13" s="1794" t="s">
        <v>1127</v>
      </c>
      <c r="H13" s="2721" t="s">
        <v>2097</v>
      </c>
      <c r="I13" s="1794"/>
      <c r="J13" s="1794" t="s">
        <v>740</v>
      </c>
      <c r="K13" s="2721" t="s">
        <v>2097</v>
      </c>
      <c r="L13" s="2721"/>
      <c r="M13" s="1603"/>
      <c r="N13" s="2721" t="s">
        <v>2097</v>
      </c>
      <c r="O13" s="1782"/>
      <c r="P13" s="2721" t="s">
        <v>2097</v>
      </c>
      <c r="Q13" s="1782"/>
      <c r="R13" s="2721" t="s">
        <v>2097</v>
      </c>
      <c r="S13" s="1782"/>
      <c r="T13" s="2721" t="s">
        <v>2097</v>
      </c>
      <c r="U13" s="1782"/>
      <c r="V13" s="2721" t="s">
        <v>2097</v>
      </c>
      <c r="W13" s="2721"/>
      <c r="X13" s="1782"/>
      <c r="Y13" s="2722"/>
    </row>
    <row r="14" spans="1:25">
      <c r="A14" s="1795" t="s">
        <v>766</v>
      </c>
      <c r="B14" s="2723"/>
      <c r="C14" s="1795" t="s">
        <v>642</v>
      </c>
      <c r="D14" s="3564">
        <v>2021</v>
      </c>
      <c r="E14" s="3564">
        <v>2020</v>
      </c>
      <c r="F14" s="2724"/>
      <c r="G14" s="1796" t="s">
        <v>743</v>
      </c>
      <c r="H14" s="2725" t="s">
        <v>858</v>
      </c>
      <c r="I14" s="1795"/>
      <c r="J14" s="1796" t="s">
        <v>743</v>
      </c>
      <c r="K14" s="2725" t="s">
        <v>858</v>
      </c>
      <c r="L14" s="2725"/>
      <c r="M14" s="2726">
        <v>2017</v>
      </c>
      <c r="N14" s="2725" t="s">
        <v>858</v>
      </c>
      <c r="O14" s="1795">
        <f>M14-1</f>
        <v>2016</v>
      </c>
      <c r="P14" s="2725" t="s">
        <v>858</v>
      </c>
      <c r="Q14" s="1795">
        <f>O14-1</f>
        <v>2015</v>
      </c>
      <c r="R14" s="2725" t="s">
        <v>858</v>
      </c>
      <c r="S14" s="1795">
        <f>Q14-1</f>
        <v>2014</v>
      </c>
      <c r="T14" s="2725" t="s">
        <v>858</v>
      </c>
      <c r="U14" s="1795">
        <f>S14-1</f>
        <v>2013</v>
      </c>
      <c r="V14" s="2725" t="s">
        <v>858</v>
      </c>
      <c r="W14" s="2721"/>
      <c r="X14" s="1795">
        <f>U14-1</f>
        <v>2012</v>
      </c>
    </row>
    <row r="15" spans="1:25">
      <c r="A15" s="1793">
        <v>1</v>
      </c>
      <c r="C15" s="2705" t="s">
        <v>744</v>
      </c>
      <c r="D15" s="1784"/>
      <c r="E15" s="1784"/>
      <c r="F15" s="1871"/>
      <c r="G15" s="1784"/>
      <c r="H15" s="1784"/>
      <c r="I15" s="1784"/>
      <c r="J15" s="1854"/>
      <c r="K15" s="2727"/>
      <c r="L15" s="2727"/>
      <c r="M15" s="1854"/>
      <c r="N15" s="2727"/>
      <c r="O15" s="1854"/>
      <c r="P15" s="2714"/>
      <c r="Q15" s="1854"/>
      <c r="R15" s="2714"/>
      <c r="S15" s="1854"/>
      <c r="T15" s="2714"/>
      <c r="U15" s="1852"/>
      <c r="V15" s="2728"/>
      <c r="W15" s="2721"/>
      <c r="X15" s="1852"/>
    </row>
    <row r="16" spans="1:25">
      <c r="A16" s="1793">
        <v>2</v>
      </c>
      <c r="C16" s="1784" t="s">
        <v>2636</v>
      </c>
      <c r="D16" s="3563">
        <v>108914639</v>
      </c>
      <c r="E16" s="3563">
        <v>109209539</v>
      </c>
      <c r="F16" s="2729"/>
      <c r="G16" s="2712">
        <f ca="1">SCH_C2!H20</f>
        <v>94520290</v>
      </c>
      <c r="H16" s="1855">
        <f ca="1">IF(J16=0,"-",ROUND((G16-J16)/ABS(J16),4))</f>
        <v>-7.7299999999999994E-2</v>
      </c>
      <c r="I16" s="1784"/>
      <c r="J16" s="2712">
        <f>SCH_C2!E20</f>
        <v>102436819</v>
      </c>
      <c r="K16" s="1855">
        <f>IF(M16=0,"-",ROUND((J16-M16)/ABS(M16),4))</f>
        <v>8.7900000000000006E-2</v>
      </c>
      <c r="L16" s="1855"/>
      <c r="M16" s="3563">
        <v>94164214</v>
      </c>
      <c r="N16" s="1855">
        <f>IF(O16=0,"-",ROUND((M16-O16)/ABS(O16),4))</f>
        <v>1.24E-2</v>
      </c>
      <c r="O16" s="3563">
        <v>93009868</v>
      </c>
      <c r="P16" s="1855">
        <f>IF(Q16=0,"-",ROUND((O16-Q16)/ABS(Q16),4))</f>
        <v>-0.1096</v>
      </c>
      <c r="Q16" s="3563">
        <v>104452723</v>
      </c>
      <c r="R16" s="1855">
        <f>IF(S16=0,"-",ROUND((Q16-S16)/ABS(S16),4))</f>
        <v>-0.14660000000000001</v>
      </c>
      <c r="S16" s="3563">
        <v>122400659</v>
      </c>
      <c r="T16" s="1855">
        <f>IF(U16=0,"-",ROUND((S16-U16)/ABS(U16),4))</f>
        <v>0.1953</v>
      </c>
      <c r="U16" s="3563">
        <v>102404440</v>
      </c>
      <c r="V16" s="1855">
        <f>IF(X16=0,"-",ROUND((U16-X16)/ABS(X16),4))</f>
        <v>0.1394</v>
      </c>
      <c r="W16" s="1855"/>
      <c r="X16" s="3563">
        <v>89877413</v>
      </c>
    </row>
    <row r="17" spans="1:26">
      <c r="C17" s="1784"/>
      <c r="D17" s="1854"/>
      <c r="E17" s="1854"/>
      <c r="F17" s="1869"/>
      <c r="G17" s="1854"/>
      <c r="H17" s="1855"/>
      <c r="I17" s="1784"/>
      <c r="J17" s="2706"/>
      <c r="K17" s="1855"/>
      <c r="L17" s="1855"/>
      <c r="M17" s="2706"/>
      <c r="N17" s="1855"/>
      <c r="O17" s="2706"/>
      <c r="P17" s="1855"/>
      <c r="Q17" s="2706"/>
      <c r="R17" s="1855"/>
      <c r="S17" s="2706"/>
      <c r="T17" s="1855"/>
      <c r="U17" s="2706"/>
      <c r="V17" s="1855"/>
      <c r="W17" s="1855"/>
      <c r="X17" s="2706"/>
    </row>
    <row r="18" spans="1:26">
      <c r="A18" s="1793">
        <v>3</v>
      </c>
      <c r="C18" s="2705" t="s">
        <v>2597</v>
      </c>
      <c r="D18" s="1854"/>
      <c r="E18" s="1854"/>
      <c r="F18" s="1869"/>
      <c r="G18" s="1854"/>
      <c r="H18" s="1855"/>
      <c r="I18" s="1784"/>
      <c r="J18" s="1854"/>
      <c r="K18" s="1855"/>
      <c r="L18" s="1855"/>
      <c r="M18" s="1854"/>
      <c r="N18" s="1855"/>
      <c r="O18" s="1854"/>
      <c r="P18" s="1855"/>
      <c r="Q18" s="1854"/>
      <c r="R18" s="1855"/>
      <c r="S18" s="1854" t="s">
        <v>749</v>
      </c>
      <c r="T18" s="1855"/>
      <c r="U18" s="1854"/>
      <c r="V18" s="1855"/>
      <c r="W18" s="1855"/>
      <c r="X18" s="2706" t="s">
        <v>749</v>
      </c>
    </row>
    <row r="19" spans="1:26">
      <c r="A19" s="1793">
        <v>4</v>
      </c>
      <c r="C19" s="2705" t="s">
        <v>2598</v>
      </c>
      <c r="D19" s="1854"/>
      <c r="E19" s="1854"/>
      <c r="F19" s="1869"/>
      <c r="G19" s="1854"/>
      <c r="H19" s="1855"/>
      <c r="I19" s="1784"/>
      <c r="J19" s="1854"/>
      <c r="K19" s="1855"/>
      <c r="L19" s="1855"/>
      <c r="M19" s="1854"/>
      <c r="N19" s="1855"/>
      <c r="O19" s="1854"/>
      <c r="P19" s="1855"/>
      <c r="Q19" s="1854"/>
      <c r="R19" s="1855"/>
      <c r="S19" s="1854"/>
      <c r="T19" s="1855"/>
      <c r="U19" s="1854"/>
      <c r="V19" s="1855"/>
      <c r="W19" s="1855"/>
      <c r="X19" s="2706"/>
    </row>
    <row r="20" spans="1:26">
      <c r="A20" s="1793">
        <v>5</v>
      </c>
      <c r="C20" s="2707" t="s">
        <v>2641</v>
      </c>
      <c r="D20" s="2706">
        <v>0</v>
      </c>
      <c r="E20" s="2706">
        <v>0</v>
      </c>
      <c r="F20" s="1869"/>
      <c r="G20" s="2708">
        <f ca="1">SCH_C2!H27</f>
        <v>1355623</v>
      </c>
      <c r="H20" s="1855">
        <f t="shared" ref="H20:H41" ca="1" si="0">IF(J20=0,"-",ROUND((G20-J20)/ABS(J20),4))</f>
        <v>-0.33800000000000002</v>
      </c>
      <c r="I20" s="1784"/>
      <c r="J20" s="2708">
        <f>SCH_C2!E27</f>
        <v>2047849</v>
      </c>
      <c r="K20" s="1855">
        <f t="shared" ref="K20:K41" si="1">IF(M20=0,"-",ROUND((J20-M20)/ABS(M20),4))</f>
        <v>1.5798000000000001</v>
      </c>
      <c r="L20" s="1855"/>
      <c r="M20" s="2706">
        <v>793792</v>
      </c>
      <c r="N20" s="1855">
        <f t="shared" ref="N20:N41" si="2">IF(O20=0,"-",ROUND((M20-O20)/ABS(O20),4))</f>
        <v>-0.25430000000000003</v>
      </c>
      <c r="O20" s="2706">
        <v>1064480</v>
      </c>
      <c r="P20" s="1855">
        <f t="shared" ref="P20:P41" si="3">IF(Q20=0,"-",ROUND((O20-Q20)/ABS(Q20),4))</f>
        <v>0.105</v>
      </c>
      <c r="Q20" s="2706">
        <v>963293</v>
      </c>
      <c r="R20" s="1855">
        <f t="shared" ref="R20:R41" si="4">IF(S20=0,"-",ROUND((Q20-S20)/ABS(S20),4))</f>
        <v>0.3387</v>
      </c>
      <c r="S20" s="2706">
        <v>719564</v>
      </c>
      <c r="T20" s="1855">
        <f t="shared" ref="T20:T41" si="5">IF(U20=0,"-",ROUND((S20-U20)/ABS(U20),4))</f>
        <v>1.0865</v>
      </c>
      <c r="U20" s="2706">
        <v>344868</v>
      </c>
      <c r="V20" s="1855">
        <f t="shared" ref="V20:V41" si="6">IF(X20=0,"-",ROUND((U20-X20)/ABS(X20),4))</f>
        <v>0.65780000000000005</v>
      </c>
      <c r="W20" s="1855"/>
      <c r="X20" s="2706">
        <v>208033</v>
      </c>
    </row>
    <row r="21" spans="1:26">
      <c r="A21" s="1793">
        <v>6</v>
      </c>
      <c r="C21" s="2707" t="s">
        <v>2642</v>
      </c>
      <c r="D21" s="2706">
        <v>36566075</v>
      </c>
      <c r="E21" s="2706">
        <v>37129021</v>
      </c>
      <c r="F21" s="1869"/>
      <c r="G21" s="2708">
        <f t="array" aca="1" ref="G21" ca="1">SUM(IF(FERCFP=801,AmountFP))+SUM(IF(FERCFP=805,AmountFP))</f>
        <v>36414641</v>
      </c>
      <c r="H21" s="1855">
        <f t="shared" ca="1" si="0"/>
        <v>-0.16830000000000001</v>
      </c>
      <c r="I21" s="1784"/>
      <c r="J21" s="2708">
        <f t="array" ref="J21">SUM(IF(FERCBP=801,AmountBP))+SUM(IF(FERCBP=805,AmountBP))</f>
        <v>43784843</v>
      </c>
      <c r="K21" s="1855">
        <f t="shared" si="1"/>
        <v>0.16200000000000001</v>
      </c>
      <c r="L21" s="1855"/>
      <c r="M21" s="2706">
        <v>37679080</v>
      </c>
      <c r="N21" s="1855">
        <f t="shared" si="2"/>
        <v>0.1421</v>
      </c>
      <c r="O21" s="2706">
        <v>32990045</v>
      </c>
      <c r="P21" s="1855">
        <f t="shared" si="3"/>
        <v>-0.2152</v>
      </c>
      <c r="Q21" s="2706">
        <v>42038602</v>
      </c>
      <c r="R21" s="1855">
        <f t="shared" si="4"/>
        <v>-0.30409999999999998</v>
      </c>
      <c r="S21" s="2706">
        <v>60405546</v>
      </c>
      <c r="T21" s="1855">
        <f t="shared" si="5"/>
        <v>0.3019</v>
      </c>
      <c r="U21" s="2706">
        <v>46397538</v>
      </c>
      <c r="V21" s="1855">
        <f t="shared" si="6"/>
        <v>0.22209999999999999</v>
      </c>
      <c r="W21" s="1855"/>
      <c r="X21" s="2706">
        <v>37965863</v>
      </c>
    </row>
    <row r="22" spans="1:26">
      <c r="A22" s="1793">
        <v>7</v>
      </c>
      <c r="C22" s="2707" t="s">
        <v>1270</v>
      </c>
      <c r="D22" s="2706">
        <v>0</v>
      </c>
      <c r="E22" s="2706">
        <v>0</v>
      </c>
      <c r="F22" s="1869"/>
      <c r="G22" s="1854">
        <f>SCH_C2!H31</f>
        <v>0</v>
      </c>
      <c r="H22" s="1855">
        <f t="shared" si="0"/>
        <v>-1</v>
      </c>
      <c r="I22" s="1784"/>
      <c r="J22" s="1854">
        <f>SCH_C2!E31</f>
        <v>671111</v>
      </c>
      <c r="K22" s="1855">
        <f t="shared" si="1"/>
        <v>0.28320000000000001</v>
      </c>
      <c r="L22" s="1855"/>
      <c r="M22" s="2706">
        <v>523005</v>
      </c>
      <c r="N22" s="1855">
        <f t="shared" si="2"/>
        <v>-0.40279999999999999</v>
      </c>
      <c r="O22" s="2706">
        <v>875719</v>
      </c>
      <c r="P22" s="1855">
        <f t="shared" si="3"/>
        <v>-9.2299999999999993E-2</v>
      </c>
      <c r="Q22" s="2706">
        <v>964793</v>
      </c>
      <c r="R22" s="1855">
        <f t="shared" si="4"/>
        <v>-7.4999999999999997E-2</v>
      </c>
      <c r="S22" s="2706">
        <v>1043049</v>
      </c>
      <c r="T22" s="1855">
        <f t="shared" si="5"/>
        <v>-0.20369999999999999</v>
      </c>
      <c r="U22" s="2706">
        <v>1309849</v>
      </c>
      <c r="V22" s="1855" t="str">
        <f t="shared" si="6"/>
        <v>-</v>
      </c>
      <c r="W22" s="1855"/>
      <c r="X22" s="2706">
        <v>0</v>
      </c>
    </row>
    <row r="23" spans="1:26">
      <c r="A23" s="1793">
        <v>8</v>
      </c>
      <c r="C23" s="2707" t="s">
        <v>2350</v>
      </c>
      <c r="D23" s="2706">
        <v>0</v>
      </c>
      <c r="E23" s="2706">
        <v>0</v>
      </c>
      <c r="F23" s="1869"/>
      <c r="G23" s="1854">
        <f>SCH_C2!H33</f>
        <v>0</v>
      </c>
      <c r="H23" s="1855" t="str">
        <f t="shared" si="0"/>
        <v>-</v>
      </c>
      <c r="I23" s="1784"/>
      <c r="J23" s="1854">
        <f>SCH_C2!E33</f>
        <v>0</v>
      </c>
      <c r="K23" s="1855">
        <f t="shared" si="1"/>
        <v>-1</v>
      </c>
      <c r="L23" s="1855"/>
      <c r="M23" s="2706">
        <v>2716</v>
      </c>
      <c r="N23" s="1855">
        <f>IF(O23=0,"-",ROUND((M23-O23)/ABS(O23),4))</f>
        <v>-0.60550000000000004</v>
      </c>
      <c r="O23" s="2706">
        <v>6885</v>
      </c>
      <c r="P23" s="1855">
        <f>IF(Q23=0,"-",ROUND((O23-Q23)/ABS(Q23),4))</f>
        <v>6.0900000000000003E-2</v>
      </c>
      <c r="Q23" s="2706">
        <v>6490</v>
      </c>
      <c r="R23" s="1855">
        <f>IF(S23=0,"-",ROUND((Q23-S23)/ABS(S23),4))</f>
        <v>33.157899999999998</v>
      </c>
      <c r="S23" s="2706">
        <v>190</v>
      </c>
      <c r="T23" s="1855" t="str">
        <f>IF(U23=0,"-",ROUND((S23-U23)/ABS(U23),4))</f>
        <v>-</v>
      </c>
      <c r="U23" s="2706">
        <v>0</v>
      </c>
      <c r="V23" s="1855" t="str">
        <f>IF(X23=0,"-",ROUND((U23-X23)/ABS(X23),4))</f>
        <v>-</v>
      </c>
      <c r="W23" s="1855"/>
      <c r="X23" s="2706">
        <v>0</v>
      </c>
    </row>
    <row r="24" spans="1:26">
      <c r="A24" s="1793">
        <v>9</v>
      </c>
      <c r="C24" s="2707" t="s">
        <v>445</v>
      </c>
      <c r="D24" s="2706">
        <v>19456627</v>
      </c>
      <c r="E24" s="2706">
        <v>19391753</v>
      </c>
      <c r="F24" s="1869"/>
      <c r="G24" s="1854">
        <f>SCH_C2!H34</f>
        <v>11942477</v>
      </c>
      <c r="H24" s="1855">
        <f t="shared" si="0"/>
        <v>0.1976</v>
      </c>
      <c r="I24" s="1784"/>
      <c r="J24" s="1854">
        <f>SCH_C2!E34</f>
        <v>9971602</v>
      </c>
      <c r="K24" s="1855">
        <f t="shared" si="1"/>
        <v>-0.1021</v>
      </c>
      <c r="L24" s="1855"/>
      <c r="M24" s="2706">
        <v>11105384</v>
      </c>
      <c r="N24" s="1855">
        <f t="shared" si="2"/>
        <v>0.13550000000000001</v>
      </c>
      <c r="O24" s="2706">
        <v>9780129</v>
      </c>
      <c r="P24" s="1855">
        <f t="shared" si="3"/>
        <v>0.13980000000000001</v>
      </c>
      <c r="Q24" s="2706">
        <v>8580421</v>
      </c>
      <c r="R24" s="1855">
        <f t="shared" si="4"/>
        <v>-0.1517</v>
      </c>
      <c r="S24" s="2706">
        <v>10114332</v>
      </c>
      <c r="T24" s="1855">
        <f t="shared" si="5"/>
        <v>0.36909999999999998</v>
      </c>
      <c r="U24" s="2706">
        <v>7387642</v>
      </c>
      <c r="V24" s="1855">
        <f t="shared" si="6"/>
        <v>-4.4999999999999997E-3</v>
      </c>
      <c r="W24" s="1855"/>
      <c r="X24" s="2706">
        <v>7421248</v>
      </c>
      <c r="Y24" s="1784"/>
      <c r="Z24" s="1784"/>
    </row>
    <row r="25" spans="1:26">
      <c r="A25" s="1793">
        <v>10</v>
      </c>
      <c r="C25" s="2707" t="s">
        <v>586</v>
      </c>
      <c r="D25" s="2706">
        <v>0</v>
      </c>
      <c r="E25" s="2706">
        <v>0</v>
      </c>
      <c r="F25" s="1869"/>
      <c r="G25" s="1854">
        <f ca="1">SCH_C2!H35</f>
        <v>3281428</v>
      </c>
      <c r="H25" s="1855">
        <f t="shared" ca="1" si="0"/>
        <v>-0.13170000000000001</v>
      </c>
      <c r="I25" s="1784"/>
      <c r="J25" s="1854">
        <f>SCH_C2!E35</f>
        <v>3779036</v>
      </c>
      <c r="K25" s="1855">
        <f t="shared" si="1"/>
        <v>4.1500000000000002E-2</v>
      </c>
      <c r="L25" s="1855"/>
      <c r="M25" s="2706">
        <v>3628311</v>
      </c>
      <c r="N25" s="1855">
        <f t="shared" si="2"/>
        <v>-9.4600000000000004E-2</v>
      </c>
      <c r="O25" s="2706">
        <v>4007280</v>
      </c>
      <c r="P25" s="1855">
        <f t="shared" si="3"/>
        <v>0.1173</v>
      </c>
      <c r="Q25" s="2706">
        <v>3586726</v>
      </c>
      <c r="R25" s="1855">
        <f t="shared" si="4"/>
        <v>1.8499999999999999E-2</v>
      </c>
      <c r="S25" s="2706">
        <v>3521723</v>
      </c>
      <c r="T25" s="1855">
        <f t="shared" si="5"/>
        <v>-1.9699999999999999E-2</v>
      </c>
      <c r="U25" s="2706">
        <v>3592467</v>
      </c>
      <c r="V25" s="1855">
        <f t="shared" si="6"/>
        <v>-0.1119</v>
      </c>
      <c r="W25" s="1855"/>
      <c r="X25" s="2706">
        <v>4045075</v>
      </c>
      <c r="Y25" s="1784"/>
      <c r="Z25" s="1784"/>
    </row>
    <row r="26" spans="1:26">
      <c r="A26" s="1793">
        <v>11</v>
      </c>
      <c r="C26" s="2707" t="s">
        <v>2599</v>
      </c>
      <c r="D26" s="2706">
        <v>0</v>
      </c>
      <c r="E26" s="2706">
        <v>0</v>
      </c>
      <c r="F26" s="1869"/>
      <c r="G26" s="1854">
        <f ca="1">SCH_C2!H36</f>
        <v>426836</v>
      </c>
      <c r="H26" s="1855">
        <f t="shared" ca="1" si="0"/>
        <v>-1.83E-2</v>
      </c>
      <c r="I26" s="1784"/>
      <c r="J26" s="1854">
        <f>SCH_C2!E36</f>
        <v>434799</v>
      </c>
      <c r="K26" s="1855">
        <f t="shared" si="1"/>
        <v>-3.6900000000000002E-2</v>
      </c>
      <c r="L26" s="1855"/>
      <c r="M26" s="2706">
        <v>451439</v>
      </c>
      <c r="N26" s="1855">
        <f t="shared" si="2"/>
        <v>-0.1074</v>
      </c>
      <c r="O26" s="2706">
        <v>505759</v>
      </c>
      <c r="P26" s="1855">
        <f t="shared" si="3"/>
        <v>-0.20030000000000001</v>
      </c>
      <c r="Q26" s="2706">
        <v>632454</v>
      </c>
      <c r="R26" s="1855">
        <f t="shared" si="4"/>
        <v>-0.1976</v>
      </c>
      <c r="S26" s="2706">
        <v>788222</v>
      </c>
      <c r="T26" s="1855">
        <f t="shared" si="5"/>
        <v>-0.2651</v>
      </c>
      <c r="U26" s="2706">
        <v>1072597</v>
      </c>
      <c r="V26" s="1855">
        <f t="shared" si="6"/>
        <v>-0.20760000000000001</v>
      </c>
      <c r="W26" s="1855"/>
      <c r="X26" s="2706">
        <v>1353607</v>
      </c>
      <c r="Y26" s="1784"/>
      <c r="Z26" s="1784"/>
    </row>
    <row r="27" spans="1:26">
      <c r="A27" s="1793">
        <v>12</v>
      </c>
      <c r="C27" s="2707" t="s">
        <v>496</v>
      </c>
      <c r="D27" s="2706">
        <v>0</v>
      </c>
      <c r="E27" s="2706">
        <v>0</v>
      </c>
      <c r="F27" s="1869"/>
      <c r="G27" s="1854">
        <f ca="1">SCH_C2!H37</f>
        <v>200467</v>
      </c>
      <c r="H27" s="1855">
        <f t="shared" ca="1" si="0"/>
        <v>0.19159999999999999</v>
      </c>
      <c r="I27" s="1784"/>
      <c r="J27" s="1854">
        <f>SCH_C2!E37</f>
        <v>168230</v>
      </c>
      <c r="K27" s="1855">
        <f t="shared" si="1"/>
        <v>0.58209999999999995</v>
      </c>
      <c r="L27" s="1855"/>
      <c r="M27" s="2706">
        <v>106331</v>
      </c>
      <c r="N27" s="1855">
        <f>IF(O27=0,"-",ROUND((M27-O27)/ABS(O27),4))</f>
        <v>0.1313</v>
      </c>
      <c r="O27" s="2706">
        <v>93991</v>
      </c>
      <c r="P27" s="1855">
        <f>IF(Q27=0,"-",ROUND((O27-Q27)/ABS(Q27),4))</f>
        <v>-0.18160000000000001</v>
      </c>
      <c r="Q27" s="2706">
        <v>114847</v>
      </c>
      <c r="R27" s="1855">
        <f>IF(S27=0,"-",ROUND((Q27-S27)/ABS(S27),4))</f>
        <v>-0.4501</v>
      </c>
      <c r="S27" s="2706">
        <v>208865</v>
      </c>
      <c r="T27" s="1855">
        <f>IF(U27=0,"-",ROUND((S27-U27)/ABS(U27),4))</f>
        <v>11.741099999999999</v>
      </c>
      <c r="U27" s="2706">
        <v>16393</v>
      </c>
      <c r="V27" s="1855">
        <f>IF(X27=0,"-",ROUND((U27-X27)/ABS(X27),4))</f>
        <v>-0.40060000000000001</v>
      </c>
      <c r="W27" s="1855"/>
      <c r="X27" s="2706">
        <v>27349</v>
      </c>
      <c r="Y27" s="1784"/>
    </row>
    <row r="28" spans="1:26">
      <c r="A28" s="1793">
        <v>13</v>
      </c>
      <c r="C28" s="2707" t="s">
        <v>2600</v>
      </c>
      <c r="D28" s="2706">
        <v>5537922</v>
      </c>
      <c r="E28" s="2706">
        <v>5085958</v>
      </c>
      <c r="F28" s="1869"/>
      <c r="G28" s="1854">
        <f ca="1">SCH_C2!H38</f>
        <v>6963873</v>
      </c>
      <c r="H28" s="1855">
        <f t="shared" ca="1" si="0"/>
        <v>-7.8600000000000003E-2</v>
      </c>
      <c r="I28" s="1784"/>
      <c r="J28" s="1854">
        <f>SCH_C2!E38</f>
        <v>7557603</v>
      </c>
      <c r="K28" s="1855">
        <f t="shared" si="1"/>
        <v>0.1084</v>
      </c>
      <c r="L28" s="1855"/>
      <c r="M28" s="2706">
        <v>6818494</v>
      </c>
      <c r="N28" s="1855">
        <f t="shared" si="2"/>
        <v>4.9200000000000001E-2</v>
      </c>
      <c r="O28" s="2706">
        <v>6498886</v>
      </c>
      <c r="P28" s="1855">
        <f t="shared" si="3"/>
        <v>-0.1653</v>
      </c>
      <c r="Q28" s="2706">
        <v>7786095</v>
      </c>
      <c r="R28" s="1855">
        <f t="shared" si="4"/>
        <v>0.18260000000000001</v>
      </c>
      <c r="S28" s="2706">
        <v>6583812</v>
      </c>
      <c r="T28" s="1855">
        <f t="shared" si="5"/>
        <v>-0.19600000000000001</v>
      </c>
      <c r="U28" s="2706">
        <v>8188586</v>
      </c>
      <c r="V28" s="1855">
        <f t="shared" si="6"/>
        <v>-0.14360000000000001</v>
      </c>
      <c r="W28" s="1855"/>
      <c r="X28" s="2706">
        <v>9561093</v>
      </c>
      <c r="Y28" s="1784"/>
    </row>
    <row r="29" spans="1:26">
      <c r="A29" s="1793">
        <v>14</v>
      </c>
      <c r="C29" s="2707" t="s">
        <v>1559</v>
      </c>
      <c r="D29" s="2706">
        <v>0</v>
      </c>
      <c r="E29" s="2706">
        <v>0</v>
      </c>
      <c r="F29" s="1869"/>
      <c r="G29" s="1854">
        <f>SCH_C2!H39</f>
        <v>0</v>
      </c>
      <c r="H29" s="1855">
        <f t="shared" si="0"/>
        <v>1</v>
      </c>
      <c r="I29" s="1784"/>
      <c r="J29" s="1854">
        <f>SCH_C2!E39</f>
        <v>-801635</v>
      </c>
      <c r="K29" s="1855">
        <f t="shared" si="1"/>
        <v>-2.4710000000000001</v>
      </c>
      <c r="L29" s="1855"/>
      <c r="M29" s="2706">
        <v>544974</v>
      </c>
      <c r="N29" s="1855">
        <f t="shared" si="2"/>
        <v>-0.80489999999999995</v>
      </c>
      <c r="O29" s="2706">
        <v>2793990</v>
      </c>
      <c r="P29" s="1855">
        <f t="shared" si="3"/>
        <v>0.33110000000000001</v>
      </c>
      <c r="Q29" s="2706">
        <v>2098950</v>
      </c>
      <c r="R29" s="1855">
        <f t="shared" si="4"/>
        <v>11.4833</v>
      </c>
      <c r="S29" s="2706">
        <v>-200219</v>
      </c>
      <c r="T29" s="1855">
        <f t="shared" si="5"/>
        <v>0.95650000000000002</v>
      </c>
      <c r="U29" s="2706">
        <v>-4600714</v>
      </c>
      <c r="V29" s="1855">
        <f t="shared" si="6"/>
        <v>-8.6818000000000008</v>
      </c>
      <c r="W29" s="1855"/>
      <c r="X29" s="2706">
        <v>-475191</v>
      </c>
      <c r="Y29" s="1784"/>
      <c r="Z29" s="1784"/>
    </row>
    <row r="30" spans="1:26">
      <c r="A30" s="1793">
        <v>15</v>
      </c>
      <c r="C30" s="2709" t="s">
        <v>2601</v>
      </c>
      <c r="D30" s="2706">
        <v>61560625</v>
      </c>
      <c r="E30" s="2706">
        <v>61606732</v>
      </c>
      <c r="F30" s="1869"/>
      <c r="G30" s="1854">
        <f ca="1">SUM(G20:G29)</f>
        <v>60585345</v>
      </c>
      <c r="H30" s="1855">
        <f t="shared" ca="1" si="0"/>
        <v>-0.10390000000000001</v>
      </c>
      <c r="I30" s="1784"/>
      <c r="J30" s="1854">
        <f>SUM(J20:J29)</f>
        <v>67613438</v>
      </c>
      <c r="K30" s="1855">
        <f t="shared" si="1"/>
        <v>9.6699999999999994E-2</v>
      </c>
      <c r="L30" s="1855"/>
      <c r="M30" s="1854">
        <f>SUM(M20:M29)</f>
        <v>61653526</v>
      </c>
      <c r="N30" s="1855">
        <f t="shared" si="2"/>
        <v>5.1799999999999999E-2</v>
      </c>
      <c r="O30" s="1854">
        <f>SUM(O20:O29)</f>
        <v>58617164</v>
      </c>
      <c r="P30" s="1855">
        <f t="shared" si="3"/>
        <v>-0.1221</v>
      </c>
      <c r="Q30" s="1854">
        <f>SUM(Q20:Q29)</f>
        <v>66772671</v>
      </c>
      <c r="R30" s="1855">
        <f t="shared" si="4"/>
        <v>-0.1973</v>
      </c>
      <c r="S30" s="1854">
        <f>SUM(S20:S29)</f>
        <v>83185084</v>
      </c>
      <c r="T30" s="1855">
        <f t="shared" si="5"/>
        <v>0.30570000000000003</v>
      </c>
      <c r="U30" s="1854">
        <f>SUM(U20:U29)</f>
        <v>63709226</v>
      </c>
      <c r="V30" s="1855">
        <f t="shared" si="6"/>
        <v>5.9900000000000002E-2</v>
      </c>
      <c r="W30" s="1855"/>
      <c r="X30" s="1854">
        <f>SUM(X20:X29)</f>
        <v>60107077</v>
      </c>
      <c r="Y30" s="1784"/>
      <c r="Z30" s="1784"/>
    </row>
    <row r="31" spans="1:26">
      <c r="A31" s="1793">
        <v>16</v>
      </c>
      <c r="C31" s="2707" t="s">
        <v>1283</v>
      </c>
      <c r="D31" s="2706">
        <v>16773493</v>
      </c>
      <c r="E31" s="2706">
        <v>16010525</v>
      </c>
      <c r="F31" s="1869"/>
      <c r="G31" s="2708">
        <f t="array" aca="1" ref="G31" ca="1">SUM(IF(FERCFP=403,AmountFP))</f>
        <v>14349517</v>
      </c>
      <c r="H31" s="1855">
        <f t="shared" ca="1" si="0"/>
        <v>0.1174</v>
      </c>
      <c r="I31" s="1784"/>
      <c r="J31" s="2708">
        <f t="array" ref="J31">SUM(IF(FERCBP=403,AmountBP))</f>
        <v>12841958</v>
      </c>
      <c r="K31" s="1855">
        <f t="shared" si="1"/>
        <v>0.1079</v>
      </c>
      <c r="L31" s="1855"/>
      <c r="M31" s="2706">
        <v>11591542</v>
      </c>
      <c r="N31" s="1855">
        <f t="shared" si="2"/>
        <v>6.0400000000000002E-2</v>
      </c>
      <c r="O31" s="2706">
        <v>10931716</v>
      </c>
      <c r="P31" s="1855">
        <f t="shared" si="3"/>
        <v>2.1600000000000001E-2</v>
      </c>
      <c r="Q31" s="2706">
        <v>10701058</v>
      </c>
      <c r="R31" s="1855">
        <f t="shared" si="4"/>
        <v>1.24E-2</v>
      </c>
      <c r="S31" s="2706">
        <v>10570327</v>
      </c>
      <c r="T31" s="1855">
        <f t="shared" si="5"/>
        <v>2.7199999999999998E-2</v>
      </c>
      <c r="U31" s="2706">
        <v>10290738</v>
      </c>
      <c r="V31" s="1855">
        <f t="shared" si="6"/>
        <v>3.0700000000000002E-2</v>
      </c>
      <c r="W31" s="1855"/>
      <c r="X31" s="2706">
        <v>9984589</v>
      </c>
      <c r="Y31" s="1784"/>
      <c r="Z31" s="1784"/>
    </row>
    <row r="32" spans="1:26">
      <c r="A32" s="1793">
        <v>17</v>
      </c>
      <c r="C32" s="2707" t="s">
        <v>2602</v>
      </c>
      <c r="D32" s="2706">
        <v>0</v>
      </c>
      <c r="E32" s="2706">
        <v>0</v>
      </c>
      <c r="F32" s="1869"/>
      <c r="G32" s="2708">
        <f t="array" aca="1" ref="G32" ca="1">SUM(IF(FERCFP=404,AmountFP))</f>
        <v>1350115</v>
      </c>
      <c r="H32" s="1855">
        <f t="shared" ca="1" si="0"/>
        <v>-0.13100000000000001</v>
      </c>
      <c r="I32" s="1784"/>
      <c r="J32" s="2708">
        <f t="array" ref="J32">SUM(IF(FERCBP=404,AmountBP))</f>
        <v>1553689</v>
      </c>
      <c r="K32" s="1855">
        <f t="shared" si="1"/>
        <v>9.2200000000000004E-2</v>
      </c>
      <c r="L32" s="1855"/>
      <c r="M32" s="2706">
        <v>1422574</v>
      </c>
      <c r="N32" s="1855">
        <f t="shared" si="2"/>
        <v>0.71120000000000005</v>
      </c>
      <c r="O32" s="2706">
        <v>831341</v>
      </c>
      <c r="P32" s="1855">
        <f t="shared" si="3"/>
        <v>2.12E-2</v>
      </c>
      <c r="Q32" s="2706">
        <v>814067</v>
      </c>
      <c r="R32" s="1855">
        <f t="shared" si="4"/>
        <v>-0.1898</v>
      </c>
      <c r="S32" s="2706">
        <v>1004742</v>
      </c>
      <c r="T32" s="1855">
        <f t="shared" si="5"/>
        <v>-0.2261</v>
      </c>
      <c r="U32" s="2706">
        <v>1298304</v>
      </c>
      <c r="V32" s="1855">
        <f t="shared" si="6"/>
        <v>-6.4500000000000002E-2</v>
      </c>
      <c r="W32" s="1855"/>
      <c r="X32" s="2706">
        <v>1387839</v>
      </c>
    </row>
    <row r="33" spans="1:26">
      <c r="A33" s="1793">
        <v>18</v>
      </c>
      <c r="C33" s="2707" t="s">
        <v>1049</v>
      </c>
      <c r="D33" s="2706">
        <v>4435167</v>
      </c>
      <c r="E33" s="2706">
        <v>4230831</v>
      </c>
      <c r="F33" s="1869"/>
      <c r="G33" s="1854">
        <f>SCH_C2!H47</f>
        <v>4142425</v>
      </c>
      <c r="H33" s="1855">
        <f t="shared" si="0"/>
        <v>0.1487</v>
      </c>
      <c r="I33" s="1784"/>
      <c r="J33" s="1854">
        <f>SCH_C2!E47</f>
        <v>3606329</v>
      </c>
      <c r="K33" s="1855">
        <f t="shared" si="1"/>
        <v>7.1800000000000003E-2</v>
      </c>
      <c r="L33" s="1855"/>
      <c r="M33" s="2706">
        <v>3364888</v>
      </c>
      <c r="N33" s="1855">
        <f t="shared" si="2"/>
        <v>-0.3075</v>
      </c>
      <c r="O33" s="2706">
        <v>4858897</v>
      </c>
      <c r="P33" s="1855">
        <f t="shared" si="3"/>
        <v>0.19159999999999999</v>
      </c>
      <c r="Q33" s="2706">
        <v>4077676</v>
      </c>
      <c r="R33" s="1855">
        <f t="shared" si="4"/>
        <v>-6.9599999999999995E-2</v>
      </c>
      <c r="S33" s="2706">
        <v>4382562</v>
      </c>
      <c r="T33" s="1855">
        <f t="shared" si="5"/>
        <v>6.5799999999999997E-2</v>
      </c>
      <c r="U33" s="2706">
        <v>4112119</v>
      </c>
      <c r="V33" s="1855">
        <f t="shared" si="6"/>
        <v>1.32E-2</v>
      </c>
      <c r="W33" s="1855"/>
      <c r="X33" s="2706">
        <v>4058474</v>
      </c>
    </row>
    <row r="34" spans="1:26">
      <c r="A34" s="1793">
        <v>19</v>
      </c>
      <c r="C34" s="2707" t="s">
        <v>2603</v>
      </c>
      <c r="D34" s="2706">
        <v>3469390</v>
      </c>
      <c r="E34" s="2706">
        <v>3512157</v>
      </c>
      <c r="F34" s="1869"/>
      <c r="G34" s="1854">
        <f ca="1">SCH_C2!H55</f>
        <v>327143</v>
      </c>
      <c r="H34" s="1855">
        <f t="shared" ca="1" si="0"/>
        <v>-0.91139999999999999</v>
      </c>
      <c r="I34" s="1784"/>
      <c r="J34" s="1854">
        <f>SCH_C2!E55</f>
        <v>3692225</v>
      </c>
      <c r="K34" s="1855">
        <f t="shared" si="1"/>
        <v>1.4823</v>
      </c>
      <c r="L34" s="1855"/>
      <c r="M34" s="2706">
        <v>-7656112</v>
      </c>
      <c r="N34" s="1855">
        <f t="shared" si="2"/>
        <v>-2.1082999999999998</v>
      </c>
      <c r="O34" s="2706">
        <v>6908014</v>
      </c>
      <c r="P34" s="1855">
        <f t="shared" si="3"/>
        <v>-0.13</v>
      </c>
      <c r="Q34" s="2706">
        <v>7940333</v>
      </c>
      <c r="R34" s="1855">
        <f t="shared" si="4"/>
        <v>21.8705</v>
      </c>
      <c r="S34" s="2706">
        <v>347187</v>
      </c>
      <c r="T34" s="1855">
        <f t="shared" si="5"/>
        <v>-0.91169999999999995</v>
      </c>
      <c r="U34" s="2706">
        <v>3933936</v>
      </c>
      <c r="V34" s="1855">
        <f t="shared" si="6"/>
        <v>3.7403</v>
      </c>
      <c r="W34" s="1855"/>
      <c r="X34" s="2706">
        <v>-1435584</v>
      </c>
    </row>
    <row r="35" spans="1:26">
      <c r="A35" s="1793">
        <v>20</v>
      </c>
      <c r="C35" s="2707" t="s">
        <v>2604</v>
      </c>
      <c r="D35" s="2706">
        <v>552568</v>
      </c>
      <c r="E35" s="2706">
        <v>552557</v>
      </c>
      <c r="F35" s="1869"/>
      <c r="G35" s="1854">
        <f ca="1">SCH_C2!H50</f>
        <v>-215575</v>
      </c>
      <c r="H35" s="1855">
        <f t="shared" ca="1" si="0"/>
        <v>-1.6205000000000001</v>
      </c>
      <c r="I35" s="1784"/>
      <c r="J35" s="1854">
        <f>SCH_C2!E50</f>
        <v>347419</v>
      </c>
      <c r="K35" s="1855">
        <f t="shared" si="1"/>
        <v>1.3874</v>
      </c>
      <c r="L35" s="1855"/>
      <c r="M35" s="2706">
        <v>-896836</v>
      </c>
      <c r="N35" s="1855">
        <f t="shared" si="2"/>
        <v>-1.8110999999999999</v>
      </c>
      <c r="O35" s="2706">
        <v>1105745</v>
      </c>
      <c r="P35" s="1855">
        <f t="shared" si="3"/>
        <v>0.18090000000000001</v>
      </c>
      <c r="Q35" s="2706">
        <v>936373</v>
      </c>
      <c r="R35" s="1855">
        <f t="shared" si="4"/>
        <v>0.245</v>
      </c>
      <c r="S35" s="2706">
        <v>752093</v>
      </c>
      <c r="T35" s="1855">
        <f t="shared" si="5"/>
        <v>2.6732</v>
      </c>
      <c r="U35" s="2706">
        <v>204753</v>
      </c>
      <c r="V35" s="1855">
        <f t="shared" si="6"/>
        <v>-0.6976</v>
      </c>
      <c r="W35" s="1855"/>
      <c r="X35" s="2706">
        <v>677022</v>
      </c>
    </row>
    <row r="36" spans="1:26">
      <c r="A36" s="1793">
        <v>21</v>
      </c>
      <c r="B36" s="1854"/>
      <c r="C36" s="2710" t="s">
        <v>2605</v>
      </c>
      <c r="D36" s="2706">
        <v>280592</v>
      </c>
      <c r="E36" s="2706">
        <v>670599</v>
      </c>
      <c r="F36" s="1869"/>
      <c r="G36" s="1854">
        <f ca="1">SCH_C2!H51+SCH_C2!H56</f>
        <v>892802</v>
      </c>
      <c r="H36" s="1855">
        <f t="shared" ca="1" si="0"/>
        <v>9.1486999999999998</v>
      </c>
      <c r="I36" s="1853"/>
      <c r="J36" s="1854">
        <f>SCH_C2!E51+SCH_C2!E56</f>
        <v>-109564</v>
      </c>
      <c r="K36" s="1855">
        <f t="shared" si="1"/>
        <v>-1.0085999999999999</v>
      </c>
      <c r="L36" s="1855"/>
      <c r="M36" s="2706">
        <v>12717213</v>
      </c>
      <c r="N36" s="1855">
        <f t="shared" si="2"/>
        <v>4.5419999999999998</v>
      </c>
      <c r="O36" s="2706">
        <v>-3590389</v>
      </c>
      <c r="P36" s="1855">
        <f t="shared" si="3"/>
        <v>-1.9449000000000001</v>
      </c>
      <c r="Q36" s="2706">
        <v>-1219192</v>
      </c>
      <c r="R36" s="1855">
        <f t="shared" si="4"/>
        <v>-1.1738999999999999</v>
      </c>
      <c r="S36" s="2706">
        <v>7011309</v>
      </c>
      <c r="T36" s="1855">
        <f t="shared" si="5"/>
        <v>1.2357</v>
      </c>
      <c r="U36" s="2706">
        <v>3136016</v>
      </c>
      <c r="V36" s="1855">
        <f t="shared" si="6"/>
        <v>-0.79959999999999998</v>
      </c>
      <c r="W36" s="1855"/>
      <c r="X36" s="2706">
        <v>15651661</v>
      </c>
      <c r="Y36" s="1784"/>
    </row>
    <row r="37" spans="1:26">
      <c r="A37" s="1793">
        <v>22</v>
      </c>
      <c r="C37" s="2707" t="s">
        <v>2606</v>
      </c>
      <c r="D37" s="2706">
        <v>0</v>
      </c>
      <c r="E37" s="2706">
        <v>0</v>
      </c>
      <c r="F37" s="1869"/>
      <c r="G37" s="1854">
        <f>SCH_C2!H57</f>
        <v>-66055</v>
      </c>
      <c r="H37" s="1855">
        <f t="shared" si="0"/>
        <v>1.7600000000000001E-2</v>
      </c>
      <c r="I37" s="1784"/>
      <c r="J37" s="1854">
        <f>SCH_C2!E57</f>
        <v>-67241</v>
      </c>
      <c r="K37" s="1855">
        <f t="shared" si="1"/>
        <v>1.6000000000000001E-3</v>
      </c>
      <c r="L37" s="1855"/>
      <c r="M37" s="2706">
        <v>-67351</v>
      </c>
      <c r="N37" s="1855">
        <f t="shared" si="2"/>
        <v>1.9800000000000002E-2</v>
      </c>
      <c r="O37" s="2706">
        <v>-68708</v>
      </c>
      <c r="P37" s="1855">
        <f t="shared" si="3"/>
        <v>6.4999999999999997E-3</v>
      </c>
      <c r="Q37" s="2706">
        <v>-69155</v>
      </c>
      <c r="R37" s="1855">
        <f t="shared" si="4"/>
        <v>1.52E-2</v>
      </c>
      <c r="S37" s="2706">
        <v>-70220</v>
      </c>
      <c r="T37" s="1855">
        <f t="shared" si="5"/>
        <v>1.67E-2</v>
      </c>
      <c r="U37" s="2706">
        <v>-71412</v>
      </c>
      <c r="V37" s="1855">
        <f t="shared" si="6"/>
        <v>-8.9999999999999998E-4</v>
      </c>
      <c r="W37" s="1855"/>
      <c r="X37" s="2706">
        <v>-71351</v>
      </c>
    </row>
    <row r="38" spans="1:26">
      <c r="A38" s="1793">
        <v>23</v>
      </c>
      <c r="C38" s="2707" t="s">
        <v>2607</v>
      </c>
      <c r="D38" s="2706">
        <v>0</v>
      </c>
      <c r="E38" s="2706">
        <v>0</v>
      </c>
      <c r="F38" s="1869"/>
      <c r="G38" s="2706">
        <v>0</v>
      </c>
      <c r="H38" s="1855" t="str">
        <f t="shared" si="0"/>
        <v>-</v>
      </c>
      <c r="I38" s="1784"/>
      <c r="J38" s="1854">
        <v>0</v>
      </c>
      <c r="K38" s="1855" t="str">
        <f t="shared" si="1"/>
        <v>-</v>
      </c>
      <c r="L38" s="1855"/>
      <c r="M38" s="2706">
        <v>0</v>
      </c>
      <c r="N38" s="1855" t="str">
        <f>IF(O38=0,"-",ROUND((M38-O38)/ABS(O38),4))</f>
        <v>-</v>
      </c>
      <c r="O38" s="2706">
        <v>0</v>
      </c>
      <c r="P38" s="1855" t="str">
        <f>IF(Q38=0,"-",ROUND((O38-Q38)/ABS(Q38),4))</f>
        <v>-</v>
      </c>
      <c r="Q38" s="2706">
        <v>0</v>
      </c>
      <c r="R38" s="1855" t="str">
        <f>IF(S38=0,"-",ROUND((Q38-S38)/ABS(S38),4))</f>
        <v>-</v>
      </c>
      <c r="S38" s="2706">
        <v>0</v>
      </c>
      <c r="T38" s="1855" t="str">
        <f>IF(U38=0,"-",ROUND((S38-U38)/ABS(U38),4))</f>
        <v>-</v>
      </c>
      <c r="U38" s="2706">
        <v>0</v>
      </c>
      <c r="V38" s="1855" t="str">
        <f>IF(X38=0,"-",ROUND((U38-X38)/ABS(X38),4))</f>
        <v>-</v>
      </c>
      <c r="W38" s="1855"/>
      <c r="X38" s="2706">
        <v>0</v>
      </c>
    </row>
    <row r="39" spans="1:26">
      <c r="A39" s="1793">
        <v>24</v>
      </c>
      <c r="C39" s="2707" t="s">
        <v>2608</v>
      </c>
      <c r="D39" s="2706">
        <v>0</v>
      </c>
      <c r="E39" s="2706">
        <v>0</v>
      </c>
      <c r="F39" s="1869"/>
      <c r="G39" s="2706">
        <v>0</v>
      </c>
      <c r="H39" s="1855" t="str">
        <f t="shared" si="0"/>
        <v>-</v>
      </c>
      <c r="I39" s="1784"/>
      <c r="J39" s="1854">
        <v>0</v>
      </c>
      <c r="K39" s="1855" t="str">
        <f t="shared" si="1"/>
        <v>-</v>
      </c>
      <c r="L39" s="1855"/>
      <c r="M39" s="1854">
        <v>0</v>
      </c>
      <c r="N39" s="1855" t="str">
        <f t="shared" si="2"/>
        <v>-</v>
      </c>
      <c r="O39" s="2706">
        <v>0</v>
      </c>
      <c r="P39" s="1855" t="str">
        <f t="shared" si="3"/>
        <v>-</v>
      </c>
      <c r="Q39" s="2706">
        <v>0</v>
      </c>
      <c r="R39" s="1855" t="str">
        <f t="shared" si="4"/>
        <v>-</v>
      </c>
      <c r="S39" s="2706">
        <v>0</v>
      </c>
      <c r="T39" s="1855" t="str">
        <f t="shared" si="5"/>
        <v>-</v>
      </c>
      <c r="U39" s="2706">
        <v>0</v>
      </c>
      <c r="V39" s="1855" t="str">
        <f t="shared" si="6"/>
        <v>-</v>
      </c>
      <c r="W39" s="1855"/>
      <c r="X39" s="2706">
        <v>0</v>
      </c>
    </row>
    <row r="40" spans="1:26">
      <c r="A40" s="1793">
        <v>25</v>
      </c>
      <c r="C40" s="1784" t="s">
        <v>2609</v>
      </c>
      <c r="D40" s="2711">
        <f>D30+SUM(D31:D39)</f>
        <v>87071835</v>
      </c>
      <c r="E40" s="2711">
        <f>E30+SUM(E31:E39)</f>
        <v>86583401</v>
      </c>
      <c r="F40" s="1869"/>
      <c r="G40" s="2711">
        <f ca="1">G30+SUM(G31:G39)</f>
        <v>81365717</v>
      </c>
      <c r="H40" s="1855">
        <f t="shared" ca="1" si="0"/>
        <v>-9.0700000000000003E-2</v>
      </c>
      <c r="I40" s="1784"/>
      <c r="J40" s="2711">
        <f>J30+SUM(J31:J39)</f>
        <v>89478253</v>
      </c>
      <c r="K40" s="1855">
        <f t="shared" si="1"/>
        <v>8.9499999999999996E-2</v>
      </c>
      <c r="L40" s="1855"/>
      <c r="M40" s="2711">
        <f>M30+SUM(M31:M39)</f>
        <v>82129444</v>
      </c>
      <c r="N40" s="1855">
        <f t="shared" si="2"/>
        <v>3.1899999999999998E-2</v>
      </c>
      <c r="O40" s="2711">
        <f>O30+SUM(O31:O39)</f>
        <v>79593780</v>
      </c>
      <c r="P40" s="1855">
        <f t="shared" si="3"/>
        <v>-0.1152</v>
      </c>
      <c r="Q40" s="2711">
        <f>Q30+SUM(Q31:Q39)</f>
        <v>89953831</v>
      </c>
      <c r="R40" s="1855">
        <f t="shared" si="4"/>
        <v>-0.16070000000000001</v>
      </c>
      <c r="S40" s="2711">
        <f>S30+SUM(S31:S39)</f>
        <v>107183084</v>
      </c>
      <c r="T40" s="1855">
        <f t="shared" si="5"/>
        <v>0.23749999999999999</v>
      </c>
      <c r="U40" s="2711">
        <f>U30+SUM(U31:U39)</f>
        <v>86613680</v>
      </c>
      <c r="V40" s="1855">
        <f t="shared" si="6"/>
        <v>-4.1500000000000002E-2</v>
      </c>
      <c r="W40" s="1855"/>
      <c r="X40" s="2711">
        <f>X30+SUM(X31:X39)</f>
        <v>90359727</v>
      </c>
    </row>
    <row r="41" spans="1:26">
      <c r="A41" s="1793">
        <v>26</v>
      </c>
      <c r="C41" s="1784" t="s">
        <v>2610</v>
      </c>
      <c r="D41" s="2712">
        <f>D16-D40</f>
        <v>21842804</v>
      </c>
      <c r="E41" s="2712">
        <f>E16-E40</f>
        <v>22626138</v>
      </c>
      <c r="F41" s="1869"/>
      <c r="G41" s="2712">
        <f ca="1">IF((G16-G40)=SCH_C2!H62,G16-G40,"ERROR")</f>
        <v>13154573</v>
      </c>
      <c r="H41" s="1855">
        <f t="shared" ca="1" si="0"/>
        <v>1.5100000000000001E-2</v>
      </c>
      <c r="I41" s="1784"/>
      <c r="J41" s="2712">
        <f>IF((J16-J40)=SCH_C2!E62,J16-J40,"ERROR")</f>
        <v>12958566</v>
      </c>
      <c r="K41" s="1855">
        <f t="shared" si="1"/>
        <v>7.6799999999999993E-2</v>
      </c>
      <c r="L41" s="1855"/>
      <c r="M41" s="2712">
        <f>M16-M40</f>
        <v>12034770</v>
      </c>
      <c r="N41" s="1855">
        <f t="shared" si="2"/>
        <v>-0.10299999999999999</v>
      </c>
      <c r="O41" s="2712">
        <f>O16-O40</f>
        <v>13416088</v>
      </c>
      <c r="P41" s="1855">
        <f t="shared" si="3"/>
        <v>-7.4700000000000003E-2</v>
      </c>
      <c r="Q41" s="2712">
        <f>Q16-Q40</f>
        <v>14498892</v>
      </c>
      <c r="R41" s="1855">
        <f t="shared" si="4"/>
        <v>-4.7199999999999999E-2</v>
      </c>
      <c r="S41" s="2712">
        <f>S16-S40</f>
        <v>15217575</v>
      </c>
      <c r="T41" s="1855">
        <f t="shared" si="5"/>
        <v>-3.6299999999999999E-2</v>
      </c>
      <c r="U41" s="2712">
        <f>U16-U40</f>
        <v>15790760</v>
      </c>
      <c r="V41" s="1855">
        <f t="shared" si="6"/>
        <v>33.739600000000003</v>
      </c>
      <c r="W41" s="1855"/>
      <c r="X41" s="2712">
        <f>X16-X40</f>
        <v>-482314</v>
      </c>
    </row>
    <row r="42" spans="1:26">
      <c r="A42" s="1793"/>
      <c r="C42" s="1784"/>
      <c r="D42" s="1869"/>
      <c r="E42" s="1869"/>
      <c r="F42" s="1869"/>
      <c r="G42" s="1869"/>
      <c r="H42" s="1855"/>
      <c r="I42" s="1784"/>
      <c r="J42" s="1869"/>
      <c r="K42" s="1855"/>
      <c r="L42" s="1855"/>
      <c r="M42" s="1869"/>
      <c r="N42" s="1855"/>
      <c r="O42" s="1869"/>
      <c r="P42" s="1855"/>
      <c r="Q42" s="1869"/>
      <c r="R42" s="1855"/>
      <c r="S42" s="1869"/>
      <c r="T42" s="1855"/>
      <c r="U42" s="1869"/>
      <c r="V42" s="1855"/>
      <c r="W42" s="1855"/>
      <c r="X42" s="1869"/>
    </row>
    <row r="43" spans="1:26">
      <c r="A43" s="1793">
        <v>27</v>
      </c>
      <c r="C43" s="2705" t="s">
        <v>2611</v>
      </c>
      <c r="D43" s="1854"/>
      <c r="E43" s="1854"/>
      <c r="F43" s="1869"/>
      <c r="G43" s="1854"/>
      <c r="H43" s="1855"/>
      <c r="I43" s="1784"/>
      <c r="J43" s="1854"/>
      <c r="K43" s="1855"/>
      <c r="L43" s="1855"/>
      <c r="M43" s="1854"/>
      <c r="N43" s="1855"/>
      <c r="O43" s="1854"/>
      <c r="P43" s="1855"/>
      <c r="Q43" s="1854"/>
      <c r="R43" s="1855"/>
      <c r="S43" s="1854"/>
      <c r="T43" s="1855"/>
      <c r="U43" s="1854"/>
      <c r="V43" s="1855"/>
      <c r="W43" s="1855"/>
      <c r="X43" s="1854"/>
    </row>
    <row r="44" spans="1:26">
      <c r="A44" s="1793">
        <v>28</v>
      </c>
      <c r="C44" s="1851" t="s">
        <v>2612</v>
      </c>
      <c r="D44" s="1854"/>
      <c r="E44" s="1854"/>
      <c r="F44" s="1869"/>
      <c r="G44" s="1854"/>
      <c r="H44" s="1855"/>
      <c r="I44" s="1784"/>
      <c r="J44" s="1854"/>
      <c r="K44" s="1855"/>
      <c r="L44" s="1855"/>
      <c r="M44" s="1854"/>
      <c r="N44" s="1855"/>
      <c r="O44" s="1854"/>
      <c r="P44" s="1855"/>
      <c r="Q44" s="1854"/>
      <c r="R44" s="1855"/>
      <c r="S44" s="1854"/>
      <c r="T44" s="1855"/>
      <c r="U44" s="1854"/>
      <c r="V44" s="1855"/>
      <c r="W44" s="1855"/>
      <c r="X44" s="1854"/>
    </row>
    <row r="45" spans="1:26">
      <c r="A45" s="1793">
        <v>29</v>
      </c>
      <c r="C45" s="2707" t="s">
        <v>2613</v>
      </c>
      <c r="D45" s="2706">
        <v>0</v>
      </c>
      <c r="E45" s="2706">
        <v>0</v>
      </c>
      <c r="F45" s="1869"/>
      <c r="G45" s="2706">
        <v>0</v>
      </c>
      <c r="H45" s="1855" t="str">
        <f t="shared" ref="H45:H51" si="7">IF(J45=0,"-",ROUND((G45-J45)/ABS(J45),4))</f>
        <v>-</v>
      </c>
      <c r="I45" s="1784"/>
      <c r="J45" s="2706">
        <v>0</v>
      </c>
      <c r="K45" s="1855" t="str">
        <f t="shared" ref="K45:K51" si="8">IF(M45=0,"-",ROUND((J45-M45)/ABS(M45),4))</f>
        <v>-</v>
      </c>
      <c r="L45" s="1855"/>
      <c r="M45" s="2706">
        <v>0</v>
      </c>
      <c r="N45" s="1855" t="str">
        <f t="shared" ref="N45:N51" si="9">IF(O45=0,"-",ROUND((M45-O45)/ABS(O45),4))</f>
        <v>-</v>
      </c>
      <c r="O45" s="2706">
        <v>0</v>
      </c>
      <c r="P45" s="1855" t="str">
        <f t="shared" ref="P45:P51" si="10">IF(Q45=0,"-",ROUND((O45-Q45)/ABS(Q45),4))</f>
        <v>-</v>
      </c>
      <c r="Q45" s="2706">
        <v>0</v>
      </c>
      <c r="R45" s="1855" t="str">
        <f t="shared" ref="R45:R51" si="11">IF(S45=0,"-",ROUND((Q45-S45)/ABS(S45),4))</f>
        <v>-</v>
      </c>
      <c r="S45" s="2706">
        <v>0</v>
      </c>
      <c r="T45" s="1855" t="str">
        <f t="shared" ref="T45:T51" si="12">IF(U45=0,"-",ROUND((S45-U45)/ABS(U45),4))</f>
        <v>-</v>
      </c>
      <c r="U45" s="2706">
        <v>0</v>
      </c>
      <c r="V45" s="1855" t="str">
        <f t="shared" ref="V45:V51" si="13">IF(X45=0,"-",ROUND((U45-X45)/ABS(X45),4))</f>
        <v>-</v>
      </c>
      <c r="W45" s="1855"/>
      <c r="X45" s="2706">
        <v>0</v>
      </c>
    </row>
    <row r="46" spans="1:26">
      <c r="A46" s="1793">
        <v>30</v>
      </c>
      <c r="C46" s="2707" t="s">
        <v>2614</v>
      </c>
      <c r="D46" s="2706">
        <v>0</v>
      </c>
      <c r="E46" s="2706">
        <v>0</v>
      </c>
      <c r="F46" s="1869"/>
      <c r="G46" s="2706">
        <v>0</v>
      </c>
      <c r="H46" s="1855" t="str">
        <f t="shared" si="7"/>
        <v>-</v>
      </c>
      <c r="I46" s="1784"/>
      <c r="J46" s="2706">
        <v>0</v>
      </c>
      <c r="K46" s="1855" t="str">
        <f t="shared" si="8"/>
        <v>-</v>
      </c>
      <c r="L46" s="1855"/>
      <c r="M46" s="2706">
        <v>0</v>
      </c>
      <c r="N46" s="1855" t="str">
        <f>IF(O46=0,"-",ROUND((M46-O46)/ABS(O46),4))</f>
        <v>-</v>
      </c>
      <c r="O46" s="2706">
        <v>0</v>
      </c>
      <c r="P46" s="1855" t="str">
        <f>IF(Q46=0,"-",ROUND((O46-Q46)/ABS(Q46),4))</f>
        <v>-</v>
      </c>
      <c r="Q46" s="2706">
        <v>0</v>
      </c>
      <c r="R46" s="1855" t="str">
        <f>IF(S46=0,"-",ROUND((Q46-S46)/ABS(S46),4))</f>
        <v>-</v>
      </c>
      <c r="S46" s="2706">
        <v>0</v>
      </c>
      <c r="T46" s="1855" t="str">
        <f>IF(U46=0,"-",ROUND((S46-U46)/ABS(U46),4))</f>
        <v>-</v>
      </c>
      <c r="U46" s="2706">
        <v>0</v>
      </c>
      <c r="V46" s="1855" t="str">
        <f>IF(X46=0,"-",ROUND((U46-X46)/ABS(X46),4))</f>
        <v>-</v>
      </c>
      <c r="W46" s="1855"/>
      <c r="X46" s="2706">
        <v>0</v>
      </c>
    </row>
    <row r="47" spans="1:26">
      <c r="A47" s="1793">
        <v>31</v>
      </c>
      <c r="C47" s="1784" t="s">
        <v>2615</v>
      </c>
      <c r="D47" s="2706">
        <v>641765</v>
      </c>
      <c r="E47" s="2706">
        <v>809782</v>
      </c>
      <c r="F47" s="1869"/>
      <c r="G47" s="2706">
        <v>851666</v>
      </c>
      <c r="H47" s="1855">
        <f t="shared" si="7"/>
        <v>4.4200999999999997</v>
      </c>
      <c r="I47" s="1784"/>
      <c r="J47" s="2706">
        <v>157130</v>
      </c>
      <c r="K47" s="1855" t="str">
        <f t="shared" si="8"/>
        <v>-</v>
      </c>
      <c r="L47" s="1855"/>
      <c r="M47" s="2706">
        <v>0</v>
      </c>
      <c r="N47" s="1855" t="str">
        <f t="shared" si="9"/>
        <v>-</v>
      </c>
      <c r="O47" s="2706">
        <v>0</v>
      </c>
      <c r="P47" s="1855" t="str">
        <f t="shared" si="10"/>
        <v>-</v>
      </c>
      <c r="Q47" s="2706">
        <v>0</v>
      </c>
      <c r="R47" s="1855" t="str">
        <f t="shared" si="11"/>
        <v>-</v>
      </c>
      <c r="S47" s="2706">
        <v>0</v>
      </c>
      <c r="T47" s="1855" t="str">
        <f t="shared" si="12"/>
        <v>-</v>
      </c>
      <c r="U47" s="2706">
        <v>0</v>
      </c>
      <c r="V47" s="1855" t="str">
        <f t="shared" si="13"/>
        <v>-</v>
      </c>
      <c r="W47" s="1855"/>
      <c r="X47" s="2706">
        <v>0</v>
      </c>
      <c r="Y47" s="1784"/>
      <c r="Z47" s="1784"/>
    </row>
    <row r="48" spans="1:26">
      <c r="A48" s="1793">
        <v>32</v>
      </c>
      <c r="C48" s="1784" t="s">
        <v>2616</v>
      </c>
      <c r="D48" s="2706">
        <v>1315954</v>
      </c>
      <c r="E48" s="2706">
        <v>1509652</v>
      </c>
      <c r="F48" s="1869"/>
      <c r="G48" s="2706">
        <v>1035574</v>
      </c>
      <c r="H48" s="1855">
        <f t="shared" si="7"/>
        <v>5.4300000000000001E-2</v>
      </c>
      <c r="I48" s="1784"/>
      <c r="J48" s="2706">
        <v>982198</v>
      </c>
      <c r="K48" s="1855">
        <f t="shared" si="8"/>
        <v>0.63590000000000002</v>
      </c>
      <c r="L48" s="1855"/>
      <c r="M48" s="2706">
        <v>600389</v>
      </c>
      <c r="N48" s="1855">
        <f t="shared" si="9"/>
        <v>1.0434000000000001</v>
      </c>
      <c r="O48" s="2706">
        <v>293820</v>
      </c>
      <c r="P48" s="1855">
        <f t="shared" si="10"/>
        <v>4.6002000000000001</v>
      </c>
      <c r="Q48" s="2706">
        <v>52466</v>
      </c>
      <c r="R48" s="1855">
        <f t="shared" si="11"/>
        <v>0.45029999999999998</v>
      </c>
      <c r="S48" s="2706">
        <v>36176</v>
      </c>
      <c r="T48" s="1855">
        <f t="shared" si="12"/>
        <v>0.50849999999999995</v>
      </c>
      <c r="U48" s="2706">
        <v>23981</v>
      </c>
      <c r="V48" s="1855">
        <f t="shared" si="13"/>
        <v>1.151</v>
      </c>
      <c r="W48" s="1855"/>
      <c r="X48" s="2706">
        <v>-158816</v>
      </c>
      <c r="Y48" s="1784"/>
      <c r="Z48" s="1784"/>
    </row>
    <row r="49" spans="1:26">
      <c r="A49" s="1793">
        <v>33</v>
      </c>
      <c r="C49" s="1784" t="s">
        <v>2617</v>
      </c>
      <c r="D49" s="2706">
        <v>522484</v>
      </c>
      <c r="E49" s="2706">
        <v>357974</v>
      </c>
      <c r="F49" s="1869"/>
      <c r="G49" s="2706">
        <v>248134</v>
      </c>
      <c r="H49" s="1855">
        <f t="shared" si="7"/>
        <v>7.5056000000000003</v>
      </c>
      <c r="I49" s="1784"/>
      <c r="J49" s="2706">
        <v>29173</v>
      </c>
      <c r="K49" s="1855" t="str">
        <f t="shared" si="8"/>
        <v>-</v>
      </c>
      <c r="L49" s="1855"/>
      <c r="M49" s="2706">
        <v>0</v>
      </c>
      <c r="N49" s="1855" t="str">
        <f t="shared" si="9"/>
        <v>-</v>
      </c>
      <c r="O49" s="2706">
        <v>0</v>
      </c>
      <c r="P49" s="1855" t="str">
        <f t="shared" si="10"/>
        <v>-</v>
      </c>
      <c r="Q49" s="2706">
        <v>0</v>
      </c>
      <c r="R49" s="1855" t="str">
        <f t="shared" si="11"/>
        <v>-</v>
      </c>
      <c r="S49" s="2706">
        <v>0</v>
      </c>
      <c r="T49" s="1855" t="str">
        <f t="shared" si="12"/>
        <v>-</v>
      </c>
      <c r="U49" s="2706">
        <v>0</v>
      </c>
      <c r="V49" s="1855" t="str">
        <f t="shared" si="13"/>
        <v>-</v>
      </c>
      <c r="W49" s="1855"/>
      <c r="X49" s="2706">
        <v>0</v>
      </c>
      <c r="Y49" s="1784"/>
      <c r="Z49" s="1784"/>
    </row>
    <row r="50" spans="1:26">
      <c r="A50" s="1793">
        <v>34</v>
      </c>
      <c r="C50" s="1784" t="s">
        <v>2618</v>
      </c>
      <c r="D50" s="2706">
        <v>0</v>
      </c>
      <c r="E50" s="2706">
        <v>0</v>
      </c>
      <c r="F50" s="1869"/>
      <c r="G50" s="2706">
        <v>0</v>
      </c>
      <c r="H50" s="1855" t="str">
        <f t="shared" si="7"/>
        <v>-</v>
      </c>
      <c r="I50" s="1784"/>
      <c r="J50" s="2706">
        <v>0</v>
      </c>
      <c r="K50" s="1855" t="str">
        <f t="shared" si="8"/>
        <v>-</v>
      </c>
      <c r="L50" s="1855"/>
      <c r="M50" s="2706">
        <v>0</v>
      </c>
      <c r="N50" s="1855" t="str">
        <f t="shared" si="9"/>
        <v>-</v>
      </c>
      <c r="O50" s="2706">
        <v>0</v>
      </c>
      <c r="P50" s="1855" t="str">
        <f t="shared" si="10"/>
        <v>-</v>
      </c>
      <c r="Q50" s="2706">
        <v>0</v>
      </c>
      <c r="R50" s="1855" t="str">
        <f t="shared" si="11"/>
        <v>-</v>
      </c>
      <c r="S50" s="2706">
        <v>0</v>
      </c>
      <c r="T50" s="1855" t="str">
        <f t="shared" si="12"/>
        <v>-</v>
      </c>
      <c r="U50" s="2706">
        <v>0</v>
      </c>
      <c r="V50" s="1855" t="str">
        <f t="shared" si="13"/>
        <v>-</v>
      </c>
      <c r="W50" s="1855"/>
      <c r="X50" s="2706">
        <v>0</v>
      </c>
      <c r="Y50" s="1784"/>
    </row>
    <row r="51" spans="1:26">
      <c r="A51" s="1793">
        <v>35</v>
      </c>
      <c r="C51" s="1784" t="s">
        <v>2619</v>
      </c>
      <c r="D51" s="2711">
        <f>SUM(D45:D50)</f>
        <v>2480203</v>
      </c>
      <c r="E51" s="2711">
        <f>SUM(E45:E50)</f>
        <v>2677408</v>
      </c>
      <c r="F51" s="1869"/>
      <c r="G51" s="2711">
        <f>SUM(G45:G50)</f>
        <v>2135374</v>
      </c>
      <c r="H51" s="1855">
        <f t="shared" si="7"/>
        <v>0.82740000000000002</v>
      </c>
      <c r="I51" s="1784"/>
      <c r="J51" s="2711">
        <f>SUM(J45:J50)</f>
        <v>1168501</v>
      </c>
      <c r="K51" s="1855">
        <f t="shared" si="8"/>
        <v>0.94620000000000004</v>
      </c>
      <c r="L51" s="1855"/>
      <c r="M51" s="2711">
        <f>SUM(M45:M50)</f>
        <v>600389</v>
      </c>
      <c r="N51" s="1855">
        <f t="shared" si="9"/>
        <v>1.0434000000000001</v>
      </c>
      <c r="O51" s="2711">
        <f>SUM(O45:O50)</f>
        <v>293820</v>
      </c>
      <c r="P51" s="1855">
        <f t="shared" si="10"/>
        <v>4.6002000000000001</v>
      </c>
      <c r="Q51" s="2711">
        <f>SUM(Q45:Q50)</f>
        <v>52466</v>
      </c>
      <c r="R51" s="1855">
        <f t="shared" si="11"/>
        <v>0.45029999999999998</v>
      </c>
      <c r="S51" s="2711">
        <f>SUM(S45:S50)</f>
        <v>36176</v>
      </c>
      <c r="T51" s="1855">
        <f t="shared" si="12"/>
        <v>0.50849999999999995</v>
      </c>
      <c r="U51" s="2711">
        <f>SUM(U45:U50)</f>
        <v>23981</v>
      </c>
      <c r="V51" s="1855">
        <f t="shared" si="13"/>
        <v>1.151</v>
      </c>
      <c r="W51" s="1855"/>
      <c r="X51" s="2711">
        <f>SUM(X45:X50)</f>
        <v>-158816</v>
      </c>
      <c r="Y51" s="1784"/>
    </row>
    <row r="52" spans="1:26">
      <c r="A52" s="1793"/>
      <c r="C52" s="1784"/>
      <c r="D52" s="1869"/>
      <c r="E52" s="1869"/>
      <c r="F52" s="1869"/>
      <c r="G52" s="1869"/>
      <c r="H52" s="1855"/>
      <c r="I52" s="1784"/>
      <c r="J52" s="1869"/>
      <c r="K52" s="1855"/>
      <c r="L52" s="1855"/>
      <c r="M52" s="1869"/>
      <c r="N52" s="1855"/>
      <c r="O52" s="1869"/>
      <c r="P52" s="1855"/>
      <c r="Q52" s="1869"/>
      <c r="R52" s="1855"/>
      <c r="S52" s="1869"/>
      <c r="T52" s="1855"/>
      <c r="U52" s="1869"/>
      <c r="V52" s="1855"/>
      <c r="W52" s="1855"/>
      <c r="X52" s="1869"/>
      <c r="Y52" s="1784"/>
    </row>
    <row r="53" spans="1:26">
      <c r="A53" s="1793">
        <v>36</v>
      </c>
      <c r="C53" s="1851" t="s">
        <v>2620</v>
      </c>
      <c r="D53" s="1854"/>
      <c r="E53" s="1854"/>
      <c r="F53" s="1869"/>
      <c r="G53" s="1854"/>
      <c r="H53" s="1855"/>
      <c r="I53" s="1784"/>
      <c r="J53" s="1854"/>
      <c r="K53" s="1855"/>
      <c r="L53" s="1855"/>
      <c r="M53" s="1854"/>
      <c r="N53" s="1855"/>
      <c r="O53" s="1854"/>
      <c r="P53" s="1855"/>
      <c r="Q53" s="1854"/>
      <c r="R53" s="1855"/>
      <c r="S53" s="1854"/>
      <c r="T53" s="1855"/>
      <c r="U53" s="1854"/>
      <c r="V53" s="1855"/>
      <c r="W53" s="1855"/>
      <c r="X53" s="1854"/>
    </row>
    <row r="54" spans="1:26">
      <c r="A54" s="1793">
        <v>37</v>
      </c>
      <c r="C54" s="1784" t="s">
        <v>2621</v>
      </c>
      <c r="D54" s="2706">
        <v>0</v>
      </c>
      <c r="E54" s="2706">
        <v>0</v>
      </c>
      <c r="F54" s="1869"/>
      <c r="G54" s="2706">
        <v>0</v>
      </c>
      <c r="H54" s="1855" t="str">
        <f>IF(J54=0,"-",ROUND((G54-J54)/ABS(J54),4))</f>
        <v>-</v>
      </c>
      <c r="I54" s="1784"/>
      <c r="J54" s="2706">
        <v>0</v>
      </c>
      <c r="K54" s="1855" t="str">
        <f>IF(M54=0,"-",ROUND((J54-M54)/ABS(M54),4))</f>
        <v>-</v>
      </c>
      <c r="L54" s="1855"/>
      <c r="M54" s="2706">
        <v>0</v>
      </c>
      <c r="N54" s="1855" t="str">
        <f>IF(O54=0,"-",ROUND((M54-O54)/ABS(O54),4))</f>
        <v>-</v>
      </c>
      <c r="O54" s="2706">
        <v>0</v>
      </c>
      <c r="P54" s="1855" t="str">
        <f>IF(Q54=0,"-",ROUND((O54-Q54)/ABS(Q54),4))</f>
        <v>-</v>
      </c>
      <c r="Q54" s="2706">
        <v>0</v>
      </c>
      <c r="R54" s="1855" t="str">
        <f>IF(S54=0,"-",ROUND((Q54-S54)/ABS(S54),4))</f>
        <v>-</v>
      </c>
      <c r="S54" s="2706">
        <v>0</v>
      </c>
      <c r="T54" s="1855" t="str">
        <f>IF(U54=0,"-",ROUND((S54-U54)/ABS(U54),4))</f>
        <v>-</v>
      </c>
      <c r="U54" s="2706">
        <v>0</v>
      </c>
      <c r="V54" s="1855" t="str">
        <f>IF(X54=0,"-",ROUND((U54-X54)/ABS(X54),4))</f>
        <v>-</v>
      </c>
      <c r="W54" s="1855"/>
      <c r="X54" s="2706">
        <v>0</v>
      </c>
    </row>
    <row r="55" spans="1:26">
      <c r="A55" s="1793">
        <v>38</v>
      </c>
      <c r="C55" s="1784" t="s">
        <v>2622</v>
      </c>
      <c r="D55" s="2706">
        <v>0</v>
      </c>
      <c r="E55" s="2706">
        <v>0</v>
      </c>
      <c r="F55" s="1869"/>
      <c r="G55" s="2706">
        <v>0</v>
      </c>
      <c r="H55" s="1855" t="str">
        <f>IF(J55=0,"-",ROUND((G55-J55)/ABS(J55),4))</f>
        <v>-</v>
      </c>
      <c r="I55" s="1784"/>
      <c r="J55" s="2706">
        <v>0</v>
      </c>
      <c r="K55" s="1855" t="str">
        <f>IF(M55=0,"-",ROUND((J55-M55)/ABS(M55),4))</f>
        <v>-</v>
      </c>
      <c r="L55" s="1855"/>
      <c r="M55" s="2706">
        <v>0</v>
      </c>
      <c r="N55" s="1855" t="str">
        <f>IF(O55=0,"-",ROUND((M55-O55)/ABS(O55),4))</f>
        <v>-</v>
      </c>
      <c r="O55" s="2706">
        <v>0</v>
      </c>
      <c r="P55" s="1855" t="str">
        <f>IF(Q55=0,"-",ROUND((O55-Q55)/ABS(Q55),4))</f>
        <v>-</v>
      </c>
      <c r="Q55" s="2706">
        <v>0</v>
      </c>
      <c r="R55" s="1855" t="str">
        <f>IF(S55=0,"-",ROUND((Q55-S55)/ABS(S55),4))</f>
        <v>-</v>
      </c>
      <c r="S55" s="2706">
        <v>0</v>
      </c>
      <c r="T55" s="1855" t="str">
        <f>IF(U55=0,"-",ROUND((S55-U55)/ABS(U55),4))</f>
        <v>-</v>
      </c>
      <c r="U55" s="2706">
        <v>0</v>
      </c>
      <c r="V55" s="1855" t="str">
        <f>IF(X55=0,"-",ROUND((U55-X55)/ABS(X55),4))</f>
        <v>-</v>
      </c>
      <c r="W55" s="1855"/>
      <c r="X55" s="2706">
        <v>0</v>
      </c>
    </row>
    <row r="56" spans="1:26">
      <c r="A56" s="1793">
        <v>39</v>
      </c>
      <c r="C56" s="1784" t="s">
        <v>2623</v>
      </c>
      <c r="D56" s="2711">
        <f>SUM(D54:D55)</f>
        <v>0</v>
      </c>
      <c r="E56" s="2711">
        <f>SUM(E54:E55)</f>
        <v>0</v>
      </c>
      <c r="F56" s="1869"/>
      <c r="G56" s="2711">
        <f>SUM(G54:G55)</f>
        <v>0</v>
      </c>
      <c r="H56" s="1855" t="str">
        <f>IF(J56=0,"-",ROUND((G56-J56)/ABS(J56),4))</f>
        <v>-</v>
      </c>
      <c r="I56" s="1784"/>
      <c r="J56" s="2711">
        <f>SUM(J54:J55)</f>
        <v>0</v>
      </c>
      <c r="K56" s="1855" t="str">
        <f>IF(M56=0,"-",ROUND((J56-M56)/ABS(M56),4))</f>
        <v>-</v>
      </c>
      <c r="L56" s="1855"/>
      <c r="M56" s="2711">
        <f>SUM(M54:M55)</f>
        <v>0</v>
      </c>
      <c r="N56" s="1855" t="str">
        <f>IF(O56=0,"-",ROUND((M56-O56)/ABS(O56),4))</f>
        <v>-</v>
      </c>
      <c r="O56" s="2711">
        <f>SUM(O54:O55)</f>
        <v>0</v>
      </c>
      <c r="P56" s="1855" t="str">
        <f>IF(Q56=0,"-",ROUND((O56-Q56)/ABS(Q56),4))</f>
        <v>-</v>
      </c>
      <c r="Q56" s="2711">
        <f>SUM(Q54:Q55)</f>
        <v>0</v>
      </c>
      <c r="R56" s="1855" t="str">
        <f>IF(S56=0,"-",ROUND((Q56-S56)/ABS(S56),4))</f>
        <v>-</v>
      </c>
      <c r="S56" s="2711">
        <f>SUM(S54:S55)</f>
        <v>0</v>
      </c>
      <c r="T56" s="1855" t="str">
        <f>IF(U56=0,"-",ROUND((S56-U56)/ABS(U56),4))</f>
        <v>-</v>
      </c>
      <c r="U56" s="2711">
        <f>SUM(U54:U55)</f>
        <v>0</v>
      </c>
      <c r="V56" s="1855" t="str">
        <f>IF(X56=0,"-",ROUND((U56-X56)/ABS(X56),4))</f>
        <v>-</v>
      </c>
      <c r="W56" s="1855"/>
      <c r="X56" s="2711">
        <f>SUM(X54:X55)</f>
        <v>0</v>
      </c>
      <c r="Y56" s="1784"/>
    </row>
    <row r="57" spans="1:26">
      <c r="A57" s="1793"/>
      <c r="C57" s="1784"/>
      <c r="D57" s="1869"/>
      <c r="E57" s="1869"/>
      <c r="F57" s="1869"/>
      <c r="G57" s="1869"/>
      <c r="H57" s="1855"/>
      <c r="I57" s="1784"/>
      <c r="J57" s="1869"/>
      <c r="K57" s="1855"/>
      <c r="L57" s="1855"/>
      <c r="M57" s="1869"/>
      <c r="N57" s="1855"/>
      <c r="O57" s="1869"/>
      <c r="P57" s="1855"/>
      <c r="Q57" s="1869"/>
      <c r="R57" s="1855"/>
      <c r="S57" s="1869"/>
      <c r="T57" s="1855"/>
      <c r="U57" s="1869"/>
      <c r="V57" s="1855"/>
      <c r="W57" s="1855"/>
      <c r="X57" s="1869"/>
      <c r="Y57" s="1784"/>
    </row>
    <row r="58" spans="1:26">
      <c r="A58" s="1793">
        <v>40</v>
      </c>
      <c r="C58" s="1851" t="s">
        <v>2624</v>
      </c>
      <c r="D58" s="1854"/>
      <c r="E58" s="1854"/>
      <c r="F58" s="1869"/>
      <c r="G58" s="1854"/>
      <c r="H58" s="1855"/>
      <c r="I58" s="1784"/>
      <c r="J58" s="1854"/>
      <c r="K58" s="1855"/>
      <c r="L58" s="1855"/>
      <c r="M58" s="1854"/>
      <c r="N58" s="1855"/>
      <c r="O58" s="1854"/>
      <c r="P58" s="1855"/>
      <c r="Q58" s="1854"/>
      <c r="R58" s="1855"/>
      <c r="S58" s="1854"/>
      <c r="T58" s="1855"/>
      <c r="U58" s="1854"/>
      <c r="V58" s="1855"/>
      <c r="W58" s="1855"/>
      <c r="X58" s="1854"/>
    </row>
    <row r="59" spans="1:26">
      <c r="A59" s="1793">
        <v>41</v>
      </c>
      <c r="C59" s="1784" t="s">
        <v>2625</v>
      </c>
      <c r="D59" s="2706">
        <v>0</v>
      </c>
      <c r="E59" s="2706">
        <v>0</v>
      </c>
      <c r="F59" s="1869"/>
      <c r="G59" s="2706">
        <v>0</v>
      </c>
      <c r="H59" s="1855" t="str">
        <f>IF(J59=0,"-",ROUND((G59-J59)/ABS(J59),4))</f>
        <v>-</v>
      </c>
      <c r="I59" s="1784"/>
      <c r="J59" s="2706">
        <v>0</v>
      </c>
      <c r="K59" s="1855" t="str">
        <f>IF(M59=0,"-",ROUND((J59-M59)/ABS(M59),4))</f>
        <v>-</v>
      </c>
      <c r="L59" s="1855"/>
      <c r="M59" s="2706">
        <v>0</v>
      </c>
      <c r="N59" s="1855" t="str">
        <f>IF(O59=0,"-",ROUND((M59-O59)/ABS(O59),4))</f>
        <v>-</v>
      </c>
      <c r="O59" s="2706">
        <v>0</v>
      </c>
      <c r="P59" s="1855" t="str">
        <f>IF(Q59=0,"-",ROUND((O59-Q59)/ABS(Q59),4))</f>
        <v>-</v>
      </c>
      <c r="Q59" s="2706">
        <v>0</v>
      </c>
      <c r="R59" s="1855" t="str">
        <f>IF(S59=0,"-",ROUND((Q59-S59)/ABS(S59),4))</f>
        <v>-</v>
      </c>
      <c r="S59" s="2706">
        <v>0</v>
      </c>
      <c r="T59" s="1855" t="str">
        <f>IF(U59=0,"-",ROUND((S59-U59)/ABS(U59),4))</f>
        <v>-</v>
      </c>
      <c r="U59" s="2706">
        <v>0</v>
      </c>
      <c r="V59" s="1855" t="str">
        <f>IF(X59=0,"-",ROUND((U59-X59)/ABS(X59),4))</f>
        <v>-</v>
      </c>
      <c r="W59" s="1855"/>
      <c r="X59" s="2706">
        <v>0</v>
      </c>
    </row>
    <row r="60" spans="1:26">
      <c r="A60" s="1793">
        <v>42</v>
      </c>
      <c r="C60" s="2707" t="s">
        <v>1049</v>
      </c>
      <c r="D60" s="2706">
        <v>0</v>
      </c>
      <c r="E60" s="2706">
        <v>0</v>
      </c>
      <c r="F60" s="1869"/>
      <c r="G60" s="2706">
        <v>0</v>
      </c>
      <c r="H60" s="1855" t="str">
        <f>IF(J60=0,"-",ROUND((G60-J60)/ABS(J60),4))</f>
        <v>-</v>
      </c>
      <c r="I60" s="1784"/>
      <c r="J60" s="2706">
        <v>0</v>
      </c>
      <c r="K60" s="1855" t="str">
        <f>IF(M60=0,"-",ROUND((J60-M60)/ABS(M60),4))</f>
        <v>-</v>
      </c>
      <c r="L60" s="1855"/>
      <c r="M60" s="2706">
        <v>0</v>
      </c>
      <c r="N60" s="1855" t="str">
        <f>IF(O60=0,"-",ROUND((M60-O60)/ABS(O60),4))</f>
        <v>-</v>
      </c>
      <c r="O60" s="2706">
        <v>0</v>
      </c>
      <c r="P60" s="1855" t="str">
        <f>IF(Q60=0,"-",ROUND((O60-Q60)/ABS(Q60),4))</f>
        <v>-</v>
      </c>
      <c r="Q60" s="2706">
        <v>0</v>
      </c>
      <c r="R60" s="1855" t="str">
        <f>IF(S60=0,"-",ROUND((Q60-S60)/ABS(S60),4))</f>
        <v>-</v>
      </c>
      <c r="S60" s="2706">
        <v>0</v>
      </c>
      <c r="T60" s="1855" t="str">
        <f>IF(U60=0,"-",ROUND((S60-U60)/ABS(U60),4))</f>
        <v>-</v>
      </c>
      <c r="U60" s="2706">
        <v>0</v>
      </c>
      <c r="V60" s="1855" t="str">
        <f>IF(X60=0,"-",ROUND((U60-X60)/ABS(X60),4))</f>
        <v>-</v>
      </c>
      <c r="W60" s="1855"/>
      <c r="X60" s="2706">
        <v>0</v>
      </c>
    </row>
    <row r="61" spans="1:26">
      <c r="A61" s="1793">
        <v>43</v>
      </c>
      <c r="C61" s="1784" t="s">
        <v>2626</v>
      </c>
      <c r="D61" s="2711">
        <f>SUM(D59:D60)</f>
        <v>0</v>
      </c>
      <c r="E61" s="2711">
        <f>SUM(E59:E60)</f>
        <v>0</v>
      </c>
      <c r="F61" s="1869"/>
      <c r="G61" s="2711">
        <f>SUM(G59:G60)</f>
        <v>0</v>
      </c>
      <c r="H61" s="1855" t="str">
        <f>IF(J61=0,"-",ROUND((G61-J61)/ABS(J61),4))</f>
        <v>-</v>
      </c>
      <c r="I61" s="1784"/>
      <c r="J61" s="2711">
        <f>SUM(J59:J60)</f>
        <v>0</v>
      </c>
      <c r="K61" s="1855" t="str">
        <f>IF(M61=0,"-",ROUND((J61-M61)/ABS(M61),4))</f>
        <v>-</v>
      </c>
      <c r="L61" s="1855"/>
      <c r="M61" s="2711">
        <f>SUM(M59:M60)</f>
        <v>0</v>
      </c>
      <c r="N61" s="1855" t="str">
        <f>IF(O61=0,"-",ROUND((M61-O61)/ABS(O61),4))</f>
        <v>-</v>
      </c>
      <c r="O61" s="2711">
        <f>SUM(O59:O60)</f>
        <v>0</v>
      </c>
      <c r="P61" s="1855" t="str">
        <f>IF(Q61=0,"-",ROUND((O61-Q61)/ABS(Q61),4))</f>
        <v>-</v>
      </c>
      <c r="Q61" s="2711">
        <f>SUM(Q59:Q60)</f>
        <v>0</v>
      </c>
      <c r="R61" s="1855" t="str">
        <f>IF(S61=0,"-",ROUND((Q61-S61)/ABS(S61),4))</f>
        <v>-</v>
      </c>
      <c r="S61" s="2711">
        <f>SUM(S59:S60)</f>
        <v>0</v>
      </c>
      <c r="T61" s="1855" t="str">
        <f>IF(U61=0,"-",ROUND((S61-U61)/ABS(U61),4))</f>
        <v>-</v>
      </c>
      <c r="U61" s="2711">
        <f>SUM(U59:U60)</f>
        <v>0</v>
      </c>
      <c r="V61" s="1855" t="str">
        <f>IF(X61=0,"-",ROUND((U61-X61)/ABS(X61),4))</f>
        <v>-</v>
      </c>
      <c r="W61" s="1855"/>
      <c r="X61" s="2711">
        <f>SUM(X59:X60)</f>
        <v>0</v>
      </c>
    </row>
    <row r="62" spans="1:26">
      <c r="A62" s="1793">
        <v>44</v>
      </c>
      <c r="C62" s="1784" t="s">
        <v>2627</v>
      </c>
      <c r="D62" s="2712">
        <f>D51-D56-D61</f>
        <v>2480203</v>
      </c>
      <c r="E62" s="2712">
        <f>E51-E56-E61</f>
        <v>2677408</v>
      </c>
      <c r="F62" s="1869"/>
      <c r="G62" s="2712">
        <f>G51-G56-G61</f>
        <v>2135374</v>
      </c>
      <c r="H62" s="1855">
        <f>IF(J62=0,"-",ROUND((G62-J62)/ABS(J62),4))</f>
        <v>0.82740000000000002</v>
      </c>
      <c r="I62" s="1784"/>
      <c r="J62" s="2712">
        <f>J51-J56-J61</f>
        <v>1168501</v>
      </c>
      <c r="K62" s="1855">
        <f>IF(M62=0,"-",ROUND((J62-M62)/ABS(M62),4))</f>
        <v>0.94620000000000004</v>
      </c>
      <c r="L62" s="1855"/>
      <c r="M62" s="2712">
        <f>M51-M56-M61</f>
        <v>600389</v>
      </c>
      <c r="N62" s="1855">
        <f>IF(O62=0,"-",ROUND((M62-O62)/ABS(O62),4))</f>
        <v>1.0434000000000001</v>
      </c>
      <c r="O62" s="2712">
        <f>O51-O56-O61</f>
        <v>293820</v>
      </c>
      <c r="P62" s="1855">
        <f>IF(Q62=0,"-",ROUND((O62-Q62)/ABS(Q62),4))</f>
        <v>4.6002000000000001</v>
      </c>
      <c r="Q62" s="2712">
        <f>Q51-Q56-Q61</f>
        <v>52466</v>
      </c>
      <c r="R62" s="1855">
        <f>IF(S62=0,"-",ROUND((Q62-S62)/ABS(S62),4))</f>
        <v>0.45029999999999998</v>
      </c>
      <c r="S62" s="2712">
        <f>S51-S56-S61</f>
        <v>36176</v>
      </c>
      <c r="T62" s="1855">
        <f>IF(U62=0,"-",ROUND((S62-U62)/ABS(U62),4))</f>
        <v>0.50849999999999995</v>
      </c>
      <c r="U62" s="2712">
        <f>U51-U56-U61</f>
        <v>23981</v>
      </c>
      <c r="V62" s="1855">
        <f>IF(X62=0,"-",ROUND((U62-X62)/ABS(X62),4))</f>
        <v>1.151</v>
      </c>
      <c r="W62" s="1855"/>
      <c r="X62" s="2712">
        <f>X51-X56-X61</f>
        <v>-158816</v>
      </c>
    </row>
    <row r="63" spans="1:26">
      <c r="A63" s="1793"/>
      <c r="C63" s="1784"/>
      <c r="D63" s="1869"/>
      <c r="E63" s="1869"/>
      <c r="F63" s="1869"/>
      <c r="G63" s="1869"/>
      <c r="H63" s="1855"/>
      <c r="I63" s="1784"/>
      <c r="J63" s="1869"/>
      <c r="K63" s="1855"/>
      <c r="L63" s="1855"/>
      <c r="M63" s="1869"/>
      <c r="N63" s="1855"/>
      <c r="O63" s="1869"/>
      <c r="P63" s="1855"/>
      <c r="Q63" s="1869"/>
      <c r="R63" s="1855"/>
      <c r="S63" s="1869"/>
      <c r="T63" s="1855"/>
      <c r="U63" s="1869"/>
      <c r="V63" s="1855"/>
      <c r="W63" s="1855"/>
      <c r="X63" s="1869"/>
    </row>
    <row r="64" spans="1:26">
      <c r="A64" s="1793">
        <v>45</v>
      </c>
      <c r="C64" s="2705" t="s">
        <v>1506</v>
      </c>
      <c r="H64" s="1855"/>
      <c r="I64" s="1784"/>
      <c r="K64" s="1855"/>
      <c r="L64" s="1855"/>
      <c r="M64" s="1785"/>
      <c r="N64" s="1855"/>
      <c r="O64" s="1785"/>
      <c r="P64" s="1855"/>
      <c r="Q64" s="1785"/>
      <c r="R64" s="1855"/>
      <c r="S64" s="1785"/>
      <c r="T64" s="1855"/>
      <c r="U64" s="1785"/>
      <c r="V64" s="1855"/>
      <c r="W64" s="1855"/>
    </row>
    <row r="65" spans="1:59">
      <c r="A65" s="1793">
        <v>46</v>
      </c>
      <c r="C65" s="1784" t="s">
        <v>2628</v>
      </c>
      <c r="D65" s="2706">
        <v>7898935</v>
      </c>
      <c r="E65" s="2706">
        <v>7285899</v>
      </c>
      <c r="F65" s="1869"/>
      <c r="G65" s="1854">
        <v>7164691</v>
      </c>
      <c r="H65" s="1855">
        <f t="shared" ref="H65:H73" si="14">IF(J65=0,"-",ROUND((G65-J65)/ABS(J65),4))</f>
        <v>0.249</v>
      </c>
      <c r="I65" s="1784"/>
      <c r="J65" s="2706">
        <v>5736149</v>
      </c>
      <c r="K65" s="1855">
        <f t="shared" ref="K65:K73" si="15">IF(M65=0,"-",ROUND((J65-M65)/ABS(M65),4))</f>
        <v>0.27660000000000001</v>
      </c>
      <c r="L65" s="1855"/>
      <c r="M65" s="2706">
        <v>4493448</v>
      </c>
      <c r="N65" s="1855">
        <f t="shared" ref="N65:N73" si="16">IF(O65=0,"-",ROUND((M65-O65)/ABS(O65),4))</f>
        <v>6.2399999999999997E-2</v>
      </c>
      <c r="O65" s="2706">
        <v>4229545</v>
      </c>
      <c r="P65" s="1855">
        <f t="shared" ref="P65:P73" si="17">IF(Q65=0,"-",ROUND((O65-Q65)/ABS(Q65),4))</f>
        <v>0.1308</v>
      </c>
      <c r="Q65" s="2706">
        <v>3740374</v>
      </c>
      <c r="R65" s="1855">
        <f t="shared" ref="R65:R73" si="18">IF(S65=0,"-",ROUND((Q65-S65)/ABS(S65),4))</f>
        <v>-0.1353</v>
      </c>
      <c r="S65" s="2706">
        <v>4325668</v>
      </c>
      <c r="T65" s="1855">
        <f t="shared" ref="T65:T73" si="19">IF(U65=0,"-",ROUND((S65-U65)/ABS(U65),4))</f>
        <v>-6.8999999999999999E-3</v>
      </c>
      <c r="U65" s="2706">
        <v>4355861</v>
      </c>
      <c r="V65" s="1855">
        <f t="shared" ref="V65:V73" si="20">IF(X65=0,"-",ROUND((U65-X65)/ABS(X65),4))</f>
        <v>-1.6000000000000001E-3</v>
      </c>
      <c r="W65" s="1855"/>
      <c r="X65" s="2706">
        <v>4362934</v>
      </c>
      <c r="AR65" s="1845"/>
      <c r="AS65" s="1845"/>
      <c r="AT65" s="1845"/>
      <c r="AU65" s="1845"/>
      <c r="AV65" s="1845"/>
      <c r="AW65" s="1845"/>
      <c r="AX65" s="1845"/>
      <c r="AY65" s="1845"/>
      <c r="AZ65" s="1845"/>
      <c r="BA65" s="1845"/>
      <c r="BB65" s="1845"/>
      <c r="BC65" s="1845"/>
      <c r="BD65" s="1845"/>
      <c r="BE65" s="1845"/>
      <c r="BF65" s="1845"/>
      <c r="BG65" s="1845"/>
    </row>
    <row r="66" spans="1:59">
      <c r="A66" s="1793">
        <v>47</v>
      </c>
      <c r="C66" s="1784" t="s">
        <v>2629</v>
      </c>
      <c r="D66" s="2706">
        <v>74981</v>
      </c>
      <c r="E66" s="2706">
        <v>89719</v>
      </c>
      <c r="F66" s="1869"/>
      <c r="G66" s="1854">
        <v>114981</v>
      </c>
      <c r="H66" s="1855">
        <f t="shared" si="14"/>
        <v>-3.4200000000000001E-2</v>
      </c>
      <c r="I66" s="1784"/>
      <c r="J66" s="2706">
        <v>119047</v>
      </c>
      <c r="K66" s="1855">
        <f t="shared" si="15"/>
        <v>0.28349999999999997</v>
      </c>
      <c r="L66" s="1855"/>
      <c r="M66" s="2706">
        <v>92749</v>
      </c>
      <c r="N66" s="1855">
        <f t="shared" si="16"/>
        <v>-0.5968</v>
      </c>
      <c r="O66" s="2706">
        <v>230016</v>
      </c>
      <c r="P66" s="1855">
        <f t="shared" si="17"/>
        <v>0.79139999999999999</v>
      </c>
      <c r="Q66" s="2706">
        <v>128397</v>
      </c>
      <c r="R66" s="1855">
        <f t="shared" si="18"/>
        <v>-2.92E-2</v>
      </c>
      <c r="S66" s="2706">
        <v>132258</v>
      </c>
      <c r="T66" s="1855">
        <f t="shared" si="19"/>
        <v>-0.1211</v>
      </c>
      <c r="U66" s="2706">
        <v>150486</v>
      </c>
      <c r="V66" s="1855">
        <f t="shared" si="20"/>
        <v>-5.1499999999999997E-2</v>
      </c>
      <c r="W66" s="1855"/>
      <c r="X66" s="2706">
        <v>158656</v>
      </c>
      <c r="AR66" s="1845"/>
      <c r="AS66" s="1845"/>
      <c r="AT66" s="1845"/>
      <c r="AU66" s="1845"/>
      <c r="AV66" s="1845"/>
      <c r="AW66" s="1845"/>
      <c r="AX66" s="1845"/>
      <c r="AY66" s="1845"/>
      <c r="AZ66" s="1845"/>
      <c r="BA66" s="1845"/>
      <c r="BB66" s="1845"/>
      <c r="BC66" s="1845"/>
      <c r="BD66" s="1845"/>
      <c r="BE66" s="1845"/>
      <c r="BF66" s="1845"/>
      <c r="BG66" s="1845"/>
    </row>
    <row r="67" spans="1:59">
      <c r="A67" s="1793">
        <v>48</v>
      </c>
      <c r="C67" s="1784" t="s">
        <v>2630</v>
      </c>
      <c r="D67" s="2706">
        <v>0</v>
      </c>
      <c r="E67" s="2706">
        <v>0</v>
      </c>
      <c r="F67" s="1869"/>
      <c r="G67" s="1854">
        <v>0</v>
      </c>
      <c r="H67" s="1855">
        <f t="shared" si="14"/>
        <v>-1</v>
      </c>
      <c r="I67" s="1784"/>
      <c r="J67" s="2706">
        <v>40954</v>
      </c>
      <c r="K67" s="1855">
        <f t="shared" si="15"/>
        <v>-0.5</v>
      </c>
      <c r="L67" s="1855"/>
      <c r="M67" s="2706">
        <v>81909</v>
      </c>
      <c r="N67" s="1855">
        <f t="shared" si="16"/>
        <v>0</v>
      </c>
      <c r="O67" s="2706">
        <v>81909</v>
      </c>
      <c r="P67" s="1855">
        <f t="shared" si="17"/>
        <v>0</v>
      </c>
      <c r="Q67" s="2706">
        <v>81909</v>
      </c>
      <c r="R67" s="1855">
        <f t="shared" si="18"/>
        <v>0</v>
      </c>
      <c r="S67" s="2706">
        <v>81909</v>
      </c>
      <c r="T67" s="1855">
        <f t="shared" si="19"/>
        <v>-3.5200000000000002E-2</v>
      </c>
      <c r="U67" s="2706">
        <v>84894</v>
      </c>
      <c r="V67" s="1855">
        <f t="shared" si="20"/>
        <v>-2.46E-2</v>
      </c>
      <c r="W67" s="1855"/>
      <c r="X67" s="2706">
        <v>87032</v>
      </c>
      <c r="AR67" s="1845"/>
      <c r="AS67" s="1845"/>
      <c r="AT67" s="1845"/>
      <c r="AU67" s="1845"/>
      <c r="AV67" s="1845"/>
      <c r="AW67" s="1845"/>
      <c r="AX67" s="1845"/>
      <c r="AY67" s="1845"/>
      <c r="AZ67" s="1845"/>
      <c r="BA67" s="1845"/>
      <c r="BB67" s="1845"/>
      <c r="BC67" s="1845"/>
      <c r="BD67" s="1845"/>
      <c r="BE67" s="1845"/>
      <c r="BF67" s="1845"/>
      <c r="BG67" s="1845"/>
    </row>
    <row r="68" spans="1:59">
      <c r="A68" s="1793">
        <v>49</v>
      </c>
      <c r="C68" s="1784" t="s">
        <v>2631</v>
      </c>
      <c r="D68" s="2706">
        <v>0</v>
      </c>
      <c r="E68" s="2706">
        <v>0</v>
      </c>
      <c r="F68" s="1869"/>
      <c r="G68" s="1854">
        <v>0</v>
      </c>
      <c r="H68" s="1855" t="str">
        <f t="shared" si="14"/>
        <v>-</v>
      </c>
      <c r="I68" s="1784"/>
      <c r="J68" s="2706">
        <v>0</v>
      </c>
      <c r="K68" s="1855" t="str">
        <f t="shared" si="15"/>
        <v>-</v>
      </c>
      <c r="L68" s="1855"/>
      <c r="M68" s="2706">
        <v>0</v>
      </c>
      <c r="N68" s="1855" t="str">
        <f t="shared" si="16"/>
        <v>-</v>
      </c>
      <c r="O68" s="2706">
        <v>0</v>
      </c>
      <c r="P68" s="1855" t="str">
        <f t="shared" si="17"/>
        <v>-</v>
      </c>
      <c r="Q68" s="2706">
        <v>0</v>
      </c>
      <c r="R68" s="1855" t="str">
        <f t="shared" si="18"/>
        <v>-</v>
      </c>
      <c r="S68" s="2706">
        <v>0</v>
      </c>
      <c r="T68" s="1855" t="str">
        <f t="shared" si="19"/>
        <v>-</v>
      </c>
      <c r="U68" s="2706">
        <v>0</v>
      </c>
      <c r="V68" s="1855" t="str">
        <f t="shared" si="20"/>
        <v>-</v>
      </c>
      <c r="W68" s="1855"/>
      <c r="X68" s="2706">
        <v>0</v>
      </c>
      <c r="AR68" s="1845"/>
      <c r="AS68" s="1845"/>
      <c r="AT68" s="1845"/>
      <c r="AU68" s="1845"/>
      <c r="AV68" s="1845"/>
      <c r="AW68" s="1845"/>
      <c r="AX68" s="1845"/>
      <c r="AY68" s="1845"/>
      <c r="AZ68" s="1845"/>
      <c r="BA68" s="1845"/>
      <c r="BB68" s="1845"/>
      <c r="BC68" s="1845"/>
      <c r="BD68" s="1845"/>
      <c r="BE68" s="1845"/>
      <c r="BF68" s="1845"/>
      <c r="BG68" s="1845"/>
    </row>
    <row r="69" spans="1:59">
      <c r="A69" s="1793">
        <v>50</v>
      </c>
      <c r="C69" s="1784" t="s">
        <v>2632</v>
      </c>
      <c r="D69" s="2706">
        <v>0</v>
      </c>
      <c r="E69" s="2706">
        <v>0</v>
      </c>
      <c r="F69" s="1869"/>
      <c r="G69" s="1854">
        <v>0</v>
      </c>
      <c r="H69" s="1855">
        <f t="shared" si="14"/>
        <v>-1</v>
      </c>
      <c r="I69" s="1784"/>
      <c r="J69" s="2706">
        <v>151321</v>
      </c>
      <c r="K69" s="1855">
        <f t="shared" si="15"/>
        <v>8.5099999999999995E-2</v>
      </c>
      <c r="L69" s="1855"/>
      <c r="M69" s="2706">
        <v>139450</v>
      </c>
      <c r="N69" s="1855">
        <f t="shared" si="16"/>
        <v>0.98019999999999996</v>
      </c>
      <c r="O69" s="2706">
        <v>70423</v>
      </c>
      <c r="P69" s="1855">
        <f t="shared" si="17"/>
        <v>0.21010000000000001</v>
      </c>
      <c r="Q69" s="2706">
        <v>58197</v>
      </c>
      <c r="R69" s="1855">
        <f t="shared" si="18"/>
        <v>10.6371</v>
      </c>
      <c r="S69" s="2706">
        <v>5001</v>
      </c>
      <c r="T69" s="1855">
        <f t="shared" si="19"/>
        <v>18.611799999999999</v>
      </c>
      <c r="U69" s="2706">
        <v>255</v>
      </c>
      <c r="V69" s="1855">
        <f t="shared" si="20"/>
        <v>-0.52690000000000003</v>
      </c>
      <c r="W69" s="1855"/>
      <c r="X69" s="2706">
        <v>539</v>
      </c>
      <c r="AR69" s="1845"/>
      <c r="AS69" s="1845"/>
      <c r="AT69" s="1845"/>
      <c r="AU69" s="1845"/>
      <c r="AV69" s="1845"/>
      <c r="AW69" s="1845"/>
      <c r="AX69" s="1845"/>
      <c r="AY69" s="1845"/>
      <c r="AZ69" s="1845"/>
      <c r="BA69" s="1845"/>
      <c r="BB69" s="1845"/>
      <c r="BC69" s="1845"/>
      <c r="BD69" s="1845"/>
      <c r="BE69" s="1845"/>
      <c r="BF69" s="1845"/>
      <c r="BG69" s="1845"/>
    </row>
    <row r="70" spans="1:59">
      <c r="A70" s="1793">
        <v>51</v>
      </c>
      <c r="C70" s="1784" t="s">
        <v>2633</v>
      </c>
      <c r="D70" s="2706">
        <v>143502</v>
      </c>
      <c r="E70" s="2706">
        <v>143502</v>
      </c>
      <c r="F70" s="1869"/>
      <c r="G70" s="1854">
        <v>0</v>
      </c>
      <c r="H70" s="1855">
        <f t="shared" si="14"/>
        <v>-1</v>
      </c>
      <c r="I70" s="1784"/>
      <c r="J70" s="2706">
        <v>263077</v>
      </c>
      <c r="K70" s="1855">
        <f t="shared" si="15"/>
        <v>-0.38169999999999998</v>
      </c>
      <c r="L70" s="1855"/>
      <c r="M70" s="2706">
        <v>425506</v>
      </c>
      <c r="N70" s="1855">
        <f t="shared" si="16"/>
        <v>-6.8400000000000002E-2</v>
      </c>
      <c r="O70" s="2706">
        <v>456757</v>
      </c>
      <c r="P70" s="1855">
        <f t="shared" si="17"/>
        <v>-0.15329999999999999</v>
      </c>
      <c r="Q70" s="2706">
        <v>539468</v>
      </c>
      <c r="R70" s="1855">
        <f t="shared" si="18"/>
        <v>-2.0799999999999999E-2</v>
      </c>
      <c r="S70" s="2706">
        <v>550928</v>
      </c>
      <c r="T70" s="1855">
        <f t="shared" si="19"/>
        <v>0.41270000000000001</v>
      </c>
      <c r="U70" s="2706">
        <v>389994</v>
      </c>
      <c r="V70" s="1855">
        <f t="shared" si="20"/>
        <v>-0.53639999999999999</v>
      </c>
      <c r="W70" s="1855"/>
      <c r="X70" s="2706">
        <v>841243</v>
      </c>
      <c r="AR70" s="1845"/>
      <c r="AS70" s="1845"/>
      <c r="AT70" s="1845"/>
      <c r="AU70" s="1845"/>
      <c r="AV70" s="1845"/>
      <c r="AW70" s="1845"/>
      <c r="AX70" s="1845"/>
      <c r="AY70" s="1845"/>
      <c r="AZ70" s="1845"/>
      <c r="BA70" s="1845"/>
      <c r="BB70" s="1845"/>
      <c r="BC70" s="1845"/>
      <c r="BD70" s="1845"/>
      <c r="BE70" s="1845"/>
      <c r="BF70" s="1845"/>
      <c r="BG70" s="1845"/>
    </row>
    <row r="71" spans="1:59">
      <c r="A71" s="1793">
        <v>52</v>
      </c>
      <c r="C71" s="1784" t="s">
        <v>2634</v>
      </c>
      <c r="D71" s="2706">
        <v>-427291</v>
      </c>
      <c r="E71" s="2706">
        <v>-490185</v>
      </c>
      <c r="F71" s="1869"/>
      <c r="G71" s="1854">
        <v>-336252</v>
      </c>
      <c r="H71" s="1855">
        <f t="shared" si="14"/>
        <v>2.6700000000000002E-2</v>
      </c>
      <c r="I71" s="1784"/>
      <c r="J71" s="2706">
        <v>-345489</v>
      </c>
      <c r="K71" s="1855">
        <f t="shared" si="15"/>
        <v>-0.68030000000000002</v>
      </c>
      <c r="L71" s="1855"/>
      <c r="M71" s="2706">
        <v>-205612</v>
      </c>
      <c r="N71" s="1855">
        <f t="shared" si="16"/>
        <v>-1.0475000000000001</v>
      </c>
      <c r="O71" s="2706">
        <v>-100423</v>
      </c>
      <c r="P71" s="1855">
        <f t="shared" si="17"/>
        <v>-4.0109000000000004</v>
      </c>
      <c r="Q71" s="2706">
        <v>-20041</v>
      </c>
      <c r="R71" s="1855">
        <f t="shared" si="18"/>
        <v>-0.43319999999999997</v>
      </c>
      <c r="S71" s="2706">
        <v>-13983</v>
      </c>
      <c r="T71" s="1855">
        <f t="shared" si="19"/>
        <v>-0.49070000000000003</v>
      </c>
      <c r="U71" s="2706">
        <v>-9380</v>
      </c>
      <c r="V71" s="1855">
        <f t="shared" si="20"/>
        <v>-1.1946000000000001</v>
      </c>
      <c r="W71" s="1855"/>
      <c r="X71" s="2706">
        <v>48212</v>
      </c>
      <c r="AR71" s="1845"/>
      <c r="AS71" s="1845"/>
      <c r="AT71" s="1845"/>
      <c r="AU71" s="1845"/>
      <c r="AV71" s="1845"/>
      <c r="AW71" s="1845"/>
      <c r="AX71" s="1845"/>
      <c r="AY71" s="1845"/>
      <c r="AZ71" s="1845"/>
      <c r="BA71" s="1845"/>
      <c r="BB71" s="1845"/>
      <c r="BC71" s="1845"/>
      <c r="BD71" s="1845"/>
      <c r="BE71" s="1845"/>
      <c r="BF71" s="1845"/>
      <c r="BG71" s="1845"/>
    </row>
    <row r="72" spans="1:59">
      <c r="A72" s="1793">
        <v>53</v>
      </c>
      <c r="C72" s="1784" t="s">
        <v>1827</v>
      </c>
      <c r="D72" s="2711">
        <f>SUM(D65:D71)</f>
        <v>7690127</v>
      </c>
      <c r="E72" s="2711">
        <f>SUM(E65:E71)</f>
        <v>7028935</v>
      </c>
      <c r="F72" s="1869"/>
      <c r="G72" s="2711">
        <f>SUM(G65:G71)</f>
        <v>6943420</v>
      </c>
      <c r="H72" s="1855">
        <f t="shared" si="14"/>
        <v>0.16400000000000001</v>
      </c>
      <c r="I72" s="1784"/>
      <c r="J72" s="2711">
        <f>SUM(J65:J71)</f>
        <v>5965059</v>
      </c>
      <c r="K72" s="1855">
        <f t="shared" si="15"/>
        <v>0.1865</v>
      </c>
      <c r="L72" s="1855"/>
      <c r="M72" s="2711">
        <f>SUM(M65:M71)</f>
        <v>5027450</v>
      </c>
      <c r="N72" s="1855">
        <f t="shared" si="16"/>
        <v>1.1900000000000001E-2</v>
      </c>
      <c r="O72" s="2711">
        <f>SUM(O65:O71)</f>
        <v>4968227</v>
      </c>
      <c r="P72" s="1855">
        <f t="shared" si="17"/>
        <v>9.7100000000000006E-2</v>
      </c>
      <c r="Q72" s="2711">
        <f>SUM(Q65:Q71)</f>
        <v>4528304</v>
      </c>
      <c r="R72" s="1855">
        <f t="shared" si="18"/>
        <v>-0.1089</v>
      </c>
      <c r="S72" s="2711">
        <f>SUM(S65:S71)</f>
        <v>5081781</v>
      </c>
      <c r="T72" s="1855">
        <f t="shared" si="19"/>
        <v>2.2100000000000002E-2</v>
      </c>
      <c r="U72" s="2711">
        <f>SUM(U65:U71)</f>
        <v>4972110</v>
      </c>
      <c r="V72" s="1855">
        <f t="shared" si="20"/>
        <v>-9.5799999999999996E-2</v>
      </c>
      <c r="W72" s="1855"/>
      <c r="X72" s="2711">
        <f>SUM(X65:X71)</f>
        <v>5498616</v>
      </c>
    </row>
    <row r="73" spans="1:59" ht="13.8" thickBot="1">
      <c r="A73" s="1793">
        <v>54</v>
      </c>
      <c r="C73" s="1784" t="s">
        <v>2635</v>
      </c>
      <c r="D73" s="2713">
        <f>D41+D62-D72</f>
        <v>16632880</v>
      </c>
      <c r="E73" s="2713">
        <f>E41+E62-E72</f>
        <v>18274611</v>
      </c>
      <c r="F73" s="1869"/>
      <c r="G73" s="2713">
        <f ca="1">G41+G62-G72</f>
        <v>8346527</v>
      </c>
      <c r="H73" s="1855">
        <f t="shared" ca="1" si="14"/>
        <v>2.2599999999999999E-2</v>
      </c>
      <c r="I73" s="1784"/>
      <c r="J73" s="2713">
        <f>J41+J62-J72</f>
        <v>8162008</v>
      </c>
      <c r="K73" s="1855">
        <f t="shared" si="15"/>
        <v>7.2900000000000006E-2</v>
      </c>
      <c r="L73" s="1855"/>
      <c r="M73" s="2713">
        <f>M41+M62-M72</f>
        <v>7607709</v>
      </c>
      <c r="N73" s="1855">
        <f t="shared" si="16"/>
        <v>-0.12970000000000001</v>
      </c>
      <c r="O73" s="2713">
        <f>O41+O62-O72</f>
        <v>8741681</v>
      </c>
      <c r="P73" s="1855">
        <f t="shared" si="17"/>
        <v>-0.1278</v>
      </c>
      <c r="Q73" s="2713">
        <f>Q41+Q62-Q72</f>
        <v>10023054</v>
      </c>
      <c r="R73" s="1855">
        <f t="shared" si="18"/>
        <v>-1.46E-2</v>
      </c>
      <c r="S73" s="2713">
        <f>S41+S62-S72</f>
        <v>10171970</v>
      </c>
      <c r="T73" s="1855">
        <f t="shared" si="19"/>
        <v>-6.1899999999999997E-2</v>
      </c>
      <c r="U73" s="2713">
        <f>U41+U62-U72</f>
        <v>10842631</v>
      </c>
      <c r="V73" s="1855">
        <f t="shared" si="20"/>
        <v>2.766</v>
      </c>
      <c r="W73" s="1855"/>
      <c r="X73" s="2713">
        <f>X41+X62-X72</f>
        <v>-6139746</v>
      </c>
    </row>
    <row r="74" spans="1:59" ht="13.8" thickTop="1">
      <c r="D74" s="1854"/>
      <c r="E74" s="1854"/>
      <c r="F74" s="1869"/>
      <c r="G74" s="1854"/>
      <c r="J74" s="1854"/>
      <c r="K74" s="2714"/>
      <c r="L74" s="2714"/>
      <c r="M74" s="1854"/>
      <c r="N74" s="2714"/>
      <c r="O74" s="1854"/>
      <c r="P74" s="2714"/>
      <c r="Q74" s="1854"/>
      <c r="R74" s="2714"/>
      <c r="S74" s="1854"/>
      <c r="T74" s="2714"/>
      <c r="U74" s="1854"/>
      <c r="V74" s="2714"/>
      <c r="W74" s="2714"/>
      <c r="X74" s="1854"/>
    </row>
    <row r="75" spans="1:59">
      <c r="A75" s="1794">
        <v>55</v>
      </c>
      <c r="C75" s="3507" t="s">
        <v>2637</v>
      </c>
      <c r="D75" s="1854">
        <f>SCH_I4!D30</f>
        <v>13222403</v>
      </c>
      <c r="E75" s="1854">
        <f>SCH_I4!E30</f>
        <v>13139411</v>
      </c>
      <c r="F75" s="1869"/>
      <c r="G75" s="1854">
        <f>SCH_I4!G30</f>
        <v>13148361.419999994</v>
      </c>
      <c r="J75" s="1854">
        <f>SCH_I4!I30</f>
        <v>13892110</v>
      </c>
      <c r="K75" s="2714"/>
      <c r="L75" s="2714"/>
      <c r="M75" s="1854">
        <f>SCH_I4!K30</f>
        <v>12037889</v>
      </c>
      <c r="N75" s="2714"/>
      <c r="O75" s="1854">
        <f>SCH_I4!L30</f>
        <v>11941728</v>
      </c>
      <c r="P75" s="2714"/>
      <c r="Q75" s="1854">
        <f>SCH_I4!M30</f>
        <v>13203617</v>
      </c>
      <c r="R75" s="2714"/>
      <c r="S75" s="1854">
        <f>SCH_I4!N30</f>
        <v>14855099</v>
      </c>
      <c r="T75" s="2714"/>
      <c r="U75" s="1854">
        <f>SCH_I4!O30</f>
        <v>13722019</v>
      </c>
      <c r="V75" s="2714"/>
      <c r="W75" s="2714"/>
      <c r="X75" s="1854"/>
    </row>
    <row r="76" spans="1:59">
      <c r="A76" s="1794">
        <v>56</v>
      </c>
      <c r="C76" s="1785" t="s">
        <v>2639</v>
      </c>
      <c r="D76" s="2715">
        <f t="shared" ref="D76:E76" si="21">D73/D75</f>
        <v>1.2579317087824353</v>
      </c>
      <c r="E76" s="2715">
        <f t="shared" si="21"/>
        <v>1.3908242157886681</v>
      </c>
      <c r="F76" s="1869"/>
      <c r="G76" s="2715">
        <f ca="1">G73/G75</f>
        <v>0.63479598205325294</v>
      </c>
      <c r="J76" s="2715">
        <f>J73/J75</f>
        <v>0.58752831643285286</v>
      </c>
      <c r="K76" s="2714"/>
      <c r="L76" s="2714"/>
      <c r="M76" s="2715">
        <f>M73/M75</f>
        <v>0.63198032478950417</v>
      </c>
      <c r="N76" s="2714"/>
      <c r="O76" s="2715">
        <f>O73/O75</f>
        <v>0.73202814534043981</v>
      </c>
      <c r="P76" s="2714"/>
      <c r="Q76" s="2715">
        <f>Q73/Q75</f>
        <v>0.75911426391722814</v>
      </c>
      <c r="R76" s="2714"/>
      <c r="S76" s="2715">
        <f>S73/S75</f>
        <v>0.68474602559027042</v>
      </c>
      <c r="T76" s="1594"/>
      <c r="U76" s="2715">
        <f>U73/U75</f>
        <v>0.79016294905290541</v>
      </c>
      <c r="V76" s="2714"/>
      <c r="W76" s="2714"/>
      <c r="X76" s="1854"/>
    </row>
  </sheetData>
  <printOptions horizontalCentered="1"/>
  <pageMargins left="0.25" right="0.75" top="1" bottom="0" header="0" footer="0"/>
  <pageSetup scale="40" orientation="landscape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2">
    <tabColor rgb="FF00B050"/>
    <pageSetUpPr fitToPage="1"/>
  </sheetPr>
  <dimension ref="A1:U316"/>
  <sheetViews>
    <sheetView zoomScale="75" workbookViewId="0"/>
  </sheetViews>
  <sheetFormatPr defaultColWidth="6.88671875" defaultRowHeight="15"/>
  <cols>
    <col min="1" max="1" width="6.88671875" style="572" customWidth="1"/>
    <col min="2" max="2" width="34" style="572" customWidth="1"/>
    <col min="3" max="3" width="1.6640625" style="572" customWidth="1"/>
    <col min="4" max="5" width="15.5546875" style="572" customWidth="1"/>
    <col min="6" max="6" width="2.6640625" style="572" customWidth="1"/>
    <col min="7" max="7" width="18.109375" style="572" customWidth="1"/>
    <col min="8" max="8" width="2.6640625" style="572" customWidth="1"/>
    <col min="9" max="9" width="15.5546875" style="572" customWidth="1"/>
    <col min="10" max="13" width="14.6640625" style="572" customWidth="1"/>
    <col min="14" max="14" width="14.44140625" style="572" customWidth="1"/>
    <col min="15" max="15" width="1.109375" style="572" customWidth="1"/>
    <col min="16" max="16" width="12" style="572" customWidth="1"/>
    <col min="17" max="17" width="13.88671875" style="572" customWidth="1"/>
    <col min="18" max="18" width="14.33203125" style="572" customWidth="1"/>
    <col min="19" max="19" width="14" style="572" customWidth="1"/>
    <col min="20" max="20" width="13.44140625" style="572" customWidth="1"/>
    <col min="21" max="21" width="14.109375" style="572" customWidth="1"/>
    <col min="22" max="16384" width="6.88671875" style="572"/>
  </cols>
  <sheetData>
    <row r="1" spans="1:21">
      <c r="A1" s="997" t="str">
        <f>COMPANY</f>
        <v>DUKE ENERGY KENTUCKY, INC.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948"/>
      <c r="P1" s="573"/>
    </row>
    <row r="2" spans="1:21">
      <c r="A2" s="1536" t="str">
        <f>CASE</f>
        <v>CASE NO. 2018-00261</v>
      </c>
      <c r="B2" s="571"/>
      <c r="C2" s="571"/>
      <c r="D2" s="571"/>
      <c r="E2" s="571"/>
      <c r="F2" s="571"/>
      <c r="G2" s="571"/>
      <c r="H2" s="571"/>
      <c r="I2" s="571"/>
      <c r="J2" s="571"/>
      <c r="K2" s="571"/>
      <c r="L2" s="571"/>
      <c r="M2" s="571"/>
      <c r="N2" s="571"/>
      <c r="O2" s="948"/>
      <c r="P2" s="573"/>
      <c r="T2" s="573"/>
    </row>
    <row r="3" spans="1:21">
      <c r="A3" s="997" t="s">
        <v>407</v>
      </c>
      <c r="B3" s="571"/>
      <c r="C3" s="571"/>
      <c r="D3" s="571"/>
      <c r="E3" s="571"/>
      <c r="F3" s="571"/>
      <c r="G3" s="571"/>
      <c r="H3" s="571"/>
      <c r="I3" s="571"/>
      <c r="J3" s="571"/>
      <c r="K3" s="571"/>
      <c r="L3" s="571"/>
      <c r="M3" s="571"/>
      <c r="N3" s="571"/>
      <c r="O3" s="948"/>
      <c r="P3" s="573"/>
    </row>
    <row r="4" spans="1:21">
      <c r="A4" s="570" t="str">
        <f>PERIOD</f>
        <v>FOR THE TWELVE MONTHS ENDED NOVEMBER 30, 2018</v>
      </c>
      <c r="B4" s="571"/>
      <c r="C4" s="571"/>
      <c r="D4" s="571"/>
      <c r="E4" s="571"/>
      <c r="F4" s="571"/>
      <c r="G4" s="571"/>
      <c r="H4" s="571"/>
      <c r="I4" s="571"/>
      <c r="J4" s="571"/>
      <c r="K4" s="571"/>
      <c r="L4" s="571"/>
      <c r="M4" s="571"/>
      <c r="N4" s="571"/>
      <c r="O4" s="948"/>
      <c r="P4" s="573"/>
    </row>
    <row r="5" spans="1:21">
      <c r="A5" s="570" t="str">
        <f>PeriodF</f>
        <v>FOR THE TWELVE MONTHS ENDED MARCH 31, 2020</v>
      </c>
      <c r="B5" s="571"/>
      <c r="C5" s="571"/>
      <c r="D5" s="571"/>
      <c r="E5" s="571"/>
      <c r="F5" s="571"/>
      <c r="G5" s="571"/>
      <c r="H5" s="571"/>
      <c r="I5" s="571"/>
      <c r="J5" s="571"/>
      <c r="K5" s="571"/>
      <c r="L5" s="571"/>
      <c r="M5" s="571"/>
      <c r="N5" s="571"/>
      <c r="O5" s="948"/>
      <c r="P5" s="573"/>
    </row>
    <row r="6" spans="1:21">
      <c r="N6" s="571"/>
      <c r="O6" s="948"/>
    </row>
    <row r="7" spans="1:21">
      <c r="A7" s="1537"/>
      <c r="M7" s="573" t="s">
        <v>408</v>
      </c>
      <c r="O7" s="948"/>
      <c r="P7" s="573"/>
      <c r="S7" s="1538"/>
      <c r="T7" s="1538"/>
      <c r="U7" s="1538"/>
    </row>
    <row r="8" spans="1:21">
      <c r="A8" s="1537"/>
      <c r="M8" s="573" t="s">
        <v>564</v>
      </c>
      <c r="O8" s="948"/>
      <c r="P8" s="573"/>
      <c r="S8" s="1538"/>
      <c r="T8" s="1538"/>
      <c r="U8" s="1538"/>
    </row>
    <row r="9" spans="1:21">
      <c r="A9" s="572" t="str">
        <f>DataB</f>
        <v>DATA: "X" BASE PERIOD  "X" FORECASTED PERIOD</v>
      </c>
      <c r="M9" s="1259" t="s">
        <v>566</v>
      </c>
      <c r="O9" s="948"/>
      <c r="P9" s="573"/>
      <c r="Q9" s="1538"/>
      <c r="R9" s="1538"/>
      <c r="S9" s="1538"/>
      <c r="T9" s="1538"/>
      <c r="U9" s="1538"/>
    </row>
    <row r="10" spans="1:21">
      <c r="A10" s="1259" t="str">
        <f>LOGO!B15</f>
        <v xml:space="preserve">TYPE OF FILING:  "X" ORIGINAL   UPDATED    REVISED  </v>
      </c>
      <c r="M10" s="572" t="str">
        <f>_WIT9</f>
        <v>R. H. PRATT</v>
      </c>
      <c r="O10" s="948"/>
      <c r="P10" s="573"/>
      <c r="Q10" s="1538"/>
      <c r="R10" s="1538"/>
      <c r="S10" s="1538"/>
      <c r="T10" s="1538"/>
      <c r="U10" s="1538"/>
    </row>
    <row r="11" spans="1:21">
      <c r="A11" s="573" t="s">
        <v>129</v>
      </c>
      <c r="M11" s="1539"/>
      <c r="N11" s="571"/>
      <c r="O11" s="948"/>
      <c r="P11" s="573"/>
      <c r="Q11" s="1538"/>
      <c r="R11" s="1538"/>
      <c r="S11" s="1538"/>
      <c r="T11" s="1538"/>
      <c r="U11" s="1538"/>
    </row>
    <row r="12" spans="1:21">
      <c r="A12" s="1540"/>
      <c r="B12" s="1541"/>
      <c r="C12" s="1541"/>
      <c r="D12" s="1541"/>
      <c r="E12" s="1541"/>
      <c r="F12" s="1541"/>
      <c r="G12" s="1541"/>
      <c r="H12" s="1541"/>
      <c r="I12" s="1541"/>
      <c r="J12" s="1541"/>
      <c r="K12" s="1541"/>
      <c r="L12" s="1541"/>
      <c r="M12" s="1542"/>
      <c r="N12" s="946"/>
      <c r="O12" s="948"/>
      <c r="P12" s="573"/>
      <c r="Q12" s="1538"/>
      <c r="R12" s="1538"/>
      <c r="S12" s="1538"/>
      <c r="T12" s="1538"/>
      <c r="U12" s="1538"/>
    </row>
    <row r="13" spans="1:21">
      <c r="A13" s="1538"/>
      <c r="D13" s="571" t="s">
        <v>409</v>
      </c>
      <c r="E13" s="571"/>
      <c r="O13" s="948"/>
      <c r="P13" s="948"/>
      <c r="Q13" s="948"/>
      <c r="R13" s="948"/>
      <c r="S13" s="948"/>
      <c r="T13" s="948"/>
      <c r="U13" s="948"/>
    </row>
    <row r="14" spans="1:21">
      <c r="A14" s="1538" t="s">
        <v>567</v>
      </c>
      <c r="D14" s="1129" t="s">
        <v>1806</v>
      </c>
      <c r="E14" s="1543"/>
      <c r="G14" s="962" t="s">
        <v>1127</v>
      </c>
      <c r="I14" s="962" t="s">
        <v>740</v>
      </c>
      <c r="J14" s="947" t="s">
        <v>1805</v>
      </c>
      <c r="K14" s="947"/>
      <c r="L14" s="947"/>
      <c r="M14" s="947"/>
      <c r="N14" s="947"/>
      <c r="O14" s="948"/>
      <c r="P14" s="1544"/>
      <c r="Q14" s="1544"/>
      <c r="R14" s="1544"/>
      <c r="S14" s="1544"/>
      <c r="T14" s="1544"/>
      <c r="U14" s="1544"/>
    </row>
    <row r="15" spans="1:21">
      <c r="A15" s="1545" t="s">
        <v>766</v>
      </c>
      <c r="B15" s="1540" t="s">
        <v>741</v>
      </c>
      <c r="C15" s="1540"/>
      <c r="D15" s="407">
        <f>'SCH_I1 - Total Co.'!E14</f>
        <v>2021</v>
      </c>
      <c r="E15" s="407">
        <f>'SCH_I1 - Total Co.'!F14</f>
        <v>2020</v>
      </c>
      <c r="F15" s="1563"/>
      <c r="G15" s="465" t="s">
        <v>743</v>
      </c>
      <c r="H15" s="1563"/>
      <c r="I15" s="465" t="s">
        <v>743</v>
      </c>
      <c r="J15" s="407">
        <f>'SCH_I1 - Total Co.'!N14</f>
        <v>2017</v>
      </c>
      <c r="K15" s="407">
        <f>$J$15-1</f>
        <v>2016</v>
      </c>
      <c r="L15" s="407">
        <f>$J$15-2</f>
        <v>2015</v>
      </c>
      <c r="M15" s="407">
        <f>$J$15-3</f>
        <v>2014</v>
      </c>
      <c r="N15" s="407">
        <f>$J$15-4</f>
        <v>2013</v>
      </c>
      <c r="O15" s="948"/>
      <c r="P15" s="1544"/>
      <c r="Q15" s="1544"/>
      <c r="R15" s="1544"/>
      <c r="S15" s="1544"/>
      <c r="T15" s="1544"/>
      <c r="U15" s="1544"/>
    </row>
    <row r="16" spans="1:21">
      <c r="A16" s="1538">
        <v>1</v>
      </c>
      <c r="B16" s="573" t="s">
        <v>1807</v>
      </c>
      <c r="C16" s="573"/>
      <c r="D16" s="948"/>
      <c r="F16" s="573"/>
      <c r="G16" s="948"/>
      <c r="H16" s="573"/>
      <c r="I16" s="948"/>
      <c r="J16" s="948"/>
      <c r="K16" s="948"/>
      <c r="L16" s="948"/>
      <c r="M16" s="948"/>
      <c r="N16" s="948"/>
      <c r="O16" s="948"/>
      <c r="P16" s="1544"/>
      <c r="Q16" s="1544"/>
      <c r="R16" s="1544"/>
      <c r="S16" s="1544"/>
      <c r="T16" s="1544"/>
      <c r="U16" s="1544"/>
    </row>
    <row r="17" spans="1:21" ht="15.6">
      <c r="A17" s="1538">
        <v>2</v>
      </c>
      <c r="B17" s="1546" t="s">
        <v>1808</v>
      </c>
      <c r="C17" s="1546"/>
      <c r="F17" s="1546"/>
      <c r="H17" s="1546"/>
      <c r="I17" s="1256"/>
      <c r="N17" s="949"/>
      <c r="P17" s="1544"/>
      <c r="Q17" s="1544"/>
      <c r="R17" s="3520"/>
      <c r="S17" s="1544"/>
      <c r="T17" s="1544"/>
      <c r="U17" s="1544"/>
    </row>
    <row r="18" spans="1:21">
      <c r="A18" s="1538">
        <v>3</v>
      </c>
      <c r="B18" s="573" t="s">
        <v>1809</v>
      </c>
      <c r="C18" s="573"/>
      <c r="F18" s="573"/>
      <c r="H18" s="573"/>
      <c r="I18" s="1256"/>
      <c r="P18" s="1544"/>
      <c r="Q18" s="1544"/>
      <c r="R18" s="1544"/>
      <c r="S18" s="1544"/>
      <c r="T18" s="1544"/>
      <c r="U18" s="1544"/>
    </row>
    <row r="19" spans="1:21">
      <c r="A19" s="1538">
        <v>4</v>
      </c>
      <c r="B19" s="573" t="s">
        <v>1810</v>
      </c>
      <c r="C19" s="573"/>
      <c r="D19" s="3546">
        <v>63308148</v>
      </c>
      <c r="E19" s="3546">
        <v>63250929</v>
      </c>
      <c r="F19" s="573"/>
      <c r="G19" s="719">
        <f>ROUND('SCH_C2.1 - Forecasted Period'!J19,0)</f>
        <v>62113657</v>
      </c>
      <c r="H19" s="573"/>
      <c r="I19" s="719">
        <f>'SCH_C2.1 - Base Period'!J19</f>
        <v>67338429</v>
      </c>
      <c r="J19" s="3546">
        <v>61825680</v>
      </c>
      <c r="K19" s="3546">
        <v>62214654</v>
      </c>
      <c r="L19" s="3546">
        <v>69532324</v>
      </c>
      <c r="M19" s="3546">
        <v>79784994</v>
      </c>
      <c r="N19" s="3546">
        <v>66991067</v>
      </c>
      <c r="O19" s="718"/>
      <c r="P19" s="1544"/>
      <c r="Q19" s="1544"/>
      <c r="R19" s="1544"/>
      <c r="S19" s="1544"/>
      <c r="T19" s="1544"/>
      <c r="U19" s="1544"/>
    </row>
    <row r="20" spans="1:21">
      <c r="A20" s="1538">
        <v>5</v>
      </c>
      <c r="B20" s="573" t="s">
        <v>1811</v>
      </c>
      <c r="C20" s="573"/>
      <c r="D20" s="3546">
        <v>21161070</v>
      </c>
      <c r="E20" s="3546">
        <v>21593121</v>
      </c>
      <c r="F20" s="573"/>
      <c r="G20" s="719">
        <f>ROUND('SCH_C2.1 - Forecasted Period'!J21,0)</f>
        <v>21456292</v>
      </c>
      <c r="H20" s="573"/>
      <c r="I20" s="719">
        <f>'SCH_C2.1 - Base Period'!J21</f>
        <v>25288754</v>
      </c>
      <c r="J20" s="3546">
        <v>21472263</v>
      </c>
      <c r="K20" s="3546">
        <v>20343213</v>
      </c>
      <c r="L20" s="3546">
        <v>23562493</v>
      </c>
      <c r="M20" s="3546">
        <v>30142293</v>
      </c>
      <c r="N20" s="3546">
        <v>24283557</v>
      </c>
      <c r="O20" s="718"/>
      <c r="P20" s="1544"/>
      <c r="Q20" s="1544"/>
      <c r="R20" s="1544"/>
      <c r="S20" s="1544"/>
      <c r="T20" s="1544"/>
      <c r="U20" s="1544"/>
    </row>
    <row r="21" spans="1:21">
      <c r="A21" s="1538">
        <v>6</v>
      </c>
      <c r="B21" s="573" t="s">
        <v>1812</v>
      </c>
      <c r="C21" s="573"/>
      <c r="D21" s="3546">
        <v>982110</v>
      </c>
      <c r="E21" s="3546">
        <v>1057077</v>
      </c>
      <c r="F21" s="573"/>
      <c r="G21" s="719">
        <f>ROUND('SCH_C2.1 - Forecasted Period'!J23,0)</f>
        <v>1155283</v>
      </c>
      <c r="H21" s="573"/>
      <c r="I21" s="719">
        <f>'SCH_C2.1 - Base Period'!J23</f>
        <v>1653956</v>
      </c>
      <c r="J21" s="3546">
        <v>1584623</v>
      </c>
      <c r="K21" s="3546">
        <v>1346659</v>
      </c>
      <c r="L21" s="3546">
        <v>1943337</v>
      </c>
      <c r="M21" s="3546">
        <v>2317118</v>
      </c>
      <c r="N21" s="3546">
        <v>1954729</v>
      </c>
      <c r="O21" s="718"/>
      <c r="P21" s="1544"/>
      <c r="Q21" s="1544"/>
      <c r="R21" s="1544"/>
      <c r="S21" s="1544"/>
      <c r="T21" s="1544"/>
      <c r="U21" s="1544"/>
    </row>
    <row r="22" spans="1:21">
      <c r="A22" s="1538">
        <v>7</v>
      </c>
      <c r="B22" s="573" t="s">
        <v>1813</v>
      </c>
      <c r="C22" s="573"/>
      <c r="D22" s="3548">
        <v>2233921</v>
      </c>
      <c r="E22" s="3548">
        <v>2241050</v>
      </c>
      <c r="F22" s="573"/>
      <c r="G22" s="1254">
        <f>ROUND(('SCH_C2.1 - Forecasted Period'!J25+'SCH_C2.1 - Forecasted Period'!J26+'SCH_C2.1 - Forecasted Period'!J28),0)</f>
        <v>2236248</v>
      </c>
      <c r="H22" s="573"/>
      <c r="I22" s="1254">
        <f>'SCH_C2.1 - Base Period'!J25+'SCH_C2.1 - Base Period'!J26+'SCH_C2.1 - Base Period'!J28</f>
        <v>2466239</v>
      </c>
      <c r="J22" s="3548">
        <v>2328378</v>
      </c>
      <c r="K22" s="3548">
        <v>2145080</v>
      </c>
      <c r="L22" s="3548">
        <v>2564071</v>
      </c>
      <c r="M22" s="3548">
        <v>3348679</v>
      </c>
      <c r="N22" s="3548">
        <v>2681829</v>
      </c>
      <c r="O22" s="1547"/>
      <c r="P22" s="1544"/>
      <c r="Q22" s="1544"/>
      <c r="R22" s="1544"/>
      <c r="S22" s="1544"/>
      <c r="T22" s="1544"/>
      <c r="U22" s="1544"/>
    </row>
    <row r="23" spans="1:21">
      <c r="A23" s="1538">
        <v>8</v>
      </c>
      <c r="B23" s="573" t="s">
        <v>1814</v>
      </c>
      <c r="C23" s="573"/>
      <c r="D23" s="1254">
        <f>SUM(D19:D22)</f>
        <v>87685249</v>
      </c>
      <c r="E23" s="1254">
        <f>SUM(E19:E22)</f>
        <v>88142177</v>
      </c>
      <c r="F23" s="573"/>
      <c r="G23" s="1254">
        <f>SUM(G19:G22)</f>
        <v>86961480</v>
      </c>
      <c r="H23" s="573"/>
      <c r="I23" s="1254">
        <f t="shared" ref="I23:N23" si="0">SUM(I19:I22)</f>
        <v>96747378</v>
      </c>
      <c r="J23" s="1254">
        <f t="shared" si="0"/>
        <v>87210944</v>
      </c>
      <c r="K23" s="1254">
        <f t="shared" si="0"/>
        <v>86049606</v>
      </c>
      <c r="L23" s="1254">
        <f t="shared" si="0"/>
        <v>97602225</v>
      </c>
      <c r="M23" s="1254">
        <f t="shared" si="0"/>
        <v>115593084</v>
      </c>
      <c r="N23" s="1254">
        <f t="shared" si="0"/>
        <v>95911182</v>
      </c>
      <c r="O23" s="1254"/>
      <c r="P23" s="1544"/>
      <c r="Q23" s="1544"/>
      <c r="R23" s="1544"/>
      <c r="S23" s="1544"/>
      <c r="T23" s="1544"/>
      <c r="U23" s="1544"/>
    </row>
    <row r="24" spans="1:21">
      <c r="A24" s="1538">
        <v>9</v>
      </c>
      <c r="B24" s="573" t="s">
        <v>1885</v>
      </c>
      <c r="C24" s="573"/>
      <c r="D24" s="1255"/>
      <c r="E24" s="1255"/>
      <c r="F24" s="573"/>
      <c r="G24" s="1255"/>
      <c r="H24" s="573"/>
      <c r="I24" s="1255"/>
      <c r="J24" s="1255"/>
      <c r="K24" s="1255"/>
      <c r="L24" s="1255"/>
      <c r="M24" s="1255"/>
      <c r="N24" s="1255"/>
      <c r="O24" s="1255"/>
      <c r="P24" s="1544"/>
      <c r="Q24" s="1544"/>
      <c r="R24" s="1544"/>
      <c r="S24" s="1544"/>
      <c r="T24" s="1544"/>
      <c r="U24" s="1544"/>
    </row>
    <row r="25" spans="1:21">
      <c r="A25" s="1538">
        <v>10</v>
      </c>
      <c r="B25" s="573" t="s">
        <v>1811</v>
      </c>
      <c r="C25" s="573"/>
      <c r="D25" s="3546">
        <v>1708020</v>
      </c>
      <c r="E25" s="3546">
        <v>1644770</v>
      </c>
      <c r="F25" s="573"/>
      <c r="G25" s="719">
        <f>ROUND('SCH_C2.1 - Forecasted Period'!J52,0)</f>
        <v>1558548</v>
      </c>
      <c r="H25" s="573"/>
      <c r="I25" s="719">
        <f>'SCH_C2.1 - Base Period'!J52</f>
        <v>1310216</v>
      </c>
      <c r="J25" s="3546">
        <v>1029849</v>
      </c>
      <c r="K25" s="3546">
        <v>1083520</v>
      </c>
      <c r="L25" s="3546">
        <v>840391</v>
      </c>
      <c r="M25" s="3546">
        <v>912251</v>
      </c>
      <c r="N25" s="3546">
        <v>819197</v>
      </c>
      <c r="O25" s="718"/>
      <c r="P25" s="1544"/>
      <c r="Q25" s="1544"/>
      <c r="R25" s="1544"/>
      <c r="S25" s="1544"/>
      <c r="T25" s="1544"/>
      <c r="U25" s="1544"/>
    </row>
    <row r="26" spans="1:21">
      <c r="A26" s="1538">
        <v>11</v>
      </c>
      <c r="B26" s="573" t="s">
        <v>1812</v>
      </c>
      <c r="C26" s="573"/>
      <c r="D26" s="3546">
        <v>3399193</v>
      </c>
      <c r="E26" s="3546">
        <v>3314915</v>
      </c>
      <c r="F26" s="573"/>
      <c r="G26" s="1260">
        <f>ROUND('SCH_C2.1 - Forecasted Period'!J54,0)</f>
        <v>3238910</v>
      </c>
      <c r="H26" s="573"/>
      <c r="I26" s="1260">
        <f>'SCH_C2.1 - Base Period'!J54</f>
        <v>2961469</v>
      </c>
      <c r="J26" s="3546">
        <v>2871199</v>
      </c>
      <c r="K26" s="3546">
        <v>2920394</v>
      </c>
      <c r="L26" s="3546">
        <v>3042762</v>
      </c>
      <c r="M26" s="3546">
        <v>2926678</v>
      </c>
      <c r="N26" s="3546">
        <v>2567632</v>
      </c>
      <c r="O26" s="718"/>
      <c r="P26" s="1544"/>
      <c r="Q26" s="1544"/>
      <c r="R26" s="1544"/>
      <c r="S26" s="1544"/>
      <c r="T26" s="1544"/>
      <c r="U26" s="1544"/>
    </row>
    <row r="27" spans="1:21">
      <c r="A27" s="1538">
        <v>12</v>
      </c>
      <c r="B27" s="573" t="s">
        <v>1813</v>
      </c>
      <c r="C27" s="573"/>
      <c r="D27" s="3546">
        <v>414309</v>
      </c>
      <c r="E27" s="3546">
        <v>408237</v>
      </c>
      <c r="F27" s="573"/>
      <c r="G27" s="1260">
        <f>ROUND('SCH_C2.1 - Forecasted Period'!J56,0)</f>
        <v>385736</v>
      </c>
      <c r="H27" s="573"/>
      <c r="I27" s="1260">
        <f>'SCH_C2.1 - Base Period'!J56</f>
        <v>360956</v>
      </c>
      <c r="J27" s="3546">
        <v>880183</v>
      </c>
      <c r="K27" s="3546">
        <v>903685</v>
      </c>
      <c r="L27" s="3546">
        <v>938838</v>
      </c>
      <c r="M27" s="3546">
        <v>1056469</v>
      </c>
      <c r="N27" s="3546">
        <v>1011707</v>
      </c>
      <c r="O27" s="718"/>
      <c r="P27" s="1544"/>
      <c r="Q27" s="1544"/>
      <c r="R27" s="1544"/>
      <c r="S27" s="1544"/>
      <c r="T27" s="1544"/>
      <c r="U27" s="1544"/>
    </row>
    <row r="28" spans="1:21">
      <c r="A28" s="1538">
        <v>13</v>
      </c>
      <c r="B28" s="573" t="s">
        <v>304</v>
      </c>
      <c r="C28" s="573"/>
      <c r="D28" s="3548">
        <v>1405449</v>
      </c>
      <c r="E28" s="3548">
        <v>1405022</v>
      </c>
      <c r="F28" s="573"/>
      <c r="G28" s="1261">
        <f>ROUND('SCH_C2.1 - Forecasted Period'!J50+'SCH_C2.1 - Forecasted Period'!J51,0)</f>
        <v>1404958</v>
      </c>
      <c r="H28" s="573"/>
      <c r="I28" s="1261">
        <f>'SCH_C2.1 - Base Period'!J50+'SCH_C2.1 - Base Period'!J51</f>
        <v>1761715</v>
      </c>
      <c r="J28" s="3548">
        <v>1570337</v>
      </c>
      <c r="K28" s="3548">
        <v>1499024</v>
      </c>
      <c r="L28" s="3548">
        <v>1383058</v>
      </c>
      <c r="M28" s="3548">
        <v>1355837</v>
      </c>
      <c r="N28" s="3548">
        <v>1540464</v>
      </c>
      <c r="O28" s="1547"/>
      <c r="P28" s="1544"/>
      <c r="Q28" s="1544"/>
      <c r="R28" s="1544"/>
      <c r="S28" s="1544"/>
      <c r="T28" s="1544"/>
      <c r="U28" s="1544"/>
    </row>
    <row r="29" spans="1:21">
      <c r="A29" s="1538">
        <v>14</v>
      </c>
      <c r="B29" s="573" t="s">
        <v>1886</v>
      </c>
      <c r="C29" s="573"/>
      <c r="D29" s="1254">
        <f>SUM(D25:D28)</f>
        <v>6926971</v>
      </c>
      <c r="E29" s="1254">
        <f>SUM(E25:E28)</f>
        <v>6772944</v>
      </c>
      <c r="F29" s="573"/>
      <c r="G29" s="1254">
        <f>SUM(G25:G28)</f>
        <v>6588152</v>
      </c>
      <c r="H29" s="573"/>
      <c r="I29" s="1254">
        <f t="shared" ref="I29:N29" si="1">SUM(I25:I28)</f>
        <v>6394356</v>
      </c>
      <c r="J29" s="1254">
        <f t="shared" si="1"/>
        <v>6351568</v>
      </c>
      <c r="K29" s="1254">
        <f t="shared" si="1"/>
        <v>6406623</v>
      </c>
      <c r="L29" s="1254">
        <f t="shared" si="1"/>
        <v>6205049</v>
      </c>
      <c r="M29" s="1254">
        <f t="shared" si="1"/>
        <v>6251235</v>
      </c>
      <c r="N29" s="1254">
        <f t="shared" si="1"/>
        <v>5939000</v>
      </c>
      <c r="O29" s="1254"/>
      <c r="P29" s="1544"/>
      <c r="Q29" s="1544"/>
      <c r="R29" s="1544"/>
      <c r="S29" s="1544"/>
      <c r="T29" s="1544"/>
      <c r="U29" s="1544"/>
    </row>
    <row r="30" spans="1:21">
      <c r="A30" s="1538">
        <v>15</v>
      </c>
      <c r="B30" s="573" t="s">
        <v>1887</v>
      </c>
      <c r="C30" s="573"/>
      <c r="D30" s="1255">
        <f>D23+D29</f>
        <v>94612220</v>
      </c>
      <c r="E30" s="1255">
        <f>E23+E29</f>
        <v>94915121</v>
      </c>
      <c r="F30" s="573"/>
      <c r="G30" s="1255">
        <f>G23+G29</f>
        <v>93549632</v>
      </c>
      <c r="H30" s="573"/>
      <c r="I30" s="1255">
        <f t="shared" ref="I30:N30" si="2">I23+I29</f>
        <v>103141734</v>
      </c>
      <c r="J30" s="1255">
        <f t="shared" si="2"/>
        <v>93562512</v>
      </c>
      <c r="K30" s="1255">
        <f t="shared" si="2"/>
        <v>92456229</v>
      </c>
      <c r="L30" s="1255">
        <f t="shared" si="2"/>
        <v>103807274</v>
      </c>
      <c r="M30" s="1255">
        <f t="shared" si="2"/>
        <v>121844319</v>
      </c>
      <c r="N30" s="1255">
        <f t="shared" si="2"/>
        <v>101850182</v>
      </c>
      <c r="O30" s="1255"/>
      <c r="P30" s="1544"/>
      <c r="Q30" s="1544"/>
      <c r="R30" s="1544"/>
      <c r="S30" s="1544"/>
      <c r="T30" s="1544"/>
      <c r="U30" s="1544"/>
    </row>
    <row r="31" spans="1:21">
      <c r="A31" s="1538">
        <v>16</v>
      </c>
      <c r="B31" s="573"/>
      <c r="C31" s="573"/>
      <c r="D31" s="1255"/>
      <c r="E31" s="1255"/>
      <c r="F31" s="573"/>
      <c r="G31" s="1255"/>
      <c r="H31" s="573"/>
      <c r="I31" s="1255"/>
      <c r="J31" s="1255"/>
      <c r="K31" s="1255"/>
      <c r="L31" s="1255"/>
      <c r="M31" s="1255"/>
      <c r="N31" s="1255"/>
      <c r="O31" s="1255"/>
      <c r="P31" s="1544"/>
      <c r="Q31" s="1544"/>
      <c r="R31" s="1544"/>
      <c r="S31" s="1544"/>
      <c r="T31" s="1544"/>
      <c r="U31" s="1544"/>
    </row>
    <row r="32" spans="1:21">
      <c r="A32" s="1538">
        <v>17</v>
      </c>
      <c r="B32" s="573" t="s">
        <v>1071</v>
      </c>
      <c r="C32" s="573"/>
      <c r="D32" s="1256"/>
      <c r="E32" s="1256"/>
      <c r="F32" s="573"/>
      <c r="G32" s="1256"/>
      <c r="H32" s="573"/>
      <c r="I32" s="1256"/>
      <c r="J32" s="1256"/>
      <c r="K32" s="1256"/>
      <c r="L32" s="1256"/>
      <c r="M32" s="1256"/>
      <c r="N32" s="1256"/>
      <c r="O32" s="1256"/>
      <c r="P32" s="1544"/>
      <c r="Q32" s="1544"/>
      <c r="R32" s="1544"/>
      <c r="S32" s="1544"/>
      <c r="T32" s="1544"/>
      <c r="U32" s="1544"/>
    </row>
    <row r="33" spans="1:21">
      <c r="A33" s="1538">
        <v>18</v>
      </c>
      <c r="B33" s="1546" t="s">
        <v>1072</v>
      </c>
      <c r="C33" s="1546"/>
      <c r="D33" s="1256"/>
      <c r="E33" s="1256"/>
      <c r="F33" s="1546"/>
      <c r="G33" s="1256"/>
      <c r="H33" s="1546"/>
      <c r="I33" s="1256"/>
      <c r="J33" s="1256"/>
      <c r="K33" s="1256"/>
      <c r="L33" s="1256"/>
      <c r="M33" s="1256"/>
      <c r="N33" s="1256"/>
      <c r="O33" s="1256"/>
      <c r="P33" s="948"/>
      <c r="Q33" s="948"/>
      <c r="R33" s="948"/>
      <c r="S33" s="948"/>
      <c r="T33" s="948"/>
      <c r="U33" s="948"/>
    </row>
    <row r="34" spans="1:21">
      <c r="A34" s="1538">
        <v>19</v>
      </c>
      <c r="B34" s="573" t="s">
        <v>1809</v>
      </c>
      <c r="C34" s="573"/>
      <c r="D34" s="3504"/>
      <c r="E34" s="3504"/>
      <c r="F34" s="3505"/>
      <c r="G34" s="3504"/>
      <c r="H34" s="573"/>
      <c r="I34" s="1256"/>
      <c r="J34" s="1256"/>
      <c r="K34" s="1256"/>
      <c r="L34" s="1256"/>
      <c r="M34" s="1256"/>
      <c r="N34" s="1256"/>
      <c r="O34" s="1256"/>
      <c r="P34" s="948"/>
      <c r="Q34" s="948"/>
      <c r="R34" s="948"/>
      <c r="S34" s="948"/>
      <c r="T34" s="948"/>
      <c r="U34" s="948"/>
    </row>
    <row r="35" spans="1:21">
      <c r="A35" s="1538">
        <v>20</v>
      </c>
      <c r="B35" s="573" t="s">
        <v>1810</v>
      </c>
      <c r="C35" s="573"/>
      <c r="D35" s="3546">
        <v>93852</v>
      </c>
      <c r="E35" s="3546">
        <v>93292</v>
      </c>
      <c r="F35" s="3505"/>
      <c r="G35" s="3546">
        <v>93187.37</v>
      </c>
      <c r="H35" s="573"/>
      <c r="I35" s="1260">
        <f>'Base Period Cust'!N12</f>
        <v>91432</v>
      </c>
      <c r="J35" s="3546">
        <v>91702</v>
      </c>
      <c r="K35" s="3546">
        <v>90896</v>
      </c>
      <c r="L35" s="3546">
        <v>90056</v>
      </c>
      <c r="M35" s="3546">
        <v>89668</v>
      </c>
      <c r="N35" s="3546">
        <v>89174</v>
      </c>
      <c r="O35" s="718"/>
      <c r="P35" s="948"/>
      <c r="Q35" s="948"/>
      <c r="R35" s="948"/>
      <c r="S35" s="948"/>
      <c r="T35" s="948"/>
      <c r="U35" s="948"/>
    </row>
    <row r="36" spans="1:21">
      <c r="A36" s="1538">
        <v>21</v>
      </c>
      <c r="B36" s="573" t="s">
        <v>1811</v>
      </c>
      <c r="C36" s="573"/>
      <c r="D36" s="3546">
        <v>7285</v>
      </c>
      <c r="E36" s="3546">
        <v>7242</v>
      </c>
      <c r="F36" s="3505"/>
      <c r="G36" s="3546">
        <v>7233.6923999999999</v>
      </c>
      <c r="H36" s="573"/>
      <c r="I36" s="1260">
        <f>'Base Period Cust'!N13</f>
        <v>7097</v>
      </c>
      <c r="J36" s="3546">
        <v>7154</v>
      </c>
      <c r="K36" s="3546">
        <v>7294</v>
      </c>
      <c r="L36" s="3546">
        <v>7281</v>
      </c>
      <c r="M36" s="3546">
        <v>7284</v>
      </c>
      <c r="N36" s="3546">
        <v>7196</v>
      </c>
      <c r="O36" s="718"/>
      <c r="P36" s="1544"/>
      <c r="Q36" s="1544"/>
      <c r="R36" s="1544"/>
      <c r="S36" s="1544"/>
      <c r="T36" s="1544"/>
      <c r="U36" s="1544"/>
    </row>
    <row r="37" spans="1:21">
      <c r="A37" s="1538">
        <v>22</v>
      </c>
      <c r="B37" s="573" t="s">
        <v>1812</v>
      </c>
      <c r="C37" s="573"/>
      <c r="D37" s="3546">
        <v>214</v>
      </c>
      <c r="E37" s="3546">
        <v>213</v>
      </c>
      <c r="F37" s="3505"/>
      <c r="G37" s="3546">
        <v>212.3604</v>
      </c>
      <c r="H37" s="573"/>
      <c r="I37" s="1260">
        <f>'Base Period Cust'!N14</f>
        <v>208</v>
      </c>
      <c r="J37" s="3546">
        <v>208</v>
      </c>
      <c r="K37" s="3546">
        <v>210</v>
      </c>
      <c r="L37" s="3546">
        <v>217</v>
      </c>
      <c r="M37" s="3546">
        <v>206</v>
      </c>
      <c r="N37" s="3546">
        <v>209</v>
      </c>
      <c r="O37" s="718"/>
      <c r="P37" s="948"/>
      <c r="Q37" s="948"/>
      <c r="R37" s="948"/>
      <c r="S37" s="948"/>
      <c r="T37" s="948"/>
      <c r="U37" s="948"/>
    </row>
    <row r="38" spans="1:21">
      <c r="A38" s="1538">
        <v>23</v>
      </c>
      <c r="B38" s="573" t="s">
        <v>1813</v>
      </c>
      <c r="C38" s="573"/>
      <c r="D38" s="3548">
        <v>382</v>
      </c>
      <c r="E38" s="3548">
        <v>379</v>
      </c>
      <c r="F38" s="3505"/>
      <c r="G38" s="3548">
        <v>378.79469999999998</v>
      </c>
      <c r="H38" s="573"/>
      <c r="I38" s="1261">
        <f>'Base Period Cust'!N15</f>
        <v>372</v>
      </c>
      <c r="J38" s="3548">
        <v>363</v>
      </c>
      <c r="K38" s="3548">
        <v>372</v>
      </c>
      <c r="L38" s="3548">
        <v>367</v>
      </c>
      <c r="M38" s="3548">
        <v>365</v>
      </c>
      <c r="N38" s="3548">
        <v>357</v>
      </c>
      <c r="O38" s="1547"/>
    </row>
    <row r="39" spans="1:21">
      <c r="A39" s="1538">
        <v>24</v>
      </c>
      <c r="B39" s="573" t="s">
        <v>1814</v>
      </c>
      <c r="C39" s="573"/>
      <c r="D39" s="1254">
        <f>SUM(D35:D38)</f>
        <v>101733</v>
      </c>
      <c r="E39" s="1254">
        <f>SUM(E35:E38)</f>
        <v>101126</v>
      </c>
      <c r="F39" s="573"/>
      <c r="G39" s="1254">
        <f>SUM(G35:G38)</f>
        <v>101012.2175</v>
      </c>
      <c r="H39" s="573"/>
      <c r="I39" s="1254">
        <f t="shared" ref="I39:N39" si="3">SUM(I35:I38)</f>
        <v>99109</v>
      </c>
      <c r="J39" s="1254">
        <f t="shared" si="3"/>
        <v>99427</v>
      </c>
      <c r="K39" s="1254">
        <f t="shared" si="3"/>
        <v>98772</v>
      </c>
      <c r="L39" s="1254">
        <f t="shared" si="3"/>
        <v>97921</v>
      </c>
      <c r="M39" s="1254">
        <f t="shared" si="3"/>
        <v>97523</v>
      </c>
      <c r="N39" s="1254">
        <f t="shared" si="3"/>
        <v>96936</v>
      </c>
      <c r="O39" s="1254"/>
    </row>
    <row r="40" spans="1:21">
      <c r="A40" s="1538">
        <v>25</v>
      </c>
      <c r="B40" s="573" t="s">
        <v>1885</v>
      </c>
      <c r="C40" s="573"/>
      <c r="D40" s="1255"/>
      <c r="E40" s="1255"/>
      <c r="F40" s="573"/>
      <c r="G40" s="1255"/>
      <c r="H40" s="573"/>
      <c r="I40" s="1255"/>
      <c r="J40" s="1255"/>
      <c r="K40" s="1255"/>
      <c r="L40" s="1255"/>
      <c r="M40" s="1255"/>
      <c r="N40" s="1255"/>
      <c r="O40" s="1255"/>
    </row>
    <row r="41" spans="1:21">
      <c r="A41" s="1538">
        <v>26</v>
      </c>
      <c r="B41" s="573" t="s">
        <v>1811</v>
      </c>
      <c r="C41" s="573"/>
      <c r="D41" s="3546">
        <v>44</v>
      </c>
      <c r="E41" s="3546">
        <v>44</v>
      </c>
      <c r="F41" s="3505"/>
      <c r="G41" s="3546">
        <v>44</v>
      </c>
      <c r="H41" s="573"/>
      <c r="I41" s="1260">
        <f>'Base Period Cust'!N18</f>
        <v>44</v>
      </c>
      <c r="J41" s="3546">
        <v>44</v>
      </c>
      <c r="K41" s="3546">
        <v>44</v>
      </c>
      <c r="L41" s="3546">
        <v>41</v>
      </c>
      <c r="M41" s="3546">
        <v>38</v>
      </c>
      <c r="N41" s="3546">
        <v>39</v>
      </c>
      <c r="O41" s="718"/>
    </row>
    <row r="42" spans="1:21">
      <c r="A42" s="1538">
        <v>27</v>
      </c>
      <c r="B42" s="573" t="s">
        <v>1812</v>
      </c>
      <c r="C42" s="573"/>
      <c r="D42" s="3546">
        <v>37</v>
      </c>
      <c r="E42" s="3546">
        <v>37</v>
      </c>
      <c r="F42" s="3505"/>
      <c r="G42" s="3546">
        <v>37</v>
      </c>
      <c r="H42" s="573"/>
      <c r="I42" s="1260">
        <f>'Base Period Cust'!N19</f>
        <v>37</v>
      </c>
      <c r="J42" s="3546">
        <v>37</v>
      </c>
      <c r="K42" s="3546">
        <v>38</v>
      </c>
      <c r="L42" s="3546">
        <v>39</v>
      </c>
      <c r="M42" s="3546">
        <v>38</v>
      </c>
      <c r="N42" s="3546">
        <v>36</v>
      </c>
      <c r="O42" s="718"/>
    </row>
    <row r="43" spans="1:21">
      <c r="A43" s="1538">
        <v>28</v>
      </c>
      <c r="B43" s="573" t="s">
        <v>1813</v>
      </c>
      <c r="C43" s="573"/>
      <c r="D43" s="3546">
        <v>13</v>
      </c>
      <c r="E43" s="3546">
        <v>13</v>
      </c>
      <c r="F43" s="3505"/>
      <c r="G43" s="3546">
        <v>13</v>
      </c>
      <c r="H43" s="573"/>
      <c r="I43" s="1260">
        <f>'Base Period Cust'!N20</f>
        <v>11</v>
      </c>
      <c r="J43" s="3546">
        <v>13</v>
      </c>
      <c r="K43" s="3546">
        <v>13</v>
      </c>
      <c r="L43" s="3546">
        <v>16</v>
      </c>
      <c r="M43" s="3546">
        <v>16</v>
      </c>
      <c r="N43" s="3546">
        <v>19</v>
      </c>
      <c r="O43" s="718"/>
    </row>
    <row r="44" spans="1:21">
      <c r="A44" s="1538">
        <v>29</v>
      </c>
      <c r="B44" s="573" t="s">
        <v>304</v>
      </c>
      <c r="C44" s="573"/>
      <c r="D44" s="3548">
        <v>22</v>
      </c>
      <c r="E44" s="3548">
        <v>22</v>
      </c>
      <c r="F44" s="3505"/>
      <c r="G44" s="3548">
        <v>22</v>
      </c>
      <c r="H44" s="573"/>
      <c r="I44" s="1261">
        <f>'Base Period Cust'!N21</f>
        <v>22</v>
      </c>
      <c r="J44" s="3548">
        <v>22</v>
      </c>
      <c r="K44" s="3548">
        <v>22</v>
      </c>
      <c r="L44" s="3548">
        <v>21</v>
      </c>
      <c r="M44" s="3548">
        <v>21</v>
      </c>
      <c r="N44" s="3548">
        <v>22</v>
      </c>
      <c r="O44" s="1547"/>
    </row>
    <row r="45" spans="1:21">
      <c r="A45" s="1538">
        <v>30</v>
      </c>
      <c r="B45" s="573" t="s">
        <v>1886</v>
      </c>
      <c r="C45" s="573"/>
      <c r="D45" s="1254">
        <f>SUM(D41:D44)</f>
        <v>116</v>
      </c>
      <c r="E45" s="1254">
        <f>SUM(E41:E44)</f>
        <v>116</v>
      </c>
      <c r="F45" s="573"/>
      <c r="G45" s="1254">
        <f>SUM(G41:G44)</f>
        <v>116</v>
      </c>
      <c r="H45" s="573"/>
      <c r="I45" s="1254">
        <f t="shared" ref="I45:N45" si="4">SUM(I41:I44)</f>
        <v>114</v>
      </c>
      <c r="J45" s="1254">
        <f t="shared" si="4"/>
        <v>116</v>
      </c>
      <c r="K45" s="1254">
        <f t="shared" si="4"/>
        <v>117</v>
      </c>
      <c r="L45" s="1254">
        <f t="shared" si="4"/>
        <v>117</v>
      </c>
      <c r="M45" s="1254">
        <f t="shared" si="4"/>
        <v>113</v>
      </c>
      <c r="N45" s="1254">
        <f t="shared" si="4"/>
        <v>116</v>
      </c>
      <c r="O45" s="1254"/>
    </row>
    <row r="46" spans="1:21">
      <c r="A46" s="1538">
        <v>31</v>
      </c>
      <c r="B46" s="573" t="s">
        <v>1073</v>
      </c>
      <c r="C46" s="573"/>
      <c r="D46" s="1257">
        <f>D39+D45</f>
        <v>101849</v>
      </c>
      <c r="E46" s="1257">
        <f>E39+E45</f>
        <v>101242</v>
      </c>
      <c r="F46" s="573"/>
      <c r="G46" s="1257">
        <f>G39+G45</f>
        <v>101128.2175</v>
      </c>
      <c r="H46" s="573"/>
      <c r="I46" s="1257">
        <f t="shared" ref="I46:N46" si="5">I39+I45</f>
        <v>99223</v>
      </c>
      <c r="J46" s="1257">
        <f t="shared" si="5"/>
        <v>99543</v>
      </c>
      <c r="K46" s="1257">
        <f t="shared" si="5"/>
        <v>98889</v>
      </c>
      <c r="L46" s="1257">
        <f t="shared" si="5"/>
        <v>98038</v>
      </c>
      <c r="M46" s="1257">
        <f t="shared" si="5"/>
        <v>97636</v>
      </c>
      <c r="N46" s="1257">
        <f t="shared" si="5"/>
        <v>97052</v>
      </c>
      <c r="O46" s="1257"/>
    </row>
    <row r="47" spans="1:21">
      <c r="A47" s="1538">
        <v>32</v>
      </c>
      <c r="B47" s="573"/>
      <c r="C47" s="573"/>
      <c r="D47" s="1258"/>
      <c r="E47" s="1258"/>
      <c r="F47" s="573"/>
      <c r="G47" s="1258"/>
      <c r="H47" s="573"/>
      <c r="I47" s="1258"/>
      <c r="J47" s="1258"/>
      <c r="K47" s="1258"/>
      <c r="L47" s="1278"/>
      <c r="M47" s="1258"/>
      <c r="N47" s="1258"/>
      <c r="O47" s="1258"/>
    </row>
    <row r="48" spans="1:21">
      <c r="A48" s="1538">
        <v>33</v>
      </c>
      <c r="B48" s="573" t="s">
        <v>1074</v>
      </c>
      <c r="C48" s="573"/>
      <c r="D48" s="1256"/>
      <c r="E48" s="1256"/>
      <c r="F48" s="573"/>
      <c r="G48" s="1256"/>
      <c r="H48" s="573"/>
      <c r="I48" s="1256"/>
      <c r="J48" s="1256"/>
      <c r="K48" s="1256"/>
      <c r="L48" s="1279"/>
      <c r="M48" s="1256"/>
      <c r="N48" s="1256"/>
      <c r="O48" s="1256"/>
    </row>
    <row r="49" spans="1:15">
      <c r="A49" s="1538">
        <v>34</v>
      </c>
      <c r="B49" s="1546" t="s">
        <v>1075</v>
      </c>
      <c r="C49" s="1546"/>
      <c r="D49" s="1256"/>
      <c r="E49" s="1256"/>
      <c r="F49" s="1546"/>
      <c r="G49" s="1256"/>
      <c r="H49" s="1546"/>
      <c r="I49" s="1256"/>
      <c r="J49" s="1256"/>
      <c r="K49" s="1256"/>
      <c r="L49" s="1279"/>
      <c r="M49" s="1256"/>
      <c r="N49" s="1256"/>
      <c r="O49" s="1256"/>
    </row>
    <row r="50" spans="1:15">
      <c r="A50" s="1538">
        <v>35</v>
      </c>
      <c r="B50" s="573" t="s">
        <v>1809</v>
      </c>
      <c r="C50" s="573"/>
      <c r="D50" s="1256"/>
      <c r="E50" s="1256"/>
      <c r="F50" s="573"/>
      <c r="G50" s="1256"/>
      <c r="H50" s="573"/>
      <c r="I50" s="1256"/>
      <c r="J50" s="1256"/>
      <c r="K50" s="1256"/>
      <c r="L50" s="1279"/>
      <c r="M50" s="1256"/>
      <c r="N50" s="1256"/>
      <c r="O50" s="1256"/>
    </row>
    <row r="51" spans="1:15">
      <c r="A51" s="1538">
        <v>36</v>
      </c>
      <c r="B51" s="573" t="s">
        <v>1810</v>
      </c>
      <c r="C51" s="573"/>
      <c r="D51" s="3546">
        <v>92874</v>
      </c>
      <c r="E51" s="3546">
        <v>92320</v>
      </c>
      <c r="F51" s="3505"/>
      <c r="G51" s="3546">
        <v>91963.915384615379</v>
      </c>
      <c r="H51" s="573"/>
      <c r="I51" s="1260">
        <f>'Base Period Cust'!P12</f>
        <v>91232</v>
      </c>
      <c r="J51" s="3546">
        <v>90736</v>
      </c>
      <c r="K51" s="3546">
        <v>89990</v>
      </c>
      <c r="L51" s="3546">
        <v>89195</v>
      </c>
      <c r="M51" s="3546">
        <v>88731</v>
      </c>
      <c r="N51" s="3546">
        <v>88282</v>
      </c>
      <c r="O51" s="718"/>
    </row>
    <row r="52" spans="1:15">
      <c r="A52" s="1538">
        <v>37</v>
      </c>
      <c r="B52" s="573" t="s">
        <v>1811</v>
      </c>
      <c r="C52" s="573"/>
      <c r="D52" s="3546">
        <v>7209</v>
      </c>
      <c r="E52" s="3546">
        <v>7166</v>
      </c>
      <c r="F52" s="3505"/>
      <c r="G52" s="3546">
        <v>7138.7201769230742</v>
      </c>
      <c r="H52" s="573"/>
      <c r="I52" s="1260">
        <f>'Base Period Cust'!P13</f>
        <v>7100</v>
      </c>
      <c r="J52" s="3546">
        <v>7022</v>
      </c>
      <c r="K52" s="3546">
        <v>7131</v>
      </c>
      <c r="L52" s="3546">
        <v>7100</v>
      </c>
      <c r="M52" s="3546">
        <v>7087</v>
      </c>
      <c r="N52" s="3546">
        <v>6990</v>
      </c>
      <c r="O52" s="718"/>
    </row>
    <row r="53" spans="1:15">
      <c r="A53" s="1538">
        <v>38</v>
      </c>
      <c r="B53" s="573" t="s">
        <v>1812</v>
      </c>
      <c r="C53" s="573"/>
      <c r="D53" s="3546">
        <v>212</v>
      </c>
      <c r="E53" s="3546">
        <v>210</v>
      </c>
      <c r="F53" s="3505"/>
      <c r="G53" s="3546">
        <v>209.5696615384615</v>
      </c>
      <c r="H53" s="573"/>
      <c r="I53" s="1260">
        <f>'Base Period Cust'!P14</f>
        <v>207</v>
      </c>
      <c r="J53" s="3546">
        <v>207</v>
      </c>
      <c r="K53" s="3546">
        <v>205</v>
      </c>
      <c r="L53" s="3546">
        <v>209</v>
      </c>
      <c r="M53" s="3546">
        <v>208</v>
      </c>
      <c r="N53" s="3546">
        <v>211</v>
      </c>
      <c r="O53" s="718"/>
    </row>
    <row r="54" spans="1:15">
      <c r="A54" s="1538">
        <v>39</v>
      </c>
      <c r="B54" s="573" t="s">
        <v>1813</v>
      </c>
      <c r="C54" s="573"/>
      <c r="D54" s="3548">
        <v>378</v>
      </c>
      <c r="E54" s="3548">
        <v>375</v>
      </c>
      <c r="F54" s="3505"/>
      <c r="G54" s="3548">
        <v>373.82606153846154</v>
      </c>
      <c r="H54" s="573"/>
      <c r="I54" s="1261">
        <f>'Base Period Cust'!P15</f>
        <v>367</v>
      </c>
      <c r="J54" s="3548">
        <v>366</v>
      </c>
      <c r="K54" s="3548">
        <v>367</v>
      </c>
      <c r="L54" s="3548">
        <v>367</v>
      </c>
      <c r="M54" s="3548">
        <v>361</v>
      </c>
      <c r="N54" s="3548">
        <v>353</v>
      </c>
      <c r="O54" s="1547"/>
    </row>
    <row r="55" spans="1:15">
      <c r="A55" s="1538">
        <v>40</v>
      </c>
      <c r="B55" s="573" t="s">
        <v>1814</v>
      </c>
      <c r="C55" s="573"/>
      <c r="D55" s="1254">
        <f>SUM(D51:D54)</f>
        <v>100673</v>
      </c>
      <c r="E55" s="1254">
        <f>SUM(E51:E54)</f>
        <v>100071</v>
      </c>
      <c r="F55" s="573"/>
      <c r="G55" s="1254">
        <f>SUM(G51:G54)</f>
        <v>99686.031284615383</v>
      </c>
      <c r="H55" s="573"/>
      <c r="I55" s="1261">
        <f>'Base Period Cust'!P16</f>
        <v>98906</v>
      </c>
      <c r="J55" s="1254">
        <f>SUM(J51:J54)</f>
        <v>98331</v>
      </c>
      <c r="K55" s="1254">
        <f>SUM(K51:K54)</f>
        <v>97693</v>
      </c>
      <c r="L55" s="1254">
        <f>SUM(L51:L54)</f>
        <v>96871</v>
      </c>
      <c r="M55" s="1254">
        <f>SUM(M51:M54)</f>
        <v>96387</v>
      </c>
      <c r="N55" s="1254">
        <f>SUM(N51:N54)</f>
        <v>95836</v>
      </c>
      <c r="O55" s="1254"/>
    </row>
    <row r="56" spans="1:15">
      <c r="A56" s="1538">
        <v>41</v>
      </c>
      <c r="B56" s="573" t="s">
        <v>1885</v>
      </c>
      <c r="C56" s="573"/>
      <c r="D56" s="1255"/>
      <c r="E56" s="1255"/>
      <c r="F56" s="573"/>
      <c r="G56" s="1255"/>
      <c r="H56" s="573"/>
      <c r="I56" s="1261"/>
      <c r="J56" s="1255"/>
      <c r="K56" s="718"/>
      <c r="L56" s="1255"/>
      <c r="M56" s="1255"/>
      <c r="N56" s="1255"/>
      <c r="O56" s="1255"/>
    </row>
    <row r="57" spans="1:15">
      <c r="A57" s="1538">
        <v>42</v>
      </c>
      <c r="B57" s="573" t="s">
        <v>1811</v>
      </c>
      <c r="C57" s="573"/>
      <c r="D57" s="3546">
        <v>44</v>
      </c>
      <c r="E57" s="3546">
        <v>44</v>
      </c>
      <c r="F57" s="3505"/>
      <c r="G57" s="3546">
        <v>44</v>
      </c>
      <c r="H57" s="573"/>
      <c r="I57" s="1260">
        <f>'Base Period Cust'!P18</f>
        <v>44</v>
      </c>
      <c r="J57" s="3546">
        <v>44</v>
      </c>
      <c r="K57" s="3546">
        <v>44</v>
      </c>
      <c r="L57" s="3546">
        <v>40</v>
      </c>
      <c r="M57" s="3546">
        <v>38</v>
      </c>
      <c r="N57" s="3546">
        <v>37</v>
      </c>
      <c r="O57" s="718"/>
    </row>
    <row r="58" spans="1:15">
      <c r="A58" s="1538">
        <v>43</v>
      </c>
      <c r="B58" s="573" t="s">
        <v>1812</v>
      </c>
      <c r="C58" s="573"/>
      <c r="D58" s="3546">
        <v>37</v>
      </c>
      <c r="E58" s="3546">
        <v>37</v>
      </c>
      <c r="F58" s="3505"/>
      <c r="G58" s="3546">
        <v>37</v>
      </c>
      <c r="H58" s="573"/>
      <c r="I58" s="1260">
        <f>'Base Period Cust'!P19</f>
        <v>37</v>
      </c>
      <c r="J58" s="3546">
        <v>38</v>
      </c>
      <c r="K58" s="3546">
        <v>39</v>
      </c>
      <c r="L58" s="3546">
        <v>38</v>
      </c>
      <c r="M58" s="3546">
        <v>38</v>
      </c>
      <c r="N58" s="3546">
        <v>34</v>
      </c>
      <c r="O58" s="718"/>
    </row>
    <row r="59" spans="1:15">
      <c r="A59" s="1538">
        <v>44</v>
      </c>
      <c r="B59" s="573" t="s">
        <v>1813</v>
      </c>
      <c r="C59" s="573"/>
      <c r="D59" s="3546">
        <v>13</v>
      </c>
      <c r="E59" s="3546">
        <v>13</v>
      </c>
      <c r="F59" s="3505"/>
      <c r="G59" s="3546">
        <v>13</v>
      </c>
      <c r="H59" s="573"/>
      <c r="I59" s="1260">
        <f>'Base Period Cust'!P20</f>
        <v>12</v>
      </c>
      <c r="J59" s="3546">
        <v>13</v>
      </c>
      <c r="K59" s="3546">
        <v>14</v>
      </c>
      <c r="L59" s="3546">
        <v>16</v>
      </c>
      <c r="M59" s="3546">
        <v>18</v>
      </c>
      <c r="N59" s="3546">
        <v>19</v>
      </c>
      <c r="O59" s="718"/>
    </row>
    <row r="60" spans="1:15">
      <c r="A60" s="1538">
        <v>45</v>
      </c>
      <c r="B60" s="573" t="s">
        <v>304</v>
      </c>
      <c r="C60" s="573"/>
      <c r="D60" s="3548">
        <v>22</v>
      </c>
      <c r="E60" s="3548">
        <v>22</v>
      </c>
      <c r="F60" s="3505"/>
      <c r="G60" s="3548">
        <v>22</v>
      </c>
      <c r="H60" s="573"/>
      <c r="I60" s="1261">
        <f>'Base Period Cust'!P21</f>
        <v>22</v>
      </c>
      <c r="J60" s="3548">
        <v>22</v>
      </c>
      <c r="K60" s="3548">
        <v>22</v>
      </c>
      <c r="L60" s="3548">
        <v>20</v>
      </c>
      <c r="M60" s="3548">
        <v>21</v>
      </c>
      <c r="N60" s="3548">
        <v>23</v>
      </c>
      <c r="O60" s="1547"/>
    </row>
    <row r="61" spans="1:15">
      <c r="A61" s="1538">
        <v>46</v>
      </c>
      <c r="B61" s="573" t="s">
        <v>1886</v>
      </c>
      <c r="C61" s="573"/>
      <c r="D61" s="1254">
        <f>SUM(D57:D60)</f>
        <v>116</v>
      </c>
      <c r="E61" s="1254">
        <f>SUM(E57:E60)</f>
        <v>116</v>
      </c>
      <c r="F61" s="573"/>
      <c r="G61" s="1254">
        <f>SUM(G57:G60)</f>
        <v>116</v>
      </c>
      <c r="H61" s="573"/>
      <c r="I61" s="1254">
        <f>'Base Period Cust'!P22</f>
        <v>115</v>
      </c>
      <c r="J61" s="1254">
        <f>SUM(J57:J60)</f>
        <v>117</v>
      </c>
      <c r="K61" s="1254">
        <f>SUM(K57:K60)</f>
        <v>119</v>
      </c>
      <c r="L61" s="1254">
        <f>SUM(L57:L60)</f>
        <v>114</v>
      </c>
      <c r="M61" s="1254">
        <f>SUM(M57:M60)</f>
        <v>115</v>
      </c>
      <c r="N61" s="1254">
        <f>SUM(N57:N60)</f>
        <v>113</v>
      </c>
      <c r="O61" s="1254"/>
    </row>
    <row r="62" spans="1:15">
      <c r="A62" s="1538">
        <v>47</v>
      </c>
      <c r="B62" s="573" t="s">
        <v>1073</v>
      </c>
      <c r="C62" s="573"/>
      <c r="D62" s="1255">
        <f>D55+D61</f>
        <v>100789</v>
      </c>
      <c r="E62" s="1255">
        <f>E55+E61</f>
        <v>100187</v>
      </c>
      <c r="F62" s="573"/>
      <c r="G62" s="1255">
        <f>G55+G61</f>
        <v>99802.031284615383</v>
      </c>
      <c r="H62" s="573"/>
      <c r="I62" s="1255">
        <f>'Base Period Cust'!P23</f>
        <v>99021</v>
      </c>
      <c r="J62" s="1255">
        <f>J55+J61</f>
        <v>98448</v>
      </c>
      <c r="K62" s="1255">
        <f>K55+K61</f>
        <v>97812</v>
      </c>
      <c r="L62" s="1255">
        <f>L55+L61</f>
        <v>96985</v>
      </c>
      <c r="M62" s="1255">
        <f>M55+M61</f>
        <v>96502</v>
      </c>
      <c r="N62" s="1255">
        <f>N55+N61</f>
        <v>95949</v>
      </c>
      <c r="O62" s="1255"/>
    </row>
    <row r="63" spans="1:15">
      <c r="A63" s="1538">
        <v>48</v>
      </c>
      <c r="D63" s="1258"/>
      <c r="G63" s="1258"/>
      <c r="I63" s="1258"/>
      <c r="J63" s="1258"/>
      <c r="K63" s="1258"/>
      <c r="L63" s="1258"/>
      <c r="M63" s="1258"/>
      <c r="N63" s="1258"/>
      <c r="O63" s="1258"/>
    </row>
    <row r="64" spans="1:15">
      <c r="A64" s="1538">
        <v>49</v>
      </c>
      <c r="B64" s="573" t="s">
        <v>1076</v>
      </c>
      <c r="C64" s="573"/>
      <c r="F64" s="573"/>
      <c r="H64" s="573"/>
    </row>
    <row r="65" spans="1:15">
      <c r="A65" s="1538">
        <v>50</v>
      </c>
      <c r="B65" s="1546" t="s">
        <v>797</v>
      </c>
      <c r="C65" s="1546"/>
      <c r="F65" s="1546"/>
      <c r="H65" s="1546"/>
    </row>
    <row r="66" spans="1:15">
      <c r="A66" s="1538">
        <v>51</v>
      </c>
      <c r="B66" s="573" t="s">
        <v>1809</v>
      </c>
      <c r="C66" s="573"/>
      <c r="F66" s="573"/>
      <c r="H66" s="573"/>
    </row>
    <row r="67" spans="1:15">
      <c r="A67" s="1538">
        <v>52</v>
      </c>
      <c r="B67" s="573" t="s">
        <v>1810</v>
      </c>
      <c r="C67" s="573"/>
      <c r="D67" s="719">
        <f t="shared" ref="D67:E68" si="6">ROUND(D19/D51,0)</f>
        <v>682</v>
      </c>
      <c r="E67" s="719">
        <f t="shared" si="6"/>
        <v>685</v>
      </c>
      <c r="F67" s="573"/>
      <c r="G67" s="719">
        <f>ROUND(G19/G51,0)</f>
        <v>675</v>
      </c>
      <c r="H67" s="573"/>
      <c r="I67" s="719">
        <f>ROUND(I19/I51,0)</f>
        <v>738</v>
      </c>
      <c r="J67" s="719">
        <f t="shared" ref="J67:N69" si="7">ROUND((J19/J51),0)</f>
        <v>681</v>
      </c>
      <c r="K67" s="719">
        <f t="shared" si="7"/>
        <v>691</v>
      </c>
      <c r="L67" s="719">
        <f t="shared" si="7"/>
        <v>780</v>
      </c>
      <c r="M67" s="719">
        <f t="shared" si="7"/>
        <v>899</v>
      </c>
      <c r="N67" s="719">
        <f t="shared" si="7"/>
        <v>759</v>
      </c>
      <c r="O67" s="719"/>
    </row>
    <row r="68" spans="1:15">
      <c r="A68" s="1538">
        <v>53</v>
      </c>
      <c r="B68" s="573" t="s">
        <v>1811</v>
      </c>
      <c r="C68" s="573"/>
      <c r="D68" s="719">
        <f t="shared" si="6"/>
        <v>2935</v>
      </c>
      <c r="E68" s="719">
        <f t="shared" si="6"/>
        <v>3013</v>
      </c>
      <c r="F68" s="573"/>
      <c r="G68" s="719">
        <f>ROUND(G20/G52,0)</f>
        <v>3006</v>
      </c>
      <c r="H68" s="573"/>
      <c r="I68" s="719">
        <f>ROUND(I20/I52,0)</f>
        <v>3562</v>
      </c>
      <c r="J68" s="719">
        <f t="shared" si="7"/>
        <v>3058</v>
      </c>
      <c r="K68" s="719">
        <f t="shared" si="7"/>
        <v>2853</v>
      </c>
      <c r="L68" s="719">
        <f t="shared" si="7"/>
        <v>3319</v>
      </c>
      <c r="M68" s="719">
        <f t="shared" si="7"/>
        <v>4253</v>
      </c>
      <c r="N68" s="719">
        <f t="shared" si="7"/>
        <v>3474</v>
      </c>
      <c r="O68" s="719"/>
    </row>
    <row r="69" spans="1:15">
      <c r="A69" s="1538">
        <v>54</v>
      </c>
      <c r="B69" s="573" t="s">
        <v>1812</v>
      </c>
      <c r="C69" s="573"/>
      <c r="D69" s="719">
        <f>ROUND(D21/D53,0)</f>
        <v>4633</v>
      </c>
      <c r="E69" s="719">
        <f>ROUND(E21/E53,0)</f>
        <v>5034</v>
      </c>
      <c r="F69" s="573"/>
      <c r="G69" s="719">
        <f>ROUND(G21/G53,0)</f>
        <v>5513</v>
      </c>
      <c r="H69" s="573"/>
      <c r="I69" s="719">
        <f>ROUND(I21/I53,0)</f>
        <v>7990</v>
      </c>
      <c r="J69" s="719">
        <f t="shared" si="7"/>
        <v>7655</v>
      </c>
      <c r="K69" s="719">
        <f t="shared" si="7"/>
        <v>6569</v>
      </c>
      <c r="L69" s="719">
        <f t="shared" si="7"/>
        <v>9298</v>
      </c>
      <c r="M69" s="719">
        <f t="shared" si="7"/>
        <v>11140</v>
      </c>
      <c r="N69" s="719">
        <f t="shared" si="7"/>
        <v>9264</v>
      </c>
      <c r="O69" s="719"/>
    </row>
    <row r="70" spans="1:15">
      <c r="A70" s="1538">
        <v>55</v>
      </c>
      <c r="B70" s="573" t="s">
        <v>1885</v>
      </c>
      <c r="C70" s="573"/>
      <c r="D70" s="719"/>
      <c r="E70" s="719"/>
      <c r="F70" s="573"/>
      <c r="G70" s="719"/>
      <c r="H70" s="573"/>
      <c r="I70" s="719"/>
      <c r="J70" s="719"/>
      <c r="K70" s="719"/>
      <c r="L70" s="719"/>
      <c r="M70" s="719"/>
      <c r="N70" s="719"/>
      <c r="O70" s="719"/>
    </row>
    <row r="71" spans="1:15">
      <c r="A71" s="1538">
        <v>56</v>
      </c>
      <c r="B71" s="573" t="s">
        <v>1811</v>
      </c>
      <c r="C71" s="573"/>
      <c r="D71" s="719">
        <f>ROUND(D25/D57,0)</f>
        <v>38819</v>
      </c>
      <c r="E71" s="719">
        <f>ROUND(E25/E57,0)</f>
        <v>37381</v>
      </c>
      <c r="F71" s="573"/>
      <c r="G71" s="719">
        <f>ROUND(G25/G57,0)</f>
        <v>35422</v>
      </c>
      <c r="H71" s="573"/>
      <c r="I71" s="719">
        <f>ROUND(I25/I57,0)</f>
        <v>29778</v>
      </c>
      <c r="J71" s="719">
        <f t="shared" ref="J71:N72" si="8">ROUND(J25/J57,0)</f>
        <v>23406</v>
      </c>
      <c r="K71" s="719">
        <f t="shared" si="8"/>
        <v>24625</v>
      </c>
      <c r="L71" s="719">
        <f t="shared" si="8"/>
        <v>21010</v>
      </c>
      <c r="M71" s="719">
        <f t="shared" si="8"/>
        <v>24007</v>
      </c>
      <c r="N71" s="719">
        <f t="shared" si="8"/>
        <v>22140</v>
      </c>
      <c r="O71" s="719"/>
    </row>
    <row r="72" spans="1:15">
      <c r="A72" s="1538">
        <v>57</v>
      </c>
      <c r="B72" s="573" t="s">
        <v>1812</v>
      </c>
      <c r="C72" s="573"/>
      <c r="D72" s="719">
        <f>ROUND(D26/D58,0)</f>
        <v>91870</v>
      </c>
      <c r="E72" s="719">
        <f>ROUND(E26/E58,0)</f>
        <v>89592</v>
      </c>
      <c r="F72" s="573"/>
      <c r="G72" s="719">
        <f>ROUND(G26/G58,0)</f>
        <v>87538</v>
      </c>
      <c r="H72" s="573"/>
      <c r="I72" s="719">
        <f>ROUND(I26/I58,0)</f>
        <v>80040</v>
      </c>
      <c r="J72" s="719">
        <f t="shared" si="8"/>
        <v>75558</v>
      </c>
      <c r="K72" s="719">
        <f t="shared" si="8"/>
        <v>74882</v>
      </c>
      <c r="L72" s="719">
        <f t="shared" si="8"/>
        <v>80073</v>
      </c>
      <c r="M72" s="719">
        <f t="shared" si="8"/>
        <v>77018</v>
      </c>
      <c r="N72" s="719">
        <f t="shared" si="8"/>
        <v>75519</v>
      </c>
      <c r="O72" s="719"/>
    </row>
    <row r="73" spans="1:15">
      <c r="A73" s="1538">
        <v>58</v>
      </c>
      <c r="B73" s="573" t="s">
        <v>304</v>
      </c>
      <c r="C73" s="573"/>
      <c r="D73" s="719">
        <f>ROUND(IFERROR(D28/D60,0),0)</f>
        <v>63884</v>
      </c>
      <c r="E73" s="719">
        <f>ROUND(IFERROR(E28/E60,0),0)</f>
        <v>63865</v>
      </c>
      <c r="F73" s="573"/>
      <c r="G73" s="719">
        <f>ROUND(IFERROR(G28/G60,0),0)</f>
        <v>63862</v>
      </c>
      <c r="H73" s="573"/>
      <c r="I73" s="719">
        <f t="shared" ref="I73:N73" si="9">ROUND(I28/I60,0)</f>
        <v>80078</v>
      </c>
      <c r="J73" s="719">
        <f t="shared" si="9"/>
        <v>71379</v>
      </c>
      <c r="K73" s="719">
        <f t="shared" si="9"/>
        <v>68137</v>
      </c>
      <c r="L73" s="719">
        <f t="shared" si="9"/>
        <v>69153</v>
      </c>
      <c r="M73" s="719">
        <f t="shared" si="9"/>
        <v>64564</v>
      </c>
      <c r="N73" s="719">
        <f t="shared" si="9"/>
        <v>66977</v>
      </c>
      <c r="O73" s="719"/>
    </row>
    <row r="74" spans="1:15">
      <c r="A74" s="1538"/>
      <c r="B74" s="573"/>
      <c r="C74" s="573"/>
      <c r="D74" s="719"/>
      <c r="F74" s="573"/>
      <c r="G74" s="719"/>
      <c r="H74" s="573"/>
      <c r="I74" s="719"/>
      <c r="J74" s="719"/>
      <c r="K74" s="719"/>
      <c r="L74" s="719"/>
      <c r="M74" s="719"/>
      <c r="N74" s="719"/>
      <c r="O74" s="719"/>
    </row>
    <row r="75" spans="1:15">
      <c r="A75" s="1548" t="s">
        <v>2228</v>
      </c>
    </row>
    <row r="76" spans="1:15">
      <c r="A76" s="573"/>
    </row>
    <row r="77" spans="1:15">
      <c r="A77" s="950"/>
      <c r="B77" s="950"/>
      <c r="C77" s="950"/>
      <c r="D77" s="944"/>
      <c r="E77" s="944"/>
      <c r="F77" s="950"/>
      <c r="G77" s="944"/>
      <c r="H77" s="950"/>
      <c r="I77" s="944"/>
      <c r="J77" s="1129"/>
      <c r="K77" s="944"/>
      <c r="L77" s="950"/>
      <c r="M77" s="1129"/>
      <c r="N77" s="944"/>
      <c r="O77" s="944"/>
    </row>
    <row r="78" spans="1:15">
      <c r="A78" s="950"/>
      <c r="B78" s="1549"/>
      <c r="C78" s="1549"/>
      <c r="D78" s="944"/>
      <c r="E78" s="944"/>
      <c r="F78" s="1549"/>
      <c r="G78" s="944"/>
      <c r="H78" s="1549"/>
      <c r="I78" s="944"/>
      <c r="J78" s="1129"/>
      <c r="K78" s="944"/>
      <c r="L78" s="950"/>
      <c r="M78" s="1129"/>
      <c r="N78" s="944"/>
      <c r="O78" s="944"/>
    </row>
    <row r="79" spans="1:15">
      <c r="A79" s="950"/>
      <c r="B79" s="1550"/>
      <c r="C79" s="1550"/>
      <c r="D79" s="944"/>
      <c r="E79" s="944"/>
      <c r="F79" s="1550"/>
      <c r="G79" s="944"/>
      <c r="H79" s="1550"/>
      <c r="I79" s="944"/>
      <c r="J79" s="1129"/>
      <c r="K79" s="944"/>
      <c r="L79" s="950"/>
      <c r="M79" s="1129"/>
      <c r="N79" s="944"/>
      <c r="O79" s="944"/>
    </row>
    <row r="80" spans="1:15">
      <c r="A80" s="950"/>
      <c r="B80" s="950"/>
      <c r="C80" s="950"/>
      <c r="D80" s="944"/>
      <c r="E80" s="944"/>
      <c r="F80" s="950"/>
      <c r="G80" s="944"/>
      <c r="H80" s="950"/>
      <c r="I80" s="944"/>
      <c r="J80" s="1129"/>
      <c r="K80" s="944"/>
      <c r="L80" s="950"/>
      <c r="M80" s="1129"/>
      <c r="N80" s="944"/>
      <c r="O80" s="944"/>
    </row>
    <row r="81" spans="1:15">
      <c r="A81" s="950"/>
      <c r="B81" s="950"/>
      <c r="C81" s="950"/>
      <c r="D81" s="944"/>
      <c r="E81" s="944"/>
      <c r="F81" s="950"/>
      <c r="G81" s="944"/>
      <c r="H81" s="950"/>
      <c r="I81" s="944"/>
      <c r="J81" s="1129"/>
      <c r="K81" s="944"/>
      <c r="L81" s="950"/>
      <c r="M81" s="1129"/>
      <c r="N81" s="944"/>
      <c r="O81" s="944"/>
    </row>
    <row r="82" spans="1:15">
      <c r="A82" s="950"/>
      <c r="B82" s="950"/>
      <c r="C82" s="950"/>
      <c r="D82" s="944"/>
      <c r="E82" s="944"/>
      <c r="F82" s="950"/>
      <c r="G82" s="944"/>
      <c r="H82" s="950"/>
      <c r="I82" s="944"/>
      <c r="J82" s="1129"/>
      <c r="K82" s="944"/>
      <c r="L82" s="950"/>
      <c r="M82" s="1129"/>
      <c r="N82" s="944"/>
      <c r="O82" s="944"/>
    </row>
    <row r="83" spans="1:15">
      <c r="A83" s="962"/>
      <c r="B83" s="950"/>
      <c r="C83" s="950"/>
      <c r="D83" s="950"/>
      <c r="E83" s="950"/>
      <c r="F83" s="950"/>
      <c r="G83" s="950"/>
      <c r="H83" s="950"/>
      <c r="I83" s="950"/>
      <c r="J83" s="950"/>
      <c r="K83" s="950"/>
      <c r="L83" s="950"/>
      <c r="M83" s="950"/>
      <c r="N83" s="950"/>
      <c r="O83" s="950"/>
    </row>
    <row r="84" spans="1:15">
      <c r="A84" s="1551"/>
      <c r="B84" s="1552"/>
      <c r="C84" s="1552"/>
      <c r="D84" s="950"/>
      <c r="E84" s="950"/>
      <c r="F84" s="1552"/>
      <c r="G84" s="950"/>
      <c r="H84" s="1552"/>
      <c r="I84" s="950"/>
      <c r="J84" s="950"/>
      <c r="K84" s="950"/>
      <c r="L84" s="950"/>
      <c r="M84" s="950"/>
      <c r="N84" s="950"/>
      <c r="O84" s="950"/>
    </row>
    <row r="85" spans="1:15">
      <c r="A85" s="962"/>
      <c r="B85" s="1550"/>
      <c r="C85" s="1550"/>
      <c r="D85" s="951"/>
      <c r="E85" s="950"/>
      <c r="F85" s="1550"/>
      <c r="G85" s="951"/>
      <c r="H85" s="1550"/>
      <c r="I85" s="951"/>
      <c r="J85" s="1553"/>
      <c r="K85" s="951"/>
      <c r="L85" s="951"/>
      <c r="M85" s="951"/>
      <c r="N85" s="951"/>
      <c r="O85" s="951"/>
    </row>
    <row r="86" spans="1:15">
      <c r="A86" s="962"/>
      <c r="B86" s="1550"/>
      <c r="C86" s="1550"/>
      <c r="D86" s="952"/>
      <c r="E86" s="1554"/>
      <c r="F86" s="1550"/>
      <c r="G86" s="952"/>
      <c r="H86" s="1550"/>
      <c r="I86" s="952"/>
      <c r="J86" s="952"/>
      <c r="K86" s="952"/>
      <c r="L86" s="952"/>
      <c r="M86" s="952"/>
      <c r="N86" s="952"/>
      <c r="O86" s="952"/>
    </row>
    <row r="87" spans="1:15">
      <c r="A87" s="962"/>
      <c r="B87" s="1552"/>
      <c r="C87" s="1552"/>
      <c r="D87" s="430"/>
      <c r="E87" s="431"/>
      <c r="F87" s="1552"/>
      <c r="G87" s="430"/>
      <c r="H87" s="1552"/>
      <c r="I87" s="430"/>
      <c r="J87" s="430"/>
      <c r="K87" s="430"/>
      <c r="L87" s="430"/>
      <c r="M87" s="430"/>
      <c r="N87" s="430"/>
      <c r="O87" s="430"/>
    </row>
    <row r="88" spans="1:15">
      <c r="A88" s="962"/>
      <c r="B88" s="1550"/>
      <c r="C88" s="1550"/>
      <c r="D88" s="953"/>
      <c r="E88" s="953"/>
      <c r="F88" s="1550"/>
      <c r="G88" s="953"/>
      <c r="H88" s="1550"/>
      <c r="I88" s="953"/>
      <c r="J88" s="953"/>
      <c r="K88" s="953"/>
      <c r="L88" s="953"/>
      <c r="M88" s="953"/>
      <c r="N88" s="953"/>
      <c r="O88" s="953"/>
    </row>
    <row r="89" spans="1:15">
      <c r="A89" s="962"/>
      <c r="B89" s="1550"/>
      <c r="C89" s="1550"/>
      <c r="D89" s="953"/>
      <c r="E89" s="953"/>
      <c r="F89" s="1550"/>
      <c r="G89" s="953"/>
      <c r="H89" s="1550"/>
      <c r="I89" s="953"/>
      <c r="J89" s="953"/>
      <c r="K89" s="953"/>
      <c r="L89" s="953"/>
      <c r="M89" s="953"/>
      <c r="N89" s="953"/>
      <c r="O89" s="953"/>
    </row>
    <row r="90" spans="1:15">
      <c r="A90" s="962"/>
      <c r="B90" s="1550"/>
      <c r="C90" s="1550"/>
      <c r="D90" s="953"/>
      <c r="E90" s="953"/>
      <c r="F90" s="1550"/>
      <c r="G90" s="953"/>
      <c r="H90" s="1550"/>
      <c r="I90" s="953"/>
      <c r="J90" s="953"/>
      <c r="K90" s="953"/>
      <c r="L90" s="953"/>
      <c r="M90" s="953"/>
      <c r="N90" s="953"/>
      <c r="O90" s="953"/>
    </row>
    <row r="91" spans="1:15">
      <c r="A91" s="962"/>
      <c r="B91" s="1550"/>
      <c r="C91" s="1550"/>
      <c r="D91" s="1550"/>
      <c r="E91" s="1550"/>
      <c r="F91" s="1550"/>
      <c r="G91" s="954"/>
      <c r="H91" s="1550"/>
      <c r="I91" s="954"/>
      <c r="J91" s="954"/>
      <c r="K91" s="954"/>
      <c r="L91" s="954"/>
      <c r="M91" s="954"/>
      <c r="N91" s="954"/>
      <c r="O91" s="954"/>
    </row>
    <row r="92" spans="1:15">
      <c r="A92" s="962"/>
      <c r="B92" s="1550"/>
      <c r="C92" s="1550"/>
      <c r="D92" s="1550"/>
      <c r="E92" s="1550"/>
      <c r="F92" s="1550"/>
      <c r="G92" s="955"/>
      <c r="H92" s="1550"/>
      <c r="I92" s="955"/>
      <c r="J92" s="955"/>
      <c r="K92" s="955"/>
      <c r="L92" s="955"/>
      <c r="M92" s="955"/>
      <c r="N92" s="955"/>
      <c r="O92" s="955"/>
    </row>
    <row r="93" spans="1:15">
      <c r="A93" s="962"/>
      <c r="B93" s="950"/>
      <c r="C93" s="950"/>
      <c r="D93" s="950"/>
      <c r="E93" s="950"/>
      <c r="F93" s="950"/>
      <c r="G93" s="956"/>
      <c r="H93" s="950"/>
      <c r="I93" s="956"/>
      <c r="J93" s="956"/>
      <c r="K93" s="956"/>
      <c r="L93" s="956"/>
      <c r="M93" s="956"/>
      <c r="N93" s="956"/>
      <c r="O93" s="956"/>
    </row>
    <row r="94" spans="1:15">
      <c r="A94" s="962"/>
      <c r="B94" s="1550"/>
      <c r="C94" s="1550"/>
      <c r="D94" s="1550"/>
      <c r="E94" s="1550"/>
      <c r="F94" s="1550"/>
      <c r="G94" s="957"/>
      <c r="H94" s="1550"/>
      <c r="I94" s="957"/>
      <c r="J94" s="957"/>
      <c r="K94" s="957"/>
      <c r="L94" s="957"/>
      <c r="M94" s="957"/>
      <c r="N94" s="957"/>
      <c r="O94" s="957"/>
    </row>
    <row r="95" spans="1:15">
      <c r="A95" s="962"/>
      <c r="B95" s="1552"/>
      <c r="C95" s="1552"/>
      <c r="D95" s="1552"/>
      <c r="E95" s="1552"/>
      <c r="F95" s="1552"/>
      <c r="G95" s="957"/>
      <c r="H95" s="1552"/>
      <c r="I95" s="957"/>
      <c r="J95" s="957"/>
      <c r="K95" s="957"/>
      <c r="L95" s="957"/>
      <c r="M95" s="957"/>
      <c r="N95" s="957"/>
      <c r="O95" s="957"/>
    </row>
    <row r="96" spans="1:15">
      <c r="A96" s="962"/>
      <c r="B96" s="1550"/>
      <c r="C96" s="1550"/>
      <c r="D96" s="1550"/>
      <c r="E96" s="1550"/>
      <c r="F96" s="1550"/>
      <c r="G96" s="953"/>
      <c r="H96" s="1550"/>
      <c r="I96" s="953"/>
      <c r="J96" s="953"/>
      <c r="K96" s="953"/>
      <c r="L96" s="953"/>
      <c r="M96" s="953"/>
      <c r="N96" s="953"/>
      <c r="O96" s="953"/>
    </row>
    <row r="97" spans="1:15">
      <c r="A97" s="962"/>
      <c r="B97" s="1550"/>
      <c r="C97" s="1550"/>
      <c r="D97" s="1550"/>
      <c r="E97" s="1550"/>
      <c r="F97" s="1550"/>
      <c r="G97" s="953"/>
      <c r="H97" s="1550"/>
      <c r="I97" s="953"/>
      <c r="J97" s="953"/>
      <c r="K97" s="953"/>
      <c r="L97" s="953"/>
      <c r="M97" s="953"/>
      <c r="N97" s="953"/>
      <c r="O97" s="953"/>
    </row>
    <row r="98" spans="1:15">
      <c r="A98" s="962"/>
      <c r="B98" s="1550"/>
      <c r="C98" s="1550"/>
      <c r="D98" s="1550"/>
      <c r="E98" s="1550"/>
      <c r="F98" s="1550"/>
      <c r="G98" s="953"/>
      <c r="H98" s="1550"/>
      <c r="I98" s="953"/>
      <c r="J98" s="953"/>
      <c r="K98" s="953"/>
      <c r="L98" s="953"/>
      <c r="M98" s="953"/>
      <c r="N98" s="953"/>
      <c r="O98" s="953"/>
    </row>
    <row r="99" spans="1:15">
      <c r="A99" s="962"/>
      <c r="B99" s="1550"/>
      <c r="C99" s="1550"/>
      <c r="D99" s="1550"/>
      <c r="E99" s="1550"/>
      <c r="F99" s="1550"/>
      <c r="G99" s="954"/>
      <c r="H99" s="1550"/>
      <c r="I99" s="954"/>
      <c r="J99" s="954"/>
      <c r="K99" s="954"/>
      <c r="L99" s="954"/>
      <c r="M99" s="954"/>
      <c r="N99" s="954"/>
      <c r="O99" s="954"/>
    </row>
    <row r="100" spans="1:15">
      <c r="A100" s="962"/>
      <c r="B100" s="1550"/>
      <c r="C100" s="1550"/>
      <c r="D100" s="1550"/>
      <c r="E100" s="1550"/>
      <c r="F100" s="1550"/>
      <c r="G100" s="955"/>
      <c r="H100" s="1550"/>
      <c r="I100" s="955"/>
      <c r="J100" s="955"/>
      <c r="K100" s="955"/>
      <c r="L100" s="955"/>
      <c r="M100" s="955"/>
      <c r="N100" s="955"/>
      <c r="O100" s="955"/>
    </row>
    <row r="101" spans="1:15">
      <c r="A101" s="962"/>
      <c r="B101" s="950"/>
      <c r="C101" s="950"/>
      <c r="D101" s="950"/>
      <c r="E101" s="950"/>
      <c r="F101" s="950"/>
      <c r="G101" s="956"/>
      <c r="H101" s="950"/>
      <c r="I101" s="956"/>
      <c r="J101" s="956"/>
      <c r="K101" s="956"/>
      <c r="L101" s="956"/>
      <c r="M101" s="956"/>
      <c r="N101" s="956"/>
      <c r="O101" s="956"/>
    </row>
    <row r="102" spans="1:15">
      <c r="A102" s="962"/>
      <c r="B102" s="1550"/>
      <c r="C102" s="1550"/>
      <c r="D102" s="1550"/>
      <c r="E102" s="1550"/>
      <c r="F102" s="1550"/>
      <c r="G102" s="957"/>
      <c r="H102" s="1550"/>
      <c r="I102" s="957"/>
      <c r="J102" s="957"/>
      <c r="K102" s="957"/>
      <c r="L102" s="957"/>
      <c r="M102" s="957"/>
      <c r="N102" s="957"/>
      <c r="O102" s="957"/>
    </row>
    <row r="103" spans="1:15">
      <c r="A103" s="962"/>
      <c r="B103" s="1552"/>
      <c r="C103" s="1552"/>
      <c r="D103" s="1552"/>
      <c r="E103" s="1552"/>
      <c r="F103" s="1552"/>
      <c r="G103" s="957"/>
      <c r="H103" s="1552"/>
      <c r="I103" s="957"/>
      <c r="J103" s="957"/>
      <c r="K103" s="957"/>
      <c r="L103" s="957"/>
      <c r="M103" s="957"/>
      <c r="N103" s="957"/>
      <c r="O103" s="957"/>
    </row>
    <row r="104" spans="1:15">
      <c r="A104" s="962"/>
      <c r="B104" s="1550"/>
      <c r="C104" s="1550"/>
      <c r="D104" s="1550"/>
      <c r="E104" s="1550"/>
      <c r="F104" s="1550"/>
      <c r="G104" s="953"/>
      <c r="H104" s="1550"/>
      <c r="I104" s="953"/>
      <c r="J104" s="953"/>
      <c r="K104" s="953"/>
      <c r="L104" s="953"/>
      <c r="M104" s="953"/>
      <c r="N104" s="953"/>
      <c r="O104" s="953"/>
    </row>
    <row r="105" spans="1:15">
      <c r="A105" s="962"/>
      <c r="B105" s="1550"/>
      <c r="C105" s="1550"/>
      <c r="D105" s="1550"/>
      <c r="E105" s="1550"/>
      <c r="F105" s="1550"/>
      <c r="G105" s="953"/>
      <c r="H105" s="1550"/>
      <c r="I105" s="953"/>
      <c r="J105" s="953"/>
      <c r="K105" s="953"/>
      <c r="L105" s="953"/>
      <c r="M105" s="953"/>
      <c r="N105" s="953"/>
      <c r="O105" s="953"/>
    </row>
    <row r="106" spans="1:15">
      <c r="A106" s="962"/>
      <c r="B106" s="1550"/>
      <c r="C106" s="1550"/>
      <c r="D106" s="1550"/>
      <c r="E106" s="1550"/>
      <c r="F106" s="1550"/>
      <c r="G106" s="953"/>
      <c r="H106" s="1550"/>
      <c r="I106" s="953"/>
      <c r="J106" s="953"/>
      <c r="K106" s="953"/>
      <c r="L106" s="953"/>
      <c r="M106" s="953"/>
      <c r="N106" s="953"/>
      <c r="O106" s="953"/>
    </row>
    <row r="107" spans="1:15">
      <c r="A107" s="962"/>
      <c r="B107" s="1550"/>
      <c r="C107" s="1550"/>
      <c r="D107" s="1550"/>
      <c r="E107" s="1550"/>
      <c r="F107" s="1550"/>
      <c r="G107" s="954"/>
      <c r="H107" s="1550"/>
      <c r="I107" s="954"/>
      <c r="J107" s="954"/>
      <c r="K107" s="954"/>
      <c r="L107" s="954"/>
      <c r="M107" s="954"/>
      <c r="N107" s="954"/>
      <c r="O107" s="954"/>
    </row>
    <row r="108" spans="1:15">
      <c r="A108" s="962"/>
      <c r="B108" s="1550"/>
      <c r="C108" s="1550"/>
      <c r="D108" s="1550"/>
      <c r="E108" s="1550"/>
      <c r="F108" s="1550"/>
      <c r="G108" s="955"/>
      <c r="H108" s="1550"/>
      <c r="I108" s="955"/>
      <c r="J108" s="955"/>
      <c r="K108" s="955"/>
      <c r="L108" s="955"/>
      <c r="M108" s="955"/>
      <c r="N108" s="955"/>
      <c r="O108" s="955"/>
    </row>
    <row r="109" spans="1:15">
      <c r="A109" s="962"/>
      <c r="B109" s="950"/>
      <c r="C109" s="950"/>
      <c r="D109" s="950"/>
      <c r="E109" s="950"/>
      <c r="F109" s="950"/>
      <c r="G109" s="956"/>
      <c r="H109" s="950"/>
      <c r="I109" s="956"/>
      <c r="J109" s="956"/>
      <c r="K109" s="956"/>
      <c r="L109" s="956"/>
      <c r="M109" s="956"/>
      <c r="N109" s="956"/>
      <c r="O109" s="956"/>
    </row>
    <row r="110" spans="1:15">
      <c r="A110" s="962"/>
      <c r="B110" s="1550"/>
      <c r="C110" s="1550"/>
      <c r="D110" s="1550"/>
      <c r="E110" s="1550"/>
      <c r="F110" s="1550"/>
      <c r="G110" s="950"/>
      <c r="H110" s="1550"/>
      <c r="I110" s="950"/>
      <c r="J110" s="950"/>
      <c r="K110" s="950"/>
      <c r="L110" s="950"/>
      <c r="M110" s="950"/>
      <c r="N110" s="950"/>
      <c r="O110" s="950"/>
    </row>
    <row r="111" spans="1:15">
      <c r="A111" s="962"/>
      <c r="B111" s="1552"/>
      <c r="C111" s="1552"/>
      <c r="D111" s="1552"/>
      <c r="E111" s="1552"/>
      <c r="F111" s="1552"/>
      <c r="G111" s="950"/>
      <c r="H111" s="1552"/>
      <c r="I111" s="950"/>
      <c r="J111" s="950"/>
      <c r="K111" s="950"/>
      <c r="L111" s="950"/>
      <c r="M111" s="950"/>
      <c r="N111" s="950"/>
      <c r="O111" s="950"/>
    </row>
    <row r="112" spans="1:15">
      <c r="A112" s="962"/>
      <c r="B112" s="1550"/>
      <c r="C112" s="1550"/>
      <c r="D112" s="1550"/>
      <c r="E112" s="1550"/>
      <c r="F112" s="1550"/>
      <c r="G112" s="943"/>
      <c r="H112" s="1550"/>
      <c r="I112" s="943"/>
      <c r="J112" s="943"/>
      <c r="K112" s="943"/>
      <c r="L112" s="943"/>
      <c r="M112" s="943"/>
      <c r="N112" s="943"/>
      <c r="O112" s="943"/>
    </row>
    <row r="113" spans="1:15">
      <c r="A113" s="962"/>
      <c r="B113" s="1550"/>
      <c r="C113" s="1550"/>
      <c r="D113" s="1550"/>
      <c r="E113" s="1550"/>
      <c r="F113" s="1550"/>
      <c r="G113" s="943"/>
      <c r="H113" s="1550"/>
      <c r="I113" s="943"/>
      <c r="J113" s="943"/>
      <c r="K113" s="943"/>
      <c r="L113" s="943"/>
      <c r="M113" s="943"/>
      <c r="N113" s="943"/>
      <c r="O113" s="943"/>
    </row>
    <row r="114" spans="1:15">
      <c r="A114" s="962"/>
      <c r="B114" s="1550"/>
      <c r="C114" s="1550"/>
      <c r="D114" s="1550"/>
      <c r="E114" s="1550"/>
      <c r="F114" s="1550"/>
      <c r="G114" s="943"/>
      <c r="H114" s="1550"/>
      <c r="I114" s="943"/>
      <c r="J114" s="943"/>
      <c r="K114" s="943"/>
      <c r="L114" s="943"/>
      <c r="M114" s="943"/>
      <c r="N114" s="943"/>
      <c r="O114" s="943"/>
    </row>
    <row r="115" spans="1:15">
      <c r="A115" s="950"/>
      <c r="B115" s="950"/>
      <c r="C115" s="950"/>
      <c r="D115" s="950"/>
      <c r="E115" s="950"/>
      <c r="F115" s="950"/>
      <c r="G115" s="944"/>
      <c r="H115" s="950"/>
      <c r="I115" s="944"/>
      <c r="J115" s="950"/>
      <c r="K115" s="950"/>
      <c r="L115" s="950"/>
      <c r="M115" s="1129"/>
      <c r="N115" s="944"/>
      <c r="O115" s="944"/>
    </row>
    <row r="116" spans="1:15">
      <c r="A116" s="950"/>
      <c r="B116" s="1549"/>
      <c r="C116" s="1549"/>
      <c r="D116" s="1549"/>
      <c r="E116" s="1549"/>
      <c r="F116" s="1549"/>
      <c r="G116" s="944"/>
      <c r="H116" s="1549"/>
      <c r="I116" s="944"/>
      <c r="J116" s="950"/>
      <c r="K116" s="950"/>
      <c r="L116" s="950"/>
      <c r="M116" s="1129"/>
      <c r="N116" s="944"/>
      <c r="O116" s="944"/>
    </row>
    <row r="117" spans="1:15">
      <c r="A117" s="950"/>
      <c r="B117" s="1550"/>
      <c r="C117" s="1550"/>
      <c r="D117" s="1550"/>
      <c r="E117" s="1550"/>
      <c r="F117" s="1550"/>
      <c r="G117" s="944"/>
      <c r="H117" s="1550"/>
      <c r="I117" s="944"/>
      <c r="J117" s="950"/>
      <c r="K117" s="950"/>
      <c r="L117" s="950"/>
      <c r="M117" s="1129"/>
      <c r="N117" s="944"/>
      <c r="O117" s="944"/>
    </row>
    <row r="118" spans="1:15">
      <c r="A118" s="950"/>
      <c r="B118" s="950"/>
      <c r="C118" s="950"/>
      <c r="D118" s="950"/>
      <c r="E118" s="950"/>
      <c r="F118" s="950"/>
      <c r="G118" s="944"/>
      <c r="H118" s="950"/>
      <c r="I118" s="944"/>
      <c r="J118" s="950"/>
      <c r="K118" s="950"/>
      <c r="L118" s="950"/>
      <c r="M118" s="1129"/>
      <c r="N118" s="944"/>
      <c r="O118" s="944"/>
    </row>
    <row r="119" spans="1:15">
      <c r="A119" s="950"/>
      <c r="B119" s="950"/>
      <c r="C119" s="950"/>
      <c r="D119" s="950"/>
      <c r="E119" s="950"/>
      <c r="F119" s="950"/>
      <c r="G119" s="944"/>
      <c r="H119" s="950"/>
      <c r="I119" s="944"/>
      <c r="J119" s="950"/>
      <c r="K119" s="950"/>
      <c r="L119" s="950"/>
      <c r="M119" s="1129"/>
      <c r="N119" s="944"/>
      <c r="O119" s="944"/>
    </row>
    <row r="120" spans="1:15">
      <c r="A120" s="950"/>
      <c r="B120" s="950"/>
      <c r="C120" s="950"/>
      <c r="D120" s="950"/>
      <c r="E120" s="950"/>
      <c r="F120" s="950"/>
      <c r="G120" s="944"/>
      <c r="H120" s="950"/>
      <c r="I120" s="944"/>
      <c r="J120" s="950"/>
      <c r="K120" s="950"/>
      <c r="L120" s="950"/>
      <c r="M120" s="1129"/>
      <c r="N120" s="944"/>
      <c r="O120" s="944"/>
    </row>
    <row r="121" spans="1:15">
      <c r="A121" s="962"/>
      <c r="B121" s="950"/>
      <c r="C121" s="950"/>
      <c r="D121" s="950"/>
      <c r="E121" s="950"/>
      <c r="F121" s="950"/>
      <c r="G121" s="950"/>
      <c r="H121" s="950"/>
      <c r="I121" s="950"/>
      <c r="J121" s="950"/>
      <c r="K121" s="950"/>
      <c r="L121" s="950"/>
      <c r="M121" s="950"/>
      <c r="N121" s="950"/>
      <c r="O121" s="950"/>
    </row>
    <row r="122" spans="1:15">
      <c r="A122" s="1551"/>
      <c r="B122" s="1552"/>
      <c r="C122" s="1552"/>
      <c r="D122" s="1552"/>
      <c r="E122" s="1552"/>
      <c r="F122" s="1552"/>
      <c r="G122" s="950"/>
      <c r="H122" s="1552"/>
      <c r="I122" s="950"/>
      <c r="J122" s="950"/>
      <c r="K122" s="950"/>
      <c r="L122" s="950"/>
      <c r="M122" s="950"/>
      <c r="N122" s="950"/>
      <c r="O122" s="950"/>
    </row>
    <row r="123" spans="1:15">
      <c r="A123" s="962"/>
      <c r="B123" s="1550"/>
      <c r="C123" s="1550"/>
      <c r="D123" s="1550"/>
      <c r="E123" s="1550"/>
      <c r="F123" s="1550"/>
      <c r="G123" s="951"/>
      <c r="H123" s="1550"/>
      <c r="I123" s="951"/>
      <c r="J123" s="1553"/>
      <c r="K123" s="951"/>
      <c r="L123" s="951"/>
      <c r="M123" s="951"/>
      <c r="N123" s="951"/>
      <c r="O123" s="951"/>
    </row>
    <row r="124" spans="1:15">
      <c r="A124" s="962"/>
      <c r="B124" s="1550"/>
      <c r="C124" s="1550"/>
      <c r="D124" s="1550"/>
      <c r="E124" s="1550"/>
      <c r="F124" s="1550"/>
      <c r="G124" s="952"/>
      <c r="H124" s="1550"/>
      <c r="I124" s="952"/>
      <c r="J124" s="952"/>
      <c r="K124" s="952"/>
      <c r="L124" s="952"/>
      <c r="M124" s="952"/>
      <c r="N124" s="952"/>
      <c r="O124" s="952"/>
    </row>
    <row r="125" spans="1:15">
      <c r="A125" s="962"/>
      <c r="B125" s="1552"/>
      <c r="C125" s="1552"/>
      <c r="D125" s="1552"/>
      <c r="E125" s="1552"/>
      <c r="F125" s="1552"/>
      <c r="G125" s="430"/>
      <c r="H125" s="1552"/>
      <c r="I125" s="430"/>
      <c r="J125" s="430"/>
      <c r="K125" s="430"/>
      <c r="L125" s="430"/>
      <c r="M125" s="430"/>
      <c r="N125" s="430"/>
      <c r="O125" s="430"/>
    </row>
    <row r="126" spans="1:15">
      <c r="A126" s="962"/>
      <c r="B126" s="1550"/>
      <c r="C126" s="1550"/>
      <c r="D126" s="1550"/>
      <c r="E126" s="1550"/>
      <c r="F126" s="1550"/>
      <c r="G126" s="958"/>
      <c r="H126" s="1550"/>
      <c r="I126" s="958"/>
      <c r="J126" s="958"/>
      <c r="K126" s="958"/>
      <c r="L126" s="958"/>
      <c r="M126" s="958"/>
      <c r="N126" s="958"/>
      <c r="O126" s="958"/>
    </row>
    <row r="127" spans="1:15">
      <c r="A127" s="962"/>
      <c r="B127" s="1550"/>
      <c r="C127" s="1550"/>
      <c r="D127" s="1550"/>
      <c r="E127" s="1550"/>
      <c r="F127" s="1550"/>
      <c r="G127" s="958"/>
      <c r="H127" s="1550"/>
      <c r="I127" s="958"/>
      <c r="J127" s="958"/>
      <c r="K127" s="958"/>
      <c r="L127" s="958"/>
      <c r="M127" s="958"/>
      <c r="N127" s="958"/>
      <c r="O127" s="958"/>
    </row>
    <row r="128" spans="1:15">
      <c r="A128" s="962"/>
      <c r="B128" s="1550"/>
      <c r="C128" s="1550"/>
      <c r="D128" s="1550"/>
      <c r="E128" s="1550"/>
      <c r="F128" s="1550"/>
      <c r="G128" s="958"/>
      <c r="H128" s="1550"/>
      <c r="I128" s="958"/>
      <c r="J128" s="958"/>
      <c r="K128" s="958"/>
      <c r="L128" s="958"/>
      <c r="M128" s="958"/>
      <c r="N128" s="958"/>
      <c r="O128" s="958"/>
    </row>
    <row r="129" spans="1:15">
      <c r="A129" s="962"/>
      <c r="B129" s="1550"/>
      <c r="C129" s="1550"/>
      <c r="D129" s="1550"/>
      <c r="E129" s="1550"/>
      <c r="F129" s="1550"/>
      <c r="G129" s="954"/>
      <c r="H129" s="1550"/>
      <c r="I129" s="954"/>
      <c r="J129" s="954"/>
      <c r="K129" s="954"/>
      <c r="L129" s="954"/>
      <c r="M129" s="954"/>
      <c r="N129" s="954"/>
      <c r="O129" s="954"/>
    </row>
    <row r="130" spans="1:15">
      <c r="A130" s="962"/>
      <c r="B130" s="1550"/>
      <c r="C130" s="1550"/>
      <c r="D130" s="1550"/>
      <c r="E130" s="1550"/>
      <c r="F130" s="1550"/>
      <c r="G130" s="959"/>
      <c r="H130" s="1550"/>
      <c r="I130" s="959"/>
      <c r="J130" s="959"/>
      <c r="K130" s="959"/>
      <c r="L130" s="959"/>
      <c r="M130" s="959"/>
      <c r="N130" s="959"/>
      <c r="O130" s="959"/>
    </row>
    <row r="131" spans="1:15">
      <c r="A131" s="962"/>
      <c r="B131" s="950"/>
      <c r="C131" s="950"/>
      <c r="D131" s="950"/>
      <c r="E131" s="950"/>
      <c r="F131" s="950"/>
      <c r="G131" s="960"/>
      <c r="H131" s="950"/>
      <c r="I131" s="960"/>
      <c r="J131" s="960"/>
      <c r="K131" s="960"/>
      <c r="L131" s="960"/>
      <c r="M131" s="960"/>
      <c r="N131" s="960"/>
      <c r="O131" s="960"/>
    </row>
    <row r="132" spans="1:15">
      <c r="A132" s="962"/>
      <c r="B132" s="1550"/>
      <c r="C132" s="1550"/>
      <c r="D132" s="1550"/>
      <c r="E132" s="1550"/>
      <c r="F132" s="1550"/>
      <c r="G132" s="950"/>
      <c r="H132" s="1550"/>
      <c r="I132" s="950"/>
      <c r="J132" s="950"/>
      <c r="K132" s="950"/>
      <c r="L132" s="950"/>
      <c r="M132" s="950"/>
      <c r="N132" s="950"/>
      <c r="O132" s="950"/>
    </row>
    <row r="133" spans="1:15">
      <c r="A133" s="962"/>
      <c r="B133" s="1552"/>
      <c r="C133" s="1552"/>
      <c r="D133" s="1552"/>
      <c r="E133" s="1552"/>
      <c r="F133" s="1552"/>
      <c r="G133" s="950"/>
      <c r="H133" s="1552"/>
      <c r="I133" s="950"/>
      <c r="J133" s="950"/>
      <c r="K133" s="950"/>
      <c r="L133" s="950"/>
      <c r="M133" s="950"/>
      <c r="N133" s="950"/>
      <c r="O133" s="950"/>
    </row>
    <row r="134" spans="1:15">
      <c r="A134" s="962"/>
      <c r="B134" s="1550"/>
      <c r="C134" s="1550"/>
      <c r="D134" s="1550"/>
      <c r="E134" s="1550"/>
      <c r="F134" s="1550"/>
      <c r="G134" s="953"/>
      <c r="H134" s="1550"/>
      <c r="I134" s="953"/>
      <c r="J134" s="953"/>
      <c r="K134" s="953"/>
      <c r="L134" s="953"/>
      <c r="M134" s="953"/>
      <c r="N134" s="953"/>
      <c r="O134" s="953"/>
    </row>
    <row r="135" spans="1:15">
      <c r="A135" s="962"/>
      <c r="B135" s="1550"/>
      <c r="C135" s="1550"/>
      <c r="D135" s="1550"/>
      <c r="E135" s="1550"/>
      <c r="F135" s="1550"/>
      <c r="G135" s="953"/>
      <c r="H135" s="1550"/>
      <c r="I135" s="953"/>
      <c r="J135" s="953"/>
      <c r="K135" s="953"/>
      <c r="L135" s="953"/>
      <c r="M135" s="953"/>
      <c r="N135" s="953"/>
      <c r="O135" s="953"/>
    </row>
    <row r="136" spans="1:15">
      <c r="A136" s="962"/>
      <c r="B136" s="1550"/>
      <c r="C136" s="1550"/>
      <c r="D136" s="1550"/>
      <c r="E136" s="1550"/>
      <c r="F136" s="1550"/>
      <c r="G136" s="953"/>
      <c r="H136" s="1550"/>
      <c r="I136" s="953"/>
      <c r="J136" s="953"/>
      <c r="K136" s="953"/>
      <c r="L136" s="953"/>
      <c r="M136" s="953"/>
      <c r="N136" s="953"/>
      <c r="O136" s="953"/>
    </row>
    <row r="137" spans="1:15">
      <c r="A137" s="962"/>
      <c r="B137" s="1550"/>
      <c r="C137" s="1550"/>
      <c r="D137" s="1550"/>
      <c r="E137" s="1550"/>
      <c r="F137" s="1550"/>
      <c r="G137" s="961"/>
      <c r="H137" s="1550"/>
      <c r="I137" s="961"/>
      <c r="J137" s="961"/>
      <c r="K137" s="961"/>
      <c r="L137" s="961"/>
      <c r="M137" s="961"/>
      <c r="N137" s="961"/>
      <c r="O137" s="961"/>
    </row>
    <row r="138" spans="1:15">
      <c r="A138" s="962"/>
      <c r="B138" s="1550"/>
      <c r="C138" s="1550"/>
      <c r="D138" s="1550"/>
      <c r="E138" s="1550"/>
      <c r="F138" s="1550"/>
      <c r="G138" s="959"/>
      <c r="H138" s="1550"/>
      <c r="I138" s="959"/>
      <c r="J138" s="959"/>
      <c r="K138" s="959"/>
      <c r="L138" s="959"/>
      <c r="M138" s="959"/>
      <c r="N138" s="959"/>
      <c r="O138" s="959"/>
    </row>
    <row r="139" spans="1:15">
      <c r="A139" s="962"/>
      <c r="B139" s="950"/>
      <c r="C139" s="950"/>
      <c r="D139" s="950"/>
      <c r="E139" s="950"/>
      <c r="F139" s="950"/>
      <c r="G139" s="960"/>
      <c r="H139" s="950"/>
      <c r="I139" s="960"/>
      <c r="J139" s="960"/>
      <c r="K139" s="960"/>
      <c r="L139" s="960"/>
      <c r="M139" s="960"/>
      <c r="N139" s="960"/>
      <c r="O139" s="960"/>
    </row>
    <row r="140" spans="1:15">
      <c r="A140" s="962"/>
      <c r="B140" s="1550"/>
      <c r="C140" s="1550"/>
      <c r="D140" s="1550"/>
      <c r="E140" s="1550"/>
      <c r="F140" s="1550"/>
      <c r="G140" s="950"/>
      <c r="H140" s="1550"/>
      <c r="I140" s="950"/>
      <c r="J140" s="950"/>
      <c r="K140" s="950"/>
      <c r="L140" s="950"/>
      <c r="M140" s="950"/>
      <c r="N140" s="950"/>
      <c r="O140" s="950"/>
    </row>
    <row r="141" spans="1:15">
      <c r="A141" s="962"/>
      <c r="B141" s="1552"/>
      <c r="C141" s="1552"/>
      <c r="D141" s="1552"/>
      <c r="E141" s="1552"/>
      <c r="F141" s="1552"/>
      <c r="G141" s="950"/>
      <c r="H141" s="1552"/>
      <c r="I141" s="950"/>
      <c r="J141" s="950"/>
      <c r="K141" s="950"/>
      <c r="L141" s="950"/>
      <c r="M141" s="950"/>
      <c r="N141" s="950"/>
      <c r="O141" s="950"/>
    </row>
    <row r="142" spans="1:15">
      <c r="A142" s="962"/>
      <c r="B142" s="1550"/>
      <c r="C142" s="1550"/>
      <c r="D142" s="1550"/>
      <c r="E142" s="1550"/>
      <c r="F142" s="1550"/>
      <c r="G142" s="953"/>
      <c r="H142" s="1550"/>
      <c r="I142" s="953"/>
      <c r="J142" s="953"/>
      <c r="K142" s="953"/>
      <c r="L142" s="953"/>
      <c r="M142" s="953"/>
      <c r="N142" s="953"/>
      <c r="O142" s="953"/>
    </row>
    <row r="143" spans="1:15">
      <c r="A143" s="962"/>
      <c r="B143" s="1550"/>
      <c r="C143" s="1550"/>
      <c r="D143" s="1550"/>
      <c r="E143" s="1550"/>
      <c r="F143" s="1550"/>
      <c r="G143" s="953"/>
      <c r="H143" s="1550"/>
      <c r="I143" s="953"/>
      <c r="J143" s="953"/>
      <c r="K143" s="953"/>
      <c r="L143" s="953"/>
      <c r="M143" s="953"/>
      <c r="N143" s="953"/>
      <c r="O143" s="953"/>
    </row>
    <row r="144" spans="1:15">
      <c r="A144" s="962"/>
      <c r="B144" s="1550"/>
      <c r="C144" s="1550"/>
      <c r="D144" s="1550"/>
      <c r="E144" s="1550"/>
      <c r="F144" s="1550"/>
      <c r="G144" s="953"/>
      <c r="H144" s="1550"/>
      <c r="I144" s="953"/>
      <c r="J144" s="953"/>
      <c r="K144" s="953"/>
      <c r="L144" s="953"/>
      <c r="M144" s="953"/>
      <c r="N144" s="953"/>
      <c r="O144" s="953"/>
    </row>
    <row r="145" spans="1:15">
      <c r="A145" s="962"/>
      <c r="B145" s="1550"/>
      <c r="C145" s="1550"/>
      <c r="D145" s="1550"/>
      <c r="E145" s="1550"/>
      <c r="F145" s="1550"/>
      <c r="G145" s="961"/>
      <c r="H145" s="1550"/>
      <c r="I145" s="961"/>
      <c r="J145" s="961"/>
      <c r="K145" s="961"/>
      <c r="L145" s="961"/>
      <c r="M145" s="961"/>
      <c r="N145" s="961"/>
      <c r="O145" s="961"/>
    </row>
    <row r="146" spans="1:15">
      <c r="A146" s="962"/>
      <c r="B146" s="1550"/>
      <c r="C146" s="1550"/>
      <c r="D146" s="1550"/>
      <c r="E146" s="1550"/>
      <c r="F146" s="1550"/>
      <c r="G146" s="959"/>
      <c r="H146" s="1550"/>
      <c r="I146" s="959"/>
      <c r="J146" s="959"/>
      <c r="K146" s="959"/>
      <c r="L146" s="959"/>
      <c r="M146" s="959"/>
      <c r="N146" s="959"/>
      <c r="O146" s="959"/>
    </row>
    <row r="147" spans="1:15">
      <c r="A147" s="962"/>
      <c r="B147" s="950"/>
      <c r="C147" s="950"/>
      <c r="D147" s="950"/>
      <c r="E147" s="950"/>
      <c r="F147" s="950"/>
      <c r="G147" s="960"/>
      <c r="H147" s="950"/>
      <c r="I147" s="960"/>
      <c r="J147" s="960"/>
      <c r="K147" s="960"/>
      <c r="L147" s="960"/>
      <c r="M147" s="960"/>
      <c r="N147" s="960"/>
      <c r="O147" s="960"/>
    </row>
    <row r="148" spans="1:15">
      <c r="A148" s="962"/>
      <c r="B148" s="1550"/>
      <c r="C148" s="1550"/>
      <c r="D148" s="1550"/>
      <c r="E148" s="1550"/>
      <c r="F148" s="1550"/>
      <c r="G148" s="950"/>
      <c r="H148" s="1550"/>
      <c r="I148" s="950"/>
      <c r="J148" s="950"/>
      <c r="K148" s="950"/>
      <c r="L148" s="950"/>
      <c r="M148" s="950"/>
      <c r="N148" s="950"/>
      <c r="O148" s="950"/>
    </row>
    <row r="149" spans="1:15">
      <c r="A149" s="962"/>
      <c r="B149" s="1552"/>
      <c r="C149" s="1552"/>
      <c r="D149" s="1552"/>
      <c r="E149" s="1552"/>
      <c r="F149" s="1552"/>
      <c r="G149" s="950"/>
      <c r="H149" s="1552"/>
      <c r="I149" s="950"/>
      <c r="J149" s="950"/>
      <c r="K149" s="950"/>
      <c r="L149" s="950"/>
      <c r="M149" s="950"/>
      <c r="N149" s="950"/>
      <c r="O149" s="950"/>
    </row>
    <row r="150" spans="1:15">
      <c r="A150" s="962"/>
      <c r="B150" s="1550"/>
      <c r="C150" s="1550"/>
      <c r="D150" s="1550"/>
      <c r="E150" s="1550"/>
      <c r="F150" s="1550"/>
      <c r="G150" s="953"/>
      <c r="H150" s="1550"/>
      <c r="I150" s="953"/>
      <c r="J150" s="953"/>
      <c r="K150" s="953"/>
      <c r="L150" s="953"/>
      <c r="M150" s="953"/>
      <c r="N150" s="953"/>
      <c r="O150" s="953"/>
    </row>
    <row r="151" spans="1:15">
      <c r="A151" s="962"/>
      <c r="B151" s="1550"/>
      <c r="C151" s="1550"/>
      <c r="D151" s="1550"/>
      <c r="E151" s="1550"/>
      <c r="F151" s="1550"/>
      <c r="G151" s="953"/>
      <c r="H151" s="1550"/>
      <c r="I151" s="953"/>
      <c r="J151" s="953"/>
      <c r="K151" s="953"/>
      <c r="L151" s="953"/>
      <c r="M151" s="953"/>
      <c r="N151" s="953"/>
      <c r="O151" s="953"/>
    </row>
    <row r="152" spans="1:15">
      <c r="A152" s="962"/>
      <c r="B152" s="1550"/>
      <c r="C152" s="1550"/>
      <c r="D152" s="1550"/>
      <c r="E152" s="1550"/>
      <c r="F152" s="1550"/>
      <c r="G152" s="953"/>
      <c r="H152" s="1550"/>
      <c r="I152" s="953"/>
      <c r="J152" s="953"/>
      <c r="K152" s="953"/>
      <c r="L152" s="953"/>
      <c r="M152" s="953"/>
      <c r="N152" s="953"/>
      <c r="O152" s="953"/>
    </row>
    <row r="153" spans="1:15">
      <c r="A153" s="1550"/>
      <c r="B153" s="950"/>
      <c r="C153" s="950"/>
      <c r="D153" s="950"/>
      <c r="E153" s="950"/>
      <c r="F153" s="950"/>
      <c r="G153" s="950"/>
      <c r="H153" s="950"/>
      <c r="I153" s="950"/>
      <c r="J153" s="950"/>
      <c r="K153" s="950"/>
      <c r="L153" s="950"/>
      <c r="M153" s="950"/>
      <c r="N153" s="950"/>
      <c r="O153" s="950"/>
    </row>
    <row r="154" spans="1:15">
      <c r="A154" s="950"/>
      <c r="B154" s="950"/>
      <c r="C154" s="950"/>
      <c r="D154" s="950"/>
      <c r="E154" s="950"/>
      <c r="F154" s="950"/>
      <c r="G154" s="950"/>
      <c r="H154" s="950"/>
      <c r="I154" s="950"/>
      <c r="J154" s="950"/>
      <c r="K154" s="950"/>
      <c r="L154" s="950"/>
      <c r="M154" s="1550"/>
      <c r="N154" s="950"/>
      <c r="O154" s="950"/>
    </row>
    <row r="155" spans="1:15">
      <c r="A155" s="950"/>
      <c r="B155" s="1549"/>
      <c r="C155" s="1549"/>
      <c r="D155" s="1549"/>
      <c r="E155" s="1549"/>
      <c r="F155" s="1549"/>
      <c r="G155" s="944"/>
      <c r="H155" s="1549"/>
      <c r="I155" s="944"/>
      <c r="J155" s="950"/>
      <c r="K155" s="950"/>
      <c r="L155" s="950"/>
      <c r="M155" s="1129"/>
      <c r="N155" s="944"/>
      <c r="O155" s="944"/>
    </row>
    <row r="156" spans="1:15">
      <c r="A156" s="950"/>
      <c r="B156" s="1550"/>
      <c r="C156" s="1550"/>
      <c r="D156" s="1550"/>
      <c r="E156" s="1550"/>
      <c r="F156" s="1550"/>
      <c r="G156" s="950"/>
      <c r="H156" s="1550"/>
      <c r="I156" s="950"/>
      <c r="J156" s="950"/>
      <c r="K156" s="950"/>
      <c r="L156" s="950"/>
      <c r="M156" s="1550"/>
      <c r="N156" s="950"/>
      <c r="O156" s="950"/>
    </row>
    <row r="157" spans="1:15">
      <c r="A157" s="950"/>
      <c r="B157" s="950"/>
      <c r="C157" s="950"/>
      <c r="D157" s="950"/>
      <c r="E157" s="950"/>
      <c r="F157" s="950"/>
      <c r="G157" s="950"/>
      <c r="H157" s="950"/>
      <c r="I157" s="950"/>
      <c r="J157" s="950"/>
      <c r="K157" s="950"/>
      <c r="L157" s="950"/>
      <c r="M157" s="1550"/>
      <c r="N157" s="950"/>
      <c r="O157" s="950"/>
    </row>
    <row r="158" spans="1:15">
      <c r="A158" s="950"/>
      <c r="B158" s="950"/>
      <c r="C158" s="950"/>
      <c r="D158" s="950"/>
      <c r="E158" s="950"/>
      <c r="F158" s="950"/>
      <c r="G158" s="950"/>
      <c r="H158" s="950"/>
      <c r="I158" s="950"/>
      <c r="J158" s="950"/>
      <c r="K158" s="950"/>
      <c r="L158" s="950"/>
      <c r="M158" s="1549"/>
      <c r="N158" s="950"/>
      <c r="O158" s="950"/>
    </row>
    <row r="159" spans="1:15">
      <c r="A159" s="962"/>
      <c r="B159" s="950"/>
      <c r="C159" s="950"/>
      <c r="D159" s="950"/>
      <c r="E159" s="950"/>
      <c r="F159" s="950"/>
      <c r="G159" s="950"/>
      <c r="H159" s="950"/>
      <c r="I159" s="950"/>
      <c r="J159" s="950"/>
      <c r="K159" s="950"/>
      <c r="L159" s="950"/>
      <c r="M159" s="950"/>
      <c r="N159" s="950"/>
      <c r="O159" s="950"/>
    </row>
    <row r="160" spans="1:15">
      <c r="A160" s="1551"/>
      <c r="B160" s="1552"/>
      <c r="C160" s="1552"/>
      <c r="D160" s="1552"/>
      <c r="E160" s="1552"/>
      <c r="F160" s="1552"/>
      <c r="G160" s="950"/>
      <c r="H160" s="1552"/>
      <c r="I160" s="950"/>
      <c r="J160" s="950"/>
      <c r="K160" s="950"/>
      <c r="L160" s="950"/>
      <c r="M160" s="950"/>
      <c r="N160" s="950"/>
      <c r="O160" s="950"/>
    </row>
    <row r="161" spans="1:15">
      <c r="A161" s="962"/>
      <c r="B161" s="1550"/>
      <c r="C161" s="1550"/>
      <c r="D161" s="1550"/>
      <c r="E161" s="1550"/>
      <c r="F161" s="1550"/>
      <c r="G161" s="951"/>
      <c r="H161" s="1550"/>
      <c r="I161" s="951"/>
      <c r="J161" s="1553"/>
      <c r="K161" s="951"/>
      <c r="L161" s="951"/>
      <c r="M161" s="951"/>
      <c r="N161" s="951"/>
      <c r="O161" s="951"/>
    </row>
    <row r="162" spans="1:15">
      <c r="A162" s="962"/>
      <c r="B162" s="1550"/>
      <c r="C162" s="1550"/>
      <c r="D162" s="1550"/>
      <c r="E162" s="1550"/>
      <c r="F162" s="1550"/>
      <c r="G162" s="952"/>
      <c r="H162" s="1550"/>
      <c r="I162" s="952"/>
      <c r="J162" s="952"/>
      <c r="K162" s="952"/>
      <c r="L162" s="952"/>
      <c r="M162" s="952"/>
      <c r="N162" s="952"/>
      <c r="O162" s="952"/>
    </row>
    <row r="163" spans="1:15">
      <c r="A163" s="962"/>
      <c r="B163" s="1552"/>
      <c r="C163" s="1552"/>
      <c r="D163" s="1552"/>
      <c r="E163" s="1552"/>
      <c r="F163" s="1552"/>
      <c r="G163" s="430"/>
      <c r="H163" s="1552"/>
      <c r="I163" s="430"/>
      <c r="J163" s="430"/>
      <c r="K163" s="430"/>
      <c r="L163" s="430"/>
      <c r="M163" s="430"/>
      <c r="N163" s="430"/>
      <c r="O163" s="430"/>
    </row>
    <row r="164" spans="1:15">
      <c r="A164" s="962"/>
      <c r="B164" s="1550"/>
      <c r="C164" s="1550"/>
      <c r="D164" s="1550"/>
      <c r="E164" s="1550"/>
      <c r="F164" s="1550"/>
      <c r="G164" s="953"/>
      <c r="H164" s="1550"/>
      <c r="I164" s="953"/>
      <c r="J164" s="953"/>
      <c r="K164" s="953"/>
      <c r="L164" s="953"/>
      <c r="M164" s="953"/>
      <c r="N164" s="953"/>
      <c r="O164" s="953"/>
    </row>
    <row r="165" spans="1:15">
      <c r="A165" s="962"/>
      <c r="B165" s="1550"/>
      <c r="C165" s="1550"/>
      <c r="D165" s="1550"/>
      <c r="E165" s="1550"/>
      <c r="F165" s="1550"/>
      <c r="G165" s="953"/>
      <c r="H165" s="1550"/>
      <c r="I165" s="953"/>
      <c r="J165" s="953"/>
      <c r="K165" s="953"/>
      <c r="L165" s="953"/>
      <c r="M165" s="953"/>
      <c r="N165" s="953"/>
      <c r="O165" s="953"/>
    </row>
    <row r="166" spans="1:15">
      <c r="A166" s="962"/>
      <c r="B166" s="1550"/>
      <c r="C166" s="1550"/>
      <c r="D166" s="1550"/>
      <c r="E166" s="1550"/>
      <c r="F166" s="1550"/>
      <c r="G166" s="953"/>
      <c r="H166" s="1550"/>
      <c r="I166" s="953"/>
      <c r="J166" s="953"/>
      <c r="K166" s="953"/>
      <c r="L166" s="953"/>
      <c r="M166" s="953"/>
      <c r="N166" s="953"/>
      <c r="O166" s="953"/>
    </row>
    <row r="167" spans="1:15">
      <c r="A167" s="962"/>
      <c r="B167" s="1550"/>
      <c r="C167" s="1550"/>
      <c r="D167" s="1550"/>
      <c r="E167" s="1550"/>
      <c r="F167" s="1550"/>
      <c r="G167" s="954"/>
      <c r="H167" s="1550"/>
      <c r="I167" s="954"/>
      <c r="J167" s="954"/>
      <c r="K167" s="954"/>
      <c r="L167" s="954"/>
      <c r="M167" s="954"/>
      <c r="N167" s="954"/>
      <c r="O167" s="954"/>
    </row>
    <row r="168" spans="1:15">
      <c r="A168" s="962"/>
      <c r="B168" s="1550"/>
      <c r="C168" s="1550"/>
      <c r="D168" s="1550"/>
      <c r="E168" s="1550"/>
      <c r="F168" s="1550"/>
      <c r="G168" s="959"/>
      <c r="H168" s="1550"/>
      <c r="I168" s="959"/>
      <c r="J168" s="959"/>
      <c r="K168" s="959"/>
      <c r="L168" s="959"/>
      <c r="M168" s="959"/>
      <c r="N168" s="959"/>
      <c r="O168" s="959"/>
    </row>
    <row r="169" spans="1:15">
      <c r="A169" s="962"/>
      <c r="B169" s="950"/>
      <c r="C169" s="950"/>
      <c r="D169" s="950"/>
      <c r="E169" s="950"/>
      <c r="F169" s="950"/>
      <c r="G169" s="960"/>
      <c r="H169" s="950"/>
      <c r="I169" s="960"/>
      <c r="J169" s="960"/>
      <c r="K169" s="960"/>
      <c r="L169" s="960"/>
      <c r="M169" s="960"/>
      <c r="N169" s="960"/>
      <c r="O169" s="960"/>
    </row>
    <row r="170" spans="1:15">
      <c r="A170" s="962"/>
      <c r="B170" s="1550"/>
      <c r="C170" s="1550"/>
      <c r="D170" s="1550"/>
      <c r="E170" s="1550"/>
      <c r="F170" s="1550"/>
      <c r="G170" s="950"/>
      <c r="H170" s="1550"/>
      <c r="I170" s="950"/>
      <c r="J170" s="950"/>
      <c r="K170" s="950"/>
      <c r="L170" s="950"/>
      <c r="M170" s="950"/>
      <c r="N170" s="950"/>
      <c r="O170" s="950"/>
    </row>
    <row r="171" spans="1:15">
      <c r="A171" s="962"/>
      <c r="B171" s="1552"/>
      <c r="C171" s="1552"/>
      <c r="D171" s="1552"/>
      <c r="E171" s="1552"/>
      <c r="F171" s="1552"/>
      <c r="G171" s="950"/>
      <c r="H171" s="1552"/>
      <c r="I171" s="950"/>
      <c r="J171" s="950"/>
      <c r="K171" s="950"/>
      <c r="L171" s="950"/>
      <c r="M171" s="950"/>
      <c r="N171" s="950"/>
      <c r="O171" s="950"/>
    </row>
    <row r="172" spans="1:15">
      <c r="A172" s="962"/>
      <c r="B172" s="1550"/>
      <c r="C172" s="1550"/>
      <c r="D172" s="1550"/>
      <c r="E172" s="1550"/>
      <c r="F172" s="1550"/>
      <c r="G172" s="953"/>
      <c r="H172" s="1550"/>
      <c r="I172" s="953"/>
      <c r="J172" s="953"/>
      <c r="K172" s="953"/>
      <c r="L172" s="953"/>
      <c r="M172" s="953"/>
      <c r="N172" s="953"/>
      <c r="O172" s="953"/>
    </row>
    <row r="173" spans="1:15">
      <c r="A173" s="962"/>
      <c r="B173" s="1550"/>
      <c r="C173" s="1550"/>
      <c r="D173" s="1550"/>
      <c r="E173" s="1550"/>
      <c r="F173" s="1550"/>
      <c r="G173" s="953"/>
      <c r="H173" s="1550"/>
      <c r="I173" s="953"/>
      <c r="J173" s="953"/>
      <c r="K173" s="953"/>
      <c r="L173" s="953"/>
      <c r="M173" s="953"/>
      <c r="N173" s="953"/>
      <c r="O173" s="953"/>
    </row>
    <row r="174" spans="1:15">
      <c r="A174" s="962"/>
      <c r="B174" s="1550"/>
      <c r="C174" s="1550"/>
      <c r="D174" s="1550"/>
      <c r="E174" s="1550"/>
      <c r="F174" s="1550"/>
      <c r="G174" s="953"/>
      <c r="H174" s="1550"/>
      <c r="I174" s="953"/>
      <c r="J174" s="953"/>
      <c r="K174" s="953"/>
      <c r="L174" s="953"/>
      <c r="M174" s="953"/>
      <c r="N174" s="953"/>
      <c r="O174" s="953"/>
    </row>
    <row r="175" spans="1:15">
      <c r="A175" s="962"/>
      <c r="B175" s="1550"/>
      <c r="C175" s="1550"/>
      <c r="D175" s="1550"/>
      <c r="E175" s="1550"/>
      <c r="F175" s="1550"/>
      <c r="G175" s="954"/>
      <c r="H175" s="1550"/>
      <c r="I175" s="954"/>
      <c r="J175" s="954"/>
      <c r="K175" s="954"/>
      <c r="L175" s="954"/>
      <c r="M175" s="954"/>
      <c r="N175" s="954"/>
      <c r="O175" s="954"/>
    </row>
    <row r="176" spans="1:15">
      <c r="A176" s="962"/>
      <c r="B176" s="1550"/>
      <c r="C176" s="1550"/>
      <c r="D176" s="1550"/>
      <c r="E176" s="1550"/>
      <c r="F176" s="1550"/>
      <c r="G176" s="959"/>
      <c r="H176" s="1550"/>
      <c r="I176" s="959"/>
      <c r="J176" s="959"/>
      <c r="K176" s="959"/>
      <c r="L176" s="959"/>
      <c r="M176" s="959"/>
      <c r="N176" s="959"/>
      <c r="O176" s="959"/>
    </row>
    <row r="177" spans="1:15">
      <c r="A177" s="962"/>
      <c r="B177" s="950"/>
      <c r="C177" s="950"/>
      <c r="D177" s="950"/>
      <c r="E177" s="950"/>
      <c r="F177" s="950"/>
      <c r="G177" s="960"/>
      <c r="H177" s="950"/>
      <c r="I177" s="960"/>
      <c r="J177" s="960"/>
      <c r="K177" s="960"/>
      <c r="L177" s="960"/>
      <c r="M177" s="960"/>
      <c r="N177" s="960"/>
      <c r="O177" s="960"/>
    </row>
    <row r="178" spans="1:15">
      <c r="A178" s="962"/>
      <c r="B178" s="1550"/>
      <c r="C178" s="1550"/>
      <c r="D178" s="1550"/>
      <c r="E178" s="1550"/>
      <c r="F178" s="1550"/>
      <c r="G178" s="950"/>
      <c r="H178" s="1550"/>
      <c r="I178" s="950"/>
      <c r="J178" s="950"/>
      <c r="K178" s="950"/>
      <c r="L178" s="950"/>
      <c r="M178" s="950"/>
      <c r="N178" s="950"/>
      <c r="O178" s="950"/>
    </row>
    <row r="179" spans="1:15">
      <c r="A179" s="962"/>
      <c r="B179" s="1552"/>
      <c r="C179" s="1552"/>
      <c r="D179" s="1552"/>
      <c r="E179" s="1552"/>
      <c r="F179" s="1552"/>
      <c r="G179" s="950"/>
      <c r="H179" s="1552"/>
      <c r="I179" s="950"/>
      <c r="J179" s="950"/>
      <c r="K179" s="950"/>
      <c r="L179" s="950"/>
      <c r="M179" s="950"/>
      <c r="N179" s="950"/>
      <c r="O179" s="950"/>
    </row>
    <row r="180" spans="1:15">
      <c r="A180" s="962"/>
      <c r="B180" s="1550"/>
      <c r="C180" s="1550"/>
      <c r="D180" s="1550"/>
      <c r="E180" s="1550"/>
      <c r="F180" s="1550"/>
      <c r="G180" s="953"/>
      <c r="H180" s="1550"/>
      <c r="I180" s="953"/>
      <c r="J180" s="953"/>
      <c r="K180" s="953"/>
      <c r="L180" s="953"/>
      <c r="M180" s="953"/>
      <c r="N180" s="953"/>
      <c r="O180" s="953"/>
    </row>
    <row r="181" spans="1:15">
      <c r="A181" s="962"/>
      <c r="B181" s="1550"/>
      <c r="C181" s="1550"/>
      <c r="D181" s="1550"/>
      <c r="E181" s="1550"/>
      <c r="F181" s="1550"/>
      <c r="G181" s="953"/>
      <c r="H181" s="1550"/>
      <c r="I181" s="953"/>
      <c r="J181" s="953"/>
      <c r="K181" s="953"/>
      <c r="L181" s="953"/>
      <c r="M181" s="953"/>
      <c r="N181" s="953"/>
      <c r="O181" s="953"/>
    </row>
    <row r="182" spans="1:15">
      <c r="A182" s="962"/>
      <c r="B182" s="1550"/>
      <c r="C182" s="1550"/>
      <c r="D182" s="1550"/>
      <c r="E182" s="1550"/>
      <c r="F182" s="1550"/>
      <c r="G182" s="953"/>
      <c r="H182" s="1550"/>
      <c r="I182" s="953"/>
      <c r="J182" s="953"/>
      <c r="K182" s="953"/>
      <c r="L182" s="953"/>
      <c r="M182" s="953"/>
      <c r="N182" s="953"/>
      <c r="O182" s="953"/>
    </row>
    <row r="183" spans="1:15">
      <c r="A183" s="962"/>
      <c r="B183" s="1550"/>
      <c r="C183" s="1550"/>
      <c r="D183" s="1550"/>
      <c r="E183" s="1550"/>
      <c r="F183" s="1550"/>
      <c r="G183" s="954"/>
      <c r="H183" s="1550"/>
      <c r="I183" s="954"/>
      <c r="J183" s="954"/>
      <c r="K183" s="954"/>
      <c r="L183" s="954"/>
      <c r="M183" s="954"/>
      <c r="N183" s="954"/>
      <c r="O183" s="954"/>
    </row>
    <row r="184" spans="1:15">
      <c r="A184" s="962"/>
      <c r="B184" s="1550"/>
      <c r="C184" s="1550"/>
      <c r="D184" s="1550"/>
      <c r="E184" s="1550"/>
      <c r="F184" s="1550"/>
      <c r="G184" s="959"/>
      <c r="H184" s="1550"/>
      <c r="I184" s="959"/>
      <c r="J184" s="959"/>
      <c r="K184" s="959"/>
      <c r="L184" s="959"/>
      <c r="M184" s="959"/>
      <c r="N184" s="959"/>
      <c r="O184" s="959"/>
    </row>
    <row r="185" spans="1:15">
      <c r="A185" s="962"/>
      <c r="B185" s="950"/>
      <c r="C185" s="950"/>
      <c r="D185" s="950"/>
      <c r="E185" s="950"/>
      <c r="F185" s="950"/>
      <c r="G185" s="960"/>
      <c r="H185" s="950"/>
      <c r="I185" s="960"/>
      <c r="J185" s="960"/>
      <c r="K185" s="960"/>
      <c r="L185" s="960"/>
      <c r="M185" s="960"/>
      <c r="N185" s="960"/>
      <c r="O185" s="960"/>
    </row>
    <row r="186" spans="1:15">
      <c r="A186" s="962"/>
      <c r="B186" s="1550"/>
      <c r="C186" s="1550"/>
      <c r="D186" s="1550"/>
      <c r="E186" s="1550"/>
      <c r="F186" s="1550"/>
      <c r="G186" s="950"/>
      <c r="H186" s="1550"/>
      <c r="I186" s="950"/>
      <c r="J186" s="950"/>
      <c r="K186" s="950"/>
      <c r="L186" s="950"/>
      <c r="M186" s="950"/>
      <c r="N186" s="950"/>
      <c r="O186" s="950"/>
    </row>
    <row r="187" spans="1:15">
      <c r="A187" s="962"/>
      <c r="B187" s="1552"/>
      <c r="C187" s="1552"/>
      <c r="D187" s="1552"/>
      <c r="E187" s="1552"/>
      <c r="F187" s="1552"/>
      <c r="G187" s="950"/>
      <c r="H187" s="1552"/>
      <c r="I187" s="950"/>
      <c r="J187" s="950"/>
      <c r="K187" s="950"/>
      <c r="L187" s="950"/>
      <c r="M187" s="950"/>
      <c r="N187" s="950"/>
      <c r="O187" s="950"/>
    </row>
    <row r="188" spans="1:15">
      <c r="A188" s="962"/>
      <c r="B188" s="1550"/>
      <c r="C188" s="1550"/>
      <c r="D188" s="1550"/>
      <c r="E188" s="1550"/>
      <c r="F188" s="1550"/>
      <c r="G188" s="953"/>
      <c r="H188" s="1550"/>
      <c r="I188" s="953"/>
      <c r="J188" s="953"/>
      <c r="K188" s="953"/>
      <c r="L188" s="953"/>
      <c r="M188" s="953"/>
      <c r="N188" s="953"/>
      <c r="O188" s="953"/>
    </row>
    <row r="189" spans="1:15">
      <c r="A189" s="962"/>
      <c r="B189" s="1550"/>
      <c r="C189" s="1550"/>
      <c r="D189" s="1550"/>
      <c r="E189" s="1550"/>
      <c r="F189" s="1550"/>
      <c r="G189" s="953"/>
      <c r="H189" s="1550"/>
      <c r="I189" s="953"/>
      <c r="J189" s="953"/>
      <c r="K189" s="953"/>
      <c r="L189" s="953"/>
      <c r="M189" s="953"/>
      <c r="N189" s="953"/>
      <c r="O189" s="953"/>
    </row>
    <row r="190" spans="1:15">
      <c r="A190" s="962"/>
      <c r="B190" s="1550"/>
      <c r="C190" s="1550"/>
      <c r="D190" s="1550"/>
      <c r="E190" s="1550"/>
      <c r="F190" s="1550"/>
      <c r="G190" s="953"/>
      <c r="H190" s="1550"/>
      <c r="I190" s="953"/>
      <c r="J190" s="953"/>
      <c r="K190" s="953"/>
      <c r="L190" s="953"/>
      <c r="M190" s="953"/>
      <c r="N190" s="953"/>
      <c r="O190" s="953"/>
    </row>
    <row r="191" spans="1:15">
      <c r="A191" s="962"/>
      <c r="B191" s="952"/>
      <c r="C191" s="952"/>
      <c r="D191" s="952"/>
      <c r="E191" s="952"/>
      <c r="F191" s="952"/>
      <c r="G191" s="962"/>
      <c r="H191" s="952"/>
      <c r="I191" s="962"/>
      <c r="J191" s="962"/>
      <c r="K191" s="962"/>
      <c r="L191" s="962"/>
      <c r="M191" s="962"/>
      <c r="N191" s="962"/>
      <c r="O191" s="962"/>
    </row>
    <row r="192" spans="1:15">
      <c r="A192" s="950"/>
      <c r="B192" s="950"/>
      <c r="C192" s="950"/>
      <c r="D192" s="950"/>
      <c r="E192" s="950"/>
      <c r="F192" s="950"/>
      <c r="G192" s="950"/>
      <c r="H192" s="950"/>
      <c r="I192" s="950"/>
      <c r="J192" s="950"/>
      <c r="K192" s="950"/>
      <c r="L192" s="950"/>
      <c r="M192" s="950"/>
      <c r="N192" s="950"/>
      <c r="O192" s="950"/>
    </row>
    <row r="193" spans="1:15">
      <c r="A193" s="950"/>
      <c r="B193" s="950"/>
      <c r="C193" s="950"/>
      <c r="D193" s="950"/>
      <c r="E193" s="950"/>
      <c r="F193" s="950"/>
      <c r="G193" s="950"/>
      <c r="H193" s="950"/>
      <c r="I193" s="950"/>
      <c r="J193" s="950"/>
      <c r="K193" s="950"/>
      <c r="L193" s="950"/>
      <c r="M193" s="950"/>
      <c r="N193" s="950"/>
      <c r="O193" s="950"/>
    </row>
    <row r="194" spans="1:15">
      <c r="A194" s="962"/>
      <c r="B194" s="1550"/>
      <c r="C194" s="1550"/>
      <c r="D194" s="1550"/>
      <c r="E194" s="1550"/>
      <c r="F194" s="1550"/>
      <c r="G194" s="950"/>
      <c r="H194" s="1550"/>
      <c r="I194" s="950"/>
      <c r="J194" s="950"/>
      <c r="K194" s="950"/>
      <c r="L194" s="950"/>
      <c r="M194" s="950"/>
      <c r="N194" s="950"/>
      <c r="O194" s="950"/>
    </row>
    <row r="195" spans="1:15">
      <c r="A195" s="950"/>
      <c r="B195" s="1550"/>
      <c r="C195" s="1550"/>
      <c r="D195" s="1550"/>
      <c r="E195" s="1550"/>
      <c r="F195" s="1550"/>
      <c r="G195" s="950"/>
      <c r="H195" s="1550"/>
      <c r="I195" s="950"/>
      <c r="J195" s="950"/>
      <c r="K195" s="950"/>
      <c r="L195" s="950"/>
      <c r="M195" s="950"/>
      <c r="N195" s="950"/>
      <c r="O195" s="950"/>
    </row>
    <row r="196" spans="1:15">
      <c r="A196" s="950"/>
      <c r="B196" s="1550"/>
      <c r="C196" s="1550"/>
      <c r="D196" s="1550"/>
      <c r="E196" s="1550"/>
      <c r="F196" s="1550"/>
      <c r="G196" s="950"/>
      <c r="H196" s="1550"/>
      <c r="I196" s="950"/>
      <c r="J196" s="950"/>
      <c r="K196" s="950"/>
      <c r="L196" s="950"/>
      <c r="M196" s="950"/>
      <c r="N196" s="950"/>
      <c r="O196" s="950"/>
    </row>
    <row r="197" spans="1:15">
      <c r="A197" s="950"/>
      <c r="B197" s="1550"/>
      <c r="C197" s="1550"/>
      <c r="D197" s="1550"/>
      <c r="E197" s="1550"/>
      <c r="F197" s="1550"/>
      <c r="G197" s="950"/>
      <c r="H197" s="1550"/>
      <c r="I197" s="950"/>
      <c r="J197" s="950"/>
      <c r="K197" s="950"/>
      <c r="L197" s="950"/>
      <c r="M197" s="950"/>
      <c r="N197" s="950"/>
      <c r="O197" s="950"/>
    </row>
    <row r="198" spans="1:15">
      <c r="A198" s="950"/>
      <c r="B198" s="950"/>
      <c r="C198" s="950"/>
      <c r="D198" s="950"/>
      <c r="E198" s="950"/>
      <c r="F198" s="950"/>
      <c r="G198" s="950"/>
      <c r="H198" s="950"/>
      <c r="I198" s="950"/>
      <c r="J198" s="950"/>
      <c r="K198" s="950"/>
      <c r="L198" s="950"/>
      <c r="M198" s="950"/>
      <c r="N198" s="950"/>
      <c r="O198" s="950"/>
    </row>
    <row r="199" spans="1:15">
      <c r="A199" s="950"/>
      <c r="B199" s="950"/>
      <c r="C199" s="950"/>
      <c r="D199" s="950"/>
      <c r="E199" s="950"/>
      <c r="F199" s="950"/>
      <c r="G199" s="950"/>
      <c r="H199" s="950"/>
      <c r="I199" s="950"/>
      <c r="J199" s="950"/>
      <c r="K199" s="950"/>
      <c r="L199" s="950"/>
      <c r="M199" s="950"/>
      <c r="N199" s="950"/>
      <c r="O199" s="950"/>
    </row>
    <row r="200" spans="1:15">
      <c r="A200" s="950"/>
      <c r="B200" s="950"/>
      <c r="C200" s="950"/>
      <c r="D200" s="950"/>
      <c r="E200" s="950"/>
      <c r="F200" s="950"/>
      <c r="G200" s="950"/>
      <c r="H200" s="950"/>
      <c r="I200" s="950"/>
      <c r="J200" s="950"/>
      <c r="K200" s="950"/>
      <c r="L200" s="950"/>
      <c r="M200" s="950"/>
      <c r="N200" s="950"/>
      <c r="O200" s="950"/>
    </row>
    <row r="201" spans="1:15">
      <c r="A201" s="962"/>
      <c r="B201" s="1550"/>
      <c r="C201" s="1550"/>
      <c r="D201" s="1550"/>
      <c r="E201" s="1550"/>
      <c r="F201" s="1550"/>
      <c r="G201" s="950"/>
      <c r="H201" s="1550"/>
      <c r="I201" s="950"/>
      <c r="J201" s="950"/>
      <c r="K201" s="950"/>
      <c r="L201" s="950"/>
      <c r="M201" s="950"/>
      <c r="N201" s="950"/>
      <c r="O201" s="950"/>
    </row>
    <row r="202" spans="1:15">
      <c r="A202" s="950"/>
      <c r="B202" s="950"/>
      <c r="C202" s="950"/>
      <c r="D202" s="950"/>
      <c r="E202" s="950"/>
      <c r="F202" s="950"/>
      <c r="G202" s="950"/>
      <c r="H202" s="950"/>
      <c r="I202" s="950"/>
      <c r="J202" s="950"/>
      <c r="K202" s="950"/>
      <c r="L202" s="950"/>
      <c r="M202" s="950"/>
      <c r="N202" s="950"/>
      <c r="O202" s="950"/>
    </row>
    <row r="203" spans="1:15">
      <c r="A203" s="950"/>
      <c r="B203" s="950"/>
      <c r="C203" s="950"/>
      <c r="D203" s="950"/>
      <c r="E203" s="950"/>
      <c r="F203" s="950"/>
      <c r="G203" s="950"/>
      <c r="H203" s="950"/>
      <c r="I203" s="950"/>
      <c r="J203" s="950"/>
      <c r="K203" s="950"/>
      <c r="L203" s="950"/>
      <c r="M203" s="950"/>
      <c r="N203" s="950"/>
      <c r="O203" s="950"/>
    </row>
    <row r="204" spans="1:15">
      <c r="A204" s="962"/>
      <c r="B204" s="1550"/>
      <c r="C204" s="1550"/>
      <c r="D204" s="1550"/>
      <c r="E204" s="1550"/>
      <c r="F204" s="1550"/>
      <c r="G204" s="950"/>
      <c r="H204" s="1550"/>
      <c r="I204" s="950"/>
      <c r="J204" s="950"/>
      <c r="K204" s="950"/>
      <c r="L204" s="950"/>
      <c r="M204" s="950"/>
      <c r="N204" s="950"/>
      <c r="O204" s="950"/>
    </row>
    <row r="205" spans="1:15">
      <c r="A205" s="950"/>
      <c r="B205" s="950"/>
      <c r="C205" s="950"/>
      <c r="D205" s="950"/>
      <c r="E205" s="950"/>
      <c r="F205" s="950"/>
      <c r="G205" s="950"/>
      <c r="H205" s="950"/>
      <c r="I205" s="950"/>
      <c r="J205" s="950"/>
      <c r="K205" s="950"/>
      <c r="L205" s="950"/>
      <c r="M205" s="950"/>
      <c r="N205" s="950"/>
      <c r="O205" s="950"/>
    </row>
    <row r="206" spans="1:15">
      <c r="A206" s="950"/>
      <c r="B206" s="950"/>
      <c r="C206" s="950"/>
      <c r="D206" s="950"/>
      <c r="E206" s="950"/>
      <c r="F206" s="950"/>
      <c r="G206" s="950"/>
      <c r="H206" s="950"/>
      <c r="I206" s="950"/>
      <c r="J206" s="950"/>
      <c r="K206" s="950"/>
      <c r="L206" s="950"/>
      <c r="M206" s="950"/>
      <c r="N206" s="950"/>
      <c r="O206" s="950"/>
    </row>
    <row r="207" spans="1:15">
      <c r="A207" s="950"/>
      <c r="B207" s="437"/>
      <c r="C207" s="437"/>
      <c r="D207" s="437"/>
      <c r="E207" s="437"/>
      <c r="F207" s="437"/>
      <c r="G207" s="950"/>
      <c r="H207" s="437"/>
      <c r="I207" s="950"/>
      <c r="J207" s="962"/>
      <c r="K207" s="962"/>
      <c r="L207" s="950"/>
      <c r="M207" s="950"/>
      <c r="N207" s="950"/>
      <c r="O207" s="950"/>
    </row>
    <row r="208" spans="1:15">
      <c r="A208" s="950"/>
      <c r="B208" s="952"/>
      <c r="C208" s="952"/>
      <c r="D208" s="952"/>
      <c r="E208" s="952"/>
      <c r="F208" s="952"/>
      <c r="G208" s="950"/>
      <c r="H208" s="952"/>
      <c r="I208" s="950"/>
      <c r="J208" s="952"/>
      <c r="K208" s="952"/>
      <c r="L208" s="950"/>
      <c r="M208" s="950"/>
      <c r="N208" s="950"/>
      <c r="O208" s="950"/>
    </row>
    <row r="209" spans="1:15">
      <c r="A209" s="950"/>
      <c r="B209" s="1550"/>
      <c r="C209" s="1550"/>
      <c r="D209" s="1550"/>
      <c r="E209" s="1550"/>
      <c r="F209" s="1550"/>
      <c r="G209" s="950"/>
      <c r="H209" s="1550"/>
      <c r="I209" s="950"/>
      <c r="J209" s="1555"/>
      <c r="K209" s="1555"/>
      <c r="L209" s="950"/>
      <c r="M209" s="950"/>
      <c r="N209" s="950"/>
      <c r="O209" s="950"/>
    </row>
    <row r="210" spans="1:15">
      <c r="A210" s="950"/>
      <c r="B210" s="950"/>
      <c r="C210" s="950"/>
      <c r="D210" s="950"/>
      <c r="E210" s="950"/>
      <c r="F210" s="950"/>
      <c r="G210" s="950"/>
      <c r="H210" s="950"/>
      <c r="I210" s="950"/>
      <c r="J210" s="1555"/>
      <c r="K210" s="1555"/>
      <c r="L210" s="950"/>
      <c r="M210" s="950"/>
      <c r="N210" s="950"/>
      <c r="O210" s="950"/>
    </row>
    <row r="211" spans="1:15">
      <c r="A211" s="950"/>
      <c r="B211" s="950"/>
      <c r="C211" s="950"/>
      <c r="D211" s="950"/>
      <c r="E211" s="950"/>
      <c r="F211" s="950"/>
      <c r="G211" s="950"/>
      <c r="H211" s="950"/>
      <c r="I211" s="950"/>
      <c r="J211" s="1555"/>
      <c r="K211" s="1555"/>
      <c r="L211" s="950"/>
      <c r="M211" s="950"/>
      <c r="N211" s="950"/>
      <c r="O211" s="950"/>
    </row>
    <row r="212" spans="1:15">
      <c r="A212" s="950"/>
      <c r="B212" s="950"/>
      <c r="C212" s="950"/>
      <c r="D212" s="950"/>
      <c r="E212" s="950"/>
      <c r="F212" s="950"/>
      <c r="G212" s="950"/>
      <c r="H212" s="950"/>
      <c r="I212" s="950"/>
      <c r="J212" s="1555"/>
      <c r="K212" s="1549"/>
      <c r="L212" s="950"/>
      <c r="M212" s="950"/>
      <c r="N212" s="950"/>
      <c r="O212" s="950"/>
    </row>
    <row r="213" spans="1:15">
      <c r="A213" s="950"/>
      <c r="B213" s="950"/>
      <c r="C213" s="950"/>
      <c r="D213" s="950"/>
      <c r="E213" s="950"/>
      <c r="F213" s="950"/>
      <c r="G213" s="950"/>
      <c r="H213" s="950"/>
      <c r="I213" s="950"/>
      <c r="J213" s="1555"/>
      <c r="K213" s="1549"/>
      <c r="L213" s="950"/>
      <c r="M213" s="950"/>
      <c r="N213" s="950"/>
      <c r="O213" s="950"/>
    </row>
    <row r="214" spans="1:15">
      <c r="A214" s="950"/>
      <c r="B214" s="950"/>
      <c r="C214" s="950"/>
      <c r="D214" s="950"/>
      <c r="E214" s="950"/>
      <c r="F214" s="950"/>
      <c r="G214" s="950"/>
      <c r="H214" s="950"/>
      <c r="I214" s="950"/>
      <c r="J214" s="1555"/>
      <c r="K214" s="1549"/>
      <c r="L214" s="950"/>
      <c r="M214" s="950"/>
      <c r="N214" s="950"/>
      <c r="O214" s="950"/>
    </row>
    <row r="215" spans="1:15">
      <c r="A215" s="950"/>
      <c r="B215" s="950"/>
      <c r="C215" s="950"/>
      <c r="D215" s="950"/>
      <c r="E215" s="950"/>
      <c r="F215" s="950"/>
      <c r="G215" s="950"/>
      <c r="H215" s="950"/>
      <c r="I215" s="950"/>
      <c r="J215" s="1555"/>
      <c r="K215" s="1549"/>
      <c r="L215" s="950"/>
      <c r="M215" s="950"/>
      <c r="N215" s="950"/>
      <c r="O215" s="950"/>
    </row>
    <row r="216" spans="1:15">
      <c r="A216" s="950"/>
      <c r="B216" s="950"/>
      <c r="C216" s="950"/>
      <c r="D216" s="950"/>
      <c r="E216" s="950"/>
      <c r="F216" s="950"/>
      <c r="G216" s="950"/>
      <c r="H216" s="950"/>
      <c r="I216" s="950"/>
      <c r="J216" s="1555"/>
      <c r="K216" s="1549"/>
      <c r="L216" s="950"/>
      <c r="M216" s="950"/>
      <c r="N216" s="950"/>
      <c r="O216" s="950"/>
    </row>
    <row r="217" spans="1:15">
      <c r="A217" s="950"/>
      <c r="B217" s="950"/>
      <c r="C217" s="950"/>
      <c r="D217" s="950"/>
      <c r="E217" s="950"/>
      <c r="F217" s="950"/>
      <c r="G217" s="950"/>
      <c r="H217" s="950"/>
      <c r="I217" s="950"/>
      <c r="J217" s="1555"/>
      <c r="K217" s="1549"/>
      <c r="L217" s="950"/>
      <c r="M217" s="950"/>
      <c r="N217" s="950"/>
      <c r="O217" s="950"/>
    </row>
    <row r="218" spans="1:15">
      <c r="A218" s="950"/>
      <c r="B218" s="950"/>
      <c r="C218" s="950"/>
      <c r="D218" s="950"/>
      <c r="E218" s="950"/>
      <c r="F218" s="950"/>
      <c r="G218" s="950"/>
      <c r="H218" s="950"/>
      <c r="I218" s="950"/>
      <c r="J218" s="1555"/>
      <c r="K218" s="1549"/>
      <c r="L218" s="950"/>
      <c r="M218" s="950"/>
      <c r="N218" s="950"/>
      <c r="O218" s="950"/>
    </row>
    <row r="219" spans="1:15">
      <c r="A219" s="950"/>
      <c r="B219" s="950"/>
      <c r="C219" s="950"/>
      <c r="D219" s="950"/>
      <c r="E219" s="950"/>
      <c r="F219" s="950"/>
      <c r="G219" s="950"/>
      <c r="H219" s="950"/>
      <c r="I219" s="950"/>
      <c r="J219" s="1555"/>
      <c r="K219" s="1549"/>
      <c r="L219" s="950"/>
      <c r="M219" s="950"/>
      <c r="N219" s="950"/>
      <c r="O219" s="950"/>
    </row>
    <row r="220" spans="1:15">
      <c r="A220" s="950"/>
      <c r="B220" s="950"/>
      <c r="C220" s="950"/>
      <c r="D220" s="950"/>
      <c r="E220" s="950"/>
      <c r="F220" s="950"/>
      <c r="G220" s="950"/>
      <c r="H220" s="950"/>
      <c r="I220" s="950"/>
      <c r="J220" s="1555"/>
      <c r="K220" s="1549"/>
      <c r="L220" s="950"/>
      <c r="M220" s="950"/>
      <c r="N220" s="950"/>
      <c r="O220" s="950"/>
    </row>
    <row r="221" spans="1:15">
      <c r="A221" s="950"/>
      <c r="B221" s="950"/>
      <c r="C221" s="950"/>
      <c r="D221" s="950"/>
      <c r="E221" s="950"/>
      <c r="F221" s="950"/>
      <c r="G221" s="950"/>
      <c r="H221" s="950"/>
      <c r="I221" s="950"/>
      <c r="J221" s="952"/>
      <c r="K221" s="952"/>
      <c r="L221" s="950"/>
      <c r="M221" s="950"/>
      <c r="N221" s="950"/>
      <c r="O221" s="950"/>
    </row>
    <row r="222" spans="1:15">
      <c r="A222" s="950"/>
      <c r="B222" s="950"/>
      <c r="C222" s="950"/>
      <c r="D222" s="950"/>
      <c r="E222" s="950"/>
      <c r="F222" s="950"/>
      <c r="G222" s="950"/>
      <c r="H222" s="950"/>
      <c r="I222" s="950"/>
      <c r="J222" s="1549"/>
      <c r="K222" s="1549"/>
      <c r="L222" s="950"/>
      <c r="M222" s="950"/>
      <c r="N222" s="950"/>
      <c r="O222" s="950"/>
    </row>
    <row r="223" spans="1:15">
      <c r="A223" s="950"/>
      <c r="B223" s="950"/>
      <c r="C223" s="950"/>
      <c r="D223" s="950"/>
      <c r="E223" s="950"/>
      <c r="F223" s="950"/>
      <c r="G223" s="950"/>
      <c r="H223" s="950"/>
      <c r="I223" s="950"/>
      <c r="J223" s="952"/>
      <c r="K223" s="952"/>
      <c r="L223" s="950"/>
      <c r="M223" s="950"/>
      <c r="N223" s="950"/>
      <c r="O223" s="950"/>
    </row>
    <row r="224" spans="1:15">
      <c r="A224" s="950"/>
      <c r="B224" s="950"/>
      <c r="C224" s="950"/>
      <c r="D224" s="950"/>
      <c r="E224" s="950"/>
      <c r="F224" s="950"/>
      <c r="G224" s="950"/>
      <c r="H224" s="950"/>
      <c r="I224" s="950"/>
      <c r="J224" s="950"/>
      <c r="K224" s="950"/>
      <c r="L224" s="950"/>
      <c r="M224" s="950"/>
      <c r="N224" s="950"/>
      <c r="O224" s="950"/>
    </row>
    <row r="225" spans="1:15">
      <c r="A225" s="950"/>
      <c r="B225" s="1550"/>
      <c r="C225" s="1550"/>
      <c r="D225" s="1550"/>
      <c r="E225" s="1550"/>
      <c r="F225" s="1550"/>
      <c r="G225" s="950"/>
      <c r="H225" s="1550"/>
      <c r="I225" s="1550"/>
      <c r="J225" s="1555"/>
      <c r="K225" s="1555"/>
      <c r="L225" s="950"/>
      <c r="M225" s="950"/>
      <c r="N225" s="950"/>
      <c r="O225" s="950"/>
    </row>
    <row r="226" spans="1:15">
      <c r="A226" s="950"/>
      <c r="B226" s="950"/>
      <c r="C226" s="950"/>
      <c r="D226" s="950"/>
      <c r="E226" s="950"/>
      <c r="F226" s="950"/>
      <c r="G226" s="950"/>
      <c r="H226" s="950"/>
      <c r="I226" s="950"/>
      <c r="J226" s="1555"/>
      <c r="K226" s="1555"/>
      <c r="L226" s="950"/>
      <c r="M226" s="950"/>
      <c r="N226" s="950"/>
      <c r="O226" s="950"/>
    </row>
    <row r="227" spans="1:15">
      <c r="A227" s="950"/>
      <c r="B227" s="950"/>
      <c r="C227" s="950"/>
      <c r="D227" s="950"/>
      <c r="E227" s="950"/>
      <c r="F227" s="950"/>
      <c r="G227" s="950"/>
      <c r="H227" s="950"/>
      <c r="I227" s="950"/>
      <c r="J227" s="1555"/>
      <c r="K227" s="1555"/>
      <c r="L227" s="950"/>
      <c r="M227" s="950"/>
      <c r="N227" s="950"/>
      <c r="O227" s="950"/>
    </row>
    <row r="228" spans="1:15">
      <c r="A228" s="950"/>
      <c r="B228" s="950"/>
      <c r="C228" s="950"/>
      <c r="D228" s="950"/>
      <c r="E228" s="950"/>
      <c r="F228" s="950"/>
      <c r="G228" s="950"/>
      <c r="H228" s="950"/>
      <c r="I228" s="950"/>
      <c r="J228" s="1555"/>
      <c r="K228" s="1549"/>
      <c r="L228" s="950"/>
      <c r="M228" s="950"/>
      <c r="N228" s="950"/>
      <c r="O228" s="950"/>
    </row>
    <row r="229" spans="1:15">
      <c r="A229" s="950"/>
      <c r="B229" s="950"/>
      <c r="C229" s="950"/>
      <c r="D229" s="950"/>
      <c r="E229" s="950"/>
      <c r="F229" s="950"/>
      <c r="G229" s="950"/>
      <c r="H229" s="950"/>
      <c r="I229" s="950"/>
      <c r="J229" s="1555"/>
      <c r="K229" s="1549"/>
      <c r="L229" s="950"/>
      <c r="M229" s="950"/>
      <c r="N229" s="950"/>
      <c r="O229" s="950"/>
    </row>
    <row r="230" spans="1:15">
      <c r="A230" s="950"/>
      <c r="B230" s="950"/>
      <c r="C230" s="950"/>
      <c r="D230" s="950"/>
      <c r="E230" s="950"/>
      <c r="F230" s="950"/>
      <c r="G230" s="950"/>
      <c r="H230" s="950"/>
      <c r="I230" s="950"/>
      <c r="J230" s="1555"/>
      <c r="K230" s="1549"/>
      <c r="L230" s="950"/>
      <c r="M230" s="950"/>
      <c r="N230" s="950"/>
      <c r="O230" s="950"/>
    </row>
    <row r="231" spans="1:15">
      <c r="A231" s="950"/>
      <c r="B231" s="950"/>
      <c r="C231" s="950"/>
      <c r="D231" s="950"/>
      <c r="E231" s="950"/>
      <c r="F231" s="950"/>
      <c r="G231" s="950"/>
      <c r="H231" s="950"/>
      <c r="I231" s="950"/>
      <c r="J231" s="1555"/>
      <c r="K231" s="1549"/>
      <c r="L231" s="950"/>
      <c r="M231" s="950"/>
      <c r="N231" s="950"/>
      <c r="O231" s="950"/>
    </row>
    <row r="232" spans="1:15">
      <c r="A232" s="950"/>
      <c r="B232" s="950"/>
      <c r="C232" s="950"/>
      <c r="D232" s="950"/>
      <c r="E232" s="950"/>
      <c r="F232" s="950"/>
      <c r="G232" s="950"/>
      <c r="H232" s="950"/>
      <c r="I232" s="950"/>
      <c r="J232" s="1555"/>
      <c r="K232" s="1549"/>
      <c r="L232" s="950"/>
      <c r="M232" s="950"/>
      <c r="N232" s="950"/>
      <c r="O232" s="950"/>
    </row>
    <row r="233" spans="1:15">
      <c r="A233" s="950"/>
      <c r="B233" s="950"/>
      <c r="C233" s="950"/>
      <c r="D233" s="950"/>
      <c r="E233" s="950"/>
      <c r="F233" s="950"/>
      <c r="G233" s="950"/>
      <c r="H233" s="950"/>
      <c r="I233" s="950"/>
      <c r="J233" s="1555"/>
      <c r="K233" s="1549"/>
      <c r="L233" s="950"/>
      <c r="M233" s="950"/>
      <c r="N233" s="950"/>
      <c r="O233" s="950"/>
    </row>
    <row r="234" spans="1:15">
      <c r="A234" s="950"/>
      <c r="B234" s="950"/>
      <c r="C234" s="950"/>
      <c r="D234" s="950"/>
      <c r="E234" s="950"/>
      <c r="F234" s="950"/>
      <c r="G234" s="950"/>
      <c r="H234" s="950"/>
      <c r="I234" s="950"/>
      <c r="J234" s="1555"/>
      <c r="K234" s="1549"/>
      <c r="L234" s="950"/>
      <c r="M234" s="950"/>
      <c r="N234" s="950"/>
      <c r="O234" s="950"/>
    </row>
    <row r="235" spans="1:15">
      <c r="A235" s="950"/>
      <c r="B235" s="950"/>
      <c r="C235" s="950"/>
      <c r="D235" s="950"/>
      <c r="E235" s="950"/>
      <c r="F235" s="950"/>
      <c r="G235" s="950"/>
      <c r="H235" s="950"/>
      <c r="I235" s="950"/>
      <c r="J235" s="1555"/>
      <c r="K235" s="1549"/>
      <c r="L235" s="950"/>
      <c r="M235" s="950"/>
      <c r="N235" s="950"/>
      <c r="O235" s="950"/>
    </row>
    <row r="236" spans="1:15">
      <c r="A236" s="950"/>
      <c r="B236" s="950"/>
      <c r="C236" s="950"/>
      <c r="D236" s="950"/>
      <c r="E236" s="950"/>
      <c r="F236" s="950"/>
      <c r="G236" s="950"/>
      <c r="H236" s="950"/>
      <c r="I236" s="950"/>
      <c r="J236" s="1555"/>
      <c r="K236" s="1549"/>
      <c r="L236" s="950"/>
      <c r="M236" s="950"/>
      <c r="N236" s="950"/>
      <c r="O236" s="950"/>
    </row>
    <row r="237" spans="1:15">
      <c r="A237" s="950"/>
      <c r="B237" s="950"/>
      <c r="C237" s="950"/>
      <c r="D237" s="950"/>
      <c r="E237" s="950"/>
      <c r="F237" s="950"/>
      <c r="G237" s="950"/>
      <c r="H237" s="950"/>
      <c r="I237" s="950"/>
      <c r="J237" s="952"/>
      <c r="K237" s="952"/>
      <c r="L237" s="950"/>
      <c r="M237" s="950"/>
      <c r="N237" s="950"/>
      <c r="O237" s="950"/>
    </row>
    <row r="238" spans="1:15">
      <c r="A238" s="950"/>
      <c r="B238" s="950"/>
      <c r="C238" s="950"/>
      <c r="D238" s="950"/>
      <c r="E238" s="950"/>
      <c r="F238" s="950"/>
      <c r="G238" s="950"/>
      <c r="H238" s="950"/>
      <c r="I238" s="950"/>
      <c r="J238" s="1549"/>
      <c r="K238" s="1549"/>
      <c r="L238" s="950"/>
      <c r="M238" s="950"/>
      <c r="N238" s="950"/>
      <c r="O238" s="950"/>
    </row>
    <row r="239" spans="1:15">
      <c r="A239" s="950"/>
      <c r="B239" s="950"/>
      <c r="C239" s="950"/>
      <c r="D239" s="950"/>
      <c r="E239" s="950"/>
      <c r="F239" s="950"/>
      <c r="G239" s="950"/>
      <c r="H239" s="950"/>
      <c r="I239" s="950"/>
      <c r="J239" s="952"/>
      <c r="K239" s="952"/>
      <c r="L239" s="950"/>
      <c r="M239" s="950"/>
      <c r="N239" s="950"/>
      <c r="O239" s="950"/>
    </row>
    <row r="240" spans="1:15">
      <c r="A240" s="950"/>
      <c r="B240" s="950"/>
      <c r="C240" s="950"/>
      <c r="D240" s="950"/>
      <c r="E240" s="950"/>
      <c r="F240" s="950"/>
      <c r="G240" s="950"/>
      <c r="H240" s="950"/>
      <c r="I240" s="950"/>
      <c r="J240" s="950"/>
      <c r="K240" s="950"/>
      <c r="L240" s="950"/>
      <c r="M240" s="950"/>
      <c r="N240" s="950"/>
      <c r="O240" s="950"/>
    </row>
    <row r="241" spans="1:15">
      <c r="A241" s="950"/>
      <c r="B241" s="1550"/>
      <c r="C241" s="1550"/>
      <c r="D241" s="1550"/>
      <c r="E241" s="1550"/>
      <c r="F241" s="1550"/>
      <c r="G241" s="950"/>
      <c r="H241" s="1550"/>
      <c r="I241" s="1550"/>
      <c r="J241" s="1555"/>
      <c r="K241" s="1555"/>
      <c r="L241" s="950"/>
      <c r="M241" s="950"/>
      <c r="N241" s="950"/>
      <c r="O241" s="950"/>
    </row>
    <row r="242" spans="1:15">
      <c r="A242" s="950"/>
      <c r="B242" s="950"/>
      <c r="C242" s="950"/>
      <c r="D242" s="950"/>
      <c r="E242" s="950"/>
      <c r="F242" s="950"/>
      <c r="G242" s="950"/>
      <c r="H242" s="950"/>
      <c r="I242" s="950"/>
      <c r="J242" s="1555"/>
      <c r="K242" s="1555"/>
      <c r="L242" s="950"/>
      <c r="M242" s="950"/>
      <c r="N242" s="950"/>
      <c r="O242" s="950"/>
    </row>
    <row r="243" spans="1:15">
      <c r="A243" s="950"/>
      <c r="B243" s="950"/>
      <c r="C243" s="950"/>
      <c r="D243" s="950"/>
      <c r="E243" s="950"/>
      <c r="F243" s="950"/>
      <c r="G243" s="950"/>
      <c r="H243" s="950"/>
      <c r="I243" s="950"/>
      <c r="J243" s="1555"/>
      <c r="K243" s="1555"/>
      <c r="L243" s="950"/>
      <c r="M243" s="950"/>
      <c r="N243" s="950"/>
      <c r="O243" s="950"/>
    </row>
    <row r="244" spans="1:15">
      <c r="A244" s="950"/>
      <c r="B244" s="950"/>
      <c r="C244" s="950"/>
      <c r="D244" s="950"/>
      <c r="E244" s="950"/>
      <c r="F244" s="950"/>
      <c r="G244" s="950"/>
      <c r="H244" s="950"/>
      <c r="I244" s="950"/>
      <c r="J244" s="1555"/>
      <c r="K244" s="1549"/>
      <c r="L244" s="950"/>
      <c r="M244" s="950"/>
      <c r="N244" s="950"/>
      <c r="O244" s="950"/>
    </row>
    <row r="245" spans="1:15">
      <c r="A245" s="950"/>
      <c r="B245" s="950"/>
      <c r="C245" s="950"/>
      <c r="D245" s="950"/>
      <c r="E245" s="950"/>
      <c r="F245" s="950"/>
      <c r="G245" s="950"/>
      <c r="H245" s="950"/>
      <c r="I245" s="950"/>
      <c r="J245" s="1555"/>
      <c r="K245" s="1549"/>
      <c r="L245" s="950"/>
      <c r="M245" s="950"/>
      <c r="N245" s="950"/>
      <c r="O245" s="950"/>
    </row>
    <row r="246" spans="1:15">
      <c r="A246" s="950"/>
      <c r="B246" s="950"/>
      <c r="C246" s="950"/>
      <c r="D246" s="950"/>
      <c r="E246" s="950"/>
      <c r="F246" s="950"/>
      <c r="G246" s="950"/>
      <c r="H246" s="950"/>
      <c r="I246" s="950"/>
      <c r="J246" s="1555"/>
      <c r="K246" s="1549"/>
      <c r="L246" s="950"/>
      <c r="M246" s="950"/>
      <c r="N246" s="950"/>
      <c r="O246" s="950"/>
    </row>
    <row r="247" spans="1:15">
      <c r="A247" s="950"/>
      <c r="B247" s="950"/>
      <c r="C247" s="950"/>
      <c r="D247" s="950"/>
      <c r="E247" s="950"/>
      <c r="F247" s="950"/>
      <c r="G247" s="950"/>
      <c r="H247" s="950"/>
      <c r="I247" s="950"/>
      <c r="J247" s="1555"/>
      <c r="K247" s="1549"/>
      <c r="L247" s="950"/>
      <c r="M247" s="950"/>
      <c r="N247" s="950"/>
      <c r="O247" s="950"/>
    </row>
    <row r="248" spans="1:15">
      <c r="A248" s="950"/>
      <c r="B248" s="950"/>
      <c r="C248" s="950"/>
      <c r="D248" s="950"/>
      <c r="E248" s="950"/>
      <c r="F248" s="950"/>
      <c r="G248" s="950"/>
      <c r="H248" s="950"/>
      <c r="I248" s="950"/>
      <c r="J248" s="1555"/>
      <c r="K248" s="1549"/>
      <c r="L248" s="950"/>
      <c r="M248" s="950"/>
      <c r="N248" s="950"/>
      <c r="O248" s="950"/>
    </row>
    <row r="249" spans="1:15">
      <c r="A249" s="950"/>
      <c r="B249" s="950"/>
      <c r="C249" s="950"/>
      <c r="D249" s="950"/>
      <c r="E249" s="950"/>
      <c r="F249" s="950"/>
      <c r="G249" s="950"/>
      <c r="H249" s="950"/>
      <c r="I249" s="950"/>
      <c r="J249" s="1555"/>
      <c r="K249" s="1549"/>
      <c r="L249" s="950"/>
      <c r="M249" s="950"/>
      <c r="N249" s="950"/>
      <c r="O249" s="950"/>
    </row>
    <row r="250" spans="1:15">
      <c r="A250" s="950"/>
      <c r="B250" s="950"/>
      <c r="C250" s="950"/>
      <c r="D250" s="950"/>
      <c r="E250" s="950"/>
      <c r="F250" s="950"/>
      <c r="G250" s="950"/>
      <c r="H250" s="950"/>
      <c r="I250" s="950"/>
      <c r="J250" s="1555"/>
      <c r="K250" s="1549"/>
      <c r="L250" s="950"/>
      <c r="M250" s="950"/>
      <c r="N250" s="950"/>
      <c r="O250" s="950"/>
    </row>
    <row r="251" spans="1:15">
      <c r="A251" s="950"/>
      <c r="B251" s="950"/>
      <c r="C251" s="950"/>
      <c r="D251" s="950"/>
      <c r="E251" s="950"/>
      <c r="F251" s="950"/>
      <c r="G251" s="950"/>
      <c r="H251" s="950"/>
      <c r="I251" s="950"/>
      <c r="J251" s="1555"/>
      <c r="K251" s="1549"/>
      <c r="L251" s="950"/>
      <c r="M251" s="950"/>
      <c r="N251" s="950"/>
      <c r="O251" s="950"/>
    </row>
    <row r="252" spans="1:15">
      <c r="A252" s="950"/>
      <c r="B252" s="950"/>
      <c r="C252" s="950"/>
      <c r="D252" s="950"/>
      <c r="E252" s="950"/>
      <c r="F252" s="950"/>
      <c r="G252" s="950"/>
      <c r="H252" s="950"/>
      <c r="I252" s="950"/>
      <c r="J252" s="1555"/>
      <c r="K252" s="1549"/>
      <c r="L252" s="950"/>
      <c r="M252" s="950"/>
      <c r="N252" s="950"/>
      <c r="O252" s="950"/>
    </row>
    <row r="253" spans="1:15">
      <c r="A253" s="950"/>
      <c r="B253" s="950"/>
      <c r="C253" s="950"/>
      <c r="D253" s="950"/>
      <c r="E253" s="950"/>
      <c r="F253" s="950"/>
      <c r="G253" s="950"/>
      <c r="H253" s="950"/>
      <c r="I253" s="950"/>
      <c r="J253" s="952"/>
      <c r="K253" s="952"/>
      <c r="L253" s="950"/>
      <c r="M253" s="950"/>
      <c r="N253" s="950"/>
      <c r="O253" s="950"/>
    </row>
    <row r="254" spans="1:15">
      <c r="A254" s="950"/>
      <c r="B254" s="950"/>
      <c r="C254" s="950"/>
      <c r="D254" s="950"/>
      <c r="E254" s="950"/>
      <c r="F254" s="950"/>
      <c r="G254" s="950"/>
      <c r="H254" s="950"/>
      <c r="I254" s="950"/>
      <c r="J254" s="1549"/>
      <c r="K254" s="1549"/>
      <c r="L254" s="950"/>
      <c r="M254" s="950"/>
      <c r="N254" s="950"/>
      <c r="O254" s="950"/>
    </row>
    <row r="255" spans="1:15">
      <c r="A255" s="950"/>
      <c r="B255" s="950"/>
      <c r="C255" s="950"/>
      <c r="D255" s="950"/>
      <c r="E255" s="950"/>
      <c r="F255" s="950"/>
      <c r="G255" s="950"/>
      <c r="H255" s="950"/>
      <c r="I255" s="950"/>
      <c r="J255" s="950"/>
      <c r="K255" s="950"/>
      <c r="L255" s="950"/>
      <c r="M255" s="950"/>
      <c r="N255" s="950"/>
      <c r="O255" s="950"/>
    </row>
    <row r="256" spans="1:15">
      <c r="A256" s="950"/>
      <c r="B256" s="950"/>
      <c r="C256" s="950"/>
      <c r="D256" s="950"/>
      <c r="E256" s="950"/>
      <c r="F256" s="950"/>
      <c r="G256" s="950"/>
      <c r="H256" s="950"/>
      <c r="I256" s="950"/>
      <c r="J256" s="952"/>
      <c r="K256" s="952"/>
      <c r="L256" s="950"/>
      <c r="M256" s="950"/>
      <c r="N256" s="950"/>
      <c r="O256" s="950"/>
    </row>
    <row r="257" spans="1:15">
      <c r="A257" s="950"/>
      <c r="B257" s="950"/>
      <c r="C257" s="950"/>
      <c r="D257" s="950"/>
      <c r="E257" s="950"/>
      <c r="F257" s="950"/>
      <c r="G257" s="950"/>
      <c r="H257" s="950"/>
      <c r="I257" s="950"/>
      <c r="J257" s="950"/>
      <c r="K257" s="950"/>
      <c r="L257" s="950"/>
      <c r="M257" s="950"/>
      <c r="N257" s="950"/>
      <c r="O257" s="950"/>
    </row>
    <row r="258" spans="1:15">
      <c r="A258" s="950"/>
      <c r="B258" s="1550"/>
      <c r="C258" s="1550"/>
      <c r="D258" s="1550"/>
      <c r="E258" s="1550"/>
      <c r="F258" s="1550"/>
      <c r="G258" s="1550"/>
      <c r="H258" s="1550"/>
      <c r="I258" s="1550"/>
      <c r="J258" s="1555"/>
      <c r="K258" s="1555"/>
      <c r="L258" s="950"/>
      <c r="M258" s="950"/>
      <c r="N258" s="950"/>
      <c r="O258" s="950"/>
    </row>
    <row r="259" spans="1:15">
      <c r="A259" s="950"/>
      <c r="B259" s="950"/>
      <c r="C259" s="950"/>
      <c r="D259" s="950"/>
      <c r="E259" s="950"/>
      <c r="F259" s="950"/>
      <c r="G259" s="950"/>
      <c r="H259" s="950"/>
      <c r="I259" s="950"/>
      <c r="J259" s="1555"/>
      <c r="K259" s="1555"/>
      <c r="L259" s="950"/>
      <c r="M259" s="950"/>
      <c r="N259" s="950"/>
      <c r="O259" s="950"/>
    </row>
    <row r="260" spans="1:15">
      <c r="A260" s="950"/>
      <c r="B260" s="950"/>
      <c r="C260" s="950"/>
      <c r="D260" s="950"/>
      <c r="E260" s="950"/>
      <c r="F260" s="950"/>
      <c r="G260" s="950"/>
      <c r="H260" s="950"/>
      <c r="I260" s="950"/>
      <c r="J260" s="1555"/>
      <c r="K260" s="1555"/>
      <c r="L260" s="950"/>
      <c r="M260" s="950"/>
      <c r="N260" s="950"/>
      <c r="O260" s="950"/>
    </row>
    <row r="261" spans="1:15">
      <c r="A261" s="950"/>
      <c r="B261" s="950"/>
      <c r="C261" s="950"/>
      <c r="D261" s="950"/>
      <c r="E261" s="950"/>
      <c r="F261" s="950"/>
      <c r="G261" s="950"/>
      <c r="H261" s="950"/>
      <c r="I261" s="950"/>
      <c r="J261" s="1555"/>
      <c r="K261" s="1549"/>
      <c r="L261" s="950"/>
      <c r="M261" s="950"/>
      <c r="N261" s="950"/>
      <c r="O261" s="950"/>
    </row>
    <row r="262" spans="1:15">
      <c r="A262" s="950"/>
      <c r="B262" s="950"/>
      <c r="C262" s="950"/>
      <c r="D262" s="950"/>
      <c r="E262" s="950"/>
      <c r="F262" s="950"/>
      <c r="G262" s="950"/>
      <c r="H262" s="950"/>
      <c r="I262" s="950"/>
      <c r="J262" s="1555"/>
      <c r="K262" s="1549"/>
      <c r="L262" s="950"/>
      <c r="M262" s="950"/>
      <c r="N262" s="950"/>
      <c r="O262" s="950"/>
    </row>
    <row r="263" spans="1:15">
      <c r="A263" s="950"/>
      <c r="B263" s="950"/>
      <c r="C263" s="950"/>
      <c r="D263" s="950"/>
      <c r="E263" s="950"/>
      <c r="F263" s="950"/>
      <c r="G263" s="950"/>
      <c r="H263" s="950"/>
      <c r="I263" s="950"/>
      <c r="J263" s="1555"/>
      <c r="K263" s="1549"/>
      <c r="L263" s="950"/>
      <c r="M263" s="950"/>
      <c r="N263" s="950"/>
      <c r="O263" s="950"/>
    </row>
    <row r="264" spans="1:15">
      <c r="A264" s="950"/>
      <c r="B264" s="950"/>
      <c r="C264" s="950"/>
      <c r="D264" s="950"/>
      <c r="E264" s="950"/>
      <c r="F264" s="950"/>
      <c r="G264" s="950"/>
      <c r="H264" s="950"/>
      <c r="I264" s="950"/>
      <c r="J264" s="1555"/>
      <c r="K264" s="1549"/>
      <c r="L264" s="950"/>
      <c r="M264" s="950"/>
      <c r="N264" s="950"/>
      <c r="O264" s="950"/>
    </row>
    <row r="265" spans="1:15">
      <c r="A265" s="950"/>
      <c r="B265" s="950"/>
      <c r="C265" s="950"/>
      <c r="D265" s="950"/>
      <c r="E265" s="950"/>
      <c r="F265" s="950"/>
      <c r="G265" s="950"/>
      <c r="H265" s="950"/>
      <c r="I265" s="950"/>
      <c r="J265" s="1555"/>
      <c r="K265" s="1549"/>
      <c r="L265" s="950"/>
      <c r="M265" s="950"/>
      <c r="N265" s="950"/>
      <c r="O265" s="950"/>
    </row>
    <row r="266" spans="1:15">
      <c r="A266" s="950"/>
      <c r="B266" s="950"/>
      <c r="C266" s="950"/>
      <c r="D266" s="950"/>
      <c r="E266" s="950"/>
      <c r="F266" s="950"/>
      <c r="G266" s="950"/>
      <c r="H266" s="950"/>
      <c r="I266" s="950"/>
      <c r="J266" s="1555"/>
      <c r="K266" s="1549"/>
      <c r="L266" s="950"/>
      <c r="M266" s="950"/>
      <c r="N266" s="950"/>
      <c r="O266" s="950"/>
    </row>
    <row r="267" spans="1:15">
      <c r="A267" s="950"/>
      <c r="B267" s="950"/>
      <c r="C267" s="950"/>
      <c r="D267" s="950"/>
      <c r="E267" s="950"/>
      <c r="F267" s="950"/>
      <c r="G267" s="950"/>
      <c r="H267" s="950"/>
      <c r="I267" s="950"/>
      <c r="J267" s="1555"/>
      <c r="K267" s="1549"/>
      <c r="L267" s="950"/>
      <c r="M267" s="950"/>
      <c r="N267" s="950"/>
      <c r="O267" s="950"/>
    </row>
    <row r="268" spans="1:15">
      <c r="A268" s="950"/>
      <c r="B268" s="950"/>
      <c r="C268" s="950"/>
      <c r="D268" s="950"/>
      <c r="E268" s="950"/>
      <c r="F268" s="950"/>
      <c r="G268" s="950"/>
      <c r="H268" s="950"/>
      <c r="I268" s="950"/>
      <c r="J268" s="1555"/>
      <c r="K268" s="1549"/>
      <c r="L268" s="950"/>
      <c r="M268" s="950"/>
      <c r="N268" s="950"/>
      <c r="O268" s="950"/>
    </row>
    <row r="269" spans="1:15">
      <c r="A269" s="950"/>
      <c r="B269" s="950"/>
      <c r="C269" s="950"/>
      <c r="D269" s="950"/>
      <c r="E269" s="950"/>
      <c r="F269" s="950"/>
      <c r="G269" s="950"/>
      <c r="H269" s="950"/>
      <c r="I269" s="950"/>
      <c r="J269" s="1555"/>
      <c r="K269" s="1549"/>
      <c r="L269" s="950"/>
      <c r="M269" s="950"/>
      <c r="N269" s="950"/>
      <c r="O269" s="950"/>
    </row>
    <row r="270" spans="1:15">
      <c r="A270" s="950"/>
      <c r="B270" s="950"/>
      <c r="C270" s="950"/>
      <c r="D270" s="950"/>
      <c r="E270" s="950"/>
      <c r="F270" s="950"/>
      <c r="G270" s="950"/>
      <c r="H270" s="950"/>
      <c r="I270" s="950"/>
      <c r="J270" s="952"/>
      <c r="K270" s="952"/>
      <c r="L270" s="950"/>
      <c r="M270" s="950"/>
      <c r="N270" s="950"/>
      <c r="O270" s="950"/>
    </row>
    <row r="271" spans="1:15">
      <c r="A271" s="950"/>
      <c r="B271" s="950"/>
      <c r="C271" s="950"/>
      <c r="D271" s="950"/>
      <c r="E271" s="950"/>
      <c r="F271" s="950"/>
      <c r="G271" s="950"/>
      <c r="H271" s="950"/>
      <c r="I271" s="950"/>
      <c r="J271" s="1549"/>
      <c r="K271" s="1549"/>
      <c r="L271" s="950"/>
      <c r="M271" s="950"/>
      <c r="N271" s="950"/>
      <c r="O271" s="950"/>
    </row>
    <row r="272" spans="1:15">
      <c r="A272" s="950"/>
      <c r="B272" s="950"/>
      <c r="C272" s="950"/>
      <c r="D272" s="950"/>
      <c r="E272" s="950"/>
      <c r="F272" s="950"/>
      <c r="G272" s="950"/>
      <c r="H272" s="950"/>
      <c r="I272" s="950"/>
      <c r="J272" s="952"/>
      <c r="K272" s="952"/>
      <c r="L272" s="950"/>
      <c r="M272" s="950"/>
      <c r="N272" s="950"/>
      <c r="O272" s="950"/>
    </row>
    <row r="273" spans="1:15">
      <c r="A273" s="950"/>
      <c r="B273" s="950"/>
      <c r="C273" s="950"/>
      <c r="D273" s="950"/>
      <c r="E273" s="950"/>
      <c r="F273" s="950"/>
      <c r="G273" s="950"/>
      <c r="H273" s="950"/>
      <c r="I273" s="950"/>
      <c r="J273" s="950"/>
      <c r="K273" s="950"/>
      <c r="L273" s="950"/>
      <c r="M273" s="950"/>
      <c r="N273" s="950"/>
      <c r="O273" s="950"/>
    </row>
    <row r="274" spans="1:15">
      <c r="A274" s="950"/>
      <c r="B274" s="950"/>
      <c r="C274" s="950"/>
      <c r="D274" s="950"/>
      <c r="E274" s="950"/>
      <c r="F274" s="950"/>
      <c r="G274" s="950"/>
      <c r="H274" s="950"/>
      <c r="I274" s="950"/>
      <c r="J274" s="950"/>
      <c r="K274" s="950"/>
      <c r="L274" s="950"/>
      <c r="M274" s="950"/>
      <c r="N274" s="950"/>
      <c r="O274" s="950"/>
    </row>
    <row r="275" spans="1:15">
      <c r="A275" s="950"/>
      <c r="B275" s="950"/>
      <c r="C275" s="950"/>
      <c r="D275" s="950"/>
      <c r="E275" s="950"/>
      <c r="F275" s="950"/>
      <c r="G275" s="950"/>
      <c r="H275" s="950"/>
      <c r="I275" s="950"/>
      <c r="J275" s="950"/>
      <c r="K275" s="950"/>
      <c r="L275" s="950"/>
      <c r="M275" s="950"/>
      <c r="N275" s="950"/>
      <c r="O275" s="950"/>
    </row>
    <row r="276" spans="1:15">
      <c r="A276" s="950"/>
      <c r="B276" s="950"/>
      <c r="C276" s="950"/>
      <c r="D276" s="950"/>
      <c r="E276" s="950"/>
      <c r="F276" s="950"/>
      <c r="G276" s="950"/>
      <c r="H276" s="950"/>
      <c r="I276" s="950"/>
      <c r="J276" s="950"/>
      <c r="K276" s="950"/>
      <c r="L276" s="950"/>
      <c r="M276" s="950"/>
      <c r="N276" s="950"/>
      <c r="O276" s="950"/>
    </row>
    <row r="277" spans="1:15">
      <c r="A277" s="950"/>
      <c r="B277" s="950"/>
      <c r="C277" s="950"/>
      <c r="D277" s="950"/>
      <c r="E277" s="950"/>
      <c r="F277" s="950"/>
      <c r="G277" s="950"/>
      <c r="H277" s="950"/>
      <c r="I277" s="950"/>
      <c r="J277" s="950"/>
      <c r="K277" s="950"/>
      <c r="L277" s="950"/>
      <c r="M277" s="950"/>
      <c r="N277" s="950"/>
      <c r="O277" s="950"/>
    </row>
    <row r="278" spans="1:15">
      <c r="A278" s="950"/>
      <c r="B278" s="950"/>
      <c r="C278" s="950"/>
      <c r="D278" s="950"/>
      <c r="E278" s="950"/>
      <c r="F278" s="950"/>
      <c r="G278" s="950"/>
      <c r="H278" s="950"/>
      <c r="I278" s="950"/>
      <c r="J278" s="950"/>
      <c r="K278" s="950"/>
      <c r="L278" s="950"/>
      <c r="M278" s="950"/>
      <c r="N278" s="950"/>
      <c r="O278" s="950"/>
    </row>
    <row r="279" spans="1:15">
      <c r="A279" s="950"/>
      <c r="B279" s="950"/>
      <c r="C279" s="950"/>
      <c r="D279" s="950"/>
      <c r="E279" s="950"/>
      <c r="F279" s="950"/>
      <c r="G279" s="950"/>
      <c r="H279" s="950"/>
      <c r="I279" s="950"/>
      <c r="J279" s="950"/>
      <c r="K279" s="950"/>
      <c r="L279" s="950"/>
      <c r="M279" s="950"/>
      <c r="N279" s="950"/>
      <c r="O279" s="950"/>
    </row>
    <row r="280" spans="1:15">
      <c r="A280" s="950"/>
      <c r="B280" s="950"/>
      <c r="C280" s="950"/>
      <c r="D280" s="950"/>
      <c r="E280" s="950"/>
      <c r="F280" s="950"/>
      <c r="G280" s="950"/>
      <c r="H280" s="950"/>
      <c r="I280" s="950"/>
      <c r="J280" s="950"/>
      <c r="K280" s="950"/>
      <c r="L280" s="950"/>
      <c r="M280" s="950"/>
      <c r="N280" s="950"/>
      <c r="O280" s="950"/>
    </row>
    <row r="281" spans="1:15">
      <c r="A281" s="950"/>
      <c r="B281" s="950"/>
      <c r="C281" s="950"/>
      <c r="D281" s="950"/>
      <c r="E281" s="950"/>
      <c r="F281" s="950"/>
      <c r="G281" s="950"/>
      <c r="H281" s="950"/>
      <c r="I281" s="950"/>
      <c r="J281" s="950"/>
      <c r="K281" s="950"/>
      <c r="L281" s="950"/>
      <c r="M281" s="950"/>
      <c r="N281" s="950"/>
      <c r="O281" s="950"/>
    </row>
    <row r="282" spans="1:15">
      <c r="A282" s="950"/>
      <c r="B282" s="950"/>
      <c r="C282" s="950"/>
      <c r="D282" s="950"/>
      <c r="E282" s="950"/>
      <c r="F282" s="950"/>
      <c r="G282" s="950"/>
      <c r="H282" s="950"/>
      <c r="I282" s="950"/>
      <c r="J282" s="950"/>
      <c r="K282" s="950"/>
      <c r="L282" s="950"/>
      <c r="M282" s="950"/>
      <c r="N282" s="950"/>
      <c r="O282" s="950"/>
    </row>
    <row r="283" spans="1:15">
      <c r="A283" s="950"/>
      <c r="B283" s="950"/>
      <c r="C283" s="950"/>
      <c r="D283" s="950"/>
      <c r="E283" s="950"/>
      <c r="F283" s="950"/>
      <c r="G283" s="950"/>
      <c r="H283" s="950"/>
      <c r="I283" s="950"/>
      <c r="J283" s="950"/>
      <c r="K283" s="950"/>
      <c r="L283" s="950"/>
      <c r="M283" s="950"/>
      <c r="N283" s="950"/>
      <c r="O283" s="950"/>
    </row>
    <row r="284" spans="1:15">
      <c r="A284" s="950"/>
      <c r="B284" s="950"/>
      <c r="C284" s="950"/>
      <c r="D284" s="950"/>
      <c r="E284" s="950"/>
      <c r="F284" s="950"/>
      <c r="G284" s="950"/>
      <c r="H284" s="950"/>
      <c r="I284" s="950"/>
      <c r="J284" s="950"/>
      <c r="K284" s="950"/>
      <c r="L284" s="950"/>
      <c r="M284" s="950"/>
      <c r="N284" s="950"/>
      <c r="O284" s="950"/>
    </row>
    <row r="285" spans="1:15">
      <c r="A285" s="950"/>
      <c r="B285" s="950"/>
      <c r="C285" s="950"/>
      <c r="D285" s="950"/>
      <c r="E285" s="950"/>
      <c r="F285" s="950"/>
      <c r="G285" s="950"/>
      <c r="H285" s="950"/>
      <c r="I285" s="950"/>
      <c r="J285" s="950"/>
      <c r="K285" s="950"/>
      <c r="L285" s="950"/>
      <c r="M285" s="950"/>
      <c r="N285" s="950"/>
      <c r="O285" s="950"/>
    </row>
    <row r="286" spans="1:15">
      <c r="A286" s="950"/>
      <c r="B286" s="950"/>
      <c r="C286" s="950"/>
      <c r="D286" s="950"/>
      <c r="E286" s="950"/>
      <c r="F286" s="950"/>
      <c r="G286" s="950"/>
      <c r="H286" s="950"/>
      <c r="I286" s="950"/>
      <c r="J286" s="950"/>
      <c r="K286" s="950"/>
      <c r="L286" s="950"/>
      <c r="M286" s="950"/>
      <c r="N286" s="950"/>
      <c r="O286" s="950"/>
    </row>
    <row r="287" spans="1:15">
      <c r="A287" s="950"/>
      <c r="B287" s="950"/>
      <c r="C287" s="950"/>
      <c r="D287" s="950"/>
      <c r="E287" s="950"/>
      <c r="F287" s="950"/>
      <c r="G287" s="950"/>
      <c r="H287" s="950"/>
      <c r="I287" s="950"/>
      <c r="J287" s="950"/>
      <c r="K287" s="950"/>
      <c r="L287" s="950"/>
      <c r="M287" s="950"/>
      <c r="N287" s="950"/>
      <c r="O287" s="950"/>
    </row>
    <row r="288" spans="1:15">
      <c r="A288" s="950"/>
      <c r="B288" s="950"/>
      <c r="C288" s="950"/>
      <c r="D288" s="950"/>
      <c r="E288" s="950"/>
      <c r="F288" s="950"/>
      <c r="G288" s="950"/>
      <c r="H288" s="950"/>
      <c r="I288" s="950"/>
      <c r="J288" s="950"/>
      <c r="K288" s="950"/>
      <c r="L288" s="950"/>
      <c r="M288" s="950"/>
      <c r="N288" s="950"/>
      <c r="O288" s="950"/>
    </row>
    <row r="289" spans="1:15">
      <c r="A289" s="950"/>
      <c r="B289" s="950"/>
      <c r="C289" s="950"/>
      <c r="D289" s="950"/>
      <c r="E289" s="950"/>
      <c r="F289" s="950"/>
      <c r="G289" s="950"/>
      <c r="H289" s="950"/>
      <c r="I289" s="950"/>
      <c r="J289" s="950"/>
      <c r="K289" s="950"/>
      <c r="L289" s="950"/>
      <c r="M289" s="950"/>
      <c r="N289" s="950"/>
      <c r="O289" s="950"/>
    </row>
    <row r="290" spans="1:15">
      <c r="A290" s="950"/>
      <c r="B290" s="950"/>
      <c r="C290" s="950"/>
      <c r="D290" s="950"/>
      <c r="E290" s="950"/>
      <c r="F290" s="950"/>
      <c r="G290" s="950"/>
      <c r="H290" s="950"/>
      <c r="I290" s="950"/>
      <c r="J290" s="950"/>
      <c r="K290" s="950"/>
      <c r="L290" s="950"/>
      <c r="M290" s="950"/>
      <c r="N290" s="950"/>
      <c r="O290" s="950"/>
    </row>
    <row r="291" spans="1:15">
      <c r="A291" s="950"/>
      <c r="B291" s="950"/>
      <c r="C291" s="950"/>
      <c r="D291" s="950"/>
      <c r="E291" s="950"/>
      <c r="F291" s="950"/>
      <c r="G291" s="950"/>
      <c r="H291" s="950"/>
      <c r="I291" s="950"/>
      <c r="J291" s="950"/>
      <c r="K291" s="950"/>
      <c r="L291" s="950"/>
      <c r="M291" s="950"/>
      <c r="N291" s="950"/>
      <c r="O291" s="950"/>
    </row>
    <row r="292" spans="1:15">
      <c r="A292" s="950"/>
      <c r="B292" s="950"/>
      <c r="C292" s="950"/>
      <c r="D292" s="950"/>
      <c r="E292" s="950"/>
      <c r="F292" s="950"/>
      <c r="G292" s="950"/>
      <c r="H292" s="950"/>
      <c r="I292" s="950"/>
      <c r="J292" s="950"/>
      <c r="K292" s="950"/>
      <c r="L292" s="950"/>
      <c r="M292" s="950"/>
      <c r="N292" s="950"/>
      <c r="O292" s="950"/>
    </row>
    <row r="293" spans="1:15">
      <c r="A293" s="950"/>
      <c r="B293" s="950"/>
      <c r="C293" s="950"/>
      <c r="D293" s="950"/>
      <c r="E293" s="950"/>
      <c r="F293" s="950"/>
      <c r="G293" s="950"/>
      <c r="H293" s="950"/>
      <c r="I293" s="950"/>
      <c r="J293" s="950"/>
      <c r="K293" s="950"/>
      <c r="L293" s="950"/>
      <c r="M293" s="950"/>
      <c r="N293" s="950"/>
      <c r="O293" s="950"/>
    </row>
    <row r="294" spans="1:15">
      <c r="A294" s="950"/>
      <c r="B294" s="950"/>
      <c r="C294" s="950"/>
      <c r="D294" s="950"/>
      <c r="E294" s="950"/>
      <c r="F294" s="950"/>
      <c r="G294" s="950"/>
      <c r="H294" s="950"/>
      <c r="I294" s="950"/>
      <c r="J294" s="950"/>
      <c r="K294" s="950"/>
      <c r="L294" s="950"/>
      <c r="M294" s="950"/>
      <c r="N294" s="950"/>
      <c r="O294" s="950"/>
    </row>
    <row r="295" spans="1:15">
      <c r="A295" s="950"/>
      <c r="B295" s="950"/>
      <c r="C295" s="950"/>
      <c r="D295" s="950"/>
      <c r="E295" s="950"/>
      <c r="F295" s="950"/>
      <c r="G295" s="950"/>
      <c r="H295" s="950"/>
      <c r="I295" s="950"/>
      <c r="J295" s="950"/>
      <c r="K295" s="950"/>
      <c r="L295" s="950"/>
      <c r="M295" s="950"/>
      <c r="N295" s="950"/>
      <c r="O295" s="950"/>
    </row>
    <row r="296" spans="1:15">
      <c r="A296" s="950"/>
      <c r="B296" s="950"/>
      <c r="C296" s="950"/>
      <c r="D296" s="950"/>
      <c r="E296" s="950"/>
      <c r="F296" s="950"/>
      <c r="G296" s="950"/>
      <c r="H296" s="950"/>
      <c r="I296" s="950"/>
      <c r="J296" s="950"/>
      <c r="K296" s="950"/>
      <c r="L296" s="950"/>
      <c r="M296" s="950"/>
      <c r="N296" s="950"/>
      <c r="O296" s="950"/>
    </row>
    <row r="297" spans="1:15">
      <c r="A297" s="950"/>
      <c r="B297" s="950"/>
      <c r="C297" s="950"/>
      <c r="D297" s="950"/>
      <c r="E297" s="950"/>
      <c r="F297" s="950"/>
      <c r="G297" s="950"/>
      <c r="H297" s="950"/>
      <c r="I297" s="950"/>
      <c r="J297" s="950"/>
      <c r="K297" s="950"/>
      <c r="L297" s="950"/>
      <c r="M297" s="950"/>
      <c r="N297" s="950"/>
      <c r="O297" s="950"/>
    </row>
    <row r="298" spans="1:15">
      <c r="A298" s="950"/>
      <c r="B298" s="950"/>
      <c r="C298" s="950"/>
      <c r="D298" s="950"/>
      <c r="E298" s="950"/>
      <c r="F298" s="950"/>
      <c r="G298" s="950"/>
      <c r="H298" s="950"/>
      <c r="I298" s="950"/>
      <c r="J298" s="950"/>
      <c r="K298" s="950"/>
      <c r="L298" s="950"/>
      <c r="M298" s="950"/>
      <c r="N298" s="950"/>
      <c r="O298" s="950"/>
    </row>
    <row r="299" spans="1:15">
      <c r="A299" s="950"/>
      <c r="B299" s="950"/>
      <c r="C299" s="950"/>
      <c r="D299" s="950"/>
      <c r="E299" s="950"/>
      <c r="F299" s="950"/>
      <c r="G299" s="950"/>
      <c r="H299" s="950"/>
      <c r="I299" s="950"/>
      <c r="J299" s="950"/>
      <c r="K299" s="950"/>
      <c r="L299" s="950"/>
      <c r="M299" s="950"/>
      <c r="N299" s="950"/>
      <c r="O299" s="950"/>
    </row>
    <row r="300" spans="1:15">
      <c r="A300" s="950"/>
      <c r="B300" s="950"/>
      <c r="C300" s="950"/>
      <c r="D300" s="950"/>
      <c r="E300" s="950"/>
      <c r="F300" s="950"/>
      <c r="G300" s="950"/>
      <c r="H300" s="950"/>
      <c r="I300" s="950"/>
      <c r="J300" s="950"/>
      <c r="K300" s="950"/>
      <c r="L300" s="950"/>
      <c r="M300" s="950"/>
      <c r="N300" s="950"/>
      <c r="O300" s="950"/>
    </row>
    <row r="301" spans="1:15">
      <c r="A301" s="950"/>
      <c r="B301" s="950"/>
      <c r="C301" s="950"/>
      <c r="D301" s="950"/>
      <c r="E301" s="950"/>
      <c r="F301" s="950"/>
      <c r="G301" s="950"/>
      <c r="H301" s="950"/>
      <c r="I301" s="950"/>
      <c r="J301" s="950"/>
      <c r="K301" s="950"/>
      <c r="L301" s="950"/>
      <c r="M301" s="950"/>
      <c r="N301" s="950"/>
      <c r="O301" s="950"/>
    </row>
    <row r="302" spans="1:15">
      <c r="A302" s="950"/>
      <c r="B302" s="950"/>
      <c r="C302" s="950"/>
      <c r="D302" s="950"/>
      <c r="E302" s="950"/>
      <c r="F302" s="950"/>
      <c r="G302" s="950"/>
      <c r="H302" s="950"/>
      <c r="I302" s="950"/>
      <c r="J302" s="950"/>
      <c r="K302" s="950"/>
      <c r="L302" s="950"/>
      <c r="M302" s="950"/>
      <c r="N302" s="950"/>
      <c r="O302" s="950"/>
    </row>
    <row r="303" spans="1:15">
      <c r="A303" s="950"/>
      <c r="B303" s="950"/>
      <c r="C303" s="950"/>
      <c r="D303" s="950"/>
      <c r="E303" s="950"/>
      <c r="F303" s="950"/>
      <c r="G303" s="950"/>
      <c r="H303" s="950"/>
      <c r="I303" s="950"/>
      <c r="J303" s="950"/>
      <c r="K303" s="950"/>
      <c r="L303" s="950"/>
      <c r="M303" s="950"/>
      <c r="N303" s="950"/>
      <c r="O303" s="950"/>
    </row>
    <row r="304" spans="1:15">
      <c r="A304" s="950"/>
      <c r="B304" s="950"/>
      <c r="C304" s="950"/>
      <c r="D304" s="950"/>
      <c r="E304" s="950"/>
      <c r="F304" s="950"/>
      <c r="G304" s="950"/>
      <c r="H304" s="950"/>
      <c r="I304" s="950"/>
      <c r="J304" s="950"/>
      <c r="K304" s="950"/>
      <c r="L304" s="950"/>
      <c r="M304" s="950"/>
      <c r="N304" s="950"/>
      <c r="O304" s="950"/>
    </row>
    <row r="305" spans="1:15">
      <c r="A305" s="950"/>
      <c r="B305" s="950"/>
      <c r="C305" s="950"/>
      <c r="D305" s="950"/>
      <c r="E305" s="950"/>
      <c r="F305" s="950"/>
      <c r="G305" s="950"/>
      <c r="H305" s="950"/>
      <c r="I305" s="950"/>
      <c r="J305" s="950"/>
      <c r="K305" s="950"/>
      <c r="L305" s="950"/>
      <c r="M305" s="950"/>
      <c r="N305" s="950"/>
      <c r="O305" s="950"/>
    </row>
    <row r="306" spans="1:15">
      <c r="A306" s="950"/>
      <c r="B306" s="950"/>
      <c r="C306" s="950"/>
      <c r="D306" s="950"/>
      <c r="E306" s="950"/>
      <c r="F306" s="950"/>
      <c r="G306" s="950"/>
      <c r="H306" s="950"/>
      <c r="I306" s="950"/>
      <c r="J306" s="950"/>
      <c r="K306" s="950"/>
      <c r="L306" s="950"/>
      <c r="M306" s="950"/>
      <c r="N306" s="950"/>
      <c r="O306" s="950"/>
    </row>
    <row r="307" spans="1:15">
      <c r="A307" s="950"/>
      <c r="B307" s="950"/>
      <c r="C307" s="950"/>
      <c r="D307" s="950"/>
      <c r="E307" s="950"/>
      <c r="F307" s="950"/>
      <c r="G307" s="950"/>
      <c r="H307" s="950"/>
      <c r="I307" s="950"/>
      <c r="J307" s="950"/>
      <c r="K307" s="950"/>
      <c r="L307" s="950"/>
      <c r="M307" s="950"/>
      <c r="N307" s="950"/>
      <c r="O307" s="950"/>
    </row>
    <row r="308" spans="1:15">
      <c r="A308" s="950"/>
      <c r="B308" s="950"/>
      <c r="C308" s="950"/>
      <c r="D308" s="950"/>
      <c r="E308" s="950"/>
      <c r="F308" s="950"/>
      <c r="G308" s="950"/>
      <c r="H308" s="950"/>
      <c r="I308" s="950"/>
      <c r="J308" s="950"/>
      <c r="K308" s="950"/>
      <c r="L308" s="950"/>
      <c r="M308" s="950"/>
      <c r="N308" s="950"/>
      <c r="O308" s="950"/>
    </row>
    <row r="309" spans="1:15">
      <c r="A309" s="950"/>
      <c r="B309" s="950"/>
      <c r="C309" s="950"/>
      <c r="D309" s="950"/>
      <c r="E309" s="950"/>
      <c r="F309" s="950"/>
      <c r="G309" s="950"/>
      <c r="H309" s="950"/>
      <c r="I309" s="950"/>
      <c r="J309" s="950"/>
      <c r="K309" s="950"/>
      <c r="L309" s="950"/>
      <c r="M309" s="950"/>
      <c r="N309" s="950"/>
      <c r="O309" s="950"/>
    </row>
    <row r="310" spans="1:15">
      <c r="A310" s="950"/>
      <c r="B310" s="950"/>
      <c r="C310" s="950"/>
      <c r="D310" s="950"/>
      <c r="E310" s="950"/>
      <c r="F310" s="950"/>
      <c r="G310" s="950"/>
      <c r="H310" s="950"/>
      <c r="I310" s="950"/>
      <c r="J310" s="950"/>
      <c r="K310" s="950"/>
      <c r="L310" s="950"/>
      <c r="M310" s="950"/>
      <c r="N310" s="950"/>
      <c r="O310" s="950"/>
    </row>
    <row r="311" spans="1:15">
      <c r="A311" s="950"/>
      <c r="B311" s="950"/>
      <c r="C311" s="950"/>
      <c r="D311" s="950"/>
      <c r="E311" s="950"/>
      <c r="F311" s="950"/>
      <c r="G311" s="950"/>
      <c r="H311" s="950"/>
      <c r="I311" s="950"/>
      <c r="J311" s="950"/>
      <c r="K311" s="950"/>
      <c r="L311" s="950"/>
      <c r="M311" s="950"/>
      <c r="N311" s="950"/>
      <c r="O311" s="950"/>
    </row>
    <row r="312" spans="1:15">
      <c r="A312" s="950"/>
      <c r="B312" s="950"/>
      <c r="C312" s="950"/>
      <c r="D312" s="950"/>
      <c r="E312" s="950"/>
      <c r="F312" s="950"/>
      <c r="G312" s="950"/>
      <c r="H312" s="950"/>
      <c r="I312" s="950"/>
      <c r="J312" s="950"/>
      <c r="K312" s="950"/>
      <c r="L312" s="950"/>
      <c r="M312" s="950"/>
      <c r="N312" s="950"/>
      <c r="O312" s="950"/>
    </row>
    <row r="313" spans="1:15">
      <c r="A313" s="950"/>
      <c r="B313" s="950"/>
      <c r="C313" s="950"/>
      <c r="D313" s="950"/>
      <c r="E313" s="950"/>
      <c r="F313" s="950"/>
      <c r="G313" s="950"/>
      <c r="H313" s="950"/>
      <c r="I313" s="950"/>
      <c r="J313" s="950"/>
      <c r="K313" s="950"/>
      <c r="L313" s="950"/>
      <c r="M313" s="950"/>
      <c r="N313" s="950"/>
      <c r="O313" s="950"/>
    </row>
    <row r="314" spans="1:15">
      <c r="A314" s="950"/>
      <c r="B314" s="950"/>
      <c r="C314" s="950"/>
      <c r="D314" s="950"/>
      <c r="E314" s="950"/>
      <c r="F314" s="950"/>
      <c r="G314" s="950"/>
      <c r="H314" s="950"/>
      <c r="I314" s="950"/>
      <c r="J314" s="950"/>
      <c r="K314" s="950"/>
      <c r="L314" s="950"/>
      <c r="M314" s="950"/>
      <c r="N314" s="950"/>
      <c r="O314" s="950"/>
    </row>
    <row r="315" spans="1:15">
      <c r="A315" s="950"/>
      <c r="B315" s="950"/>
      <c r="C315" s="950"/>
      <c r="D315" s="950"/>
      <c r="E315" s="950"/>
      <c r="F315" s="950"/>
      <c r="G315" s="950"/>
      <c r="H315" s="950"/>
      <c r="I315" s="950"/>
      <c r="J315" s="950"/>
      <c r="K315" s="950"/>
      <c r="L315" s="950"/>
      <c r="M315" s="950"/>
      <c r="N315" s="950"/>
      <c r="O315" s="950"/>
    </row>
    <row r="316" spans="1:15">
      <c r="A316" s="950"/>
      <c r="B316" s="950"/>
      <c r="C316" s="950"/>
      <c r="D316" s="950"/>
      <c r="E316" s="950"/>
      <c r="F316" s="950"/>
      <c r="G316" s="950"/>
      <c r="H316" s="950"/>
      <c r="I316" s="950"/>
      <c r="J316" s="950"/>
      <c r="K316" s="950"/>
      <c r="L316" s="950"/>
      <c r="M316" s="950"/>
      <c r="N316" s="950"/>
      <c r="O316" s="950"/>
    </row>
  </sheetData>
  <phoneticPr fontId="4" type="noConversion"/>
  <pageMargins left="0.94999999999999984" right="0.75" top="1" bottom="1" header="0.5" footer="0.5"/>
  <pageSetup scale="46" orientation="portrait" blackAndWhite="1" horizontalDpi="300" verticalDpi="300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2">
    <tabColor theme="8" tint="0.59999389629810485"/>
    <pageSetUpPr fitToPage="1"/>
  </sheetPr>
  <dimension ref="A1:BU448"/>
  <sheetViews>
    <sheetView zoomScale="75" workbookViewId="0"/>
  </sheetViews>
  <sheetFormatPr defaultColWidth="12.5546875" defaultRowHeight="15"/>
  <cols>
    <col min="1" max="1" width="7.6640625" style="1345" customWidth="1"/>
    <col min="2" max="2" width="46" style="1345" customWidth="1"/>
    <col min="3" max="3" width="22.88671875" style="1345" customWidth="1"/>
    <col min="4" max="4" width="17" style="1345" customWidth="1"/>
    <col min="5" max="5" width="18.109375" style="1345" customWidth="1"/>
    <col min="6" max="6" width="20" style="1345" customWidth="1"/>
    <col min="7" max="7" width="22.88671875" style="1345" customWidth="1"/>
    <col min="8" max="8" width="20.33203125" style="1345" customWidth="1"/>
    <col min="9" max="9" width="2.33203125" style="1345" customWidth="1"/>
    <col min="10" max="10" width="10" style="1345" customWidth="1"/>
    <col min="11" max="12" width="15.109375" style="1345" customWidth="1"/>
    <col min="13" max="13" width="65.33203125" style="1345" customWidth="1"/>
    <col min="14" max="18" width="20.33203125" style="1345" customWidth="1"/>
    <col min="19" max="19" width="2.33203125" style="1345" customWidth="1"/>
    <col min="20" max="20" width="12.5546875" style="1345"/>
    <col min="21" max="21" width="15.109375" style="1345" customWidth="1"/>
    <col min="22" max="22" width="12.5546875" style="1345"/>
    <col min="23" max="23" width="52.44140625" style="1345" customWidth="1"/>
    <col min="24" max="26" width="20.33203125" style="1345" customWidth="1"/>
    <col min="27" max="27" width="2.33203125" style="1345" customWidth="1"/>
    <col min="28" max="28" width="12.5546875" style="1345"/>
    <col min="29" max="29" width="15.109375" style="1345" customWidth="1"/>
    <col min="30" max="30" width="12.5546875" style="1345"/>
    <col min="31" max="31" width="65.33203125" style="1345" customWidth="1"/>
    <col min="32" max="36" width="20.33203125" style="1345" customWidth="1"/>
    <col min="37" max="37" width="33.109375" style="1345" customWidth="1"/>
    <col min="38" max="38" width="20.33203125" style="1345" customWidth="1"/>
    <col min="39" max="39" width="2.33203125" style="1345" customWidth="1"/>
    <col min="40" max="40" width="15.109375" style="1345" customWidth="1"/>
    <col min="41" max="46" width="22.88671875" style="1345" customWidth="1"/>
    <col min="47" max="47" width="26.6640625" style="1345" customWidth="1"/>
    <col min="48" max="48" width="22.88671875" style="1345" customWidth="1"/>
    <col min="49" max="49" width="20.33203125" style="1345" customWidth="1"/>
    <col min="50" max="50" width="2.33203125" style="1345" customWidth="1"/>
    <col min="51" max="51" width="26.6640625" style="1345" customWidth="1"/>
    <col min="52" max="52" width="37" style="1345" customWidth="1"/>
    <col min="53" max="53" width="46" style="1345" customWidth="1"/>
    <col min="54" max="56" width="15.109375" style="1345" customWidth="1"/>
    <col min="57" max="57" width="26.6640625" style="1345" customWidth="1"/>
    <col min="58" max="58" width="15.109375" style="1345" customWidth="1"/>
    <col min="59" max="59" width="2.33203125" style="1345" customWidth="1"/>
    <col min="60" max="60" width="10" style="1345" customWidth="1"/>
    <col min="61" max="61" width="12.5546875" style="1345"/>
    <col min="62" max="62" width="39.5546875" style="1345" customWidth="1"/>
    <col min="63" max="63" width="16.44140625" style="1345" customWidth="1"/>
    <col min="64" max="66" width="20.33203125" style="1345" customWidth="1"/>
    <col min="67" max="68" width="16.44140625" style="1345" customWidth="1"/>
    <col min="69" max="69" width="26.6640625" style="1345" customWidth="1"/>
    <col min="70" max="70" width="39.5546875" style="1345" customWidth="1"/>
    <col min="71" max="71" width="12.5546875" style="1345"/>
    <col min="72" max="72" width="16.44140625" style="1345" customWidth="1"/>
    <col min="73" max="73" width="17.6640625" style="1345" customWidth="1"/>
    <col min="74" max="16384" width="12.5546875" style="1345"/>
  </cols>
  <sheetData>
    <row r="1" spans="1:73">
      <c r="A1" s="684" t="str">
        <f>COMPANY</f>
        <v>DUKE ENERGY KENTUCKY, INC.</v>
      </c>
      <c r="B1" s="1343"/>
      <c r="C1" s="1343"/>
      <c r="D1" s="1343"/>
      <c r="E1" s="1343"/>
      <c r="F1" s="1343"/>
      <c r="G1" s="1343"/>
      <c r="BT1" s="1298"/>
      <c r="BU1" s="1298"/>
    </row>
    <row r="2" spans="1:73">
      <c r="A2" s="684" t="str">
        <f>CASE</f>
        <v>CASE NO. 2018-00261</v>
      </c>
      <c r="B2" s="1343"/>
      <c r="C2" s="1343"/>
      <c r="D2" s="1343"/>
      <c r="E2" s="1343"/>
      <c r="F2" s="1343"/>
      <c r="G2" s="1343"/>
      <c r="BT2" s="1298"/>
      <c r="BU2" s="1298"/>
    </row>
    <row r="3" spans="1:73">
      <c r="A3" s="684" t="s">
        <v>618</v>
      </c>
      <c r="B3" s="1343"/>
      <c r="C3" s="1343"/>
      <c r="D3" s="1343"/>
      <c r="E3" s="1343"/>
      <c r="F3" s="1343"/>
      <c r="G3" s="1343"/>
      <c r="BT3" s="1298"/>
      <c r="BU3" s="1298"/>
    </row>
    <row r="4" spans="1:73">
      <c r="A4" s="44" t="str">
        <f>"AS OF " &amp;RIGHT(TESTYR,(LEN(TESTYR)-16))</f>
        <v>AS OF NOVEMBER 30, 2018</v>
      </c>
      <c r="B4" s="1343"/>
      <c r="C4" s="1343"/>
      <c r="D4" s="1343"/>
      <c r="E4" s="1343"/>
      <c r="F4" s="1343"/>
      <c r="G4" s="1343"/>
      <c r="BT4" s="1298"/>
      <c r="BU4" s="1298"/>
    </row>
    <row r="5" spans="1:73">
      <c r="A5" s="1343"/>
      <c r="B5" s="1343"/>
      <c r="C5" s="1343"/>
      <c r="D5" s="1343"/>
      <c r="E5" s="1343"/>
      <c r="F5" s="1343"/>
      <c r="G5" s="1343"/>
      <c r="BT5" s="1298"/>
      <c r="BU5" s="1298"/>
    </row>
    <row r="6" spans="1:73">
      <c r="A6" s="1344"/>
      <c r="B6" s="1343"/>
      <c r="C6" s="1343"/>
      <c r="D6" s="1343"/>
      <c r="E6" s="1343"/>
      <c r="F6" s="1343"/>
      <c r="G6" s="1343"/>
      <c r="BT6" s="1298"/>
      <c r="BU6" s="1298"/>
    </row>
    <row r="7" spans="1:73">
      <c r="BT7" s="1298"/>
      <c r="BU7" s="1298"/>
    </row>
    <row r="8" spans="1:73">
      <c r="BT8" s="1298"/>
      <c r="BU8" s="1298"/>
    </row>
    <row r="9" spans="1:73">
      <c r="A9" s="1298" t="str">
        <f>Data</f>
        <v>DATA: "X" BASE PERIOD   FORECASTED PERIOD</v>
      </c>
      <c r="F9" s="1298" t="s">
        <v>619</v>
      </c>
      <c r="BT9" s="1298"/>
      <c r="BU9" s="1298"/>
    </row>
    <row r="10" spans="1:73">
      <c r="A10" s="1298" t="str">
        <f>Type</f>
        <v xml:space="preserve">TYPE OF FILING:  "X" ORIGINAL   UPDATED    REVISED  </v>
      </c>
      <c r="F10" s="1298" t="s">
        <v>2092</v>
      </c>
      <c r="BT10" s="1298"/>
      <c r="BU10" s="1298"/>
    </row>
    <row r="11" spans="1:73">
      <c r="A11" s="1298" t="s">
        <v>620</v>
      </c>
      <c r="F11" s="1298" t="s">
        <v>566</v>
      </c>
      <c r="BT11" s="1298"/>
      <c r="BU11" s="1298"/>
    </row>
    <row r="12" spans="1:73">
      <c r="F12" s="1298" t="str">
        <f>_WIT7</f>
        <v>R. H. PRATT / C. S. LEE</v>
      </c>
      <c r="BT12" s="1298"/>
      <c r="BU12" s="1298"/>
    </row>
    <row r="13" spans="1:73">
      <c r="BT13" s="1298"/>
      <c r="BU13" s="1298"/>
    </row>
    <row r="14" spans="1:73">
      <c r="BT14" s="1298"/>
      <c r="BU14" s="1298"/>
    </row>
    <row r="15" spans="1:73">
      <c r="BT15" s="1298"/>
      <c r="BU15" s="1298"/>
    </row>
    <row r="16" spans="1:73">
      <c r="A16" s="599"/>
      <c r="B16" s="599"/>
      <c r="C16" s="600"/>
      <c r="D16" s="599"/>
      <c r="E16" s="599"/>
      <c r="F16" s="599"/>
      <c r="G16" s="599"/>
      <c r="BT16" s="1298"/>
      <c r="BU16" s="1298"/>
    </row>
    <row r="17" spans="1:73">
      <c r="A17" s="1348" t="s">
        <v>1938</v>
      </c>
      <c r="C17" s="1447" t="s">
        <v>1986</v>
      </c>
      <c r="D17" s="1348" t="s">
        <v>1898</v>
      </c>
      <c r="E17" s="1348" t="s">
        <v>1898</v>
      </c>
      <c r="G17" s="1348" t="s">
        <v>572</v>
      </c>
      <c r="BT17" s="1298"/>
      <c r="BU17" s="1298"/>
    </row>
    <row r="18" spans="1:73">
      <c r="A18" s="1348" t="s">
        <v>1939</v>
      </c>
      <c r="B18" s="1298" t="s">
        <v>622</v>
      </c>
      <c r="C18" s="1348" t="s">
        <v>1989</v>
      </c>
      <c r="D18" s="1348" t="s">
        <v>2097</v>
      </c>
      <c r="E18" s="1348" t="s">
        <v>2153</v>
      </c>
      <c r="F18" s="1348" t="s">
        <v>571</v>
      </c>
      <c r="G18" s="1348" t="s">
        <v>1357</v>
      </c>
      <c r="BT18" s="1298"/>
      <c r="BU18" s="1298"/>
    </row>
    <row r="19" spans="1:73">
      <c r="A19" s="599"/>
      <c r="B19" s="599"/>
      <c r="C19" s="599"/>
      <c r="D19" s="599"/>
      <c r="E19" s="599"/>
      <c r="F19" s="599"/>
      <c r="G19" s="599"/>
      <c r="BT19" s="1298"/>
      <c r="BU19" s="1298"/>
    </row>
    <row r="20" spans="1:73">
      <c r="C20" s="1348" t="s">
        <v>695</v>
      </c>
      <c r="E20" s="1348" t="s">
        <v>695</v>
      </c>
      <c r="F20" s="1348" t="s">
        <v>695</v>
      </c>
      <c r="G20" s="1348" t="s">
        <v>695</v>
      </c>
      <c r="BT20" s="1298"/>
      <c r="BU20" s="1298"/>
    </row>
    <row r="21" spans="1:73">
      <c r="BT21" s="1298"/>
      <c r="BU21" s="1298"/>
    </row>
    <row r="22" spans="1:73">
      <c r="BT22" s="1298"/>
      <c r="BU22" s="1298"/>
    </row>
    <row r="23" spans="1:73">
      <c r="A23" s="1348">
        <v>1</v>
      </c>
      <c r="B23" s="1298" t="s">
        <v>1840</v>
      </c>
      <c r="C23" s="1351">
        <f>'SCH B-2.1'!E29</f>
        <v>7820132</v>
      </c>
      <c r="D23" s="3280">
        <v>100</v>
      </c>
      <c r="E23" s="1351">
        <f>ROUND((C23*D23)/100,0)</f>
        <v>7820132</v>
      </c>
      <c r="F23" s="1351">
        <f>'SCH B-2.1'!H29</f>
        <v>-5020524</v>
      </c>
      <c r="G23" s="1351">
        <f>E23+F23</f>
        <v>2799608</v>
      </c>
      <c r="BT23" s="1298"/>
      <c r="BU23" s="1298"/>
    </row>
    <row r="24" spans="1:73">
      <c r="A24" s="1348"/>
      <c r="B24" s="1298"/>
      <c r="C24" s="1351"/>
      <c r="D24" s="3280"/>
      <c r="E24" s="1351"/>
      <c r="F24" s="1351"/>
      <c r="G24" s="1351"/>
      <c r="BT24" s="1298"/>
      <c r="BU24" s="1298"/>
    </row>
    <row r="25" spans="1:73">
      <c r="A25" s="1348">
        <f>A23+1</f>
        <v>2</v>
      </c>
      <c r="B25" s="1298" t="s">
        <v>965</v>
      </c>
      <c r="C25" s="1351">
        <f>'SCH B-2.1'!E79</f>
        <v>533421273</v>
      </c>
      <c r="D25" s="3280">
        <v>100</v>
      </c>
      <c r="E25" s="1351">
        <f>ROUND((C25*D25)/100,0)</f>
        <v>533421273</v>
      </c>
      <c r="F25" s="1351">
        <f>'SCH B-2.1'!H79</f>
        <v>-7196711</v>
      </c>
      <c r="G25" s="1351">
        <f>E25+F25</f>
        <v>526224562</v>
      </c>
      <c r="BT25" s="1298"/>
      <c r="BU25" s="1298"/>
    </row>
    <row r="26" spans="1:73">
      <c r="A26" s="1348"/>
      <c r="B26" s="1298"/>
      <c r="C26" s="1351"/>
      <c r="D26" s="3280"/>
      <c r="E26" s="1351"/>
      <c r="F26" s="1351"/>
      <c r="G26" s="1351"/>
      <c r="BT26" s="1298"/>
      <c r="BU26" s="1298"/>
    </row>
    <row r="27" spans="1:73">
      <c r="A27" s="1348">
        <f>A25+1</f>
        <v>3</v>
      </c>
      <c r="B27" s="1298" t="s">
        <v>1358</v>
      </c>
      <c r="C27" s="1351">
        <f>'SCH B-2.1'!E117</f>
        <v>24107404</v>
      </c>
      <c r="D27" s="3280">
        <v>100</v>
      </c>
      <c r="E27" s="1351">
        <f>ROUND((C27*D27)/100,0)</f>
        <v>24107404</v>
      </c>
      <c r="F27" s="1351">
        <f>'SCH B-2.1'!H117</f>
        <v>-113955</v>
      </c>
      <c r="G27" s="1351">
        <f>E27+F27</f>
        <v>23993449</v>
      </c>
      <c r="BT27" s="1298"/>
      <c r="BU27" s="1298"/>
    </row>
    <row r="28" spans="1:73">
      <c r="A28" s="1348"/>
      <c r="B28" s="1298"/>
      <c r="C28" s="1351"/>
      <c r="D28" s="3280"/>
      <c r="E28" s="1351"/>
      <c r="F28" s="1351"/>
      <c r="G28" s="1351"/>
      <c r="BT28" s="1298"/>
      <c r="BU28" s="1298"/>
    </row>
    <row r="29" spans="1:73">
      <c r="A29" s="1348">
        <f>A27+1</f>
        <v>4</v>
      </c>
      <c r="B29" s="1298" t="s">
        <v>1359</v>
      </c>
      <c r="C29" s="1351">
        <f>'SCH B-2.1'!E160</f>
        <v>12990549</v>
      </c>
      <c r="D29" s="3280">
        <v>100</v>
      </c>
      <c r="E29" s="1351">
        <f>ROUND((C29*D29)/100,0)</f>
        <v>12990549</v>
      </c>
      <c r="F29" s="1351">
        <f>'SCH B-2.1'!H160</f>
        <v>0</v>
      </c>
      <c r="G29" s="1351">
        <f>E29+F29</f>
        <v>12990549</v>
      </c>
      <c r="BT29" s="1298"/>
      <c r="BU29" s="1298"/>
    </row>
    <row r="30" spans="1:73">
      <c r="C30" s="1351"/>
      <c r="E30" s="1351"/>
      <c r="F30" s="1351"/>
      <c r="G30" s="1351"/>
      <c r="BT30" s="1298"/>
      <c r="BU30" s="1298"/>
    </row>
    <row r="31" spans="1:73">
      <c r="A31" s="1348">
        <f>A29+1</f>
        <v>5</v>
      </c>
      <c r="B31" s="1298" t="s">
        <v>1360</v>
      </c>
      <c r="C31" s="1351"/>
      <c r="E31" s="1351"/>
      <c r="F31" s="1351"/>
      <c r="G31" s="1351"/>
      <c r="BT31" s="1298"/>
      <c r="BU31" s="1298"/>
    </row>
    <row r="32" spans="1:73">
      <c r="B32" s="1298" t="s">
        <v>1361</v>
      </c>
      <c r="C32" s="1351"/>
      <c r="E32" s="1351"/>
      <c r="F32" s="1351"/>
      <c r="G32" s="1351"/>
      <c r="BT32" s="1298"/>
      <c r="BU32" s="1298"/>
    </row>
    <row r="33" spans="1:73">
      <c r="B33" s="1298"/>
      <c r="C33" s="1351"/>
      <c r="E33" s="1351"/>
      <c r="F33" s="1351"/>
      <c r="G33" s="1351"/>
      <c r="BT33" s="1298"/>
      <c r="BU33" s="1298"/>
    </row>
    <row r="34" spans="1:73">
      <c r="A34" s="1348">
        <f>A31+1</f>
        <v>6</v>
      </c>
      <c r="B34" s="1298" t="s">
        <v>1362</v>
      </c>
      <c r="C34" s="1351"/>
      <c r="E34" s="1351"/>
      <c r="F34" s="1351"/>
      <c r="G34" s="1351"/>
      <c r="BT34" s="1298"/>
      <c r="BU34" s="1298"/>
    </row>
    <row r="35" spans="1:73">
      <c r="C35" s="1351"/>
      <c r="E35" s="1351"/>
      <c r="F35" s="1351"/>
      <c r="G35" s="1351"/>
      <c r="BT35" s="1298"/>
      <c r="BU35" s="1298"/>
    </row>
    <row r="36" spans="1:73">
      <c r="C36" s="1351"/>
      <c r="E36" s="1351"/>
      <c r="F36" s="1351"/>
      <c r="G36" s="1351"/>
      <c r="BT36" s="1298"/>
      <c r="BU36" s="1298"/>
    </row>
    <row r="37" spans="1:73">
      <c r="C37" s="1351"/>
      <c r="E37" s="1351"/>
      <c r="F37" s="1351"/>
      <c r="G37" s="1351"/>
      <c r="BT37" s="1298"/>
      <c r="BU37" s="1298"/>
    </row>
    <row r="38" spans="1:73">
      <c r="C38" s="1351"/>
      <c r="E38" s="1351"/>
      <c r="F38" s="1351"/>
      <c r="G38" s="1351"/>
      <c r="BT38" s="1298"/>
      <c r="BU38" s="1298"/>
    </row>
    <row r="39" spans="1:73">
      <c r="B39" s="599"/>
      <c r="C39" s="601"/>
      <c r="D39" s="599"/>
      <c r="E39" s="601"/>
      <c r="F39" s="601"/>
      <c r="G39" s="601"/>
      <c r="BT39" s="1298"/>
      <c r="BU39" s="1298"/>
    </row>
    <row r="40" spans="1:73">
      <c r="A40" s="1348">
        <f>A34+1</f>
        <v>7</v>
      </c>
      <c r="B40" s="1298" t="s">
        <v>1363</v>
      </c>
      <c r="C40" s="1351">
        <f>SUM(C23:C34)</f>
        <v>578339358</v>
      </c>
      <c r="E40" s="1351">
        <f>SUM(E23:E34)</f>
        <v>578339358</v>
      </c>
      <c r="F40" s="1351">
        <f>SUM(F23:F34)</f>
        <v>-12331190</v>
      </c>
      <c r="G40" s="1351">
        <f>SUM(G23:G34)</f>
        <v>566008168</v>
      </c>
      <c r="BT40" s="1298"/>
      <c r="BU40" s="1298"/>
    </row>
    <row r="41" spans="1:73">
      <c r="C41" s="1351"/>
      <c r="E41" s="1351"/>
      <c r="F41" s="1351"/>
      <c r="G41" s="1351"/>
    </row>
    <row r="42" spans="1:73">
      <c r="B42" s="599"/>
      <c r="C42" s="599"/>
      <c r="D42" s="599"/>
      <c r="E42" s="601"/>
      <c r="F42" s="601"/>
      <c r="G42" s="601"/>
    </row>
    <row r="44" spans="1:73">
      <c r="A44" s="3281" t="s">
        <v>1364</v>
      </c>
    </row>
    <row r="46" spans="1:73">
      <c r="A46" s="3427"/>
      <c r="B46" s="3427"/>
      <c r="C46" s="3427"/>
      <c r="D46" s="3427"/>
      <c r="E46" s="3427"/>
      <c r="F46" s="3427"/>
      <c r="G46" s="3427"/>
    </row>
    <row r="47" spans="1:73">
      <c r="A47" s="684" t="str">
        <f>COMPANY</f>
        <v>DUKE ENERGY KENTUCKY, INC.</v>
      </c>
      <c r="B47" s="1343"/>
      <c r="C47" s="1343"/>
      <c r="D47" s="1343"/>
      <c r="E47" s="1343"/>
      <c r="F47" s="1343"/>
      <c r="G47" s="1343"/>
    </row>
    <row r="48" spans="1:73">
      <c r="A48" s="684" t="str">
        <f>CASE</f>
        <v>CASE NO. 2018-00261</v>
      </c>
      <c r="B48" s="1343"/>
      <c r="C48" s="1343"/>
      <c r="D48" s="1343"/>
      <c r="E48" s="1343"/>
      <c r="F48" s="1343"/>
      <c r="G48" s="1343"/>
    </row>
    <row r="49" spans="1:8">
      <c r="A49" s="684" t="s">
        <v>618</v>
      </c>
      <c r="B49" s="1343"/>
      <c r="C49" s="1343"/>
      <c r="D49" s="1343"/>
      <c r="E49" s="1343"/>
      <c r="F49" s="1343"/>
      <c r="G49" s="1343"/>
    </row>
    <row r="50" spans="1:8">
      <c r="A50" s="44" t="str">
        <f>"AS OF " &amp;RIGHT(Forecast,(LEN(Forecast)-16))</f>
        <v>AS OF MARCH 31, 2020</v>
      </c>
      <c r="B50" s="1343"/>
      <c r="C50" s="1343"/>
      <c r="D50" s="1343"/>
      <c r="E50" s="1343"/>
      <c r="F50" s="1343"/>
      <c r="G50" s="1343"/>
    </row>
    <row r="51" spans="1:8">
      <c r="A51" s="1343"/>
      <c r="B51" s="1343"/>
      <c r="C51" s="1343"/>
      <c r="D51" s="1343"/>
      <c r="E51" s="1343"/>
      <c r="F51" s="1343"/>
      <c r="G51" s="1343"/>
    </row>
    <row r="52" spans="1:8">
      <c r="A52" s="1344"/>
      <c r="B52" s="1343"/>
      <c r="C52" s="1343"/>
      <c r="D52" s="1343"/>
      <c r="E52" s="1343"/>
      <c r="F52" s="1343"/>
      <c r="G52" s="1343"/>
    </row>
    <row r="55" spans="1:8">
      <c r="A55" s="1298" t="str">
        <f>DataF</f>
        <v>DATA:  BASE PERIOD  "X" FORECASTED PERIOD</v>
      </c>
      <c r="F55" s="1298" t="s">
        <v>619</v>
      </c>
    </row>
    <row r="56" spans="1:8">
      <c r="A56" s="1298" t="str">
        <f>Type</f>
        <v xml:space="preserve">TYPE OF FILING:  "X" ORIGINAL   UPDATED    REVISED  </v>
      </c>
      <c r="F56" s="1298" t="s">
        <v>762</v>
      </c>
    </row>
    <row r="57" spans="1:8">
      <c r="A57" s="1298" t="s">
        <v>620</v>
      </c>
      <c r="F57" s="1298" t="s">
        <v>566</v>
      </c>
    </row>
    <row r="58" spans="1:8">
      <c r="F58" s="1298" t="str">
        <f>_WIT7</f>
        <v>R. H. PRATT / C. S. LEE</v>
      </c>
    </row>
    <row r="61" spans="1:8">
      <c r="F61" s="1347"/>
      <c r="H61" s="1450"/>
    </row>
    <row r="62" spans="1:8">
      <c r="A62" s="599"/>
      <c r="B62" s="599"/>
      <c r="C62" s="600" t="s">
        <v>621</v>
      </c>
      <c r="D62" s="599"/>
      <c r="E62" s="599"/>
      <c r="F62" s="817" t="s">
        <v>621</v>
      </c>
      <c r="G62" s="607" t="s">
        <v>287</v>
      </c>
      <c r="H62" s="605"/>
    </row>
    <row r="63" spans="1:8">
      <c r="A63" s="1348" t="s">
        <v>1938</v>
      </c>
      <c r="C63" s="1348" t="s">
        <v>799</v>
      </c>
      <c r="D63" s="1348" t="s">
        <v>1898</v>
      </c>
      <c r="E63" s="1348" t="s">
        <v>1898</v>
      </c>
      <c r="F63" s="1449" t="s">
        <v>799</v>
      </c>
      <c r="G63" s="1348" t="s">
        <v>572</v>
      </c>
      <c r="H63" s="615"/>
    </row>
    <row r="64" spans="1:8">
      <c r="A64" s="1348" t="s">
        <v>1939</v>
      </c>
      <c r="B64" s="1298" t="s">
        <v>622</v>
      </c>
      <c r="C64" s="1348" t="s">
        <v>1234</v>
      </c>
      <c r="D64" s="1348" t="s">
        <v>2097</v>
      </c>
      <c r="E64" s="1348" t="s">
        <v>2153</v>
      </c>
      <c r="F64" s="3282" t="s">
        <v>571</v>
      </c>
      <c r="G64" s="1348" t="s">
        <v>1357</v>
      </c>
      <c r="H64" s="615"/>
    </row>
    <row r="65" spans="1:8">
      <c r="A65" s="599"/>
      <c r="B65" s="599"/>
      <c r="C65" s="599"/>
      <c r="D65" s="599"/>
      <c r="E65" s="599"/>
      <c r="F65" s="599"/>
      <c r="G65" s="599"/>
      <c r="H65" s="1450"/>
    </row>
    <row r="66" spans="1:8">
      <c r="C66" s="1348" t="s">
        <v>695</v>
      </c>
      <c r="E66" s="1348" t="s">
        <v>695</v>
      </c>
      <c r="F66" s="1348" t="s">
        <v>695</v>
      </c>
      <c r="G66" s="1348" t="s">
        <v>695</v>
      </c>
    </row>
    <row r="69" spans="1:8">
      <c r="A69" s="1348">
        <v>1</v>
      </c>
      <c r="B69" s="1298" t="s">
        <v>1840</v>
      </c>
      <c r="C69" s="1351">
        <f>'SCH B-2.1'!E195</f>
        <v>7820132</v>
      </c>
      <c r="D69" s="3280">
        <v>100</v>
      </c>
      <c r="E69" s="1351">
        <f>ROUND((C69*D69)/100,0)</f>
        <v>7820132</v>
      </c>
      <c r="F69" s="1351">
        <f>'SCH B-2.1'!H195</f>
        <v>-5020524</v>
      </c>
      <c r="G69" s="1351">
        <f>E69+F69</f>
        <v>2799608</v>
      </c>
    </row>
    <row r="70" spans="1:8">
      <c r="A70" s="1348"/>
      <c r="B70" s="1298"/>
      <c r="C70" s="1351"/>
      <c r="D70" s="3280"/>
      <c r="E70" s="1351"/>
      <c r="F70" s="1351"/>
      <c r="G70" s="1351"/>
    </row>
    <row r="71" spans="1:8">
      <c r="A71" s="1348">
        <f>A69+1</f>
        <v>2</v>
      </c>
      <c r="B71" s="1298" t="s">
        <v>965</v>
      </c>
      <c r="C71" s="1351">
        <f>'SCH B-2.1'!E245</f>
        <v>555680519</v>
      </c>
      <c r="D71" s="3280">
        <v>100</v>
      </c>
      <c r="E71" s="1351">
        <f>ROUND((C71*D71)/100,0)</f>
        <v>555680519</v>
      </c>
      <c r="F71" s="1351">
        <f>'SCH B-2.1'!H245</f>
        <v>-7196711</v>
      </c>
      <c r="G71" s="1351">
        <f>E71+F71</f>
        <v>548483808</v>
      </c>
    </row>
    <row r="72" spans="1:8">
      <c r="A72" s="1348"/>
      <c r="B72" s="1298"/>
      <c r="C72" s="1351"/>
      <c r="D72" s="3280"/>
      <c r="E72" s="1351"/>
      <c r="F72" s="1351"/>
      <c r="G72" s="1351"/>
    </row>
    <row r="73" spans="1:8">
      <c r="A73" s="1348">
        <f>A71+1</f>
        <v>3</v>
      </c>
      <c r="B73" s="1298" t="s">
        <v>1358</v>
      </c>
      <c r="C73" s="1351">
        <f>'SCH B-2.1'!E284</f>
        <v>24579845</v>
      </c>
      <c r="D73" s="3280">
        <v>100</v>
      </c>
      <c r="E73" s="1351">
        <f>ROUND((C73*D73)/100,0)</f>
        <v>24579845</v>
      </c>
      <c r="F73" s="1351">
        <f>'SCH B-2.1'!H284</f>
        <v>-113955</v>
      </c>
      <c r="G73" s="1351">
        <f>E73+F73</f>
        <v>24465890</v>
      </c>
    </row>
    <row r="74" spans="1:8">
      <c r="A74" s="1348"/>
      <c r="B74" s="1298"/>
      <c r="C74" s="1351"/>
      <c r="D74" s="3280"/>
      <c r="E74" s="1351"/>
      <c r="F74" s="1351"/>
      <c r="G74" s="1351"/>
    </row>
    <row r="75" spans="1:8">
      <c r="A75" s="1348">
        <f>A73+1</f>
        <v>4</v>
      </c>
      <c r="B75" s="1298" t="s">
        <v>1359</v>
      </c>
      <c r="C75" s="1351">
        <f>'SCH B-2.1'!E327</f>
        <v>12877885</v>
      </c>
      <c r="D75" s="3280">
        <v>100</v>
      </c>
      <c r="E75" s="1351">
        <f>ROUND((C75*D75)/100,0)</f>
        <v>12877885</v>
      </c>
      <c r="F75" s="1351">
        <f>'SCH B-2.1'!H327</f>
        <v>0</v>
      </c>
      <c r="G75" s="1351">
        <f>E75+F75</f>
        <v>12877885</v>
      </c>
    </row>
    <row r="76" spans="1:8">
      <c r="C76" s="1351"/>
      <c r="E76" s="1351"/>
      <c r="F76" s="1351"/>
      <c r="G76" s="1351"/>
    </row>
    <row r="77" spans="1:8">
      <c r="A77" s="1348">
        <f>A75+1</f>
        <v>5</v>
      </c>
      <c r="B77" s="1298" t="s">
        <v>1360</v>
      </c>
      <c r="C77" s="1351"/>
      <c r="E77" s="1351"/>
      <c r="F77" s="1351"/>
      <c r="G77" s="1351"/>
    </row>
    <row r="78" spans="1:8">
      <c r="B78" s="1298" t="s">
        <v>1361</v>
      </c>
      <c r="C78" s="1351"/>
      <c r="E78" s="1351"/>
      <c r="F78" s="1351"/>
      <c r="G78" s="1351"/>
    </row>
    <row r="79" spans="1:8">
      <c r="B79" s="1298"/>
      <c r="C79" s="1351"/>
      <c r="E79" s="1351"/>
      <c r="F79" s="1351"/>
      <c r="G79" s="1351"/>
    </row>
    <row r="80" spans="1:8">
      <c r="A80" s="1348">
        <f>A77+1</f>
        <v>6</v>
      </c>
      <c r="B80" s="1298" t="s">
        <v>1362</v>
      </c>
      <c r="C80" s="1351"/>
      <c r="E80" s="1351"/>
      <c r="F80" s="1351"/>
      <c r="G80" s="1351"/>
    </row>
    <row r="81" spans="1:7">
      <c r="C81" s="1351"/>
      <c r="E81" s="1351"/>
      <c r="F81" s="1351"/>
      <c r="G81" s="1351"/>
    </row>
    <row r="82" spans="1:7">
      <c r="C82" s="1351"/>
      <c r="E82" s="1351"/>
      <c r="F82" s="1351"/>
      <c r="G82" s="1351"/>
    </row>
    <row r="83" spans="1:7">
      <c r="C83" s="1351"/>
      <c r="E83" s="1351"/>
      <c r="F83" s="1351"/>
      <c r="G83" s="1351"/>
    </row>
    <row r="84" spans="1:7">
      <c r="C84" s="1351"/>
      <c r="E84" s="1351"/>
      <c r="F84" s="1351"/>
      <c r="G84" s="1351"/>
    </row>
    <row r="85" spans="1:7">
      <c r="B85" s="599"/>
      <c r="C85" s="601"/>
      <c r="D85" s="599"/>
      <c r="E85" s="601"/>
      <c r="F85" s="601"/>
      <c r="G85" s="601"/>
    </row>
    <row r="86" spans="1:7">
      <c r="A86" s="1348">
        <f>A80+1</f>
        <v>7</v>
      </c>
      <c r="B86" s="1298" t="s">
        <v>1363</v>
      </c>
      <c r="C86" s="1351">
        <f>SUM(C69:C80)</f>
        <v>600958381</v>
      </c>
      <c r="E86" s="1351">
        <f>SUM(E69:E80)</f>
        <v>600958381</v>
      </c>
      <c r="F86" s="1351">
        <f>SUM(F69:F80)</f>
        <v>-12331190</v>
      </c>
      <c r="G86" s="1351">
        <f>SUM(G69:G80)</f>
        <v>588627191</v>
      </c>
    </row>
    <row r="87" spans="1:7">
      <c r="C87" s="1351"/>
      <c r="E87" s="1351"/>
      <c r="F87" s="1351"/>
      <c r="G87" s="1351"/>
    </row>
    <row r="88" spans="1:7">
      <c r="B88" s="599"/>
      <c r="C88" s="599"/>
      <c r="D88" s="599"/>
      <c r="E88" s="601"/>
      <c r="F88" s="601"/>
      <c r="G88" s="601"/>
    </row>
    <row r="90" spans="1:7">
      <c r="A90" s="3281" t="s">
        <v>1364</v>
      </c>
    </row>
    <row r="91" spans="1:7">
      <c r="C91" s="3283"/>
      <c r="F91" s="3283"/>
    </row>
    <row r="92" spans="1:7">
      <c r="C92" s="3283"/>
      <c r="F92" s="3283"/>
    </row>
    <row r="93" spans="1:7">
      <c r="C93" s="3283"/>
      <c r="F93" s="3283"/>
    </row>
    <row r="94" spans="1:7">
      <c r="C94" s="3283"/>
      <c r="F94" s="3283"/>
    </row>
    <row r="95" spans="1:7">
      <c r="C95" s="3283"/>
      <c r="F95" s="3283"/>
    </row>
    <row r="96" spans="1:7">
      <c r="C96" s="3283"/>
      <c r="F96" s="3283"/>
    </row>
    <row r="97" spans="3:6">
      <c r="C97" s="3283"/>
      <c r="F97" s="3283"/>
    </row>
    <row r="98" spans="3:6">
      <c r="C98" s="3283"/>
      <c r="F98" s="3283"/>
    </row>
    <row r="99" spans="3:6">
      <c r="C99" s="3283"/>
      <c r="F99" s="3283"/>
    </row>
    <row r="100" spans="3:6">
      <c r="C100" s="3283"/>
      <c r="F100" s="3283"/>
    </row>
    <row r="101" spans="3:6">
      <c r="C101" s="3283"/>
      <c r="F101" s="3283"/>
    </row>
    <row r="102" spans="3:6">
      <c r="C102" s="3283"/>
      <c r="F102" s="3283"/>
    </row>
    <row r="103" spans="3:6">
      <c r="C103" s="3283"/>
      <c r="F103" s="3283"/>
    </row>
    <row r="104" spans="3:6">
      <c r="C104" s="3283"/>
      <c r="F104" s="3283"/>
    </row>
    <row r="105" spans="3:6">
      <c r="C105" s="3283"/>
      <c r="F105" s="3283"/>
    </row>
    <row r="106" spans="3:6">
      <c r="C106" s="3283"/>
      <c r="F106" s="3283"/>
    </row>
    <row r="107" spans="3:6">
      <c r="C107" s="3283"/>
      <c r="F107" s="3283"/>
    </row>
    <row r="108" spans="3:6">
      <c r="C108" s="3283"/>
      <c r="F108" s="3283"/>
    </row>
    <row r="109" spans="3:6">
      <c r="C109" s="3283"/>
      <c r="F109" s="3283"/>
    </row>
    <row r="110" spans="3:6">
      <c r="C110" s="3283"/>
      <c r="F110" s="3283"/>
    </row>
    <row r="111" spans="3:6">
      <c r="C111" s="3283"/>
      <c r="F111" s="3283"/>
    </row>
    <row r="112" spans="3:6">
      <c r="C112" s="3283"/>
      <c r="F112" s="3283"/>
    </row>
    <row r="113" spans="3:6">
      <c r="C113" s="3283"/>
      <c r="F113" s="3283"/>
    </row>
    <row r="114" spans="3:6">
      <c r="C114" s="3283"/>
      <c r="F114" s="3283"/>
    </row>
    <row r="115" spans="3:6">
      <c r="C115" s="3283"/>
      <c r="F115" s="3283"/>
    </row>
    <row r="116" spans="3:6">
      <c r="C116" s="3283"/>
      <c r="F116" s="3283"/>
    </row>
    <row r="117" spans="3:6">
      <c r="C117" s="3283"/>
      <c r="F117" s="3283"/>
    </row>
    <row r="118" spans="3:6">
      <c r="C118" s="3283"/>
      <c r="F118" s="3283"/>
    </row>
    <row r="119" spans="3:6">
      <c r="C119" s="3283"/>
      <c r="F119" s="3283"/>
    </row>
    <row r="120" spans="3:6">
      <c r="C120" s="3283"/>
      <c r="F120" s="3283"/>
    </row>
    <row r="121" spans="3:6">
      <c r="C121" s="3283"/>
      <c r="F121" s="3283"/>
    </row>
    <row r="122" spans="3:6">
      <c r="C122" s="3283"/>
      <c r="F122" s="3283"/>
    </row>
    <row r="123" spans="3:6">
      <c r="C123" s="3283"/>
      <c r="F123" s="3283"/>
    </row>
    <row r="124" spans="3:6">
      <c r="C124" s="3283"/>
      <c r="F124" s="3283"/>
    </row>
    <row r="125" spans="3:6">
      <c r="C125" s="3283"/>
      <c r="F125" s="3283"/>
    </row>
    <row r="126" spans="3:6">
      <c r="C126" s="3283"/>
    </row>
    <row r="127" spans="3:6">
      <c r="C127" s="3283"/>
    </row>
    <row r="128" spans="3:6">
      <c r="C128" s="3283"/>
    </row>
    <row r="129" spans="3:3">
      <c r="C129" s="3283"/>
    </row>
    <row r="130" spans="3:3">
      <c r="C130" s="3283"/>
    </row>
    <row r="131" spans="3:3">
      <c r="C131" s="3283"/>
    </row>
    <row r="132" spans="3:3">
      <c r="C132" s="3283"/>
    </row>
    <row r="133" spans="3:3">
      <c r="C133" s="3283"/>
    </row>
    <row r="375" spans="2:2">
      <c r="B375" s="1298"/>
    </row>
    <row r="376" spans="2:2">
      <c r="B376" s="1298"/>
    </row>
    <row r="377" spans="2:2">
      <c r="B377" s="1298"/>
    </row>
    <row r="378" spans="2:2">
      <c r="B378" s="1298"/>
    </row>
    <row r="379" spans="2:2">
      <c r="B379" s="1298"/>
    </row>
    <row r="380" spans="2:2">
      <c r="B380" s="1298"/>
    </row>
    <row r="381" spans="2:2">
      <c r="B381" s="1298"/>
    </row>
    <row r="382" spans="2:2">
      <c r="B382" s="1298"/>
    </row>
    <row r="383" spans="2:2">
      <c r="B383" s="1298"/>
    </row>
    <row r="384" spans="2:2">
      <c r="B384" s="1298"/>
    </row>
    <row r="385" spans="2:2">
      <c r="B385" s="1298"/>
    </row>
    <row r="386" spans="2:2">
      <c r="B386" s="1298"/>
    </row>
    <row r="387" spans="2:2">
      <c r="B387" s="1298"/>
    </row>
    <row r="388" spans="2:2">
      <c r="B388" s="1298"/>
    </row>
    <row r="389" spans="2:2">
      <c r="B389" s="1298"/>
    </row>
    <row r="390" spans="2:2">
      <c r="B390" s="1298"/>
    </row>
    <row r="391" spans="2:2">
      <c r="B391" s="1298"/>
    </row>
    <row r="392" spans="2:2">
      <c r="B392" s="1298"/>
    </row>
    <row r="393" spans="2:2">
      <c r="B393" s="1298"/>
    </row>
    <row r="394" spans="2:2">
      <c r="B394" s="1298"/>
    </row>
    <row r="395" spans="2:2">
      <c r="B395" s="1298"/>
    </row>
    <row r="396" spans="2:2">
      <c r="B396" s="1298"/>
    </row>
    <row r="397" spans="2:2">
      <c r="B397" s="1298"/>
    </row>
    <row r="398" spans="2:2">
      <c r="B398" s="1298"/>
    </row>
    <row r="399" spans="2:2">
      <c r="B399" s="1298"/>
    </row>
    <row r="400" spans="2:2">
      <c r="B400" s="1298"/>
    </row>
    <row r="401" spans="2:2">
      <c r="B401" s="1298"/>
    </row>
    <row r="402" spans="2:2">
      <c r="B402" s="1298"/>
    </row>
    <row r="403" spans="2:2">
      <c r="B403" s="1298"/>
    </row>
    <row r="404" spans="2:2">
      <c r="B404" s="1298"/>
    </row>
    <row r="405" spans="2:2">
      <c r="B405" s="1298"/>
    </row>
    <row r="406" spans="2:2">
      <c r="B406" s="1298"/>
    </row>
    <row r="407" spans="2:2">
      <c r="B407" s="1298"/>
    </row>
    <row r="408" spans="2:2">
      <c r="B408" s="1298"/>
    </row>
    <row r="409" spans="2:2">
      <c r="B409" s="1298"/>
    </row>
    <row r="410" spans="2:2">
      <c r="B410" s="1298"/>
    </row>
    <row r="411" spans="2:2">
      <c r="B411" s="1298"/>
    </row>
    <row r="413" spans="2:2">
      <c r="B413" s="1298"/>
    </row>
    <row r="414" spans="2:2">
      <c r="B414" s="1298"/>
    </row>
    <row r="415" spans="2:2">
      <c r="B415" s="1298"/>
    </row>
    <row r="416" spans="2:2">
      <c r="B416" s="1298"/>
    </row>
    <row r="417" spans="2:2">
      <c r="B417" s="1298"/>
    </row>
    <row r="418" spans="2:2">
      <c r="B418" s="1298"/>
    </row>
    <row r="419" spans="2:2">
      <c r="B419" s="1298"/>
    </row>
    <row r="420" spans="2:2">
      <c r="B420" s="1298"/>
    </row>
    <row r="421" spans="2:2">
      <c r="B421" s="1298"/>
    </row>
    <row r="422" spans="2:2">
      <c r="B422" s="1298"/>
    </row>
    <row r="423" spans="2:2">
      <c r="B423" s="1298"/>
    </row>
    <row r="424" spans="2:2">
      <c r="B424" s="1298"/>
    </row>
    <row r="433" spans="1:2">
      <c r="A433" s="1298" t="s">
        <v>1365</v>
      </c>
      <c r="B433" s="1298"/>
    </row>
    <row r="435" spans="1:2">
      <c r="A435" s="1298" t="s">
        <v>1366</v>
      </c>
      <c r="B435" s="1298"/>
    </row>
    <row r="437" spans="1:2">
      <c r="A437" s="1298" t="s">
        <v>1367</v>
      </c>
      <c r="B437" s="1298"/>
    </row>
    <row r="439" spans="1:2">
      <c r="A439" s="1298" t="s">
        <v>1368</v>
      </c>
      <c r="B439" s="1298"/>
    </row>
    <row r="440" spans="1:2">
      <c r="B440" s="1298"/>
    </row>
    <row r="441" spans="1:2">
      <c r="B441" s="1298"/>
    </row>
    <row r="442" spans="1:2">
      <c r="B442" s="1298"/>
    </row>
    <row r="443" spans="1:2">
      <c r="B443" s="1298"/>
    </row>
    <row r="446" spans="1:2">
      <c r="A446" s="1298" t="s">
        <v>1369</v>
      </c>
      <c r="B446" s="1298"/>
    </row>
    <row r="448" spans="1:2">
      <c r="A448" s="1298" t="s">
        <v>1370</v>
      </c>
      <c r="B448" s="1298"/>
    </row>
  </sheetData>
  <phoneticPr fontId="55" type="noConversion"/>
  <printOptions horizontalCentered="1"/>
  <pageMargins left="1" right="0.75" top="1" bottom="1" header="0.5" footer="0.5"/>
  <pageSetup scale="71" orientation="landscape" horizontalDpi="300" verticalDpi="300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tabColor rgb="FF00B050"/>
  </sheetPr>
  <dimension ref="A1:V243"/>
  <sheetViews>
    <sheetView zoomScale="75" workbookViewId="0"/>
  </sheetViews>
  <sheetFormatPr defaultColWidth="6.88671875" defaultRowHeight="15"/>
  <cols>
    <col min="1" max="1" width="6.88671875" style="398" customWidth="1"/>
    <col min="2" max="2" width="34" style="398" customWidth="1"/>
    <col min="3" max="8" width="12.6640625" style="398" customWidth="1"/>
    <col min="9" max="9" width="12.6640625" style="572" customWidth="1"/>
    <col min="10" max="16" width="12.6640625" style="398" customWidth="1"/>
    <col min="17" max="17" width="12" style="398" customWidth="1"/>
    <col min="18" max="18" width="13.88671875" style="398" customWidth="1"/>
    <col min="19" max="19" width="14.33203125" style="398" customWidth="1"/>
    <col min="20" max="20" width="14" style="398" customWidth="1"/>
    <col min="21" max="21" width="13.44140625" style="398" customWidth="1"/>
    <col min="22" max="22" width="14.109375" style="398" customWidth="1"/>
    <col min="23" max="16384" width="6.88671875" style="398"/>
  </cols>
  <sheetData>
    <row r="1" spans="1:22">
      <c r="A1" s="395" t="str">
        <f>LOGO!B5</f>
        <v>DUKE ENERGY KENTUCKY, INC.</v>
      </c>
      <c r="B1" s="396"/>
      <c r="C1" s="396"/>
      <c r="D1" s="396"/>
      <c r="E1" s="396"/>
      <c r="F1" s="396"/>
      <c r="G1" s="396"/>
      <c r="H1" s="396"/>
      <c r="I1" s="571"/>
      <c r="J1" s="396"/>
      <c r="K1" s="439"/>
      <c r="L1" s="396"/>
      <c r="M1" s="396"/>
      <c r="N1" s="439"/>
      <c r="O1" s="439"/>
      <c r="P1" s="396"/>
      <c r="Q1" s="400"/>
    </row>
    <row r="2" spans="1:22">
      <c r="A2" s="440" t="str">
        <f>LOGO!B6</f>
        <v>CASE NO. 2018-00261</v>
      </c>
      <c r="B2" s="396"/>
      <c r="C2" s="396"/>
      <c r="D2" s="396"/>
      <c r="E2" s="396"/>
      <c r="F2" s="396"/>
      <c r="G2" s="396"/>
      <c r="H2" s="396"/>
      <c r="I2" s="571"/>
      <c r="J2" s="396"/>
      <c r="K2" s="439"/>
      <c r="L2" s="396"/>
      <c r="M2" s="396"/>
      <c r="N2" s="439"/>
      <c r="O2" s="439"/>
      <c r="P2" s="396"/>
      <c r="Q2" s="400"/>
      <c r="U2" s="400"/>
    </row>
    <row r="3" spans="1:22">
      <c r="A3" s="395" t="s">
        <v>407</v>
      </c>
      <c r="B3" s="396"/>
      <c r="C3" s="396"/>
      <c r="D3" s="396"/>
      <c r="E3" s="396"/>
      <c r="F3" s="396"/>
      <c r="G3" s="396"/>
      <c r="H3" s="396"/>
      <c r="I3" s="571"/>
      <c r="J3" s="396"/>
      <c r="K3" s="439"/>
      <c r="L3" s="396"/>
      <c r="M3" s="396"/>
      <c r="N3" s="439"/>
      <c r="O3" s="439"/>
      <c r="P3" s="396"/>
      <c r="Q3" s="400"/>
    </row>
    <row r="4" spans="1:22">
      <c r="A4" s="441" t="str">
        <f>TESTYR</f>
        <v>12 MONTHS ENDED NOVEMBER 30, 2018</v>
      </c>
      <c r="B4" s="396"/>
      <c r="C4" s="396"/>
      <c r="D4" s="396"/>
      <c r="E4" s="396"/>
      <c r="F4" s="396"/>
      <c r="G4" s="396"/>
      <c r="H4" s="396"/>
      <c r="I4" s="571"/>
      <c r="J4" s="396"/>
      <c r="K4" s="396"/>
      <c r="L4" s="396"/>
      <c r="M4" s="396"/>
      <c r="N4" s="396"/>
      <c r="O4" s="396"/>
      <c r="P4" s="396"/>
      <c r="Q4" s="400"/>
    </row>
    <row r="5" spans="1:22">
      <c r="A5" s="441"/>
      <c r="B5" s="396"/>
      <c r="C5" s="396"/>
      <c r="D5" s="396"/>
      <c r="E5" s="396"/>
      <c r="F5" s="396"/>
      <c r="G5" s="396"/>
      <c r="H5" s="396"/>
      <c r="I5" s="571"/>
      <c r="J5" s="396"/>
      <c r="Q5" s="400"/>
    </row>
    <row r="6" spans="1:22">
      <c r="A6" s="441"/>
      <c r="B6" s="396"/>
      <c r="C6" s="396"/>
      <c r="D6" s="396"/>
      <c r="E6" s="396"/>
      <c r="F6" s="396"/>
      <c r="G6" s="396"/>
      <c r="H6" s="396"/>
      <c r="I6" s="571"/>
      <c r="J6" s="396"/>
      <c r="Q6" s="400"/>
    </row>
    <row r="7" spans="1:22">
      <c r="A7" s="441"/>
      <c r="B7" s="396"/>
      <c r="C7" s="396"/>
      <c r="D7" s="396"/>
      <c r="E7" s="396"/>
      <c r="F7" s="396"/>
      <c r="G7" s="396"/>
      <c r="H7" s="396"/>
      <c r="I7" s="571"/>
      <c r="J7" s="396"/>
      <c r="Q7" s="400"/>
    </row>
    <row r="8" spans="1:22">
      <c r="A8" s="400"/>
      <c r="F8" s="401"/>
      <c r="G8" s="396"/>
      <c r="H8" s="396"/>
      <c r="I8" s="571"/>
      <c r="K8" s="397"/>
      <c r="N8" s="399"/>
      <c r="O8" s="399"/>
      <c r="P8" s="402"/>
      <c r="Q8" s="400"/>
      <c r="R8" s="402"/>
      <c r="S8" s="402"/>
      <c r="T8" s="402"/>
      <c r="U8" s="402"/>
      <c r="V8" s="402"/>
    </row>
    <row r="9" spans="1:22">
      <c r="A9" s="402">
        <v>1</v>
      </c>
      <c r="B9" s="400" t="s">
        <v>1071</v>
      </c>
      <c r="C9" s="442">
        <f>LOGO!I7</f>
        <v>43100</v>
      </c>
      <c r="D9" s="442">
        <f>LOGO!I8</f>
        <v>43131</v>
      </c>
      <c r="E9" s="442">
        <f>LOGO!I9</f>
        <v>43159</v>
      </c>
      <c r="F9" s="442">
        <f>LOGO!I10</f>
        <v>43190</v>
      </c>
      <c r="G9" s="442">
        <f>LOGO!I11</f>
        <v>43220</v>
      </c>
      <c r="H9" s="442">
        <f>LOGO!I12</f>
        <v>43251</v>
      </c>
      <c r="I9" s="942">
        <f>LOGO!I13</f>
        <v>43281</v>
      </c>
      <c r="J9" s="442">
        <f>LOGO!I14</f>
        <v>43312</v>
      </c>
      <c r="K9" s="442">
        <f>LOGO!I15</f>
        <v>43343</v>
      </c>
      <c r="L9" s="442">
        <f>LOGO!I16</f>
        <v>43373</v>
      </c>
      <c r="M9" s="442">
        <f>LOGO!I17</f>
        <v>43404</v>
      </c>
      <c r="N9" s="442">
        <f>LOGO!I18</f>
        <v>43434</v>
      </c>
      <c r="O9" s="442" t="s">
        <v>2153</v>
      </c>
      <c r="P9" s="443" t="s">
        <v>799</v>
      </c>
      <c r="Q9" s="406"/>
      <c r="R9" s="406"/>
      <c r="S9" s="3468"/>
      <c r="T9" s="406"/>
      <c r="U9" s="406"/>
      <c r="V9" s="406"/>
    </row>
    <row r="10" spans="1:22">
      <c r="A10" s="402">
        <v>2</v>
      </c>
      <c r="B10" s="408" t="s">
        <v>1072</v>
      </c>
      <c r="C10" s="718"/>
      <c r="D10" s="718"/>
      <c r="E10" s="718"/>
      <c r="F10" s="718"/>
      <c r="G10" s="718"/>
      <c r="H10" s="718"/>
      <c r="I10" s="718"/>
      <c r="J10" s="718"/>
      <c r="K10" s="718"/>
      <c r="L10" s="718"/>
      <c r="M10" s="718"/>
      <c r="N10" s="718"/>
      <c r="O10" s="409"/>
      <c r="P10" s="414"/>
      <c r="Q10" s="403"/>
      <c r="R10" s="403"/>
      <c r="S10" s="3469"/>
      <c r="T10" s="403"/>
      <c r="U10" s="403"/>
      <c r="V10" s="403"/>
    </row>
    <row r="11" spans="1:22" ht="15.6">
      <c r="A11" s="402">
        <v>3</v>
      </c>
      <c r="B11" s="400" t="s">
        <v>1809</v>
      </c>
      <c r="C11" s="1177"/>
      <c r="D11" s="1177"/>
      <c r="E11" s="1177"/>
      <c r="F11" s="1177"/>
      <c r="G11" s="718"/>
      <c r="H11" s="718"/>
      <c r="I11" s="718"/>
      <c r="J11" s="718"/>
      <c r="K11" s="718"/>
      <c r="L11" s="718"/>
      <c r="M11" s="718"/>
      <c r="N11" s="718"/>
      <c r="O11" s="409"/>
      <c r="P11" s="414"/>
      <c r="Q11" s="406"/>
      <c r="R11" s="406"/>
      <c r="S11" s="406"/>
      <c r="T11" s="406"/>
      <c r="U11" s="406"/>
      <c r="V11" s="406"/>
    </row>
    <row r="12" spans="1:22">
      <c r="A12" s="402">
        <v>4</v>
      </c>
      <c r="B12" s="400" t="s">
        <v>1810</v>
      </c>
      <c r="C12" s="3546">
        <v>91702</v>
      </c>
      <c r="D12" s="3546">
        <v>92034</v>
      </c>
      <c r="E12" s="3546">
        <v>92098</v>
      </c>
      <c r="F12" s="3546">
        <v>91951</v>
      </c>
      <c r="G12" s="3546">
        <v>91969</v>
      </c>
      <c r="H12" s="3546">
        <v>91637</v>
      </c>
      <c r="I12" s="3546">
        <v>90727</v>
      </c>
      <c r="J12" s="3546">
        <v>90330</v>
      </c>
      <c r="K12" s="3546">
        <v>90105</v>
      </c>
      <c r="L12" s="3546">
        <v>90204</v>
      </c>
      <c r="M12" s="3546">
        <v>90590</v>
      </c>
      <c r="N12" s="3546">
        <v>91432</v>
      </c>
      <c r="O12" s="415">
        <f>SUM(C12:N12)</f>
        <v>1094779</v>
      </c>
      <c r="P12" s="414">
        <f>ROUND(O12/12,0)</f>
        <v>91232</v>
      </c>
      <c r="Q12" s="403"/>
      <c r="R12" s="1178"/>
      <c r="S12" s="403"/>
      <c r="T12" s="403"/>
      <c r="U12" s="403"/>
      <c r="V12" s="403"/>
    </row>
    <row r="13" spans="1:22">
      <c r="A13" s="402">
        <v>5</v>
      </c>
      <c r="B13" s="400" t="s">
        <v>1811</v>
      </c>
      <c r="C13" s="3546">
        <v>7154</v>
      </c>
      <c r="D13" s="3546">
        <v>7199</v>
      </c>
      <c r="E13" s="3546">
        <v>7225</v>
      </c>
      <c r="F13" s="3546">
        <v>7233</v>
      </c>
      <c r="G13" s="3546">
        <v>7165</v>
      </c>
      <c r="H13" s="3546">
        <v>7048</v>
      </c>
      <c r="I13" s="3546">
        <v>7043</v>
      </c>
      <c r="J13" s="3546">
        <v>7012</v>
      </c>
      <c r="K13" s="3546">
        <v>6994</v>
      </c>
      <c r="L13" s="3546">
        <v>7002</v>
      </c>
      <c r="M13" s="3546">
        <v>7032</v>
      </c>
      <c r="N13" s="3546">
        <v>7097</v>
      </c>
      <c r="O13" s="415">
        <f>SUM(C13:N13)</f>
        <v>85204</v>
      </c>
      <c r="P13" s="414">
        <f>ROUND(O13/12,0)</f>
        <v>7100</v>
      </c>
      <c r="Q13" s="403"/>
      <c r="R13" s="1178"/>
      <c r="S13" s="403"/>
      <c r="T13" s="403"/>
      <c r="U13" s="403"/>
      <c r="V13" s="403"/>
    </row>
    <row r="14" spans="1:22">
      <c r="A14" s="402">
        <v>6</v>
      </c>
      <c r="B14" s="400" t="s">
        <v>1812</v>
      </c>
      <c r="C14" s="3546">
        <v>208</v>
      </c>
      <c r="D14" s="3546">
        <v>212</v>
      </c>
      <c r="E14" s="3546">
        <v>215</v>
      </c>
      <c r="F14" s="3546">
        <v>208</v>
      </c>
      <c r="G14" s="3546">
        <v>206</v>
      </c>
      <c r="H14" s="3546">
        <v>202</v>
      </c>
      <c r="I14" s="3546">
        <v>207</v>
      </c>
      <c r="J14" s="3546">
        <v>206</v>
      </c>
      <c r="K14" s="3546">
        <v>205</v>
      </c>
      <c r="L14" s="3546">
        <v>206</v>
      </c>
      <c r="M14" s="3546">
        <v>206</v>
      </c>
      <c r="N14" s="3546">
        <v>208</v>
      </c>
      <c r="O14" s="415">
        <f>SUM(C14:N14)</f>
        <v>2489</v>
      </c>
      <c r="P14" s="414">
        <f>ROUND(O14/12,0)</f>
        <v>207</v>
      </c>
      <c r="R14" s="1178"/>
    </row>
    <row r="15" spans="1:22">
      <c r="A15" s="402">
        <v>7</v>
      </c>
      <c r="B15" s="400" t="s">
        <v>1813</v>
      </c>
      <c r="C15" s="3547">
        <f>1+362</f>
        <v>363</v>
      </c>
      <c r="D15" s="3547">
        <f>1+362</f>
        <v>363</v>
      </c>
      <c r="E15" s="3548">
        <f>1+365</f>
        <v>366</v>
      </c>
      <c r="F15" s="3547">
        <f>1+365</f>
        <v>366</v>
      </c>
      <c r="G15" s="3547">
        <f>1+368</f>
        <v>369</v>
      </c>
      <c r="H15" s="3548">
        <f>1+362</f>
        <v>363</v>
      </c>
      <c r="I15" s="3547">
        <v>369</v>
      </c>
      <c r="J15" s="3547">
        <v>367</v>
      </c>
      <c r="K15" s="3547">
        <v>366</v>
      </c>
      <c r="L15" s="3547">
        <v>367</v>
      </c>
      <c r="M15" s="3547">
        <v>368</v>
      </c>
      <c r="N15" s="3547">
        <v>372</v>
      </c>
      <c r="O15" s="416">
        <f>SUM(C15:N15)</f>
        <v>4399</v>
      </c>
      <c r="P15" s="445">
        <f>ROUND(O15/12,0)</f>
        <v>367</v>
      </c>
      <c r="R15" s="1178"/>
    </row>
    <row r="16" spans="1:22">
      <c r="A16" s="402">
        <v>8</v>
      </c>
      <c r="B16" s="400" t="s">
        <v>1814</v>
      </c>
      <c r="C16" s="1254">
        <f t="shared" ref="C16:N16" si="0">SUM(C12:C15)</f>
        <v>99427</v>
      </c>
      <c r="D16" s="1254">
        <f t="shared" si="0"/>
        <v>99808</v>
      </c>
      <c r="E16" s="1254">
        <f t="shared" si="0"/>
        <v>99904</v>
      </c>
      <c r="F16" s="1254">
        <f t="shared" si="0"/>
        <v>99758</v>
      </c>
      <c r="G16" s="1254">
        <f t="shared" si="0"/>
        <v>99709</v>
      </c>
      <c r="H16" s="1254">
        <f t="shared" si="0"/>
        <v>99250</v>
      </c>
      <c r="I16" s="1254">
        <f t="shared" si="0"/>
        <v>98346</v>
      </c>
      <c r="J16" s="1254">
        <f t="shared" si="0"/>
        <v>97915</v>
      </c>
      <c r="K16" s="1254">
        <f t="shared" si="0"/>
        <v>97670</v>
      </c>
      <c r="L16" s="1254">
        <f t="shared" si="0"/>
        <v>97779</v>
      </c>
      <c r="M16" s="1254">
        <f t="shared" si="0"/>
        <v>98196</v>
      </c>
      <c r="N16" s="1254">
        <f t="shared" si="0"/>
        <v>99109</v>
      </c>
      <c r="O16" s="444">
        <f>SUM(C16:N16)</f>
        <v>1186871</v>
      </c>
      <c r="P16" s="444">
        <f>ROUND(AVERAGE(C16:N16),0)</f>
        <v>98906</v>
      </c>
      <c r="R16"/>
    </row>
    <row r="17" spans="1:18">
      <c r="A17" s="402">
        <v>9</v>
      </c>
      <c r="B17" s="400" t="s">
        <v>1885</v>
      </c>
      <c r="C17" s="719"/>
      <c r="D17" s="719"/>
      <c r="E17" s="1255"/>
      <c r="F17" s="719"/>
      <c r="G17" s="719"/>
      <c r="H17" s="1255"/>
      <c r="I17" s="1196"/>
      <c r="J17" s="572"/>
      <c r="K17" s="572"/>
      <c r="L17" s="572"/>
      <c r="M17" s="572"/>
      <c r="N17" s="572"/>
      <c r="P17" s="414"/>
      <c r="R17"/>
    </row>
    <row r="18" spans="1:18">
      <c r="A18" s="402">
        <v>10</v>
      </c>
      <c r="B18" s="400" t="s">
        <v>1811</v>
      </c>
      <c r="C18" s="3549">
        <v>44</v>
      </c>
      <c r="D18" s="3549">
        <v>44</v>
      </c>
      <c r="E18" s="3546">
        <v>42</v>
      </c>
      <c r="F18" s="3549">
        <v>44</v>
      </c>
      <c r="G18" s="3549">
        <v>44</v>
      </c>
      <c r="H18" s="3546">
        <v>44</v>
      </c>
      <c r="I18" s="3546">
        <v>44</v>
      </c>
      <c r="J18" s="3546">
        <v>44</v>
      </c>
      <c r="K18" s="3546">
        <v>44</v>
      </c>
      <c r="L18" s="3546">
        <v>44</v>
      </c>
      <c r="M18" s="3546">
        <v>44</v>
      </c>
      <c r="N18" s="3546">
        <v>44</v>
      </c>
      <c r="O18" s="415">
        <f>SUM(C18:N18)</f>
        <v>526</v>
      </c>
      <c r="P18" s="414">
        <f>ROUND(O18/12,0)</f>
        <v>44</v>
      </c>
      <c r="R18" s="1178"/>
    </row>
    <row r="19" spans="1:18">
      <c r="A19" s="402">
        <v>11</v>
      </c>
      <c r="B19" s="400" t="s">
        <v>1812</v>
      </c>
      <c r="C19" s="3549">
        <v>37</v>
      </c>
      <c r="D19" s="3549">
        <v>37</v>
      </c>
      <c r="E19" s="3546">
        <v>37</v>
      </c>
      <c r="F19" s="3549">
        <v>37</v>
      </c>
      <c r="G19" s="3549">
        <v>37</v>
      </c>
      <c r="H19" s="3546">
        <v>37</v>
      </c>
      <c r="I19" s="3546">
        <v>37</v>
      </c>
      <c r="J19" s="3546">
        <v>37</v>
      </c>
      <c r="K19" s="3546">
        <v>37</v>
      </c>
      <c r="L19" s="3546">
        <v>37</v>
      </c>
      <c r="M19" s="3546">
        <v>37</v>
      </c>
      <c r="N19" s="3546">
        <v>37</v>
      </c>
      <c r="O19" s="415">
        <f>SUM(C19:N19)</f>
        <v>444</v>
      </c>
      <c r="P19" s="414">
        <f>ROUND(O19/12,0)</f>
        <v>37</v>
      </c>
      <c r="R19" s="1178"/>
    </row>
    <row r="20" spans="1:18">
      <c r="A20" s="402">
        <v>12</v>
      </c>
      <c r="B20" s="400" t="s">
        <v>1813</v>
      </c>
      <c r="C20" s="3550">
        <v>13</v>
      </c>
      <c r="D20" s="3550">
        <v>13</v>
      </c>
      <c r="E20" s="3546">
        <v>13</v>
      </c>
      <c r="F20" s="3550">
        <v>13</v>
      </c>
      <c r="G20" s="3550">
        <v>13</v>
      </c>
      <c r="H20" s="3546">
        <v>13</v>
      </c>
      <c r="I20" s="3546">
        <v>11</v>
      </c>
      <c r="J20" s="3546">
        <v>11</v>
      </c>
      <c r="K20" s="3546">
        <v>11</v>
      </c>
      <c r="L20" s="3546">
        <v>11</v>
      </c>
      <c r="M20" s="3546">
        <v>11</v>
      </c>
      <c r="N20" s="3546">
        <v>11</v>
      </c>
      <c r="O20" s="415">
        <f>SUM(C20:N20)</f>
        <v>144</v>
      </c>
      <c r="P20" s="414">
        <f>ROUND(O20/12,0)</f>
        <v>12</v>
      </c>
      <c r="R20" s="1178"/>
    </row>
    <row r="21" spans="1:18">
      <c r="A21" s="402">
        <v>13</v>
      </c>
      <c r="B21" s="400" t="s">
        <v>304</v>
      </c>
      <c r="C21" s="3551">
        <v>22</v>
      </c>
      <c r="D21" s="3551">
        <v>22</v>
      </c>
      <c r="E21" s="3548">
        <v>22</v>
      </c>
      <c r="F21" s="3551">
        <v>22</v>
      </c>
      <c r="G21" s="3551">
        <v>22</v>
      </c>
      <c r="H21" s="3548">
        <v>22</v>
      </c>
      <c r="I21" s="3548">
        <v>22</v>
      </c>
      <c r="J21" s="3548">
        <v>22</v>
      </c>
      <c r="K21" s="3548">
        <v>22</v>
      </c>
      <c r="L21" s="3548">
        <v>22</v>
      </c>
      <c r="M21" s="3548">
        <v>22</v>
      </c>
      <c r="N21" s="3548">
        <v>22</v>
      </c>
      <c r="O21" s="416">
        <f>SUM(C21:N21)</f>
        <v>264</v>
      </c>
      <c r="P21" s="445">
        <f>ROUND(O21/12,0)</f>
        <v>22</v>
      </c>
      <c r="R21" s="1178"/>
    </row>
    <row r="22" spans="1:18">
      <c r="A22" s="402">
        <v>14</v>
      </c>
      <c r="B22" s="400" t="s">
        <v>1886</v>
      </c>
      <c r="C22" s="1280">
        <f t="shared" ref="C22:N22" si="1">SUM(C18:C21)</f>
        <v>116</v>
      </c>
      <c r="D22" s="1280">
        <f t="shared" si="1"/>
        <v>116</v>
      </c>
      <c r="E22" s="1254">
        <f t="shared" si="1"/>
        <v>114</v>
      </c>
      <c r="F22" s="1280">
        <f t="shared" si="1"/>
        <v>116</v>
      </c>
      <c r="G22" s="1280">
        <f t="shared" si="1"/>
        <v>116</v>
      </c>
      <c r="H22" s="1254">
        <f t="shared" si="1"/>
        <v>116</v>
      </c>
      <c r="I22" s="1280">
        <f t="shared" si="1"/>
        <v>114</v>
      </c>
      <c r="J22" s="1280">
        <f t="shared" si="1"/>
        <v>114</v>
      </c>
      <c r="K22" s="1280">
        <f t="shared" si="1"/>
        <v>114</v>
      </c>
      <c r="L22" s="1280">
        <f t="shared" si="1"/>
        <v>114</v>
      </c>
      <c r="M22" s="1280">
        <f t="shared" si="1"/>
        <v>114</v>
      </c>
      <c r="N22" s="1280">
        <f t="shared" si="1"/>
        <v>114</v>
      </c>
      <c r="O22" s="416">
        <f>SUM(C22:N22)</f>
        <v>1378</v>
      </c>
      <c r="P22" s="445">
        <f>ROUND(O22/12,0)</f>
        <v>115</v>
      </c>
      <c r="R22"/>
    </row>
    <row r="23" spans="1:18">
      <c r="A23" s="402">
        <v>15</v>
      </c>
      <c r="B23" s="400" t="s">
        <v>1073</v>
      </c>
      <c r="C23" s="1281">
        <f t="shared" ref="C23:H23" si="2">C16+C22</f>
        <v>99543</v>
      </c>
      <c r="D23" s="1281">
        <f t="shared" si="2"/>
        <v>99924</v>
      </c>
      <c r="E23" s="1257">
        <f t="shared" si="2"/>
        <v>100018</v>
      </c>
      <c r="F23" s="1281">
        <f t="shared" si="2"/>
        <v>99874</v>
      </c>
      <c r="G23" s="1281">
        <f t="shared" si="2"/>
        <v>99825</v>
      </c>
      <c r="H23" s="1257">
        <f t="shared" si="2"/>
        <v>99366</v>
      </c>
      <c r="I23" s="1281">
        <f t="shared" ref="I23:P23" si="3">I16+I22</f>
        <v>98460</v>
      </c>
      <c r="J23" s="1281">
        <f t="shared" si="3"/>
        <v>98029</v>
      </c>
      <c r="K23" s="1281">
        <f t="shared" si="3"/>
        <v>97784</v>
      </c>
      <c r="L23" s="1281">
        <f t="shared" si="3"/>
        <v>97893</v>
      </c>
      <c r="M23" s="1281">
        <f t="shared" si="3"/>
        <v>98310</v>
      </c>
      <c r="N23" s="1281">
        <f t="shared" si="3"/>
        <v>99223</v>
      </c>
      <c r="O23" s="446">
        <f t="shared" si="3"/>
        <v>1188249</v>
      </c>
      <c r="P23" s="446">
        <f t="shared" si="3"/>
        <v>99021</v>
      </c>
      <c r="R23" s="1178"/>
    </row>
    <row r="24" spans="1:18">
      <c r="A24" s="402">
        <v>16</v>
      </c>
      <c r="B24" s="400"/>
      <c r="C24" s="572"/>
      <c r="D24" s="572"/>
      <c r="E24" s="572"/>
      <c r="F24" s="572"/>
      <c r="G24" s="572"/>
      <c r="H24" s="572"/>
      <c r="J24" s="572"/>
      <c r="K24" s="572"/>
      <c r="L24" s="572"/>
      <c r="M24" s="572"/>
      <c r="N24" s="572"/>
      <c r="P24" s="414"/>
    </row>
    <row r="25" spans="1:18">
      <c r="A25" s="402">
        <v>17</v>
      </c>
      <c r="B25" s="408"/>
      <c r="C25" s="942"/>
      <c r="D25" s="942"/>
      <c r="E25" s="942"/>
      <c r="F25" s="942"/>
      <c r="G25" s="942"/>
      <c r="H25" s="942"/>
      <c r="I25" s="942"/>
      <c r="J25" s="942"/>
      <c r="K25" s="942"/>
      <c r="L25" s="942"/>
      <c r="M25" s="942"/>
      <c r="N25" s="942"/>
      <c r="O25" s="442"/>
      <c r="P25" s="725"/>
    </row>
    <row r="26" spans="1:18">
      <c r="A26" s="402">
        <v>18</v>
      </c>
      <c r="B26" s="502" t="s">
        <v>806</v>
      </c>
      <c r="C26" s="719"/>
      <c r="D26" s="719"/>
      <c r="E26" s="719"/>
      <c r="F26" s="719"/>
      <c r="G26" s="719"/>
      <c r="H26" s="719"/>
      <c r="I26" s="942"/>
      <c r="J26" s="942"/>
      <c r="K26" s="942"/>
      <c r="L26" s="942"/>
      <c r="M26" s="942"/>
      <c r="N26" s="942"/>
      <c r="P26" s="414"/>
    </row>
    <row r="27" spans="1:18">
      <c r="A27" s="402">
        <v>19</v>
      </c>
      <c r="B27" s="506" t="s">
        <v>807</v>
      </c>
      <c r="C27" s="719"/>
      <c r="D27" s="719"/>
      <c r="E27" s="719"/>
      <c r="F27" s="719"/>
      <c r="G27" s="719"/>
      <c r="H27" s="719"/>
      <c r="I27" s="942"/>
      <c r="J27" s="942"/>
      <c r="K27" s="942"/>
      <c r="L27" s="942"/>
      <c r="M27" s="942"/>
      <c r="N27" s="942"/>
      <c r="P27" s="414"/>
    </row>
    <row r="28" spans="1:18">
      <c r="A28" s="402">
        <v>20</v>
      </c>
      <c r="B28" s="400" t="s">
        <v>802</v>
      </c>
      <c r="C28" s="572"/>
      <c r="D28" s="572"/>
      <c r="E28" s="572"/>
      <c r="F28" s="1197"/>
      <c r="G28" s="572"/>
      <c r="H28" s="572"/>
      <c r="I28" s="942"/>
      <c r="J28" s="942"/>
      <c r="K28" s="942"/>
      <c r="L28" s="942"/>
      <c r="M28" s="942"/>
      <c r="N28" s="942"/>
      <c r="P28" s="414"/>
    </row>
    <row r="29" spans="1:18">
      <c r="A29" s="402">
        <v>21</v>
      </c>
      <c r="B29" s="502" t="s">
        <v>1810</v>
      </c>
      <c r="C29" s="3542">
        <v>867409</v>
      </c>
      <c r="D29" s="3542">
        <v>1507073</v>
      </c>
      <c r="E29" s="3542">
        <v>1152366</v>
      </c>
      <c r="F29" s="3542">
        <v>795434</v>
      </c>
      <c r="G29" s="3542">
        <v>761482</v>
      </c>
      <c r="H29" s="3542">
        <v>288661</v>
      </c>
      <c r="I29" s="3542">
        <v>144063</v>
      </c>
      <c r="J29" s="3542">
        <v>78181</v>
      </c>
      <c r="K29" s="3542">
        <v>54641</v>
      </c>
      <c r="L29" s="3542">
        <v>53941</v>
      </c>
      <c r="M29" s="3542">
        <v>115279</v>
      </c>
      <c r="N29" s="3542">
        <v>324102</v>
      </c>
      <c r="O29" s="415">
        <f>SUM(C29:N29)</f>
        <v>6142632</v>
      </c>
      <c r="P29" s="414">
        <f>ROUND(O29/12,0)</f>
        <v>511886</v>
      </c>
    </row>
    <row r="30" spans="1:18">
      <c r="A30" s="402">
        <v>22</v>
      </c>
      <c r="B30" s="502" t="s">
        <v>1811</v>
      </c>
      <c r="C30" s="3542">
        <v>419844</v>
      </c>
      <c r="D30" s="3542">
        <v>732021</v>
      </c>
      <c r="E30" s="3542">
        <v>551129</v>
      </c>
      <c r="F30" s="3542">
        <v>404879</v>
      </c>
      <c r="G30" s="3542">
        <v>394971</v>
      </c>
      <c r="H30" s="3542">
        <v>162668</v>
      </c>
      <c r="I30" s="3542">
        <v>97320</v>
      </c>
      <c r="J30" s="3542">
        <v>70722</v>
      </c>
      <c r="K30" s="3542">
        <v>85155</v>
      </c>
      <c r="L30" s="3542">
        <v>57110</v>
      </c>
      <c r="M30" s="3542">
        <v>105012</v>
      </c>
      <c r="N30" s="3542">
        <v>182441</v>
      </c>
      <c r="O30" s="415">
        <f>SUM(C30:N30)</f>
        <v>3263272</v>
      </c>
      <c r="P30" s="414">
        <f>ROUND(O30/12,0)</f>
        <v>271939</v>
      </c>
    </row>
    <row r="31" spans="1:18">
      <c r="A31" s="402">
        <v>23</v>
      </c>
      <c r="B31" s="502" t="s">
        <v>1812</v>
      </c>
      <c r="C31" s="3542">
        <v>36047</v>
      </c>
      <c r="D31" s="3542">
        <v>61104</v>
      </c>
      <c r="E31" s="3542">
        <v>45408</v>
      </c>
      <c r="F31" s="3542">
        <v>31400</v>
      </c>
      <c r="G31" s="3542">
        <v>28714</v>
      </c>
      <c r="H31" s="3542">
        <v>9922</v>
      </c>
      <c r="I31" s="3542">
        <v>5821</v>
      </c>
      <c r="J31" s="3542">
        <v>2323</v>
      </c>
      <c r="K31" s="3542">
        <v>3279</v>
      </c>
      <c r="L31" s="3542">
        <v>3400</v>
      </c>
      <c r="M31" s="3542">
        <v>3683</v>
      </c>
      <c r="N31" s="3542">
        <v>7448</v>
      </c>
      <c r="O31" s="415">
        <f>SUM(C31:N31)</f>
        <v>238549</v>
      </c>
      <c r="P31" s="414">
        <f>ROUND(O31/12,0)</f>
        <v>19879</v>
      </c>
    </row>
    <row r="32" spans="1:18">
      <c r="A32" s="402">
        <v>24</v>
      </c>
      <c r="B32" s="502" t="s">
        <v>1813</v>
      </c>
      <c r="C32" s="3543">
        <f>5+45382+703</f>
        <v>46090</v>
      </c>
      <c r="D32" s="3543">
        <f>6+83943+1057</f>
        <v>85006</v>
      </c>
      <c r="E32" s="3543">
        <f>5+62898+1375</f>
        <v>64278</v>
      </c>
      <c r="F32" s="3543">
        <f>5+45292+990</f>
        <v>46287</v>
      </c>
      <c r="G32" s="3543">
        <f>5+43862+855</f>
        <v>44722</v>
      </c>
      <c r="H32" s="3543">
        <f>5+16126+479</f>
        <v>16610</v>
      </c>
      <c r="I32" s="3543">
        <v>9952</v>
      </c>
      <c r="J32" s="3543">
        <v>4469</v>
      </c>
      <c r="K32" s="3543">
        <v>2972</v>
      </c>
      <c r="L32" s="3543">
        <v>4222</v>
      </c>
      <c r="M32" s="3543">
        <v>10338</v>
      </c>
      <c r="N32" s="3543">
        <v>17993</v>
      </c>
      <c r="O32" s="416">
        <f>SUM(C32:N32)</f>
        <v>352939</v>
      </c>
      <c r="P32" s="445">
        <f>ROUND(O32/12,0)</f>
        <v>29412</v>
      </c>
    </row>
    <row r="33" spans="1:16">
      <c r="A33" s="402">
        <v>25</v>
      </c>
      <c r="B33" s="400" t="s">
        <v>1814</v>
      </c>
      <c r="C33" s="722">
        <f>SUM(C29:C32)</f>
        <v>1369390</v>
      </c>
      <c r="D33" s="722">
        <f>SUM(D29:D32)</f>
        <v>2385204</v>
      </c>
      <c r="E33" s="722">
        <f>SUM(E29:E32)</f>
        <v>1813181</v>
      </c>
      <c r="F33" s="722">
        <f t="shared" ref="F33:M33" si="4">SUM(F29:F32)</f>
        <v>1278000</v>
      </c>
      <c r="G33" s="722">
        <f t="shared" si="4"/>
        <v>1229889</v>
      </c>
      <c r="H33" s="722">
        <f t="shared" si="4"/>
        <v>477861</v>
      </c>
      <c r="I33" s="722">
        <f t="shared" si="4"/>
        <v>257156</v>
      </c>
      <c r="J33" s="722">
        <f t="shared" si="4"/>
        <v>155695</v>
      </c>
      <c r="K33" s="722">
        <f t="shared" si="4"/>
        <v>146047</v>
      </c>
      <c r="L33" s="722">
        <f t="shared" si="4"/>
        <v>118673</v>
      </c>
      <c r="M33" s="722">
        <f t="shared" si="4"/>
        <v>234312</v>
      </c>
      <c r="N33" s="722">
        <f>SUM(N29:N32)</f>
        <v>531984</v>
      </c>
      <c r="O33" s="722">
        <f>SUM(O29:O32)</f>
        <v>9997392</v>
      </c>
      <c r="P33" s="722">
        <f>SUM(P29:P32)</f>
        <v>833116</v>
      </c>
    </row>
    <row r="34" spans="1:16">
      <c r="A34" s="402">
        <v>26</v>
      </c>
      <c r="B34" s="400" t="s">
        <v>1885</v>
      </c>
      <c r="C34" s="723"/>
      <c r="D34" s="723"/>
      <c r="E34" s="723"/>
      <c r="F34" s="723"/>
      <c r="G34" s="723"/>
      <c r="H34" s="723"/>
      <c r="I34" s="723"/>
      <c r="J34" s="723"/>
      <c r="K34" s="723"/>
      <c r="L34" s="723"/>
      <c r="M34" s="723"/>
      <c r="N34" s="723"/>
      <c r="O34" s="723"/>
      <c r="P34" s="414"/>
    </row>
    <row r="35" spans="1:16">
      <c r="A35" s="402">
        <v>27</v>
      </c>
      <c r="B35" s="400" t="s">
        <v>1811</v>
      </c>
      <c r="C35" s="3542">
        <v>77303</v>
      </c>
      <c r="D35" s="3542">
        <v>88986</v>
      </c>
      <c r="E35" s="3542">
        <v>59605</v>
      </c>
      <c r="F35" s="3542">
        <v>77216</v>
      </c>
      <c r="G35" s="3542">
        <v>50224</v>
      </c>
      <c r="H35" s="3542">
        <v>24720</v>
      </c>
      <c r="I35" s="3542">
        <v>29070</v>
      </c>
      <c r="J35" s="3542">
        <v>22333</v>
      </c>
      <c r="K35" s="3542">
        <v>31496</v>
      </c>
      <c r="L35" s="3542">
        <v>21123</v>
      </c>
      <c r="M35" s="3542">
        <v>45005</v>
      </c>
      <c r="N35" s="3542">
        <v>60814</v>
      </c>
      <c r="O35" s="415">
        <f>SUM(C35:N35)</f>
        <v>587895</v>
      </c>
      <c r="P35" s="414">
        <f>ROUND(O35/12,0)</f>
        <v>48991</v>
      </c>
    </row>
    <row r="36" spans="1:16">
      <c r="A36" s="402">
        <v>28</v>
      </c>
      <c r="B36" s="400" t="s">
        <v>1812</v>
      </c>
      <c r="C36" s="3542">
        <v>164484</v>
      </c>
      <c r="D36" s="3542">
        <v>188705</v>
      </c>
      <c r="E36" s="3542">
        <v>153052</v>
      </c>
      <c r="F36" s="3542">
        <v>167567</v>
      </c>
      <c r="G36" s="3542">
        <v>136951</v>
      </c>
      <c r="H36" s="3542">
        <v>105295</v>
      </c>
      <c r="I36" s="3542">
        <v>110591</v>
      </c>
      <c r="J36" s="3542">
        <v>113840</v>
      </c>
      <c r="K36" s="3542">
        <v>106036</v>
      </c>
      <c r="L36" s="3542">
        <v>109937</v>
      </c>
      <c r="M36" s="3542">
        <v>119081</v>
      </c>
      <c r="N36" s="3542">
        <v>116686</v>
      </c>
      <c r="O36" s="415">
        <f>SUM(C36:N36)</f>
        <v>1592225</v>
      </c>
      <c r="P36" s="414">
        <f>ROUND(O36/12,0)</f>
        <v>132685</v>
      </c>
    </row>
    <row r="37" spans="1:16">
      <c r="A37" s="402">
        <v>29</v>
      </c>
      <c r="B37" s="400" t="s">
        <v>1813</v>
      </c>
      <c r="C37" s="3542">
        <v>30929</v>
      </c>
      <c r="D37" s="3542">
        <v>35634</v>
      </c>
      <c r="E37" s="3542">
        <v>22926</v>
      </c>
      <c r="F37" s="3542">
        <v>26479</v>
      </c>
      <c r="G37" s="3542">
        <v>18091</v>
      </c>
      <c r="H37" s="3542">
        <v>4123</v>
      </c>
      <c r="I37" s="3542">
        <v>2623</v>
      </c>
      <c r="J37" s="3542">
        <v>1389</v>
      </c>
      <c r="K37" s="3542">
        <v>1303</v>
      </c>
      <c r="L37" s="3542">
        <v>1694</v>
      </c>
      <c r="M37" s="3542">
        <v>8345</v>
      </c>
      <c r="N37" s="3542">
        <v>17663</v>
      </c>
      <c r="O37" s="415">
        <f>SUM(C37:N37)</f>
        <v>171199</v>
      </c>
      <c r="P37" s="414">
        <f>ROUND(O37/12,0)</f>
        <v>14267</v>
      </c>
    </row>
    <row r="38" spans="1:16">
      <c r="A38" s="402">
        <v>30</v>
      </c>
      <c r="B38" s="400" t="s">
        <v>304</v>
      </c>
      <c r="C38" s="3543">
        <v>135421</v>
      </c>
      <c r="D38" s="3543">
        <v>151803</v>
      </c>
      <c r="E38" s="3543">
        <v>125074</v>
      </c>
      <c r="F38" s="3543">
        <v>139167</v>
      </c>
      <c r="G38" s="3543">
        <v>134804</v>
      </c>
      <c r="H38" s="3543">
        <v>119528</v>
      </c>
      <c r="I38" s="3543">
        <v>114949</v>
      </c>
      <c r="J38" s="3543">
        <v>114194</v>
      </c>
      <c r="K38" s="3543">
        <v>121749</v>
      </c>
      <c r="L38" s="3543">
        <v>116332</v>
      </c>
      <c r="M38" s="3543">
        <v>133957</v>
      </c>
      <c r="N38" s="3543">
        <v>136421</v>
      </c>
      <c r="O38" s="416">
        <f>SUM(C38:N38)</f>
        <v>1543399</v>
      </c>
      <c r="P38" s="445">
        <f>ROUND(O38/12,0)</f>
        <v>128617</v>
      </c>
    </row>
    <row r="39" spans="1:16">
      <c r="A39" s="402">
        <v>31</v>
      </c>
      <c r="B39" s="400" t="s">
        <v>1886</v>
      </c>
      <c r="C39" s="722">
        <f>SUM(C35:C38)</f>
        <v>408137</v>
      </c>
      <c r="D39" s="722">
        <f>SUM(D35:D38)</f>
        <v>465128</v>
      </c>
      <c r="E39" s="722">
        <f>SUM(E35:E38)</f>
        <v>360657</v>
      </c>
      <c r="F39" s="722">
        <f t="shared" ref="F39:M39" si="5">SUM(F35:F38)</f>
        <v>410429</v>
      </c>
      <c r="G39" s="722">
        <f t="shared" si="5"/>
        <v>340070</v>
      </c>
      <c r="H39" s="722">
        <f t="shared" si="5"/>
        <v>253666</v>
      </c>
      <c r="I39" s="722">
        <f t="shared" si="5"/>
        <v>257233</v>
      </c>
      <c r="J39" s="722">
        <f t="shared" si="5"/>
        <v>251756</v>
      </c>
      <c r="K39" s="722">
        <f t="shared" si="5"/>
        <v>260584</v>
      </c>
      <c r="L39" s="722">
        <f t="shared" si="5"/>
        <v>249086</v>
      </c>
      <c r="M39" s="722">
        <f t="shared" si="5"/>
        <v>306388</v>
      </c>
      <c r="N39" s="722">
        <f>SUM(N35:N38)</f>
        <v>331584</v>
      </c>
      <c r="O39" s="722">
        <f>SUM(O35:O38)</f>
        <v>3894718</v>
      </c>
      <c r="P39" s="722">
        <f>SUM(P35:P38)</f>
        <v>324560</v>
      </c>
    </row>
    <row r="40" spans="1:16">
      <c r="A40" s="402">
        <v>32</v>
      </c>
      <c r="B40" s="400" t="s">
        <v>808</v>
      </c>
      <c r="C40" s="724">
        <f t="shared" ref="C40:P40" si="6">C33+C39</f>
        <v>1777527</v>
      </c>
      <c r="D40" s="724">
        <f t="shared" si="6"/>
        <v>2850332</v>
      </c>
      <c r="E40" s="724">
        <f t="shared" si="6"/>
        <v>2173838</v>
      </c>
      <c r="F40" s="724">
        <f t="shared" si="6"/>
        <v>1688429</v>
      </c>
      <c r="G40" s="724">
        <f t="shared" si="6"/>
        <v>1569959</v>
      </c>
      <c r="H40" s="724">
        <f t="shared" si="6"/>
        <v>731527</v>
      </c>
      <c r="I40" s="724">
        <f t="shared" si="6"/>
        <v>514389</v>
      </c>
      <c r="J40" s="724">
        <f t="shared" si="6"/>
        <v>407451</v>
      </c>
      <c r="K40" s="724">
        <f t="shared" si="6"/>
        <v>406631</v>
      </c>
      <c r="L40" s="724">
        <f t="shared" si="6"/>
        <v>367759</v>
      </c>
      <c r="M40" s="724">
        <f t="shared" si="6"/>
        <v>540700</v>
      </c>
      <c r="N40" s="724">
        <f t="shared" si="6"/>
        <v>863568</v>
      </c>
      <c r="O40" s="724">
        <f t="shared" si="6"/>
        <v>13892110</v>
      </c>
      <c r="P40" s="724">
        <f t="shared" si="6"/>
        <v>1157676</v>
      </c>
    </row>
    <row r="41" spans="1:16">
      <c r="A41" s="404"/>
      <c r="B41" s="423"/>
      <c r="C41" s="943"/>
      <c r="D41" s="943"/>
      <c r="E41" s="943"/>
      <c r="F41" s="943"/>
      <c r="G41" s="943"/>
      <c r="H41" s="943"/>
      <c r="I41" s="943"/>
      <c r="J41" s="1199"/>
      <c r="K41" s="950"/>
      <c r="L41" s="572"/>
      <c r="M41" s="572"/>
      <c r="N41" s="572"/>
    </row>
    <row r="42" spans="1:16">
      <c r="A42" s="419"/>
      <c r="B42" s="814" t="s">
        <v>1737</v>
      </c>
      <c r="C42" s="950"/>
      <c r="D42" s="950"/>
      <c r="E42" s="1129"/>
      <c r="F42" s="944"/>
      <c r="G42" s="944"/>
      <c r="H42" s="944"/>
      <c r="I42" s="957"/>
      <c r="J42" s="957"/>
      <c r="K42" s="957"/>
      <c r="L42" s="957"/>
      <c r="M42" s="957"/>
      <c r="N42" s="957"/>
    </row>
    <row r="43" spans="1:16">
      <c r="A43" s="419"/>
      <c r="B43" s="422"/>
      <c r="C43" s="950"/>
      <c r="D43" s="950"/>
      <c r="E43" s="1129"/>
      <c r="F43" s="944"/>
      <c r="G43" s="944"/>
      <c r="H43" s="944"/>
      <c r="I43" s="957"/>
      <c r="J43" s="957"/>
      <c r="K43" s="957"/>
      <c r="L43" s="957"/>
      <c r="M43" s="957"/>
      <c r="N43" s="957"/>
    </row>
    <row r="44" spans="1:16">
      <c r="A44" s="419"/>
      <c r="B44" s="423"/>
      <c r="C44" s="950"/>
      <c r="D44" s="950"/>
      <c r="E44" s="1129"/>
      <c r="F44" s="944"/>
      <c r="G44" s="944"/>
      <c r="H44" s="944"/>
      <c r="I44" s="957"/>
      <c r="J44" s="957"/>
      <c r="K44" s="957"/>
      <c r="L44" s="957"/>
      <c r="M44" s="957"/>
      <c r="N44" s="957"/>
    </row>
    <row r="45" spans="1:16">
      <c r="A45" s="419"/>
      <c r="B45" s="419"/>
      <c r="C45" s="950"/>
      <c r="D45" s="950"/>
      <c r="E45" s="1129"/>
      <c r="F45" s="944"/>
      <c r="G45" s="944"/>
      <c r="H45" s="944"/>
      <c r="I45" s="957"/>
      <c r="J45" s="957"/>
      <c r="K45" s="957"/>
      <c r="L45" s="957"/>
      <c r="M45" s="957"/>
      <c r="N45" s="957"/>
    </row>
    <row r="46" spans="1:16">
      <c r="A46" s="419"/>
      <c r="B46" s="419"/>
      <c r="C46" s="950"/>
      <c r="D46" s="950"/>
      <c r="E46" s="1129"/>
      <c r="F46" s="944"/>
      <c r="G46" s="944"/>
      <c r="H46" s="944"/>
      <c r="I46" s="950"/>
      <c r="J46" s="1199"/>
      <c r="K46" s="950"/>
      <c r="L46" s="572"/>
      <c r="M46" s="572"/>
      <c r="N46" s="572"/>
    </row>
    <row r="47" spans="1:16">
      <c r="A47" s="419"/>
      <c r="B47" s="419"/>
      <c r="C47" s="950"/>
      <c r="D47" s="950"/>
      <c r="E47" s="1129"/>
      <c r="F47" s="944"/>
      <c r="G47" s="944"/>
      <c r="H47" s="944"/>
      <c r="I47" s="950"/>
      <c r="J47" s="1199"/>
      <c r="K47" s="950"/>
      <c r="L47" s="572"/>
      <c r="M47" s="572"/>
      <c r="N47" s="572"/>
    </row>
    <row r="48" spans="1:16">
      <c r="A48" s="404"/>
      <c r="B48" s="1195" t="s">
        <v>3021</v>
      </c>
      <c r="C48" s="950"/>
      <c r="D48" s="950"/>
      <c r="E48" s="950"/>
      <c r="F48" s="950"/>
      <c r="G48" s="950"/>
      <c r="H48" s="950"/>
      <c r="I48" s="950"/>
      <c r="J48" s="950"/>
      <c r="K48" s="950"/>
      <c r="L48" s="572"/>
      <c r="M48" s="572"/>
      <c r="N48" s="572"/>
    </row>
    <row r="49" spans="1:16">
      <c r="A49" s="424"/>
      <c r="B49" s="425"/>
      <c r="C49" s="950"/>
      <c r="D49" s="950"/>
      <c r="E49" s="950"/>
      <c r="F49" s="950"/>
      <c r="G49" s="950"/>
      <c r="H49" s="950"/>
      <c r="I49" s="950"/>
      <c r="J49" s="1199"/>
      <c r="K49" s="950"/>
      <c r="L49" s="572"/>
      <c r="M49" s="572"/>
      <c r="N49" s="572"/>
    </row>
    <row r="50" spans="1:16">
      <c r="A50" s="404"/>
      <c r="B50" s="502" t="s">
        <v>806</v>
      </c>
      <c r="C50" s="942">
        <f>C9</f>
        <v>43100</v>
      </c>
      <c r="D50" s="942">
        <f t="shared" ref="D50:N50" si="7">D9</f>
        <v>43131</v>
      </c>
      <c r="E50" s="942">
        <f t="shared" si="7"/>
        <v>43159</v>
      </c>
      <c r="F50" s="942">
        <f t="shared" si="7"/>
        <v>43190</v>
      </c>
      <c r="G50" s="942">
        <f t="shared" si="7"/>
        <v>43220</v>
      </c>
      <c r="H50" s="942">
        <f t="shared" si="7"/>
        <v>43251</v>
      </c>
      <c r="I50" s="942">
        <f t="shared" si="7"/>
        <v>43281</v>
      </c>
      <c r="J50" s="942">
        <f t="shared" si="7"/>
        <v>43312</v>
      </c>
      <c r="K50" s="942">
        <f t="shared" si="7"/>
        <v>43343</v>
      </c>
      <c r="L50" s="942">
        <f t="shared" si="7"/>
        <v>43373</v>
      </c>
      <c r="M50" s="942">
        <f t="shared" si="7"/>
        <v>43404</v>
      </c>
      <c r="N50" s="942">
        <f t="shared" si="7"/>
        <v>43434</v>
      </c>
      <c r="P50" s="414"/>
    </row>
    <row r="51" spans="1:16">
      <c r="A51" s="404"/>
      <c r="B51" s="506" t="s">
        <v>2229</v>
      </c>
      <c r="C51" s="1200" t="s">
        <v>353</v>
      </c>
      <c r="D51" s="1200" t="s">
        <v>353</v>
      </c>
      <c r="E51" s="1200" t="s">
        <v>353</v>
      </c>
      <c r="F51" s="1200" t="s">
        <v>353</v>
      </c>
      <c r="G51" s="1200" t="s">
        <v>353</v>
      </c>
      <c r="H51" s="1200" t="s">
        <v>353</v>
      </c>
      <c r="I51" s="1200" t="s">
        <v>354</v>
      </c>
      <c r="J51" s="1200" t="s">
        <v>354</v>
      </c>
      <c r="K51" s="1200" t="s">
        <v>354</v>
      </c>
      <c r="L51" s="1200" t="s">
        <v>354</v>
      </c>
      <c r="M51" s="1200" t="s">
        <v>354</v>
      </c>
      <c r="N51" s="1200" t="s">
        <v>354</v>
      </c>
      <c r="P51" s="414"/>
    </row>
    <row r="52" spans="1:16">
      <c r="A52" s="404"/>
      <c r="B52" s="400" t="s">
        <v>802</v>
      </c>
      <c r="C52" s="572"/>
      <c r="D52" s="572"/>
      <c r="E52" s="572"/>
      <c r="F52" s="572"/>
      <c r="G52" s="1197"/>
      <c r="H52" s="572"/>
      <c r="J52" s="1198"/>
      <c r="K52" s="572"/>
      <c r="L52" s="572"/>
      <c r="M52" s="572"/>
      <c r="N52" s="572"/>
      <c r="P52" s="414"/>
    </row>
    <row r="53" spans="1:16">
      <c r="A53" s="404"/>
      <c r="B53" s="502" t="s">
        <v>1810</v>
      </c>
      <c r="C53" s="3542">
        <v>1204463</v>
      </c>
      <c r="D53" s="3542">
        <v>1370889</v>
      </c>
      <c r="E53" s="3542">
        <v>983459</v>
      </c>
      <c r="F53" s="3542">
        <v>824540</v>
      </c>
      <c r="G53" s="3542">
        <v>612178</v>
      </c>
      <c r="H53" s="3542">
        <v>79414</v>
      </c>
      <c r="I53" s="3542">
        <v>108124.901084884</v>
      </c>
      <c r="J53" s="3542">
        <v>71698.933462066198</v>
      </c>
      <c r="K53" s="3542">
        <v>57519.898177875497</v>
      </c>
      <c r="L53" s="3542">
        <v>60346.532169289101</v>
      </c>
      <c r="M53" s="3542">
        <v>186050.23232749</v>
      </c>
      <c r="N53" s="3542">
        <v>527400.56487591704</v>
      </c>
      <c r="O53" s="415">
        <f>SUM(C53:N53)</f>
        <v>6086084.0620975215</v>
      </c>
      <c r="P53" s="414">
        <f>ROUND(O53/12,0)</f>
        <v>507174</v>
      </c>
    </row>
    <row r="54" spans="1:16">
      <c r="A54" s="404"/>
      <c r="B54" s="502" t="s">
        <v>1811</v>
      </c>
      <c r="C54" s="3542">
        <v>535425</v>
      </c>
      <c r="D54" s="3542">
        <v>654372</v>
      </c>
      <c r="E54" s="3542">
        <v>502152</v>
      </c>
      <c r="F54" s="3542">
        <v>403082</v>
      </c>
      <c r="G54" s="3542">
        <v>317752</v>
      </c>
      <c r="H54" s="3542">
        <v>116168</v>
      </c>
      <c r="I54" s="3542">
        <v>81025.001732993798</v>
      </c>
      <c r="J54" s="3542">
        <v>79349.0683947012</v>
      </c>
      <c r="K54" s="3542">
        <v>74584.299660995996</v>
      </c>
      <c r="L54" s="3542">
        <v>69752.346186120703</v>
      </c>
      <c r="M54" s="3542">
        <v>122723.99659824499</v>
      </c>
      <c r="N54" s="3542">
        <v>274703.05974534398</v>
      </c>
      <c r="O54" s="415">
        <f>SUM(C54:N54)</f>
        <v>3231088.7723184004</v>
      </c>
      <c r="P54" s="414">
        <f>ROUND(O54/12,0)</f>
        <v>269257</v>
      </c>
    </row>
    <row r="55" spans="1:16">
      <c r="A55" s="404"/>
      <c r="B55" s="502" t="s">
        <v>1812</v>
      </c>
      <c r="C55" s="3542">
        <v>36026</v>
      </c>
      <c r="D55" s="3542">
        <v>58192</v>
      </c>
      <c r="E55" s="3542">
        <v>41365</v>
      </c>
      <c r="F55" s="3542">
        <v>33658</v>
      </c>
      <c r="G55" s="3542">
        <v>24522</v>
      </c>
      <c r="H55" s="3542">
        <v>8950</v>
      </c>
      <c r="I55" s="3542">
        <v>5668.0382183082802</v>
      </c>
      <c r="J55" s="3542">
        <v>2273.1556826872202</v>
      </c>
      <c r="K55" s="3542">
        <v>3470.1114810256599</v>
      </c>
      <c r="L55" s="3542">
        <v>3449.5268909197398</v>
      </c>
      <c r="M55" s="3542">
        <v>4359.5895192445396</v>
      </c>
      <c r="N55" s="3542">
        <v>10667.6747968604</v>
      </c>
      <c r="O55" s="415">
        <f>SUM(C55:N55)</f>
        <v>232601.09658904583</v>
      </c>
      <c r="P55" s="414">
        <f>ROUND(O55/12,0)</f>
        <v>19383</v>
      </c>
    </row>
    <row r="56" spans="1:16">
      <c r="A56" s="404"/>
      <c r="B56" s="502" t="s">
        <v>1813</v>
      </c>
      <c r="C56" s="3543">
        <f>5+57913+703</f>
        <v>58621</v>
      </c>
      <c r="D56" s="3543">
        <f>6+64946+1057</f>
        <v>66009</v>
      </c>
      <c r="E56" s="3543">
        <f>5+52499+1375</f>
        <v>53879</v>
      </c>
      <c r="F56" s="3543">
        <f>5+58878+990</f>
        <v>59873</v>
      </c>
      <c r="G56" s="3543">
        <f>5+26558+855</f>
        <v>27418</v>
      </c>
      <c r="H56" s="3543">
        <f>5+9840+479</f>
        <v>10324</v>
      </c>
      <c r="I56" s="3543">
        <v>5878.0286883665294</v>
      </c>
      <c r="J56" s="3543">
        <v>4960.1392081611502</v>
      </c>
      <c r="K56" s="3543">
        <v>4258.1697860616205</v>
      </c>
      <c r="L56" s="3543">
        <v>5644.8811141405895</v>
      </c>
      <c r="M56" s="3543">
        <v>14544.923354189299</v>
      </c>
      <c r="N56" s="3543">
        <v>32892.609759249397</v>
      </c>
      <c r="O56" s="416">
        <f>SUM(C56:N56)</f>
        <v>344302.75191016862</v>
      </c>
      <c r="P56" s="445">
        <f>ROUND(O56/12,0)</f>
        <v>28692</v>
      </c>
    </row>
    <row r="57" spans="1:16">
      <c r="A57" s="404"/>
      <c r="B57" s="400" t="s">
        <v>1814</v>
      </c>
      <c r="C57" s="722">
        <f t="shared" ref="C57:M57" si="8">SUM(C53:C56)</f>
        <v>1834535</v>
      </c>
      <c r="D57" s="722">
        <f t="shared" si="8"/>
        <v>2149462</v>
      </c>
      <c r="E57" s="722">
        <f t="shared" si="8"/>
        <v>1580855</v>
      </c>
      <c r="F57" s="722">
        <f t="shared" si="8"/>
        <v>1321153</v>
      </c>
      <c r="G57" s="722">
        <f t="shared" si="8"/>
        <v>981870</v>
      </c>
      <c r="H57" s="722">
        <f t="shared" si="8"/>
        <v>214856</v>
      </c>
      <c r="I57" s="722">
        <f t="shared" si="8"/>
        <v>200695.96972455259</v>
      </c>
      <c r="J57" s="722">
        <f t="shared" si="8"/>
        <v>158281.29674761576</v>
      </c>
      <c r="K57" s="722">
        <f t="shared" si="8"/>
        <v>139832.4791059588</v>
      </c>
      <c r="L57" s="722">
        <f t="shared" si="8"/>
        <v>139193.28636047014</v>
      </c>
      <c r="M57" s="722">
        <f t="shared" si="8"/>
        <v>327678.74179916887</v>
      </c>
      <c r="N57" s="722">
        <f>SUM(N53:N56)</f>
        <v>845663.90917737084</v>
      </c>
      <c r="O57" s="722">
        <f>SUM(O53:O56)</f>
        <v>9894076.6829151362</v>
      </c>
      <c r="P57" s="722">
        <f>SUM(P53:P56)</f>
        <v>824506</v>
      </c>
    </row>
    <row r="58" spans="1:16">
      <c r="A58" s="404"/>
      <c r="B58" s="400" t="s">
        <v>1885</v>
      </c>
      <c r="C58" s="723"/>
      <c r="D58" s="723"/>
      <c r="E58" s="723"/>
      <c r="F58" s="723"/>
      <c r="G58" s="723"/>
      <c r="H58" s="723"/>
      <c r="I58" s="723"/>
      <c r="J58" s="723"/>
      <c r="K58" s="723"/>
      <c r="L58" s="723"/>
      <c r="M58" s="723"/>
      <c r="N58" s="723"/>
      <c r="O58" s="723"/>
      <c r="P58" s="414"/>
    </row>
    <row r="59" spans="1:16">
      <c r="A59" s="404"/>
      <c r="B59" s="400" t="s">
        <v>1811</v>
      </c>
      <c r="C59" s="3542">
        <v>97538</v>
      </c>
      <c r="D59" s="3542">
        <v>75492</v>
      </c>
      <c r="E59" s="3542">
        <v>50144</v>
      </c>
      <c r="F59" s="3542">
        <v>75803</v>
      </c>
      <c r="G59" s="3542">
        <v>37724</v>
      </c>
      <c r="H59" s="3542">
        <v>16730</v>
      </c>
      <c r="I59" s="3542">
        <v>24202.274399999998</v>
      </c>
      <c r="J59" s="3542">
        <v>25057.605599999999</v>
      </c>
      <c r="K59" s="3542">
        <v>27585.970199999902</v>
      </c>
      <c r="L59" s="3542">
        <v>25798.8185999999</v>
      </c>
      <c r="M59" s="3542">
        <v>52596</v>
      </c>
      <c r="N59" s="3542">
        <v>91567.699999999706</v>
      </c>
      <c r="O59" s="415">
        <f>SUM(C59:N59)</f>
        <v>600239.36879999947</v>
      </c>
      <c r="P59" s="414">
        <f>ROUND(O59/12,0)</f>
        <v>50020</v>
      </c>
    </row>
    <row r="60" spans="1:16">
      <c r="A60" s="404"/>
      <c r="B60" s="400" t="s">
        <v>1812</v>
      </c>
      <c r="C60" s="3542">
        <v>159335</v>
      </c>
      <c r="D60" s="3542">
        <v>166024</v>
      </c>
      <c r="E60" s="3542">
        <v>121000</v>
      </c>
      <c r="F60" s="3542">
        <v>179597</v>
      </c>
      <c r="G60" s="3542">
        <v>110263</v>
      </c>
      <c r="H60" s="3542">
        <v>97431</v>
      </c>
      <c r="I60" s="3542">
        <v>107692.76</v>
      </c>
      <c r="J60" s="3542">
        <v>111384.6342</v>
      </c>
      <c r="K60" s="3542">
        <v>112200.29769999901</v>
      </c>
      <c r="L60" s="3542">
        <v>111534.6934</v>
      </c>
      <c r="M60" s="3542">
        <v>140960.0411</v>
      </c>
      <c r="N60" s="3542">
        <v>167126.8958</v>
      </c>
      <c r="O60" s="415">
        <f>SUM(C60:N60)</f>
        <v>1584549.3221999991</v>
      </c>
      <c r="P60" s="414">
        <f>ROUND(O60/12,0)</f>
        <v>132046</v>
      </c>
    </row>
    <row r="61" spans="1:16">
      <c r="A61" s="404"/>
      <c r="B61" s="400" t="s">
        <v>1813</v>
      </c>
      <c r="C61" s="3542">
        <v>37494</v>
      </c>
      <c r="D61" s="3542">
        <v>25630</v>
      </c>
      <c r="E61" s="3542">
        <v>17347</v>
      </c>
      <c r="F61" s="3542">
        <v>33060</v>
      </c>
      <c r="G61" s="3542">
        <v>9546</v>
      </c>
      <c r="H61" s="3542">
        <v>964</v>
      </c>
      <c r="I61" s="3542">
        <v>1539.77249999999</v>
      </c>
      <c r="J61" s="3542">
        <v>1543.80959999999</v>
      </c>
      <c r="K61" s="3542">
        <v>1880.9869999999901</v>
      </c>
      <c r="L61" s="3542">
        <v>2274.9775</v>
      </c>
      <c r="M61" s="3542">
        <v>11787.2145</v>
      </c>
      <c r="N61" s="3542">
        <v>32562.424999999999</v>
      </c>
      <c r="O61" s="415">
        <f>SUM(C61:N61)</f>
        <v>175630.18609999996</v>
      </c>
      <c r="P61" s="414">
        <f>ROUND(O61/12,0)</f>
        <v>14636</v>
      </c>
    </row>
    <row r="62" spans="1:16">
      <c r="A62" s="404"/>
      <c r="B62" s="400" t="s">
        <v>304</v>
      </c>
      <c r="C62" s="3543">
        <v>135421</v>
      </c>
      <c r="D62" s="3543">
        <v>151803</v>
      </c>
      <c r="E62" s="3543">
        <v>125074</v>
      </c>
      <c r="F62" s="3543">
        <v>139167</v>
      </c>
      <c r="G62" s="3543">
        <v>134804</v>
      </c>
      <c r="H62" s="3543">
        <v>119528</v>
      </c>
      <c r="I62" s="3543">
        <v>114949</v>
      </c>
      <c r="J62" s="3543">
        <v>114194</v>
      </c>
      <c r="K62" s="3543">
        <v>121749</v>
      </c>
      <c r="L62" s="3543">
        <v>116332</v>
      </c>
      <c r="M62" s="3543">
        <v>133957</v>
      </c>
      <c r="N62" s="3543">
        <v>136421</v>
      </c>
      <c r="O62" s="416">
        <f>SUM(C62:N62)</f>
        <v>1543399</v>
      </c>
      <c r="P62" s="445">
        <f>ROUND(O62/12,0)</f>
        <v>128617</v>
      </c>
    </row>
    <row r="63" spans="1:16">
      <c r="A63" s="404"/>
      <c r="B63" s="400" t="s">
        <v>1886</v>
      </c>
      <c r="C63" s="722">
        <f t="shared" ref="C63:M63" si="9">SUM(C59:C62)</f>
        <v>429788</v>
      </c>
      <c r="D63" s="722">
        <f t="shared" si="9"/>
        <v>418949</v>
      </c>
      <c r="E63" s="722">
        <f t="shared" si="9"/>
        <v>313565</v>
      </c>
      <c r="F63" s="722">
        <f t="shared" si="9"/>
        <v>427627</v>
      </c>
      <c r="G63" s="722">
        <f t="shared" si="9"/>
        <v>292337</v>
      </c>
      <c r="H63" s="722">
        <f t="shared" si="9"/>
        <v>234653</v>
      </c>
      <c r="I63" s="722">
        <f t="shared" si="9"/>
        <v>248383.8069</v>
      </c>
      <c r="J63" s="722">
        <f t="shared" si="9"/>
        <v>252180.04939999999</v>
      </c>
      <c r="K63" s="722">
        <f t="shared" si="9"/>
        <v>263416.25489999889</v>
      </c>
      <c r="L63" s="722">
        <f t="shared" si="9"/>
        <v>255940.48949999991</v>
      </c>
      <c r="M63" s="722">
        <f t="shared" si="9"/>
        <v>339300.25560000003</v>
      </c>
      <c r="N63" s="722">
        <f>SUM(N59:N62)</f>
        <v>427678.02079999971</v>
      </c>
      <c r="O63" s="722">
        <f>SUM(O59:O62)</f>
        <v>3903817.8770999988</v>
      </c>
      <c r="P63" s="722">
        <f>SUM(P59:P62)</f>
        <v>325319</v>
      </c>
    </row>
    <row r="64" spans="1:16">
      <c r="A64" s="404"/>
      <c r="B64" s="400" t="s">
        <v>808</v>
      </c>
      <c r="C64" s="724">
        <f t="shared" ref="C64:P64" si="10">C57+C63</f>
        <v>2264323</v>
      </c>
      <c r="D64" s="724">
        <f t="shared" si="10"/>
        <v>2568411</v>
      </c>
      <c r="E64" s="724">
        <f t="shared" si="10"/>
        <v>1894420</v>
      </c>
      <c r="F64" s="724">
        <f t="shared" si="10"/>
        <v>1748780</v>
      </c>
      <c r="G64" s="724">
        <f t="shared" si="10"/>
        <v>1274207</v>
      </c>
      <c r="H64" s="724">
        <f t="shared" si="10"/>
        <v>449509</v>
      </c>
      <c r="I64" s="724">
        <f t="shared" si="10"/>
        <v>449079.77662455256</v>
      </c>
      <c r="J64" s="724">
        <f t="shared" si="10"/>
        <v>410461.34614761575</v>
      </c>
      <c r="K64" s="724">
        <f t="shared" si="10"/>
        <v>403248.73400595773</v>
      </c>
      <c r="L64" s="724">
        <f t="shared" si="10"/>
        <v>395133.77586047002</v>
      </c>
      <c r="M64" s="724">
        <f t="shared" si="10"/>
        <v>666978.9973991689</v>
      </c>
      <c r="N64" s="724">
        <f t="shared" si="10"/>
        <v>1273341.9299773704</v>
      </c>
      <c r="O64" s="724">
        <f t="shared" si="10"/>
        <v>13797894.560015135</v>
      </c>
      <c r="P64" s="724">
        <f t="shared" si="10"/>
        <v>1149825</v>
      </c>
    </row>
    <row r="65" spans="1:14">
      <c r="A65" s="404"/>
      <c r="B65" s="423"/>
      <c r="C65" s="943"/>
      <c r="D65" s="943"/>
      <c r="E65" s="943"/>
      <c r="F65" s="943"/>
      <c r="G65" s="943"/>
      <c r="H65" s="943"/>
      <c r="I65" s="943"/>
      <c r="J65" s="1199"/>
      <c r="K65" s="950"/>
      <c r="L65" s="572"/>
      <c r="M65" s="572"/>
      <c r="N65" s="572"/>
    </row>
    <row r="66" spans="1:14">
      <c r="A66" s="404"/>
      <c r="B66" s="1194" t="s">
        <v>2306</v>
      </c>
      <c r="C66" s="435"/>
      <c r="D66" s="435"/>
      <c r="E66" s="435"/>
      <c r="F66" s="435"/>
      <c r="G66" s="435"/>
      <c r="H66" s="435"/>
      <c r="I66" s="960"/>
      <c r="J66" s="421"/>
      <c r="K66" s="419"/>
    </row>
    <row r="67" spans="1:14">
      <c r="A67" s="404"/>
      <c r="B67" s="423"/>
      <c r="C67" s="419"/>
      <c r="D67" s="419"/>
      <c r="E67" s="419"/>
      <c r="F67" s="419"/>
      <c r="G67" s="419"/>
      <c r="H67" s="419"/>
      <c r="I67" s="950"/>
      <c r="J67" s="421"/>
      <c r="K67" s="419"/>
    </row>
    <row r="68" spans="1:14">
      <c r="A68" s="404"/>
      <c r="B68" s="425"/>
      <c r="C68" s="419"/>
      <c r="D68" s="419"/>
      <c r="E68" s="419"/>
      <c r="F68" s="419"/>
      <c r="G68" s="419"/>
      <c r="H68" s="419"/>
      <c r="I68" s="950"/>
      <c r="J68" s="421"/>
      <c r="K68" s="419"/>
    </row>
    <row r="69" spans="1:14">
      <c r="A69" s="404"/>
      <c r="B69" s="423"/>
      <c r="C69" s="432"/>
      <c r="D69" s="432"/>
      <c r="E69" s="432"/>
      <c r="F69" s="432"/>
      <c r="G69" s="432"/>
      <c r="H69" s="432"/>
      <c r="I69" s="953"/>
      <c r="J69" s="421"/>
      <c r="K69" s="419"/>
    </row>
    <row r="70" spans="1:14">
      <c r="A70" s="404"/>
      <c r="B70" s="423"/>
      <c r="C70" s="432"/>
      <c r="D70" s="432"/>
      <c r="E70" s="432"/>
      <c r="F70" s="432"/>
      <c r="G70" s="432"/>
      <c r="H70" s="432"/>
      <c r="I70" s="953"/>
      <c r="J70" s="421"/>
      <c r="K70" s="419"/>
    </row>
    <row r="71" spans="1:14">
      <c r="A71" s="404"/>
      <c r="B71" s="423"/>
      <c r="C71" s="432"/>
      <c r="D71" s="432"/>
      <c r="E71" s="432"/>
      <c r="F71" s="432"/>
      <c r="G71" s="432"/>
      <c r="H71" s="432"/>
      <c r="I71" s="953"/>
      <c r="J71" s="421"/>
      <c r="K71" s="419"/>
    </row>
    <row r="72" spans="1:14">
      <c r="A72" s="404"/>
      <c r="B72" s="423"/>
      <c r="C72" s="436"/>
      <c r="D72" s="436"/>
      <c r="E72" s="436"/>
      <c r="F72" s="436"/>
      <c r="G72" s="436"/>
      <c r="H72" s="436"/>
      <c r="I72" s="961"/>
      <c r="J72" s="421"/>
      <c r="K72" s="419"/>
    </row>
    <row r="73" spans="1:14">
      <c r="A73" s="404"/>
      <c r="B73" s="423"/>
      <c r="C73" s="434"/>
      <c r="D73" s="434"/>
      <c r="E73" s="434"/>
      <c r="F73" s="434"/>
      <c r="G73" s="434"/>
      <c r="H73" s="434"/>
      <c r="I73" s="959"/>
      <c r="J73" s="421"/>
      <c r="K73" s="419"/>
    </row>
    <row r="74" spans="1:14">
      <c r="A74" s="404"/>
      <c r="B74" s="419"/>
      <c r="C74" s="435"/>
      <c r="D74" s="435"/>
      <c r="E74" s="435"/>
      <c r="F74" s="435"/>
      <c r="G74" s="435"/>
      <c r="H74" s="435"/>
      <c r="I74" s="960"/>
      <c r="J74" s="421"/>
      <c r="K74" s="419"/>
    </row>
    <row r="75" spans="1:14">
      <c r="A75" s="404"/>
      <c r="B75" s="423"/>
      <c r="C75" s="419"/>
      <c r="D75" s="419"/>
      <c r="E75" s="419"/>
      <c r="F75" s="419"/>
      <c r="G75" s="419"/>
      <c r="H75" s="419"/>
      <c r="I75" s="950"/>
      <c r="J75" s="421"/>
      <c r="K75" s="419"/>
    </row>
    <row r="76" spans="1:14">
      <c r="A76" s="404"/>
      <c r="B76" s="425"/>
      <c r="C76" s="419"/>
      <c r="D76" s="419"/>
      <c r="E76" s="419"/>
      <c r="F76" s="419"/>
      <c r="G76" s="419"/>
      <c r="H76" s="419"/>
      <c r="I76" s="950"/>
      <c r="J76" s="421"/>
      <c r="K76" s="419"/>
    </row>
    <row r="77" spans="1:14">
      <c r="A77" s="404"/>
      <c r="B77" s="423"/>
      <c r="C77" s="432"/>
      <c r="D77" s="432"/>
      <c r="E77" s="432"/>
      <c r="F77" s="432"/>
      <c r="G77" s="432"/>
      <c r="H77" s="432"/>
      <c r="I77" s="953"/>
      <c r="J77" s="421"/>
      <c r="K77" s="419"/>
    </row>
    <row r="78" spans="1:14">
      <c r="A78" s="404"/>
      <c r="B78" s="423"/>
      <c r="C78" s="432"/>
      <c r="D78" s="432"/>
      <c r="E78" s="432"/>
      <c r="F78" s="432"/>
      <c r="G78" s="432"/>
      <c r="H78" s="432"/>
      <c r="I78" s="953"/>
      <c r="J78" s="421"/>
      <c r="K78" s="419"/>
    </row>
    <row r="79" spans="1:14">
      <c r="A79" s="404"/>
      <c r="B79" s="423"/>
      <c r="C79" s="432"/>
      <c r="D79" s="432"/>
      <c r="E79" s="432"/>
      <c r="F79" s="432"/>
      <c r="G79" s="432"/>
      <c r="H79" s="432"/>
      <c r="I79" s="953"/>
      <c r="J79" s="421"/>
      <c r="K79" s="419"/>
    </row>
    <row r="80" spans="1:14">
      <c r="A80" s="423"/>
      <c r="B80" s="419"/>
      <c r="C80" s="419"/>
      <c r="D80" s="419"/>
      <c r="E80" s="419"/>
      <c r="F80" s="419"/>
      <c r="G80" s="419"/>
      <c r="H80" s="419"/>
      <c r="I80" s="950"/>
      <c r="J80" s="421"/>
      <c r="K80" s="419"/>
    </row>
    <row r="81" spans="1:11">
      <c r="A81" s="419"/>
      <c r="B81" s="419"/>
      <c r="C81" s="419"/>
      <c r="D81" s="419"/>
      <c r="E81" s="423"/>
      <c r="F81" s="419"/>
      <c r="G81" s="419"/>
      <c r="H81" s="419"/>
      <c r="I81" s="950"/>
      <c r="J81" s="421"/>
      <c r="K81" s="419"/>
    </row>
    <row r="82" spans="1:11">
      <c r="A82" s="419"/>
      <c r="B82" s="422"/>
      <c r="C82" s="419"/>
      <c r="D82" s="419"/>
      <c r="E82" s="405"/>
      <c r="F82" s="420"/>
      <c r="G82" s="420"/>
      <c r="H82" s="419"/>
      <c r="I82" s="950"/>
      <c r="J82" s="421"/>
      <c r="K82" s="419"/>
    </row>
    <row r="83" spans="1:11">
      <c r="A83" s="419"/>
      <c r="B83" s="423"/>
      <c r="C83" s="419"/>
      <c r="D83" s="419"/>
      <c r="E83" s="423"/>
      <c r="F83" s="419"/>
      <c r="G83" s="419"/>
      <c r="H83" s="419"/>
      <c r="I83" s="950"/>
      <c r="J83" s="421"/>
      <c r="K83" s="419"/>
    </row>
    <row r="84" spans="1:11">
      <c r="A84" s="419"/>
      <c r="B84" s="419"/>
      <c r="C84" s="419"/>
      <c r="D84" s="419"/>
      <c r="E84" s="423"/>
      <c r="F84" s="419"/>
      <c r="G84" s="419"/>
      <c r="H84" s="419"/>
      <c r="I84" s="950"/>
      <c r="J84" s="421"/>
      <c r="K84" s="419"/>
    </row>
    <row r="85" spans="1:11">
      <c r="A85" s="419"/>
      <c r="B85" s="419"/>
      <c r="C85" s="419"/>
      <c r="D85" s="419"/>
      <c r="E85" s="422"/>
      <c r="F85" s="419"/>
      <c r="G85" s="419"/>
      <c r="H85" s="419"/>
      <c r="I85" s="950"/>
      <c r="J85" s="421"/>
      <c r="K85" s="419"/>
    </row>
    <row r="86" spans="1:11">
      <c r="A86" s="404"/>
      <c r="B86" s="419"/>
      <c r="C86" s="419"/>
      <c r="D86" s="419"/>
      <c r="E86" s="419"/>
      <c r="F86" s="419"/>
      <c r="G86" s="419"/>
      <c r="H86" s="419"/>
      <c r="I86" s="950"/>
      <c r="J86" s="421"/>
      <c r="K86" s="419"/>
    </row>
    <row r="87" spans="1:11">
      <c r="A87" s="424"/>
      <c r="B87" s="425"/>
      <c r="C87" s="419"/>
      <c r="D87" s="419"/>
      <c r="E87" s="419"/>
      <c r="F87" s="419"/>
      <c r="G87" s="419"/>
      <c r="H87" s="419"/>
      <c r="I87" s="950"/>
      <c r="J87" s="421"/>
      <c r="K87" s="419"/>
    </row>
    <row r="88" spans="1:11">
      <c r="A88" s="404"/>
      <c r="B88" s="423"/>
      <c r="C88" s="427"/>
      <c r="D88" s="427"/>
      <c r="E88" s="427"/>
      <c r="F88" s="427"/>
      <c r="G88" s="419"/>
      <c r="H88" s="426"/>
      <c r="I88" s="951"/>
      <c r="J88" s="421"/>
      <c r="K88" s="419"/>
    </row>
    <row r="89" spans="1:11">
      <c r="A89" s="404"/>
      <c r="B89" s="423"/>
      <c r="C89" s="428"/>
      <c r="D89" s="428"/>
      <c r="E89" s="428"/>
      <c r="F89" s="428"/>
      <c r="G89" s="429"/>
      <c r="H89" s="428"/>
      <c r="I89" s="952"/>
      <c r="J89" s="421"/>
      <c r="K89" s="419"/>
    </row>
    <row r="90" spans="1:11">
      <c r="A90" s="404"/>
      <c r="B90" s="425"/>
      <c r="C90" s="430"/>
      <c r="D90" s="430"/>
      <c r="E90" s="430"/>
      <c r="F90" s="430"/>
      <c r="G90" s="431"/>
      <c r="H90" s="430"/>
      <c r="I90" s="430"/>
      <c r="J90" s="419"/>
      <c r="K90" s="419"/>
    </row>
    <row r="91" spans="1:11">
      <c r="A91" s="404"/>
      <c r="B91" s="423"/>
      <c r="C91" s="432"/>
      <c r="D91" s="432"/>
      <c r="E91" s="432"/>
      <c r="F91" s="432"/>
      <c r="G91" s="432"/>
      <c r="H91" s="432"/>
      <c r="I91" s="953"/>
      <c r="J91" s="419"/>
      <c r="K91" s="419"/>
    </row>
    <row r="92" spans="1:11">
      <c r="A92" s="404"/>
      <c r="B92" s="423"/>
      <c r="C92" s="432"/>
      <c r="D92" s="432"/>
      <c r="E92" s="432"/>
      <c r="F92" s="432"/>
      <c r="G92" s="432"/>
      <c r="H92" s="432"/>
      <c r="I92" s="953"/>
      <c r="J92" s="419"/>
      <c r="K92" s="419"/>
    </row>
    <row r="93" spans="1:11">
      <c r="A93" s="404"/>
      <c r="B93" s="423"/>
      <c r="C93" s="432"/>
      <c r="D93" s="432"/>
      <c r="E93" s="432"/>
      <c r="F93" s="432"/>
      <c r="G93" s="432"/>
      <c r="H93" s="432"/>
      <c r="I93" s="953"/>
      <c r="J93" s="419"/>
      <c r="K93" s="419"/>
    </row>
    <row r="94" spans="1:11">
      <c r="A94" s="404"/>
      <c r="B94" s="423"/>
      <c r="C94" s="433"/>
      <c r="D94" s="433"/>
      <c r="E94" s="433"/>
      <c r="F94" s="433"/>
      <c r="G94" s="433"/>
      <c r="H94" s="433"/>
      <c r="I94" s="954"/>
      <c r="J94" s="419"/>
      <c r="K94" s="419"/>
    </row>
    <row r="95" spans="1:11">
      <c r="A95" s="404"/>
      <c r="B95" s="423"/>
      <c r="C95" s="434"/>
      <c r="D95" s="434"/>
      <c r="E95" s="434"/>
      <c r="F95" s="434"/>
      <c r="G95" s="434"/>
      <c r="H95" s="434"/>
      <c r="I95" s="959"/>
      <c r="J95" s="419"/>
      <c r="K95" s="419"/>
    </row>
    <row r="96" spans="1:11">
      <c r="A96" s="404"/>
      <c r="B96" s="419"/>
      <c r="C96" s="435"/>
      <c r="D96" s="435"/>
      <c r="E96" s="435"/>
      <c r="F96" s="435"/>
      <c r="G96" s="435"/>
      <c r="H96" s="435"/>
      <c r="I96" s="960"/>
      <c r="J96" s="419"/>
      <c r="K96" s="419"/>
    </row>
    <row r="97" spans="1:12">
      <c r="A97" s="404"/>
      <c r="B97" s="423"/>
      <c r="C97" s="419"/>
      <c r="D97" s="419"/>
      <c r="E97" s="419"/>
      <c r="F97" s="419"/>
      <c r="G97" s="419"/>
      <c r="H97" s="419"/>
      <c r="I97" s="950"/>
      <c r="J97" s="419"/>
      <c r="K97" s="419"/>
    </row>
    <row r="98" spans="1:12">
      <c r="A98" s="404"/>
      <c r="B98" s="425"/>
      <c r="C98" s="419"/>
      <c r="D98" s="419"/>
      <c r="E98" s="419"/>
      <c r="F98" s="419"/>
      <c r="G98" s="419"/>
      <c r="H98" s="419"/>
      <c r="I98" s="950"/>
      <c r="J98" s="419"/>
      <c r="K98" s="419"/>
    </row>
    <row r="99" spans="1:12">
      <c r="A99" s="404"/>
      <c r="B99" s="423"/>
      <c r="C99" s="432"/>
      <c r="D99" s="432"/>
      <c r="E99" s="432"/>
      <c r="F99" s="432"/>
      <c r="G99" s="432"/>
      <c r="H99" s="432"/>
      <c r="I99" s="953"/>
      <c r="J99" s="432"/>
      <c r="K99" s="419"/>
      <c r="L99" s="419"/>
    </row>
    <row r="100" spans="1:12">
      <c r="A100" s="404"/>
      <c r="B100" s="423"/>
      <c r="C100" s="432"/>
      <c r="D100" s="432"/>
      <c r="E100" s="432"/>
      <c r="F100" s="432"/>
      <c r="G100" s="432"/>
      <c r="H100" s="432"/>
      <c r="I100" s="953"/>
      <c r="J100" s="432"/>
      <c r="K100" s="419"/>
      <c r="L100" s="419"/>
    </row>
    <row r="101" spans="1:12">
      <c r="A101" s="404"/>
      <c r="B101" s="423"/>
      <c r="C101" s="432"/>
      <c r="D101" s="432"/>
      <c r="E101" s="432"/>
      <c r="F101" s="432"/>
      <c r="G101" s="432"/>
      <c r="H101" s="432"/>
      <c r="I101" s="953"/>
      <c r="J101" s="432"/>
      <c r="K101" s="419"/>
      <c r="L101" s="419"/>
    </row>
    <row r="102" spans="1:12">
      <c r="A102" s="404"/>
      <c r="B102" s="423"/>
      <c r="C102" s="433"/>
      <c r="D102" s="433"/>
      <c r="E102" s="433"/>
      <c r="F102" s="433"/>
      <c r="G102" s="433"/>
      <c r="H102" s="433"/>
      <c r="I102" s="954"/>
      <c r="J102" s="433"/>
      <c r="K102" s="419"/>
      <c r="L102" s="419"/>
    </row>
    <row r="103" spans="1:12">
      <c r="A103" s="404"/>
      <c r="B103" s="423"/>
      <c r="C103" s="434"/>
      <c r="D103" s="434"/>
      <c r="E103" s="434"/>
      <c r="F103" s="434"/>
      <c r="G103" s="434"/>
      <c r="H103" s="434"/>
      <c r="I103" s="959"/>
      <c r="J103" s="434"/>
      <c r="K103" s="419"/>
      <c r="L103" s="419"/>
    </row>
    <row r="104" spans="1:12">
      <c r="A104" s="404"/>
      <c r="B104" s="419"/>
      <c r="C104" s="435"/>
      <c r="D104" s="435"/>
      <c r="E104" s="435"/>
      <c r="F104" s="435"/>
      <c r="G104" s="435"/>
      <c r="H104" s="435"/>
      <c r="I104" s="960"/>
      <c r="J104" s="435"/>
      <c r="K104" s="419"/>
      <c r="L104" s="419"/>
    </row>
    <row r="105" spans="1:12">
      <c r="A105" s="404"/>
      <c r="B105" s="423"/>
      <c r="C105" s="419"/>
      <c r="D105" s="419"/>
      <c r="E105" s="419"/>
      <c r="F105" s="419"/>
      <c r="G105" s="419"/>
      <c r="H105" s="419"/>
      <c r="I105" s="950"/>
      <c r="J105" s="419"/>
      <c r="K105" s="419"/>
      <c r="L105" s="419"/>
    </row>
    <row r="106" spans="1:12">
      <c r="A106" s="404"/>
      <c r="B106" s="425"/>
      <c r="C106" s="419"/>
      <c r="D106" s="419"/>
      <c r="E106" s="419"/>
      <c r="F106" s="419"/>
      <c r="G106" s="419"/>
      <c r="H106" s="419"/>
      <c r="I106" s="950"/>
      <c r="J106" s="419"/>
      <c r="K106" s="419"/>
      <c r="L106" s="419"/>
    </row>
    <row r="107" spans="1:12">
      <c r="A107" s="404"/>
      <c r="B107" s="423"/>
      <c r="C107" s="432"/>
      <c r="D107" s="432"/>
      <c r="E107" s="432"/>
      <c r="F107" s="432"/>
      <c r="G107" s="432"/>
      <c r="H107" s="432"/>
      <c r="I107" s="953"/>
      <c r="J107" s="432"/>
      <c r="K107" s="419"/>
      <c r="L107" s="419"/>
    </row>
    <row r="108" spans="1:12">
      <c r="A108" s="404"/>
      <c r="B108" s="423"/>
      <c r="C108" s="432"/>
      <c r="D108" s="432"/>
      <c r="E108" s="432"/>
      <c r="F108" s="432"/>
      <c r="G108" s="432"/>
      <c r="H108" s="432"/>
      <c r="I108" s="953"/>
      <c r="J108" s="432"/>
      <c r="K108" s="419"/>
      <c r="L108" s="419"/>
    </row>
    <row r="109" spans="1:12">
      <c r="A109" s="404"/>
      <c r="B109" s="423"/>
      <c r="C109" s="432"/>
      <c r="D109" s="432"/>
      <c r="E109" s="432"/>
      <c r="F109" s="432"/>
      <c r="G109" s="432"/>
      <c r="H109" s="432"/>
      <c r="I109" s="953"/>
      <c r="J109" s="432"/>
      <c r="K109" s="419"/>
      <c r="L109" s="419"/>
    </row>
    <row r="110" spans="1:12">
      <c r="A110" s="404"/>
      <c r="B110" s="423"/>
      <c r="C110" s="433"/>
      <c r="D110" s="433"/>
      <c r="E110" s="433"/>
      <c r="F110" s="433"/>
      <c r="G110" s="433"/>
      <c r="H110" s="433"/>
      <c r="I110" s="954"/>
      <c r="J110" s="433"/>
      <c r="K110" s="419"/>
      <c r="L110" s="419"/>
    </row>
    <row r="111" spans="1:12">
      <c r="A111" s="404"/>
      <c r="B111" s="423"/>
      <c r="C111" s="434"/>
      <c r="D111" s="434"/>
      <c r="E111" s="434"/>
      <c r="F111" s="434"/>
      <c r="G111" s="434"/>
      <c r="H111" s="434"/>
      <c r="I111" s="959"/>
      <c r="J111" s="434"/>
      <c r="K111" s="419"/>
      <c r="L111" s="419"/>
    </row>
    <row r="112" spans="1:12">
      <c r="A112" s="404"/>
      <c r="B112" s="419"/>
      <c r="C112" s="435"/>
      <c r="D112" s="435"/>
      <c r="E112" s="435"/>
      <c r="F112" s="435"/>
      <c r="G112" s="435"/>
      <c r="H112" s="435"/>
      <c r="I112" s="960"/>
      <c r="J112" s="435"/>
      <c r="K112" s="419"/>
      <c r="L112" s="419"/>
    </row>
    <row r="113" spans="1:12">
      <c r="A113" s="404"/>
      <c r="B113" s="423"/>
      <c r="C113" s="419"/>
      <c r="D113" s="419"/>
      <c r="E113" s="419"/>
      <c r="F113" s="419"/>
      <c r="G113" s="419"/>
      <c r="H113" s="419"/>
      <c r="I113" s="950"/>
      <c r="J113" s="419"/>
      <c r="K113" s="419"/>
      <c r="L113" s="419"/>
    </row>
    <row r="114" spans="1:12">
      <c r="A114" s="404"/>
      <c r="B114" s="425"/>
      <c r="C114" s="419"/>
      <c r="D114" s="419"/>
      <c r="E114" s="419"/>
      <c r="F114" s="419"/>
      <c r="G114" s="419"/>
      <c r="H114" s="419"/>
      <c r="I114" s="950"/>
      <c r="J114" s="419"/>
      <c r="K114" s="419"/>
      <c r="L114" s="419"/>
    </row>
    <row r="115" spans="1:12">
      <c r="A115" s="404"/>
      <c r="B115" s="423"/>
      <c r="C115" s="432"/>
      <c r="D115" s="432"/>
      <c r="E115" s="432"/>
      <c r="F115" s="432"/>
      <c r="G115" s="432"/>
      <c r="H115" s="432"/>
      <c r="I115" s="953"/>
      <c r="J115" s="432"/>
      <c r="K115" s="419"/>
      <c r="L115" s="419"/>
    </row>
    <row r="116" spans="1:12">
      <c r="A116" s="404"/>
      <c r="B116" s="423"/>
      <c r="C116" s="432"/>
      <c r="D116" s="432"/>
      <c r="E116" s="432"/>
      <c r="F116" s="432"/>
      <c r="G116" s="432"/>
      <c r="H116" s="432"/>
      <c r="I116" s="953"/>
      <c r="J116" s="432"/>
      <c r="K116" s="419"/>
      <c r="L116" s="419"/>
    </row>
    <row r="117" spans="1:12">
      <c r="A117" s="404"/>
      <c r="B117" s="423"/>
      <c r="C117" s="432"/>
      <c r="D117" s="432"/>
      <c r="E117" s="432"/>
      <c r="F117" s="432"/>
      <c r="G117" s="432"/>
      <c r="H117" s="432"/>
      <c r="I117" s="953"/>
      <c r="J117" s="432"/>
      <c r="K117" s="419"/>
      <c r="L117" s="419"/>
    </row>
    <row r="118" spans="1:12">
      <c r="A118" s="404"/>
      <c r="B118" s="428"/>
      <c r="C118" s="404"/>
      <c r="D118" s="404"/>
      <c r="E118" s="404"/>
      <c r="F118" s="404"/>
      <c r="G118" s="404"/>
      <c r="H118" s="404"/>
      <c r="I118" s="962"/>
      <c r="J118" s="404"/>
      <c r="K118" s="419"/>
      <c r="L118" s="419"/>
    </row>
    <row r="119" spans="1:12">
      <c r="A119" s="419"/>
      <c r="B119" s="419"/>
      <c r="C119" s="419"/>
      <c r="D119" s="419"/>
      <c r="E119" s="419"/>
      <c r="F119" s="419"/>
      <c r="G119" s="419"/>
      <c r="H119" s="419"/>
      <c r="I119" s="950"/>
      <c r="J119" s="419"/>
      <c r="K119" s="421"/>
      <c r="L119" s="419"/>
    </row>
    <row r="120" spans="1:12">
      <c r="A120" s="419"/>
      <c r="B120" s="419"/>
      <c r="C120" s="419"/>
      <c r="D120" s="419"/>
      <c r="E120" s="419"/>
      <c r="F120" s="419"/>
      <c r="G120" s="419"/>
      <c r="H120" s="419"/>
      <c r="I120" s="950"/>
      <c r="J120" s="419"/>
      <c r="K120" s="421"/>
      <c r="L120" s="419"/>
    </row>
    <row r="121" spans="1:12">
      <c r="A121" s="404"/>
      <c r="B121" s="423"/>
      <c r="C121" s="419"/>
      <c r="D121" s="419"/>
      <c r="E121" s="419"/>
      <c r="F121" s="419"/>
      <c r="G121" s="419"/>
      <c r="H121" s="419"/>
      <c r="I121" s="950"/>
      <c r="J121" s="419"/>
      <c r="K121" s="421"/>
      <c r="L121" s="419"/>
    </row>
    <row r="122" spans="1:12">
      <c r="A122" s="419"/>
      <c r="B122" s="423"/>
      <c r="C122" s="419"/>
      <c r="D122" s="419"/>
      <c r="E122" s="419"/>
      <c r="F122" s="419"/>
      <c r="G122" s="419"/>
      <c r="H122" s="419"/>
      <c r="I122" s="950"/>
      <c r="J122" s="419"/>
      <c r="K122" s="421"/>
      <c r="L122" s="419"/>
    </row>
    <row r="123" spans="1:12">
      <c r="A123" s="419"/>
      <c r="B123" s="423"/>
      <c r="C123" s="419"/>
      <c r="D123" s="419"/>
      <c r="E123" s="419"/>
      <c r="F123" s="419"/>
      <c r="G123" s="419"/>
      <c r="H123" s="419"/>
      <c r="I123" s="950"/>
      <c r="J123" s="419"/>
      <c r="K123" s="421"/>
      <c r="L123" s="419"/>
    </row>
    <row r="124" spans="1:12">
      <c r="A124" s="419"/>
      <c r="B124" s="423"/>
      <c r="C124" s="419"/>
      <c r="D124" s="419"/>
      <c r="E124" s="419"/>
      <c r="F124" s="419"/>
      <c r="G124" s="419"/>
      <c r="H124" s="419"/>
      <c r="I124" s="950"/>
      <c r="J124" s="419"/>
      <c r="K124" s="421"/>
      <c r="L124" s="419"/>
    </row>
    <row r="125" spans="1:12">
      <c r="A125" s="419"/>
      <c r="B125" s="419"/>
      <c r="C125" s="419"/>
      <c r="D125" s="419"/>
      <c r="E125" s="419"/>
      <c r="F125" s="419"/>
      <c r="G125" s="419"/>
      <c r="H125" s="419"/>
      <c r="I125" s="950"/>
      <c r="J125" s="419"/>
      <c r="K125" s="421"/>
      <c r="L125" s="419"/>
    </row>
    <row r="126" spans="1:12">
      <c r="A126" s="419"/>
      <c r="B126" s="419"/>
      <c r="C126" s="419"/>
      <c r="D126" s="419"/>
      <c r="E126" s="419"/>
      <c r="F126" s="419"/>
      <c r="G126" s="419"/>
      <c r="H126" s="419"/>
      <c r="I126" s="950"/>
      <c r="J126" s="419"/>
      <c r="K126" s="421"/>
      <c r="L126" s="419"/>
    </row>
    <row r="127" spans="1:12">
      <c r="A127" s="419"/>
      <c r="B127" s="419"/>
      <c r="C127" s="419"/>
      <c r="D127" s="419"/>
      <c r="E127" s="419"/>
      <c r="F127" s="419"/>
      <c r="G127" s="419"/>
      <c r="H127" s="419"/>
      <c r="I127" s="950"/>
      <c r="J127" s="419"/>
      <c r="K127" s="421"/>
      <c r="L127" s="419"/>
    </row>
    <row r="128" spans="1:12">
      <c r="A128" s="404"/>
      <c r="B128" s="423"/>
      <c r="C128" s="419"/>
      <c r="D128" s="419"/>
      <c r="E128" s="419"/>
      <c r="F128" s="419"/>
      <c r="G128" s="419"/>
      <c r="H128" s="419"/>
      <c r="I128" s="950"/>
      <c r="J128" s="419"/>
      <c r="K128" s="421"/>
      <c r="L128" s="419"/>
    </row>
    <row r="129" spans="1:12">
      <c r="A129" s="419"/>
      <c r="B129" s="419"/>
      <c r="C129" s="419"/>
      <c r="D129" s="419"/>
      <c r="E129" s="419"/>
      <c r="F129" s="419"/>
      <c r="G129" s="419"/>
      <c r="H129" s="419"/>
      <c r="I129" s="950"/>
      <c r="J129" s="419"/>
      <c r="K129" s="421"/>
      <c r="L129" s="419"/>
    </row>
    <row r="130" spans="1:12">
      <c r="A130" s="419"/>
      <c r="B130" s="419"/>
      <c r="C130" s="419"/>
      <c r="D130" s="419"/>
      <c r="E130" s="419"/>
      <c r="F130" s="419"/>
      <c r="G130" s="419"/>
      <c r="H130" s="419"/>
      <c r="I130" s="950"/>
      <c r="J130" s="419"/>
      <c r="K130" s="419"/>
      <c r="L130" s="419"/>
    </row>
    <row r="131" spans="1:12">
      <c r="A131" s="404"/>
      <c r="B131" s="423"/>
      <c r="C131" s="419"/>
      <c r="D131" s="419"/>
      <c r="E131" s="419"/>
      <c r="F131" s="419"/>
      <c r="G131" s="419"/>
      <c r="H131" s="419"/>
      <c r="I131" s="950"/>
      <c r="J131" s="419"/>
      <c r="K131" s="419"/>
      <c r="L131" s="419"/>
    </row>
    <row r="132" spans="1:12">
      <c r="A132" s="419"/>
      <c r="B132" s="419"/>
      <c r="C132" s="419"/>
      <c r="D132" s="419"/>
      <c r="E132" s="419"/>
      <c r="F132" s="419"/>
      <c r="G132" s="419"/>
      <c r="H132" s="419"/>
      <c r="I132" s="950"/>
      <c r="J132" s="419"/>
      <c r="K132" s="419"/>
      <c r="L132" s="419"/>
    </row>
    <row r="133" spans="1:12">
      <c r="A133" s="419"/>
      <c r="B133" s="419"/>
      <c r="C133" s="419"/>
      <c r="D133" s="419"/>
      <c r="E133" s="419"/>
      <c r="F133" s="419"/>
      <c r="G133" s="419"/>
      <c r="H133" s="419"/>
      <c r="I133" s="950"/>
      <c r="J133" s="419"/>
      <c r="K133" s="419"/>
      <c r="L133" s="419"/>
    </row>
    <row r="134" spans="1:12">
      <c r="A134" s="419"/>
      <c r="B134" s="437"/>
      <c r="C134" s="404"/>
      <c r="D134" s="404"/>
      <c r="E134" s="419"/>
      <c r="F134" s="419"/>
      <c r="G134" s="419"/>
      <c r="H134" s="419"/>
      <c r="I134" s="950"/>
      <c r="J134" s="419"/>
      <c r="K134" s="419"/>
      <c r="L134" s="419"/>
    </row>
    <row r="135" spans="1:12">
      <c r="A135" s="419"/>
      <c r="B135" s="428"/>
      <c r="C135" s="428"/>
      <c r="D135" s="428"/>
      <c r="E135" s="419"/>
      <c r="F135" s="419"/>
      <c r="G135" s="419"/>
      <c r="H135" s="419"/>
      <c r="I135" s="950"/>
      <c r="J135" s="419"/>
      <c r="K135" s="419"/>
      <c r="L135" s="419"/>
    </row>
    <row r="136" spans="1:12">
      <c r="A136" s="419"/>
      <c r="B136" s="423"/>
      <c r="C136" s="438"/>
      <c r="D136" s="438"/>
      <c r="E136" s="419"/>
      <c r="F136" s="419"/>
      <c r="G136" s="419"/>
      <c r="H136" s="419"/>
      <c r="I136" s="950"/>
      <c r="J136" s="419"/>
      <c r="K136" s="419"/>
      <c r="L136" s="419"/>
    </row>
    <row r="137" spans="1:12">
      <c r="A137" s="419"/>
      <c r="B137" s="419"/>
      <c r="C137" s="438"/>
      <c r="D137" s="438"/>
      <c r="E137" s="419"/>
      <c r="F137" s="419"/>
      <c r="G137" s="419"/>
      <c r="H137" s="419"/>
      <c r="I137" s="950"/>
      <c r="J137" s="419"/>
      <c r="K137" s="419"/>
      <c r="L137" s="419"/>
    </row>
    <row r="138" spans="1:12">
      <c r="A138" s="419"/>
      <c r="B138" s="419"/>
      <c r="C138" s="438"/>
      <c r="D138" s="438"/>
      <c r="E138" s="419"/>
      <c r="F138" s="419"/>
      <c r="G138" s="419"/>
      <c r="H138" s="419"/>
      <c r="I138" s="950"/>
      <c r="J138" s="419"/>
      <c r="K138" s="419"/>
      <c r="L138" s="419"/>
    </row>
    <row r="139" spans="1:12">
      <c r="A139" s="419"/>
      <c r="B139" s="419"/>
      <c r="C139" s="438"/>
      <c r="D139" s="422"/>
      <c r="E139" s="419"/>
      <c r="F139" s="419"/>
      <c r="G139" s="419"/>
      <c r="H139" s="419"/>
      <c r="I139" s="950"/>
      <c r="J139" s="419"/>
      <c r="K139" s="419"/>
      <c r="L139" s="419"/>
    </row>
    <row r="140" spans="1:12">
      <c r="A140" s="419"/>
      <c r="B140" s="419"/>
      <c r="C140" s="438"/>
      <c r="D140" s="422"/>
      <c r="E140" s="419"/>
      <c r="F140" s="419"/>
      <c r="G140" s="419"/>
      <c r="H140" s="419"/>
      <c r="I140" s="950"/>
      <c r="J140" s="419"/>
      <c r="K140" s="419"/>
      <c r="L140" s="419"/>
    </row>
    <row r="141" spans="1:12">
      <c r="A141" s="419"/>
      <c r="B141" s="419"/>
      <c r="C141" s="438"/>
      <c r="D141" s="422"/>
      <c r="E141" s="419"/>
      <c r="F141" s="419"/>
      <c r="G141" s="419"/>
      <c r="H141" s="419"/>
      <c r="I141" s="950"/>
      <c r="J141" s="419"/>
      <c r="K141" s="419"/>
      <c r="L141" s="419"/>
    </row>
    <row r="142" spans="1:12">
      <c r="A142" s="419"/>
      <c r="B142" s="419"/>
      <c r="C142" s="438"/>
      <c r="D142" s="422"/>
      <c r="E142" s="419"/>
      <c r="F142" s="419"/>
      <c r="G142" s="419"/>
      <c r="H142" s="419"/>
      <c r="I142" s="950"/>
      <c r="J142" s="419"/>
      <c r="K142" s="419"/>
      <c r="L142" s="419"/>
    </row>
    <row r="143" spans="1:12">
      <c r="A143" s="419"/>
      <c r="B143" s="419"/>
      <c r="C143" s="438"/>
      <c r="D143" s="422"/>
      <c r="E143" s="419"/>
      <c r="F143" s="419"/>
      <c r="G143" s="419"/>
      <c r="H143" s="419"/>
      <c r="I143" s="950"/>
      <c r="J143" s="419"/>
      <c r="K143" s="419"/>
      <c r="L143" s="419"/>
    </row>
    <row r="144" spans="1:12">
      <c r="A144" s="419"/>
      <c r="B144" s="419"/>
      <c r="C144" s="438"/>
      <c r="D144" s="422"/>
      <c r="E144" s="419"/>
      <c r="F144" s="419"/>
      <c r="G144" s="419"/>
      <c r="H144" s="419"/>
      <c r="I144" s="950"/>
      <c r="J144" s="419"/>
      <c r="K144" s="419"/>
      <c r="L144" s="419"/>
    </row>
    <row r="145" spans="1:12">
      <c r="A145" s="419"/>
      <c r="B145" s="419"/>
      <c r="C145" s="438"/>
      <c r="D145" s="422"/>
      <c r="E145" s="419"/>
      <c r="F145" s="419"/>
      <c r="G145" s="419"/>
      <c r="H145" s="419"/>
      <c r="I145" s="950"/>
      <c r="J145" s="419"/>
      <c r="K145" s="419"/>
      <c r="L145" s="419"/>
    </row>
    <row r="146" spans="1:12">
      <c r="A146" s="419"/>
      <c r="B146" s="419"/>
      <c r="C146" s="438"/>
      <c r="D146" s="422"/>
      <c r="E146" s="419"/>
      <c r="F146" s="419"/>
      <c r="G146" s="419"/>
      <c r="H146" s="419"/>
      <c r="I146" s="950"/>
      <c r="J146" s="419"/>
      <c r="K146" s="419"/>
      <c r="L146" s="419"/>
    </row>
    <row r="147" spans="1:12">
      <c r="A147" s="419"/>
      <c r="B147" s="419"/>
      <c r="C147" s="438"/>
      <c r="D147" s="422"/>
      <c r="E147" s="419"/>
      <c r="F147" s="419"/>
      <c r="G147" s="419"/>
      <c r="H147" s="419"/>
      <c r="I147" s="950"/>
      <c r="J147" s="419"/>
      <c r="K147" s="419"/>
      <c r="L147" s="419"/>
    </row>
    <row r="148" spans="1:12">
      <c r="A148" s="419"/>
      <c r="B148" s="419"/>
      <c r="C148" s="428"/>
      <c r="D148" s="428"/>
      <c r="E148" s="419"/>
      <c r="F148" s="419"/>
      <c r="G148" s="419"/>
      <c r="H148" s="419"/>
      <c r="I148" s="950"/>
      <c r="J148" s="419"/>
      <c r="K148" s="419"/>
      <c r="L148" s="419"/>
    </row>
    <row r="149" spans="1:12">
      <c r="A149" s="419"/>
      <c r="B149" s="419"/>
      <c r="C149" s="422"/>
      <c r="D149" s="422"/>
      <c r="E149" s="419"/>
      <c r="F149" s="419"/>
      <c r="G149" s="419"/>
      <c r="H149" s="419"/>
      <c r="I149" s="950"/>
      <c r="J149" s="419"/>
      <c r="K149" s="419"/>
      <c r="L149" s="419"/>
    </row>
    <row r="150" spans="1:12">
      <c r="A150" s="419"/>
      <c r="B150" s="419"/>
      <c r="C150" s="428"/>
      <c r="D150" s="428"/>
      <c r="E150" s="419"/>
      <c r="F150" s="419"/>
      <c r="G150" s="419"/>
      <c r="H150" s="419"/>
      <c r="I150" s="950"/>
      <c r="J150" s="419"/>
      <c r="K150" s="419"/>
      <c r="L150" s="419"/>
    </row>
    <row r="151" spans="1:12">
      <c r="A151" s="419"/>
      <c r="B151" s="419"/>
      <c r="C151" s="419"/>
      <c r="D151" s="419"/>
      <c r="E151" s="419"/>
      <c r="F151" s="419"/>
      <c r="G151" s="419"/>
      <c r="H151" s="419"/>
      <c r="I151" s="950"/>
      <c r="J151" s="419"/>
      <c r="K151" s="419"/>
      <c r="L151" s="419"/>
    </row>
    <row r="152" spans="1:12">
      <c r="A152" s="419"/>
      <c r="B152" s="423"/>
      <c r="C152" s="438"/>
      <c r="D152" s="438"/>
      <c r="E152" s="419"/>
      <c r="F152" s="419"/>
      <c r="G152" s="419"/>
      <c r="H152" s="419"/>
      <c r="I152" s="950"/>
      <c r="J152" s="419"/>
      <c r="K152" s="419"/>
      <c r="L152" s="419"/>
    </row>
    <row r="153" spans="1:12">
      <c r="A153" s="419"/>
      <c r="B153" s="419"/>
      <c r="C153" s="438"/>
      <c r="D153" s="438"/>
      <c r="E153" s="419"/>
      <c r="F153" s="419"/>
      <c r="G153" s="419"/>
      <c r="H153" s="419"/>
      <c r="I153" s="950"/>
      <c r="J153" s="419"/>
      <c r="K153" s="419"/>
      <c r="L153" s="419"/>
    </row>
    <row r="154" spans="1:12">
      <c r="A154" s="419"/>
      <c r="B154" s="419"/>
      <c r="C154" s="438"/>
      <c r="D154" s="438"/>
      <c r="E154" s="419"/>
      <c r="F154" s="419"/>
      <c r="G154" s="419"/>
      <c r="H154" s="419"/>
      <c r="I154" s="950"/>
      <c r="J154" s="419"/>
      <c r="K154" s="419"/>
      <c r="L154" s="419"/>
    </row>
    <row r="155" spans="1:12">
      <c r="A155" s="419"/>
      <c r="B155" s="419"/>
      <c r="C155" s="438"/>
      <c r="D155" s="422"/>
      <c r="E155" s="419"/>
      <c r="F155" s="419"/>
      <c r="G155" s="419"/>
      <c r="H155" s="419"/>
      <c r="I155" s="950"/>
      <c r="J155" s="419"/>
      <c r="K155" s="419"/>
      <c r="L155" s="419"/>
    </row>
    <row r="156" spans="1:12">
      <c r="A156" s="419"/>
      <c r="B156" s="419"/>
      <c r="C156" s="438"/>
      <c r="D156" s="422"/>
      <c r="E156" s="419"/>
      <c r="F156" s="419"/>
      <c r="G156" s="419"/>
      <c r="H156" s="419"/>
      <c r="I156" s="950"/>
      <c r="J156" s="419"/>
      <c r="K156" s="419"/>
      <c r="L156" s="419"/>
    </row>
    <row r="157" spans="1:12">
      <c r="A157" s="419"/>
      <c r="B157" s="419"/>
      <c r="C157" s="438"/>
      <c r="D157" s="422"/>
      <c r="E157" s="419"/>
      <c r="F157" s="419"/>
      <c r="G157" s="419"/>
      <c r="H157" s="419"/>
      <c r="I157" s="950"/>
      <c r="J157" s="419"/>
      <c r="K157" s="419"/>
      <c r="L157" s="419"/>
    </row>
    <row r="158" spans="1:12">
      <c r="A158" s="419"/>
      <c r="B158" s="419"/>
      <c r="C158" s="438"/>
      <c r="D158" s="422"/>
      <c r="E158" s="419"/>
      <c r="F158" s="419"/>
      <c r="G158" s="419"/>
      <c r="H158" s="419"/>
      <c r="I158" s="950"/>
      <c r="J158" s="419"/>
      <c r="K158" s="419"/>
      <c r="L158" s="419"/>
    </row>
    <row r="159" spans="1:12">
      <c r="A159" s="419"/>
      <c r="B159" s="419"/>
      <c r="C159" s="438"/>
      <c r="D159" s="422"/>
      <c r="E159" s="419"/>
      <c r="F159" s="419"/>
      <c r="G159" s="419"/>
      <c r="H159" s="419"/>
      <c r="I159" s="950"/>
      <c r="J159" s="419"/>
      <c r="K159" s="419"/>
      <c r="L159" s="419"/>
    </row>
    <row r="160" spans="1:12">
      <c r="A160" s="419"/>
      <c r="B160" s="419"/>
      <c r="C160" s="438"/>
      <c r="D160" s="422"/>
      <c r="E160" s="419"/>
      <c r="F160" s="419"/>
      <c r="G160" s="419"/>
      <c r="H160" s="419"/>
      <c r="I160" s="950"/>
      <c r="J160" s="419"/>
      <c r="K160" s="419"/>
      <c r="L160" s="419"/>
    </row>
    <row r="161" spans="1:12">
      <c r="A161" s="419"/>
      <c r="B161" s="419"/>
      <c r="C161" s="438"/>
      <c r="D161" s="422"/>
      <c r="E161" s="419"/>
      <c r="F161" s="419"/>
      <c r="G161" s="419"/>
      <c r="H161" s="419"/>
      <c r="I161" s="950"/>
      <c r="J161" s="419"/>
      <c r="K161" s="419"/>
      <c r="L161" s="419"/>
    </row>
    <row r="162" spans="1:12">
      <c r="A162" s="419"/>
      <c r="B162" s="419"/>
      <c r="C162" s="438"/>
      <c r="D162" s="422"/>
      <c r="E162" s="419"/>
      <c r="F162" s="419"/>
      <c r="G162" s="419"/>
      <c r="H162" s="419"/>
      <c r="I162" s="950"/>
      <c r="J162" s="419"/>
      <c r="K162" s="419"/>
      <c r="L162" s="419"/>
    </row>
    <row r="163" spans="1:12">
      <c r="A163" s="419"/>
      <c r="B163" s="419"/>
      <c r="C163" s="438"/>
      <c r="D163" s="422"/>
      <c r="E163" s="419"/>
      <c r="F163" s="419"/>
      <c r="G163" s="419"/>
      <c r="H163" s="419"/>
      <c r="I163" s="950"/>
      <c r="J163" s="419"/>
      <c r="K163" s="419"/>
      <c r="L163" s="419"/>
    </row>
    <row r="164" spans="1:12">
      <c r="A164" s="419"/>
      <c r="B164" s="419"/>
      <c r="C164" s="428"/>
      <c r="D164" s="428"/>
      <c r="E164" s="419"/>
      <c r="F164" s="419"/>
      <c r="G164" s="419"/>
      <c r="H164" s="419"/>
      <c r="I164" s="950"/>
      <c r="J164" s="419"/>
      <c r="K164" s="419"/>
      <c r="L164" s="419"/>
    </row>
    <row r="165" spans="1:12">
      <c r="A165" s="419"/>
      <c r="B165" s="419"/>
      <c r="C165" s="422"/>
      <c r="D165" s="422"/>
      <c r="E165" s="419"/>
      <c r="F165" s="419"/>
      <c r="G165" s="419"/>
      <c r="H165" s="419"/>
      <c r="I165" s="950"/>
      <c r="J165" s="419"/>
      <c r="K165" s="419"/>
      <c r="L165" s="419"/>
    </row>
    <row r="166" spans="1:12">
      <c r="A166" s="419"/>
      <c r="B166" s="419"/>
      <c r="C166" s="428"/>
      <c r="D166" s="428"/>
      <c r="E166" s="419"/>
      <c r="F166" s="419"/>
      <c r="G166" s="419"/>
      <c r="H166" s="419"/>
      <c r="I166" s="950"/>
      <c r="J166" s="419"/>
      <c r="K166" s="419"/>
      <c r="L166" s="419"/>
    </row>
    <row r="167" spans="1:12">
      <c r="A167" s="419"/>
      <c r="B167" s="419"/>
      <c r="C167" s="419"/>
      <c r="D167" s="419"/>
      <c r="E167" s="419"/>
      <c r="F167" s="419"/>
      <c r="G167" s="419"/>
      <c r="H167" s="419"/>
      <c r="I167" s="950"/>
      <c r="J167" s="419"/>
      <c r="K167" s="419"/>
      <c r="L167" s="419"/>
    </row>
    <row r="168" spans="1:12">
      <c r="A168" s="419"/>
      <c r="B168" s="423"/>
      <c r="C168" s="438"/>
      <c r="D168" s="438"/>
      <c r="E168" s="419"/>
      <c r="F168" s="419"/>
      <c r="G168" s="419"/>
      <c r="H168" s="419"/>
      <c r="I168" s="950"/>
      <c r="J168" s="419"/>
      <c r="K168" s="419"/>
      <c r="L168" s="419"/>
    </row>
    <row r="169" spans="1:12">
      <c r="A169" s="419"/>
      <c r="B169" s="419"/>
      <c r="C169" s="438"/>
      <c r="D169" s="438"/>
      <c r="E169" s="419"/>
      <c r="F169" s="419"/>
      <c r="G169" s="419"/>
      <c r="H169" s="419"/>
      <c r="I169" s="950"/>
      <c r="J169" s="419"/>
      <c r="K169" s="419"/>
      <c r="L169" s="419"/>
    </row>
    <row r="170" spans="1:12">
      <c r="A170" s="419"/>
      <c r="B170" s="419"/>
      <c r="C170" s="438"/>
      <c r="D170" s="438"/>
      <c r="E170" s="419"/>
      <c r="F170" s="419"/>
      <c r="G170" s="419"/>
      <c r="H170" s="419"/>
      <c r="I170" s="950"/>
      <c r="J170" s="419"/>
      <c r="K170" s="419"/>
      <c r="L170" s="419"/>
    </row>
    <row r="171" spans="1:12">
      <c r="A171" s="419"/>
      <c r="B171" s="419"/>
      <c r="C171" s="438"/>
      <c r="D171" s="422"/>
      <c r="E171" s="419"/>
      <c r="F171" s="419"/>
      <c r="G171" s="419"/>
      <c r="H171" s="419"/>
      <c r="I171" s="950"/>
      <c r="J171" s="419"/>
      <c r="K171" s="419"/>
      <c r="L171" s="419"/>
    </row>
    <row r="172" spans="1:12">
      <c r="A172" s="419"/>
      <c r="B172" s="419"/>
      <c r="C172" s="438"/>
      <c r="D172" s="422"/>
      <c r="E172" s="419"/>
      <c r="F172" s="419"/>
      <c r="G172" s="419"/>
      <c r="H172" s="419"/>
      <c r="I172" s="950"/>
      <c r="J172" s="419"/>
      <c r="K172" s="419"/>
      <c r="L172" s="419"/>
    </row>
    <row r="173" spans="1:12">
      <c r="A173" s="419"/>
      <c r="B173" s="419"/>
      <c r="C173" s="438"/>
      <c r="D173" s="422"/>
      <c r="E173" s="419"/>
      <c r="F173" s="419"/>
      <c r="G173" s="419"/>
      <c r="H173" s="419"/>
      <c r="I173" s="950"/>
      <c r="J173" s="419"/>
      <c r="K173" s="419"/>
      <c r="L173" s="419"/>
    </row>
    <row r="174" spans="1:12">
      <c r="A174" s="419"/>
      <c r="B174" s="419"/>
      <c r="C174" s="438"/>
      <c r="D174" s="422"/>
      <c r="E174" s="419"/>
      <c r="F174" s="419"/>
      <c r="G174" s="419"/>
      <c r="H174" s="419"/>
      <c r="I174" s="950"/>
      <c r="J174" s="419"/>
      <c r="K174" s="419"/>
      <c r="L174" s="419"/>
    </row>
    <row r="175" spans="1:12">
      <c r="A175" s="419"/>
      <c r="B175" s="419"/>
      <c r="C175" s="438"/>
      <c r="D175" s="422"/>
      <c r="E175" s="419"/>
      <c r="F175" s="419"/>
      <c r="G175" s="419"/>
      <c r="H175" s="419"/>
      <c r="I175" s="950"/>
      <c r="J175" s="419"/>
      <c r="K175" s="419"/>
      <c r="L175" s="419"/>
    </row>
    <row r="176" spans="1:12">
      <c r="A176" s="419"/>
      <c r="B176" s="419"/>
      <c r="C176" s="438"/>
      <c r="D176" s="422"/>
      <c r="E176" s="419"/>
      <c r="F176" s="419"/>
      <c r="G176" s="419"/>
      <c r="H176" s="419"/>
      <c r="I176" s="950"/>
      <c r="J176" s="419"/>
      <c r="K176" s="419"/>
      <c r="L176" s="419"/>
    </row>
    <row r="177" spans="1:12">
      <c r="A177" s="419"/>
      <c r="B177" s="419"/>
      <c r="C177" s="438"/>
      <c r="D177" s="422"/>
      <c r="E177" s="419"/>
      <c r="F177" s="419"/>
      <c r="G177" s="419"/>
      <c r="H177" s="419"/>
      <c r="I177" s="950"/>
      <c r="J177" s="419"/>
      <c r="K177" s="419"/>
      <c r="L177" s="419"/>
    </row>
    <row r="178" spans="1:12">
      <c r="A178" s="419"/>
      <c r="B178" s="419"/>
      <c r="C178" s="438"/>
      <c r="D178" s="422"/>
      <c r="E178" s="419"/>
      <c r="F178" s="419"/>
      <c r="G178" s="419"/>
      <c r="H178" s="419"/>
      <c r="I178" s="950"/>
      <c r="J178" s="419"/>
      <c r="K178" s="419"/>
      <c r="L178" s="419"/>
    </row>
    <row r="179" spans="1:12">
      <c r="A179" s="419"/>
      <c r="B179" s="419"/>
      <c r="C179" s="438"/>
      <c r="D179" s="422"/>
      <c r="E179" s="419"/>
      <c r="F179" s="419"/>
      <c r="G179" s="419"/>
      <c r="H179" s="419"/>
      <c r="I179" s="950"/>
      <c r="J179" s="419"/>
      <c r="K179" s="419"/>
      <c r="L179" s="419"/>
    </row>
    <row r="180" spans="1:12">
      <c r="A180" s="419"/>
      <c r="B180" s="419"/>
      <c r="C180" s="428"/>
      <c r="D180" s="428"/>
      <c r="E180" s="419"/>
      <c r="F180" s="419"/>
      <c r="G180" s="419"/>
      <c r="H180" s="419"/>
      <c r="I180" s="950"/>
      <c r="J180" s="419"/>
      <c r="K180" s="419"/>
      <c r="L180" s="419"/>
    </row>
    <row r="181" spans="1:12">
      <c r="A181" s="419"/>
      <c r="B181" s="419"/>
      <c r="C181" s="422"/>
      <c r="D181" s="422"/>
      <c r="E181" s="419"/>
      <c r="F181" s="419"/>
      <c r="G181" s="419"/>
      <c r="H181" s="419"/>
      <c r="I181" s="950"/>
      <c r="J181" s="419"/>
      <c r="K181" s="419"/>
      <c r="L181" s="419"/>
    </row>
    <row r="182" spans="1:12">
      <c r="A182" s="419"/>
      <c r="B182" s="419"/>
      <c r="C182" s="419"/>
      <c r="D182" s="419"/>
      <c r="E182" s="419"/>
      <c r="F182" s="419"/>
      <c r="G182" s="419"/>
      <c r="H182" s="419"/>
      <c r="I182" s="950"/>
      <c r="J182" s="419"/>
      <c r="K182" s="419"/>
      <c r="L182" s="419"/>
    </row>
    <row r="183" spans="1:12">
      <c r="A183" s="419"/>
      <c r="B183" s="419"/>
      <c r="C183" s="428"/>
      <c r="D183" s="428"/>
      <c r="E183" s="419"/>
      <c r="F183" s="419"/>
      <c r="G183" s="419"/>
      <c r="H183" s="419"/>
      <c r="I183" s="950"/>
      <c r="J183" s="419"/>
      <c r="K183" s="419"/>
      <c r="L183" s="419"/>
    </row>
    <row r="184" spans="1:12">
      <c r="A184" s="419"/>
      <c r="B184" s="419"/>
      <c r="C184" s="419"/>
      <c r="D184" s="419"/>
      <c r="E184" s="419"/>
      <c r="F184" s="419"/>
      <c r="G184" s="419"/>
      <c r="H184" s="419"/>
      <c r="I184" s="950"/>
      <c r="J184" s="419"/>
      <c r="K184" s="419"/>
      <c r="L184" s="419"/>
    </row>
    <row r="185" spans="1:12">
      <c r="A185" s="419"/>
      <c r="B185" s="423"/>
      <c r="C185" s="438"/>
      <c r="D185" s="438"/>
      <c r="E185" s="419"/>
      <c r="F185" s="419"/>
      <c r="G185" s="419"/>
      <c r="H185" s="419"/>
      <c r="I185" s="950"/>
      <c r="J185" s="419"/>
      <c r="K185" s="419"/>
      <c r="L185" s="419"/>
    </row>
    <row r="186" spans="1:12">
      <c r="A186" s="419"/>
      <c r="B186" s="419"/>
      <c r="C186" s="438"/>
      <c r="D186" s="438"/>
      <c r="E186" s="419"/>
      <c r="F186" s="419"/>
      <c r="G186" s="419"/>
      <c r="H186" s="419"/>
      <c r="I186" s="950"/>
      <c r="J186" s="419"/>
      <c r="K186" s="419"/>
      <c r="L186" s="419"/>
    </row>
    <row r="187" spans="1:12">
      <c r="A187" s="419"/>
      <c r="B187" s="419"/>
      <c r="C187" s="438"/>
      <c r="D187" s="438"/>
      <c r="E187" s="419"/>
      <c r="F187" s="419"/>
      <c r="G187" s="419"/>
      <c r="H187" s="419"/>
      <c r="I187" s="950"/>
      <c r="J187" s="419"/>
      <c r="K187" s="419"/>
      <c r="L187" s="419"/>
    </row>
    <row r="188" spans="1:12">
      <c r="A188" s="419"/>
      <c r="B188" s="419"/>
      <c r="C188" s="438"/>
      <c r="D188" s="422"/>
      <c r="E188" s="419"/>
      <c r="F188" s="419"/>
      <c r="G188" s="419"/>
      <c r="H188" s="419"/>
      <c r="I188" s="950"/>
      <c r="J188" s="419"/>
      <c r="K188" s="419"/>
      <c r="L188" s="419"/>
    </row>
    <row r="189" spans="1:12">
      <c r="A189" s="419"/>
      <c r="B189" s="419"/>
      <c r="C189" s="438"/>
      <c r="D189" s="422"/>
      <c r="E189" s="419"/>
      <c r="F189" s="419"/>
      <c r="G189" s="419"/>
      <c r="H189" s="419"/>
      <c r="I189" s="950"/>
      <c r="J189" s="419"/>
      <c r="K189" s="419"/>
      <c r="L189" s="419"/>
    </row>
    <row r="190" spans="1:12">
      <c r="A190" s="419"/>
      <c r="B190" s="419"/>
      <c r="C190" s="438"/>
      <c r="D190" s="422"/>
      <c r="E190" s="419"/>
      <c r="F190" s="419"/>
      <c r="G190" s="419"/>
      <c r="H190" s="419"/>
      <c r="I190" s="950"/>
      <c r="J190" s="419"/>
      <c r="K190" s="419"/>
      <c r="L190" s="419"/>
    </row>
    <row r="191" spans="1:12">
      <c r="A191" s="419"/>
      <c r="B191" s="419"/>
      <c r="C191" s="438"/>
      <c r="D191" s="422"/>
      <c r="E191" s="419"/>
      <c r="F191" s="419"/>
      <c r="G191" s="419"/>
      <c r="H191" s="419"/>
      <c r="I191" s="950"/>
      <c r="J191" s="419"/>
      <c r="K191" s="419"/>
      <c r="L191" s="419"/>
    </row>
    <row r="192" spans="1:12">
      <c r="A192" s="419"/>
      <c r="B192" s="419"/>
      <c r="C192" s="438"/>
      <c r="D192" s="422"/>
      <c r="E192" s="419"/>
      <c r="F192" s="419"/>
      <c r="G192" s="419"/>
      <c r="H192" s="419"/>
      <c r="I192" s="950"/>
      <c r="J192" s="419"/>
      <c r="K192" s="419"/>
      <c r="L192" s="419"/>
    </row>
    <row r="193" spans="1:12">
      <c r="A193" s="419"/>
      <c r="B193" s="419"/>
      <c r="C193" s="438"/>
      <c r="D193" s="422"/>
      <c r="E193" s="419"/>
      <c r="F193" s="419"/>
      <c r="G193" s="419"/>
      <c r="H193" s="419"/>
      <c r="I193" s="950"/>
      <c r="J193" s="419"/>
      <c r="K193" s="419"/>
      <c r="L193" s="419"/>
    </row>
    <row r="194" spans="1:12">
      <c r="A194" s="419"/>
      <c r="B194" s="419"/>
      <c r="C194" s="438"/>
      <c r="D194" s="422"/>
      <c r="E194" s="419"/>
      <c r="F194" s="419"/>
      <c r="G194" s="419"/>
      <c r="H194" s="419"/>
      <c r="I194" s="950"/>
      <c r="J194" s="419"/>
      <c r="K194" s="419"/>
      <c r="L194" s="419"/>
    </row>
    <row r="195" spans="1:12">
      <c r="A195" s="419"/>
      <c r="B195" s="419"/>
      <c r="C195" s="438"/>
      <c r="D195" s="422"/>
      <c r="E195" s="419"/>
      <c r="F195" s="419"/>
      <c r="G195" s="419"/>
      <c r="H195" s="419"/>
      <c r="I195" s="950"/>
      <c r="J195" s="419"/>
      <c r="K195" s="419"/>
      <c r="L195" s="419"/>
    </row>
    <row r="196" spans="1:12">
      <c r="A196" s="419"/>
      <c r="B196" s="419"/>
      <c r="C196" s="438"/>
      <c r="D196" s="422"/>
      <c r="E196" s="419"/>
      <c r="F196" s="419"/>
      <c r="G196" s="419"/>
      <c r="H196" s="419"/>
      <c r="I196" s="950"/>
      <c r="J196" s="419"/>
      <c r="K196" s="419"/>
      <c r="L196" s="419"/>
    </row>
    <row r="197" spans="1:12">
      <c r="A197" s="419"/>
      <c r="B197" s="419"/>
      <c r="C197" s="428"/>
      <c r="D197" s="428"/>
      <c r="E197" s="419"/>
      <c r="F197" s="419"/>
      <c r="G197" s="419"/>
      <c r="H197" s="419"/>
      <c r="I197" s="950"/>
      <c r="J197" s="419"/>
      <c r="K197" s="419"/>
      <c r="L197" s="419"/>
    </row>
    <row r="198" spans="1:12">
      <c r="A198" s="419"/>
      <c r="B198" s="419"/>
      <c r="C198" s="422"/>
      <c r="D198" s="422"/>
      <c r="E198" s="419"/>
      <c r="F198" s="419"/>
      <c r="G198" s="419"/>
      <c r="H198" s="419"/>
      <c r="I198" s="950"/>
      <c r="J198" s="419"/>
      <c r="K198" s="419"/>
      <c r="L198" s="419"/>
    </row>
    <row r="199" spans="1:12">
      <c r="A199" s="419"/>
      <c r="B199" s="419"/>
      <c r="C199" s="428"/>
      <c r="D199" s="428"/>
      <c r="E199" s="419"/>
      <c r="F199" s="419"/>
      <c r="G199" s="419"/>
      <c r="H199" s="419"/>
      <c r="I199" s="950"/>
      <c r="J199" s="419"/>
      <c r="K199" s="419"/>
      <c r="L199" s="419"/>
    </row>
    <row r="200" spans="1:12">
      <c r="A200" s="419"/>
      <c r="B200" s="419"/>
      <c r="C200" s="419"/>
      <c r="D200" s="419"/>
      <c r="E200" s="419"/>
      <c r="F200" s="419"/>
      <c r="G200" s="419"/>
      <c r="H200" s="419"/>
      <c r="I200" s="950"/>
      <c r="J200" s="419"/>
      <c r="K200" s="419"/>
      <c r="L200" s="419"/>
    </row>
    <row r="201" spans="1:12">
      <c r="A201" s="419"/>
      <c r="B201" s="419"/>
      <c r="C201" s="419"/>
      <c r="D201" s="419"/>
      <c r="E201" s="419"/>
      <c r="F201" s="419"/>
      <c r="G201" s="419"/>
      <c r="H201" s="419"/>
      <c r="I201" s="950"/>
      <c r="J201" s="419"/>
      <c r="K201" s="419"/>
      <c r="L201" s="419"/>
    </row>
    <row r="202" spans="1:12">
      <c r="A202" s="419"/>
      <c r="B202" s="419"/>
      <c r="C202" s="419"/>
      <c r="D202" s="419"/>
      <c r="E202" s="419"/>
      <c r="F202" s="419"/>
      <c r="G202" s="419"/>
      <c r="H202" s="419"/>
      <c r="I202" s="950"/>
      <c r="J202" s="419"/>
      <c r="K202" s="419"/>
      <c r="L202" s="419"/>
    </row>
    <row r="203" spans="1:12">
      <c r="A203" s="419"/>
      <c r="B203" s="419"/>
      <c r="C203" s="419"/>
      <c r="D203" s="419"/>
      <c r="E203" s="419"/>
      <c r="F203" s="419"/>
      <c r="G203" s="419"/>
      <c r="H203" s="419"/>
      <c r="I203" s="950"/>
      <c r="J203" s="419"/>
      <c r="K203" s="419"/>
      <c r="L203" s="419"/>
    </row>
    <row r="204" spans="1:12">
      <c r="A204" s="419"/>
      <c r="B204" s="419"/>
      <c r="C204" s="419"/>
      <c r="D204" s="419"/>
      <c r="E204" s="419"/>
      <c r="F204" s="419"/>
      <c r="G204" s="419"/>
      <c r="H204" s="419"/>
      <c r="I204" s="950"/>
      <c r="J204" s="419"/>
      <c r="K204" s="419"/>
      <c r="L204" s="419"/>
    </row>
    <row r="205" spans="1:12">
      <c r="A205" s="419"/>
      <c r="B205" s="419"/>
      <c r="C205" s="419"/>
      <c r="D205" s="419"/>
      <c r="E205" s="419"/>
      <c r="F205" s="419"/>
      <c r="G205" s="419"/>
      <c r="H205" s="419"/>
      <c r="I205" s="950"/>
      <c r="J205" s="419"/>
      <c r="K205" s="419"/>
      <c r="L205" s="419"/>
    </row>
    <row r="206" spans="1:12">
      <c r="A206" s="419"/>
      <c r="B206" s="419"/>
      <c r="C206" s="419"/>
      <c r="D206" s="419"/>
      <c r="E206" s="419"/>
      <c r="F206" s="419"/>
      <c r="G206" s="419"/>
      <c r="H206" s="419"/>
      <c r="I206" s="950"/>
      <c r="J206" s="419"/>
      <c r="K206" s="419"/>
      <c r="L206" s="419"/>
    </row>
    <row r="207" spans="1:12">
      <c r="A207" s="419"/>
      <c r="B207" s="419"/>
      <c r="C207" s="419"/>
      <c r="D207" s="419"/>
      <c r="E207" s="419"/>
      <c r="F207" s="419"/>
      <c r="G207" s="419"/>
      <c r="H207" s="419"/>
      <c r="I207" s="950"/>
      <c r="J207" s="419"/>
      <c r="K207" s="419"/>
      <c r="L207" s="419"/>
    </row>
    <row r="208" spans="1:12">
      <c r="A208" s="419"/>
      <c r="B208" s="419"/>
      <c r="C208" s="419"/>
      <c r="D208" s="419"/>
      <c r="E208" s="419"/>
      <c r="F208" s="419"/>
      <c r="G208" s="419"/>
      <c r="H208" s="419"/>
      <c r="I208" s="950"/>
      <c r="J208" s="419"/>
      <c r="K208" s="419"/>
      <c r="L208" s="419"/>
    </row>
    <row r="209" spans="1:12">
      <c r="A209" s="419"/>
      <c r="B209" s="419"/>
      <c r="C209" s="419"/>
      <c r="D209" s="419"/>
      <c r="E209" s="419"/>
      <c r="F209" s="419"/>
      <c r="G209" s="419"/>
      <c r="H209" s="419"/>
      <c r="I209" s="950"/>
      <c r="J209" s="419"/>
      <c r="K209" s="419"/>
      <c r="L209" s="419"/>
    </row>
    <row r="210" spans="1:12">
      <c r="A210" s="419"/>
      <c r="B210" s="419"/>
      <c r="C210" s="419"/>
      <c r="D210" s="419"/>
      <c r="E210" s="419"/>
      <c r="F210" s="419"/>
      <c r="G210" s="419"/>
      <c r="H210" s="419"/>
      <c r="I210" s="950"/>
      <c r="J210" s="419"/>
      <c r="K210" s="419"/>
      <c r="L210" s="419"/>
    </row>
    <row r="211" spans="1:12">
      <c r="A211" s="419"/>
      <c r="B211" s="419"/>
      <c r="C211" s="419"/>
      <c r="D211" s="419"/>
      <c r="E211" s="419"/>
      <c r="F211" s="419"/>
      <c r="G211" s="419"/>
      <c r="H211" s="419"/>
      <c r="I211" s="950"/>
      <c r="J211" s="419"/>
      <c r="K211" s="419"/>
      <c r="L211" s="419"/>
    </row>
    <row r="212" spans="1:12">
      <c r="A212" s="419"/>
      <c r="B212" s="419"/>
      <c r="C212" s="419"/>
      <c r="D212" s="419"/>
      <c r="E212" s="419"/>
      <c r="F212" s="419"/>
      <c r="G212" s="419"/>
      <c r="H212" s="419"/>
      <c r="I212" s="950"/>
      <c r="J212" s="419"/>
      <c r="K212" s="419"/>
      <c r="L212" s="419"/>
    </row>
    <row r="213" spans="1:12">
      <c r="A213" s="419"/>
      <c r="B213" s="419"/>
      <c r="C213" s="419"/>
      <c r="D213" s="419"/>
      <c r="E213" s="419"/>
      <c r="F213" s="419"/>
      <c r="G213" s="419"/>
      <c r="H213" s="419"/>
      <c r="I213" s="950"/>
      <c r="J213" s="419"/>
      <c r="K213" s="419"/>
      <c r="L213" s="419"/>
    </row>
    <row r="214" spans="1:12">
      <c r="A214" s="419"/>
      <c r="B214" s="419"/>
      <c r="C214" s="419"/>
      <c r="D214" s="419"/>
      <c r="E214" s="419"/>
      <c r="F214" s="419"/>
      <c r="G214" s="419"/>
      <c r="H214" s="419"/>
      <c r="I214" s="950"/>
      <c r="J214" s="419"/>
      <c r="K214" s="419"/>
      <c r="L214" s="419"/>
    </row>
    <row r="215" spans="1:12">
      <c r="A215" s="419"/>
      <c r="B215" s="419"/>
      <c r="C215" s="419"/>
      <c r="D215" s="419"/>
      <c r="E215" s="419"/>
      <c r="F215" s="419"/>
      <c r="G215" s="419"/>
      <c r="H215" s="419"/>
      <c r="I215" s="950"/>
      <c r="J215" s="419"/>
      <c r="K215" s="419"/>
      <c r="L215" s="419"/>
    </row>
    <row r="216" spans="1:12">
      <c r="A216" s="419"/>
      <c r="B216" s="419"/>
      <c r="C216" s="419"/>
      <c r="D216" s="419"/>
      <c r="E216" s="419"/>
      <c r="F216" s="419"/>
      <c r="G216" s="419"/>
      <c r="H216" s="419"/>
      <c r="I216" s="950"/>
      <c r="J216" s="419"/>
      <c r="K216" s="419"/>
      <c r="L216" s="419"/>
    </row>
    <row r="217" spans="1:12">
      <c r="A217" s="419"/>
      <c r="B217" s="419"/>
      <c r="C217" s="419"/>
      <c r="D217" s="419"/>
      <c r="E217" s="419"/>
      <c r="F217" s="419"/>
      <c r="G217" s="419"/>
      <c r="H217" s="419"/>
      <c r="I217" s="950"/>
      <c r="J217" s="419"/>
      <c r="K217" s="419"/>
      <c r="L217" s="419"/>
    </row>
    <row r="218" spans="1:12">
      <c r="A218" s="419"/>
      <c r="B218" s="419"/>
      <c r="C218" s="419"/>
      <c r="D218" s="419"/>
      <c r="E218" s="419"/>
      <c r="F218" s="419"/>
      <c r="G218" s="419"/>
      <c r="H218" s="419"/>
      <c r="I218" s="950"/>
      <c r="J218" s="419"/>
      <c r="K218" s="419"/>
      <c r="L218" s="419"/>
    </row>
    <row r="219" spans="1:12">
      <c r="A219" s="419"/>
      <c r="B219" s="419"/>
      <c r="C219" s="419"/>
      <c r="D219" s="419"/>
      <c r="E219" s="419"/>
      <c r="F219" s="419"/>
      <c r="G219" s="419"/>
      <c r="H219" s="419"/>
      <c r="I219" s="950"/>
      <c r="J219" s="419"/>
      <c r="K219" s="419"/>
      <c r="L219" s="419"/>
    </row>
    <row r="220" spans="1:12">
      <c r="A220" s="419"/>
      <c r="B220" s="419"/>
      <c r="C220" s="419"/>
      <c r="D220" s="419"/>
      <c r="E220" s="419"/>
      <c r="F220" s="419"/>
      <c r="G220" s="419"/>
      <c r="H220" s="419"/>
      <c r="I220" s="950"/>
      <c r="J220" s="419"/>
      <c r="K220" s="419"/>
      <c r="L220" s="419"/>
    </row>
    <row r="221" spans="1:12">
      <c r="A221" s="419"/>
      <c r="B221" s="419"/>
      <c r="C221" s="419"/>
      <c r="D221" s="419"/>
      <c r="E221" s="419"/>
      <c r="F221" s="419"/>
      <c r="G221" s="419"/>
      <c r="H221" s="419"/>
      <c r="I221" s="950"/>
      <c r="J221" s="419"/>
      <c r="K221" s="419"/>
      <c r="L221" s="419"/>
    </row>
    <row r="222" spans="1:12">
      <c r="A222" s="419"/>
      <c r="B222" s="419"/>
      <c r="C222" s="419"/>
      <c r="D222" s="419"/>
      <c r="E222" s="419"/>
      <c r="F222" s="419"/>
      <c r="G222" s="419"/>
      <c r="H222" s="419"/>
      <c r="I222" s="950"/>
      <c r="J222" s="419"/>
      <c r="K222" s="419"/>
      <c r="L222" s="419"/>
    </row>
    <row r="223" spans="1:12">
      <c r="A223" s="419"/>
      <c r="B223" s="419"/>
      <c r="C223" s="419"/>
      <c r="D223" s="419"/>
      <c r="E223" s="419"/>
      <c r="F223" s="419"/>
      <c r="G223" s="419"/>
      <c r="H223" s="419"/>
      <c r="I223" s="950"/>
      <c r="J223" s="419"/>
      <c r="K223" s="419"/>
      <c r="L223" s="419"/>
    </row>
    <row r="224" spans="1:12">
      <c r="A224" s="419"/>
      <c r="B224" s="419"/>
      <c r="C224" s="419"/>
      <c r="D224" s="419"/>
      <c r="E224" s="419"/>
      <c r="F224" s="419"/>
      <c r="G224" s="419"/>
      <c r="H224" s="419"/>
      <c r="I224" s="950"/>
      <c r="J224" s="419"/>
      <c r="K224" s="419"/>
      <c r="L224" s="419"/>
    </row>
    <row r="225" spans="1:12">
      <c r="A225" s="419"/>
      <c r="B225" s="419"/>
      <c r="C225" s="419"/>
      <c r="D225" s="419"/>
      <c r="E225" s="419"/>
      <c r="F225" s="419"/>
      <c r="G225" s="419"/>
      <c r="H225" s="419"/>
      <c r="I225" s="950"/>
      <c r="J225" s="419"/>
      <c r="K225" s="419"/>
      <c r="L225" s="419"/>
    </row>
    <row r="226" spans="1:12">
      <c r="A226" s="419"/>
      <c r="B226" s="419"/>
      <c r="C226" s="419"/>
      <c r="D226" s="419"/>
      <c r="E226" s="419"/>
      <c r="F226" s="419"/>
      <c r="G226" s="419"/>
      <c r="H226" s="419"/>
      <c r="I226" s="950"/>
      <c r="J226" s="419"/>
      <c r="K226" s="419"/>
      <c r="L226" s="419"/>
    </row>
    <row r="227" spans="1:12">
      <c r="A227" s="419"/>
      <c r="B227" s="419"/>
      <c r="C227" s="419"/>
      <c r="D227" s="419"/>
      <c r="E227" s="419"/>
      <c r="F227" s="419"/>
      <c r="G227" s="419"/>
      <c r="H227" s="419"/>
      <c r="I227" s="950"/>
      <c r="J227" s="419"/>
      <c r="K227" s="419"/>
      <c r="L227" s="419"/>
    </row>
    <row r="228" spans="1:12">
      <c r="A228" s="419"/>
      <c r="B228" s="419"/>
      <c r="C228" s="419"/>
      <c r="D228" s="419"/>
      <c r="E228" s="419"/>
      <c r="F228" s="419"/>
      <c r="G228" s="419"/>
      <c r="H228" s="419"/>
      <c r="I228" s="950"/>
      <c r="J228" s="419"/>
      <c r="K228" s="419"/>
      <c r="L228" s="419"/>
    </row>
    <row r="229" spans="1:12">
      <c r="A229" s="419"/>
      <c r="B229" s="419"/>
      <c r="C229" s="419"/>
      <c r="D229" s="419"/>
      <c r="E229" s="419"/>
      <c r="F229" s="419"/>
      <c r="G229" s="419"/>
      <c r="H229" s="419"/>
      <c r="I229" s="950"/>
      <c r="J229" s="419"/>
      <c r="K229" s="419"/>
      <c r="L229" s="419"/>
    </row>
    <row r="230" spans="1:12">
      <c r="A230" s="419"/>
      <c r="B230" s="419"/>
      <c r="C230" s="419"/>
      <c r="D230" s="419"/>
      <c r="E230" s="419"/>
      <c r="F230" s="419"/>
      <c r="G230" s="419"/>
      <c r="H230" s="419"/>
      <c r="I230" s="950"/>
      <c r="J230" s="419"/>
      <c r="K230" s="419"/>
      <c r="L230" s="419"/>
    </row>
    <row r="231" spans="1:12">
      <c r="A231" s="419"/>
      <c r="B231" s="419"/>
      <c r="C231" s="419"/>
      <c r="D231" s="419"/>
      <c r="E231" s="419"/>
      <c r="F231" s="419"/>
      <c r="G231" s="419"/>
      <c r="H231" s="419"/>
      <c r="I231" s="950"/>
      <c r="J231" s="419"/>
      <c r="K231" s="419"/>
      <c r="L231" s="419"/>
    </row>
    <row r="232" spans="1:12">
      <c r="A232" s="419"/>
      <c r="B232" s="419"/>
      <c r="C232" s="419"/>
      <c r="D232" s="419"/>
      <c r="E232" s="419"/>
      <c r="F232" s="419"/>
      <c r="G232" s="419"/>
      <c r="H232" s="419"/>
      <c r="I232" s="950"/>
      <c r="J232" s="419"/>
      <c r="K232" s="419"/>
      <c r="L232" s="419"/>
    </row>
    <row r="233" spans="1:12">
      <c r="A233" s="419"/>
      <c r="B233" s="419"/>
      <c r="C233" s="419"/>
      <c r="D233" s="419"/>
      <c r="E233" s="419"/>
      <c r="F233" s="419"/>
      <c r="G233" s="419"/>
      <c r="H233" s="419"/>
      <c r="I233" s="950"/>
      <c r="J233" s="419"/>
      <c r="K233" s="419"/>
      <c r="L233" s="419"/>
    </row>
    <row r="234" spans="1:12">
      <c r="A234" s="419"/>
      <c r="B234" s="419"/>
      <c r="C234" s="419"/>
      <c r="D234" s="419"/>
      <c r="E234" s="419"/>
      <c r="F234" s="419"/>
      <c r="G234" s="419"/>
      <c r="H234" s="419"/>
      <c r="I234" s="950"/>
      <c r="J234" s="419"/>
      <c r="K234" s="419"/>
      <c r="L234" s="419"/>
    </row>
    <row r="235" spans="1:12">
      <c r="A235" s="419"/>
      <c r="B235" s="419"/>
      <c r="C235" s="419"/>
      <c r="D235" s="419"/>
      <c r="E235" s="419"/>
      <c r="F235" s="419"/>
      <c r="G235" s="419"/>
      <c r="H235" s="419"/>
      <c r="I235" s="950"/>
      <c r="J235" s="419"/>
      <c r="K235" s="419"/>
      <c r="L235" s="419"/>
    </row>
    <row r="236" spans="1:12">
      <c r="A236" s="419"/>
      <c r="B236" s="419"/>
      <c r="C236" s="419"/>
      <c r="D236" s="419"/>
      <c r="E236" s="419"/>
      <c r="F236" s="419"/>
      <c r="G236" s="419"/>
      <c r="H236" s="419"/>
      <c r="I236" s="950"/>
      <c r="J236" s="419"/>
      <c r="K236" s="419"/>
      <c r="L236" s="419"/>
    </row>
    <row r="237" spans="1:12">
      <c r="A237" s="419"/>
      <c r="B237" s="419"/>
      <c r="C237" s="419"/>
      <c r="D237" s="419"/>
      <c r="E237" s="419"/>
      <c r="F237" s="419"/>
      <c r="G237" s="419"/>
      <c r="H237" s="419"/>
      <c r="I237" s="950"/>
      <c r="J237" s="419"/>
      <c r="K237" s="419"/>
      <c r="L237" s="419"/>
    </row>
    <row r="238" spans="1:12">
      <c r="A238" s="419"/>
      <c r="B238" s="419"/>
      <c r="C238" s="419"/>
      <c r="D238" s="419"/>
      <c r="E238" s="419"/>
      <c r="F238" s="419"/>
      <c r="G238" s="419"/>
      <c r="H238" s="419"/>
      <c r="I238" s="950"/>
      <c r="J238" s="419"/>
      <c r="K238" s="419"/>
      <c r="L238" s="419"/>
    </row>
    <row r="239" spans="1:12">
      <c r="A239" s="419"/>
      <c r="B239" s="419"/>
      <c r="C239" s="419"/>
      <c r="D239" s="419"/>
      <c r="E239" s="419"/>
      <c r="F239" s="419"/>
      <c r="G239" s="419"/>
      <c r="H239" s="419"/>
      <c r="I239" s="950"/>
      <c r="J239" s="419"/>
      <c r="K239" s="419"/>
      <c r="L239" s="419"/>
    </row>
    <row r="240" spans="1:12">
      <c r="A240" s="419"/>
      <c r="B240" s="419"/>
      <c r="C240" s="419"/>
      <c r="D240" s="419"/>
      <c r="E240" s="419"/>
      <c r="F240" s="419"/>
      <c r="G240" s="419"/>
      <c r="H240" s="419"/>
      <c r="I240" s="950"/>
      <c r="J240" s="419"/>
      <c r="K240" s="419"/>
      <c r="L240" s="419"/>
    </row>
    <row r="241" spans="1:12">
      <c r="A241" s="419"/>
      <c r="B241" s="419"/>
      <c r="C241" s="419"/>
      <c r="D241" s="419"/>
      <c r="E241" s="419"/>
      <c r="F241" s="419"/>
      <c r="G241" s="419"/>
      <c r="H241" s="419"/>
      <c r="I241" s="950"/>
      <c r="J241" s="419"/>
      <c r="K241" s="419"/>
      <c r="L241" s="419"/>
    </row>
    <row r="242" spans="1:12">
      <c r="A242" s="419"/>
      <c r="B242" s="419"/>
      <c r="C242" s="419"/>
      <c r="D242" s="419"/>
      <c r="E242" s="419"/>
      <c r="F242" s="419"/>
      <c r="G242" s="419"/>
      <c r="H242" s="419"/>
      <c r="I242" s="950"/>
      <c r="J242" s="419"/>
      <c r="K242" s="419"/>
      <c r="L242" s="419"/>
    </row>
    <row r="243" spans="1:12">
      <c r="A243" s="419"/>
      <c r="B243" s="419"/>
      <c r="C243" s="419"/>
      <c r="D243" s="419"/>
      <c r="E243" s="419"/>
      <c r="F243" s="419"/>
      <c r="G243" s="419"/>
      <c r="H243" s="419"/>
      <c r="I243" s="950"/>
      <c r="J243" s="419"/>
      <c r="K243" s="419"/>
      <c r="L243" s="419"/>
    </row>
  </sheetData>
  <phoneticPr fontId="4" type="noConversion"/>
  <pageMargins left="0.16" right="0" top="0.31" bottom="0" header="0" footer="0"/>
  <pageSetup scale="57" orientation="landscape" blackAndWhite="1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>
    <tabColor rgb="FF00B050"/>
    <pageSetUpPr fitToPage="1"/>
  </sheetPr>
  <dimension ref="A1:P50"/>
  <sheetViews>
    <sheetView zoomScale="90" zoomScaleNormal="90" workbookViewId="0">
      <pane xSplit="2" ySplit="9" topLeftCell="C10" activePane="bottomRight" state="frozen"/>
      <selection pane="topRight"/>
      <selection pane="bottomLeft"/>
      <selection pane="bottomRight"/>
    </sheetView>
  </sheetViews>
  <sheetFormatPr defaultColWidth="8" defaultRowHeight="13.2"/>
  <cols>
    <col min="1" max="1" width="8" style="2735" customWidth="1"/>
    <col min="2" max="2" width="13.109375" style="2735" customWidth="1"/>
    <col min="3" max="3" width="17.5546875" style="2735" customWidth="1"/>
    <col min="4" max="4" width="17.33203125" style="2735" customWidth="1"/>
    <col min="5" max="5" width="16.88671875" style="2735" customWidth="1"/>
    <col min="6" max="7" width="16" style="2735" customWidth="1"/>
    <col min="8" max="8" width="1.109375" style="2735" customWidth="1"/>
    <col min="9" max="9" width="16.109375" style="2735" customWidth="1"/>
    <col min="10" max="10" width="18.33203125" style="2735" customWidth="1"/>
    <col min="11" max="13" width="15.5546875" style="2735" customWidth="1"/>
    <col min="14" max="14" width="17.88671875" style="2735" customWidth="1"/>
    <col min="15" max="16384" width="8" style="2735"/>
  </cols>
  <sheetData>
    <row r="1" spans="1:16">
      <c r="A1" s="2736" t="s">
        <v>1790</v>
      </c>
      <c r="B1" s="2736"/>
      <c r="C1" s="2736"/>
      <c r="D1" s="2736"/>
      <c r="E1" s="2736"/>
      <c r="F1" s="2736"/>
      <c r="G1" s="2736"/>
      <c r="H1" s="2736"/>
      <c r="I1" s="2736"/>
      <c r="J1" s="2736"/>
      <c r="K1" s="2736"/>
      <c r="L1" s="2736"/>
      <c r="M1" s="2736"/>
      <c r="N1" s="2736"/>
      <c r="O1" s="2736"/>
      <c r="P1" s="2736"/>
    </row>
    <row r="2" spans="1:16">
      <c r="A2" s="2736" t="s">
        <v>2644</v>
      </c>
      <c r="B2" s="2736"/>
      <c r="C2" s="2736"/>
      <c r="D2" s="2736"/>
      <c r="E2" s="2736"/>
      <c r="F2" s="2736"/>
      <c r="G2" s="2736"/>
      <c r="H2" s="2736"/>
      <c r="I2" s="2736"/>
      <c r="J2" s="2736"/>
      <c r="K2" s="2736"/>
      <c r="L2" s="2736"/>
      <c r="M2" s="2736"/>
      <c r="N2" s="2736"/>
      <c r="O2" s="2736"/>
      <c r="P2" s="2736"/>
    </row>
    <row r="3" spans="1:16">
      <c r="A3" s="2736"/>
      <c r="B3" s="2736"/>
      <c r="C3" s="2736"/>
      <c r="D3" s="2736"/>
      <c r="E3" s="2736"/>
      <c r="F3" s="2736"/>
      <c r="G3" s="2736"/>
      <c r="H3" s="2736"/>
      <c r="I3" s="2736"/>
      <c r="J3" s="2736"/>
      <c r="K3" s="2736"/>
      <c r="L3" s="2736"/>
      <c r="M3" s="2736"/>
      <c r="N3" s="2736"/>
      <c r="O3" s="2736"/>
      <c r="P3" s="2736"/>
    </row>
    <row r="4" spans="1:16">
      <c r="A4" s="2736"/>
      <c r="B4" s="2736"/>
      <c r="C4" s="2736"/>
      <c r="D4" s="2736"/>
      <c r="E4" s="2736"/>
      <c r="F4" s="2736"/>
      <c r="G4" s="2736"/>
      <c r="H4" s="2743"/>
      <c r="I4" s="2736"/>
      <c r="J4" s="2736"/>
      <c r="K4" s="2736"/>
      <c r="L4" s="2736"/>
      <c r="M4" s="2736"/>
      <c r="N4" s="2736"/>
      <c r="O4" s="2736"/>
      <c r="P4" s="2736"/>
    </row>
    <row r="5" spans="1:16">
      <c r="A5" s="2736"/>
      <c r="B5" s="2736"/>
      <c r="C5" s="2736"/>
      <c r="D5" s="2736"/>
      <c r="E5" s="2736"/>
      <c r="F5" s="2736"/>
      <c r="G5" s="2736"/>
      <c r="H5" s="2743"/>
      <c r="I5" s="2736"/>
      <c r="J5" s="2736"/>
      <c r="K5" s="2736"/>
      <c r="L5" s="2736"/>
      <c r="M5" s="2736"/>
      <c r="N5" s="2736"/>
      <c r="O5" s="2736"/>
      <c r="P5" s="2736"/>
    </row>
    <row r="6" spans="1:16">
      <c r="A6" s="2741" t="s">
        <v>2646</v>
      </c>
      <c r="B6" s="2736"/>
      <c r="D6" s="2736"/>
      <c r="E6" s="2736"/>
      <c r="F6" s="2736"/>
      <c r="G6" s="2736"/>
      <c r="H6" s="2743"/>
      <c r="I6" s="2736"/>
      <c r="J6" s="2736"/>
      <c r="K6" s="2736"/>
      <c r="L6" s="2736"/>
      <c r="M6" s="2736"/>
      <c r="N6" s="2736"/>
      <c r="O6" s="2736"/>
      <c r="P6" s="2736"/>
    </row>
    <row r="7" spans="1:16">
      <c r="A7" s="2741"/>
      <c r="B7" s="2736"/>
      <c r="C7" s="2747" t="s">
        <v>1424</v>
      </c>
      <c r="D7" s="2748"/>
      <c r="E7" s="2748"/>
      <c r="F7" s="2748"/>
      <c r="G7" s="2749"/>
      <c r="H7" s="2743"/>
      <c r="I7" s="2750" t="s">
        <v>105</v>
      </c>
      <c r="J7" s="2745"/>
      <c r="K7" s="2745"/>
      <c r="L7" s="2745"/>
      <c r="M7" s="2746"/>
      <c r="N7" s="2736"/>
      <c r="O7" s="2736"/>
      <c r="P7" s="2736"/>
    </row>
    <row r="8" spans="1:16">
      <c r="A8" s="2736"/>
      <c r="B8" s="2736"/>
      <c r="C8" s="2744"/>
      <c r="D8" s="2744"/>
      <c r="E8" s="2744"/>
      <c r="F8" s="2744"/>
      <c r="G8" s="2744" t="s">
        <v>2153</v>
      </c>
      <c r="H8" s="2743"/>
      <c r="I8" s="2744"/>
      <c r="J8" s="2744"/>
      <c r="K8" s="2744"/>
      <c r="L8" s="2744" t="s">
        <v>1559</v>
      </c>
      <c r="M8" s="2744" t="s">
        <v>2153</v>
      </c>
      <c r="N8" s="2744" t="s">
        <v>2153</v>
      </c>
      <c r="O8" s="2736"/>
      <c r="P8" s="2736"/>
    </row>
    <row r="9" spans="1:16">
      <c r="A9" s="2736"/>
      <c r="B9" s="2736"/>
      <c r="C9" s="2743" t="s">
        <v>1044</v>
      </c>
      <c r="D9" s="2743" t="s">
        <v>1045</v>
      </c>
      <c r="E9" s="2743" t="s">
        <v>1046</v>
      </c>
      <c r="F9" s="2743" t="s">
        <v>1559</v>
      </c>
      <c r="G9" s="2743" t="s">
        <v>1424</v>
      </c>
      <c r="H9" s="2743"/>
      <c r="I9" s="2743" t="s">
        <v>1045</v>
      </c>
      <c r="J9" s="2743" t="s">
        <v>1046</v>
      </c>
      <c r="K9" s="2743" t="s">
        <v>1559</v>
      </c>
      <c r="L9" s="2743" t="s">
        <v>2647</v>
      </c>
      <c r="M9" s="2743" t="s">
        <v>105</v>
      </c>
      <c r="N9" s="2743" t="s">
        <v>396</v>
      </c>
      <c r="O9" s="2736"/>
      <c r="P9" s="2736"/>
    </row>
    <row r="10" spans="1:16">
      <c r="A10" s="2736"/>
      <c r="B10" s="2736"/>
      <c r="C10" s="2742"/>
      <c r="D10" s="2738"/>
      <c r="E10" s="2738"/>
      <c r="F10" s="2738"/>
      <c r="G10" s="2738"/>
      <c r="H10" s="2738"/>
      <c r="I10" s="2738"/>
      <c r="J10" s="2738"/>
      <c r="K10" s="2738"/>
      <c r="L10" s="2738"/>
      <c r="M10" s="2738"/>
      <c r="N10" s="2738"/>
      <c r="O10" s="2736"/>
      <c r="P10" s="2736"/>
    </row>
    <row r="11" spans="1:16">
      <c r="A11" s="2739">
        <v>2017</v>
      </c>
      <c r="B11" s="2736" t="s">
        <v>890</v>
      </c>
      <c r="C11" s="2737">
        <f>'Base Period Cust'!$C29</f>
        <v>867409</v>
      </c>
      <c r="D11" s="2737">
        <f>'Base Period Cust'!$C30</f>
        <v>419844</v>
      </c>
      <c r="E11" s="2737">
        <f>'Base Period Cust'!$C31</f>
        <v>36047</v>
      </c>
      <c r="F11" s="2737">
        <f>'Base Period Cust'!$C32</f>
        <v>46090</v>
      </c>
      <c r="G11" s="2737">
        <f>SUM(C11:F11)</f>
        <v>1369390</v>
      </c>
      <c r="H11" s="2737"/>
      <c r="I11" s="2737">
        <f>'Base Period Cust'!$C35</f>
        <v>77303</v>
      </c>
      <c r="J11" s="2737">
        <f>'Base Period Cust'!$C36</f>
        <v>164484</v>
      </c>
      <c r="K11" s="2737">
        <f>'Base Period Cust'!$C37</f>
        <v>30929</v>
      </c>
      <c r="L11" s="2737">
        <f>'Base Period Cust'!$C38</f>
        <v>135421</v>
      </c>
      <c r="M11" s="2737">
        <f>SUM(I11:L11)</f>
        <v>408137</v>
      </c>
      <c r="N11" s="2737">
        <f>M11+G11</f>
        <v>1777527</v>
      </c>
      <c r="O11" s="2737" t="s">
        <v>353</v>
      </c>
      <c r="P11" s="2736"/>
    </row>
    <row r="12" spans="1:16">
      <c r="A12" s="2738">
        <f>A11+1</f>
        <v>2018</v>
      </c>
      <c r="B12" s="2736" t="s">
        <v>1550</v>
      </c>
      <c r="C12" s="2737">
        <f>'Base Period Cust'!$D29</f>
        <v>1507073</v>
      </c>
      <c r="D12" s="2737">
        <f>'Base Period Cust'!$D30</f>
        <v>732021</v>
      </c>
      <c r="E12" s="2737">
        <f>'Base Period Cust'!$D31</f>
        <v>61104</v>
      </c>
      <c r="F12" s="2737">
        <f>'Base Period Cust'!$D32</f>
        <v>85006</v>
      </c>
      <c r="G12" s="2737">
        <f t="shared" ref="G12:G22" si="0">SUM(C12:F12)</f>
        <v>2385204</v>
      </c>
      <c r="H12" s="2737"/>
      <c r="I12" s="2737">
        <f>'Base Period Cust'!$D35</f>
        <v>88986</v>
      </c>
      <c r="J12" s="2737">
        <f>'Base Period Cust'!$D36</f>
        <v>188705</v>
      </c>
      <c r="K12" s="2737">
        <f>'Base Period Cust'!$D37</f>
        <v>35634</v>
      </c>
      <c r="L12" s="2737">
        <f>'Base Period Cust'!$D38</f>
        <v>151803</v>
      </c>
      <c r="M12" s="2737">
        <f t="shared" ref="M12:M22" si="1">SUM(I12:L12)</f>
        <v>465128</v>
      </c>
      <c r="N12" s="2737">
        <f t="shared" ref="N12:N22" si="2">M12+G12</f>
        <v>2850332</v>
      </c>
      <c r="O12" s="2737" t="s">
        <v>353</v>
      </c>
      <c r="P12" s="2736"/>
    </row>
    <row r="13" spans="1:16">
      <c r="A13" s="2736"/>
      <c r="B13" s="2736" t="s">
        <v>891</v>
      </c>
      <c r="C13" s="2737">
        <f>'Base Period Cust'!$E29</f>
        <v>1152366</v>
      </c>
      <c r="D13" s="2737">
        <f>'Base Period Cust'!$E30</f>
        <v>551129</v>
      </c>
      <c r="E13" s="2737">
        <f>'Base Period Cust'!$E31</f>
        <v>45408</v>
      </c>
      <c r="F13" s="2737">
        <f>'Base Period Cust'!$E32</f>
        <v>64278</v>
      </c>
      <c r="G13" s="2737">
        <f t="shared" si="0"/>
        <v>1813181</v>
      </c>
      <c r="H13" s="2737"/>
      <c r="I13" s="2737">
        <f>'Base Period Cust'!$E35</f>
        <v>59605</v>
      </c>
      <c r="J13" s="2737">
        <f>'Base Period Cust'!$E36</f>
        <v>153052</v>
      </c>
      <c r="K13" s="2737">
        <f>'Base Period Cust'!$E37</f>
        <v>22926</v>
      </c>
      <c r="L13" s="2737">
        <f>'Base Period Cust'!$E38</f>
        <v>125074</v>
      </c>
      <c r="M13" s="2737">
        <f t="shared" si="1"/>
        <v>360657</v>
      </c>
      <c r="N13" s="2737">
        <f t="shared" si="2"/>
        <v>2173838</v>
      </c>
      <c r="O13" s="2737" t="s">
        <v>353</v>
      </c>
      <c r="P13" s="2736"/>
    </row>
    <row r="14" spans="1:16">
      <c r="A14" s="2736"/>
      <c r="B14" s="2736" t="s">
        <v>892</v>
      </c>
      <c r="C14" s="2737">
        <f>'Base Period Cust'!$F29</f>
        <v>795434</v>
      </c>
      <c r="D14" s="2737">
        <f>'Base Period Cust'!$F30</f>
        <v>404879</v>
      </c>
      <c r="E14" s="2737">
        <f>'Base Period Cust'!$F31</f>
        <v>31400</v>
      </c>
      <c r="F14" s="2737">
        <f>'Base Period Cust'!$F32</f>
        <v>46287</v>
      </c>
      <c r="G14" s="2737">
        <f t="shared" si="0"/>
        <v>1278000</v>
      </c>
      <c r="H14" s="2737"/>
      <c r="I14" s="2737">
        <f>'Base Period Cust'!$F35</f>
        <v>77216</v>
      </c>
      <c r="J14" s="2737">
        <f>'Base Period Cust'!$F36</f>
        <v>167567</v>
      </c>
      <c r="K14" s="2737">
        <f>'Base Period Cust'!$F37</f>
        <v>26479</v>
      </c>
      <c r="L14" s="2737">
        <f>'Base Period Cust'!$F38</f>
        <v>139167</v>
      </c>
      <c r="M14" s="2737">
        <f t="shared" si="1"/>
        <v>410429</v>
      </c>
      <c r="N14" s="2737">
        <f t="shared" si="2"/>
        <v>1688429</v>
      </c>
      <c r="O14" s="2737" t="s">
        <v>353</v>
      </c>
      <c r="P14" s="2736"/>
    </row>
    <row r="15" spans="1:16">
      <c r="A15" s="2736"/>
      <c r="B15" s="2736" t="s">
        <v>893</v>
      </c>
      <c r="C15" s="2737">
        <f>'Base Period Cust'!$G29</f>
        <v>761482</v>
      </c>
      <c r="D15" s="2737">
        <f>'Base Period Cust'!$G30</f>
        <v>394971</v>
      </c>
      <c r="E15" s="2737">
        <f>'Base Period Cust'!$G31</f>
        <v>28714</v>
      </c>
      <c r="F15" s="2737">
        <f>'Base Period Cust'!$G32</f>
        <v>44722</v>
      </c>
      <c r="G15" s="2737">
        <f t="shared" si="0"/>
        <v>1229889</v>
      </c>
      <c r="H15" s="2737"/>
      <c r="I15" s="2737">
        <f>'Base Period Cust'!$G35</f>
        <v>50224</v>
      </c>
      <c r="J15" s="2737">
        <f>'Base Period Cust'!$G36</f>
        <v>136951</v>
      </c>
      <c r="K15" s="2737">
        <f>'Base Period Cust'!$G37</f>
        <v>18091</v>
      </c>
      <c r="L15" s="2737">
        <f>'Base Period Cust'!$G38</f>
        <v>134804</v>
      </c>
      <c r="M15" s="2737">
        <f t="shared" si="1"/>
        <v>340070</v>
      </c>
      <c r="N15" s="2737">
        <f t="shared" si="2"/>
        <v>1569959</v>
      </c>
      <c r="O15" s="2737" t="s">
        <v>353</v>
      </c>
      <c r="P15" s="2736"/>
    </row>
    <row r="16" spans="1:16">
      <c r="A16" s="2736"/>
      <c r="B16" s="2736" t="s">
        <v>894</v>
      </c>
      <c r="C16" s="2737">
        <f>'Base Period Cust'!$H29</f>
        <v>288661</v>
      </c>
      <c r="D16" s="2737">
        <f>'Base Period Cust'!$H30</f>
        <v>162668</v>
      </c>
      <c r="E16" s="2737">
        <f>'Base Period Cust'!$H31</f>
        <v>9922</v>
      </c>
      <c r="F16" s="2737">
        <f>'Base Period Cust'!$H32</f>
        <v>16610</v>
      </c>
      <c r="G16" s="2737">
        <f t="shared" si="0"/>
        <v>477861</v>
      </c>
      <c r="H16" s="2737"/>
      <c r="I16" s="2737">
        <f>'Base Period Cust'!$H35</f>
        <v>24720</v>
      </c>
      <c r="J16" s="2737">
        <f>'Base Period Cust'!$H36</f>
        <v>105295</v>
      </c>
      <c r="K16" s="2737">
        <f>'Base Period Cust'!$H37</f>
        <v>4123</v>
      </c>
      <c r="L16" s="2737">
        <f>'Base Period Cust'!$H38</f>
        <v>119528</v>
      </c>
      <c r="M16" s="2737">
        <f t="shared" si="1"/>
        <v>253666</v>
      </c>
      <c r="N16" s="2737">
        <f t="shared" si="2"/>
        <v>731527</v>
      </c>
      <c r="O16" s="2737" t="s">
        <v>353</v>
      </c>
      <c r="P16" s="2736"/>
    </row>
    <row r="17" spans="1:16">
      <c r="A17" s="2736"/>
      <c r="B17" s="2736" t="s">
        <v>895</v>
      </c>
      <c r="C17" s="2737">
        <f>'Base Period Cust'!$I29</f>
        <v>144063</v>
      </c>
      <c r="D17" s="2737">
        <f>'Base Period Cust'!$I30</f>
        <v>97320</v>
      </c>
      <c r="E17" s="2737">
        <f>'Base Period Cust'!$I31</f>
        <v>5821</v>
      </c>
      <c r="F17" s="2737">
        <f>'Base Period Cust'!$I32</f>
        <v>9952</v>
      </c>
      <c r="G17" s="2737">
        <f t="shared" si="0"/>
        <v>257156</v>
      </c>
      <c r="H17" s="2737"/>
      <c r="I17" s="2737">
        <f>'Base Period Cust'!$I35</f>
        <v>29070</v>
      </c>
      <c r="J17" s="2737">
        <f>'Base Period Cust'!$I36</f>
        <v>110591</v>
      </c>
      <c r="K17" s="2737">
        <f>'Base Period Cust'!$I37</f>
        <v>2623</v>
      </c>
      <c r="L17" s="2737">
        <f>'Base Period Cust'!$I38</f>
        <v>114949</v>
      </c>
      <c r="M17" s="2737">
        <f t="shared" si="1"/>
        <v>257233</v>
      </c>
      <c r="N17" s="2737">
        <f t="shared" si="2"/>
        <v>514389</v>
      </c>
      <c r="O17" s="2737" t="s">
        <v>354</v>
      </c>
      <c r="P17" s="2736"/>
    </row>
    <row r="18" spans="1:16">
      <c r="A18" s="2736"/>
      <c r="B18" s="2736" t="s">
        <v>896</v>
      </c>
      <c r="C18" s="2737">
        <f>'Base Period Cust'!$J29</f>
        <v>78181</v>
      </c>
      <c r="D18" s="2737">
        <f>'Base Period Cust'!$J30</f>
        <v>70722</v>
      </c>
      <c r="E18" s="2737">
        <f>'Base Period Cust'!$J31</f>
        <v>2323</v>
      </c>
      <c r="F18" s="2737">
        <f>'Base Period Cust'!$J32</f>
        <v>4469</v>
      </c>
      <c r="G18" s="2737">
        <f t="shared" si="0"/>
        <v>155695</v>
      </c>
      <c r="H18" s="2737"/>
      <c r="I18" s="2737">
        <f>'Base Period Cust'!$J35</f>
        <v>22333</v>
      </c>
      <c r="J18" s="2737">
        <f>'Base Period Cust'!$J36</f>
        <v>113840</v>
      </c>
      <c r="K18" s="2737">
        <f>'Base Period Cust'!$J37</f>
        <v>1389</v>
      </c>
      <c r="L18" s="2737">
        <f>'Base Period Cust'!$J38</f>
        <v>114194</v>
      </c>
      <c r="M18" s="2737">
        <f t="shared" si="1"/>
        <v>251756</v>
      </c>
      <c r="N18" s="2737">
        <f t="shared" si="2"/>
        <v>407451</v>
      </c>
      <c r="O18" s="2737" t="s">
        <v>354</v>
      </c>
      <c r="P18" s="2736"/>
    </row>
    <row r="19" spans="1:16">
      <c r="A19" s="2736"/>
      <c r="B19" s="2736" t="s">
        <v>897</v>
      </c>
      <c r="C19" s="2737">
        <f>'Base Period Cust'!$K29</f>
        <v>54641</v>
      </c>
      <c r="D19" s="2737">
        <f>'Base Period Cust'!$K30</f>
        <v>85155</v>
      </c>
      <c r="E19" s="2737">
        <f>'Base Period Cust'!$K31</f>
        <v>3279</v>
      </c>
      <c r="F19" s="2737">
        <f>'Base Period Cust'!$K32</f>
        <v>2972</v>
      </c>
      <c r="G19" s="2737">
        <f t="shared" si="0"/>
        <v>146047</v>
      </c>
      <c r="H19" s="2737"/>
      <c r="I19" s="2737">
        <f>'Base Period Cust'!$K35</f>
        <v>31496</v>
      </c>
      <c r="J19" s="2737">
        <f>'Base Period Cust'!$K36</f>
        <v>106036</v>
      </c>
      <c r="K19" s="2737">
        <f>'Base Period Cust'!$K37</f>
        <v>1303</v>
      </c>
      <c r="L19" s="2737">
        <f>'Base Period Cust'!$K38</f>
        <v>121749</v>
      </c>
      <c r="M19" s="2737">
        <f t="shared" si="1"/>
        <v>260584</v>
      </c>
      <c r="N19" s="2737">
        <f t="shared" si="2"/>
        <v>406631</v>
      </c>
      <c r="O19" s="2737" t="s">
        <v>354</v>
      </c>
      <c r="P19" s="2736"/>
    </row>
    <row r="20" spans="1:16">
      <c r="A20" s="2736"/>
      <c r="B20" s="2736" t="s">
        <v>898</v>
      </c>
      <c r="C20" s="2737">
        <f>'Base Period Cust'!$L29</f>
        <v>53941</v>
      </c>
      <c r="D20" s="2737">
        <f>'Base Period Cust'!$L30</f>
        <v>57110</v>
      </c>
      <c r="E20" s="2737">
        <f>'Base Period Cust'!$L31</f>
        <v>3400</v>
      </c>
      <c r="F20" s="2737">
        <f>'Base Period Cust'!$L32</f>
        <v>4222</v>
      </c>
      <c r="G20" s="2737">
        <f t="shared" si="0"/>
        <v>118673</v>
      </c>
      <c r="H20" s="2737"/>
      <c r="I20" s="2737">
        <f>'Base Period Cust'!$L35</f>
        <v>21123</v>
      </c>
      <c r="J20" s="2737">
        <f>'Base Period Cust'!$L36</f>
        <v>109937</v>
      </c>
      <c r="K20" s="2737">
        <f>'Base Period Cust'!$L37</f>
        <v>1694</v>
      </c>
      <c r="L20" s="2737">
        <f>'Base Period Cust'!$L38</f>
        <v>116332</v>
      </c>
      <c r="M20" s="2737">
        <f t="shared" si="1"/>
        <v>249086</v>
      </c>
      <c r="N20" s="2737">
        <f t="shared" si="2"/>
        <v>367759</v>
      </c>
      <c r="O20" s="2737" t="s">
        <v>354</v>
      </c>
      <c r="P20" s="2736"/>
    </row>
    <row r="21" spans="1:16">
      <c r="A21" s="2736"/>
      <c r="B21" s="2736" t="s">
        <v>1014</v>
      </c>
      <c r="C21" s="2737">
        <f>'Base Period Cust'!$M29</f>
        <v>115279</v>
      </c>
      <c r="D21" s="2737">
        <f>'Base Period Cust'!$M30</f>
        <v>105012</v>
      </c>
      <c r="E21" s="2737">
        <f>'Base Period Cust'!$M31</f>
        <v>3683</v>
      </c>
      <c r="F21" s="2737">
        <f>'Base Period Cust'!$M32</f>
        <v>10338</v>
      </c>
      <c r="G21" s="2737">
        <f t="shared" si="0"/>
        <v>234312</v>
      </c>
      <c r="H21" s="2737"/>
      <c r="I21" s="2737">
        <f>'Base Period Cust'!$M35</f>
        <v>45005</v>
      </c>
      <c r="J21" s="2737">
        <f>'Base Period Cust'!$M36</f>
        <v>119081</v>
      </c>
      <c r="K21" s="2737">
        <f>'Base Period Cust'!$M37</f>
        <v>8345</v>
      </c>
      <c r="L21" s="2737">
        <f>'Base Period Cust'!$M38</f>
        <v>133957</v>
      </c>
      <c r="M21" s="2737">
        <f t="shared" si="1"/>
        <v>306388</v>
      </c>
      <c r="N21" s="2737">
        <f t="shared" si="2"/>
        <v>540700</v>
      </c>
      <c r="O21" s="2737" t="s">
        <v>354</v>
      </c>
      <c r="P21" s="2736"/>
    </row>
    <row r="22" spans="1:16">
      <c r="A22" s="2736"/>
      <c r="B22" s="2736" t="s">
        <v>889</v>
      </c>
      <c r="C22" s="2737">
        <f>'Base Period Cust'!$N29</f>
        <v>324102</v>
      </c>
      <c r="D22" s="2737">
        <f>'Base Period Cust'!$N30</f>
        <v>182441</v>
      </c>
      <c r="E22" s="2737">
        <f>'Base Period Cust'!$N31</f>
        <v>7448</v>
      </c>
      <c r="F22" s="2737">
        <f>'Base Period Cust'!$N32</f>
        <v>17993</v>
      </c>
      <c r="G22" s="2737">
        <f t="shared" si="0"/>
        <v>531984</v>
      </c>
      <c r="H22" s="2737"/>
      <c r="I22" s="2737">
        <f>'Base Period Cust'!$N35</f>
        <v>60814</v>
      </c>
      <c r="J22" s="2737">
        <f>'Base Period Cust'!$N36</f>
        <v>116686</v>
      </c>
      <c r="K22" s="2737">
        <f>'Base Period Cust'!$N37</f>
        <v>17663</v>
      </c>
      <c r="L22" s="2737">
        <f>'Base Period Cust'!$N38</f>
        <v>136421</v>
      </c>
      <c r="M22" s="2737">
        <f t="shared" si="1"/>
        <v>331584</v>
      </c>
      <c r="N22" s="2737">
        <f t="shared" si="2"/>
        <v>863568</v>
      </c>
      <c r="O22" s="2737" t="s">
        <v>354</v>
      </c>
      <c r="P22" s="2736"/>
    </row>
    <row r="23" spans="1:16">
      <c r="A23" s="2736"/>
      <c r="B23" s="2736"/>
      <c r="C23" s="2737"/>
      <c r="D23" s="2737"/>
      <c r="E23" s="2737"/>
      <c r="F23" s="2737"/>
      <c r="G23" s="2737"/>
      <c r="H23" s="2737"/>
      <c r="I23" s="2737"/>
      <c r="J23" s="2737"/>
      <c r="K23" s="2737"/>
      <c r="L23" s="2737"/>
      <c r="M23" s="2737"/>
      <c r="N23" s="2737"/>
      <c r="O23" s="2737"/>
      <c r="P23" s="2736"/>
    </row>
    <row r="24" spans="1:16">
      <c r="A24" s="2736"/>
      <c r="B24" s="2736" t="s">
        <v>2153</v>
      </c>
      <c r="C24" s="2737">
        <f>SUM(C11:C22)</f>
        <v>6142632</v>
      </c>
      <c r="D24" s="2737">
        <f>SUM(D11:D22)</f>
        <v>3263272</v>
      </c>
      <c r="E24" s="2737">
        <f>SUM(E11:E22)</f>
        <v>238549</v>
      </c>
      <c r="F24" s="2737">
        <f>SUM(F11:F22)</f>
        <v>352939</v>
      </c>
      <c r="G24" s="2737">
        <f>SUM(G11:G22)</f>
        <v>9997392</v>
      </c>
      <c r="H24" s="2737"/>
      <c r="I24" s="2737">
        <f t="shared" ref="I24:N24" si="3">SUM(I11:I22)</f>
        <v>587895</v>
      </c>
      <c r="J24" s="2737">
        <f t="shared" si="3"/>
        <v>1592225</v>
      </c>
      <c r="K24" s="2737">
        <f t="shared" si="3"/>
        <v>171199</v>
      </c>
      <c r="L24" s="2737">
        <f t="shared" si="3"/>
        <v>1543399</v>
      </c>
      <c r="M24" s="2737">
        <f t="shared" si="3"/>
        <v>3894718</v>
      </c>
      <c r="N24" s="2737">
        <f t="shared" si="3"/>
        <v>13892110</v>
      </c>
      <c r="O24" s="2737"/>
      <c r="P24" s="2736"/>
    </row>
    <row r="25" spans="1:16">
      <c r="A25" s="2736"/>
      <c r="B25" s="2736"/>
      <c r="C25" s="2737"/>
      <c r="D25" s="2737"/>
      <c r="E25" s="2737"/>
      <c r="F25" s="2737"/>
      <c r="G25" s="2737"/>
      <c r="H25" s="2737"/>
      <c r="I25" s="2737"/>
      <c r="J25" s="2737"/>
      <c r="K25" s="2737"/>
      <c r="L25" s="2737"/>
      <c r="M25" s="2737"/>
      <c r="N25" s="2737"/>
      <c r="O25" s="2737"/>
      <c r="P25" s="2736"/>
    </row>
    <row r="26" spans="1:16">
      <c r="A26" s="2741" t="s">
        <v>2645</v>
      </c>
      <c r="B26" s="2736"/>
      <c r="C26" s="2737"/>
      <c r="D26" s="2737"/>
      <c r="E26" s="2737"/>
      <c r="F26" s="2737"/>
      <c r="G26" s="2737"/>
      <c r="H26" s="2737"/>
      <c r="I26" s="2737"/>
      <c r="J26" s="2737"/>
      <c r="K26" s="2737"/>
      <c r="L26" s="2737"/>
      <c r="M26" s="2737"/>
      <c r="N26" s="2737"/>
      <c r="O26" s="2737"/>
      <c r="P26" s="2736"/>
    </row>
    <row r="27" spans="1:16">
      <c r="A27" s="2736"/>
      <c r="B27" s="2736"/>
      <c r="C27" s="2737"/>
      <c r="D27" s="2740"/>
      <c r="E27" s="2737"/>
      <c r="F27" s="2737"/>
      <c r="G27" s="2737"/>
      <c r="H27" s="2737"/>
      <c r="I27" s="2737"/>
      <c r="J27" s="2737"/>
      <c r="K27" s="2737"/>
      <c r="L27" s="2737"/>
      <c r="M27" s="2737"/>
      <c r="N27" s="2737"/>
      <c r="O27" s="2737"/>
      <c r="P27" s="2736"/>
    </row>
    <row r="28" spans="1:16">
      <c r="A28" s="2739">
        <v>2019</v>
      </c>
      <c r="B28" s="2736" t="s">
        <v>893</v>
      </c>
      <c r="C28" s="3544">
        <v>442540.46</v>
      </c>
      <c r="D28" s="3544">
        <v>224365.13639999999</v>
      </c>
      <c r="E28" s="3544">
        <v>16447.710999999999</v>
      </c>
      <c r="F28" s="3544">
        <v>29324.097999999998</v>
      </c>
      <c r="G28" s="2737">
        <f t="shared" ref="G28:G39" si="4">SUM(C28:F28)</f>
        <v>712677.40540000005</v>
      </c>
      <c r="H28" s="2737"/>
      <c r="I28" s="3545">
        <v>49250.883600000001</v>
      </c>
      <c r="J28" s="3545">
        <v>148029.399</v>
      </c>
      <c r="K28" s="3545">
        <v>19325.952000000001</v>
      </c>
      <c r="L28" s="3545">
        <v>113971.22</v>
      </c>
      <c r="M28" s="2737">
        <f t="shared" ref="M28:M39" si="5">SUM(I28:L28)</f>
        <v>330577.4546</v>
      </c>
      <c r="N28" s="2737">
        <f t="shared" ref="N28:N39" si="6">M28+G28</f>
        <v>1043254.8600000001</v>
      </c>
      <c r="O28" s="2737"/>
      <c r="P28" s="2736"/>
    </row>
    <row r="29" spans="1:16">
      <c r="A29" s="2738"/>
      <c r="B29" s="2736" t="s">
        <v>894</v>
      </c>
      <c r="C29" s="3544">
        <v>229112</v>
      </c>
      <c r="D29" s="3544">
        <v>98569.701999999903</v>
      </c>
      <c r="E29" s="3544">
        <v>6390.5725000000002</v>
      </c>
      <c r="F29" s="3544">
        <v>3946.4793</v>
      </c>
      <c r="G29" s="2737">
        <f t="shared" si="4"/>
        <v>338018.75379999995</v>
      </c>
      <c r="H29" s="2737"/>
      <c r="I29" s="3545">
        <v>29442.898000000001</v>
      </c>
      <c r="J29" s="3545">
        <v>121420.8775</v>
      </c>
      <c r="K29" s="3545">
        <v>772.77070000000003</v>
      </c>
      <c r="L29" s="3545">
        <v>119006.33</v>
      </c>
      <c r="M29" s="2737">
        <f t="shared" si="5"/>
        <v>270642.8762</v>
      </c>
      <c r="N29" s="2737">
        <f t="shared" si="6"/>
        <v>608661.62999999989</v>
      </c>
      <c r="O29" s="2737"/>
      <c r="P29" s="2736"/>
    </row>
    <row r="30" spans="1:16">
      <c r="A30" s="2738"/>
      <c r="B30" s="2736" t="s">
        <v>895</v>
      </c>
      <c r="C30" s="3544">
        <v>139356.31</v>
      </c>
      <c r="D30" s="3544">
        <v>96275.986799999999</v>
      </c>
      <c r="E30" s="3544">
        <v>5966.5860000000002</v>
      </c>
      <c r="F30" s="3544">
        <v>9780.2403999999988</v>
      </c>
      <c r="G30" s="2737">
        <f t="shared" si="4"/>
        <v>251379.12320000003</v>
      </c>
      <c r="H30" s="2737"/>
      <c r="I30" s="3545">
        <v>30402.943200000002</v>
      </c>
      <c r="J30" s="3545">
        <v>113365.13400000001</v>
      </c>
      <c r="K30" s="3545">
        <v>2732.3296</v>
      </c>
      <c r="L30" s="3545">
        <v>114944.78</v>
      </c>
      <c r="M30" s="2737">
        <f t="shared" si="5"/>
        <v>261445.1868</v>
      </c>
      <c r="N30" s="2737">
        <f t="shared" si="6"/>
        <v>512824.31000000006</v>
      </c>
      <c r="O30" s="2737"/>
      <c r="P30" s="2736"/>
    </row>
    <row r="31" spans="1:16">
      <c r="A31" s="2738"/>
      <c r="B31" s="2736" t="s">
        <v>896</v>
      </c>
      <c r="C31" s="3544">
        <v>81143.820000000007</v>
      </c>
      <c r="D31" s="3544">
        <v>71310.532500000001</v>
      </c>
      <c r="E31" s="3544">
        <v>2358.5133999999998</v>
      </c>
      <c r="F31" s="3544">
        <v>4192.4775</v>
      </c>
      <c r="G31" s="2737">
        <f t="shared" si="4"/>
        <v>159005.34340000001</v>
      </c>
      <c r="H31" s="2737"/>
      <c r="I31" s="3545">
        <v>23770.177500000002</v>
      </c>
      <c r="J31" s="3545">
        <v>115567.1566</v>
      </c>
      <c r="K31" s="3545">
        <v>1371.0525</v>
      </c>
      <c r="L31" s="3545">
        <v>114207.3</v>
      </c>
      <c r="M31" s="2737">
        <f t="shared" si="5"/>
        <v>254915.68660000002</v>
      </c>
      <c r="N31" s="2737">
        <f t="shared" si="6"/>
        <v>413921.03</v>
      </c>
      <c r="O31" s="2737"/>
      <c r="P31" s="2736"/>
    </row>
    <row r="32" spans="1:16">
      <c r="A32" s="2738"/>
      <c r="B32" s="2736" t="s">
        <v>897</v>
      </c>
      <c r="C32" s="3544">
        <v>54502.36</v>
      </c>
      <c r="D32" s="3544">
        <v>82207.605599999995</v>
      </c>
      <c r="E32" s="3544">
        <v>3317.0151000000001</v>
      </c>
      <c r="F32" s="3544">
        <v>2820.2527999999998</v>
      </c>
      <c r="G32" s="2737">
        <f t="shared" si="4"/>
        <v>142847.23349999997</v>
      </c>
      <c r="H32" s="2737"/>
      <c r="I32" s="3545">
        <v>33577.754399999998</v>
      </c>
      <c r="J32" s="3545">
        <v>107250.15489999999</v>
      </c>
      <c r="K32" s="3545">
        <v>1289.8271999999999</v>
      </c>
      <c r="L32" s="3545">
        <v>121766.209999999</v>
      </c>
      <c r="M32" s="2737">
        <f t="shared" si="5"/>
        <v>263883.94649999903</v>
      </c>
      <c r="N32" s="2737">
        <f t="shared" si="6"/>
        <v>406731.179999999</v>
      </c>
      <c r="O32" s="2737"/>
      <c r="P32" s="2736"/>
    </row>
    <row r="33" spans="1:16">
      <c r="A33" s="2738"/>
      <c r="B33" s="2736" t="s">
        <v>898</v>
      </c>
      <c r="C33" s="3544">
        <v>56728.42</v>
      </c>
      <c r="D33" s="3544">
        <v>57788.027999999998</v>
      </c>
      <c r="E33" s="3544">
        <v>3457.0353</v>
      </c>
      <c r="F33" s="3544">
        <v>4139.5784999999996</v>
      </c>
      <c r="G33" s="2737">
        <f t="shared" si="4"/>
        <v>122113.06180000001</v>
      </c>
      <c r="H33" s="2737"/>
      <c r="I33" s="3545">
        <v>22473.121999999999</v>
      </c>
      <c r="J33" s="3545">
        <v>111777.47470000001</v>
      </c>
      <c r="K33" s="3545">
        <v>1656.8715</v>
      </c>
      <c r="L33" s="3545">
        <v>116356.12</v>
      </c>
      <c r="M33" s="2737">
        <f t="shared" si="5"/>
        <v>252263.5882</v>
      </c>
      <c r="N33" s="2737">
        <f t="shared" si="6"/>
        <v>374376.65</v>
      </c>
      <c r="O33" s="2737"/>
      <c r="P33" s="2736"/>
    </row>
    <row r="34" spans="1:16">
      <c r="A34" s="2738"/>
      <c r="B34" s="2736" t="s">
        <v>1014</v>
      </c>
      <c r="C34" s="3544">
        <v>110187.44</v>
      </c>
      <c r="D34" s="3544">
        <v>102949.44899999999</v>
      </c>
      <c r="E34" s="3544">
        <v>3726.3119999999999</v>
      </c>
      <c r="F34" s="3544">
        <v>10070.226499999999</v>
      </c>
      <c r="G34" s="2737">
        <f t="shared" si="4"/>
        <v>226933.42749999999</v>
      </c>
      <c r="H34" s="2737"/>
      <c r="I34" s="3545">
        <v>46252.650999999998</v>
      </c>
      <c r="J34" s="3545">
        <v>120484.088</v>
      </c>
      <c r="K34" s="3545">
        <v>8117.9234999999999</v>
      </c>
      <c r="L34" s="3545">
        <v>134043.03999999899</v>
      </c>
      <c r="M34" s="2737">
        <f t="shared" si="5"/>
        <v>308897.70249999897</v>
      </c>
      <c r="N34" s="2737">
        <f t="shared" si="6"/>
        <v>535831.12999999896</v>
      </c>
      <c r="O34" s="2737"/>
      <c r="P34" s="2736"/>
    </row>
    <row r="35" spans="1:16">
      <c r="A35" s="2738"/>
      <c r="B35" s="2736" t="s">
        <v>889</v>
      </c>
      <c r="C35" s="3544">
        <v>339206.02</v>
      </c>
      <c r="D35" s="3544">
        <v>183553.28519999899</v>
      </c>
      <c r="E35" s="3544">
        <v>6748.8680000000004</v>
      </c>
      <c r="F35" s="3544">
        <v>18499.400000000001</v>
      </c>
      <c r="G35" s="2737">
        <f t="shared" si="4"/>
        <v>548007.57319999905</v>
      </c>
      <c r="H35" s="2737"/>
      <c r="I35" s="3545">
        <v>64491.694799999997</v>
      </c>
      <c r="J35" s="3545">
        <v>128228.492</v>
      </c>
      <c r="K35" s="3545">
        <v>18166.400000000001</v>
      </c>
      <c r="L35" s="3545">
        <v>136314.17000000001</v>
      </c>
      <c r="M35" s="2737">
        <f t="shared" si="5"/>
        <v>347200.75679999997</v>
      </c>
      <c r="N35" s="2737">
        <f t="shared" si="6"/>
        <v>895208.32999999903</v>
      </c>
      <c r="O35" s="2737"/>
      <c r="P35" s="2736"/>
    </row>
    <row r="36" spans="1:16">
      <c r="A36" s="2738"/>
      <c r="B36" s="2736" t="s">
        <v>890</v>
      </c>
      <c r="C36" s="3544">
        <v>891892.77</v>
      </c>
      <c r="D36" s="3544">
        <v>393753.23100000003</v>
      </c>
      <c r="E36" s="3544">
        <v>27941.973600000001</v>
      </c>
      <c r="F36" s="3544">
        <v>53482.462400000004</v>
      </c>
      <c r="G36" s="2737">
        <f t="shared" si="4"/>
        <v>1367070.4370000002</v>
      </c>
      <c r="H36" s="2737"/>
      <c r="I36" s="3545">
        <v>92361.869000000006</v>
      </c>
      <c r="J36" s="3545">
        <v>204907.8064</v>
      </c>
      <c r="K36" s="3545">
        <v>38258.337599999999</v>
      </c>
      <c r="L36" s="3545">
        <v>121483.34</v>
      </c>
      <c r="M36" s="2737">
        <f t="shared" si="5"/>
        <v>457011.353</v>
      </c>
      <c r="N36" s="2737">
        <f t="shared" si="6"/>
        <v>1824081.79</v>
      </c>
      <c r="O36" s="2737"/>
      <c r="P36" s="2736"/>
    </row>
    <row r="37" spans="1:16">
      <c r="A37" s="2738">
        <f>A28+1</f>
        <v>2020</v>
      </c>
      <c r="B37" s="2736" t="s">
        <v>1550</v>
      </c>
      <c r="C37" s="3544">
        <v>1291995.68</v>
      </c>
      <c r="D37" s="3544">
        <v>571503.525599999</v>
      </c>
      <c r="E37" s="3544">
        <v>41371.832000000002</v>
      </c>
      <c r="F37" s="3544">
        <v>76644.633400000006</v>
      </c>
      <c r="G37" s="2737">
        <f t="shared" si="4"/>
        <v>1981515.6709999989</v>
      </c>
      <c r="H37" s="2737"/>
      <c r="I37" s="3545">
        <v>108857.8144</v>
      </c>
      <c r="J37" s="3545">
        <v>217202.11799999999</v>
      </c>
      <c r="K37" s="3545">
        <v>37318.7166</v>
      </c>
      <c r="L37" s="3545">
        <v>138235.22</v>
      </c>
      <c r="M37" s="2737">
        <f t="shared" si="5"/>
        <v>501613.86899999995</v>
      </c>
      <c r="N37" s="2737">
        <f t="shared" si="6"/>
        <v>2483129.5399999991</v>
      </c>
      <c r="O37" s="2737"/>
      <c r="P37" s="2736"/>
    </row>
    <row r="38" spans="1:16">
      <c r="A38" s="2738"/>
      <c r="B38" s="2736" t="s">
        <v>891</v>
      </c>
      <c r="C38" s="3544">
        <v>1231049.99</v>
      </c>
      <c r="D38" s="3544">
        <v>500904.4656</v>
      </c>
      <c r="E38" s="3544">
        <v>31855.892599999999</v>
      </c>
      <c r="F38" s="3544">
        <v>72884.031700000007</v>
      </c>
      <c r="G38" s="2737">
        <f t="shared" si="4"/>
        <v>1836694.3798999998</v>
      </c>
      <c r="H38" s="2737"/>
      <c r="I38" s="3545">
        <v>95410.374400000001</v>
      </c>
      <c r="J38" s="3545">
        <v>195686.1974</v>
      </c>
      <c r="K38" s="3545">
        <v>32300.4283</v>
      </c>
      <c r="L38" s="3545">
        <v>122157.66</v>
      </c>
      <c r="M38" s="2737">
        <f t="shared" si="5"/>
        <v>445554.6601000001</v>
      </c>
      <c r="N38" s="2737">
        <f t="shared" si="6"/>
        <v>2282249.04</v>
      </c>
      <c r="O38" s="2737"/>
      <c r="P38" s="2736"/>
    </row>
    <row r="39" spans="1:16">
      <c r="B39" s="2736" t="s">
        <v>892</v>
      </c>
      <c r="C39" s="3544">
        <v>924346.85</v>
      </c>
      <c r="D39" s="3544">
        <v>370612.38959999999</v>
      </c>
      <c r="E39" s="3544">
        <v>22135.869600000002</v>
      </c>
      <c r="F39" s="3544">
        <v>47779.960399999996</v>
      </c>
      <c r="G39" s="2737">
        <f t="shared" si="4"/>
        <v>1364875.0696</v>
      </c>
      <c r="H39" s="2737"/>
      <c r="I39" s="3545">
        <v>86933.770399999994</v>
      </c>
      <c r="J39" s="3545">
        <v>162329.71040000001</v>
      </c>
      <c r="K39" s="3545">
        <v>26445.459599999998</v>
      </c>
      <c r="L39" s="3545">
        <v>127507.92</v>
      </c>
      <c r="M39" s="2737">
        <f t="shared" si="5"/>
        <v>403216.86040000001</v>
      </c>
      <c r="N39" s="2737">
        <f t="shared" si="6"/>
        <v>1768091.9300000002</v>
      </c>
      <c r="O39" s="2737"/>
      <c r="P39" s="2736"/>
    </row>
    <row r="40" spans="1:16">
      <c r="A40" s="2736"/>
      <c r="B40" s="2736"/>
      <c r="C40" s="2737"/>
      <c r="D40" s="2737"/>
      <c r="E40" s="2737"/>
      <c r="F40" s="2737"/>
      <c r="G40" s="2737"/>
      <c r="H40" s="2737"/>
      <c r="I40" s="2737"/>
      <c r="J40" s="2737"/>
      <c r="K40" s="2737"/>
      <c r="L40" s="2737"/>
      <c r="M40" s="2737"/>
      <c r="N40" s="2737"/>
      <c r="O40" s="2737"/>
      <c r="P40" s="2736"/>
    </row>
    <row r="41" spans="1:16">
      <c r="A41" s="2736"/>
      <c r="B41" s="2736" t="s">
        <v>2153</v>
      </c>
      <c r="C41" s="2737">
        <f>SUM(C28:C39)</f>
        <v>5792062.1200000001</v>
      </c>
      <c r="D41" s="2737">
        <f>SUM(D28:D39)</f>
        <v>2753793.3372999975</v>
      </c>
      <c r="E41" s="2737">
        <f>SUM(E28:E39)</f>
        <v>171718.18109999999</v>
      </c>
      <c r="F41" s="2737">
        <f>SUM(F28:F39)</f>
        <v>333563.84089999995</v>
      </c>
      <c r="G41" s="2737">
        <f>SUM(G28:G39)</f>
        <v>9051137.4792999998</v>
      </c>
      <c r="H41" s="2737"/>
      <c r="I41" s="2737">
        <f t="shared" ref="I41:N41" si="7">SUM(I28:I39)</f>
        <v>683225.95270000002</v>
      </c>
      <c r="J41" s="2737">
        <f t="shared" si="7"/>
        <v>1746248.6088999999</v>
      </c>
      <c r="K41" s="2737">
        <f t="shared" si="7"/>
        <v>187756.06910000002</v>
      </c>
      <c r="L41" s="2737">
        <f t="shared" si="7"/>
        <v>1479993.3099999977</v>
      </c>
      <c r="M41" s="2737">
        <f t="shared" si="7"/>
        <v>4097223.9406999983</v>
      </c>
      <c r="N41" s="2737">
        <f t="shared" si="7"/>
        <v>13148361.419999994</v>
      </c>
      <c r="O41" s="2737"/>
      <c r="P41" s="2736"/>
    </row>
    <row r="42" spans="1:16">
      <c r="A42" s="2736"/>
      <c r="B42" s="2736"/>
      <c r="C42" s="2737"/>
      <c r="D42" s="2737"/>
      <c r="E42" s="2737"/>
      <c r="F42" s="2737"/>
      <c r="G42" s="2737"/>
      <c r="H42" s="2737"/>
      <c r="I42" s="2737"/>
      <c r="J42" s="2737"/>
      <c r="K42" s="2737"/>
      <c r="L42" s="2737"/>
      <c r="M42" s="2737"/>
      <c r="N42" s="2737"/>
      <c r="O42" s="2737"/>
      <c r="P42" s="2736"/>
    </row>
    <row r="43" spans="1:16">
      <c r="A43" s="2736"/>
      <c r="B43" s="2736"/>
      <c r="C43" s="2737"/>
      <c r="D43" s="2737"/>
      <c r="E43" s="2737"/>
      <c r="F43" s="2737"/>
      <c r="G43" s="2737"/>
      <c r="H43" s="2737"/>
      <c r="I43" s="2737"/>
      <c r="J43" s="2737"/>
      <c r="K43" s="2737"/>
      <c r="L43" s="2737"/>
      <c r="M43" s="2737"/>
      <c r="N43" s="2737"/>
      <c r="O43" s="2737"/>
      <c r="P43" s="2736"/>
    </row>
    <row r="44" spans="1:16">
      <c r="A44" s="2736"/>
      <c r="B44" s="2736"/>
      <c r="C44" s="2737"/>
      <c r="D44" s="2737"/>
      <c r="E44" s="2737"/>
      <c r="F44" s="2737"/>
      <c r="G44" s="2737"/>
      <c r="H44" s="2737"/>
      <c r="I44" s="2737"/>
      <c r="J44" s="2737"/>
      <c r="K44" s="2737"/>
      <c r="L44" s="2737"/>
      <c r="M44" s="2737"/>
      <c r="N44" s="2737"/>
      <c r="O44" s="2737"/>
      <c r="P44" s="2736"/>
    </row>
    <row r="45" spans="1:16">
      <c r="A45" s="2736"/>
      <c r="B45" s="2736"/>
      <c r="C45" s="2737"/>
      <c r="D45" s="2737"/>
      <c r="E45" s="2737"/>
      <c r="F45" s="2737"/>
      <c r="G45" s="2737"/>
      <c r="H45" s="2737"/>
      <c r="I45" s="2737"/>
      <c r="J45" s="2737"/>
      <c r="K45" s="2737"/>
      <c r="L45" s="2737"/>
      <c r="M45" s="2737"/>
      <c r="N45" s="2737"/>
      <c r="O45" s="2737"/>
      <c r="P45" s="2736"/>
    </row>
    <row r="46" spans="1:16">
      <c r="A46" s="2736"/>
      <c r="B46" s="2736"/>
      <c r="C46" s="2737"/>
      <c r="D46" s="2737"/>
      <c r="E46" s="2737"/>
      <c r="F46" s="2737"/>
      <c r="G46" s="2737"/>
      <c r="H46" s="2737"/>
      <c r="I46" s="2737"/>
      <c r="J46" s="2737"/>
      <c r="K46" s="2737"/>
      <c r="L46" s="2737"/>
      <c r="M46" s="2737"/>
      <c r="N46" s="2737"/>
      <c r="O46" s="2737"/>
      <c r="P46" s="2736"/>
    </row>
    <row r="47" spans="1:16">
      <c r="A47" s="2736"/>
      <c r="B47" s="2736"/>
      <c r="C47" s="2737"/>
      <c r="D47" s="2737"/>
      <c r="E47" s="2737"/>
      <c r="F47" s="2737"/>
      <c r="G47" s="2737"/>
      <c r="H47" s="2737"/>
      <c r="I47" s="2737"/>
      <c r="J47" s="2737"/>
      <c r="K47" s="2737"/>
      <c r="L47" s="2737"/>
      <c r="M47" s="2737"/>
      <c r="N47" s="2737"/>
      <c r="O47" s="2737"/>
      <c r="P47" s="2736"/>
    </row>
    <row r="48" spans="1:16">
      <c r="B48" s="2736"/>
      <c r="C48" s="2737"/>
      <c r="D48" s="2737"/>
      <c r="E48" s="2737"/>
      <c r="J48" s="2737"/>
      <c r="K48" s="2737"/>
      <c r="L48" s="2737"/>
      <c r="M48" s="2737"/>
      <c r="N48" s="2737"/>
      <c r="O48" s="2737"/>
      <c r="P48" s="2736"/>
    </row>
    <row r="49" spans="1:16">
      <c r="A49" s="2736"/>
      <c r="B49" s="2736"/>
      <c r="C49" s="2737"/>
      <c r="D49" s="2737"/>
      <c r="E49" s="2737"/>
      <c r="F49" s="2737"/>
      <c r="G49" s="2737"/>
      <c r="H49" s="2737"/>
      <c r="I49" s="2737"/>
      <c r="J49" s="2737"/>
      <c r="K49" s="2737"/>
      <c r="L49" s="2737"/>
      <c r="M49" s="2737"/>
      <c r="N49" s="2737"/>
      <c r="O49" s="2737"/>
      <c r="P49" s="2736"/>
    </row>
    <row r="50" spans="1:16">
      <c r="A50" s="2736" t="s">
        <v>2643</v>
      </c>
      <c r="B50" s="2736"/>
      <c r="C50" s="2737"/>
      <c r="D50" s="2737"/>
      <c r="E50" s="2737"/>
      <c r="F50" s="2737"/>
      <c r="G50" s="2737"/>
      <c r="H50" s="2737"/>
      <c r="I50" s="2737"/>
      <c r="J50" s="2737"/>
      <c r="K50" s="2737"/>
      <c r="L50" s="2737"/>
      <c r="M50" s="2737"/>
      <c r="N50" s="2737"/>
      <c r="O50" s="2737"/>
      <c r="P50" s="2736"/>
    </row>
  </sheetData>
  <pageMargins left="0.75" right="0.75" top="1" bottom="1" header="0.5" footer="0.5"/>
  <pageSetup scale="56" orientation="landscape" verticalDpi="300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tabColor rgb="FF00B050"/>
    <pageSetUpPr fitToPage="1"/>
  </sheetPr>
  <dimension ref="A1:Z236"/>
  <sheetViews>
    <sheetView zoomScale="75" workbookViewId="0"/>
  </sheetViews>
  <sheetFormatPr defaultColWidth="6.88671875" defaultRowHeight="15"/>
  <cols>
    <col min="1" max="1" width="6.88671875" style="450" customWidth="1"/>
    <col min="2" max="2" width="34.5546875" style="450" customWidth="1"/>
    <col min="3" max="3" width="1.5546875" style="450" customWidth="1"/>
    <col min="4" max="5" width="14.44140625" style="450" customWidth="1"/>
    <col min="6" max="6" width="1.44140625" style="450" customWidth="1"/>
    <col min="7" max="7" width="16.88671875" style="450" customWidth="1"/>
    <col min="8" max="8" width="1.44140625" style="450" customWidth="1"/>
    <col min="9" max="9" width="15.6640625" style="450" customWidth="1"/>
    <col min="10" max="10" width="1.6640625" style="450" customWidth="1"/>
    <col min="11" max="15" width="16.6640625" style="450" customWidth="1"/>
    <col min="16" max="19" width="6.88671875" style="450" customWidth="1"/>
    <col min="20" max="20" width="11.6640625" style="450" customWidth="1"/>
    <col min="21" max="21" width="12" style="450" customWidth="1"/>
    <col min="22" max="22" width="13.88671875" style="450" customWidth="1"/>
    <col min="23" max="23" width="14.33203125" style="450" customWidth="1"/>
    <col min="24" max="24" width="14" style="450" customWidth="1"/>
    <col min="25" max="25" width="13.44140625" style="450" customWidth="1"/>
    <col min="26" max="26" width="14.109375" style="450" customWidth="1"/>
    <col min="27" max="16384" width="6.88671875" style="450"/>
  </cols>
  <sheetData>
    <row r="1" spans="1:26">
      <c r="A1" s="447" t="str">
        <f>COMPANY</f>
        <v>DUKE ENERGY KENTUCKY, INC.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9"/>
      <c r="S1" s="451"/>
      <c r="U1" s="452"/>
    </row>
    <row r="2" spans="1:26">
      <c r="A2" s="588" t="str">
        <f>CASE</f>
        <v>CASE NO. 2018-00261</v>
      </c>
      <c r="B2" s="448"/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  <c r="P2" s="449"/>
      <c r="S2" s="451"/>
      <c r="U2" s="452"/>
      <c r="Y2" s="452"/>
    </row>
    <row r="3" spans="1:26">
      <c r="A3" s="447" t="s">
        <v>800</v>
      </c>
      <c r="B3" s="448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9"/>
      <c r="S3" s="451"/>
      <c r="U3" s="452"/>
    </row>
    <row r="4" spans="1:26">
      <c r="A4" s="454" t="str">
        <f>PERIOD</f>
        <v>FOR THE TWELVE MONTHS ENDED NOVEMBER 30, 2018</v>
      </c>
      <c r="B4" s="448"/>
      <c r="C4" s="448"/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48"/>
      <c r="O4" s="448"/>
      <c r="U4" s="452"/>
    </row>
    <row r="5" spans="1:26">
      <c r="A5" s="454" t="str">
        <f>PeriodF</f>
        <v>FOR THE TWELVE MONTHS ENDED MARCH 31, 2020</v>
      </c>
      <c r="B5" s="448"/>
      <c r="C5" s="448"/>
      <c r="D5" s="448"/>
      <c r="E5" s="448"/>
      <c r="F5" s="448"/>
      <c r="G5" s="448"/>
      <c r="H5" s="448"/>
      <c r="I5" s="448"/>
      <c r="J5" s="448"/>
      <c r="K5" s="448"/>
      <c r="L5" s="448"/>
      <c r="M5" s="448"/>
      <c r="N5" s="448"/>
      <c r="O5" s="448"/>
      <c r="U5" s="452"/>
    </row>
    <row r="6" spans="1:26">
      <c r="H6" s="448"/>
      <c r="I6" s="448"/>
      <c r="J6" s="448"/>
      <c r="K6" s="448"/>
      <c r="L6" s="448"/>
      <c r="M6" s="448"/>
      <c r="N6" s="448"/>
      <c r="O6" s="448"/>
      <c r="P6" s="449"/>
      <c r="S6" s="451"/>
    </row>
    <row r="7" spans="1:26">
      <c r="A7" s="455"/>
      <c r="I7" s="452"/>
      <c r="J7" s="452"/>
      <c r="K7" s="452"/>
      <c r="L7" s="452"/>
      <c r="M7" s="452"/>
      <c r="N7" s="452" t="s">
        <v>801</v>
      </c>
      <c r="O7" s="448"/>
      <c r="P7" s="449"/>
      <c r="S7" s="451"/>
      <c r="T7" s="456"/>
      <c r="U7" s="452"/>
      <c r="V7" s="456"/>
      <c r="W7" s="456"/>
      <c r="X7" s="456"/>
      <c r="Y7" s="456"/>
      <c r="Z7" s="456"/>
    </row>
    <row r="8" spans="1:26">
      <c r="A8" s="455"/>
      <c r="I8" s="452"/>
      <c r="J8" s="452"/>
      <c r="K8" s="452"/>
      <c r="L8" s="452"/>
      <c r="M8" s="452"/>
      <c r="N8" s="452" t="s">
        <v>564</v>
      </c>
      <c r="O8" s="448"/>
      <c r="P8" s="449"/>
      <c r="S8" s="451"/>
      <c r="T8" s="456"/>
      <c r="U8" s="452"/>
      <c r="V8" s="456"/>
      <c r="W8" s="456"/>
      <c r="X8" s="456"/>
      <c r="Y8" s="456"/>
      <c r="Z8" s="456"/>
    </row>
    <row r="9" spans="1:26">
      <c r="A9" s="450" t="str">
        <f>DataB</f>
        <v>DATA: "X" BASE PERIOD  "X" FORECASTED PERIOD</v>
      </c>
      <c r="G9" s="453"/>
      <c r="I9" s="457"/>
      <c r="J9" s="457"/>
      <c r="K9" s="457"/>
      <c r="L9" s="457"/>
      <c r="M9" s="457"/>
      <c r="N9" s="457" t="s">
        <v>566</v>
      </c>
      <c r="O9" s="448"/>
      <c r="P9" s="449"/>
      <c r="S9" s="451"/>
      <c r="T9" s="456"/>
      <c r="U9" s="452"/>
      <c r="V9" s="456"/>
      <c r="W9" s="456"/>
      <c r="X9" s="456"/>
      <c r="Y9" s="456"/>
      <c r="Z9" s="456"/>
    </row>
    <row r="10" spans="1:26">
      <c r="A10" s="457" t="str">
        <f>LOGO!B15</f>
        <v xml:space="preserve">TYPE OF FILING:  "X" ORIGINAL   UPDATED    REVISED  </v>
      </c>
      <c r="G10" s="453"/>
      <c r="I10" s="398"/>
      <c r="J10" s="398"/>
      <c r="K10" s="398"/>
      <c r="L10" s="398"/>
      <c r="M10" s="398"/>
      <c r="N10" s="398" t="str">
        <f>_WIT9</f>
        <v>R. H. PRATT</v>
      </c>
      <c r="O10" s="448"/>
      <c r="P10" s="449"/>
      <c r="S10" s="451"/>
      <c r="T10" s="456"/>
      <c r="U10" s="452"/>
      <c r="V10" s="456"/>
      <c r="W10" s="456"/>
      <c r="X10" s="456"/>
      <c r="Y10" s="456"/>
      <c r="Z10" s="456"/>
    </row>
    <row r="11" spans="1:26">
      <c r="A11" s="452" t="s">
        <v>129</v>
      </c>
      <c r="G11" s="453"/>
      <c r="H11" s="448"/>
      <c r="I11" s="448"/>
      <c r="J11" s="448"/>
      <c r="K11" s="448"/>
      <c r="L11" s="448"/>
      <c r="M11" s="448"/>
      <c r="N11" s="448"/>
      <c r="O11" s="448"/>
      <c r="P11" s="449"/>
      <c r="S11" s="451"/>
      <c r="T11" s="456"/>
      <c r="U11" s="452"/>
      <c r="V11" s="456"/>
      <c r="W11" s="456"/>
      <c r="X11" s="456"/>
      <c r="Y11" s="456"/>
      <c r="Z11" s="456"/>
    </row>
    <row r="12" spans="1:26">
      <c r="A12" s="458"/>
      <c r="B12" s="459"/>
      <c r="C12" s="459"/>
      <c r="D12" s="459"/>
      <c r="E12" s="459"/>
      <c r="F12" s="459"/>
      <c r="G12" s="460"/>
      <c r="H12" s="461"/>
      <c r="I12" s="461"/>
      <c r="J12" s="461"/>
      <c r="K12" s="461"/>
      <c r="L12" s="461"/>
      <c r="M12" s="461"/>
      <c r="N12" s="461"/>
      <c r="O12" s="461"/>
      <c r="P12" s="449"/>
      <c r="S12" s="451"/>
      <c r="T12" s="456"/>
      <c r="U12" s="452"/>
      <c r="V12" s="456"/>
      <c r="W12" s="456"/>
      <c r="X12" s="456"/>
      <c r="Y12" s="456"/>
      <c r="Z12" s="456"/>
    </row>
    <row r="13" spans="1:26">
      <c r="A13" s="452"/>
      <c r="D13" s="994" t="s">
        <v>409</v>
      </c>
      <c r="E13" s="995"/>
      <c r="F13" s="1558"/>
      <c r="G13" s="2732"/>
      <c r="H13" s="2733"/>
      <c r="I13" s="2732"/>
      <c r="J13" s="1558"/>
      <c r="K13" s="1558"/>
      <c r="L13" s="1558"/>
      <c r="M13" s="1558"/>
      <c r="N13" s="1561"/>
      <c r="O13" s="963"/>
      <c r="S13" s="451"/>
      <c r="T13" s="456"/>
      <c r="U13" s="452"/>
      <c r="V13" s="456"/>
      <c r="W13" s="456"/>
      <c r="X13" s="456"/>
      <c r="Y13" s="456"/>
      <c r="Z13" s="456"/>
    </row>
    <row r="14" spans="1:26">
      <c r="A14" s="456" t="s">
        <v>567</v>
      </c>
      <c r="D14" s="997" t="s">
        <v>1806</v>
      </c>
      <c r="E14" s="995"/>
      <c r="F14" s="1558"/>
      <c r="G14" s="996" t="s">
        <v>1127</v>
      </c>
      <c r="H14" s="1558"/>
      <c r="I14" s="996" t="s">
        <v>740</v>
      </c>
      <c r="J14" s="1558"/>
      <c r="K14" s="2730" t="s">
        <v>2638</v>
      </c>
      <c r="L14" s="965"/>
      <c r="M14" s="965"/>
      <c r="N14" s="965"/>
      <c r="O14" s="965"/>
      <c r="S14" s="451"/>
      <c r="T14" s="463"/>
      <c r="U14" s="463"/>
      <c r="V14" s="463"/>
      <c r="W14" s="463"/>
      <c r="X14" s="463"/>
      <c r="Y14" s="463"/>
      <c r="Z14" s="463"/>
    </row>
    <row r="15" spans="1:26">
      <c r="A15" s="464" t="s">
        <v>766</v>
      </c>
      <c r="B15" s="458" t="s">
        <v>741</v>
      </c>
      <c r="C15" s="458"/>
      <c r="D15" s="407">
        <f>'SCH_I1 - Total Co.'!E14</f>
        <v>2021</v>
      </c>
      <c r="E15" s="407">
        <f>'SCH_I1 - Total Co.'!F14</f>
        <v>2020</v>
      </c>
      <c r="F15" s="1563"/>
      <c r="G15" s="465" t="s">
        <v>743</v>
      </c>
      <c r="H15" s="1563"/>
      <c r="I15" s="465" t="s">
        <v>743</v>
      </c>
      <c r="J15" s="1563"/>
      <c r="K15" s="407">
        <f>'SCH_I1 - Total Co.'!N14</f>
        <v>2017</v>
      </c>
      <c r="L15" s="407">
        <f>$K$15-1</f>
        <v>2016</v>
      </c>
      <c r="M15" s="407">
        <f>$K$15-2</f>
        <v>2015</v>
      </c>
      <c r="N15" s="407">
        <f>$K$15-3</f>
        <v>2014</v>
      </c>
      <c r="O15" s="407">
        <f>$K$15-4</f>
        <v>2013</v>
      </c>
    </row>
    <row r="16" spans="1:26">
      <c r="A16" s="456">
        <v>1</v>
      </c>
      <c r="B16" s="400" t="s">
        <v>1807</v>
      </c>
      <c r="C16" s="400"/>
      <c r="D16" s="463"/>
      <c r="E16" s="463"/>
      <c r="F16" s="463"/>
      <c r="G16" s="463"/>
      <c r="H16" s="463"/>
      <c r="I16" s="463"/>
      <c r="J16" s="463"/>
      <c r="K16" s="463"/>
      <c r="L16" s="463"/>
      <c r="M16" s="463"/>
      <c r="N16" s="463"/>
      <c r="P16" s="449"/>
    </row>
    <row r="17" spans="1:16">
      <c r="A17" s="456">
        <v>2</v>
      </c>
      <c r="B17" s="408" t="s">
        <v>1808</v>
      </c>
      <c r="C17" s="408"/>
      <c r="P17" s="449"/>
    </row>
    <row r="18" spans="1:16">
      <c r="A18" s="456">
        <v>3</v>
      </c>
      <c r="B18" s="400" t="s">
        <v>1809</v>
      </c>
      <c r="C18" s="400"/>
      <c r="P18" s="449"/>
    </row>
    <row r="19" spans="1:16">
      <c r="A19" s="456">
        <v>4</v>
      </c>
      <c r="B19" s="400" t="s">
        <v>1810</v>
      </c>
      <c r="C19" s="400"/>
      <c r="D19" s="466"/>
      <c r="E19" s="466"/>
      <c r="F19" s="466"/>
      <c r="G19" s="466"/>
      <c r="H19" s="466"/>
      <c r="I19" s="466"/>
      <c r="J19" s="466"/>
      <c r="K19" s="466"/>
      <c r="L19" s="466"/>
      <c r="M19" s="466"/>
      <c r="N19" s="466"/>
      <c r="O19" s="466"/>
      <c r="P19" s="449"/>
    </row>
    <row r="20" spans="1:16">
      <c r="A20" s="456">
        <v>5</v>
      </c>
      <c r="B20" s="400" t="s">
        <v>1811</v>
      </c>
      <c r="C20" s="400"/>
      <c r="D20" s="466"/>
      <c r="E20" s="466"/>
      <c r="F20" s="466"/>
      <c r="G20" s="466"/>
      <c r="H20" s="466"/>
      <c r="I20" s="466"/>
      <c r="J20" s="466"/>
      <c r="K20" s="466"/>
      <c r="L20" s="466"/>
      <c r="M20" s="466"/>
      <c r="N20" s="466"/>
      <c r="O20" s="466"/>
      <c r="P20" s="449"/>
    </row>
    <row r="21" spans="1:16">
      <c r="A21" s="456">
        <v>6</v>
      </c>
      <c r="B21" s="400" t="s">
        <v>1812</v>
      </c>
      <c r="C21" s="400"/>
      <c r="D21" s="466"/>
      <c r="E21" s="466"/>
      <c r="F21" s="466"/>
      <c r="G21" s="466"/>
      <c r="H21" s="466"/>
      <c r="I21" s="466"/>
      <c r="J21" s="466"/>
      <c r="K21" s="466"/>
      <c r="L21" s="466"/>
      <c r="M21" s="466"/>
      <c r="N21" s="466"/>
      <c r="O21" s="466"/>
      <c r="P21" s="449"/>
    </row>
    <row r="22" spans="1:16">
      <c r="A22" s="456">
        <v>7</v>
      </c>
      <c r="B22" s="400" t="s">
        <v>1813</v>
      </c>
      <c r="C22" s="400"/>
      <c r="D22" s="467"/>
      <c r="E22" s="467"/>
      <c r="F22" s="467"/>
      <c r="G22" s="467"/>
      <c r="H22" s="467"/>
      <c r="I22" s="467"/>
      <c r="J22" s="467"/>
      <c r="K22" s="467"/>
      <c r="L22" s="467"/>
      <c r="M22" s="467"/>
      <c r="N22" s="467"/>
      <c r="O22" s="467"/>
      <c r="P22" s="449"/>
    </row>
    <row r="23" spans="1:16">
      <c r="A23" s="456">
        <v>8</v>
      </c>
      <c r="B23" s="400" t="s">
        <v>1814</v>
      </c>
      <c r="C23" s="400"/>
      <c r="D23" s="468"/>
      <c r="E23" s="468"/>
      <c r="F23" s="468"/>
      <c r="G23" s="468"/>
      <c r="H23" s="468"/>
      <c r="I23" s="468"/>
      <c r="J23" s="468"/>
      <c r="K23" s="468"/>
      <c r="L23" s="468"/>
      <c r="M23" s="468"/>
      <c r="N23" s="468"/>
      <c r="O23" s="468"/>
      <c r="P23" s="449"/>
    </row>
    <row r="24" spans="1:16">
      <c r="A24" s="456">
        <v>9</v>
      </c>
      <c r="B24" s="400" t="s">
        <v>1885</v>
      </c>
      <c r="C24" s="400"/>
      <c r="D24" s="413"/>
      <c r="E24" s="413"/>
      <c r="F24" s="413"/>
      <c r="G24" s="413"/>
      <c r="H24" s="413"/>
      <c r="I24" s="413"/>
      <c r="J24" s="413"/>
      <c r="K24" s="413"/>
      <c r="L24" s="413"/>
      <c r="M24" s="413"/>
      <c r="N24" s="413"/>
      <c r="O24" s="413"/>
      <c r="P24" s="449"/>
    </row>
    <row r="25" spans="1:16">
      <c r="A25" s="456">
        <v>10</v>
      </c>
      <c r="B25" s="400" t="s">
        <v>1811</v>
      </c>
      <c r="C25" s="400"/>
      <c r="D25" s="409"/>
      <c r="E25" s="409"/>
      <c r="F25" s="409"/>
      <c r="G25" s="409"/>
      <c r="H25" s="409"/>
      <c r="I25" s="409"/>
      <c r="J25" s="409"/>
      <c r="K25" s="409"/>
      <c r="L25" s="409"/>
      <c r="M25" s="409"/>
      <c r="N25" s="409"/>
      <c r="O25" s="410"/>
      <c r="P25" s="449"/>
    </row>
    <row r="26" spans="1:16">
      <c r="A26" s="456">
        <v>11</v>
      </c>
      <c r="B26" s="400" t="s">
        <v>1812</v>
      </c>
      <c r="C26" s="400"/>
      <c r="D26" s="409"/>
      <c r="E26" s="409"/>
      <c r="F26" s="409"/>
      <c r="G26" s="409"/>
      <c r="H26" s="409"/>
      <c r="I26" s="409"/>
      <c r="J26" s="409"/>
      <c r="K26" s="409"/>
      <c r="L26" s="409"/>
      <c r="M26" s="409"/>
      <c r="N26" s="409"/>
      <c r="O26" s="410"/>
      <c r="P26" s="449"/>
    </row>
    <row r="27" spans="1:16">
      <c r="A27" s="456">
        <v>12</v>
      </c>
      <c r="B27" s="400" t="s">
        <v>1813</v>
      </c>
      <c r="C27" s="400"/>
      <c r="D27" s="409"/>
      <c r="E27" s="409"/>
      <c r="F27" s="409"/>
      <c r="G27" s="409"/>
      <c r="H27" s="409"/>
      <c r="I27" s="409"/>
      <c r="J27" s="409"/>
      <c r="K27" s="409"/>
      <c r="L27" s="409"/>
      <c r="M27" s="409"/>
      <c r="N27" s="409"/>
      <c r="O27" s="410"/>
      <c r="P27" s="449"/>
    </row>
    <row r="28" spans="1:16">
      <c r="A28" s="456">
        <v>13</v>
      </c>
      <c r="B28" s="400" t="s">
        <v>304</v>
      </c>
      <c r="C28" s="400"/>
      <c r="D28" s="411"/>
      <c r="E28" s="411"/>
      <c r="F28" s="411"/>
      <c r="G28" s="411"/>
      <c r="H28" s="411"/>
      <c r="I28" s="411"/>
      <c r="J28" s="411"/>
      <c r="K28" s="411"/>
      <c r="L28" s="411"/>
      <c r="M28" s="411"/>
      <c r="N28" s="411"/>
      <c r="O28" s="412"/>
      <c r="P28" s="449"/>
    </row>
    <row r="29" spans="1:16">
      <c r="A29" s="456">
        <v>14</v>
      </c>
      <c r="B29" s="400" t="s">
        <v>1886</v>
      </c>
      <c r="C29" s="400"/>
      <c r="D29" s="412"/>
      <c r="E29" s="412"/>
      <c r="F29" s="412"/>
      <c r="G29" s="412"/>
      <c r="H29" s="412"/>
      <c r="I29" s="412"/>
      <c r="J29" s="412"/>
      <c r="K29" s="412"/>
      <c r="L29" s="412"/>
      <c r="M29" s="412"/>
      <c r="N29" s="412"/>
      <c r="O29" s="412"/>
      <c r="P29" s="449"/>
    </row>
    <row r="30" spans="1:16">
      <c r="A30" s="456">
        <v>15</v>
      </c>
      <c r="B30" s="400" t="s">
        <v>1887</v>
      </c>
      <c r="C30" s="400"/>
      <c r="D30" s="413"/>
      <c r="E30" s="413"/>
      <c r="F30" s="413"/>
      <c r="G30" s="413"/>
      <c r="H30" s="413"/>
      <c r="I30" s="413"/>
      <c r="J30" s="413"/>
      <c r="K30" s="413"/>
      <c r="L30" s="413"/>
      <c r="M30" s="413"/>
      <c r="N30" s="413"/>
      <c r="O30" s="413"/>
      <c r="P30" s="449"/>
    </row>
    <row r="31" spans="1:16">
      <c r="A31" s="456">
        <v>16</v>
      </c>
      <c r="B31" s="400"/>
      <c r="C31" s="400"/>
      <c r="D31" s="469"/>
      <c r="E31" s="469"/>
      <c r="F31" s="469"/>
      <c r="G31" s="469"/>
      <c r="H31" s="469"/>
      <c r="I31" s="469"/>
      <c r="J31" s="469"/>
      <c r="K31" s="469"/>
      <c r="L31" s="469"/>
      <c r="M31" s="469"/>
      <c r="N31" s="469"/>
      <c r="O31" s="469"/>
      <c r="P31" s="449"/>
    </row>
    <row r="32" spans="1:16">
      <c r="A32" s="456">
        <v>17</v>
      </c>
      <c r="B32" s="400" t="s">
        <v>1071</v>
      </c>
      <c r="C32" s="400"/>
      <c r="D32" s="470"/>
      <c r="E32" s="470"/>
      <c r="F32" s="470"/>
      <c r="G32" s="470"/>
      <c r="H32" s="470"/>
      <c r="I32" s="470"/>
      <c r="J32" s="470"/>
      <c r="K32" s="470"/>
      <c r="L32" s="470"/>
      <c r="M32" s="470"/>
      <c r="N32" s="470"/>
      <c r="O32" s="470"/>
      <c r="P32" s="449"/>
    </row>
    <row r="33" spans="1:16">
      <c r="A33" s="456">
        <v>18</v>
      </c>
      <c r="B33" s="408" t="s">
        <v>1072</v>
      </c>
      <c r="C33" s="408"/>
      <c r="D33" s="470"/>
      <c r="E33" s="470"/>
      <c r="F33" s="470"/>
      <c r="G33" s="470"/>
      <c r="H33" s="470"/>
      <c r="I33" s="470"/>
      <c r="J33" s="470"/>
      <c r="K33" s="470"/>
      <c r="L33" s="470"/>
      <c r="M33" s="470"/>
      <c r="N33" s="470"/>
      <c r="O33" s="470"/>
      <c r="P33" s="449"/>
    </row>
    <row r="34" spans="1:16">
      <c r="A34" s="456">
        <v>19</v>
      </c>
      <c r="B34" s="400" t="s">
        <v>1809</v>
      </c>
      <c r="C34" s="400"/>
      <c r="D34" s="470"/>
      <c r="E34" s="470"/>
      <c r="F34" s="470"/>
      <c r="G34" s="470"/>
      <c r="H34" s="470"/>
      <c r="I34" s="470"/>
      <c r="J34" s="470"/>
      <c r="K34" s="470"/>
      <c r="L34" s="470"/>
      <c r="M34" s="470"/>
      <c r="N34" s="470"/>
      <c r="O34" s="470"/>
      <c r="P34" s="449"/>
    </row>
    <row r="35" spans="1:16">
      <c r="A35" s="456">
        <v>20</v>
      </c>
      <c r="B35" s="400" t="s">
        <v>1810</v>
      </c>
      <c r="C35" s="400"/>
      <c r="D35" s="466"/>
      <c r="E35" s="466"/>
      <c r="F35" s="466"/>
      <c r="G35" s="466"/>
      <c r="H35" s="466"/>
      <c r="I35" s="466"/>
      <c r="J35" s="466"/>
      <c r="K35" s="466"/>
      <c r="L35" s="466"/>
      <c r="M35" s="466"/>
      <c r="N35" s="466"/>
      <c r="O35" s="466"/>
      <c r="P35" s="449"/>
    </row>
    <row r="36" spans="1:16">
      <c r="A36" s="456">
        <v>21</v>
      </c>
      <c r="B36" s="400" t="s">
        <v>1811</v>
      </c>
      <c r="C36" s="400"/>
      <c r="D36" s="466"/>
      <c r="E36" s="466"/>
      <c r="F36" s="466"/>
      <c r="G36" s="466"/>
      <c r="H36" s="466"/>
      <c r="I36" s="466"/>
      <c r="J36" s="466"/>
      <c r="K36" s="466"/>
      <c r="L36" s="466"/>
      <c r="M36" s="466"/>
      <c r="N36" s="466"/>
      <c r="O36" s="466"/>
      <c r="P36" s="449"/>
    </row>
    <row r="37" spans="1:16">
      <c r="A37" s="456">
        <v>22</v>
      </c>
      <c r="B37" s="400" t="s">
        <v>1812</v>
      </c>
      <c r="C37" s="400"/>
      <c r="D37" s="466"/>
      <c r="E37" s="466"/>
      <c r="F37" s="466"/>
      <c r="G37" s="466"/>
      <c r="H37" s="466"/>
      <c r="I37" s="466"/>
      <c r="J37" s="466"/>
      <c r="K37" s="466"/>
      <c r="L37" s="466"/>
      <c r="M37" s="466"/>
      <c r="N37" s="466"/>
      <c r="O37" s="466"/>
      <c r="P37" s="449"/>
    </row>
    <row r="38" spans="1:16">
      <c r="A38" s="456">
        <v>23</v>
      </c>
      <c r="B38" s="400" t="s">
        <v>1813</v>
      </c>
      <c r="C38" s="400"/>
      <c r="D38" s="467"/>
      <c r="E38" s="467"/>
      <c r="F38" s="467"/>
      <c r="G38" s="467"/>
      <c r="H38" s="467"/>
      <c r="I38" s="467"/>
      <c r="J38" s="467"/>
      <c r="K38" s="467"/>
      <c r="L38" s="467"/>
      <c r="M38" s="467"/>
      <c r="N38" s="467"/>
      <c r="O38" s="471"/>
      <c r="P38" s="449"/>
    </row>
    <row r="39" spans="1:16">
      <c r="A39" s="456">
        <v>24</v>
      </c>
      <c r="B39" s="400" t="s">
        <v>1814</v>
      </c>
      <c r="C39" s="400"/>
      <c r="D39" s="468"/>
      <c r="E39" s="468"/>
      <c r="F39" s="468"/>
      <c r="G39" s="468"/>
      <c r="H39" s="468"/>
      <c r="I39" s="468"/>
      <c r="J39" s="468"/>
      <c r="K39" s="468"/>
      <c r="L39" s="468"/>
      <c r="M39" s="468"/>
      <c r="N39" s="468"/>
      <c r="O39" s="468"/>
      <c r="P39" s="449"/>
    </row>
    <row r="40" spans="1:16">
      <c r="A40" s="456">
        <v>25</v>
      </c>
      <c r="B40" s="400" t="s">
        <v>1885</v>
      </c>
      <c r="C40" s="400"/>
      <c r="D40" s="413"/>
      <c r="E40" s="413"/>
      <c r="F40" s="413"/>
      <c r="G40" s="413"/>
      <c r="H40" s="413"/>
      <c r="I40" s="413"/>
      <c r="J40" s="413"/>
      <c r="K40" s="413"/>
      <c r="L40" s="413"/>
      <c r="M40" s="413"/>
      <c r="N40" s="413"/>
      <c r="O40" s="413"/>
      <c r="P40" s="449"/>
    </row>
    <row r="41" spans="1:16">
      <c r="A41" s="456">
        <v>26</v>
      </c>
      <c r="B41" s="400" t="s">
        <v>1811</v>
      </c>
      <c r="C41" s="400"/>
      <c r="D41" s="409"/>
      <c r="E41" s="409"/>
      <c r="F41" s="409"/>
      <c r="G41" s="409"/>
      <c r="H41" s="409"/>
      <c r="I41" s="409"/>
      <c r="J41" s="409"/>
      <c r="K41" s="409"/>
      <c r="L41" s="409"/>
      <c r="M41" s="409"/>
      <c r="N41" s="409"/>
      <c r="O41" s="409"/>
      <c r="P41" s="449"/>
    </row>
    <row r="42" spans="1:16">
      <c r="A42" s="456">
        <v>27</v>
      </c>
      <c r="B42" s="400" t="s">
        <v>1812</v>
      </c>
      <c r="C42" s="400"/>
      <c r="D42" s="409"/>
      <c r="E42" s="1288" t="s">
        <v>803</v>
      </c>
      <c r="F42" s="409"/>
      <c r="G42" s="409"/>
      <c r="H42" s="409"/>
      <c r="I42" s="409"/>
      <c r="J42" s="409"/>
      <c r="K42" s="409"/>
      <c r="L42" s="409"/>
      <c r="M42" s="409"/>
      <c r="N42" s="409"/>
      <c r="O42" s="409"/>
      <c r="P42" s="449"/>
    </row>
    <row r="43" spans="1:16">
      <c r="A43" s="456">
        <v>28</v>
      </c>
      <c r="B43" s="400" t="s">
        <v>1813</v>
      </c>
      <c r="C43" s="400"/>
      <c r="D43" s="409"/>
      <c r="E43" s="409"/>
      <c r="F43" s="409"/>
      <c r="G43" s="409"/>
      <c r="H43" s="409"/>
      <c r="I43" s="409"/>
      <c r="J43" s="409"/>
      <c r="K43" s="409"/>
      <c r="L43" s="409"/>
      <c r="M43" s="409"/>
      <c r="N43" s="409"/>
      <c r="O43" s="409"/>
      <c r="P43" s="449"/>
    </row>
    <row r="44" spans="1:16">
      <c r="A44" s="456">
        <v>29</v>
      </c>
      <c r="B44" s="400" t="s">
        <v>304</v>
      </c>
      <c r="C44" s="400"/>
      <c r="D44" s="411"/>
      <c r="E44" s="411"/>
      <c r="F44" s="411"/>
      <c r="G44" s="411"/>
      <c r="H44" s="411"/>
      <c r="I44" s="411"/>
      <c r="J44" s="411"/>
      <c r="K44" s="411"/>
      <c r="L44" s="411"/>
      <c r="M44" s="411"/>
      <c r="N44" s="411"/>
      <c r="O44" s="416"/>
      <c r="P44" s="449"/>
    </row>
    <row r="45" spans="1:16">
      <c r="A45" s="456">
        <v>30</v>
      </c>
      <c r="B45" s="400" t="s">
        <v>1886</v>
      </c>
      <c r="C45" s="400"/>
      <c r="D45" s="412"/>
      <c r="E45" s="412"/>
      <c r="F45" s="412"/>
      <c r="G45" s="412"/>
      <c r="H45" s="412"/>
      <c r="I45" s="412"/>
      <c r="J45" s="412"/>
      <c r="K45" s="412"/>
      <c r="L45" s="412"/>
      <c r="M45" s="412"/>
      <c r="N45" s="412"/>
      <c r="O45" s="412"/>
      <c r="P45" s="449"/>
    </row>
    <row r="46" spans="1:16">
      <c r="A46" s="456">
        <v>31</v>
      </c>
      <c r="B46" s="400" t="s">
        <v>1073</v>
      </c>
      <c r="C46" s="400"/>
      <c r="D46" s="417"/>
      <c r="E46" s="417"/>
      <c r="F46" s="417"/>
      <c r="G46" s="417"/>
      <c r="H46" s="417"/>
      <c r="I46" s="417"/>
      <c r="J46" s="417"/>
      <c r="K46" s="417"/>
      <c r="L46" s="417"/>
      <c r="M46" s="417"/>
      <c r="N46" s="417"/>
      <c r="O46" s="417"/>
      <c r="P46" s="449"/>
    </row>
    <row r="47" spans="1:16">
      <c r="A47" s="456">
        <v>32</v>
      </c>
      <c r="B47" s="400"/>
      <c r="C47" s="400"/>
      <c r="D47" s="418"/>
      <c r="E47" s="418"/>
      <c r="F47" s="472"/>
      <c r="G47" s="472"/>
      <c r="H47" s="472"/>
      <c r="I47" s="472"/>
      <c r="J47" s="472"/>
      <c r="K47" s="472"/>
      <c r="L47" s="472"/>
      <c r="M47" s="472"/>
      <c r="N47" s="472"/>
      <c r="O47" s="472"/>
      <c r="P47" s="449"/>
    </row>
    <row r="48" spans="1:16">
      <c r="A48" s="456">
        <v>33</v>
      </c>
      <c r="B48" s="400" t="s">
        <v>1074</v>
      </c>
      <c r="C48" s="400"/>
      <c r="D48" s="470"/>
      <c r="E48" s="470"/>
      <c r="F48" s="470"/>
      <c r="G48" s="470"/>
      <c r="H48" s="470"/>
      <c r="I48" s="470"/>
      <c r="J48" s="470"/>
      <c r="K48" s="470"/>
      <c r="L48" s="470"/>
      <c r="M48" s="470"/>
      <c r="N48" s="470"/>
      <c r="O48" s="470"/>
      <c r="P48" s="449"/>
    </row>
    <row r="49" spans="1:16">
      <c r="A49" s="456">
        <v>34</v>
      </c>
      <c r="B49" s="408" t="s">
        <v>1075</v>
      </c>
      <c r="C49" s="408"/>
      <c r="D49" s="470"/>
      <c r="E49" s="470"/>
      <c r="F49" s="470"/>
      <c r="G49" s="470"/>
      <c r="H49" s="470"/>
      <c r="I49" s="470"/>
      <c r="J49" s="470"/>
      <c r="K49" s="470"/>
      <c r="L49" s="470"/>
      <c r="M49" s="470"/>
      <c r="N49" s="470"/>
      <c r="O49" s="470"/>
      <c r="P49" s="449"/>
    </row>
    <row r="50" spans="1:16">
      <c r="A50" s="456">
        <v>35</v>
      </c>
      <c r="B50" s="400" t="s">
        <v>1809</v>
      </c>
      <c r="C50" s="400"/>
      <c r="D50" s="470"/>
      <c r="E50" s="470"/>
      <c r="F50" s="470"/>
      <c r="G50" s="470"/>
      <c r="H50" s="470"/>
      <c r="I50" s="470"/>
      <c r="J50" s="470"/>
      <c r="K50" s="470"/>
      <c r="L50" s="470"/>
      <c r="M50" s="470"/>
      <c r="N50" s="470"/>
      <c r="O50" s="470"/>
      <c r="P50" s="449"/>
    </row>
    <row r="51" spans="1:16">
      <c r="A51" s="456">
        <v>36</v>
      </c>
      <c r="B51" s="400" t="s">
        <v>1810</v>
      </c>
      <c r="C51" s="400"/>
      <c r="D51" s="466"/>
      <c r="E51" s="466"/>
      <c r="F51" s="466"/>
      <c r="G51" s="466"/>
      <c r="H51" s="466"/>
      <c r="I51" s="466"/>
      <c r="J51" s="466"/>
      <c r="K51" s="466"/>
      <c r="L51" s="466"/>
      <c r="M51" s="466"/>
      <c r="N51" s="466"/>
      <c r="O51" s="466"/>
      <c r="P51" s="449"/>
    </row>
    <row r="52" spans="1:16">
      <c r="A52" s="456">
        <v>37</v>
      </c>
      <c r="B52" s="400" t="s">
        <v>1811</v>
      </c>
      <c r="C52" s="400"/>
      <c r="D52" s="466"/>
      <c r="E52" s="466"/>
      <c r="F52" s="466"/>
      <c r="G52" s="466"/>
      <c r="H52" s="466"/>
      <c r="I52" s="466"/>
      <c r="J52" s="466"/>
      <c r="K52" s="466"/>
      <c r="L52" s="466"/>
      <c r="M52" s="466"/>
      <c r="N52" s="466"/>
      <c r="O52" s="466"/>
      <c r="P52" s="449"/>
    </row>
    <row r="53" spans="1:16">
      <c r="A53" s="456">
        <v>38</v>
      </c>
      <c r="B53" s="400" t="s">
        <v>1812</v>
      </c>
      <c r="C53" s="400"/>
      <c r="D53" s="466"/>
      <c r="E53" s="466"/>
      <c r="F53" s="466"/>
      <c r="G53" s="466"/>
      <c r="H53" s="466"/>
      <c r="I53" s="466"/>
      <c r="J53" s="466"/>
      <c r="K53" s="466"/>
      <c r="L53" s="466"/>
      <c r="M53" s="466"/>
      <c r="N53" s="466"/>
      <c r="O53" s="466"/>
      <c r="P53" s="449"/>
    </row>
    <row r="54" spans="1:16">
      <c r="A54" s="456">
        <v>39</v>
      </c>
      <c r="B54" s="400" t="s">
        <v>1813</v>
      </c>
      <c r="C54" s="400"/>
      <c r="D54" s="467"/>
      <c r="E54" s="467"/>
      <c r="F54" s="467"/>
      <c r="G54" s="467"/>
      <c r="H54" s="467"/>
      <c r="I54" s="467"/>
      <c r="J54" s="467"/>
      <c r="K54" s="467"/>
      <c r="L54" s="467"/>
      <c r="M54" s="467"/>
      <c r="N54" s="467"/>
      <c r="O54" s="471"/>
      <c r="P54" s="449"/>
    </row>
    <row r="55" spans="1:16">
      <c r="A55" s="456">
        <v>40</v>
      </c>
      <c r="B55" s="400" t="s">
        <v>1814</v>
      </c>
      <c r="C55" s="400"/>
      <c r="D55" s="468"/>
      <c r="E55" s="468"/>
      <c r="F55" s="468"/>
      <c r="G55" s="468"/>
      <c r="H55" s="468"/>
      <c r="I55" s="468"/>
      <c r="J55" s="468"/>
      <c r="K55" s="468"/>
      <c r="L55" s="468"/>
      <c r="M55" s="468"/>
      <c r="N55" s="468"/>
      <c r="O55" s="416"/>
      <c r="P55" s="449"/>
    </row>
    <row r="56" spans="1:16">
      <c r="A56" s="456">
        <v>41</v>
      </c>
      <c r="B56" s="400" t="s">
        <v>1885</v>
      </c>
      <c r="C56" s="400"/>
      <c r="D56" s="413"/>
      <c r="E56" s="413"/>
      <c r="F56" s="413"/>
      <c r="G56" s="409"/>
      <c r="H56" s="413"/>
      <c r="I56" s="413"/>
      <c r="J56" s="413"/>
      <c r="K56" s="413"/>
      <c r="L56" s="413"/>
      <c r="M56" s="413"/>
      <c r="N56" s="413"/>
      <c r="O56" s="416"/>
      <c r="P56" s="449"/>
    </row>
    <row r="57" spans="1:16">
      <c r="A57" s="456">
        <v>42</v>
      </c>
      <c r="B57" s="400" t="s">
        <v>1811</v>
      </c>
      <c r="C57" s="400"/>
      <c r="D57" s="409"/>
      <c r="E57" s="409"/>
      <c r="F57" s="409"/>
      <c r="G57" s="409"/>
      <c r="H57" s="409"/>
      <c r="I57" s="409"/>
      <c r="J57" s="409"/>
      <c r="K57" s="409"/>
      <c r="L57" s="409"/>
      <c r="M57" s="409"/>
      <c r="N57" s="409"/>
      <c r="O57" s="409"/>
      <c r="P57" s="449"/>
    </row>
    <row r="58" spans="1:16">
      <c r="A58" s="456">
        <v>43</v>
      </c>
      <c r="B58" s="400" t="s">
        <v>1812</v>
      </c>
      <c r="C58" s="400"/>
      <c r="D58" s="409"/>
      <c r="E58" s="409"/>
      <c r="F58" s="409"/>
      <c r="G58" s="409"/>
      <c r="H58" s="409"/>
      <c r="I58" s="409"/>
      <c r="J58" s="409"/>
      <c r="K58" s="409"/>
      <c r="L58" s="409"/>
      <c r="M58" s="409"/>
      <c r="N58" s="409"/>
      <c r="O58" s="409"/>
      <c r="P58" s="449"/>
    </row>
    <row r="59" spans="1:16">
      <c r="A59" s="456">
        <v>44</v>
      </c>
      <c r="B59" s="400" t="s">
        <v>1813</v>
      </c>
      <c r="C59" s="400"/>
      <c r="D59" s="409"/>
      <c r="E59" s="409"/>
      <c r="F59" s="409"/>
      <c r="G59" s="409"/>
      <c r="H59" s="409"/>
      <c r="I59" s="409"/>
      <c r="J59" s="409"/>
      <c r="K59" s="409"/>
      <c r="L59" s="409"/>
      <c r="M59" s="409"/>
      <c r="N59" s="409"/>
      <c r="O59" s="409"/>
      <c r="P59" s="449"/>
    </row>
    <row r="60" spans="1:16">
      <c r="A60" s="456">
        <v>45</v>
      </c>
      <c r="B60" s="400" t="s">
        <v>304</v>
      </c>
      <c r="C60" s="400"/>
      <c r="D60" s="411"/>
      <c r="E60" s="411"/>
      <c r="F60" s="411"/>
      <c r="G60" s="411"/>
      <c r="H60" s="411"/>
      <c r="I60" s="411"/>
      <c r="J60" s="411"/>
      <c r="K60" s="411"/>
      <c r="L60" s="411"/>
      <c r="M60" s="411"/>
      <c r="N60" s="411"/>
      <c r="O60" s="416"/>
      <c r="P60" s="449"/>
    </row>
    <row r="61" spans="1:16">
      <c r="A61" s="456">
        <v>46</v>
      </c>
      <c r="B61" s="400" t="s">
        <v>1886</v>
      </c>
      <c r="C61" s="400"/>
      <c r="D61" s="412"/>
      <c r="E61" s="412"/>
      <c r="F61" s="412"/>
      <c r="G61" s="412"/>
      <c r="H61" s="412"/>
      <c r="I61" s="412"/>
      <c r="J61" s="412"/>
      <c r="K61" s="412"/>
      <c r="L61" s="412"/>
      <c r="M61" s="412"/>
      <c r="N61" s="412"/>
      <c r="O61" s="416"/>
      <c r="P61" s="449"/>
    </row>
    <row r="62" spans="1:16">
      <c r="A62" s="456">
        <v>47</v>
      </c>
      <c r="B62" s="400" t="s">
        <v>1073</v>
      </c>
      <c r="C62" s="400"/>
      <c r="D62" s="413"/>
      <c r="E62" s="413"/>
      <c r="F62" s="413"/>
      <c r="G62" s="413"/>
      <c r="H62" s="413"/>
      <c r="I62" s="413"/>
      <c r="J62" s="413"/>
      <c r="K62" s="413"/>
      <c r="L62" s="413"/>
      <c r="M62" s="413"/>
      <c r="N62" s="413"/>
      <c r="O62" s="473"/>
      <c r="P62" s="449"/>
    </row>
    <row r="63" spans="1:16">
      <c r="A63" s="456">
        <v>48</v>
      </c>
      <c r="B63" s="398"/>
      <c r="C63" s="398"/>
      <c r="D63" s="469"/>
      <c r="E63" s="469"/>
      <c r="F63" s="469"/>
      <c r="G63" s="469"/>
      <c r="H63" s="469"/>
      <c r="I63" s="469"/>
      <c r="J63" s="469"/>
      <c r="K63" s="469"/>
      <c r="L63" s="469"/>
      <c r="M63" s="469"/>
      <c r="N63" s="469"/>
      <c r="O63" s="469"/>
      <c r="P63" s="449"/>
    </row>
    <row r="64" spans="1:16">
      <c r="A64" s="456">
        <v>49</v>
      </c>
      <c r="B64" s="400" t="s">
        <v>1076</v>
      </c>
      <c r="C64" s="400"/>
      <c r="P64" s="449"/>
    </row>
    <row r="65" spans="1:18">
      <c r="A65" s="456">
        <v>50</v>
      </c>
      <c r="B65" s="408" t="s">
        <v>797</v>
      </c>
      <c r="C65" s="408"/>
      <c r="P65" s="449"/>
    </row>
    <row r="66" spans="1:18">
      <c r="A66" s="456">
        <v>51</v>
      </c>
      <c r="B66" s="400" t="s">
        <v>1809</v>
      </c>
      <c r="C66" s="400"/>
      <c r="P66" s="449"/>
    </row>
    <row r="67" spans="1:18">
      <c r="A67" s="456">
        <v>52</v>
      </c>
      <c r="B67" s="400" t="s">
        <v>1810</v>
      </c>
      <c r="C67" s="400"/>
      <c r="D67" s="474"/>
      <c r="E67" s="474"/>
      <c r="F67" s="474"/>
      <c r="G67" s="474"/>
      <c r="H67" s="474"/>
      <c r="I67" s="474"/>
      <c r="J67" s="474"/>
      <c r="K67" s="474"/>
      <c r="L67" s="474"/>
      <c r="M67" s="474"/>
      <c r="N67" s="474"/>
      <c r="O67" s="474"/>
      <c r="P67" s="449"/>
    </row>
    <row r="68" spans="1:18">
      <c r="A68" s="456">
        <v>53</v>
      </c>
      <c r="B68" s="400" t="s">
        <v>1811</v>
      </c>
      <c r="C68" s="400"/>
      <c r="D68" s="474"/>
      <c r="E68" s="474"/>
      <c r="F68" s="474"/>
      <c r="G68" s="474"/>
      <c r="H68" s="474"/>
      <c r="I68" s="474"/>
      <c r="J68" s="474"/>
      <c r="K68" s="474"/>
      <c r="L68" s="474"/>
      <c r="M68" s="474"/>
      <c r="N68" s="474"/>
      <c r="O68" s="474"/>
      <c r="P68" s="449"/>
    </row>
    <row r="69" spans="1:18">
      <c r="A69" s="456">
        <v>54</v>
      </c>
      <c r="B69" s="400" t="s">
        <v>1812</v>
      </c>
      <c r="C69" s="400"/>
      <c r="D69" s="474"/>
      <c r="E69" s="474"/>
      <c r="F69" s="474"/>
      <c r="G69" s="474"/>
      <c r="H69" s="474"/>
      <c r="I69" s="474"/>
      <c r="J69" s="474"/>
      <c r="K69" s="474"/>
      <c r="L69" s="474"/>
      <c r="M69" s="474"/>
      <c r="N69" s="474"/>
      <c r="O69" s="474"/>
      <c r="P69" s="449"/>
    </row>
    <row r="70" spans="1:18">
      <c r="A70" s="456">
        <v>55</v>
      </c>
      <c r="B70" s="400" t="s">
        <v>1885</v>
      </c>
      <c r="C70" s="400"/>
      <c r="D70" s="474"/>
      <c r="E70" s="474"/>
      <c r="F70" s="474"/>
      <c r="G70" s="474"/>
      <c r="H70" s="474"/>
      <c r="I70" s="474"/>
      <c r="J70" s="474"/>
      <c r="K70" s="474"/>
      <c r="L70" s="474"/>
      <c r="M70" s="474"/>
      <c r="N70" s="474"/>
      <c r="O70" s="474"/>
      <c r="P70" s="449"/>
    </row>
    <row r="71" spans="1:18">
      <c r="A71" s="456">
        <v>56</v>
      </c>
      <c r="B71" s="400" t="s">
        <v>1811</v>
      </c>
      <c r="C71" s="400"/>
      <c r="D71" s="410"/>
      <c r="E71" s="410"/>
      <c r="F71" s="410"/>
      <c r="G71" s="410"/>
      <c r="H71" s="410"/>
      <c r="I71" s="410"/>
      <c r="J71" s="410"/>
      <c r="K71" s="410"/>
      <c r="L71" s="410"/>
      <c r="M71" s="410"/>
      <c r="N71" s="410"/>
      <c r="O71" s="410"/>
      <c r="P71" s="449"/>
    </row>
    <row r="72" spans="1:18">
      <c r="A72" s="456">
        <v>57</v>
      </c>
      <c r="B72" s="400" t="s">
        <v>1812</v>
      </c>
      <c r="C72" s="400"/>
      <c r="D72" s="410"/>
      <c r="E72" s="410"/>
      <c r="F72" s="410"/>
      <c r="G72" s="410"/>
      <c r="H72" s="410"/>
      <c r="I72" s="410"/>
      <c r="J72" s="410"/>
      <c r="K72" s="410"/>
      <c r="L72" s="410"/>
      <c r="M72" s="410"/>
      <c r="N72" s="410"/>
      <c r="O72" s="410"/>
      <c r="P72" s="449"/>
    </row>
    <row r="73" spans="1:18">
      <c r="A73" s="456">
        <v>58</v>
      </c>
      <c r="B73" s="400" t="s">
        <v>304</v>
      </c>
      <c r="C73" s="400"/>
      <c r="D73" s="410"/>
      <c r="E73" s="410"/>
      <c r="F73" s="410"/>
      <c r="G73" s="410"/>
      <c r="H73" s="410"/>
      <c r="I73" s="410"/>
      <c r="J73" s="410"/>
      <c r="K73" s="410"/>
      <c r="L73" s="410"/>
      <c r="M73" s="410"/>
      <c r="N73" s="410"/>
      <c r="O73" s="410"/>
      <c r="P73" s="449"/>
    </row>
    <row r="74" spans="1:18">
      <c r="A74" s="456"/>
      <c r="B74" s="400"/>
      <c r="C74" s="400"/>
      <c r="D74" s="474"/>
      <c r="E74" s="474"/>
      <c r="F74" s="410"/>
      <c r="G74" s="410"/>
      <c r="H74" s="410"/>
      <c r="I74" s="410"/>
      <c r="J74" s="410"/>
      <c r="K74" s="410"/>
      <c r="L74" s="410"/>
      <c r="M74" s="410"/>
      <c r="N74" s="410"/>
      <c r="O74" s="410"/>
      <c r="P74" s="449"/>
    </row>
    <row r="75" spans="1:18">
      <c r="A75" s="475" t="s">
        <v>798</v>
      </c>
      <c r="P75" s="449"/>
    </row>
    <row r="76" spans="1:18">
      <c r="A76" s="476"/>
      <c r="B76" s="476"/>
      <c r="C76" s="476"/>
      <c r="D76" s="476"/>
      <c r="E76" s="476"/>
      <c r="F76" s="476"/>
      <c r="G76" s="477"/>
      <c r="H76" s="478"/>
      <c r="I76" s="478"/>
      <c r="J76" s="478"/>
      <c r="K76" s="478"/>
      <c r="L76" s="478"/>
      <c r="M76" s="478"/>
      <c r="N76" s="478"/>
      <c r="O76" s="478"/>
      <c r="P76" s="479"/>
      <c r="Q76" s="476"/>
      <c r="R76" s="476"/>
    </row>
    <row r="77" spans="1:18">
      <c r="A77" s="476"/>
      <c r="B77" s="480"/>
      <c r="C77" s="480"/>
      <c r="D77" s="476"/>
      <c r="E77" s="476"/>
      <c r="F77" s="476"/>
      <c r="G77" s="477"/>
      <c r="H77" s="478"/>
      <c r="I77" s="478"/>
      <c r="J77" s="478"/>
      <c r="K77" s="478"/>
      <c r="L77" s="478"/>
      <c r="M77" s="478"/>
      <c r="N77" s="478"/>
      <c r="O77" s="478"/>
      <c r="P77" s="479"/>
      <c r="Q77" s="476"/>
      <c r="R77" s="476"/>
    </row>
    <row r="78" spans="1:18">
      <c r="A78" s="476"/>
      <c r="B78" s="481"/>
      <c r="C78" s="481"/>
      <c r="D78" s="476"/>
      <c r="E78" s="476"/>
      <c r="F78" s="476"/>
      <c r="G78" s="477"/>
      <c r="H78" s="478"/>
      <c r="I78" s="478"/>
      <c r="J78" s="478"/>
      <c r="K78" s="478"/>
      <c r="L78" s="478"/>
      <c r="M78" s="478"/>
      <c r="N78" s="478"/>
      <c r="O78" s="478"/>
      <c r="P78" s="479"/>
      <c r="Q78" s="476"/>
      <c r="R78" s="476"/>
    </row>
    <row r="79" spans="1:18">
      <c r="A79" s="476"/>
      <c r="B79" s="476"/>
      <c r="C79" s="476"/>
      <c r="D79" s="476"/>
      <c r="E79" s="476"/>
      <c r="F79" s="476"/>
      <c r="G79" s="477"/>
      <c r="H79" s="478"/>
      <c r="I79" s="478"/>
      <c r="J79" s="478"/>
      <c r="K79" s="478"/>
      <c r="L79" s="478"/>
      <c r="M79" s="478"/>
      <c r="N79" s="478"/>
      <c r="O79" s="478"/>
      <c r="P79" s="479"/>
      <c r="Q79" s="476"/>
      <c r="R79" s="476"/>
    </row>
    <row r="80" spans="1:18">
      <c r="A80" s="476"/>
      <c r="B80" s="476"/>
      <c r="C80" s="476"/>
      <c r="D80" s="476"/>
      <c r="E80" s="476"/>
      <c r="F80" s="476"/>
      <c r="G80" s="477"/>
      <c r="H80" s="478"/>
      <c r="I80" s="478"/>
      <c r="J80" s="478"/>
      <c r="K80" s="478"/>
      <c r="L80" s="478"/>
      <c r="M80" s="478"/>
      <c r="N80" s="478"/>
      <c r="O80" s="478"/>
      <c r="P80" s="479"/>
      <c r="Q80" s="476"/>
      <c r="R80" s="476"/>
    </row>
    <row r="81" spans="1:18">
      <c r="A81" s="476"/>
      <c r="B81" s="476"/>
      <c r="C81" s="476"/>
      <c r="D81" s="476"/>
      <c r="E81" s="476"/>
      <c r="F81" s="476"/>
      <c r="G81" s="477"/>
      <c r="H81" s="478"/>
      <c r="I81" s="478"/>
      <c r="J81" s="478"/>
      <c r="K81" s="478"/>
      <c r="L81" s="478"/>
      <c r="M81" s="478"/>
      <c r="N81" s="478"/>
      <c r="O81" s="478"/>
      <c r="P81" s="479"/>
      <c r="Q81" s="476"/>
      <c r="R81" s="476"/>
    </row>
    <row r="82" spans="1:18">
      <c r="A82" s="482"/>
      <c r="B82" s="476"/>
      <c r="C82" s="476"/>
      <c r="D82" s="476"/>
      <c r="E82" s="476"/>
      <c r="F82" s="476"/>
      <c r="G82" s="476"/>
      <c r="H82" s="476"/>
      <c r="I82" s="476"/>
      <c r="J82" s="476"/>
      <c r="K82" s="476"/>
      <c r="L82" s="476"/>
      <c r="M82" s="476"/>
      <c r="N82" s="476"/>
      <c r="O82" s="476"/>
      <c r="P82" s="476"/>
      <c r="Q82" s="476"/>
      <c r="R82" s="476"/>
    </row>
    <row r="83" spans="1:18">
      <c r="A83" s="483"/>
      <c r="B83" s="484"/>
      <c r="C83" s="484"/>
      <c r="D83" s="476"/>
      <c r="E83" s="476"/>
      <c r="F83" s="476"/>
      <c r="G83" s="476"/>
      <c r="H83" s="476"/>
      <c r="I83" s="476"/>
      <c r="J83" s="476"/>
      <c r="K83" s="476"/>
      <c r="L83" s="476"/>
      <c r="M83" s="476"/>
      <c r="N83" s="476"/>
      <c r="O83" s="476"/>
      <c r="P83" s="479"/>
      <c r="Q83" s="476"/>
      <c r="R83" s="476"/>
    </row>
    <row r="84" spans="1:18">
      <c r="A84" s="482"/>
      <c r="B84" s="481"/>
      <c r="C84" s="481"/>
      <c r="D84" s="485"/>
      <c r="E84" s="462"/>
      <c r="F84" s="462"/>
      <c r="G84" s="462"/>
      <c r="H84" s="462"/>
      <c r="I84" s="462"/>
      <c r="J84" s="462"/>
      <c r="K84" s="462"/>
      <c r="L84" s="462"/>
      <c r="M84" s="462"/>
      <c r="N84" s="462"/>
      <c r="O84" s="476"/>
      <c r="P84" s="479"/>
      <c r="Q84" s="476"/>
      <c r="R84" s="476"/>
    </row>
    <row r="85" spans="1:18">
      <c r="A85" s="482"/>
      <c r="B85" s="481"/>
      <c r="C85" s="481"/>
      <c r="D85" s="486"/>
      <c r="E85" s="486"/>
      <c r="F85" s="486"/>
      <c r="G85" s="486"/>
      <c r="H85" s="486"/>
      <c r="I85" s="486"/>
      <c r="J85" s="486"/>
      <c r="K85" s="486"/>
      <c r="L85" s="486"/>
      <c r="M85" s="486"/>
      <c r="N85" s="486"/>
      <c r="O85" s="487"/>
      <c r="P85" s="479"/>
      <c r="Q85" s="476"/>
      <c r="R85" s="476"/>
    </row>
    <row r="86" spans="1:18">
      <c r="A86" s="482"/>
      <c r="B86" s="484"/>
      <c r="C86" s="484"/>
      <c r="D86" s="488"/>
      <c r="E86" s="488"/>
      <c r="F86" s="488"/>
      <c r="G86" s="488"/>
      <c r="H86" s="488"/>
      <c r="I86" s="488"/>
      <c r="J86" s="488"/>
      <c r="K86" s="488"/>
      <c r="L86" s="488"/>
      <c r="M86" s="488"/>
      <c r="N86" s="488"/>
      <c r="O86" s="489"/>
      <c r="P86" s="479"/>
      <c r="Q86" s="476"/>
      <c r="R86" s="476"/>
    </row>
    <row r="87" spans="1:18">
      <c r="A87" s="482"/>
      <c r="B87" s="481"/>
      <c r="C87" s="481"/>
      <c r="D87" s="490"/>
      <c r="E87" s="490"/>
      <c r="F87" s="490"/>
      <c r="G87" s="490"/>
      <c r="H87" s="490"/>
      <c r="I87" s="490"/>
      <c r="J87" s="490"/>
      <c r="K87" s="490"/>
      <c r="L87" s="490"/>
      <c r="M87" s="490"/>
      <c r="N87" s="490"/>
      <c r="O87" s="490"/>
      <c r="P87" s="479"/>
      <c r="Q87" s="476"/>
      <c r="R87" s="476"/>
    </row>
    <row r="88" spans="1:18">
      <c r="A88" s="482"/>
      <c r="B88" s="481"/>
      <c r="C88" s="481"/>
      <c r="D88" s="490"/>
      <c r="E88" s="490"/>
      <c r="F88" s="490"/>
      <c r="G88" s="490"/>
      <c r="H88" s="490"/>
      <c r="I88" s="490"/>
      <c r="J88" s="490"/>
      <c r="K88" s="490"/>
      <c r="L88" s="490"/>
      <c r="M88" s="490"/>
      <c r="N88" s="490"/>
      <c r="O88" s="490"/>
      <c r="P88" s="479"/>
      <c r="Q88" s="476"/>
      <c r="R88" s="476"/>
    </row>
    <row r="89" spans="1:18">
      <c r="A89" s="482"/>
      <c r="B89" s="481"/>
      <c r="C89" s="481"/>
      <c r="D89" s="490"/>
      <c r="E89" s="490"/>
      <c r="F89" s="490"/>
      <c r="G89" s="490"/>
      <c r="H89" s="490"/>
      <c r="I89" s="490"/>
      <c r="J89" s="490"/>
      <c r="K89" s="490"/>
      <c r="L89" s="490"/>
      <c r="M89" s="490"/>
      <c r="N89" s="490"/>
      <c r="O89" s="490"/>
      <c r="P89" s="479"/>
      <c r="Q89" s="476"/>
      <c r="R89" s="476"/>
    </row>
    <row r="90" spans="1:18">
      <c r="A90" s="482"/>
      <c r="B90" s="481"/>
      <c r="C90" s="481"/>
      <c r="D90" s="491"/>
      <c r="E90" s="491"/>
      <c r="F90" s="491"/>
      <c r="G90" s="491"/>
      <c r="H90" s="491"/>
      <c r="I90" s="491"/>
      <c r="J90" s="491"/>
      <c r="K90" s="491"/>
      <c r="L90" s="491"/>
      <c r="M90" s="491"/>
      <c r="N90" s="491"/>
      <c r="O90" s="491"/>
      <c r="P90" s="479"/>
      <c r="Q90" s="476"/>
      <c r="R90" s="476"/>
    </row>
    <row r="91" spans="1:18">
      <c r="A91" s="482"/>
      <c r="B91" s="481"/>
      <c r="C91" s="481"/>
      <c r="D91" s="492"/>
      <c r="E91" s="492"/>
      <c r="F91" s="492"/>
      <c r="G91" s="492"/>
      <c r="H91" s="492"/>
      <c r="I91" s="492"/>
      <c r="J91" s="492"/>
      <c r="K91" s="492"/>
      <c r="L91" s="492"/>
      <c r="M91" s="492"/>
      <c r="N91" s="492"/>
      <c r="O91" s="492"/>
      <c r="P91" s="479"/>
      <c r="Q91" s="476"/>
      <c r="R91" s="476"/>
    </row>
    <row r="92" spans="1:18">
      <c r="A92" s="482"/>
      <c r="B92" s="476"/>
      <c r="C92" s="476"/>
      <c r="D92" s="493"/>
      <c r="E92" s="493"/>
      <c r="F92" s="493"/>
      <c r="G92" s="493"/>
      <c r="H92" s="493"/>
      <c r="I92" s="493"/>
      <c r="J92" s="493"/>
      <c r="K92" s="493"/>
      <c r="L92" s="493"/>
      <c r="M92" s="493"/>
      <c r="N92" s="493"/>
      <c r="O92" s="493"/>
      <c r="P92" s="479"/>
      <c r="Q92" s="476"/>
      <c r="R92" s="476"/>
    </row>
    <row r="93" spans="1:18">
      <c r="A93" s="482"/>
      <c r="B93" s="481"/>
      <c r="C93" s="481"/>
      <c r="D93" s="476"/>
      <c r="E93" s="476"/>
      <c r="F93" s="476"/>
      <c r="G93" s="476"/>
      <c r="H93" s="476"/>
      <c r="I93" s="476"/>
      <c r="J93" s="476"/>
      <c r="K93" s="476"/>
      <c r="L93" s="476"/>
      <c r="M93" s="476"/>
      <c r="N93" s="476"/>
      <c r="O93" s="476"/>
      <c r="P93" s="479"/>
      <c r="Q93" s="476"/>
      <c r="R93" s="476"/>
    </row>
    <row r="94" spans="1:18">
      <c r="A94" s="482"/>
      <c r="B94" s="484"/>
      <c r="C94" s="484"/>
      <c r="D94" s="476"/>
      <c r="E94" s="476"/>
      <c r="F94" s="476"/>
      <c r="G94" s="476"/>
      <c r="H94" s="476"/>
      <c r="I94" s="476"/>
      <c r="J94" s="476"/>
      <c r="K94" s="476"/>
      <c r="L94" s="476"/>
      <c r="M94" s="476"/>
      <c r="N94" s="476"/>
      <c r="O94" s="476"/>
      <c r="P94" s="479"/>
      <c r="Q94" s="476"/>
      <c r="R94" s="476"/>
    </row>
    <row r="95" spans="1:18">
      <c r="A95" s="482"/>
      <c r="B95" s="481"/>
      <c r="C95" s="481"/>
      <c r="D95" s="494"/>
      <c r="E95" s="494"/>
      <c r="F95" s="494"/>
      <c r="G95" s="494"/>
      <c r="H95" s="494"/>
      <c r="I95" s="494"/>
      <c r="J95" s="494"/>
      <c r="K95" s="494"/>
      <c r="L95" s="494"/>
      <c r="M95" s="494"/>
      <c r="N95" s="494"/>
      <c r="O95" s="494"/>
      <c r="P95" s="479"/>
      <c r="Q95" s="476"/>
      <c r="R95" s="476"/>
    </row>
    <row r="96" spans="1:18">
      <c r="A96" s="482"/>
      <c r="B96" s="481"/>
      <c r="C96" s="481"/>
      <c r="D96" s="494"/>
      <c r="E96" s="494"/>
      <c r="F96" s="494"/>
      <c r="G96" s="494"/>
      <c r="H96" s="494"/>
      <c r="I96" s="494"/>
      <c r="J96" s="494"/>
      <c r="K96" s="494"/>
      <c r="L96" s="494"/>
      <c r="M96" s="494"/>
      <c r="N96" s="494"/>
      <c r="O96" s="494"/>
      <c r="P96" s="479"/>
      <c r="Q96" s="476"/>
      <c r="R96" s="476"/>
    </row>
    <row r="97" spans="1:18">
      <c r="A97" s="482"/>
      <c r="B97" s="481"/>
      <c r="C97" s="481"/>
      <c r="D97" s="494"/>
      <c r="E97" s="494"/>
      <c r="F97" s="494"/>
      <c r="G97" s="494"/>
      <c r="H97" s="494"/>
      <c r="I97" s="494"/>
      <c r="J97" s="494"/>
      <c r="K97" s="494"/>
      <c r="L97" s="494"/>
      <c r="M97" s="494"/>
      <c r="N97" s="494"/>
      <c r="O97" s="494"/>
      <c r="P97" s="479"/>
      <c r="Q97" s="476"/>
      <c r="R97" s="476"/>
    </row>
    <row r="98" spans="1:18">
      <c r="A98" s="482"/>
      <c r="B98" s="481"/>
      <c r="C98" s="481"/>
      <c r="D98" s="495"/>
      <c r="E98" s="495"/>
      <c r="F98" s="495"/>
      <c r="G98" s="495"/>
      <c r="H98" s="495"/>
      <c r="I98" s="495"/>
      <c r="J98" s="495"/>
      <c r="K98" s="495"/>
      <c r="L98" s="495"/>
      <c r="M98" s="495"/>
      <c r="N98" s="495"/>
      <c r="O98" s="495"/>
      <c r="P98" s="479"/>
      <c r="Q98" s="476"/>
      <c r="R98" s="476"/>
    </row>
    <row r="99" spans="1:18">
      <c r="A99" s="482"/>
      <c r="B99" s="481"/>
      <c r="C99" s="481"/>
      <c r="D99" s="492"/>
      <c r="E99" s="492"/>
      <c r="F99" s="492"/>
      <c r="G99" s="492"/>
      <c r="H99" s="492"/>
      <c r="I99" s="492"/>
      <c r="J99" s="492"/>
      <c r="K99" s="492"/>
      <c r="L99" s="492"/>
      <c r="M99" s="492"/>
      <c r="N99" s="492"/>
      <c r="O99" s="492"/>
      <c r="P99" s="479"/>
      <c r="Q99" s="476"/>
      <c r="R99" s="476"/>
    </row>
    <row r="100" spans="1:18">
      <c r="A100" s="482"/>
      <c r="B100" s="476"/>
      <c r="C100" s="476"/>
      <c r="D100" s="493"/>
      <c r="E100" s="493"/>
      <c r="F100" s="493"/>
      <c r="G100" s="493"/>
      <c r="H100" s="493"/>
      <c r="I100" s="493"/>
      <c r="J100" s="493"/>
      <c r="K100" s="493"/>
      <c r="L100" s="493"/>
      <c r="M100" s="493"/>
      <c r="N100" s="493"/>
      <c r="O100" s="493"/>
      <c r="P100" s="479"/>
      <c r="Q100" s="476"/>
      <c r="R100" s="476"/>
    </row>
    <row r="101" spans="1:18">
      <c r="A101" s="482"/>
      <c r="B101" s="481"/>
      <c r="C101" s="481"/>
      <c r="D101" s="476"/>
      <c r="E101" s="476"/>
      <c r="F101" s="476"/>
      <c r="G101" s="476"/>
      <c r="H101" s="476"/>
      <c r="I101" s="476"/>
      <c r="J101" s="476"/>
      <c r="K101" s="476"/>
      <c r="L101" s="476"/>
      <c r="M101" s="476"/>
      <c r="N101" s="476"/>
      <c r="O101" s="476"/>
      <c r="P101" s="479"/>
      <c r="Q101" s="476"/>
      <c r="R101" s="476"/>
    </row>
    <row r="102" spans="1:18">
      <c r="A102" s="482"/>
      <c r="B102" s="484"/>
      <c r="C102" s="484"/>
      <c r="D102" s="476"/>
      <c r="E102" s="476"/>
      <c r="F102" s="476"/>
      <c r="G102" s="476"/>
      <c r="H102" s="476"/>
      <c r="I102" s="476"/>
      <c r="J102" s="476"/>
      <c r="K102" s="476"/>
      <c r="L102" s="476"/>
      <c r="M102" s="476"/>
      <c r="N102" s="476"/>
      <c r="O102" s="476"/>
      <c r="P102" s="479"/>
      <c r="Q102" s="476"/>
      <c r="R102" s="476"/>
    </row>
    <row r="103" spans="1:18">
      <c r="A103" s="482"/>
      <c r="B103" s="481"/>
      <c r="C103" s="481"/>
      <c r="D103" s="494"/>
      <c r="E103" s="494"/>
      <c r="F103" s="494"/>
      <c r="G103" s="494"/>
      <c r="H103" s="494"/>
      <c r="I103" s="494"/>
      <c r="J103" s="494"/>
      <c r="K103" s="494"/>
      <c r="L103" s="494"/>
      <c r="M103" s="494"/>
      <c r="N103" s="494"/>
      <c r="O103" s="494"/>
      <c r="P103" s="479"/>
      <c r="Q103" s="476"/>
      <c r="R103" s="476"/>
    </row>
    <row r="104" spans="1:18">
      <c r="A104" s="482"/>
      <c r="B104" s="481"/>
      <c r="C104" s="481"/>
      <c r="D104" s="494"/>
      <c r="E104" s="494"/>
      <c r="F104" s="494"/>
      <c r="G104" s="494"/>
      <c r="H104" s="494"/>
      <c r="I104" s="494"/>
      <c r="J104" s="494"/>
      <c r="K104" s="494"/>
      <c r="L104" s="494"/>
      <c r="M104" s="494"/>
      <c r="N104" s="494"/>
      <c r="O104" s="494"/>
      <c r="P104" s="479"/>
      <c r="Q104" s="476"/>
      <c r="R104" s="476"/>
    </row>
    <row r="105" spans="1:18">
      <c r="A105" s="482"/>
      <c r="B105" s="481"/>
      <c r="C105" s="481"/>
      <c r="D105" s="494"/>
      <c r="E105" s="494"/>
      <c r="F105" s="494"/>
      <c r="G105" s="494"/>
      <c r="H105" s="494"/>
      <c r="I105" s="494"/>
      <c r="J105" s="494"/>
      <c r="K105" s="494"/>
      <c r="L105" s="494"/>
      <c r="M105" s="494"/>
      <c r="N105" s="494"/>
      <c r="O105" s="494"/>
      <c r="P105" s="479"/>
      <c r="Q105" s="476"/>
      <c r="R105" s="476"/>
    </row>
    <row r="106" spans="1:18">
      <c r="A106" s="482"/>
      <c r="B106" s="481"/>
      <c r="C106" s="481"/>
      <c r="D106" s="495"/>
      <c r="E106" s="495"/>
      <c r="F106" s="495"/>
      <c r="G106" s="495"/>
      <c r="H106" s="495"/>
      <c r="I106" s="495"/>
      <c r="J106" s="495"/>
      <c r="K106" s="495"/>
      <c r="L106" s="495"/>
      <c r="M106" s="495"/>
      <c r="N106" s="495"/>
      <c r="O106" s="495"/>
      <c r="P106" s="479"/>
      <c r="Q106" s="476"/>
      <c r="R106" s="476"/>
    </row>
    <row r="107" spans="1:18">
      <c r="A107" s="482"/>
      <c r="B107" s="481"/>
      <c r="C107" s="481"/>
      <c r="D107" s="492"/>
      <c r="E107" s="492"/>
      <c r="F107" s="492"/>
      <c r="G107" s="492"/>
      <c r="H107" s="492"/>
      <c r="I107" s="492"/>
      <c r="J107" s="492"/>
      <c r="K107" s="492"/>
      <c r="L107" s="492"/>
      <c r="M107" s="492"/>
      <c r="N107" s="492"/>
      <c r="O107" s="492"/>
      <c r="P107" s="479"/>
      <c r="Q107" s="476"/>
      <c r="R107" s="476"/>
    </row>
    <row r="108" spans="1:18">
      <c r="A108" s="482"/>
      <c r="B108" s="476"/>
      <c r="C108" s="476"/>
      <c r="D108" s="493"/>
      <c r="E108" s="493"/>
      <c r="F108" s="493"/>
      <c r="G108" s="493"/>
      <c r="H108" s="493"/>
      <c r="I108" s="493"/>
      <c r="J108" s="493"/>
      <c r="K108" s="493"/>
      <c r="L108" s="493"/>
      <c r="M108" s="493"/>
      <c r="N108" s="493"/>
      <c r="O108" s="493"/>
      <c r="P108" s="479"/>
      <c r="Q108" s="476"/>
      <c r="R108" s="476"/>
    </row>
    <row r="109" spans="1:18">
      <c r="A109" s="482"/>
      <c r="B109" s="481"/>
      <c r="C109" s="481"/>
      <c r="D109" s="476"/>
      <c r="E109" s="476"/>
      <c r="F109" s="476"/>
      <c r="G109" s="476"/>
      <c r="H109" s="476"/>
      <c r="I109" s="476"/>
      <c r="J109" s="476"/>
      <c r="K109" s="476"/>
      <c r="L109" s="476"/>
      <c r="M109" s="476"/>
      <c r="N109" s="476"/>
      <c r="O109" s="476"/>
      <c r="P109" s="479"/>
      <c r="Q109" s="476"/>
      <c r="R109" s="476"/>
    </row>
    <row r="110" spans="1:18">
      <c r="A110" s="482"/>
      <c r="B110" s="484"/>
      <c r="C110" s="484"/>
      <c r="D110" s="476"/>
      <c r="E110" s="476"/>
      <c r="F110" s="476"/>
      <c r="G110" s="476"/>
      <c r="H110" s="476"/>
      <c r="I110" s="476"/>
      <c r="J110" s="476"/>
      <c r="K110" s="476"/>
      <c r="L110" s="476"/>
      <c r="M110" s="476"/>
      <c r="N110" s="476"/>
      <c r="O110" s="476"/>
      <c r="P110" s="479"/>
      <c r="Q110" s="476"/>
      <c r="R110" s="476"/>
    </row>
    <row r="111" spans="1:18">
      <c r="A111" s="482"/>
      <c r="B111" s="481"/>
      <c r="C111" s="481"/>
      <c r="D111" s="494"/>
      <c r="E111" s="494"/>
      <c r="F111" s="494"/>
      <c r="G111" s="494"/>
      <c r="H111" s="494"/>
      <c r="I111" s="494"/>
      <c r="J111" s="494"/>
      <c r="K111" s="494"/>
      <c r="L111" s="494"/>
      <c r="M111" s="494"/>
      <c r="N111" s="494"/>
      <c r="O111" s="494"/>
      <c r="P111" s="479"/>
      <c r="Q111" s="476"/>
      <c r="R111" s="476"/>
    </row>
    <row r="112" spans="1:18">
      <c r="A112" s="482"/>
      <c r="B112" s="481"/>
      <c r="C112" s="481"/>
      <c r="D112" s="494"/>
      <c r="E112" s="494"/>
      <c r="F112" s="494"/>
      <c r="G112" s="494"/>
      <c r="H112" s="494"/>
      <c r="I112" s="494"/>
      <c r="J112" s="494"/>
      <c r="K112" s="494"/>
      <c r="L112" s="494"/>
      <c r="M112" s="494"/>
      <c r="N112" s="494"/>
      <c r="O112" s="494"/>
      <c r="P112" s="479"/>
      <c r="Q112" s="476"/>
      <c r="R112" s="476"/>
    </row>
    <row r="113" spans="1:18">
      <c r="A113" s="482"/>
      <c r="B113" s="481"/>
      <c r="C113" s="481"/>
      <c r="D113" s="494"/>
      <c r="E113" s="494"/>
      <c r="F113" s="494"/>
      <c r="G113" s="494"/>
      <c r="H113" s="494"/>
      <c r="I113" s="494"/>
      <c r="J113" s="494"/>
      <c r="K113" s="494"/>
      <c r="L113" s="494"/>
      <c r="M113" s="494"/>
      <c r="N113" s="494"/>
      <c r="O113" s="494"/>
      <c r="P113" s="479"/>
      <c r="Q113" s="476"/>
      <c r="R113" s="476"/>
    </row>
    <row r="114" spans="1:18">
      <c r="A114" s="481"/>
      <c r="B114" s="476"/>
      <c r="C114" s="476"/>
      <c r="D114" s="476"/>
      <c r="E114" s="476"/>
      <c r="F114" s="476"/>
      <c r="G114" s="476"/>
      <c r="H114" s="476"/>
      <c r="I114" s="476"/>
      <c r="J114" s="476"/>
      <c r="K114" s="476"/>
      <c r="L114" s="476"/>
      <c r="M114" s="476"/>
      <c r="N114" s="476"/>
      <c r="O114" s="476"/>
      <c r="P114" s="479"/>
      <c r="Q114" s="476"/>
      <c r="R114" s="476"/>
    </row>
    <row r="115" spans="1:18">
      <c r="A115" s="476"/>
      <c r="B115" s="476"/>
      <c r="C115" s="476"/>
      <c r="D115" s="476"/>
      <c r="E115" s="476"/>
      <c r="F115" s="476"/>
      <c r="G115" s="481"/>
      <c r="H115" s="476"/>
      <c r="I115" s="476"/>
      <c r="J115" s="476"/>
      <c r="K115" s="476"/>
      <c r="L115" s="476"/>
      <c r="M115" s="476"/>
      <c r="N115" s="476"/>
      <c r="O115" s="476"/>
      <c r="P115" s="479"/>
      <c r="Q115" s="476"/>
      <c r="R115" s="476"/>
    </row>
    <row r="116" spans="1:18">
      <c r="A116" s="476"/>
      <c r="B116" s="480"/>
      <c r="C116" s="480"/>
      <c r="D116" s="476"/>
      <c r="E116" s="476"/>
      <c r="F116" s="476"/>
      <c r="G116" s="477"/>
      <c r="H116" s="478"/>
      <c r="I116" s="478"/>
      <c r="J116" s="478"/>
      <c r="K116" s="478"/>
      <c r="L116" s="478"/>
      <c r="M116" s="478"/>
      <c r="N116" s="478"/>
      <c r="O116" s="478"/>
      <c r="P116" s="479"/>
      <c r="Q116" s="476"/>
      <c r="R116" s="476"/>
    </row>
    <row r="117" spans="1:18">
      <c r="A117" s="476"/>
      <c r="B117" s="481"/>
      <c r="C117" s="481"/>
      <c r="D117" s="476"/>
      <c r="E117" s="476"/>
      <c r="F117" s="476"/>
      <c r="G117" s="481"/>
      <c r="H117" s="476"/>
      <c r="I117" s="476"/>
      <c r="J117" s="476"/>
      <c r="K117" s="476"/>
      <c r="L117" s="476"/>
      <c r="M117" s="476"/>
      <c r="N117" s="476"/>
      <c r="O117" s="476"/>
      <c r="P117" s="479"/>
      <c r="Q117" s="476"/>
      <c r="R117" s="476"/>
    </row>
    <row r="118" spans="1:18">
      <c r="A118" s="476"/>
      <c r="B118" s="476"/>
      <c r="C118" s="476"/>
      <c r="D118" s="476"/>
      <c r="E118" s="476"/>
      <c r="F118" s="476"/>
      <c r="G118" s="481"/>
      <c r="H118" s="476"/>
      <c r="I118" s="476"/>
      <c r="J118" s="476"/>
      <c r="K118" s="476"/>
      <c r="L118" s="476"/>
      <c r="M118" s="476"/>
      <c r="N118" s="476"/>
      <c r="O118" s="476"/>
      <c r="P118" s="479"/>
      <c r="Q118" s="476"/>
      <c r="R118" s="476"/>
    </row>
    <row r="119" spans="1:18">
      <c r="A119" s="476"/>
      <c r="B119" s="476"/>
      <c r="C119" s="476"/>
      <c r="D119" s="476"/>
      <c r="E119" s="476"/>
      <c r="F119" s="476"/>
      <c r="G119" s="480"/>
      <c r="H119" s="476"/>
      <c r="I119" s="476"/>
      <c r="J119" s="476"/>
      <c r="K119" s="476"/>
      <c r="L119" s="476"/>
      <c r="M119" s="476"/>
      <c r="N119" s="476"/>
      <c r="O119" s="476"/>
      <c r="P119" s="479"/>
      <c r="Q119" s="476"/>
      <c r="R119" s="476"/>
    </row>
    <row r="120" spans="1:18">
      <c r="A120" s="482"/>
      <c r="B120" s="476"/>
      <c r="C120" s="476"/>
      <c r="D120" s="476"/>
      <c r="E120" s="476"/>
      <c r="F120" s="476"/>
      <c r="G120" s="476"/>
      <c r="H120" s="476"/>
      <c r="I120" s="476"/>
      <c r="J120" s="476"/>
      <c r="K120" s="476"/>
      <c r="L120" s="476"/>
      <c r="M120" s="476"/>
      <c r="N120" s="476"/>
      <c r="O120" s="476"/>
      <c r="P120" s="479"/>
      <c r="Q120" s="476"/>
      <c r="R120" s="476"/>
    </row>
    <row r="121" spans="1:18">
      <c r="A121" s="483"/>
      <c r="B121" s="484"/>
      <c r="C121" s="484"/>
      <c r="D121" s="476"/>
      <c r="E121" s="476"/>
      <c r="F121" s="476"/>
      <c r="G121" s="476"/>
      <c r="H121" s="476"/>
      <c r="I121" s="476"/>
      <c r="J121" s="476"/>
      <c r="K121" s="476"/>
      <c r="L121" s="476"/>
      <c r="M121" s="476"/>
      <c r="N121" s="476"/>
      <c r="O121" s="476"/>
      <c r="P121" s="479"/>
      <c r="Q121" s="476"/>
      <c r="R121" s="476"/>
    </row>
    <row r="122" spans="1:18">
      <c r="A122" s="482"/>
      <c r="B122" s="481"/>
      <c r="C122" s="481"/>
      <c r="D122" s="485"/>
      <c r="E122" s="462"/>
      <c r="F122" s="462"/>
      <c r="G122" s="462"/>
      <c r="H122" s="462"/>
      <c r="I122" s="462"/>
      <c r="J122" s="462"/>
      <c r="K122" s="462"/>
      <c r="L122" s="462"/>
      <c r="M122" s="462"/>
      <c r="N122" s="462"/>
      <c r="O122" s="476"/>
      <c r="P122" s="479"/>
      <c r="Q122" s="476"/>
      <c r="R122" s="476"/>
    </row>
    <row r="123" spans="1:18">
      <c r="A123" s="482"/>
      <c r="B123" s="481"/>
      <c r="C123" s="481"/>
      <c r="D123" s="486"/>
      <c r="E123" s="486"/>
      <c r="F123" s="486"/>
      <c r="G123" s="486"/>
      <c r="H123" s="486"/>
      <c r="I123" s="486"/>
      <c r="J123" s="486"/>
      <c r="K123" s="486"/>
      <c r="L123" s="486"/>
      <c r="M123" s="486"/>
      <c r="N123" s="486"/>
      <c r="O123" s="487"/>
      <c r="P123" s="479"/>
      <c r="Q123" s="476"/>
      <c r="R123" s="476"/>
    </row>
    <row r="124" spans="1:18">
      <c r="A124" s="482"/>
      <c r="B124" s="484"/>
      <c r="C124" s="484"/>
      <c r="D124" s="488"/>
      <c r="E124" s="488"/>
      <c r="F124" s="488"/>
      <c r="G124" s="488"/>
      <c r="H124" s="488"/>
      <c r="I124" s="488"/>
      <c r="J124" s="488"/>
      <c r="K124" s="488"/>
      <c r="L124" s="488"/>
      <c r="M124" s="488"/>
      <c r="N124" s="488"/>
      <c r="O124" s="489"/>
      <c r="P124" s="476"/>
      <c r="Q124" s="476"/>
      <c r="R124" s="476"/>
    </row>
    <row r="125" spans="1:18">
      <c r="A125" s="482"/>
      <c r="B125" s="481"/>
      <c r="C125" s="481"/>
      <c r="D125" s="494"/>
      <c r="E125" s="494"/>
      <c r="F125" s="494"/>
      <c r="G125" s="494"/>
      <c r="H125" s="494"/>
      <c r="I125" s="494"/>
      <c r="J125" s="494"/>
      <c r="K125" s="494"/>
      <c r="L125" s="494"/>
      <c r="M125" s="494"/>
      <c r="N125" s="494"/>
      <c r="O125" s="494"/>
      <c r="P125" s="476"/>
      <c r="Q125" s="476"/>
      <c r="R125" s="476"/>
    </row>
    <row r="126" spans="1:18">
      <c r="A126" s="482"/>
      <c r="B126" s="481"/>
      <c r="C126" s="481"/>
      <c r="D126" s="494"/>
      <c r="E126" s="494"/>
      <c r="F126" s="494"/>
      <c r="G126" s="494"/>
      <c r="H126" s="494"/>
      <c r="I126" s="494"/>
      <c r="J126" s="494"/>
      <c r="K126" s="494"/>
      <c r="L126" s="494"/>
      <c r="M126" s="494"/>
      <c r="N126" s="494"/>
      <c r="O126" s="494"/>
      <c r="P126" s="476"/>
      <c r="Q126" s="476"/>
      <c r="R126" s="476"/>
    </row>
    <row r="127" spans="1:18">
      <c r="A127" s="482"/>
      <c r="B127" s="481"/>
      <c r="C127" s="481"/>
      <c r="D127" s="494"/>
      <c r="E127" s="494"/>
      <c r="F127" s="494"/>
      <c r="G127" s="494"/>
      <c r="H127" s="494"/>
      <c r="I127" s="494"/>
      <c r="J127" s="494"/>
      <c r="K127" s="494"/>
      <c r="L127" s="494"/>
      <c r="M127" s="494"/>
      <c r="N127" s="494"/>
      <c r="O127" s="494"/>
      <c r="P127" s="476"/>
      <c r="Q127" s="476"/>
      <c r="R127" s="476"/>
    </row>
    <row r="128" spans="1:18">
      <c r="A128" s="482"/>
      <c r="B128" s="481"/>
      <c r="C128" s="481"/>
      <c r="D128" s="491"/>
      <c r="E128" s="491"/>
      <c r="F128" s="491"/>
      <c r="G128" s="491"/>
      <c r="H128" s="491"/>
      <c r="I128" s="491"/>
      <c r="J128" s="491"/>
      <c r="K128" s="491"/>
      <c r="L128" s="491"/>
      <c r="M128" s="491"/>
      <c r="N128" s="491"/>
      <c r="O128" s="491"/>
      <c r="P128" s="476"/>
      <c r="Q128" s="476"/>
      <c r="R128" s="476"/>
    </row>
    <row r="129" spans="1:18">
      <c r="A129" s="482"/>
      <c r="B129" s="481"/>
      <c r="C129" s="481"/>
      <c r="D129" s="492"/>
      <c r="E129" s="492"/>
      <c r="F129" s="492"/>
      <c r="G129" s="492"/>
      <c r="H129" s="492"/>
      <c r="I129" s="492"/>
      <c r="J129" s="492"/>
      <c r="K129" s="492"/>
      <c r="L129" s="492"/>
      <c r="M129" s="492"/>
      <c r="N129" s="492"/>
      <c r="O129" s="492"/>
      <c r="P129" s="476"/>
      <c r="Q129" s="476"/>
      <c r="R129" s="476"/>
    </row>
    <row r="130" spans="1:18">
      <c r="A130" s="482"/>
      <c r="B130" s="476"/>
      <c r="C130" s="476"/>
      <c r="D130" s="493"/>
      <c r="E130" s="493"/>
      <c r="F130" s="493"/>
      <c r="G130" s="493"/>
      <c r="H130" s="493"/>
      <c r="I130" s="493"/>
      <c r="J130" s="493"/>
      <c r="K130" s="493"/>
      <c r="L130" s="493"/>
      <c r="M130" s="493"/>
      <c r="N130" s="493"/>
      <c r="O130" s="493"/>
      <c r="P130" s="476"/>
      <c r="Q130" s="476"/>
      <c r="R130" s="476"/>
    </row>
    <row r="131" spans="1:18">
      <c r="A131" s="482"/>
      <c r="B131" s="481"/>
      <c r="C131" s="481"/>
      <c r="D131" s="476"/>
      <c r="E131" s="476"/>
      <c r="F131" s="476"/>
      <c r="G131" s="476"/>
      <c r="H131" s="476"/>
      <c r="I131" s="476"/>
      <c r="J131" s="476"/>
      <c r="K131" s="476"/>
      <c r="L131" s="476"/>
      <c r="M131" s="476"/>
      <c r="N131" s="476"/>
      <c r="O131" s="476"/>
      <c r="P131" s="476"/>
      <c r="Q131" s="476"/>
      <c r="R131" s="476"/>
    </row>
    <row r="132" spans="1:18">
      <c r="A132" s="482"/>
      <c r="B132" s="484"/>
      <c r="C132" s="484"/>
      <c r="D132" s="476"/>
      <c r="E132" s="476"/>
      <c r="F132" s="476"/>
      <c r="G132" s="476"/>
      <c r="H132" s="476"/>
      <c r="I132" s="476"/>
      <c r="J132" s="476"/>
      <c r="K132" s="476"/>
      <c r="L132" s="476"/>
      <c r="M132" s="476"/>
      <c r="N132" s="476"/>
      <c r="O132" s="476"/>
      <c r="P132" s="476"/>
      <c r="Q132" s="476"/>
      <c r="R132" s="476"/>
    </row>
    <row r="133" spans="1:18">
      <c r="A133" s="482"/>
      <c r="B133" s="481"/>
      <c r="C133" s="481"/>
      <c r="D133" s="494"/>
      <c r="E133" s="494"/>
      <c r="F133" s="494"/>
      <c r="G133" s="494"/>
      <c r="H133" s="494"/>
      <c r="I133" s="494"/>
      <c r="J133" s="494"/>
      <c r="K133" s="494"/>
      <c r="L133" s="494"/>
      <c r="M133" s="494"/>
      <c r="N133" s="494"/>
      <c r="O133" s="494"/>
      <c r="P133" s="476"/>
      <c r="Q133" s="476"/>
      <c r="R133" s="476"/>
    </row>
    <row r="134" spans="1:18">
      <c r="A134" s="482"/>
      <c r="B134" s="481"/>
      <c r="C134" s="481"/>
      <c r="D134" s="494"/>
      <c r="E134" s="494"/>
      <c r="F134" s="494"/>
      <c r="G134" s="494"/>
      <c r="H134" s="494"/>
      <c r="I134" s="494"/>
      <c r="J134" s="494"/>
      <c r="K134" s="494"/>
      <c r="L134" s="494"/>
      <c r="M134" s="494"/>
      <c r="N134" s="494"/>
      <c r="O134" s="494"/>
      <c r="P134" s="476"/>
      <c r="Q134" s="476"/>
      <c r="R134" s="476"/>
    </row>
    <row r="135" spans="1:18">
      <c r="A135" s="482"/>
      <c r="B135" s="481"/>
      <c r="C135" s="481"/>
      <c r="D135" s="494"/>
      <c r="E135" s="494"/>
      <c r="F135" s="494"/>
      <c r="G135" s="494"/>
      <c r="H135" s="494"/>
      <c r="I135" s="494"/>
      <c r="J135" s="494"/>
      <c r="K135" s="494"/>
      <c r="L135" s="494"/>
      <c r="M135" s="494"/>
      <c r="N135" s="494"/>
      <c r="O135" s="494"/>
      <c r="P135" s="476"/>
      <c r="Q135" s="476"/>
      <c r="R135" s="476"/>
    </row>
    <row r="136" spans="1:18">
      <c r="A136" s="482"/>
      <c r="B136" s="481"/>
      <c r="C136" s="481"/>
      <c r="D136" s="491"/>
      <c r="E136" s="491"/>
      <c r="F136" s="491"/>
      <c r="G136" s="491"/>
      <c r="H136" s="491"/>
      <c r="I136" s="491"/>
      <c r="J136" s="491"/>
      <c r="K136" s="491"/>
      <c r="L136" s="491"/>
      <c r="M136" s="491"/>
      <c r="N136" s="491"/>
      <c r="O136" s="491"/>
      <c r="P136" s="476"/>
      <c r="Q136" s="476"/>
      <c r="R136" s="476"/>
    </row>
    <row r="137" spans="1:18">
      <c r="A137" s="482"/>
      <c r="B137" s="481"/>
      <c r="C137" s="481"/>
      <c r="D137" s="492"/>
      <c r="E137" s="492"/>
      <c r="F137" s="492"/>
      <c r="G137" s="492"/>
      <c r="H137" s="492"/>
      <c r="I137" s="492"/>
      <c r="J137" s="492"/>
      <c r="K137" s="492"/>
      <c r="L137" s="492"/>
      <c r="M137" s="492"/>
      <c r="N137" s="492"/>
      <c r="O137" s="492"/>
      <c r="P137" s="476"/>
      <c r="Q137" s="476"/>
      <c r="R137" s="476"/>
    </row>
    <row r="138" spans="1:18">
      <c r="A138" s="482"/>
      <c r="B138" s="476"/>
      <c r="C138" s="476"/>
      <c r="D138" s="493"/>
      <c r="E138" s="493"/>
      <c r="F138" s="493"/>
      <c r="G138" s="493"/>
      <c r="H138" s="493"/>
      <c r="I138" s="493"/>
      <c r="J138" s="493"/>
      <c r="K138" s="493"/>
      <c r="L138" s="493"/>
      <c r="M138" s="493"/>
      <c r="N138" s="493"/>
      <c r="O138" s="493"/>
      <c r="P138" s="476"/>
      <c r="Q138" s="476"/>
      <c r="R138" s="476"/>
    </row>
    <row r="139" spans="1:18">
      <c r="A139" s="482"/>
      <c r="B139" s="481"/>
      <c r="C139" s="481"/>
      <c r="D139" s="476"/>
      <c r="E139" s="476"/>
      <c r="F139" s="476"/>
      <c r="G139" s="476"/>
      <c r="H139" s="476"/>
      <c r="I139" s="476"/>
      <c r="J139" s="476"/>
      <c r="K139" s="476"/>
      <c r="L139" s="476"/>
      <c r="M139" s="476"/>
      <c r="N139" s="476"/>
      <c r="O139" s="476"/>
      <c r="P139" s="476"/>
      <c r="Q139" s="476"/>
      <c r="R139" s="476"/>
    </row>
    <row r="140" spans="1:18">
      <c r="A140" s="482"/>
      <c r="B140" s="484"/>
      <c r="C140" s="484"/>
      <c r="D140" s="476"/>
      <c r="E140" s="476"/>
      <c r="F140" s="476"/>
      <c r="G140" s="476"/>
      <c r="H140" s="476"/>
      <c r="I140" s="476"/>
      <c r="J140" s="476"/>
      <c r="K140" s="476"/>
      <c r="L140" s="476"/>
      <c r="M140" s="476"/>
      <c r="N140" s="476"/>
      <c r="O140" s="476"/>
      <c r="P140" s="476"/>
      <c r="Q140" s="476"/>
      <c r="R140" s="476"/>
    </row>
    <row r="141" spans="1:18">
      <c r="A141" s="482"/>
      <c r="B141" s="481"/>
      <c r="C141" s="481"/>
      <c r="D141" s="494"/>
      <c r="E141" s="494"/>
      <c r="F141" s="494"/>
      <c r="G141" s="494"/>
      <c r="H141" s="494"/>
      <c r="I141" s="494"/>
      <c r="J141" s="494"/>
      <c r="K141" s="494"/>
      <c r="L141" s="494"/>
      <c r="M141" s="494"/>
      <c r="N141" s="494"/>
      <c r="O141" s="494"/>
      <c r="P141" s="476"/>
      <c r="Q141" s="476"/>
      <c r="R141" s="476"/>
    </row>
    <row r="142" spans="1:18">
      <c r="A142" s="482"/>
      <c r="B142" s="481"/>
      <c r="C142" s="481"/>
      <c r="D142" s="494"/>
      <c r="E142" s="494"/>
      <c r="F142" s="494"/>
      <c r="G142" s="494"/>
      <c r="H142" s="494"/>
      <c r="I142" s="494"/>
      <c r="J142" s="494"/>
      <c r="K142" s="494"/>
      <c r="L142" s="494"/>
      <c r="M142" s="494"/>
      <c r="N142" s="494"/>
      <c r="O142" s="494"/>
      <c r="P142" s="476"/>
      <c r="Q142" s="476"/>
      <c r="R142" s="476"/>
    </row>
    <row r="143" spans="1:18">
      <c r="A143" s="482"/>
      <c r="B143" s="481"/>
      <c r="C143" s="481"/>
      <c r="D143" s="494"/>
      <c r="E143" s="494"/>
      <c r="F143" s="494"/>
      <c r="G143" s="494"/>
      <c r="H143" s="494"/>
      <c r="I143" s="494"/>
      <c r="J143" s="494"/>
      <c r="K143" s="494"/>
      <c r="L143" s="494"/>
      <c r="M143" s="494"/>
      <c r="N143" s="494"/>
      <c r="O143" s="494"/>
      <c r="P143" s="476"/>
      <c r="Q143" s="476"/>
      <c r="R143" s="476"/>
    </row>
    <row r="144" spans="1:18">
      <c r="A144" s="482"/>
      <c r="B144" s="481"/>
      <c r="C144" s="481"/>
      <c r="D144" s="491"/>
      <c r="E144" s="491"/>
      <c r="F144" s="491"/>
      <c r="G144" s="491"/>
      <c r="H144" s="491"/>
      <c r="I144" s="491"/>
      <c r="J144" s="491"/>
      <c r="K144" s="491"/>
      <c r="L144" s="491"/>
      <c r="M144" s="491"/>
      <c r="N144" s="491"/>
      <c r="O144" s="491"/>
      <c r="P144" s="476"/>
      <c r="Q144" s="476"/>
      <c r="R144" s="476"/>
    </row>
    <row r="145" spans="1:18">
      <c r="A145" s="482"/>
      <c r="B145" s="481"/>
      <c r="C145" s="481"/>
      <c r="D145" s="492"/>
      <c r="E145" s="492"/>
      <c r="F145" s="492"/>
      <c r="G145" s="492"/>
      <c r="H145" s="492"/>
      <c r="I145" s="492"/>
      <c r="J145" s="492"/>
      <c r="K145" s="492"/>
      <c r="L145" s="492"/>
      <c r="M145" s="492"/>
      <c r="N145" s="492"/>
      <c r="O145" s="492"/>
      <c r="P145" s="476"/>
      <c r="Q145" s="476"/>
      <c r="R145" s="476"/>
    </row>
    <row r="146" spans="1:18">
      <c r="A146" s="482"/>
      <c r="B146" s="476"/>
      <c r="C146" s="476"/>
      <c r="D146" s="493"/>
      <c r="E146" s="493"/>
      <c r="F146" s="493"/>
      <c r="G146" s="493"/>
      <c r="H146" s="493"/>
      <c r="I146" s="493"/>
      <c r="J146" s="493"/>
      <c r="K146" s="493"/>
      <c r="L146" s="493"/>
      <c r="M146" s="493"/>
      <c r="N146" s="493"/>
      <c r="O146" s="493"/>
      <c r="P146" s="476"/>
      <c r="Q146" s="476"/>
      <c r="R146" s="476"/>
    </row>
    <row r="147" spans="1:18">
      <c r="A147" s="482"/>
      <c r="B147" s="481"/>
      <c r="C147" s="481"/>
      <c r="D147" s="476"/>
      <c r="E147" s="476"/>
      <c r="F147" s="476"/>
      <c r="G147" s="476"/>
      <c r="H147" s="476"/>
      <c r="I147" s="476"/>
      <c r="J147" s="476"/>
      <c r="K147" s="476"/>
      <c r="L147" s="476"/>
      <c r="M147" s="476"/>
      <c r="N147" s="476"/>
      <c r="O147" s="476"/>
      <c r="P147" s="476"/>
      <c r="Q147" s="476"/>
      <c r="R147" s="476"/>
    </row>
    <row r="148" spans="1:18">
      <c r="A148" s="482"/>
      <c r="B148" s="484"/>
      <c r="C148" s="484"/>
      <c r="D148" s="476"/>
      <c r="E148" s="476"/>
      <c r="F148" s="476"/>
      <c r="G148" s="476"/>
      <c r="H148" s="476"/>
      <c r="I148" s="476"/>
      <c r="J148" s="476"/>
      <c r="K148" s="476"/>
      <c r="L148" s="476"/>
      <c r="M148" s="476"/>
      <c r="N148" s="476"/>
      <c r="O148" s="476"/>
      <c r="P148" s="476"/>
      <c r="Q148" s="476"/>
      <c r="R148" s="476"/>
    </row>
    <row r="149" spans="1:18">
      <c r="A149" s="482"/>
      <c r="B149" s="481"/>
      <c r="C149" s="481"/>
      <c r="D149" s="494"/>
      <c r="E149" s="494"/>
      <c r="F149" s="494"/>
      <c r="G149" s="494"/>
      <c r="H149" s="494"/>
      <c r="I149" s="494"/>
      <c r="J149" s="494"/>
      <c r="K149" s="494"/>
      <c r="L149" s="494"/>
      <c r="M149" s="494"/>
      <c r="N149" s="494"/>
      <c r="O149" s="494"/>
      <c r="P149" s="476"/>
      <c r="Q149" s="476"/>
      <c r="R149" s="476"/>
    </row>
    <row r="150" spans="1:18">
      <c r="A150" s="482"/>
      <c r="B150" s="481"/>
      <c r="C150" s="481"/>
      <c r="D150" s="494"/>
      <c r="E150" s="494"/>
      <c r="F150" s="494"/>
      <c r="G150" s="494"/>
      <c r="H150" s="494"/>
      <c r="I150" s="494"/>
      <c r="J150" s="494"/>
      <c r="K150" s="494"/>
      <c r="L150" s="494"/>
      <c r="M150" s="494"/>
      <c r="N150" s="494"/>
      <c r="O150" s="494"/>
      <c r="P150" s="476"/>
      <c r="Q150" s="476"/>
      <c r="R150" s="476"/>
    </row>
    <row r="151" spans="1:18">
      <c r="A151" s="482"/>
      <c r="B151" s="481"/>
      <c r="C151" s="481"/>
      <c r="D151" s="494"/>
      <c r="E151" s="494"/>
      <c r="F151" s="494"/>
      <c r="G151" s="494"/>
      <c r="H151" s="494"/>
      <c r="I151" s="494"/>
      <c r="J151" s="494"/>
      <c r="K151" s="494"/>
      <c r="L151" s="494"/>
      <c r="M151" s="494"/>
      <c r="N151" s="494"/>
      <c r="O151" s="494"/>
      <c r="P151" s="476"/>
      <c r="Q151" s="476"/>
      <c r="R151" s="476"/>
    </row>
    <row r="152" spans="1:18">
      <c r="A152" s="482"/>
      <c r="B152" s="486"/>
      <c r="C152" s="486"/>
      <c r="D152" s="482"/>
      <c r="E152" s="482"/>
      <c r="F152" s="482"/>
      <c r="G152" s="482"/>
      <c r="H152" s="482"/>
      <c r="I152" s="482"/>
      <c r="J152" s="482"/>
      <c r="K152" s="482"/>
      <c r="L152" s="482"/>
      <c r="M152" s="482"/>
      <c r="N152" s="482"/>
      <c r="O152" s="482"/>
      <c r="P152" s="476"/>
      <c r="Q152" s="476"/>
      <c r="R152" s="476"/>
    </row>
    <row r="153" spans="1:18">
      <c r="A153" s="476"/>
      <c r="B153" s="476"/>
      <c r="C153" s="476"/>
      <c r="D153" s="476"/>
      <c r="E153" s="476"/>
      <c r="F153" s="476"/>
      <c r="G153" s="476"/>
      <c r="H153" s="476"/>
      <c r="I153" s="476"/>
      <c r="J153" s="476"/>
      <c r="K153" s="476"/>
      <c r="L153" s="476"/>
      <c r="M153" s="476"/>
      <c r="N153" s="476"/>
      <c r="O153" s="476"/>
      <c r="P153" s="479"/>
      <c r="Q153" s="476"/>
      <c r="R153" s="476"/>
    </row>
    <row r="154" spans="1:18">
      <c r="A154" s="476"/>
      <c r="B154" s="476"/>
      <c r="C154" s="476"/>
      <c r="D154" s="476"/>
      <c r="E154" s="476"/>
      <c r="F154" s="476"/>
      <c r="G154" s="476"/>
      <c r="H154" s="476"/>
      <c r="I154" s="476"/>
      <c r="J154" s="476"/>
      <c r="K154" s="476"/>
      <c r="L154" s="476"/>
      <c r="M154" s="476"/>
      <c r="N154" s="476"/>
      <c r="O154" s="476"/>
      <c r="P154" s="479"/>
      <c r="Q154" s="476"/>
      <c r="R154" s="476"/>
    </row>
    <row r="155" spans="1:18">
      <c r="A155" s="482"/>
      <c r="B155" s="481"/>
      <c r="C155" s="481"/>
      <c r="D155" s="476"/>
      <c r="E155" s="476"/>
      <c r="F155" s="476"/>
      <c r="G155" s="476"/>
      <c r="H155" s="476"/>
      <c r="I155" s="476"/>
      <c r="J155" s="476"/>
      <c r="K155" s="476"/>
      <c r="L155" s="476"/>
      <c r="M155" s="476"/>
      <c r="N155" s="476"/>
      <c r="O155" s="476"/>
      <c r="P155" s="479"/>
      <c r="Q155" s="476"/>
      <c r="R155" s="476"/>
    </row>
    <row r="156" spans="1:18">
      <c r="A156" s="476"/>
      <c r="B156" s="481"/>
      <c r="C156" s="481"/>
      <c r="D156" s="476"/>
      <c r="E156" s="476"/>
      <c r="F156" s="476"/>
      <c r="G156" s="476"/>
      <c r="H156" s="476"/>
      <c r="I156" s="476"/>
      <c r="J156" s="476"/>
      <c r="K156" s="476"/>
      <c r="L156" s="476"/>
      <c r="M156" s="476"/>
      <c r="N156" s="476"/>
      <c r="O156" s="476"/>
      <c r="P156" s="479"/>
      <c r="Q156" s="476"/>
      <c r="R156" s="476"/>
    </row>
    <row r="157" spans="1:18">
      <c r="A157" s="476"/>
      <c r="B157" s="481"/>
      <c r="C157" s="481"/>
      <c r="D157" s="476"/>
      <c r="E157" s="476"/>
      <c r="F157" s="476"/>
      <c r="G157" s="476"/>
      <c r="H157" s="476"/>
      <c r="I157" s="476"/>
      <c r="J157" s="476"/>
      <c r="K157" s="476"/>
      <c r="L157" s="476"/>
      <c r="M157" s="476"/>
      <c r="N157" s="476"/>
      <c r="O157" s="476"/>
      <c r="P157" s="479"/>
      <c r="Q157" s="476"/>
      <c r="R157" s="476"/>
    </row>
    <row r="158" spans="1:18">
      <c r="A158" s="476"/>
      <c r="B158" s="481"/>
      <c r="C158" s="481"/>
      <c r="D158" s="476"/>
      <c r="E158" s="476"/>
      <c r="F158" s="476"/>
      <c r="G158" s="476"/>
      <c r="H158" s="476"/>
      <c r="I158" s="476"/>
      <c r="J158" s="476"/>
      <c r="K158" s="476"/>
      <c r="L158" s="476"/>
      <c r="M158" s="476"/>
      <c r="N158" s="476"/>
      <c r="O158" s="476"/>
      <c r="P158" s="479"/>
      <c r="Q158" s="476"/>
      <c r="R158" s="476"/>
    </row>
    <row r="159" spans="1:18">
      <c r="A159" s="476"/>
      <c r="B159" s="476"/>
      <c r="C159" s="476"/>
      <c r="D159" s="476"/>
      <c r="E159" s="476"/>
      <c r="F159" s="476"/>
      <c r="G159" s="476"/>
      <c r="H159" s="476"/>
      <c r="I159" s="476"/>
      <c r="J159" s="476"/>
      <c r="K159" s="476"/>
      <c r="L159" s="476"/>
      <c r="M159" s="476"/>
      <c r="N159" s="476"/>
      <c r="O159" s="476"/>
      <c r="P159" s="479"/>
      <c r="Q159" s="476"/>
      <c r="R159" s="476"/>
    </row>
    <row r="160" spans="1:18">
      <c r="A160" s="476"/>
      <c r="B160" s="476"/>
      <c r="C160" s="476"/>
      <c r="D160" s="476"/>
      <c r="E160" s="476"/>
      <c r="F160" s="476"/>
      <c r="G160" s="476"/>
      <c r="H160" s="476"/>
      <c r="I160" s="476"/>
      <c r="J160" s="476"/>
      <c r="K160" s="476"/>
      <c r="L160" s="476"/>
      <c r="M160" s="476"/>
      <c r="N160" s="476"/>
      <c r="O160" s="476"/>
      <c r="P160" s="479"/>
      <c r="Q160" s="476"/>
      <c r="R160" s="476"/>
    </row>
    <row r="161" spans="1:18">
      <c r="A161" s="476"/>
      <c r="B161" s="476"/>
      <c r="C161" s="476"/>
      <c r="D161" s="476"/>
      <c r="E161" s="476"/>
      <c r="F161" s="476"/>
      <c r="G161" s="476"/>
      <c r="H161" s="476"/>
      <c r="I161" s="476"/>
      <c r="J161" s="476"/>
      <c r="K161" s="476"/>
      <c r="L161" s="476"/>
      <c r="M161" s="476"/>
      <c r="N161" s="476"/>
      <c r="O161" s="476"/>
      <c r="P161" s="479"/>
      <c r="Q161" s="476"/>
      <c r="R161" s="476"/>
    </row>
    <row r="162" spans="1:18">
      <c r="A162" s="482"/>
      <c r="B162" s="481"/>
      <c r="C162" s="481"/>
      <c r="D162" s="476"/>
      <c r="E162" s="476"/>
      <c r="F162" s="476"/>
      <c r="G162" s="476"/>
      <c r="H162" s="476"/>
      <c r="I162" s="476"/>
      <c r="J162" s="476"/>
      <c r="K162" s="476"/>
      <c r="L162" s="476"/>
      <c r="M162" s="476"/>
      <c r="N162" s="476"/>
      <c r="O162" s="476"/>
      <c r="P162" s="479"/>
      <c r="Q162" s="476"/>
      <c r="R162" s="476"/>
    </row>
    <row r="163" spans="1:18">
      <c r="A163" s="476"/>
      <c r="B163" s="476"/>
      <c r="C163" s="476"/>
      <c r="D163" s="476"/>
      <c r="E163" s="476"/>
      <c r="F163" s="476"/>
      <c r="G163" s="476"/>
      <c r="H163" s="476"/>
      <c r="I163" s="476"/>
      <c r="J163" s="476"/>
      <c r="K163" s="476"/>
      <c r="L163" s="476"/>
      <c r="M163" s="476"/>
      <c r="N163" s="476"/>
      <c r="O163" s="476"/>
      <c r="P163" s="479"/>
      <c r="Q163" s="476"/>
      <c r="R163" s="476"/>
    </row>
    <row r="164" spans="1:18">
      <c r="A164" s="476"/>
      <c r="B164" s="476"/>
      <c r="C164" s="476"/>
      <c r="D164" s="476"/>
      <c r="E164" s="476"/>
      <c r="F164" s="476"/>
      <c r="G164" s="476"/>
      <c r="H164" s="476"/>
      <c r="I164" s="476"/>
      <c r="J164" s="476"/>
      <c r="K164" s="476"/>
      <c r="L164" s="476"/>
      <c r="M164" s="476"/>
      <c r="N164" s="476"/>
      <c r="O164" s="476"/>
      <c r="P164" s="476"/>
      <c r="Q164" s="476"/>
      <c r="R164" s="476"/>
    </row>
    <row r="165" spans="1:18">
      <c r="A165" s="482"/>
      <c r="B165" s="481"/>
      <c r="C165" s="481"/>
      <c r="D165" s="476"/>
      <c r="E165" s="476"/>
      <c r="F165" s="476"/>
      <c r="G165" s="476"/>
      <c r="H165" s="476"/>
      <c r="I165" s="476"/>
      <c r="J165" s="476"/>
      <c r="K165" s="476"/>
      <c r="L165" s="476"/>
      <c r="M165" s="476"/>
      <c r="N165" s="476"/>
      <c r="O165" s="476"/>
      <c r="P165" s="476"/>
      <c r="Q165" s="476"/>
      <c r="R165" s="476"/>
    </row>
    <row r="166" spans="1:18">
      <c r="A166" s="476"/>
      <c r="B166" s="476"/>
      <c r="C166" s="476"/>
      <c r="D166" s="476"/>
      <c r="E166" s="476"/>
      <c r="F166" s="476"/>
      <c r="G166" s="476"/>
      <c r="H166" s="476"/>
      <c r="I166" s="476"/>
      <c r="J166" s="476"/>
      <c r="K166" s="476"/>
      <c r="L166" s="476"/>
      <c r="M166" s="476"/>
      <c r="N166" s="476"/>
      <c r="O166" s="476"/>
      <c r="P166" s="476"/>
      <c r="Q166" s="476"/>
      <c r="R166" s="476"/>
    </row>
    <row r="167" spans="1:18">
      <c r="A167" s="476"/>
      <c r="B167" s="476"/>
      <c r="C167" s="476"/>
      <c r="D167" s="476"/>
      <c r="E167" s="476"/>
      <c r="F167" s="476"/>
      <c r="G167" s="476"/>
      <c r="H167" s="476"/>
      <c r="I167" s="476"/>
      <c r="J167" s="476"/>
      <c r="K167" s="476"/>
      <c r="L167" s="476"/>
      <c r="M167" s="476"/>
      <c r="N167" s="476"/>
      <c r="O167" s="476"/>
      <c r="P167" s="476"/>
      <c r="Q167" s="476"/>
      <c r="R167" s="476"/>
    </row>
    <row r="168" spans="1:18">
      <c r="A168" s="476"/>
      <c r="B168" s="496"/>
      <c r="C168" s="496"/>
      <c r="D168" s="482"/>
      <c r="E168" s="482"/>
      <c r="F168" s="476"/>
      <c r="G168" s="476"/>
      <c r="H168" s="476"/>
      <c r="I168" s="476"/>
      <c r="J168" s="476"/>
      <c r="K168" s="476"/>
      <c r="L168" s="476"/>
      <c r="M168" s="476"/>
      <c r="N168" s="476"/>
      <c r="O168" s="476"/>
      <c r="P168" s="476"/>
      <c r="Q168" s="476"/>
      <c r="R168" s="476"/>
    </row>
    <row r="169" spans="1:18">
      <c r="A169" s="476"/>
      <c r="B169" s="486"/>
      <c r="C169" s="486"/>
      <c r="D169" s="486"/>
      <c r="E169" s="486"/>
      <c r="F169" s="476"/>
      <c r="G169" s="476"/>
      <c r="H169" s="476"/>
      <c r="I169" s="476"/>
      <c r="J169" s="476"/>
      <c r="K169" s="476"/>
      <c r="L169" s="476"/>
      <c r="M169" s="476"/>
      <c r="N169" s="476"/>
      <c r="O169" s="476"/>
      <c r="P169" s="476"/>
      <c r="Q169" s="476"/>
      <c r="R169" s="476"/>
    </row>
    <row r="170" spans="1:18">
      <c r="A170" s="476"/>
      <c r="B170" s="481"/>
      <c r="C170" s="481"/>
      <c r="D170" s="497"/>
      <c r="E170" s="497"/>
      <c r="F170" s="476"/>
      <c r="G170" s="476"/>
      <c r="H170" s="476"/>
      <c r="I170" s="476"/>
      <c r="J170" s="476"/>
      <c r="K170" s="476"/>
      <c r="L170" s="476"/>
      <c r="M170" s="476"/>
      <c r="N170" s="476"/>
      <c r="O170" s="476"/>
      <c r="P170" s="476"/>
      <c r="Q170" s="476"/>
      <c r="R170" s="476"/>
    </row>
    <row r="171" spans="1:18">
      <c r="A171" s="476"/>
      <c r="B171" s="476"/>
      <c r="C171" s="476"/>
      <c r="D171" s="497"/>
      <c r="E171" s="497"/>
      <c r="F171" s="476"/>
      <c r="G171" s="476"/>
      <c r="H171" s="476"/>
      <c r="I171" s="476"/>
      <c r="J171" s="476"/>
      <c r="K171" s="476"/>
      <c r="L171" s="476"/>
      <c r="M171" s="476"/>
      <c r="N171" s="476"/>
      <c r="O171" s="476"/>
      <c r="P171" s="476"/>
      <c r="Q171" s="476"/>
      <c r="R171" s="476"/>
    </row>
    <row r="172" spans="1:18">
      <c r="A172" s="476"/>
      <c r="B172" s="476"/>
      <c r="C172" s="476"/>
      <c r="D172" s="497"/>
      <c r="E172" s="497"/>
      <c r="F172" s="476"/>
      <c r="G172" s="476"/>
      <c r="H172" s="476"/>
      <c r="I172" s="476"/>
      <c r="J172" s="476"/>
      <c r="K172" s="476"/>
      <c r="L172" s="476"/>
      <c r="M172" s="476"/>
      <c r="N172" s="476"/>
      <c r="O172" s="476"/>
      <c r="P172" s="476"/>
      <c r="Q172" s="476"/>
      <c r="R172" s="476"/>
    </row>
    <row r="173" spans="1:18">
      <c r="A173" s="476"/>
      <c r="B173" s="476"/>
      <c r="C173" s="476"/>
      <c r="D173" s="497"/>
      <c r="E173" s="480"/>
      <c r="F173" s="476"/>
      <c r="G173" s="476"/>
      <c r="H173" s="476"/>
      <c r="I173" s="476"/>
      <c r="J173" s="476"/>
      <c r="K173" s="476"/>
      <c r="L173" s="476"/>
      <c r="M173" s="476"/>
      <c r="N173" s="476"/>
      <c r="O173" s="476"/>
      <c r="P173" s="476"/>
      <c r="Q173" s="476"/>
      <c r="R173" s="476"/>
    </row>
    <row r="174" spans="1:18">
      <c r="A174" s="476"/>
      <c r="B174" s="476"/>
      <c r="C174" s="476"/>
      <c r="D174" s="497"/>
      <c r="E174" s="480"/>
      <c r="F174" s="476"/>
      <c r="G174" s="476"/>
      <c r="H174" s="476"/>
      <c r="I174" s="476"/>
      <c r="J174" s="476"/>
      <c r="K174" s="476"/>
      <c r="L174" s="476"/>
      <c r="M174" s="476"/>
      <c r="N174" s="476"/>
      <c r="O174" s="476"/>
      <c r="P174" s="476"/>
      <c r="Q174" s="476"/>
      <c r="R174" s="476"/>
    </row>
    <row r="175" spans="1:18">
      <c r="A175" s="476"/>
      <c r="B175" s="476"/>
      <c r="C175" s="476"/>
      <c r="D175" s="497"/>
      <c r="E175" s="480"/>
      <c r="F175" s="476"/>
      <c r="G175" s="476"/>
      <c r="H175" s="476"/>
      <c r="I175" s="476"/>
      <c r="J175" s="476"/>
      <c r="K175" s="476"/>
      <c r="L175" s="476"/>
      <c r="M175" s="476"/>
      <c r="N175" s="476"/>
      <c r="O175" s="476"/>
      <c r="P175" s="476"/>
      <c r="Q175" s="476"/>
      <c r="R175" s="476"/>
    </row>
    <row r="176" spans="1:18">
      <c r="A176" s="476"/>
      <c r="B176" s="476"/>
      <c r="C176" s="476"/>
      <c r="D176" s="497"/>
      <c r="E176" s="480"/>
      <c r="F176" s="476"/>
      <c r="G176" s="476"/>
      <c r="H176" s="476"/>
      <c r="I176" s="476"/>
      <c r="J176" s="476"/>
      <c r="K176" s="476"/>
      <c r="L176" s="476"/>
      <c r="M176" s="476"/>
      <c r="N176" s="476"/>
      <c r="O176" s="476"/>
      <c r="P176" s="476"/>
      <c r="Q176" s="476"/>
      <c r="R176" s="476"/>
    </row>
    <row r="177" spans="1:18">
      <c r="A177" s="476"/>
      <c r="B177" s="476"/>
      <c r="C177" s="476"/>
      <c r="D177" s="497"/>
      <c r="E177" s="480"/>
      <c r="F177" s="476"/>
      <c r="G177" s="476"/>
      <c r="H177" s="476"/>
      <c r="I177" s="476"/>
      <c r="J177" s="476"/>
      <c r="K177" s="476"/>
      <c r="L177" s="476"/>
      <c r="M177" s="476"/>
      <c r="N177" s="476"/>
      <c r="O177" s="476"/>
      <c r="P177" s="476"/>
      <c r="Q177" s="476"/>
      <c r="R177" s="476"/>
    </row>
    <row r="178" spans="1:18">
      <c r="A178" s="476"/>
      <c r="B178" s="476"/>
      <c r="C178" s="476"/>
      <c r="D178" s="497"/>
      <c r="E178" s="480"/>
      <c r="F178" s="476"/>
      <c r="G178" s="476"/>
      <c r="H178" s="476"/>
      <c r="I178" s="476"/>
      <c r="J178" s="476"/>
      <c r="K178" s="476"/>
      <c r="L178" s="476"/>
      <c r="M178" s="476"/>
      <c r="N178" s="476"/>
      <c r="O178" s="476"/>
      <c r="P178" s="476"/>
      <c r="Q178" s="476"/>
      <c r="R178" s="476"/>
    </row>
    <row r="179" spans="1:18">
      <c r="A179" s="476"/>
      <c r="B179" s="476"/>
      <c r="C179" s="476"/>
      <c r="D179" s="497"/>
      <c r="E179" s="480"/>
      <c r="F179" s="476"/>
      <c r="G179" s="476"/>
      <c r="H179" s="476"/>
      <c r="I179" s="476"/>
      <c r="J179" s="476"/>
      <c r="K179" s="476"/>
      <c r="L179" s="476"/>
      <c r="M179" s="476"/>
      <c r="N179" s="476"/>
      <c r="O179" s="476"/>
      <c r="P179" s="476"/>
      <c r="Q179" s="476"/>
      <c r="R179" s="476"/>
    </row>
    <row r="180" spans="1:18">
      <c r="A180" s="476"/>
      <c r="B180" s="476"/>
      <c r="C180" s="476"/>
      <c r="D180" s="497"/>
      <c r="E180" s="480"/>
      <c r="F180" s="476"/>
      <c r="G180" s="476"/>
      <c r="H180" s="476"/>
      <c r="I180" s="476"/>
      <c r="J180" s="476"/>
      <c r="K180" s="476"/>
      <c r="L180" s="476"/>
      <c r="M180" s="476"/>
      <c r="N180" s="476"/>
      <c r="O180" s="476"/>
      <c r="P180" s="476"/>
      <c r="Q180" s="476"/>
      <c r="R180" s="476"/>
    </row>
    <row r="181" spans="1:18">
      <c r="A181" s="476"/>
      <c r="B181" s="476"/>
      <c r="C181" s="476"/>
      <c r="D181" s="497"/>
      <c r="E181" s="480"/>
      <c r="F181" s="476"/>
      <c r="G181" s="476"/>
      <c r="H181" s="476"/>
      <c r="I181" s="476"/>
      <c r="J181" s="476"/>
      <c r="K181" s="476"/>
      <c r="L181" s="476"/>
      <c r="M181" s="476"/>
      <c r="N181" s="476"/>
      <c r="O181" s="476"/>
      <c r="P181" s="476"/>
      <c r="Q181" s="476"/>
      <c r="R181" s="476"/>
    </row>
    <row r="182" spans="1:18">
      <c r="A182" s="476"/>
      <c r="B182" s="476"/>
      <c r="C182" s="476"/>
      <c r="D182" s="486"/>
      <c r="E182" s="486"/>
      <c r="F182" s="476"/>
      <c r="G182" s="476"/>
      <c r="H182" s="476"/>
      <c r="I182" s="476"/>
      <c r="J182" s="476"/>
      <c r="K182" s="476"/>
      <c r="L182" s="476"/>
      <c r="M182" s="476"/>
      <c r="N182" s="476"/>
      <c r="O182" s="476"/>
      <c r="P182" s="476"/>
      <c r="Q182" s="476"/>
      <c r="R182" s="476"/>
    </row>
    <row r="183" spans="1:18">
      <c r="A183" s="476"/>
      <c r="B183" s="476"/>
      <c r="C183" s="476"/>
      <c r="D183" s="480"/>
      <c r="E183" s="480"/>
      <c r="F183" s="476"/>
      <c r="G183" s="476"/>
      <c r="H183" s="476"/>
      <c r="I183" s="476"/>
      <c r="J183" s="476"/>
      <c r="K183" s="476"/>
      <c r="L183" s="476"/>
      <c r="M183" s="476"/>
      <c r="N183" s="476"/>
      <c r="O183" s="476"/>
      <c r="P183" s="476"/>
      <c r="Q183" s="476"/>
      <c r="R183" s="476"/>
    </row>
    <row r="184" spans="1:18">
      <c r="A184" s="476"/>
      <c r="B184" s="476"/>
      <c r="C184" s="476"/>
      <c r="D184" s="486"/>
      <c r="E184" s="486"/>
      <c r="F184" s="476"/>
      <c r="G184" s="476"/>
      <c r="H184" s="476"/>
      <c r="I184" s="476"/>
      <c r="J184" s="476"/>
      <c r="K184" s="476"/>
      <c r="L184" s="476"/>
      <c r="M184" s="476"/>
      <c r="N184" s="476"/>
      <c r="O184" s="476"/>
      <c r="P184" s="476"/>
      <c r="Q184" s="476"/>
      <c r="R184" s="476"/>
    </row>
    <row r="185" spans="1:18">
      <c r="A185" s="476"/>
      <c r="B185" s="476"/>
      <c r="C185" s="476"/>
      <c r="D185" s="476"/>
      <c r="E185" s="476"/>
      <c r="F185" s="476"/>
      <c r="G185" s="476"/>
      <c r="H185" s="476"/>
      <c r="I185" s="476"/>
      <c r="J185" s="476"/>
      <c r="K185" s="476"/>
      <c r="L185" s="476"/>
      <c r="M185" s="476"/>
      <c r="N185" s="476"/>
      <c r="O185" s="476"/>
      <c r="P185" s="476"/>
      <c r="Q185" s="476"/>
      <c r="R185" s="476"/>
    </row>
    <row r="186" spans="1:18">
      <c r="A186" s="476"/>
      <c r="B186" s="481"/>
      <c r="C186" s="481"/>
      <c r="D186" s="497"/>
      <c r="E186" s="497"/>
      <c r="F186" s="476"/>
      <c r="G186" s="476"/>
      <c r="H186" s="476"/>
      <c r="I186" s="476"/>
      <c r="J186" s="476"/>
      <c r="K186" s="476"/>
      <c r="L186" s="476"/>
      <c r="M186" s="476"/>
      <c r="N186" s="476"/>
      <c r="O186" s="476"/>
      <c r="P186" s="476"/>
      <c r="Q186" s="476"/>
      <c r="R186" s="476"/>
    </row>
    <row r="187" spans="1:18">
      <c r="A187" s="476"/>
      <c r="B187" s="476"/>
      <c r="C187" s="476"/>
      <c r="D187" s="497"/>
      <c r="E187" s="497"/>
      <c r="F187" s="476"/>
      <c r="G187" s="476"/>
      <c r="H187" s="476"/>
      <c r="I187" s="476"/>
      <c r="J187" s="476"/>
      <c r="K187" s="476"/>
      <c r="L187" s="476"/>
      <c r="M187" s="476"/>
      <c r="N187" s="476"/>
      <c r="O187" s="476"/>
      <c r="P187" s="476"/>
      <c r="Q187" s="476"/>
      <c r="R187" s="476"/>
    </row>
    <row r="188" spans="1:18">
      <c r="A188" s="476"/>
      <c r="B188" s="476"/>
      <c r="C188" s="476"/>
      <c r="D188" s="497"/>
      <c r="E188" s="497"/>
      <c r="F188" s="476"/>
      <c r="G188" s="476"/>
      <c r="H188" s="476"/>
      <c r="I188" s="476"/>
      <c r="J188" s="476"/>
      <c r="K188" s="476"/>
      <c r="L188" s="476"/>
      <c r="M188" s="476"/>
      <c r="N188" s="476"/>
      <c r="O188" s="476"/>
      <c r="P188" s="476"/>
      <c r="Q188" s="476"/>
      <c r="R188" s="476"/>
    </row>
    <row r="189" spans="1:18">
      <c r="A189" s="476"/>
      <c r="B189" s="476"/>
      <c r="C189" s="476"/>
      <c r="D189" s="497"/>
      <c r="E189" s="480"/>
      <c r="F189" s="476"/>
      <c r="G189" s="476"/>
      <c r="H189" s="476"/>
      <c r="I189" s="476"/>
      <c r="J189" s="476"/>
      <c r="K189" s="476"/>
      <c r="L189" s="476"/>
      <c r="M189" s="476"/>
      <c r="N189" s="476"/>
      <c r="O189" s="476"/>
      <c r="P189" s="476"/>
      <c r="Q189" s="476"/>
      <c r="R189" s="476"/>
    </row>
    <row r="190" spans="1:18">
      <c r="A190" s="476"/>
      <c r="B190" s="476"/>
      <c r="C190" s="476"/>
      <c r="D190" s="497"/>
      <c r="E190" s="480"/>
      <c r="F190" s="476"/>
      <c r="G190" s="476"/>
      <c r="H190" s="476"/>
      <c r="I190" s="476"/>
      <c r="J190" s="476"/>
      <c r="K190" s="476"/>
      <c r="L190" s="476"/>
      <c r="M190" s="476"/>
      <c r="N190" s="476"/>
      <c r="O190" s="476"/>
      <c r="P190" s="476"/>
      <c r="Q190" s="476"/>
      <c r="R190" s="476"/>
    </row>
    <row r="191" spans="1:18">
      <c r="A191" s="476"/>
      <c r="B191" s="476"/>
      <c r="C191" s="476"/>
      <c r="D191" s="497"/>
      <c r="E191" s="480"/>
      <c r="F191" s="476"/>
      <c r="G191" s="476"/>
      <c r="H191" s="476"/>
      <c r="I191" s="476"/>
      <c r="J191" s="476"/>
      <c r="K191" s="476"/>
      <c r="L191" s="476"/>
      <c r="M191" s="476"/>
      <c r="N191" s="476"/>
      <c r="O191" s="476"/>
      <c r="P191" s="476"/>
      <c r="Q191" s="476"/>
      <c r="R191" s="476"/>
    </row>
    <row r="192" spans="1:18">
      <c r="A192" s="476"/>
      <c r="B192" s="476"/>
      <c r="C192" s="476"/>
      <c r="D192" s="497"/>
      <c r="E192" s="480"/>
      <c r="F192" s="476"/>
      <c r="G192" s="476"/>
      <c r="H192" s="476"/>
      <c r="I192" s="476"/>
      <c r="J192" s="476"/>
      <c r="K192" s="476"/>
      <c r="L192" s="476"/>
      <c r="M192" s="476"/>
      <c r="N192" s="476"/>
      <c r="O192" s="476"/>
      <c r="P192" s="476"/>
      <c r="Q192" s="476"/>
      <c r="R192" s="476"/>
    </row>
    <row r="193" spans="1:18">
      <c r="A193" s="476"/>
      <c r="B193" s="476"/>
      <c r="C193" s="476"/>
      <c r="D193" s="497"/>
      <c r="E193" s="480"/>
      <c r="F193" s="476"/>
      <c r="G193" s="476"/>
      <c r="H193" s="476"/>
      <c r="I193" s="476"/>
      <c r="J193" s="476"/>
      <c r="K193" s="476"/>
      <c r="L193" s="476"/>
      <c r="M193" s="476"/>
      <c r="N193" s="476"/>
      <c r="O193" s="476"/>
      <c r="P193" s="476"/>
      <c r="Q193" s="476"/>
      <c r="R193" s="476"/>
    </row>
    <row r="194" spans="1:18">
      <c r="A194" s="476"/>
      <c r="B194" s="476"/>
      <c r="C194" s="476"/>
      <c r="D194" s="497"/>
      <c r="E194" s="480"/>
      <c r="F194" s="476"/>
      <c r="G194" s="476"/>
      <c r="H194" s="476"/>
      <c r="I194" s="476"/>
      <c r="J194" s="476"/>
      <c r="K194" s="476"/>
      <c r="L194" s="476"/>
      <c r="M194" s="476"/>
      <c r="N194" s="476"/>
      <c r="O194" s="476"/>
      <c r="P194" s="476"/>
      <c r="Q194" s="476"/>
      <c r="R194" s="476"/>
    </row>
    <row r="195" spans="1:18">
      <c r="A195" s="476"/>
      <c r="B195" s="476"/>
      <c r="C195" s="476"/>
      <c r="D195" s="497"/>
      <c r="E195" s="480"/>
      <c r="F195" s="476"/>
      <c r="G195" s="476"/>
      <c r="H195" s="476"/>
      <c r="I195" s="476"/>
      <c r="J195" s="476"/>
      <c r="K195" s="476"/>
      <c r="L195" s="476"/>
      <c r="M195" s="476"/>
      <c r="N195" s="476"/>
      <c r="O195" s="476"/>
      <c r="P195" s="476"/>
      <c r="Q195" s="476"/>
      <c r="R195" s="476"/>
    </row>
    <row r="196" spans="1:18">
      <c r="A196" s="476"/>
      <c r="B196" s="476"/>
      <c r="C196" s="476"/>
      <c r="D196" s="497"/>
      <c r="E196" s="480"/>
      <c r="F196" s="476"/>
      <c r="G196" s="476"/>
      <c r="H196" s="476"/>
      <c r="I196" s="476"/>
      <c r="J196" s="476"/>
      <c r="K196" s="476"/>
      <c r="L196" s="476"/>
      <c r="M196" s="476"/>
      <c r="N196" s="476"/>
      <c r="O196" s="476"/>
      <c r="P196" s="476"/>
      <c r="Q196" s="476"/>
      <c r="R196" s="476"/>
    </row>
    <row r="197" spans="1:18">
      <c r="A197" s="476"/>
      <c r="B197" s="476"/>
      <c r="C197" s="476"/>
      <c r="D197" s="497"/>
      <c r="E197" s="480"/>
      <c r="F197" s="476"/>
      <c r="G197" s="476"/>
      <c r="H197" s="476"/>
      <c r="I197" s="476"/>
      <c r="J197" s="476"/>
      <c r="K197" s="476"/>
      <c r="L197" s="476"/>
      <c r="M197" s="476"/>
      <c r="N197" s="476"/>
      <c r="O197" s="476"/>
      <c r="P197" s="476"/>
      <c r="Q197" s="476"/>
      <c r="R197" s="476"/>
    </row>
    <row r="198" spans="1:18">
      <c r="A198" s="476"/>
      <c r="B198" s="476"/>
      <c r="C198" s="476"/>
      <c r="D198" s="486"/>
      <c r="E198" s="486"/>
      <c r="F198" s="476"/>
      <c r="G198" s="476"/>
      <c r="H198" s="476"/>
      <c r="I198" s="476"/>
      <c r="J198" s="476"/>
      <c r="K198" s="476"/>
      <c r="L198" s="476"/>
      <c r="M198" s="476"/>
      <c r="N198" s="476"/>
      <c r="O198" s="476"/>
      <c r="P198" s="476"/>
      <c r="Q198" s="476"/>
      <c r="R198" s="476"/>
    </row>
    <row r="199" spans="1:18">
      <c r="A199" s="476"/>
      <c r="B199" s="476"/>
      <c r="C199" s="476"/>
      <c r="D199" s="480"/>
      <c r="E199" s="480"/>
      <c r="F199" s="476"/>
      <c r="G199" s="476"/>
      <c r="H199" s="476"/>
      <c r="I199" s="476"/>
      <c r="J199" s="476"/>
      <c r="K199" s="476"/>
      <c r="L199" s="476"/>
      <c r="M199" s="476"/>
      <c r="N199" s="476"/>
      <c r="O199" s="476"/>
      <c r="P199" s="476"/>
      <c r="Q199" s="476"/>
      <c r="R199" s="476"/>
    </row>
    <row r="200" spans="1:18">
      <c r="A200" s="476"/>
      <c r="B200" s="476"/>
      <c r="C200" s="476"/>
      <c r="D200" s="486"/>
      <c r="E200" s="486"/>
      <c r="F200" s="476"/>
      <c r="G200" s="476"/>
      <c r="H200" s="476"/>
      <c r="I200" s="476"/>
      <c r="J200" s="476"/>
      <c r="K200" s="476"/>
      <c r="L200" s="476"/>
      <c r="M200" s="476"/>
      <c r="N200" s="476"/>
      <c r="O200" s="476"/>
      <c r="P200" s="476"/>
      <c r="Q200" s="476"/>
      <c r="R200" s="476"/>
    </row>
    <row r="201" spans="1:18">
      <c r="A201" s="476"/>
      <c r="B201" s="476"/>
      <c r="C201" s="476"/>
      <c r="D201" s="476"/>
      <c r="E201" s="476"/>
      <c r="F201" s="476"/>
      <c r="G201" s="476"/>
      <c r="H201" s="476"/>
      <c r="I201" s="476"/>
      <c r="J201" s="476"/>
      <c r="K201" s="476"/>
      <c r="L201" s="476"/>
      <c r="M201" s="476"/>
      <c r="N201" s="476"/>
      <c r="O201" s="476"/>
      <c r="P201" s="476"/>
      <c r="Q201" s="476"/>
      <c r="R201" s="476"/>
    </row>
    <row r="202" spans="1:18">
      <c r="A202" s="476"/>
      <c r="B202" s="481"/>
      <c r="C202" s="481"/>
      <c r="D202" s="497"/>
      <c r="E202" s="497"/>
      <c r="F202" s="476"/>
      <c r="G202" s="476"/>
      <c r="H202" s="476"/>
      <c r="I202" s="476"/>
      <c r="J202" s="476"/>
      <c r="K202" s="476"/>
      <c r="L202" s="476"/>
      <c r="M202" s="476"/>
      <c r="N202" s="476"/>
      <c r="O202" s="476"/>
      <c r="P202" s="476"/>
      <c r="Q202" s="476"/>
      <c r="R202" s="476"/>
    </row>
    <row r="203" spans="1:18">
      <c r="A203" s="476"/>
      <c r="B203" s="476"/>
      <c r="C203" s="476"/>
      <c r="D203" s="497"/>
      <c r="E203" s="497"/>
      <c r="F203" s="476"/>
      <c r="G203" s="476"/>
      <c r="H203" s="476"/>
      <c r="I203" s="476"/>
      <c r="J203" s="476"/>
      <c r="K203" s="476"/>
      <c r="L203" s="476"/>
      <c r="M203" s="476"/>
      <c r="N203" s="476"/>
      <c r="O203" s="476"/>
      <c r="P203" s="476"/>
      <c r="Q203" s="476"/>
      <c r="R203" s="476"/>
    </row>
    <row r="204" spans="1:18">
      <c r="A204" s="476"/>
      <c r="B204" s="476"/>
      <c r="C204" s="476"/>
      <c r="D204" s="497"/>
      <c r="E204" s="497"/>
      <c r="F204" s="476"/>
      <c r="G204" s="476"/>
      <c r="H204" s="476"/>
      <c r="I204" s="476"/>
      <c r="J204" s="476"/>
      <c r="K204" s="476"/>
      <c r="L204" s="476"/>
      <c r="M204" s="476"/>
      <c r="N204" s="476"/>
      <c r="O204" s="476"/>
      <c r="P204" s="476"/>
      <c r="Q204" s="476"/>
      <c r="R204" s="476"/>
    </row>
    <row r="205" spans="1:18">
      <c r="A205" s="476"/>
      <c r="B205" s="476"/>
      <c r="C205" s="476"/>
      <c r="D205" s="497"/>
      <c r="E205" s="480"/>
      <c r="F205" s="476"/>
      <c r="G205" s="476"/>
      <c r="H205" s="476"/>
      <c r="I205" s="476"/>
      <c r="J205" s="476"/>
      <c r="K205" s="476"/>
      <c r="L205" s="476"/>
      <c r="M205" s="476"/>
      <c r="N205" s="476"/>
      <c r="O205" s="476"/>
      <c r="P205" s="476"/>
      <c r="Q205" s="476"/>
      <c r="R205" s="476"/>
    </row>
    <row r="206" spans="1:18">
      <c r="A206" s="476"/>
      <c r="B206" s="476"/>
      <c r="C206" s="476"/>
      <c r="D206" s="497"/>
      <c r="E206" s="480"/>
      <c r="F206" s="476"/>
      <c r="G206" s="476"/>
      <c r="H206" s="476"/>
      <c r="I206" s="476"/>
      <c r="J206" s="476"/>
      <c r="K206" s="476"/>
      <c r="L206" s="476"/>
      <c r="M206" s="476"/>
      <c r="N206" s="476"/>
      <c r="O206" s="476"/>
      <c r="P206" s="476"/>
      <c r="Q206" s="476"/>
      <c r="R206" s="476"/>
    </row>
    <row r="207" spans="1:18">
      <c r="A207" s="476"/>
      <c r="B207" s="476"/>
      <c r="C207" s="476"/>
      <c r="D207" s="497"/>
      <c r="E207" s="480"/>
      <c r="F207" s="476"/>
      <c r="G207" s="476"/>
      <c r="H207" s="476"/>
      <c r="I207" s="476"/>
      <c r="J207" s="476"/>
      <c r="K207" s="476"/>
      <c r="L207" s="476"/>
      <c r="M207" s="476"/>
      <c r="N207" s="476"/>
      <c r="O207" s="476"/>
      <c r="P207" s="476"/>
      <c r="Q207" s="476"/>
      <c r="R207" s="476"/>
    </row>
    <row r="208" spans="1:18">
      <c r="A208" s="476"/>
      <c r="B208" s="476"/>
      <c r="C208" s="476"/>
      <c r="D208" s="497"/>
      <c r="E208" s="480"/>
      <c r="F208" s="476"/>
      <c r="G208" s="476"/>
      <c r="H208" s="476"/>
      <c r="I208" s="476"/>
      <c r="J208" s="476"/>
      <c r="K208" s="476"/>
      <c r="L208" s="476"/>
      <c r="M208" s="476"/>
      <c r="N208" s="476"/>
      <c r="O208" s="476"/>
      <c r="P208" s="476"/>
      <c r="Q208" s="476"/>
      <c r="R208" s="476"/>
    </row>
    <row r="209" spans="1:18">
      <c r="A209" s="476"/>
      <c r="B209" s="476"/>
      <c r="C209" s="476"/>
      <c r="D209" s="497"/>
      <c r="E209" s="480"/>
      <c r="F209" s="476"/>
      <c r="G209" s="476"/>
      <c r="H209" s="476"/>
      <c r="I209" s="476"/>
      <c r="J209" s="476"/>
      <c r="K209" s="476"/>
      <c r="L209" s="476"/>
      <c r="M209" s="476"/>
      <c r="N209" s="476"/>
      <c r="O209" s="476"/>
      <c r="P209" s="476"/>
      <c r="Q209" s="476"/>
      <c r="R209" s="476"/>
    </row>
    <row r="210" spans="1:18">
      <c r="A210" s="476"/>
      <c r="B210" s="476"/>
      <c r="C210" s="476"/>
      <c r="D210" s="497"/>
      <c r="E210" s="480"/>
      <c r="F210" s="476"/>
      <c r="G210" s="476"/>
      <c r="H210" s="476"/>
      <c r="I210" s="476"/>
      <c r="J210" s="476"/>
      <c r="K210" s="476"/>
      <c r="L210" s="476"/>
      <c r="M210" s="476"/>
      <c r="N210" s="476"/>
      <c r="O210" s="476"/>
      <c r="P210" s="476"/>
      <c r="Q210" s="476"/>
      <c r="R210" s="476"/>
    </row>
    <row r="211" spans="1:18">
      <c r="A211" s="476"/>
      <c r="B211" s="476"/>
      <c r="C211" s="476"/>
      <c r="D211" s="497"/>
      <c r="E211" s="480"/>
      <c r="F211" s="476"/>
      <c r="G211" s="476"/>
      <c r="H211" s="476"/>
      <c r="I211" s="476"/>
      <c r="J211" s="476"/>
      <c r="K211" s="476"/>
      <c r="L211" s="476"/>
      <c r="M211" s="476"/>
      <c r="N211" s="476"/>
      <c r="O211" s="476"/>
      <c r="P211" s="476"/>
      <c r="Q211" s="476"/>
      <c r="R211" s="476"/>
    </row>
    <row r="212" spans="1:18">
      <c r="A212" s="476"/>
      <c r="B212" s="476"/>
      <c r="C212" s="476"/>
      <c r="D212" s="497"/>
      <c r="E212" s="480"/>
      <c r="F212" s="476"/>
      <c r="G212" s="476"/>
      <c r="H212" s="476"/>
      <c r="I212" s="476"/>
      <c r="J212" s="476"/>
      <c r="K212" s="476"/>
      <c r="L212" s="476"/>
      <c r="M212" s="476"/>
      <c r="N212" s="476"/>
      <c r="O212" s="476"/>
      <c r="P212" s="476"/>
      <c r="Q212" s="476"/>
      <c r="R212" s="476"/>
    </row>
    <row r="213" spans="1:18">
      <c r="A213" s="476"/>
      <c r="B213" s="476"/>
      <c r="C213" s="476"/>
      <c r="D213" s="497"/>
      <c r="E213" s="480"/>
      <c r="F213" s="476"/>
      <c r="G213" s="476"/>
      <c r="H213" s="476"/>
      <c r="I213" s="476"/>
      <c r="J213" s="476"/>
      <c r="K213" s="476"/>
      <c r="L213" s="476"/>
      <c r="M213" s="476"/>
      <c r="N213" s="476"/>
      <c r="O213" s="476"/>
      <c r="P213" s="476"/>
      <c r="Q213" s="476"/>
      <c r="R213" s="476"/>
    </row>
    <row r="214" spans="1:18">
      <c r="A214" s="476"/>
      <c r="B214" s="476"/>
      <c r="C214" s="476"/>
      <c r="D214" s="486"/>
      <c r="E214" s="486"/>
      <c r="F214" s="476"/>
      <c r="G214" s="476"/>
      <c r="H214" s="476"/>
      <c r="I214" s="476"/>
      <c r="J214" s="476"/>
      <c r="K214" s="476"/>
      <c r="L214" s="476"/>
      <c r="M214" s="476"/>
      <c r="N214" s="476"/>
      <c r="O214" s="476"/>
      <c r="P214" s="476"/>
      <c r="Q214" s="476"/>
      <c r="R214" s="476"/>
    </row>
    <row r="215" spans="1:18">
      <c r="A215" s="476"/>
      <c r="B215" s="476"/>
      <c r="C215" s="476"/>
      <c r="D215" s="480"/>
      <c r="E215" s="480"/>
      <c r="F215" s="476"/>
      <c r="G215" s="476"/>
      <c r="H215" s="476"/>
      <c r="I215" s="476"/>
      <c r="J215" s="476"/>
      <c r="K215" s="476"/>
      <c r="L215" s="476"/>
      <c r="M215" s="476"/>
      <c r="N215" s="476"/>
      <c r="O215" s="476"/>
      <c r="P215" s="476"/>
      <c r="Q215" s="476"/>
      <c r="R215" s="476"/>
    </row>
    <row r="216" spans="1:18">
      <c r="A216" s="476"/>
      <c r="B216" s="476"/>
      <c r="C216" s="476"/>
      <c r="D216" s="476"/>
      <c r="E216" s="476"/>
      <c r="F216" s="476"/>
      <c r="G216" s="476"/>
      <c r="H216" s="476"/>
      <c r="I216" s="476"/>
      <c r="J216" s="476"/>
      <c r="K216" s="476"/>
      <c r="L216" s="476"/>
      <c r="M216" s="476"/>
      <c r="N216" s="476"/>
      <c r="O216" s="476"/>
      <c r="P216" s="476"/>
      <c r="Q216" s="476"/>
      <c r="R216" s="476"/>
    </row>
    <row r="217" spans="1:18">
      <c r="A217" s="476"/>
      <c r="B217" s="476"/>
      <c r="C217" s="476"/>
      <c r="D217" s="486"/>
      <c r="E217" s="486"/>
      <c r="F217" s="476"/>
      <c r="G217" s="476"/>
      <c r="H217" s="476"/>
      <c r="I217" s="476"/>
      <c r="J217" s="476"/>
      <c r="K217" s="476"/>
      <c r="L217" s="476"/>
      <c r="M217" s="476"/>
      <c r="N217" s="476"/>
      <c r="O217" s="476"/>
      <c r="P217" s="476"/>
      <c r="Q217" s="476"/>
      <c r="R217" s="476"/>
    </row>
    <row r="218" spans="1:18">
      <c r="A218" s="476"/>
      <c r="B218" s="476"/>
      <c r="C218" s="476"/>
      <c r="D218" s="476"/>
      <c r="E218" s="476"/>
      <c r="F218" s="476"/>
      <c r="G218" s="476"/>
      <c r="H218" s="476"/>
      <c r="I218" s="476"/>
      <c r="J218" s="476"/>
      <c r="K218" s="476"/>
      <c r="L218" s="476"/>
      <c r="M218" s="476"/>
      <c r="N218" s="476"/>
      <c r="O218" s="476"/>
      <c r="P218" s="476"/>
      <c r="Q218" s="476"/>
      <c r="R218" s="476"/>
    </row>
    <row r="219" spans="1:18">
      <c r="A219" s="476"/>
      <c r="B219" s="481"/>
      <c r="C219" s="481"/>
      <c r="D219" s="497"/>
      <c r="E219" s="497"/>
      <c r="F219" s="476"/>
      <c r="G219" s="476"/>
      <c r="H219" s="476"/>
      <c r="I219" s="476"/>
      <c r="J219" s="476"/>
      <c r="K219" s="476"/>
      <c r="L219" s="476"/>
      <c r="M219" s="476"/>
      <c r="N219" s="476"/>
      <c r="O219" s="476"/>
      <c r="P219" s="476"/>
      <c r="Q219" s="476"/>
      <c r="R219" s="476"/>
    </row>
    <row r="220" spans="1:18">
      <c r="A220" s="476"/>
      <c r="B220" s="476"/>
      <c r="C220" s="476"/>
      <c r="D220" s="497"/>
      <c r="E220" s="497"/>
      <c r="F220" s="476"/>
      <c r="G220" s="476"/>
      <c r="H220" s="476"/>
      <c r="I220" s="476"/>
      <c r="J220" s="476"/>
      <c r="K220" s="476"/>
      <c r="L220" s="476"/>
      <c r="M220" s="476"/>
      <c r="N220" s="476"/>
      <c r="O220" s="476"/>
      <c r="P220" s="476"/>
      <c r="Q220" s="476"/>
      <c r="R220" s="476"/>
    </row>
    <row r="221" spans="1:18">
      <c r="A221" s="476"/>
      <c r="B221" s="476"/>
      <c r="C221" s="476"/>
      <c r="D221" s="497"/>
      <c r="E221" s="497"/>
      <c r="F221" s="476"/>
      <c r="G221" s="476"/>
      <c r="H221" s="476"/>
      <c r="I221" s="476"/>
      <c r="J221" s="476"/>
      <c r="K221" s="476"/>
      <c r="L221" s="476"/>
      <c r="M221" s="476"/>
      <c r="N221" s="476"/>
      <c r="O221" s="476"/>
      <c r="P221" s="476"/>
      <c r="Q221" s="476"/>
      <c r="R221" s="476"/>
    </row>
    <row r="222" spans="1:18">
      <c r="A222" s="476"/>
      <c r="B222" s="476"/>
      <c r="C222" s="476"/>
      <c r="D222" s="497"/>
      <c r="E222" s="480"/>
      <c r="F222" s="476"/>
      <c r="G222" s="476"/>
      <c r="H222" s="476"/>
      <c r="I222" s="476"/>
      <c r="J222" s="476"/>
      <c r="K222" s="476"/>
      <c r="L222" s="476"/>
      <c r="M222" s="476"/>
      <c r="N222" s="476"/>
      <c r="O222" s="476"/>
      <c r="P222" s="476"/>
      <c r="Q222" s="476"/>
      <c r="R222" s="476"/>
    </row>
    <row r="223" spans="1:18">
      <c r="A223" s="476"/>
      <c r="B223" s="476"/>
      <c r="C223" s="476"/>
      <c r="D223" s="497"/>
      <c r="E223" s="480"/>
      <c r="F223" s="476"/>
      <c r="G223" s="476"/>
      <c r="H223" s="476"/>
      <c r="I223" s="476"/>
      <c r="J223" s="476"/>
      <c r="K223" s="476"/>
      <c r="L223" s="476"/>
      <c r="M223" s="476"/>
      <c r="N223" s="476"/>
      <c r="O223" s="476"/>
      <c r="P223" s="476"/>
      <c r="Q223" s="476"/>
      <c r="R223" s="476"/>
    </row>
    <row r="224" spans="1:18">
      <c r="A224" s="476"/>
      <c r="B224" s="476"/>
      <c r="C224" s="476"/>
      <c r="D224" s="497"/>
      <c r="E224" s="480"/>
      <c r="F224" s="476"/>
      <c r="G224" s="476"/>
      <c r="H224" s="476"/>
      <c r="I224" s="476"/>
      <c r="J224" s="476"/>
      <c r="K224" s="476"/>
      <c r="L224" s="476"/>
      <c r="M224" s="476"/>
      <c r="N224" s="476"/>
      <c r="O224" s="476"/>
      <c r="P224" s="476"/>
      <c r="Q224" s="476"/>
      <c r="R224" s="476"/>
    </row>
    <row r="225" spans="1:18">
      <c r="A225" s="476"/>
      <c r="B225" s="476"/>
      <c r="C225" s="476"/>
      <c r="D225" s="497"/>
      <c r="E225" s="480"/>
      <c r="F225" s="476"/>
      <c r="G225" s="476"/>
      <c r="H225" s="476"/>
      <c r="I225" s="476"/>
      <c r="J225" s="476"/>
      <c r="K225" s="476"/>
      <c r="L225" s="476"/>
      <c r="M225" s="476"/>
      <c r="N225" s="476"/>
      <c r="O225" s="476"/>
      <c r="P225" s="476"/>
      <c r="Q225" s="476"/>
      <c r="R225" s="476"/>
    </row>
    <row r="226" spans="1:18">
      <c r="A226" s="476"/>
      <c r="B226" s="476"/>
      <c r="C226" s="476"/>
      <c r="D226" s="497"/>
      <c r="E226" s="480"/>
      <c r="F226" s="476"/>
      <c r="G226" s="476"/>
      <c r="H226" s="476"/>
      <c r="I226" s="476"/>
      <c r="J226" s="476"/>
      <c r="K226" s="476"/>
      <c r="L226" s="476"/>
      <c r="M226" s="476"/>
      <c r="N226" s="476"/>
      <c r="O226" s="476"/>
      <c r="P226" s="476"/>
      <c r="Q226" s="476"/>
      <c r="R226" s="476"/>
    </row>
    <row r="227" spans="1:18">
      <c r="A227" s="476"/>
      <c r="B227" s="476"/>
      <c r="C227" s="476"/>
      <c r="D227" s="497"/>
      <c r="E227" s="480"/>
      <c r="F227" s="476"/>
      <c r="G227" s="476"/>
      <c r="H227" s="476"/>
      <c r="I227" s="476"/>
      <c r="J227" s="476"/>
      <c r="K227" s="476"/>
      <c r="L227" s="476"/>
      <c r="M227" s="476"/>
      <c r="N227" s="476"/>
      <c r="O227" s="476"/>
      <c r="P227" s="476"/>
      <c r="Q227" s="476"/>
      <c r="R227" s="476"/>
    </row>
    <row r="228" spans="1:18">
      <c r="A228" s="476"/>
      <c r="B228" s="476"/>
      <c r="C228" s="476"/>
      <c r="D228" s="497"/>
      <c r="E228" s="480"/>
      <c r="F228" s="476"/>
      <c r="G228" s="476"/>
      <c r="H228" s="476"/>
      <c r="I228" s="476"/>
      <c r="J228" s="476"/>
      <c r="K228" s="476"/>
      <c r="L228" s="476"/>
      <c r="M228" s="476"/>
      <c r="N228" s="476"/>
      <c r="O228" s="476"/>
      <c r="P228" s="476"/>
      <c r="Q228" s="476"/>
      <c r="R228" s="476"/>
    </row>
    <row r="229" spans="1:18">
      <c r="A229" s="476"/>
      <c r="B229" s="476"/>
      <c r="C229" s="476"/>
      <c r="D229" s="497"/>
      <c r="E229" s="480"/>
      <c r="F229" s="476"/>
      <c r="G229" s="476"/>
      <c r="H229" s="476"/>
      <c r="I229" s="476"/>
      <c r="J229" s="476"/>
      <c r="K229" s="476"/>
      <c r="L229" s="476"/>
      <c r="M229" s="476"/>
      <c r="N229" s="476"/>
      <c r="O229" s="476"/>
      <c r="P229" s="476"/>
      <c r="Q229" s="476"/>
      <c r="R229" s="476"/>
    </row>
    <row r="230" spans="1:18">
      <c r="A230" s="476"/>
      <c r="B230" s="476"/>
      <c r="C230" s="476"/>
      <c r="D230" s="497"/>
      <c r="E230" s="480"/>
      <c r="F230" s="476"/>
      <c r="G230" s="476"/>
      <c r="H230" s="476"/>
      <c r="I230" s="476"/>
      <c r="J230" s="476"/>
      <c r="K230" s="476"/>
      <c r="L230" s="476"/>
      <c r="M230" s="476"/>
      <c r="N230" s="476"/>
      <c r="O230" s="476"/>
      <c r="P230" s="476"/>
      <c r="Q230" s="476"/>
      <c r="R230" s="476"/>
    </row>
    <row r="231" spans="1:18">
      <c r="A231" s="476"/>
      <c r="B231" s="476"/>
      <c r="C231" s="476"/>
      <c r="D231" s="486"/>
      <c r="E231" s="486"/>
      <c r="F231" s="476"/>
      <c r="G231" s="476"/>
      <c r="H231" s="476"/>
      <c r="I231" s="476"/>
      <c r="J231" s="476"/>
      <c r="K231" s="476"/>
      <c r="L231" s="476"/>
      <c r="M231" s="476"/>
      <c r="N231" s="476"/>
      <c r="O231" s="476"/>
      <c r="P231" s="476"/>
      <c r="Q231" s="476"/>
      <c r="R231" s="476"/>
    </row>
    <row r="232" spans="1:18">
      <c r="A232" s="476"/>
      <c r="B232" s="476"/>
      <c r="C232" s="476"/>
      <c r="D232" s="480"/>
      <c r="E232" s="480"/>
      <c r="F232" s="476"/>
      <c r="G232" s="476"/>
      <c r="H232" s="476"/>
      <c r="I232" s="476"/>
      <c r="J232" s="476"/>
      <c r="K232" s="476"/>
      <c r="L232" s="476"/>
      <c r="M232" s="476"/>
      <c r="N232" s="476"/>
      <c r="O232" s="476"/>
      <c r="P232" s="476"/>
      <c r="Q232" s="476"/>
      <c r="R232" s="476"/>
    </row>
    <row r="233" spans="1:18">
      <c r="A233" s="476"/>
      <c r="B233" s="476"/>
      <c r="C233" s="476"/>
      <c r="D233" s="486"/>
      <c r="E233" s="486"/>
      <c r="F233" s="476"/>
      <c r="G233" s="476"/>
      <c r="H233" s="476"/>
      <c r="I233" s="476"/>
      <c r="J233" s="476"/>
      <c r="K233" s="476"/>
      <c r="L233" s="476"/>
      <c r="M233" s="476"/>
      <c r="N233" s="476"/>
      <c r="O233" s="476"/>
      <c r="P233" s="476"/>
      <c r="Q233" s="476"/>
      <c r="R233" s="476"/>
    </row>
    <row r="234" spans="1:18">
      <c r="A234" s="476"/>
      <c r="B234" s="476"/>
      <c r="C234" s="476"/>
      <c r="D234" s="476"/>
      <c r="E234" s="476"/>
      <c r="F234" s="476"/>
      <c r="G234" s="476"/>
      <c r="H234" s="476"/>
      <c r="I234" s="476"/>
      <c r="J234" s="476"/>
      <c r="K234" s="476"/>
      <c r="L234" s="476"/>
      <c r="M234" s="476"/>
      <c r="N234" s="476"/>
      <c r="O234" s="476"/>
      <c r="P234" s="476"/>
      <c r="Q234" s="476"/>
      <c r="R234" s="476"/>
    </row>
    <row r="235" spans="1:18">
      <c r="A235" s="476"/>
      <c r="B235" s="476"/>
      <c r="C235" s="476"/>
      <c r="D235" s="476"/>
      <c r="E235" s="476"/>
      <c r="F235" s="476"/>
      <c r="G235" s="476"/>
      <c r="H235" s="476"/>
      <c r="I235" s="476"/>
      <c r="J235" s="476"/>
      <c r="K235" s="476"/>
      <c r="L235" s="476"/>
      <c r="M235" s="476"/>
      <c r="N235" s="476"/>
      <c r="O235" s="476"/>
      <c r="P235" s="476"/>
      <c r="Q235" s="476"/>
      <c r="R235" s="476"/>
    </row>
    <row r="236" spans="1:18">
      <c r="A236" s="476"/>
      <c r="B236" s="476"/>
      <c r="C236" s="476"/>
      <c r="D236" s="476"/>
      <c r="E236" s="476"/>
      <c r="F236" s="476"/>
      <c r="G236" s="476"/>
      <c r="H236" s="476"/>
      <c r="I236" s="476"/>
      <c r="J236" s="476"/>
      <c r="K236" s="476"/>
      <c r="L236" s="476"/>
      <c r="M236" s="476"/>
      <c r="N236" s="476"/>
      <c r="O236" s="476"/>
      <c r="P236" s="476"/>
      <c r="Q236" s="476"/>
      <c r="R236" s="476"/>
    </row>
  </sheetData>
  <phoneticPr fontId="4" type="noConversion"/>
  <pageMargins left="0.94999999999999984" right="0.75" top="1" bottom="1" header="0.5" footer="0.5"/>
  <pageSetup scale="46" orientation="portrait" horizontalDpi="300" verticalDpi="300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>
    <tabColor rgb="FF00B050"/>
    <pageSetUpPr fitToPage="1"/>
  </sheetPr>
  <dimension ref="A1:AA330"/>
  <sheetViews>
    <sheetView zoomScale="75" workbookViewId="0"/>
  </sheetViews>
  <sheetFormatPr defaultColWidth="6.88671875" defaultRowHeight="15"/>
  <cols>
    <col min="1" max="1" width="6.88671875" style="499" customWidth="1"/>
    <col min="2" max="2" width="34.5546875" style="499" customWidth="1"/>
    <col min="3" max="3" width="1.5546875" style="499" customWidth="1"/>
    <col min="4" max="4" width="15.5546875" style="499" customWidth="1"/>
    <col min="5" max="5" width="17.109375" style="499" customWidth="1"/>
    <col min="6" max="6" width="1.6640625" style="499" customWidth="1"/>
    <col min="7" max="7" width="18.5546875" style="499" customWidth="1"/>
    <col min="8" max="8" width="1.6640625" style="499" customWidth="1"/>
    <col min="9" max="9" width="17" style="499" customWidth="1"/>
    <col min="10" max="10" width="2.109375" style="499" customWidth="1"/>
    <col min="11" max="14" width="14.5546875" style="499" customWidth="1"/>
    <col min="15" max="15" width="14.5546875" style="721" customWidth="1"/>
    <col min="16" max="16" width="16.33203125" style="499" customWidth="1"/>
    <col min="17" max="20" width="6.88671875" style="499" customWidth="1"/>
    <col min="21" max="21" width="11.6640625" style="499" customWidth="1"/>
    <col min="22" max="22" width="12" style="499" customWidth="1"/>
    <col min="23" max="23" width="13.88671875" style="499" customWidth="1"/>
    <col min="24" max="24" width="14.33203125" style="499" customWidth="1"/>
    <col min="25" max="25" width="14" style="499" customWidth="1"/>
    <col min="26" max="26" width="13.44140625" style="499" customWidth="1"/>
    <col min="27" max="27" width="14.109375" style="499" customWidth="1"/>
    <col min="28" max="16384" width="6.88671875" style="499"/>
  </cols>
  <sheetData>
    <row r="1" spans="1:27">
      <c r="A1" s="1556" t="str">
        <f>COMPANY</f>
        <v>DUKE ENERGY KENTUCKY, INC.</v>
      </c>
      <c r="B1" s="963"/>
      <c r="C1" s="963"/>
      <c r="D1" s="963"/>
      <c r="E1" s="963"/>
      <c r="F1" s="963"/>
      <c r="G1" s="963"/>
      <c r="H1" s="963"/>
      <c r="I1" s="963"/>
      <c r="J1" s="963"/>
      <c r="K1" s="963"/>
      <c r="L1" s="963"/>
      <c r="M1" s="963"/>
      <c r="N1" s="963"/>
      <c r="O1" s="963"/>
      <c r="Q1" s="498"/>
      <c r="T1" s="500"/>
      <c r="V1" s="501"/>
    </row>
    <row r="2" spans="1:27">
      <c r="A2" s="1557" t="str">
        <f>CASE</f>
        <v>CASE NO. 2018-00261</v>
      </c>
      <c r="B2" s="963"/>
      <c r="C2" s="963"/>
      <c r="D2" s="963"/>
      <c r="E2" s="963"/>
      <c r="F2" s="963"/>
      <c r="G2" s="963"/>
      <c r="H2" s="963"/>
      <c r="I2" s="963"/>
      <c r="J2" s="963"/>
      <c r="K2" s="963"/>
      <c r="L2" s="963"/>
      <c r="M2" s="963"/>
      <c r="N2" s="963"/>
      <c r="O2" s="963"/>
      <c r="Q2" s="498"/>
      <c r="T2" s="500"/>
      <c r="Z2" s="501"/>
    </row>
    <row r="3" spans="1:27">
      <c r="A3" s="1556" t="s">
        <v>804</v>
      </c>
      <c r="B3" s="963"/>
      <c r="C3" s="963"/>
      <c r="D3" s="963"/>
      <c r="E3" s="963"/>
      <c r="F3" s="963"/>
      <c r="G3" s="963"/>
      <c r="H3" s="963"/>
      <c r="I3" s="963"/>
      <c r="J3" s="963"/>
      <c r="K3" s="963"/>
      <c r="L3" s="963"/>
      <c r="M3" s="963"/>
      <c r="N3" s="963"/>
      <c r="O3" s="963"/>
      <c r="Q3" s="498"/>
      <c r="T3" s="500"/>
      <c r="V3" s="501"/>
    </row>
    <row r="4" spans="1:27">
      <c r="A4" s="570" t="str">
        <f>PERIOD</f>
        <v>FOR THE TWELVE MONTHS ENDED NOVEMBER 30, 2018</v>
      </c>
      <c r="B4" s="963"/>
      <c r="C4" s="963"/>
      <c r="D4" s="963"/>
      <c r="E4" s="963"/>
      <c r="F4" s="963"/>
      <c r="G4" s="963"/>
      <c r="H4" s="963"/>
      <c r="I4" s="963"/>
      <c r="J4" s="963"/>
      <c r="K4" s="963"/>
      <c r="L4" s="963"/>
      <c r="M4" s="963"/>
      <c r="N4" s="963"/>
      <c r="O4" s="963"/>
    </row>
    <row r="5" spans="1:27">
      <c r="A5" s="570" t="str">
        <f>PeriodF</f>
        <v>FOR THE TWELVE MONTHS ENDED MARCH 31, 2020</v>
      </c>
      <c r="B5" s="963"/>
      <c r="C5" s="963"/>
      <c r="D5" s="963"/>
      <c r="E5" s="963"/>
      <c r="F5" s="963"/>
      <c r="G5" s="963"/>
      <c r="H5" s="963"/>
      <c r="I5" s="963"/>
      <c r="J5" s="963"/>
      <c r="K5" s="963"/>
      <c r="L5" s="963"/>
      <c r="M5" s="963"/>
      <c r="N5" s="963"/>
      <c r="O5" s="963"/>
      <c r="V5" s="501"/>
    </row>
    <row r="6" spans="1:27">
      <c r="A6" s="1558"/>
      <c r="B6" s="1558"/>
      <c r="C6" s="1558"/>
      <c r="D6" s="1558"/>
      <c r="E6" s="1558"/>
      <c r="F6" s="1558"/>
      <c r="G6" s="1558"/>
      <c r="H6" s="1558"/>
      <c r="I6" s="1558"/>
      <c r="J6" s="1558"/>
      <c r="K6" s="1558"/>
      <c r="L6" s="1558"/>
      <c r="M6" s="1558"/>
      <c r="N6" s="1558"/>
      <c r="O6" s="963"/>
      <c r="Q6" s="498"/>
      <c r="T6" s="500"/>
    </row>
    <row r="7" spans="1:27">
      <c r="A7" s="1559"/>
      <c r="B7" s="1558"/>
      <c r="C7" s="1558"/>
      <c r="D7" s="1558"/>
      <c r="E7" s="1558"/>
      <c r="F7" s="1558"/>
      <c r="G7" s="1558"/>
      <c r="H7" s="1558"/>
      <c r="I7" s="1558"/>
      <c r="J7" s="1558"/>
      <c r="K7" s="1558"/>
      <c r="L7" s="1558"/>
      <c r="M7" s="1558"/>
      <c r="N7" s="1560" t="s">
        <v>805</v>
      </c>
      <c r="Q7" s="498"/>
      <c r="T7" s="500"/>
      <c r="U7" s="503"/>
      <c r="V7" s="501"/>
      <c r="W7" s="503"/>
      <c r="X7" s="503"/>
      <c r="Y7" s="503"/>
      <c r="Z7" s="503"/>
      <c r="AA7" s="503"/>
    </row>
    <row r="8" spans="1:27">
      <c r="A8" s="1559"/>
      <c r="B8" s="1558"/>
      <c r="C8" s="1558"/>
      <c r="D8" s="1558"/>
      <c r="E8" s="1558"/>
      <c r="F8" s="1558"/>
      <c r="G8" s="1558"/>
      <c r="H8" s="1558"/>
      <c r="I8" s="1558"/>
      <c r="J8" s="1558"/>
      <c r="K8" s="1558"/>
      <c r="L8" s="1558"/>
      <c r="M8" s="1558"/>
      <c r="N8" s="1560" t="s">
        <v>564</v>
      </c>
      <c r="Q8" s="498"/>
      <c r="T8" s="500"/>
      <c r="U8" s="503"/>
      <c r="V8" s="501"/>
      <c r="W8" s="503"/>
      <c r="X8" s="503"/>
      <c r="Y8" s="503"/>
      <c r="Z8" s="503"/>
      <c r="AA8" s="503"/>
    </row>
    <row r="9" spans="1:27">
      <c r="A9" s="1558" t="str">
        <f>DataB</f>
        <v>DATA: "X" BASE PERIOD  "X" FORECASTED PERIOD</v>
      </c>
      <c r="B9" s="1558"/>
      <c r="C9" s="1558"/>
      <c r="D9" s="1558"/>
      <c r="E9" s="1558"/>
      <c r="F9" s="1558"/>
      <c r="G9" s="1558"/>
      <c r="H9" s="1558"/>
      <c r="I9" s="1558"/>
      <c r="J9" s="1558"/>
      <c r="K9" s="1558"/>
      <c r="L9" s="1558"/>
      <c r="M9" s="1558"/>
      <c r="N9" s="1562" t="s">
        <v>566</v>
      </c>
      <c r="Q9" s="498"/>
      <c r="T9" s="500"/>
      <c r="U9" s="503"/>
      <c r="V9" s="501"/>
      <c r="W9" s="503"/>
      <c r="X9" s="503"/>
      <c r="Y9" s="503"/>
      <c r="Z9" s="503"/>
      <c r="AA9" s="503"/>
    </row>
    <row r="10" spans="1:27">
      <c r="A10" s="1562" t="str">
        <f>LOGO!B15</f>
        <v xml:space="preserve">TYPE OF FILING:  "X" ORIGINAL   UPDATED    REVISED  </v>
      </c>
      <c r="B10" s="1558"/>
      <c r="C10" s="1558"/>
      <c r="D10" s="1558"/>
      <c r="E10" s="1558"/>
      <c r="F10" s="1558"/>
      <c r="G10" s="1558"/>
      <c r="H10" s="1558"/>
      <c r="I10" s="1558"/>
      <c r="J10" s="1558"/>
      <c r="K10" s="1558"/>
      <c r="L10" s="1558"/>
      <c r="M10" s="1558"/>
      <c r="N10" s="572" t="str">
        <f>_WIT9</f>
        <v>R. H. PRATT</v>
      </c>
      <c r="Q10" s="498"/>
      <c r="T10" s="500"/>
      <c r="U10" s="503"/>
      <c r="V10" s="501"/>
      <c r="W10" s="503"/>
      <c r="X10" s="503"/>
      <c r="Y10" s="503"/>
      <c r="Z10" s="503"/>
      <c r="AA10" s="503"/>
    </row>
    <row r="11" spans="1:27">
      <c r="A11" s="1560" t="s">
        <v>129</v>
      </c>
      <c r="B11" s="1558"/>
      <c r="C11" s="1558"/>
      <c r="D11" s="1558"/>
      <c r="E11" s="1558"/>
      <c r="F11" s="1558"/>
      <c r="G11" s="1558"/>
      <c r="H11" s="1558"/>
      <c r="I11" s="1558"/>
      <c r="J11" s="1558"/>
      <c r="K11" s="1558"/>
      <c r="L11" s="1558"/>
      <c r="M11" s="1558"/>
      <c r="N11" s="1561"/>
      <c r="O11" s="963"/>
      <c r="Q11" s="498"/>
      <c r="T11" s="500"/>
      <c r="U11" s="503"/>
      <c r="V11" s="501"/>
      <c r="W11" s="503"/>
      <c r="X11" s="503"/>
      <c r="Y11" s="503"/>
      <c r="Z11" s="503"/>
      <c r="AA11" s="503"/>
    </row>
    <row r="12" spans="1:27">
      <c r="A12" s="1563"/>
      <c r="B12" s="1564"/>
      <c r="C12" s="1564"/>
      <c r="D12" s="1564"/>
      <c r="E12" s="1564"/>
      <c r="F12" s="1564"/>
      <c r="G12" s="1564"/>
      <c r="H12" s="1564"/>
      <c r="I12" s="1564"/>
      <c r="J12" s="1564"/>
      <c r="K12" s="1564"/>
      <c r="L12" s="1564"/>
      <c r="M12" s="1564"/>
      <c r="N12" s="1565"/>
      <c r="O12" s="964"/>
      <c r="Q12" s="498"/>
      <c r="T12" s="500"/>
      <c r="U12" s="503"/>
      <c r="V12" s="501"/>
      <c r="W12" s="503"/>
      <c r="X12" s="503"/>
      <c r="Y12" s="503"/>
      <c r="Z12" s="503"/>
      <c r="AA12" s="503"/>
    </row>
    <row r="13" spans="1:27">
      <c r="A13" s="1560"/>
      <c r="B13" s="1558"/>
      <c r="C13" s="1558"/>
      <c r="D13" s="994" t="s">
        <v>409</v>
      </c>
      <c r="E13" s="995"/>
      <c r="F13" s="1558"/>
      <c r="G13" s="994"/>
      <c r="H13" s="1558"/>
      <c r="I13" s="994"/>
      <c r="J13" s="1558"/>
      <c r="K13" s="1558"/>
      <c r="L13" s="1558"/>
      <c r="M13" s="1558"/>
      <c r="N13" s="1561"/>
      <c r="O13" s="963"/>
      <c r="Q13" s="498"/>
      <c r="T13" s="500"/>
      <c r="U13" s="503"/>
      <c r="V13" s="501"/>
      <c r="W13" s="503"/>
      <c r="X13" s="503"/>
      <c r="Y13" s="503"/>
      <c r="Z13" s="503"/>
      <c r="AA13" s="503"/>
    </row>
    <row r="14" spans="1:27">
      <c r="A14" s="1566" t="s">
        <v>567</v>
      </c>
      <c r="B14" s="1558"/>
      <c r="C14" s="1558"/>
      <c r="D14" s="997" t="s">
        <v>1806</v>
      </c>
      <c r="E14" s="995"/>
      <c r="F14" s="1558"/>
      <c r="G14" s="996" t="s">
        <v>1127</v>
      </c>
      <c r="H14" s="1558"/>
      <c r="I14" s="996" t="s">
        <v>740</v>
      </c>
      <c r="J14" s="1558"/>
      <c r="K14" s="2730" t="s">
        <v>2638</v>
      </c>
      <c r="L14" s="965"/>
      <c r="M14" s="965"/>
      <c r="N14" s="965"/>
      <c r="O14" s="965"/>
      <c r="Q14" s="498"/>
      <c r="T14" s="500"/>
      <c r="U14" s="504"/>
      <c r="V14" s="504"/>
      <c r="W14" s="504"/>
      <c r="X14" s="504"/>
      <c r="Y14" s="504"/>
      <c r="Z14" s="504"/>
      <c r="AA14" s="504"/>
    </row>
    <row r="15" spans="1:27">
      <c r="A15" s="1567" t="s">
        <v>766</v>
      </c>
      <c r="B15" s="1563" t="s">
        <v>741</v>
      </c>
      <c r="C15" s="1563"/>
      <c r="D15" s="407">
        <f>'SCH_I1 - Total Co.'!E14</f>
        <v>2021</v>
      </c>
      <c r="E15" s="407">
        <f>'SCH_I1 - Total Co.'!F14</f>
        <v>2020</v>
      </c>
      <c r="F15" s="1563"/>
      <c r="G15" s="465" t="s">
        <v>743</v>
      </c>
      <c r="H15" s="1563"/>
      <c r="I15" s="465" t="s">
        <v>743</v>
      </c>
      <c r="J15" s="1563"/>
      <c r="K15" s="407">
        <f>'SCH_I1 - Total Co.'!N14</f>
        <v>2017</v>
      </c>
      <c r="L15" s="407">
        <f>$K$15-1</f>
        <v>2016</v>
      </c>
      <c r="M15" s="407">
        <f>$K$15-2</f>
        <v>2015</v>
      </c>
      <c r="N15" s="407">
        <f>$K$15-3</f>
        <v>2014</v>
      </c>
      <c r="O15" s="407">
        <f>$K$15-4</f>
        <v>2013</v>
      </c>
      <c r="Q15" s="498"/>
      <c r="T15" s="500"/>
      <c r="U15" s="501"/>
      <c r="V15" s="505"/>
      <c r="W15" s="505"/>
      <c r="X15" s="505"/>
      <c r="Y15" s="505"/>
      <c r="Z15" s="505"/>
      <c r="AA15" s="505"/>
    </row>
    <row r="16" spans="1:27">
      <c r="A16" s="1566">
        <v>1</v>
      </c>
      <c r="B16" s="1560" t="s">
        <v>806</v>
      </c>
      <c r="C16" s="1560"/>
      <c r="D16" s="720"/>
      <c r="E16" s="721"/>
      <c r="F16" s="1560"/>
      <c r="G16" s="720"/>
      <c r="H16" s="1560"/>
      <c r="I16" s="720"/>
      <c r="J16" s="1560"/>
      <c r="K16" s="720"/>
      <c r="L16" s="720"/>
      <c r="M16" s="720"/>
      <c r="N16" s="720"/>
      <c r="O16" s="720"/>
      <c r="Q16" s="498"/>
    </row>
    <row r="17" spans="1:17">
      <c r="A17" s="1566">
        <v>2</v>
      </c>
      <c r="B17" s="1568" t="s">
        <v>807</v>
      </c>
      <c r="C17" s="1568"/>
      <c r="D17" s="721"/>
      <c r="E17" s="721"/>
      <c r="F17" s="1568"/>
      <c r="G17" s="721"/>
      <c r="H17" s="1568"/>
      <c r="I17" s="721"/>
      <c r="J17" s="1568"/>
      <c r="K17" s="721"/>
      <c r="L17" s="721"/>
      <c r="M17" s="721"/>
      <c r="N17" s="721"/>
      <c r="O17" s="966"/>
      <c r="Q17" s="498"/>
    </row>
    <row r="18" spans="1:17">
      <c r="A18" s="1566">
        <v>3</v>
      </c>
      <c r="B18" s="573" t="s">
        <v>802</v>
      </c>
      <c r="C18" s="573"/>
      <c r="D18" s="721"/>
      <c r="E18" s="721"/>
      <c r="F18" s="1568"/>
      <c r="G18" s="721"/>
      <c r="H18" s="573"/>
      <c r="I18" s="721"/>
      <c r="J18" s="573"/>
      <c r="K18" s="721"/>
      <c r="L18" s="721"/>
      <c r="M18" s="721"/>
      <c r="N18" s="721"/>
      <c r="Q18" s="498"/>
    </row>
    <row r="19" spans="1:17">
      <c r="A19" s="1566">
        <v>4</v>
      </c>
      <c r="B19" s="1560" t="s">
        <v>1810</v>
      </c>
      <c r="C19" s="1560"/>
      <c r="D19" s="3542">
        <v>5845686</v>
      </c>
      <c r="E19" s="3542">
        <v>5777074</v>
      </c>
      <c r="F19" s="1568"/>
      <c r="G19" s="3521">
        <f>'MCF Sales'!C41</f>
        <v>5792062.1200000001</v>
      </c>
      <c r="H19" s="1560"/>
      <c r="I19" s="1569">
        <f>'Base Period Cust'!O29</f>
        <v>6142632</v>
      </c>
      <c r="J19" s="1560"/>
      <c r="K19" s="3542">
        <v>5168611</v>
      </c>
      <c r="L19" s="3542">
        <v>5120342</v>
      </c>
      <c r="M19" s="3542">
        <v>5989448</v>
      </c>
      <c r="N19" s="3542">
        <v>7036088</v>
      </c>
      <c r="O19" s="3542">
        <v>6483794</v>
      </c>
      <c r="Q19" s="498"/>
    </row>
    <row r="20" spans="1:17">
      <c r="A20" s="1566">
        <v>5</v>
      </c>
      <c r="B20" s="1560" t="s">
        <v>1811</v>
      </c>
      <c r="C20" s="1560"/>
      <c r="D20" s="3542">
        <v>2663199</v>
      </c>
      <c r="E20" s="3542">
        <v>2721112</v>
      </c>
      <c r="F20" s="1568"/>
      <c r="G20" s="3521">
        <f>'MCF Sales'!D41</f>
        <v>2753793.3372999975</v>
      </c>
      <c r="H20" s="1560"/>
      <c r="I20" s="1569">
        <f>'Base Period Cust'!O30</f>
        <v>3263272</v>
      </c>
      <c r="J20" s="1560"/>
      <c r="K20" s="3542">
        <v>2645907</v>
      </c>
      <c r="L20" s="3542">
        <v>2590807</v>
      </c>
      <c r="M20" s="3542">
        <v>3073842</v>
      </c>
      <c r="N20" s="3542">
        <v>3469605</v>
      </c>
      <c r="O20" s="3542">
        <v>3091079</v>
      </c>
      <c r="Q20" s="498"/>
    </row>
    <row r="21" spans="1:17">
      <c r="A21" s="1566">
        <v>6</v>
      </c>
      <c r="B21" s="1560" t="s">
        <v>1812</v>
      </c>
      <c r="C21" s="1560"/>
      <c r="D21" s="3542">
        <v>147800</v>
      </c>
      <c r="E21" s="3542">
        <v>160188</v>
      </c>
      <c r="F21" s="1568"/>
      <c r="G21" s="3521">
        <f>'MCF Sales'!E41</f>
        <v>171718.18109999999</v>
      </c>
      <c r="H21" s="1560"/>
      <c r="I21" s="1569">
        <f>'Base Period Cust'!O31</f>
        <v>238549</v>
      </c>
      <c r="J21" s="1560"/>
      <c r="K21" s="3542">
        <v>214272</v>
      </c>
      <c r="L21" s="3542">
        <v>205333</v>
      </c>
      <c r="M21" s="3542">
        <v>264218</v>
      </c>
      <c r="N21" s="3542">
        <v>299373</v>
      </c>
      <c r="O21" s="3542">
        <v>273963</v>
      </c>
      <c r="Q21" s="498"/>
    </row>
    <row r="22" spans="1:17">
      <c r="A22" s="1566">
        <v>7</v>
      </c>
      <c r="B22" s="1560" t="s">
        <v>1813</v>
      </c>
      <c r="C22" s="1560"/>
      <c r="D22" s="3543">
        <f>65+325924+4620</f>
        <v>330609</v>
      </c>
      <c r="E22" s="3543">
        <f>65+326458+4583</f>
        <v>331106</v>
      </c>
      <c r="F22" s="1568"/>
      <c r="G22" s="1570">
        <f>'MCF Sales'!F41</f>
        <v>333563.84089999995</v>
      </c>
      <c r="H22" s="1560"/>
      <c r="I22" s="1570">
        <f>'Base Period Cust'!O32</f>
        <v>352939</v>
      </c>
      <c r="J22" s="1560"/>
      <c r="K22" s="3543">
        <v>311516</v>
      </c>
      <c r="L22" s="3543">
        <v>317877</v>
      </c>
      <c r="M22" s="3543">
        <v>368469</v>
      </c>
      <c r="N22" s="3543">
        <v>423752</v>
      </c>
      <c r="O22" s="3543">
        <v>376749</v>
      </c>
      <c r="Q22" s="498"/>
    </row>
    <row r="23" spans="1:17">
      <c r="A23" s="1566">
        <v>8</v>
      </c>
      <c r="B23" s="573" t="s">
        <v>1814</v>
      </c>
      <c r="C23" s="573"/>
      <c r="D23" s="1570">
        <f>SUM(D19:D22)</f>
        <v>8987294</v>
      </c>
      <c r="E23" s="1570">
        <f>SUM(E19:E22)</f>
        <v>8989480</v>
      </c>
      <c r="F23" s="1568"/>
      <c r="G23" s="1570">
        <f>SUM(G19:G22)</f>
        <v>9051137.4792999979</v>
      </c>
      <c r="H23" s="573"/>
      <c r="I23" s="722">
        <f>SUM(I19:I22)</f>
        <v>9997392</v>
      </c>
      <c r="J23" s="573"/>
      <c r="K23" s="722">
        <f>SUM(K19:K22)</f>
        <v>8340306</v>
      </c>
      <c r="L23" s="722">
        <f>SUM(L19:L22)</f>
        <v>8234359</v>
      </c>
      <c r="M23" s="722">
        <f>SUM(M19:M22)</f>
        <v>9695977</v>
      </c>
      <c r="N23" s="722">
        <f>SUM(N19:N22)</f>
        <v>11228818</v>
      </c>
      <c r="O23" s="1570">
        <f>SUM(O19:O22)</f>
        <v>10225585</v>
      </c>
      <c r="Q23" s="498"/>
    </row>
    <row r="24" spans="1:17">
      <c r="A24" s="1566">
        <v>9</v>
      </c>
      <c r="B24" s="573" t="s">
        <v>1885</v>
      </c>
      <c r="C24" s="573"/>
      <c r="D24" s="1571"/>
      <c r="E24" s="1571"/>
      <c r="F24" s="1568"/>
      <c r="G24" s="1571"/>
      <c r="H24" s="573"/>
      <c r="I24" s="723"/>
      <c r="J24" s="573"/>
      <c r="K24" s="723"/>
      <c r="L24" s="723"/>
      <c r="M24" s="723"/>
      <c r="N24" s="723"/>
      <c r="O24" s="1571"/>
      <c r="Q24" s="498"/>
    </row>
    <row r="25" spans="1:17">
      <c r="A25" s="1566">
        <v>10</v>
      </c>
      <c r="B25" s="573" t="s">
        <v>1811</v>
      </c>
      <c r="C25" s="573"/>
      <c r="D25" s="3542">
        <v>737183</v>
      </c>
      <c r="E25" s="3542">
        <v>705441</v>
      </c>
      <c r="F25" s="1568"/>
      <c r="G25" s="3521">
        <f>'MCF Sales'!I41</f>
        <v>683225.95270000002</v>
      </c>
      <c r="H25" s="573"/>
      <c r="I25" s="1569">
        <f>'Base Period Cust'!O35</f>
        <v>587895</v>
      </c>
      <c r="J25" s="573"/>
      <c r="K25" s="3542">
        <v>467414</v>
      </c>
      <c r="L25" s="3542">
        <v>463688</v>
      </c>
      <c r="M25" s="3542">
        <v>385850</v>
      </c>
      <c r="N25" s="3542">
        <v>421372</v>
      </c>
      <c r="O25" s="3542">
        <v>377914</v>
      </c>
      <c r="Q25" s="498"/>
    </row>
    <row r="26" spans="1:17">
      <c r="A26" s="1566">
        <v>11</v>
      </c>
      <c r="B26" s="573" t="s">
        <v>1812</v>
      </c>
      <c r="C26" s="573"/>
      <c r="D26" s="3542">
        <v>1824907</v>
      </c>
      <c r="E26" s="3542">
        <v>1774778</v>
      </c>
      <c r="F26" s="1568"/>
      <c r="G26" s="3521">
        <f>'MCF Sales'!J41</f>
        <v>1746248.6088999999</v>
      </c>
      <c r="H26" s="573"/>
      <c r="I26" s="1569">
        <f>'Base Period Cust'!O36</f>
        <v>1592225</v>
      </c>
      <c r="J26" s="573"/>
      <c r="K26" s="3542">
        <v>1520851</v>
      </c>
      <c r="L26" s="3542">
        <v>1558044</v>
      </c>
      <c r="M26" s="3542">
        <v>1585371</v>
      </c>
      <c r="N26" s="3542">
        <v>1630363</v>
      </c>
      <c r="O26" s="3542">
        <v>1383560</v>
      </c>
      <c r="Q26" s="498"/>
    </row>
    <row r="27" spans="1:17">
      <c r="A27" s="1566">
        <v>12</v>
      </c>
      <c r="B27" s="573" t="s">
        <v>1813</v>
      </c>
      <c r="C27" s="573"/>
      <c r="D27" s="3542">
        <v>192508</v>
      </c>
      <c r="E27" s="3542">
        <v>189651</v>
      </c>
      <c r="F27" s="1568"/>
      <c r="G27" s="3521">
        <f>'MCF Sales'!K41</f>
        <v>187756.06910000002</v>
      </c>
      <c r="H27" s="573"/>
      <c r="I27" s="1569">
        <f>'Base Period Cust'!O37</f>
        <v>171199</v>
      </c>
      <c r="J27" s="573"/>
      <c r="K27" s="3542">
        <v>160350</v>
      </c>
      <c r="L27" s="3542">
        <v>171904</v>
      </c>
      <c r="M27" s="3542">
        <v>197596</v>
      </c>
      <c r="N27" s="3542">
        <v>239769</v>
      </c>
      <c r="O27" s="3542">
        <v>225852</v>
      </c>
      <c r="Q27" s="498"/>
    </row>
    <row r="28" spans="1:17">
      <c r="A28" s="1566">
        <v>13</v>
      </c>
      <c r="B28" s="573" t="s">
        <v>304</v>
      </c>
      <c r="C28" s="573"/>
      <c r="D28" s="3543">
        <v>1480511</v>
      </c>
      <c r="E28" s="3543">
        <v>1480061</v>
      </c>
      <c r="F28" s="1568"/>
      <c r="G28" s="1570">
        <f>'MCF Sales'!L41</f>
        <v>1479993.3099999977</v>
      </c>
      <c r="H28" s="573"/>
      <c r="I28" s="1570">
        <f>'Base Period Cust'!O38</f>
        <v>1543399</v>
      </c>
      <c r="J28" s="573"/>
      <c r="K28" s="3543">
        <v>1548968</v>
      </c>
      <c r="L28" s="3543">
        <v>1513733</v>
      </c>
      <c r="M28" s="3543">
        <v>1338823</v>
      </c>
      <c r="N28" s="3543">
        <v>1334777</v>
      </c>
      <c r="O28" s="3543">
        <v>1509108</v>
      </c>
      <c r="Q28" s="498"/>
    </row>
    <row r="29" spans="1:17">
      <c r="A29" s="1566">
        <v>14</v>
      </c>
      <c r="B29" s="573" t="s">
        <v>1886</v>
      </c>
      <c r="C29" s="573"/>
      <c r="D29" s="1570">
        <f>SUM(D25:D28)</f>
        <v>4235109</v>
      </c>
      <c r="E29" s="1570">
        <f>SUM(E25:E28)</f>
        <v>4149931</v>
      </c>
      <c r="F29" s="1568"/>
      <c r="G29" s="1570">
        <f>SUM(G25:G28)</f>
        <v>4097223.9406999974</v>
      </c>
      <c r="H29" s="573"/>
      <c r="I29" s="722">
        <f>SUM(I25:I28)</f>
        <v>3894718</v>
      </c>
      <c r="J29" s="573"/>
      <c r="K29" s="722">
        <f>SUM(K25:K28)</f>
        <v>3697583</v>
      </c>
      <c r="L29" s="722">
        <f>SUM(L25:L28)</f>
        <v>3707369</v>
      </c>
      <c r="M29" s="722">
        <f>SUM(M25:M28)</f>
        <v>3507640</v>
      </c>
      <c r="N29" s="722">
        <f>SUM(N25:N28)</f>
        <v>3626281</v>
      </c>
      <c r="O29" s="1570">
        <f>SUM(O25:O28)</f>
        <v>3496434</v>
      </c>
      <c r="Q29" s="498"/>
    </row>
    <row r="30" spans="1:17">
      <c r="A30" s="1566">
        <v>15</v>
      </c>
      <c r="B30" s="573" t="s">
        <v>808</v>
      </c>
      <c r="C30" s="573"/>
      <c r="D30" s="1571">
        <f>D23+D29</f>
        <v>13222403</v>
      </c>
      <c r="E30" s="1571">
        <f>E23+E29</f>
        <v>13139411</v>
      </c>
      <c r="F30" s="573"/>
      <c r="G30" s="1571">
        <f>G23+G29</f>
        <v>13148361.419999994</v>
      </c>
      <c r="H30" s="573"/>
      <c r="I30" s="723">
        <f>I23+I29</f>
        <v>13892110</v>
      </c>
      <c r="J30" s="573"/>
      <c r="K30" s="723">
        <f>K23+K29</f>
        <v>12037889</v>
      </c>
      <c r="L30" s="723">
        <f>L23+L29</f>
        <v>11941728</v>
      </c>
      <c r="M30" s="723">
        <f>M23+M29</f>
        <v>13203617</v>
      </c>
      <c r="N30" s="723">
        <f>N23+N29</f>
        <v>14855099</v>
      </c>
      <c r="O30" s="1571">
        <f>O23+O29</f>
        <v>13722019</v>
      </c>
      <c r="Q30" s="498"/>
    </row>
    <row r="31" spans="1:17">
      <c r="A31" s="1566">
        <v>16</v>
      </c>
      <c r="B31" s="1558"/>
      <c r="C31" s="1558"/>
      <c r="D31" s="1572"/>
      <c r="E31" s="1572"/>
      <c r="F31" s="1558"/>
      <c r="G31" s="1572"/>
      <c r="H31" s="1558"/>
      <c r="I31" s="1572"/>
      <c r="J31" s="1558"/>
      <c r="K31" s="1572"/>
      <c r="L31" s="1572"/>
      <c r="M31" s="1572"/>
      <c r="N31" s="1572"/>
      <c r="O31" s="1572"/>
      <c r="Q31" s="498"/>
    </row>
    <row r="32" spans="1:17">
      <c r="A32" s="1566">
        <v>17</v>
      </c>
      <c r="B32" s="1560" t="s">
        <v>1071</v>
      </c>
      <c r="C32" s="1560"/>
      <c r="D32" s="1558"/>
      <c r="E32" s="1558"/>
      <c r="F32" s="1560"/>
      <c r="G32" s="1558"/>
      <c r="H32" s="1560"/>
      <c r="I32" s="1558"/>
      <c r="J32" s="1560"/>
      <c r="K32" s="1558"/>
      <c r="L32" s="1558"/>
      <c r="M32" s="1558"/>
      <c r="N32" s="1558"/>
      <c r="O32" s="1558"/>
      <c r="Q32" s="498"/>
    </row>
    <row r="33" spans="1:17">
      <c r="A33" s="1566">
        <v>18</v>
      </c>
      <c r="B33" s="1568" t="s">
        <v>1072</v>
      </c>
      <c r="C33" s="1568"/>
      <c r="D33" s="1558"/>
      <c r="E33" s="1558"/>
      <c r="F33" s="1568"/>
      <c r="G33" s="1558"/>
      <c r="H33" s="1568"/>
      <c r="I33" s="1558"/>
      <c r="J33" s="1568"/>
      <c r="K33" s="1558"/>
      <c r="L33" s="1558"/>
      <c r="M33" s="1558"/>
      <c r="N33" s="1558"/>
      <c r="O33" s="1558"/>
      <c r="Q33" s="498"/>
    </row>
    <row r="34" spans="1:17">
      <c r="A34" s="1566">
        <v>19</v>
      </c>
      <c r="B34" s="573" t="s">
        <v>802</v>
      </c>
      <c r="C34" s="573"/>
      <c r="D34" s="1558"/>
      <c r="E34" s="1558"/>
      <c r="F34" s="573"/>
      <c r="G34" s="1558"/>
      <c r="H34" s="573"/>
      <c r="I34" s="1558"/>
      <c r="J34" s="573"/>
      <c r="K34" s="1558"/>
      <c r="L34" s="1558"/>
      <c r="M34" s="1558"/>
      <c r="N34" s="1558"/>
      <c r="O34" s="1558"/>
      <c r="Q34" s="498"/>
    </row>
    <row r="35" spans="1:17">
      <c r="A35" s="1566">
        <v>20</v>
      </c>
      <c r="B35" s="1560" t="s">
        <v>1810</v>
      </c>
      <c r="C35" s="1560"/>
      <c r="D35" s="967">
        <f>SCH_I2.1!D35</f>
        <v>93852</v>
      </c>
      <c r="E35" s="967">
        <f>SCH_I2.1!E35</f>
        <v>93292</v>
      </c>
      <c r="F35" s="1560"/>
      <c r="G35" s="967">
        <f>SCH_I2.1!G35</f>
        <v>93187.37</v>
      </c>
      <c r="H35" s="1560"/>
      <c r="I35" s="967">
        <f>SCH_I2.1!I35</f>
        <v>91432</v>
      </c>
      <c r="J35" s="1560"/>
      <c r="K35" s="967">
        <f>SCH_I2.1!J35</f>
        <v>91702</v>
      </c>
      <c r="L35" s="967">
        <f>SCH_I2.1!K35</f>
        <v>90896</v>
      </c>
      <c r="M35" s="967">
        <f>SCH_I2.1!L35</f>
        <v>90056</v>
      </c>
      <c r="N35" s="967">
        <f>SCH_I2.1!M35</f>
        <v>89668</v>
      </c>
      <c r="O35" s="967">
        <f>SCH_I2.1!N35</f>
        <v>89174</v>
      </c>
      <c r="Q35" s="498"/>
    </row>
    <row r="36" spans="1:17">
      <c r="A36" s="1566">
        <v>21</v>
      </c>
      <c r="B36" s="1560" t="s">
        <v>1811</v>
      </c>
      <c r="C36" s="1560"/>
      <c r="D36" s="967">
        <f>SCH_I2.1!D36</f>
        <v>7285</v>
      </c>
      <c r="E36" s="967">
        <f>SCH_I2.1!E36</f>
        <v>7242</v>
      </c>
      <c r="F36" s="1560"/>
      <c r="G36" s="967">
        <f>SCH_I2.1!G36</f>
        <v>7233.6923999999999</v>
      </c>
      <c r="H36" s="1560"/>
      <c r="I36" s="967">
        <f>SCH_I2.1!I36</f>
        <v>7097</v>
      </c>
      <c r="J36" s="1560"/>
      <c r="K36" s="967">
        <f>SCH_I2.1!J36</f>
        <v>7154</v>
      </c>
      <c r="L36" s="967">
        <f>SCH_I2.1!K36</f>
        <v>7294</v>
      </c>
      <c r="M36" s="967">
        <f>SCH_I2.1!L36</f>
        <v>7281</v>
      </c>
      <c r="N36" s="967">
        <f>SCH_I2.1!M36</f>
        <v>7284</v>
      </c>
      <c r="O36" s="967">
        <f>SCH_I2.1!N36</f>
        <v>7196</v>
      </c>
      <c r="Q36" s="498"/>
    </row>
    <row r="37" spans="1:17">
      <c r="A37" s="1566">
        <v>22</v>
      </c>
      <c r="B37" s="1560" t="s">
        <v>1812</v>
      </c>
      <c r="C37" s="1560"/>
      <c r="D37" s="967">
        <f>SCH_I2.1!D37</f>
        <v>214</v>
      </c>
      <c r="E37" s="967">
        <f>SCH_I2.1!E37</f>
        <v>213</v>
      </c>
      <c r="F37" s="1560"/>
      <c r="G37" s="967">
        <f>SCH_I2.1!G37</f>
        <v>212.3604</v>
      </c>
      <c r="H37" s="1560"/>
      <c r="I37" s="967">
        <f>SCH_I2.1!I37</f>
        <v>208</v>
      </c>
      <c r="J37" s="1560"/>
      <c r="K37" s="967">
        <f>SCH_I2.1!J37</f>
        <v>208</v>
      </c>
      <c r="L37" s="967">
        <f>SCH_I2.1!K37</f>
        <v>210</v>
      </c>
      <c r="M37" s="967">
        <f>SCH_I2.1!L37</f>
        <v>217</v>
      </c>
      <c r="N37" s="967">
        <f>SCH_I2.1!M37</f>
        <v>206</v>
      </c>
      <c r="O37" s="967">
        <f>SCH_I2.1!N37</f>
        <v>209</v>
      </c>
      <c r="Q37" s="498"/>
    </row>
    <row r="38" spans="1:17">
      <c r="A38" s="1566">
        <v>23</v>
      </c>
      <c r="B38" s="1560" t="s">
        <v>1813</v>
      </c>
      <c r="C38" s="1560"/>
      <c r="D38" s="722">
        <f>SCH_I2.1!D38</f>
        <v>382</v>
      </c>
      <c r="E38" s="722">
        <f>SCH_I2.1!E38</f>
        <v>379</v>
      </c>
      <c r="F38" s="1560"/>
      <c r="G38" s="722">
        <f>SCH_I2.1!G38</f>
        <v>378.79469999999998</v>
      </c>
      <c r="H38" s="1560"/>
      <c r="I38" s="722">
        <f>SCH_I2.1!I38</f>
        <v>372</v>
      </c>
      <c r="J38" s="1560"/>
      <c r="K38" s="722">
        <f>SCH_I2.1!J38</f>
        <v>363</v>
      </c>
      <c r="L38" s="722">
        <f>SCH_I2.1!K38</f>
        <v>372</v>
      </c>
      <c r="M38" s="722">
        <f>SCH_I2.1!L38</f>
        <v>367</v>
      </c>
      <c r="N38" s="722">
        <f>SCH_I2.1!M38</f>
        <v>365</v>
      </c>
      <c r="O38" s="722">
        <f>SCH_I2.1!N38</f>
        <v>357</v>
      </c>
      <c r="Q38" s="498"/>
    </row>
    <row r="39" spans="1:17">
      <c r="A39" s="1566">
        <v>24</v>
      </c>
      <c r="B39" s="573" t="s">
        <v>1814</v>
      </c>
      <c r="C39" s="573"/>
      <c r="D39" s="722">
        <f>SUM(D35:D38)</f>
        <v>101733</v>
      </c>
      <c r="E39" s="722">
        <f>SUM(E35:E38)</f>
        <v>101126</v>
      </c>
      <c r="F39" s="573"/>
      <c r="G39" s="722">
        <f>SUM(G35:G38)</f>
        <v>101012.2175</v>
      </c>
      <c r="H39" s="573"/>
      <c r="I39" s="722">
        <f>SUM(I35:I38)</f>
        <v>99109</v>
      </c>
      <c r="J39" s="573"/>
      <c r="K39" s="722">
        <f>SUM(K35:K38)</f>
        <v>99427</v>
      </c>
      <c r="L39" s="722">
        <f>SUM(L35:L38)</f>
        <v>98772</v>
      </c>
      <c r="M39" s="722">
        <f>SUM(M35:M38)</f>
        <v>97921</v>
      </c>
      <c r="N39" s="722">
        <f>SUM(N35:N38)</f>
        <v>97523</v>
      </c>
      <c r="O39" s="722">
        <f>SUM(O35:O38)</f>
        <v>96936</v>
      </c>
      <c r="Q39" s="498"/>
    </row>
    <row r="40" spans="1:17">
      <c r="A40" s="1566">
        <v>25</v>
      </c>
      <c r="B40" s="573" t="s">
        <v>1885</v>
      </c>
      <c r="C40" s="573"/>
      <c r="D40" s="723"/>
      <c r="E40" s="723"/>
      <c r="F40" s="573"/>
      <c r="G40" s="723"/>
      <c r="H40" s="573"/>
      <c r="I40" s="723"/>
      <c r="J40" s="573"/>
      <c r="K40" s="723"/>
      <c r="L40" s="723"/>
      <c r="M40" s="723"/>
      <c r="N40" s="723"/>
      <c r="O40" s="723"/>
      <c r="Q40" s="498"/>
    </row>
    <row r="41" spans="1:17">
      <c r="A41" s="1566">
        <v>26</v>
      </c>
      <c r="B41" s="573" t="s">
        <v>1811</v>
      </c>
      <c r="C41" s="573"/>
      <c r="D41" s="967">
        <f>SCH_I2.1!D41</f>
        <v>44</v>
      </c>
      <c r="E41" s="967">
        <f>SCH_I2.1!E41</f>
        <v>44</v>
      </c>
      <c r="F41" s="573"/>
      <c r="G41" s="967">
        <f>SCH_I2.1!G41</f>
        <v>44</v>
      </c>
      <c r="H41" s="573"/>
      <c r="I41" s="967">
        <f>SCH_I2.1!I41</f>
        <v>44</v>
      </c>
      <c r="J41" s="573"/>
      <c r="K41" s="967">
        <f>SCH_I2.1!J41</f>
        <v>44</v>
      </c>
      <c r="L41" s="967">
        <f>SCH_I2.1!K41</f>
        <v>44</v>
      </c>
      <c r="M41" s="967">
        <f>SCH_I2.1!L41</f>
        <v>41</v>
      </c>
      <c r="N41" s="967">
        <f>SCH_I2.1!M41</f>
        <v>38</v>
      </c>
      <c r="O41" s="967">
        <f>SCH_I2.1!N41</f>
        <v>39</v>
      </c>
      <c r="Q41" s="498"/>
    </row>
    <row r="42" spans="1:17">
      <c r="A42" s="1566">
        <v>27</v>
      </c>
      <c r="B42" s="573" t="s">
        <v>1812</v>
      </c>
      <c r="C42" s="573"/>
      <c r="D42" s="967">
        <f>SCH_I2.1!D42</f>
        <v>37</v>
      </c>
      <c r="E42" s="967">
        <f>SCH_I2.1!E42</f>
        <v>37</v>
      </c>
      <c r="F42" s="573"/>
      <c r="G42" s="967">
        <f>SCH_I2.1!G42</f>
        <v>37</v>
      </c>
      <c r="H42" s="573"/>
      <c r="I42" s="967">
        <f>SCH_I2.1!I42</f>
        <v>37</v>
      </c>
      <c r="J42" s="573"/>
      <c r="K42" s="967">
        <f>SCH_I2.1!J42</f>
        <v>37</v>
      </c>
      <c r="L42" s="967">
        <f>SCH_I2.1!K42</f>
        <v>38</v>
      </c>
      <c r="M42" s="967">
        <f>SCH_I2.1!L42</f>
        <v>39</v>
      </c>
      <c r="N42" s="967">
        <f>SCH_I2.1!M42</f>
        <v>38</v>
      </c>
      <c r="O42" s="967">
        <f>SCH_I2.1!N42</f>
        <v>36</v>
      </c>
      <c r="Q42" s="498"/>
    </row>
    <row r="43" spans="1:17">
      <c r="A43" s="1566">
        <v>28</v>
      </c>
      <c r="B43" s="573" t="s">
        <v>1813</v>
      </c>
      <c r="C43" s="573"/>
      <c r="D43" s="967">
        <f>SCH_I2.1!D43</f>
        <v>13</v>
      </c>
      <c r="E43" s="967">
        <f>SCH_I2.1!E43</f>
        <v>13</v>
      </c>
      <c r="F43" s="573"/>
      <c r="G43" s="967">
        <f>SCH_I2.1!G43</f>
        <v>13</v>
      </c>
      <c r="H43" s="573"/>
      <c r="I43" s="967">
        <f>SCH_I2.1!I43</f>
        <v>11</v>
      </c>
      <c r="J43" s="573"/>
      <c r="K43" s="967">
        <f>SCH_I2.1!J43</f>
        <v>13</v>
      </c>
      <c r="L43" s="967">
        <f>SCH_I2.1!K43</f>
        <v>13</v>
      </c>
      <c r="M43" s="967">
        <f>SCH_I2.1!L43</f>
        <v>16</v>
      </c>
      <c r="N43" s="967">
        <f>SCH_I2.1!M43</f>
        <v>16</v>
      </c>
      <c r="O43" s="967">
        <f>SCH_I2.1!N43</f>
        <v>19</v>
      </c>
      <c r="Q43" s="498"/>
    </row>
    <row r="44" spans="1:17">
      <c r="A44" s="1566">
        <v>29</v>
      </c>
      <c r="B44" s="573" t="s">
        <v>304</v>
      </c>
      <c r="C44" s="573"/>
      <c r="D44" s="722">
        <f>SCH_I2.1!D44</f>
        <v>22</v>
      </c>
      <c r="E44" s="722">
        <f>SCH_I2.1!E44</f>
        <v>22</v>
      </c>
      <c r="F44" s="573"/>
      <c r="G44" s="722">
        <f>SCH_I2.1!G44</f>
        <v>22</v>
      </c>
      <c r="H44" s="573"/>
      <c r="I44" s="722">
        <f>SCH_I2.1!I44</f>
        <v>22</v>
      </c>
      <c r="J44" s="573"/>
      <c r="K44" s="722">
        <f>SCH_I2.1!J44</f>
        <v>22</v>
      </c>
      <c r="L44" s="722">
        <f>SCH_I2.1!K44</f>
        <v>22</v>
      </c>
      <c r="M44" s="722">
        <f>SCH_I2.1!L44</f>
        <v>21</v>
      </c>
      <c r="N44" s="722">
        <f>SCH_I2.1!M44</f>
        <v>21</v>
      </c>
      <c r="O44" s="722">
        <f>SCH_I2.1!N44</f>
        <v>22</v>
      </c>
      <c r="Q44" s="498"/>
    </row>
    <row r="45" spans="1:17">
      <c r="A45" s="1566">
        <v>30</v>
      </c>
      <c r="B45" s="573" t="s">
        <v>1886</v>
      </c>
      <c r="C45" s="573"/>
      <c r="D45" s="722">
        <f>SUM(D41:D44)</f>
        <v>116</v>
      </c>
      <c r="E45" s="722">
        <f>SUM(E41:E44)</f>
        <v>116</v>
      </c>
      <c r="F45" s="573"/>
      <c r="G45" s="722">
        <f>SUM(G41:G44)</f>
        <v>116</v>
      </c>
      <c r="H45" s="573"/>
      <c r="I45" s="722">
        <f>SUM(I41:I44)</f>
        <v>114</v>
      </c>
      <c r="J45" s="573"/>
      <c r="K45" s="722">
        <f>SUM(K41:K44)</f>
        <v>116</v>
      </c>
      <c r="L45" s="722">
        <f>SUM(L41:L44)</f>
        <v>117</v>
      </c>
      <c r="M45" s="722">
        <f>SUM(M41:M44)</f>
        <v>117</v>
      </c>
      <c r="N45" s="722">
        <f>SUM(N41:N44)</f>
        <v>113</v>
      </c>
      <c r="O45" s="722">
        <f>SUM(O41:O44)</f>
        <v>116</v>
      </c>
      <c r="Q45" s="498"/>
    </row>
    <row r="46" spans="1:17">
      <c r="A46" s="1566">
        <v>31</v>
      </c>
      <c r="B46" s="573" t="s">
        <v>1073</v>
      </c>
      <c r="C46" s="573"/>
      <c r="D46" s="723">
        <f>D39+D45</f>
        <v>101849</v>
      </c>
      <c r="E46" s="723">
        <f>E39+E45</f>
        <v>101242</v>
      </c>
      <c r="F46" s="573"/>
      <c r="G46" s="723">
        <f>G39+G45</f>
        <v>101128.2175</v>
      </c>
      <c r="H46" s="573"/>
      <c r="I46" s="723">
        <f>I39+I45</f>
        <v>99223</v>
      </c>
      <c r="J46" s="573"/>
      <c r="K46" s="723">
        <f>K39+K45</f>
        <v>99543</v>
      </c>
      <c r="L46" s="723">
        <f>L39+L45</f>
        <v>98889</v>
      </c>
      <c r="M46" s="723">
        <f>M39+M45</f>
        <v>98038</v>
      </c>
      <c r="N46" s="723">
        <f>N39+N45</f>
        <v>97636</v>
      </c>
      <c r="O46" s="723">
        <f>O39+O45</f>
        <v>97052</v>
      </c>
      <c r="Q46" s="498"/>
    </row>
    <row r="47" spans="1:17">
      <c r="A47" s="1566">
        <v>32</v>
      </c>
      <c r="B47" s="573"/>
      <c r="C47" s="573"/>
      <c r="D47" s="723"/>
      <c r="E47" s="723"/>
      <c r="F47" s="573"/>
      <c r="G47" s="723"/>
      <c r="H47" s="573"/>
      <c r="I47" s="723"/>
      <c r="J47" s="573"/>
      <c r="K47" s="723"/>
      <c r="L47" s="723"/>
      <c r="M47" s="723"/>
      <c r="N47" s="723"/>
      <c r="O47" s="723"/>
      <c r="Q47" s="498"/>
    </row>
    <row r="48" spans="1:17">
      <c r="A48" s="1566">
        <v>33</v>
      </c>
      <c r="B48" s="1560" t="s">
        <v>1074</v>
      </c>
      <c r="C48" s="1560"/>
      <c r="D48" s="1558"/>
      <c r="E48" s="1558"/>
      <c r="F48" s="1560"/>
      <c r="G48" s="1558"/>
      <c r="H48" s="1560"/>
      <c r="I48" s="1558"/>
      <c r="J48" s="1560"/>
      <c r="K48" s="1558"/>
      <c r="L48" s="1558"/>
      <c r="M48" s="1558"/>
      <c r="N48" s="1558"/>
      <c r="O48" s="1558"/>
      <c r="Q48" s="498"/>
    </row>
    <row r="49" spans="1:17">
      <c r="A49" s="1566">
        <v>34</v>
      </c>
      <c r="B49" s="1568" t="s">
        <v>1888</v>
      </c>
      <c r="C49" s="1568"/>
      <c r="D49" s="1558"/>
      <c r="E49" s="1558"/>
      <c r="F49" s="1568"/>
      <c r="G49" s="1558"/>
      <c r="H49" s="1568"/>
      <c r="I49" s="1558"/>
      <c r="J49" s="1568"/>
      <c r="K49" s="1558"/>
      <c r="L49" s="1558"/>
      <c r="M49" s="1558"/>
      <c r="N49" s="1558"/>
      <c r="O49" s="1558"/>
      <c r="Q49" s="498"/>
    </row>
    <row r="50" spans="1:17">
      <c r="A50" s="1566">
        <v>35</v>
      </c>
      <c r="B50" s="573" t="s">
        <v>802</v>
      </c>
      <c r="C50" s="573"/>
      <c r="D50" s="1558"/>
      <c r="E50" s="1558"/>
      <c r="F50" s="573"/>
      <c r="G50" s="1558"/>
      <c r="H50" s="573"/>
      <c r="I50" s="1558"/>
      <c r="J50" s="573"/>
      <c r="K50" s="1558"/>
      <c r="L50" s="1558"/>
      <c r="M50" s="1558"/>
      <c r="N50" s="1558"/>
      <c r="O50" s="1558"/>
      <c r="Q50" s="498"/>
    </row>
    <row r="51" spans="1:17">
      <c r="A51" s="1566">
        <v>36</v>
      </c>
      <c r="B51" s="1560" t="s">
        <v>1810</v>
      </c>
      <c r="C51" s="1560"/>
      <c r="D51" s="967">
        <f>SCH_I2.1!D51</f>
        <v>92874</v>
      </c>
      <c r="E51" s="967">
        <f>SCH_I2.1!E51</f>
        <v>92320</v>
      </c>
      <c r="F51" s="1560"/>
      <c r="G51" s="967">
        <f>SCH_I2.1!G51</f>
        <v>91963.915384615379</v>
      </c>
      <c r="H51" s="1560"/>
      <c r="I51" s="967">
        <f>SCH_I2.1!I51</f>
        <v>91232</v>
      </c>
      <c r="J51" s="1560"/>
      <c r="K51" s="967">
        <f>SCH_I2.1!J51</f>
        <v>90736</v>
      </c>
      <c r="L51" s="967">
        <f>SCH_I2.1!K51</f>
        <v>89990</v>
      </c>
      <c r="M51" s="967">
        <f>SCH_I2.1!L51</f>
        <v>89195</v>
      </c>
      <c r="N51" s="967">
        <f>SCH_I2.1!M51</f>
        <v>88731</v>
      </c>
      <c r="O51" s="967">
        <f>SCH_I2.1!N51</f>
        <v>88282</v>
      </c>
      <c r="Q51" s="498"/>
    </row>
    <row r="52" spans="1:17">
      <c r="A52" s="1566">
        <v>37</v>
      </c>
      <c r="B52" s="1560" t="s">
        <v>1811</v>
      </c>
      <c r="C52" s="1560"/>
      <c r="D52" s="967">
        <f>SCH_I2.1!D52</f>
        <v>7209</v>
      </c>
      <c r="E52" s="967">
        <f>SCH_I2.1!E52</f>
        <v>7166</v>
      </c>
      <c r="F52" s="1560"/>
      <c r="G52" s="967">
        <f>SCH_I2.1!G52</f>
        <v>7138.7201769230742</v>
      </c>
      <c r="H52" s="1560"/>
      <c r="I52" s="967">
        <f>SCH_I2.1!I52</f>
        <v>7100</v>
      </c>
      <c r="J52" s="1560"/>
      <c r="K52" s="967">
        <f>SCH_I2.1!J52</f>
        <v>7022</v>
      </c>
      <c r="L52" s="967">
        <f>SCH_I2.1!K52</f>
        <v>7131</v>
      </c>
      <c r="M52" s="967">
        <f>SCH_I2.1!L52</f>
        <v>7100</v>
      </c>
      <c r="N52" s="967">
        <f>SCH_I2.1!M52</f>
        <v>7087</v>
      </c>
      <c r="O52" s="967">
        <f>SCH_I2.1!N52</f>
        <v>6990</v>
      </c>
      <c r="Q52" s="498"/>
    </row>
    <row r="53" spans="1:17">
      <c r="A53" s="1566">
        <v>38</v>
      </c>
      <c r="B53" s="1560" t="s">
        <v>1812</v>
      </c>
      <c r="C53" s="1560"/>
      <c r="D53" s="967">
        <f>SCH_I2.1!D53</f>
        <v>212</v>
      </c>
      <c r="E53" s="967">
        <f>SCH_I2.1!E53</f>
        <v>210</v>
      </c>
      <c r="F53" s="1560"/>
      <c r="G53" s="967">
        <f>SCH_I2.1!G53</f>
        <v>209.5696615384615</v>
      </c>
      <c r="H53" s="1560"/>
      <c r="I53" s="967">
        <f>SCH_I2.1!I53</f>
        <v>207</v>
      </c>
      <c r="J53" s="1560"/>
      <c r="K53" s="967">
        <f>SCH_I2.1!J53</f>
        <v>207</v>
      </c>
      <c r="L53" s="967">
        <f>SCH_I2.1!K53</f>
        <v>205</v>
      </c>
      <c r="M53" s="967">
        <f>SCH_I2.1!L53</f>
        <v>209</v>
      </c>
      <c r="N53" s="967">
        <f>SCH_I2.1!M53</f>
        <v>208</v>
      </c>
      <c r="O53" s="967">
        <f>SCH_I2.1!N53</f>
        <v>211</v>
      </c>
      <c r="Q53" s="498"/>
    </row>
    <row r="54" spans="1:17">
      <c r="A54" s="1566">
        <v>39</v>
      </c>
      <c r="B54" s="1560" t="s">
        <v>1813</v>
      </c>
      <c r="C54" s="1560"/>
      <c r="D54" s="722">
        <f>SCH_I2.1!D54</f>
        <v>378</v>
      </c>
      <c r="E54" s="722">
        <f>SCH_I2.1!E54</f>
        <v>375</v>
      </c>
      <c r="F54" s="1560"/>
      <c r="G54" s="722">
        <f>SCH_I2.1!G54</f>
        <v>373.82606153846154</v>
      </c>
      <c r="H54" s="1560"/>
      <c r="I54" s="722">
        <f>SCH_I2.1!I54</f>
        <v>367</v>
      </c>
      <c r="J54" s="1560"/>
      <c r="K54" s="722">
        <f>SCH_I2.1!J54</f>
        <v>366</v>
      </c>
      <c r="L54" s="722">
        <f>SCH_I2.1!K54</f>
        <v>367</v>
      </c>
      <c r="M54" s="722">
        <f>SCH_I2.1!L54</f>
        <v>367</v>
      </c>
      <c r="N54" s="722">
        <f>SCH_I2.1!M54</f>
        <v>361</v>
      </c>
      <c r="O54" s="722">
        <f>SCH_I2.1!N54</f>
        <v>353</v>
      </c>
      <c r="Q54" s="498"/>
    </row>
    <row r="55" spans="1:17">
      <c r="A55" s="1566">
        <v>40</v>
      </c>
      <c r="B55" s="573" t="s">
        <v>1814</v>
      </c>
      <c r="C55" s="573"/>
      <c r="D55" s="722">
        <f>SUM(D51:D54)</f>
        <v>100673</v>
      </c>
      <c r="E55" s="722">
        <f>SUM(E51:E54)</f>
        <v>100071</v>
      </c>
      <c r="F55" s="573"/>
      <c r="G55" s="722">
        <f>SUM(G51:G54)</f>
        <v>99686.031284615383</v>
      </c>
      <c r="H55" s="573"/>
      <c r="I55" s="722">
        <f>SUM(I51:I54)</f>
        <v>98906</v>
      </c>
      <c r="J55" s="573"/>
      <c r="K55" s="722">
        <f>SUM(K51:K54)</f>
        <v>98331</v>
      </c>
      <c r="L55" s="722">
        <f>SUM(L51:L54)</f>
        <v>97693</v>
      </c>
      <c r="M55" s="722">
        <f>SUM(M51:M54)</f>
        <v>96871</v>
      </c>
      <c r="N55" s="722">
        <f>SUM(N51:N54)</f>
        <v>96387</v>
      </c>
      <c r="O55" s="722">
        <f>SUM(O51:O54)</f>
        <v>95836</v>
      </c>
      <c r="Q55" s="498"/>
    </row>
    <row r="56" spans="1:17">
      <c r="A56" s="1566">
        <v>41</v>
      </c>
      <c r="B56" s="573" t="s">
        <v>1885</v>
      </c>
      <c r="C56" s="573"/>
      <c r="D56" s="723"/>
      <c r="E56" s="723"/>
      <c r="F56" s="573"/>
      <c r="G56" s="723"/>
      <c r="H56" s="573"/>
      <c r="I56" s="723"/>
      <c r="J56" s="573"/>
      <c r="K56" s="723"/>
      <c r="L56" s="723"/>
      <c r="M56" s="723"/>
      <c r="N56" s="723"/>
      <c r="O56" s="723"/>
      <c r="Q56" s="498"/>
    </row>
    <row r="57" spans="1:17">
      <c r="A57" s="1566">
        <v>42</v>
      </c>
      <c r="B57" s="573" t="s">
        <v>1811</v>
      </c>
      <c r="C57" s="573"/>
      <c r="D57" s="967">
        <f>SCH_I2.1!D57</f>
        <v>44</v>
      </c>
      <c r="E57" s="967">
        <f>SCH_I2.1!E57</f>
        <v>44</v>
      </c>
      <c r="F57" s="573"/>
      <c r="G57" s="967">
        <f>SCH_I2.1!G57</f>
        <v>44</v>
      </c>
      <c r="H57" s="573"/>
      <c r="I57" s="967">
        <f>SCH_I2.1!I57</f>
        <v>44</v>
      </c>
      <c r="J57" s="573"/>
      <c r="K57" s="967">
        <f>SCH_I2.1!J57</f>
        <v>44</v>
      </c>
      <c r="L57" s="967">
        <f>SCH_I2.1!K57</f>
        <v>44</v>
      </c>
      <c r="M57" s="967">
        <f>SCH_I2.1!L57</f>
        <v>40</v>
      </c>
      <c r="N57" s="967">
        <f>SCH_I2.1!M57</f>
        <v>38</v>
      </c>
      <c r="O57" s="967">
        <f>SCH_I2.1!N57</f>
        <v>37</v>
      </c>
      <c r="Q57" s="498"/>
    </row>
    <row r="58" spans="1:17">
      <c r="A58" s="1566">
        <v>43</v>
      </c>
      <c r="B58" s="573" t="s">
        <v>1812</v>
      </c>
      <c r="C58" s="573"/>
      <c r="D58" s="967">
        <f>SCH_I2.1!D58</f>
        <v>37</v>
      </c>
      <c r="E58" s="967">
        <f>SCH_I2.1!E58</f>
        <v>37</v>
      </c>
      <c r="F58" s="573"/>
      <c r="G58" s="967">
        <f>SCH_I2.1!G58</f>
        <v>37</v>
      </c>
      <c r="H58" s="573"/>
      <c r="I58" s="967">
        <f>SCH_I2.1!I58</f>
        <v>37</v>
      </c>
      <c r="J58" s="573"/>
      <c r="K58" s="967">
        <f>SCH_I2.1!J58</f>
        <v>38</v>
      </c>
      <c r="L58" s="967">
        <f>SCH_I2.1!K58</f>
        <v>39</v>
      </c>
      <c r="M58" s="967">
        <f>SCH_I2.1!L58</f>
        <v>38</v>
      </c>
      <c r="N58" s="967">
        <f>SCH_I2.1!M58</f>
        <v>38</v>
      </c>
      <c r="O58" s="967">
        <f>SCH_I2.1!N58</f>
        <v>34</v>
      </c>
      <c r="Q58" s="498"/>
    </row>
    <row r="59" spans="1:17">
      <c r="A59" s="1566">
        <v>44</v>
      </c>
      <c r="B59" s="573" t="s">
        <v>1813</v>
      </c>
      <c r="C59" s="573"/>
      <c r="D59" s="967">
        <f>SCH_I2.1!D59</f>
        <v>13</v>
      </c>
      <c r="E59" s="967">
        <f>SCH_I2.1!E59</f>
        <v>13</v>
      </c>
      <c r="F59" s="573"/>
      <c r="G59" s="967">
        <f>SCH_I2.1!G59</f>
        <v>13</v>
      </c>
      <c r="H59" s="573"/>
      <c r="I59" s="967">
        <f>SCH_I2.1!I59</f>
        <v>12</v>
      </c>
      <c r="J59" s="573"/>
      <c r="K59" s="967">
        <f>SCH_I2.1!J59</f>
        <v>13</v>
      </c>
      <c r="L59" s="967">
        <f>SCH_I2.1!K59</f>
        <v>14</v>
      </c>
      <c r="M59" s="967">
        <f>SCH_I2.1!L59</f>
        <v>16</v>
      </c>
      <c r="N59" s="967">
        <f>SCH_I2.1!M59</f>
        <v>18</v>
      </c>
      <c r="O59" s="967">
        <f>SCH_I2.1!N59</f>
        <v>19</v>
      </c>
      <c r="Q59" s="498"/>
    </row>
    <row r="60" spans="1:17">
      <c r="A60" s="1566">
        <v>45</v>
      </c>
      <c r="B60" s="573" t="s">
        <v>304</v>
      </c>
      <c r="C60" s="573"/>
      <c r="D60" s="722">
        <f>SCH_I2.1!D60</f>
        <v>22</v>
      </c>
      <c r="E60" s="722">
        <f>SCH_I2.1!E60</f>
        <v>22</v>
      </c>
      <c r="F60" s="573"/>
      <c r="G60" s="722">
        <f>SCH_I2.1!G60</f>
        <v>22</v>
      </c>
      <c r="H60" s="573"/>
      <c r="I60" s="722">
        <f>SCH_I2.1!I60</f>
        <v>22</v>
      </c>
      <c r="J60" s="573"/>
      <c r="K60" s="722">
        <f>SCH_I2.1!J60</f>
        <v>22</v>
      </c>
      <c r="L60" s="722">
        <f>SCH_I2.1!K60</f>
        <v>22</v>
      </c>
      <c r="M60" s="722">
        <f>SCH_I2.1!L60</f>
        <v>20</v>
      </c>
      <c r="N60" s="722">
        <f>SCH_I2.1!M60</f>
        <v>21</v>
      </c>
      <c r="O60" s="722">
        <f>SCH_I2.1!N60</f>
        <v>23</v>
      </c>
      <c r="Q60" s="498"/>
    </row>
    <row r="61" spans="1:17">
      <c r="A61" s="1566">
        <v>46</v>
      </c>
      <c r="B61" s="573" t="s">
        <v>1886</v>
      </c>
      <c r="C61" s="573"/>
      <c r="D61" s="722">
        <f>SUM(D57:D60)</f>
        <v>116</v>
      </c>
      <c r="E61" s="722">
        <f>SUM(E57:E60)</f>
        <v>116</v>
      </c>
      <c r="F61" s="573"/>
      <c r="G61" s="722">
        <f>SUM(G57:G60)</f>
        <v>116</v>
      </c>
      <c r="H61" s="573"/>
      <c r="I61" s="722">
        <f>SUM(I57:I60)</f>
        <v>115</v>
      </c>
      <c r="J61" s="573"/>
      <c r="K61" s="722">
        <f>SUM(K57:K60)</f>
        <v>117</v>
      </c>
      <c r="L61" s="722">
        <f>SUM(L57:L60)</f>
        <v>119</v>
      </c>
      <c r="M61" s="722">
        <f>SUM(M57:M60)</f>
        <v>114</v>
      </c>
      <c r="N61" s="722">
        <f>SUM(N57:N60)</f>
        <v>115</v>
      </c>
      <c r="O61" s="722">
        <f>SUM(O57:O60)</f>
        <v>113</v>
      </c>
      <c r="Q61" s="498"/>
    </row>
    <row r="62" spans="1:17">
      <c r="A62" s="1566">
        <v>47</v>
      </c>
      <c r="B62" s="573" t="s">
        <v>1073</v>
      </c>
      <c r="C62" s="573"/>
      <c r="D62" s="723">
        <f>D55+D61</f>
        <v>100789</v>
      </c>
      <c r="E62" s="723">
        <f>E55+E61</f>
        <v>100187</v>
      </c>
      <c r="F62" s="573"/>
      <c r="G62" s="723">
        <f>G55+G61</f>
        <v>99802.031284615383</v>
      </c>
      <c r="H62" s="573"/>
      <c r="I62" s="723">
        <f>I55+I61</f>
        <v>99021</v>
      </c>
      <c r="J62" s="573"/>
      <c r="K62" s="723">
        <f>K55+K61</f>
        <v>98448</v>
      </c>
      <c r="L62" s="723">
        <f>L55+L61</f>
        <v>97812</v>
      </c>
      <c r="M62" s="723">
        <f>M55+M61</f>
        <v>96985</v>
      </c>
      <c r="N62" s="723">
        <f>N55+N61</f>
        <v>96502</v>
      </c>
      <c r="O62" s="723">
        <f>O55+O61</f>
        <v>95949</v>
      </c>
      <c r="Q62" s="498"/>
    </row>
    <row r="63" spans="1:17">
      <c r="A63" s="1566">
        <v>48</v>
      </c>
      <c r="B63" s="1558"/>
      <c r="C63" s="1558"/>
      <c r="D63" s="1572"/>
      <c r="E63" s="1572"/>
      <c r="F63" s="1558"/>
      <c r="G63" s="1572"/>
      <c r="H63" s="1558"/>
      <c r="I63" s="1572"/>
      <c r="J63" s="1558"/>
      <c r="K63" s="1572"/>
      <c r="L63" s="1572"/>
      <c r="M63" s="1572"/>
      <c r="N63" s="1572"/>
      <c r="O63" s="1572"/>
      <c r="Q63" s="498"/>
    </row>
    <row r="64" spans="1:17">
      <c r="A64" s="1566">
        <v>49</v>
      </c>
      <c r="B64" s="1560" t="s">
        <v>1889</v>
      </c>
      <c r="C64" s="1560"/>
      <c r="D64" s="1558"/>
      <c r="E64" s="1558"/>
      <c r="F64" s="1560"/>
      <c r="G64" s="1558"/>
      <c r="H64" s="1560"/>
      <c r="I64" s="1558"/>
      <c r="J64" s="1560"/>
      <c r="K64" s="1558"/>
      <c r="L64" s="1558"/>
      <c r="M64" s="1558"/>
      <c r="N64" s="1558"/>
      <c r="O64" s="1558"/>
      <c r="Q64" s="498"/>
    </row>
    <row r="65" spans="1:19">
      <c r="A65" s="1566">
        <v>50</v>
      </c>
      <c r="B65" s="1568" t="s">
        <v>1890</v>
      </c>
      <c r="C65" s="1568"/>
      <c r="D65" s="1558"/>
      <c r="E65" s="1558"/>
      <c r="F65" s="1568"/>
      <c r="G65" s="1558"/>
      <c r="H65" s="1568"/>
      <c r="I65" s="1558"/>
      <c r="J65" s="1568"/>
      <c r="K65" s="1558"/>
      <c r="L65" s="1558"/>
      <c r="M65" s="1558"/>
      <c r="N65" s="1558"/>
      <c r="O65" s="1558"/>
      <c r="Q65" s="498"/>
    </row>
    <row r="66" spans="1:19">
      <c r="A66" s="1566">
        <v>51</v>
      </c>
      <c r="B66" s="573" t="s">
        <v>1809</v>
      </c>
      <c r="C66" s="573"/>
      <c r="D66" s="1558"/>
      <c r="E66" s="1558"/>
      <c r="F66" s="573"/>
      <c r="G66" s="1558"/>
      <c r="H66" s="573"/>
      <c r="I66" s="1558"/>
      <c r="J66" s="573"/>
      <c r="K66" s="1558"/>
      <c r="L66" s="1558"/>
      <c r="M66" s="1558"/>
      <c r="N66" s="1558"/>
      <c r="O66" s="1558"/>
      <c r="Q66" s="498"/>
    </row>
    <row r="67" spans="1:19">
      <c r="A67" s="1566">
        <v>52</v>
      </c>
      <c r="B67" s="573" t="s">
        <v>1810</v>
      </c>
      <c r="C67" s="573"/>
      <c r="D67" s="967">
        <f t="shared" ref="D67:E69" si="0">ROUND((D19/D51),0)</f>
        <v>63</v>
      </c>
      <c r="E67" s="967">
        <f t="shared" si="0"/>
        <v>63</v>
      </c>
      <c r="F67" s="573"/>
      <c r="G67" s="967">
        <f>ROUND((G19/G51),0)</f>
        <v>63</v>
      </c>
      <c r="H67" s="573"/>
      <c r="I67" s="967">
        <f>ROUND((I19/I51),0)</f>
        <v>67</v>
      </c>
      <c r="J67" s="573"/>
      <c r="K67" s="967">
        <f t="shared" ref="K67:O69" si="1">ROUND((K19/K51),0)</f>
        <v>57</v>
      </c>
      <c r="L67" s="967">
        <f t="shared" si="1"/>
        <v>57</v>
      </c>
      <c r="M67" s="967">
        <f t="shared" si="1"/>
        <v>67</v>
      </c>
      <c r="N67" s="967">
        <f t="shared" si="1"/>
        <v>79</v>
      </c>
      <c r="O67" s="967">
        <f t="shared" si="1"/>
        <v>73</v>
      </c>
      <c r="Q67" s="498"/>
    </row>
    <row r="68" spans="1:19">
      <c r="A68" s="1566">
        <v>53</v>
      </c>
      <c r="B68" s="573" t="s">
        <v>1811</v>
      </c>
      <c r="C68" s="573"/>
      <c r="D68" s="967">
        <f t="shared" si="0"/>
        <v>369</v>
      </c>
      <c r="E68" s="967">
        <f t="shared" si="0"/>
        <v>380</v>
      </c>
      <c r="F68" s="573"/>
      <c r="G68" s="967">
        <f>ROUND((G20/G52),0)</f>
        <v>386</v>
      </c>
      <c r="H68" s="573"/>
      <c r="I68" s="967">
        <f>ROUND((I20/I52),0)</f>
        <v>460</v>
      </c>
      <c r="J68" s="573"/>
      <c r="K68" s="967">
        <f t="shared" si="1"/>
        <v>377</v>
      </c>
      <c r="L68" s="967">
        <f t="shared" si="1"/>
        <v>363</v>
      </c>
      <c r="M68" s="967">
        <f t="shared" si="1"/>
        <v>433</v>
      </c>
      <c r="N68" s="967">
        <f t="shared" si="1"/>
        <v>490</v>
      </c>
      <c r="O68" s="967">
        <f t="shared" si="1"/>
        <v>442</v>
      </c>
      <c r="Q68" s="498"/>
    </row>
    <row r="69" spans="1:19">
      <c r="A69" s="1566">
        <v>54</v>
      </c>
      <c r="B69" s="573" t="s">
        <v>1812</v>
      </c>
      <c r="C69" s="573"/>
      <c r="D69" s="967">
        <f t="shared" si="0"/>
        <v>697</v>
      </c>
      <c r="E69" s="967">
        <f t="shared" si="0"/>
        <v>763</v>
      </c>
      <c r="F69" s="573"/>
      <c r="G69" s="967">
        <f>ROUND((G21/G53),0)</f>
        <v>819</v>
      </c>
      <c r="H69" s="573"/>
      <c r="I69" s="967">
        <f>ROUND((I21/I53),0)</f>
        <v>1152</v>
      </c>
      <c r="J69" s="573"/>
      <c r="K69" s="967">
        <f t="shared" si="1"/>
        <v>1035</v>
      </c>
      <c r="L69" s="967">
        <f t="shared" si="1"/>
        <v>1002</v>
      </c>
      <c r="M69" s="967">
        <f t="shared" si="1"/>
        <v>1264</v>
      </c>
      <c r="N69" s="967">
        <f t="shared" si="1"/>
        <v>1439</v>
      </c>
      <c r="O69" s="967">
        <f t="shared" si="1"/>
        <v>1298</v>
      </c>
      <c r="Q69" s="498"/>
    </row>
    <row r="70" spans="1:19">
      <c r="A70" s="1566">
        <v>55</v>
      </c>
      <c r="B70" s="573" t="s">
        <v>1885</v>
      </c>
      <c r="C70" s="573"/>
      <c r="D70" s="967"/>
      <c r="E70" s="967"/>
      <c r="F70" s="573"/>
      <c r="G70" s="967"/>
      <c r="H70" s="573"/>
      <c r="I70" s="967"/>
      <c r="J70" s="573"/>
      <c r="K70" s="967"/>
      <c r="L70" s="967"/>
      <c r="M70" s="967"/>
      <c r="N70" s="967"/>
      <c r="O70" s="967"/>
      <c r="Q70" s="498"/>
    </row>
    <row r="71" spans="1:19">
      <c r="A71" s="1566">
        <v>56</v>
      </c>
      <c r="B71" s="573" t="s">
        <v>1811</v>
      </c>
      <c r="C71" s="573"/>
      <c r="D71" s="719">
        <f>ROUND(D25/D57,0)</f>
        <v>16754</v>
      </c>
      <c r="E71" s="719">
        <f>ROUND(E25/E57,0)</f>
        <v>16033</v>
      </c>
      <c r="F71" s="573"/>
      <c r="G71" s="719">
        <f>ROUND(G25/G57,0)</f>
        <v>15528</v>
      </c>
      <c r="H71" s="573"/>
      <c r="I71" s="719">
        <f>ROUND(I25/I57,0)</f>
        <v>13361</v>
      </c>
      <c r="J71" s="573"/>
      <c r="K71" s="719">
        <f t="shared" ref="K71:O72" si="2">ROUND(K25/K57,0)</f>
        <v>10623</v>
      </c>
      <c r="L71" s="719">
        <f t="shared" si="2"/>
        <v>10538</v>
      </c>
      <c r="M71" s="719">
        <f t="shared" si="2"/>
        <v>9646</v>
      </c>
      <c r="N71" s="719">
        <f t="shared" si="2"/>
        <v>11089</v>
      </c>
      <c r="O71" s="719">
        <f t="shared" si="2"/>
        <v>10214</v>
      </c>
      <c r="Q71" s="498"/>
    </row>
    <row r="72" spans="1:19">
      <c r="A72" s="1566">
        <v>57</v>
      </c>
      <c r="B72" s="573" t="s">
        <v>1812</v>
      </c>
      <c r="C72" s="573"/>
      <c r="D72" s="719">
        <f>ROUND(D26/D58,0)</f>
        <v>49322</v>
      </c>
      <c r="E72" s="719">
        <f>ROUND(E26/E58,0)</f>
        <v>47967</v>
      </c>
      <c r="F72" s="573"/>
      <c r="G72" s="719">
        <f>ROUND(G26/G58,0)</f>
        <v>47196</v>
      </c>
      <c r="H72" s="573"/>
      <c r="I72" s="719">
        <f>ROUND(I26/I58,0)</f>
        <v>43033</v>
      </c>
      <c r="J72" s="573"/>
      <c r="K72" s="719">
        <f t="shared" si="2"/>
        <v>40022</v>
      </c>
      <c r="L72" s="719">
        <f t="shared" si="2"/>
        <v>39950</v>
      </c>
      <c r="M72" s="719">
        <f t="shared" si="2"/>
        <v>41720</v>
      </c>
      <c r="N72" s="719">
        <f t="shared" si="2"/>
        <v>42904</v>
      </c>
      <c r="O72" s="719">
        <f t="shared" si="2"/>
        <v>40693</v>
      </c>
      <c r="Q72" s="498"/>
    </row>
    <row r="73" spans="1:19">
      <c r="A73" s="1566">
        <v>58</v>
      </c>
      <c r="B73" s="573" t="s">
        <v>304</v>
      </c>
      <c r="C73" s="573"/>
      <c r="D73" s="719">
        <f>ROUND(IFERROR(D28/D60,0),0)</f>
        <v>67296</v>
      </c>
      <c r="E73" s="719">
        <f>ROUND(IFERROR(E28/E60,0),0)</f>
        <v>67276</v>
      </c>
      <c r="F73" s="573"/>
      <c r="G73" s="719">
        <f>ROUND(IFERROR(G28/G60,0),0)</f>
        <v>67272</v>
      </c>
      <c r="H73" s="573"/>
      <c r="I73" s="719">
        <f>ROUND(I28/I60,0)</f>
        <v>70155</v>
      </c>
      <c r="J73" s="573"/>
      <c r="K73" s="719">
        <f>ROUND(K28/K60,0)</f>
        <v>70408</v>
      </c>
      <c r="L73" s="719">
        <f>ROUND(L28/L60,0)</f>
        <v>68806</v>
      </c>
      <c r="M73" s="719">
        <f>ROUND(M28/M60,0)</f>
        <v>66941</v>
      </c>
      <c r="N73" s="719">
        <f>ROUND(N28/N60,0)</f>
        <v>63561</v>
      </c>
      <c r="O73" s="719">
        <f>ROUND(O28/O60,0)</f>
        <v>65613</v>
      </c>
      <c r="Q73" s="498"/>
    </row>
    <row r="74" spans="1:19">
      <c r="A74" s="1566"/>
      <c r="B74" s="1560"/>
      <c r="C74" s="1560"/>
      <c r="D74" s="967"/>
      <c r="E74" s="967"/>
      <c r="F74" s="1560"/>
      <c r="G74" s="1560"/>
      <c r="H74" s="1560"/>
      <c r="I74" s="967"/>
      <c r="J74" s="1560"/>
      <c r="K74" s="967"/>
      <c r="L74" s="967"/>
      <c r="M74" s="967"/>
      <c r="N74" s="967"/>
      <c r="O74" s="967"/>
      <c r="Q74" s="498"/>
    </row>
    <row r="75" spans="1:19">
      <c r="A75" s="1573" t="s">
        <v>2228</v>
      </c>
      <c r="B75" s="1574"/>
      <c r="C75" s="1574"/>
      <c r="D75" s="967"/>
      <c r="E75" s="967"/>
      <c r="F75" s="1574"/>
      <c r="G75" s="1574"/>
      <c r="H75" s="1574"/>
      <c r="I75" s="967"/>
      <c r="J75" s="1574"/>
      <c r="K75" s="967"/>
      <c r="L75" s="967"/>
      <c r="M75" s="967"/>
      <c r="N75" s="967"/>
      <c r="O75" s="967"/>
      <c r="Q75" s="498"/>
    </row>
    <row r="76" spans="1:19" ht="15.6">
      <c r="A76" s="968"/>
      <c r="B76" s="968"/>
      <c r="C76" s="968"/>
      <c r="D76" s="968"/>
      <c r="E76" s="968"/>
      <c r="F76" s="968"/>
      <c r="G76" s="968"/>
      <c r="H76" s="968"/>
      <c r="I76" s="968"/>
      <c r="J76" s="968"/>
      <c r="K76" s="968"/>
      <c r="L76" s="968"/>
      <c r="M76" s="968"/>
      <c r="N76" s="968"/>
      <c r="O76" s="968"/>
      <c r="Q76" s="498"/>
    </row>
    <row r="77" spans="1:19" ht="15.6">
      <c r="A77" s="508"/>
      <c r="B77" s="507"/>
      <c r="C77" s="507"/>
      <c r="D77" s="507"/>
      <c r="E77" s="507"/>
      <c r="F77" s="507"/>
      <c r="G77" s="507"/>
      <c r="H77" s="507"/>
      <c r="I77" s="507"/>
      <c r="J77" s="507"/>
      <c r="K77" s="968"/>
      <c r="L77" s="968"/>
      <c r="M77" s="507"/>
      <c r="N77" s="507"/>
      <c r="O77" s="968"/>
      <c r="Q77" s="498"/>
    </row>
    <row r="78" spans="1:19" ht="15.6">
      <c r="A78" s="509"/>
      <c r="B78" s="509"/>
      <c r="C78" s="509"/>
      <c r="D78" s="509"/>
      <c r="E78" s="509"/>
      <c r="F78" s="509"/>
      <c r="G78" s="509"/>
      <c r="H78" s="509"/>
      <c r="I78" s="509"/>
      <c r="J78" s="509"/>
      <c r="K78" s="1126"/>
      <c r="L78" s="969"/>
      <c r="M78" s="509"/>
      <c r="N78" s="510"/>
      <c r="O78" s="969"/>
      <c r="Q78" s="511"/>
      <c r="R78" s="512"/>
      <c r="S78" s="512"/>
    </row>
    <row r="79" spans="1:19" ht="15.6">
      <c r="A79" s="509"/>
      <c r="B79" s="513"/>
      <c r="C79" s="513"/>
      <c r="D79" s="514"/>
      <c r="E79" s="514"/>
      <c r="F79" s="513"/>
      <c r="G79" s="513"/>
      <c r="H79" s="513"/>
      <c r="I79" s="514"/>
      <c r="J79" s="513"/>
      <c r="K79" s="1127"/>
      <c r="L79" s="970"/>
      <c r="M79" s="509"/>
      <c r="N79" s="515"/>
      <c r="O79" s="970"/>
      <c r="Q79" s="511"/>
      <c r="R79" s="512"/>
      <c r="S79" s="512"/>
    </row>
    <row r="80" spans="1:19" ht="15.6">
      <c r="A80" s="509"/>
      <c r="B80" s="510"/>
      <c r="C80" s="510"/>
      <c r="D80" s="509"/>
      <c r="E80" s="509"/>
      <c r="F80" s="510"/>
      <c r="G80" s="510"/>
      <c r="H80" s="510"/>
      <c r="I80" s="509"/>
      <c r="J80" s="510"/>
      <c r="K80" s="1126"/>
      <c r="L80" s="969"/>
      <c r="M80" s="509"/>
      <c r="N80" s="510"/>
      <c r="O80" s="969"/>
      <c r="Q80" s="511"/>
      <c r="R80" s="512"/>
      <c r="S80" s="512"/>
    </row>
    <row r="81" spans="1:19" ht="15.6">
      <c r="A81" s="509"/>
      <c r="B81" s="509"/>
      <c r="C81" s="509"/>
      <c r="D81" s="509"/>
      <c r="E81" s="509"/>
      <c r="F81" s="509"/>
      <c r="G81" s="509"/>
      <c r="H81" s="509"/>
      <c r="I81" s="509"/>
      <c r="J81" s="509"/>
      <c r="K81" s="1126"/>
      <c r="L81" s="969"/>
      <c r="M81" s="509"/>
      <c r="N81" s="510"/>
      <c r="O81" s="969"/>
      <c r="Q81" s="511"/>
      <c r="R81" s="512"/>
      <c r="S81" s="512"/>
    </row>
    <row r="82" spans="1:19" ht="15.6">
      <c r="A82" s="509"/>
      <c r="B82" s="509"/>
      <c r="C82" s="509"/>
      <c r="D82" s="509"/>
      <c r="E82" s="509"/>
      <c r="F82" s="509"/>
      <c r="G82" s="509"/>
      <c r="H82" s="509"/>
      <c r="I82" s="509"/>
      <c r="J82" s="509"/>
      <c r="K82" s="1128"/>
      <c r="L82" s="969"/>
      <c r="M82" s="509"/>
      <c r="N82" s="513"/>
      <c r="O82" s="969"/>
      <c r="Q82" s="511"/>
      <c r="R82" s="512"/>
      <c r="S82" s="512"/>
    </row>
    <row r="83" spans="1:19" ht="15.6">
      <c r="A83" s="516"/>
      <c r="B83" s="509"/>
      <c r="C83" s="509"/>
      <c r="D83" s="509"/>
      <c r="E83" s="509"/>
      <c r="F83" s="509"/>
      <c r="G83" s="509"/>
      <c r="H83" s="509"/>
      <c r="I83" s="509"/>
      <c r="J83" s="509"/>
      <c r="K83" s="969"/>
      <c r="L83" s="969"/>
      <c r="M83" s="509"/>
      <c r="N83" s="509"/>
      <c r="O83" s="969"/>
      <c r="Q83" s="511"/>
      <c r="R83" s="512"/>
      <c r="S83" s="512"/>
    </row>
    <row r="84" spans="1:19" ht="15.6">
      <c r="A84" s="517"/>
      <c r="B84" s="518"/>
      <c r="C84" s="518"/>
      <c r="D84" s="509"/>
      <c r="E84" s="509"/>
      <c r="F84" s="518"/>
      <c r="G84" s="518"/>
      <c r="H84" s="518"/>
      <c r="I84" s="518"/>
      <c r="J84" s="518"/>
      <c r="K84" s="969"/>
      <c r="L84" s="969"/>
      <c r="M84" s="509"/>
      <c r="N84" s="509"/>
      <c r="O84" s="969"/>
      <c r="Q84" s="511"/>
      <c r="R84" s="512"/>
      <c r="S84" s="512"/>
    </row>
    <row r="85" spans="1:19" ht="15.6">
      <c r="A85" s="516"/>
      <c r="B85" s="510"/>
      <c r="C85" s="510"/>
      <c r="D85" s="519"/>
      <c r="E85" s="519"/>
      <c r="F85" s="510"/>
      <c r="G85" s="510"/>
      <c r="H85" s="510"/>
      <c r="I85" s="510"/>
      <c r="J85" s="510"/>
      <c r="K85" s="971"/>
      <c r="L85" s="971"/>
      <c r="M85" s="519"/>
      <c r="N85" s="519"/>
      <c r="O85" s="971"/>
      <c r="Q85" s="511"/>
      <c r="R85" s="512"/>
      <c r="S85" s="512"/>
    </row>
    <row r="86" spans="1:19" ht="15.6">
      <c r="A86" s="516"/>
      <c r="B86" s="510"/>
      <c r="C86" s="510"/>
      <c r="D86" s="520"/>
      <c r="E86" s="520"/>
      <c r="F86" s="510"/>
      <c r="G86" s="510"/>
      <c r="H86" s="510"/>
      <c r="I86" s="510"/>
      <c r="J86" s="510"/>
      <c r="K86" s="972"/>
      <c r="L86" s="972"/>
      <c r="M86" s="520"/>
      <c r="N86" s="520"/>
      <c r="O86" s="972"/>
      <c r="Q86" s="511"/>
      <c r="R86" s="512"/>
      <c r="S86" s="512"/>
    </row>
    <row r="87" spans="1:19" ht="15.6">
      <c r="A87" s="516"/>
      <c r="B87" s="518"/>
      <c r="C87" s="518"/>
      <c r="D87" s="521"/>
      <c r="E87" s="521"/>
      <c r="F87" s="518"/>
      <c r="G87" s="518"/>
      <c r="H87" s="518"/>
      <c r="I87" s="518"/>
      <c r="J87" s="518"/>
      <c r="K87" s="521"/>
      <c r="L87" s="521"/>
      <c r="M87" s="521"/>
      <c r="N87" s="521"/>
      <c r="O87" s="521"/>
      <c r="Q87" s="512"/>
      <c r="R87" s="512"/>
      <c r="S87" s="512"/>
    </row>
    <row r="88" spans="1:19" ht="15.6">
      <c r="A88" s="516"/>
      <c r="B88" s="510"/>
      <c r="C88" s="510"/>
      <c r="D88" s="522"/>
      <c r="E88" s="522"/>
      <c r="F88" s="510"/>
      <c r="G88" s="510"/>
      <c r="H88" s="510"/>
      <c r="I88" s="510"/>
      <c r="J88" s="510"/>
      <c r="K88" s="973"/>
      <c r="L88" s="973"/>
      <c r="M88" s="522"/>
      <c r="N88" s="522"/>
      <c r="O88" s="973"/>
      <c r="Q88" s="512"/>
      <c r="R88" s="512"/>
      <c r="S88" s="512"/>
    </row>
    <row r="89" spans="1:19" ht="15.6">
      <c r="A89" s="516"/>
      <c r="B89" s="510"/>
      <c r="C89" s="510"/>
      <c r="D89" s="522"/>
      <c r="E89" s="522"/>
      <c r="F89" s="510"/>
      <c r="G89" s="510"/>
      <c r="H89" s="510"/>
      <c r="I89" s="510"/>
      <c r="J89" s="510"/>
      <c r="K89" s="973"/>
      <c r="L89" s="973"/>
      <c r="M89" s="522"/>
      <c r="N89" s="522"/>
      <c r="O89" s="973"/>
      <c r="Q89" s="512"/>
      <c r="R89" s="512"/>
      <c r="S89" s="512"/>
    </row>
    <row r="90" spans="1:19" ht="15.6">
      <c r="A90" s="516"/>
      <c r="B90" s="510"/>
      <c r="C90" s="510"/>
      <c r="D90" s="522"/>
      <c r="E90" s="522"/>
      <c r="F90" s="510"/>
      <c r="G90" s="510"/>
      <c r="H90" s="510"/>
      <c r="I90" s="510"/>
      <c r="J90" s="510"/>
      <c r="K90" s="973"/>
      <c r="L90" s="973"/>
      <c r="M90" s="522"/>
      <c r="N90" s="522"/>
      <c r="O90" s="973"/>
      <c r="Q90" s="512"/>
      <c r="R90" s="512"/>
      <c r="S90" s="512"/>
    </row>
    <row r="91" spans="1:19" ht="15.6">
      <c r="A91" s="516"/>
      <c r="B91" s="510"/>
      <c r="C91" s="510"/>
      <c r="D91" s="523"/>
      <c r="E91" s="523"/>
      <c r="F91" s="510"/>
      <c r="G91" s="510"/>
      <c r="H91" s="510"/>
      <c r="I91" s="510"/>
      <c r="J91" s="510"/>
      <c r="K91" s="974"/>
      <c r="L91" s="974"/>
      <c r="M91" s="523"/>
      <c r="N91" s="523"/>
      <c r="O91" s="974"/>
      <c r="Q91" s="512"/>
      <c r="R91" s="512"/>
      <c r="S91" s="512"/>
    </row>
    <row r="92" spans="1:19" ht="15.6">
      <c r="A92" s="516"/>
      <c r="B92" s="510"/>
      <c r="C92" s="510"/>
      <c r="D92" s="524"/>
      <c r="E92" s="524"/>
      <c r="F92" s="510"/>
      <c r="G92" s="510"/>
      <c r="H92" s="510"/>
      <c r="I92" s="510"/>
      <c r="J92" s="510"/>
      <c r="K92" s="975"/>
      <c r="L92" s="975"/>
      <c r="M92" s="524"/>
      <c r="N92" s="524"/>
      <c r="O92" s="975"/>
      <c r="Q92" s="512"/>
      <c r="R92" s="512"/>
      <c r="S92" s="512"/>
    </row>
    <row r="93" spans="1:19" ht="15.6">
      <c r="A93" s="516"/>
      <c r="B93" s="509"/>
      <c r="C93" s="509"/>
      <c r="D93" s="525"/>
      <c r="E93" s="525"/>
      <c r="F93" s="509"/>
      <c r="G93" s="509"/>
      <c r="H93" s="509"/>
      <c r="I93" s="509"/>
      <c r="J93" s="509"/>
      <c r="K93" s="976"/>
      <c r="L93" s="976"/>
      <c r="M93" s="525"/>
      <c r="N93" s="525"/>
      <c r="O93" s="976"/>
      <c r="Q93" s="512"/>
      <c r="R93" s="512"/>
      <c r="S93" s="512"/>
    </row>
    <row r="94" spans="1:19" ht="15.6">
      <c r="A94" s="516"/>
      <c r="B94" s="510"/>
      <c r="C94" s="510"/>
      <c r="D94" s="509"/>
      <c r="E94" s="509"/>
      <c r="F94" s="510"/>
      <c r="G94" s="510"/>
      <c r="H94" s="510"/>
      <c r="I94" s="510"/>
      <c r="J94" s="510"/>
      <c r="K94" s="969"/>
      <c r="L94" s="969"/>
      <c r="M94" s="509"/>
      <c r="N94" s="509"/>
      <c r="O94" s="969"/>
      <c r="Q94" s="512"/>
      <c r="R94" s="512"/>
      <c r="S94" s="512"/>
    </row>
    <row r="95" spans="1:19" ht="15.6">
      <c r="A95" s="516"/>
      <c r="B95" s="518"/>
      <c r="C95" s="518"/>
      <c r="D95" s="509"/>
      <c r="E95" s="509"/>
      <c r="F95" s="518"/>
      <c r="G95" s="518"/>
      <c r="H95" s="518"/>
      <c r="I95" s="518"/>
      <c r="J95" s="518"/>
      <c r="K95" s="969"/>
      <c r="L95" s="969"/>
      <c r="M95" s="509"/>
      <c r="N95" s="509"/>
      <c r="O95" s="969"/>
      <c r="Q95" s="512"/>
      <c r="R95" s="512"/>
      <c r="S95" s="512"/>
    </row>
    <row r="96" spans="1:19" ht="15.6">
      <c r="A96" s="516"/>
      <c r="B96" s="510"/>
      <c r="C96" s="510"/>
      <c r="D96" s="522"/>
      <c r="E96" s="522"/>
      <c r="F96" s="510"/>
      <c r="G96" s="510"/>
      <c r="H96" s="510"/>
      <c r="I96" s="510"/>
      <c r="J96" s="510"/>
      <c r="K96" s="973"/>
      <c r="L96" s="973"/>
      <c r="M96" s="522"/>
      <c r="N96" s="522"/>
      <c r="O96" s="973"/>
      <c r="Q96" s="512"/>
      <c r="R96" s="512"/>
      <c r="S96" s="512"/>
    </row>
    <row r="97" spans="1:19" ht="15.6">
      <c r="A97" s="516"/>
      <c r="B97" s="510"/>
      <c r="C97" s="510"/>
      <c r="D97" s="522"/>
      <c r="E97" s="522"/>
      <c r="F97" s="510"/>
      <c r="G97" s="510"/>
      <c r="H97" s="510"/>
      <c r="I97" s="510"/>
      <c r="J97" s="510"/>
      <c r="K97" s="522"/>
      <c r="L97" s="522"/>
      <c r="M97" s="522"/>
      <c r="N97" s="522"/>
      <c r="O97" s="973"/>
      <c r="Q97" s="512"/>
      <c r="R97" s="512"/>
      <c r="S97" s="512"/>
    </row>
    <row r="98" spans="1:19" ht="15.6">
      <c r="A98" s="516"/>
      <c r="B98" s="510"/>
      <c r="C98" s="510"/>
      <c r="D98" s="522"/>
      <c r="E98" s="522"/>
      <c r="F98" s="510"/>
      <c r="G98" s="510"/>
      <c r="H98" s="510"/>
      <c r="I98" s="510"/>
      <c r="J98" s="510"/>
      <c r="K98" s="522"/>
      <c r="L98" s="522"/>
      <c r="M98" s="522"/>
      <c r="N98" s="522"/>
      <c r="O98" s="973"/>
      <c r="Q98" s="512"/>
      <c r="R98" s="512"/>
      <c r="S98" s="512"/>
    </row>
    <row r="99" spans="1:19" ht="15.6">
      <c r="A99" s="516"/>
      <c r="B99" s="510"/>
      <c r="C99" s="510"/>
      <c r="D99" s="523"/>
      <c r="E99" s="523"/>
      <c r="F99" s="510"/>
      <c r="G99" s="510"/>
      <c r="H99" s="510"/>
      <c r="I99" s="510"/>
      <c r="J99" s="510"/>
      <c r="K99" s="523"/>
      <c r="L99" s="523"/>
      <c r="M99" s="523"/>
      <c r="N99" s="523"/>
      <c r="O99" s="974"/>
      <c r="Q99" s="512"/>
      <c r="R99" s="512"/>
      <c r="S99" s="512"/>
    </row>
    <row r="100" spans="1:19" ht="15.6">
      <c r="A100" s="516"/>
      <c r="B100" s="510"/>
      <c r="C100" s="510"/>
      <c r="D100" s="524"/>
      <c r="E100" s="524"/>
      <c r="F100" s="510"/>
      <c r="G100" s="510"/>
      <c r="H100" s="510"/>
      <c r="I100" s="510"/>
      <c r="J100" s="510"/>
      <c r="K100" s="524"/>
      <c r="L100" s="524"/>
      <c r="M100" s="524"/>
      <c r="N100" s="524"/>
      <c r="O100" s="975"/>
      <c r="Q100" s="512"/>
      <c r="R100" s="512"/>
      <c r="S100" s="512"/>
    </row>
    <row r="101" spans="1:19" ht="15.6">
      <c r="A101" s="516"/>
      <c r="B101" s="509"/>
      <c r="C101" s="509"/>
      <c r="D101" s="525"/>
      <c r="E101" s="525"/>
      <c r="F101" s="509"/>
      <c r="G101" s="509"/>
      <c r="H101" s="509"/>
      <c r="I101" s="509"/>
      <c r="J101" s="509"/>
      <c r="K101" s="525"/>
      <c r="L101" s="525"/>
      <c r="M101" s="525"/>
      <c r="N101" s="525"/>
      <c r="O101" s="976"/>
      <c r="Q101" s="512"/>
      <c r="R101" s="512"/>
      <c r="S101" s="512"/>
    </row>
    <row r="102" spans="1:19" ht="15.6">
      <c r="A102" s="516"/>
      <c r="B102" s="510"/>
      <c r="C102" s="510"/>
      <c r="D102" s="509"/>
      <c r="E102" s="509"/>
      <c r="F102" s="510"/>
      <c r="G102" s="510"/>
      <c r="H102" s="510"/>
      <c r="I102" s="510"/>
      <c r="J102" s="510"/>
      <c r="K102" s="509"/>
      <c r="L102" s="509"/>
      <c r="M102" s="509"/>
      <c r="N102" s="509"/>
      <c r="O102" s="969"/>
      <c r="Q102" s="512"/>
      <c r="R102" s="512"/>
      <c r="S102" s="512"/>
    </row>
    <row r="103" spans="1:19" ht="15.6">
      <c r="A103" s="516"/>
      <c r="B103" s="518"/>
      <c r="C103" s="518"/>
      <c r="D103" s="509"/>
      <c r="E103" s="509"/>
      <c r="F103" s="518"/>
      <c r="G103" s="518"/>
      <c r="H103" s="518"/>
      <c r="I103" s="518"/>
      <c r="J103" s="518"/>
      <c r="K103" s="509"/>
      <c r="L103" s="509"/>
      <c r="M103" s="509"/>
      <c r="N103" s="509"/>
      <c r="O103" s="969"/>
      <c r="Q103" s="512"/>
      <c r="R103" s="512"/>
      <c r="S103" s="512"/>
    </row>
    <row r="104" spans="1:19" ht="15.6">
      <c r="A104" s="516"/>
      <c r="B104" s="510"/>
      <c r="C104" s="510"/>
      <c r="D104" s="522"/>
      <c r="E104" s="522"/>
      <c r="F104" s="510"/>
      <c r="G104" s="510"/>
      <c r="H104" s="510"/>
      <c r="I104" s="510"/>
      <c r="J104" s="510"/>
      <c r="K104" s="522"/>
      <c r="L104" s="522"/>
      <c r="M104" s="522"/>
      <c r="N104" s="522"/>
      <c r="O104" s="973"/>
      <c r="Q104" s="512"/>
      <c r="R104" s="512"/>
      <c r="S104" s="512"/>
    </row>
    <row r="105" spans="1:19" ht="15.6">
      <c r="A105" s="516"/>
      <c r="B105" s="510"/>
      <c r="C105" s="510"/>
      <c r="D105" s="522"/>
      <c r="E105" s="522"/>
      <c r="F105" s="510"/>
      <c r="G105" s="510"/>
      <c r="H105" s="510"/>
      <c r="I105" s="510"/>
      <c r="J105" s="510"/>
      <c r="K105" s="522"/>
      <c r="L105" s="522"/>
      <c r="M105" s="522"/>
      <c r="N105" s="522"/>
      <c r="O105" s="973"/>
      <c r="Q105" s="512"/>
      <c r="R105" s="512"/>
      <c r="S105" s="512"/>
    </row>
    <row r="106" spans="1:19" ht="15.6">
      <c r="A106" s="516"/>
      <c r="B106" s="510"/>
      <c r="C106" s="510"/>
      <c r="D106" s="522"/>
      <c r="E106" s="522"/>
      <c r="F106" s="510"/>
      <c r="G106" s="510"/>
      <c r="H106" s="510"/>
      <c r="I106" s="510"/>
      <c r="J106" s="510"/>
      <c r="K106" s="522"/>
      <c r="L106" s="522"/>
      <c r="M106" s="522"/>
      <c r="N106" s="522"/>
      <c r="O106" s="973"/>
      <c r="Q106" s="512"/>
      <c r="R106" s="512"/>
      <c r="S106" s="512"/>
    </row>
    <row r="107" spans="1:19" ht="15.6">
      <c r="A107" s="516"/>
      <c r="B107" s="510"/>
      <c r="C107" s="510"/>
      <c r="D107" s="523"/>
      <c r="E107" s="523"/>
      <c r="F107" s="510"/>
      <c r="G107" s="510"/>
      <c r="H107" s="510"/>
      <c r="I107" s="510"/>
      <c r="J107" s="510"/>
      <c r="K107" s="523"/>
      <c r="L107" s="523"/>
      <c r="M107" s="523"/>
      <c r="N107" s="523"/>
      <c r="O107" s="974"/>
      <c r="Q107" s="512"/>
      <c r="R107" s="512"/>
      <c r="S107" s="512"/>
    </row>
    <row r="108" spans="1:19" ht="15.6">
      <c r="A108" s="516"/>
      <c r="B108" s="510"/>
      <c r="C108" s="510"/>
      <c r="D108" s="524"/>
      <c r="E108" s="524"/>
      <c r="F108" s="510"/>
      <c r="G108" s="510"/>
      <c r="H108" s="510"/>
      <c r="I108" s="510"/>
      <c r="J108" s="510"/>
      <c r="K108" s="524"/>
      <c r="L108" s="524"/>
      <c r="M108" s="524"/>
      <c r="N108" s="524"/>
      <c r="O108" s="975"/>
      <c r="Q108" s="512"/>
      <c r="R108" s="512"/>
      <c r="S108" s="512"/>
    </row>
    <row r="109" spans="1:19" ht="15.6">
      <c r="A109" s="516"/>
      <c r="B109" s="509"/>
      <c r="C109" s="509"/>
      <c r="D109" s="525"/>
      <c r="E109" s="525"/>
      <c r="F109" s="509"/>
      <c r="G109" s="509"/>
      <c r="H109" s="509"/>
      <c r="I109" s="509"/>
      <c r="J109" s="509"/>
      <c r="K109" s="525"/>
      <c r="L109" s="525"/>
      <c r="M109" s="525"/>
      <c r="N109" s="525"/>
      <c r="O109" s="976"/>
      <c r="Q109" s="512"/>
      <c r="R109" s="512"/>
      <c r="S109" s="512"/>
    </row>
    <row r="110" spans="1:19" ht="15.6">
      <c r="A110" s="516"/>
      <c r="B110" s="510"/>
      <c r="C110" s="510"/>
      <c r="D110" s="509"/>
      <c r="E110" s="509"/>
      <c r="F110" s="510"/>
      <c r="G110" s="510"/>
      <c r="H110" s="510"/>
      <c r="I110" s="510"/>
      <c r="J110" s="510"/>
      <c r="K110" s="509"/>
      <c r="L110" s="509"/>
      <c r="M110" s="509"/>
      <c r="N110" s="509"/>
      <c r="O110" s="969"/>
      <c r="Q110" s="512"/>
      <c r="R110" s="512"/>
      <c r="S110" s="512"/>
    </row>
    <row r="111" spans="1:19" ht="15.6">
      <c r="A111" s="516"/>
      <c r="B111" s="518"/>
      <c r="C111" s="518"/>
      <c r="D111" s="509"/>
      <c r="E111" s="509"/>
      <c r="F111" s="518"/>
      <c r="G111" s="518"/>
      <c r="H111" s="518"/>
      <c r="I111" s="518"/>
      <c r="J111" s="518"/>
      <c r="K111" s="509"/>
      <c r="L111" s="509"/>
      <c r="M111" s="509"/>
      <c r="N111" s="509"/>
      <c r="O111" s="969"/>
      <c r="Q111" s="512"/>
      <c r="R111" s="512"/>
      <c r="S111" s="512"/>
    </row>
    <row r="112" spans="1:19" ht="15.6">
      <c r="A112" s="516"/>
      <c r="B112" s="510"/>
      <c r="C112" s="510"/>
      <c r="D112" s="522"/>
      <c r="E112" s="522"/>
      <c r="F112" s="510"/>
      <c r="G112" s="510"/>
      <c r="H112" s="510"/>
      <c r="I112" s="510"/>
      <c r="J112" s="510"/>
      <c r="K112" s="522"/>
      <c r="L112" s="522"/>
      <c r="M112" s="522"/>
      <c r="N112" s="522"/>
      <c r="O112" s="973"/>
      <c r="Q112" s="512"/>
      <c r="R112" s="512"/>
      <c r="S112" s="512"/>
    </row>
    <row r="113" spans="1:19" ht="15.6">
      <c r="A113" s="516"/>
      <c r="B113" s="510"/>
      <c r="C113" s="510"/>
      <c r="D113" s="522"/>
      <c r="E113" s="522"/>
      <c r="F113" s="510"/>
      <c r="G113" s="510"/>
      <c r="H113" s="510"/>
      <c r="I113" s="510"/>
      <c r="J113" s="510"/>
      <c r="K113" s="522"/>
      <c r="L113" s="522"/>
      <c r="M113" s="522"/>
      <c r="N113" s="522"/>
      <c r="O113" s="973"/>
      <c r="Q113" s="512"/>
      <c r="R113" s="512"/>
      <c r="S113" s="512"/>
    </row>
    <row r="114" spans="1:19" ht="15.6">
      <c r="A114" s="516"/>
      <c r="B114" s="510"/>
      <c r="C114" s="510"/>
      <c r="D114" s="522"/>
      <c r="E114" s="522"/>
      <c r="F114" s="510"/>
      <c r="G114" s="510"/>
      <c r="H114" s="510"/>
      <c r="I114" s="510"/>
      <c r="J114" s="510"/>
      <c r="K114" s="522"/>
      <c r="L114" s="522"/>
      <c r="M114" s="522"/>
      <c r="N114" s="522"/>
      <c r="O114" s="973"/>
      <c r="Q114" s="512"/>
      <c r="R114" s="512"/>
      <c r="S114" s="512"/>
    </row>
    <row r="115" spans="1:19" ht="15.6">
      <c r="A115" s="516"/>
      <c r="B115" s="520"/>
      <c r="C115" s="520"/>
      <c r="D115" s="516"/>
      <c r="E115" s="516"/>
      <c r="F115" s="520"/>
      <c r="G115" s="520"/>
      <c r="H115" s="520"/>
      <c r="I115" s="520"/>
      <c r="J115" s="520"/>
      <c r="K115" s="516"/>
      <c r="L115" s="516"/>
      <c r="M115" s="516"/>
      <c r="N115" s="516"/>
      <c r="O115" s="977"/>
      <c r="Q115" s="512"/>
      <c r="R115" s="512"/>
      <c r="S115" s="512"/>
    </row>
    <row r="116" spans="1:19" ht="15.6">
      <c r="A116" s="509"/>
      <c r="B116" s="509"/>
      <c r="C116" s="509"/>
      <c r="D116" s="509"/>
      <c r="E116" s="509"/>
      <c r="F116" s="509"/>
      <c r="G116" s="509"/>
      <c r="H116" s="509"/>
      <c r="I116" s="509"/>
      <c r="J116" s="509"/>
      <c r="K116" s="509"/>
      <c r="L116" s="509"/>
      <c r="M116" s="509"/>
      <c r="N116" s="509"/>
      <c r="O116" s="969"/>
      <c r="Q116" s="511"/>
      <c r="R116" s="512"/>
      <c r="S116" s="512"/>
    </row>
    <row r="117" spans="1:19" ht="15.6">
      <c r="A117" s="509"/>
      <c r="B117" s="509"/>
      <c r="C117" s="509"/>
      <c r="D117" s="509"/>
      <c r="E117" s="509"/>
      <c r="F117" s="509"/>
      <c r="G117" s="509"/>
      <c r="H117" s="509"/>
      <c r="I117" s="509"/>
      <c r="J117" s="509"/>
      <c r="K117" s="509"/>
      <c r="L117" s="509"/>
      <c r="M117" s="509"/>
      <c r="N117" s="509"/>
      <c r="O117" s="969"/>
      <c r="Q117" s="511"/>
      <c r="R117" s="512"/>
      <c r="S117" s="512"/>
    </row>
    <row r="118" spans="1:19" ht="15.6">
      <c r="A118" s="516"/>
      <c r="B118" s="510"/>
      <c r="C118" s="510"/>
      <c r="D118" s="509"/>
      <c r="E118" s="509"/>
      <c r="F118" s="510"/>
      <c r="G118" s="510"/>
      <c r="H118" s="510"/>
      <c r="I118" s="510"/>
      <c r="J118" s="510"/>
      <c r="K118" s="509"/>
      <c r="L118" s="509"/>
      <c r="M118" s="509"/>
      <c r="N118" s="509"/>
      <c r="O118" s="969"/>
      <c r="Q118" s="511"/>
      <c r="R118" s="512"/>
      <c r="S118" s="512"/>
    </row>
    <row r="119" spans="1:19" ht="15.6">
      <c r="A119" s="509"/>
      <c r="B119" s="510"/>
      <c r="C119" s="510"/>
      <c r="D119" s="509"/>
      <c r="E119" s="509"/>
      <c r="F119" s="510"/>
      <c r="G119" s="510"/>
      <c r="H119" s="510"/>
      <c r="I119" s="510"/>
      <c r="J119" s="510"/>
      <c r="K119" s="509"/>
      <c r="L119" s="509"/>
      <c r="M119" s="509"/>
      <c r="N119" s="509"/>
      <c r="O119" s="969"/>
      <c r="Q119" s="511"/>
      <c r="R119" s="512"/>
      <c r="S119" s="512"/>
    </row>
    <row r="120" spans="1:19" ht="15.6">
      <c r="A120" s="509"/>
      <c r="B120" s="510"/>
      <c r="C120" s="510"/>
      <c r="D120" s="509"/>
      <c r="E120" s="509"/>
      <c r="F120" s="510"/>
      <c r="G120" s="510"/>
      <c r="H120" s="510"/>
      <c r="I120" s="510"/>
      <c r="J120" s="510"/>
      <c r="K120" s="509"/>
      <c r="L120" s="509"/>
      <c r="M120" s="509"/>
      <c r="N120" s="509"/>
      <c r="O120" s="969"/>
      <c r="Q120" s="511"/>
      <c r="R120" s="512"/>
      <c r="S120" s="512"/>
    </row>
    <row r="121" spans="1:19" ht="15.6">
      <c r="A121" s="509"/>
      <c r="B121" s="510"/>
      <c r="C121" s="510"/>
      <c r="D121" s="509"/>
      <c r="E121" s="509"/>
      <c r="F121" s="510"/>
      <c r="G121" s="510"/>
      <c r="H121" s="510"/>
      <c r="I121" s="510"/>
      <c r="J121" s="510"/>
      <c r="K121" s="509"/>
      <c r="L121" s="509"/>
      <c r="M121" s="509"/>
      <c r="N121" s="509"/>
      <c r="O121" s="969"/>
      <c r="Q121" s="511"/>
      <c r="R121" s="512"/>
      <c r="S121" s="512"/>
    </row>
    <row r="122" spans="1:19" ht="15.6">
      <c r="A122" s="509"/>
      <c r="B122" s="509"/>
      <c r="C122" s="509"/>
      <c r="D122" s="509"/>
      <c r="E122" s="509"/>
      <c r="F122" s="509"/>
      <c r="G122" s="509"/>
      <c r="H122" s="509"/>
      <c r="I122" s="509"/>
      <c r="J122" s="509"/>
      <c r="K122" s="509"/>
      <c r="L122" s="509"/>
      <c r="M122" s="509"/>
      <c r="N122" s="509"/>
      <c r="O122" s="969"/>
      <c r="Q122" s="511"/>
      <c r="R122" s="512"/>
      <c r="S122" s="512"/>
    </row>
    <row r="123" spans="1:19" ht="15.6">
      <c r="A123" s="509"/>
      <c r="B123" s="509"/>
      <c r="C123" s="509"/>
      <c r="D123" s="509"/>
      <c r="E123" s="509"/>
      <c r="F123" s="509"/>
      <c r="G123" s="509"/>
      <c r="H123" s="509"/>
      <c r="I123" s="509"/>
      <c r="J123" s="509"/>
      <c r="K123" s="509"/>
      <c r="L123" s="509"/>
      <c r="M123" s="509"/>
      <c r="N123" s="509"/>
      <c r="O123" s="969"/>
      <c r="Q123" s="511"/>
      <c r="R123" s="512"/>
      <c r="S123" s="512"/>
    </row>
    <row r="124" spans="1:19" ht="15.6">
      <c r="A124" s="509"/>
      <c r="B124" s="509"/>
      <c r="C124" s="509"/>
      <c r="D124" s="509"/>
      <c r="E124" s="509"/>
      <c r="F124" s="509"/>
      <c r="G124" s="509"/>
      <c r="H124" s="509"/>
      <c r="I124" s="509"/>
      <c r="J124" s="509"/>
      <c r="K124" s="509"/>
      <c r="L124" s="509"/>
      <c r="M124" s="509"/>
      <c r="N124" s="509"/>
      <c r="O124" s="969"/>
      <c r="Q124" s="511"/>
      <c r="R124" s="512"/>
      <c r="S124" s="512"/>
    </row>
    <row r="125" spans="1:19" ht="15.6">
      <c r="A125" s="516"/>
      <c r="B125" s="510"/>
      <c r="C125" s="510"/>
      <c r="D125" s="509"/>
      <c r="E125" s="509"/>
      <c r="F125" s="510"/>
      <c r="G125" s="510"/>
      <c r="H125" s="510"/>
      <c r="I125" s="510"/>
      <c r="J125" s="510"/>
      <c r="K125" s="509"/>
      <c r="L125" s="509"/>
      <c r="M125" s="509"/>
      <c r="N125" s="509"/>
      <c r="O125" s="969"/>
      <c r="Q125" s="511"/>
      <c r="R125" s="512"/>
      <c r="S125" s="512"/>
    </row>
    <row r="126" spans="1:19" ht="15.6">
      <c r="A126" s="509"/>
      <c r="B126" s="509"/>
      <c r="C126" s="509"/>
      <c r="D126" s="509"/>
      <c r="E126" s="509"/>
      <c r="F126" s="509"/>
      <c r="G126" s="509"/>
      <c r="H126" s="509"/>
      <c r="I126" s="509"/>
      <c r="J126" s="509"/>
      <c r="K126" s="509"/>
      <c r="L126" s="509"/>
      <c r="M126" s="509"/>
      <c r="N126" s="509"/>
      <c r="O126" s="969"/>
      <c r="Q126" s="511"/>
      <c r="R126" s="512"/>
      <c r="S126" s="512"/>
    </row>
    <row r="127" spans="1:19" ht="15.6">
      <c r="A127" s="509"/>
      <c r="B127" s="509"/>
      <c r="C127" s="509"/>
      <c r="D127" s="509"/>
      <c r="E127" s="509"/>
      <c r="F127" s="509"/>
      <c r="G127" s="509"/>
      <c r="H127" s="509"/>
      <c r="I127" s="509"/>
      <c r="J127" s="509"/>
      <c r="K127" s="509"/>
      <c r="L127" s="509"/>
      <c r="M127" s="509"/>
      <c r="N127" s="509"/>
      <c r="O127" s="969"/>
      <c r="Q127" s="512"/>
      <c r="R127" s="512"/>
      <c r="S127" s="512"/>
    </row>
    <row r="128" spans="1:19" ht="15.6">
      <c r="A128" s="516"/>
      <c r="B128" s="510"/>
      <c r="C128" s="510"/>
      <c r="D128" s="509"/>
      <c r="E128" s="509"/>
      <c r="F128" s="510"/>
      <c r="G128" s="510"/>
      <c r="H128" s="510"/>
      <c r="I128" s="510"/>
      <c r="J128" s="510"/>
      <c r="K128" s="509"/>
      <c r="L128" s="509"/>
      <c r="M128" s="509"/>
      <c r="N128" s="509"/>
      <c r="O128" s="969"/>
      <c r="Q128" s="512"/>
      <c r="R128" s="512"/>
      <c r="S128" s="512"/>
    </row>
    <row r="129" spans="1:19" ht="15.6">
      <c r="A129" s="509"/>
      <c r="B129" s="509"/>
      <c r="C129" s="509"/>
      <c r="D129" s="509"/>
      <c r="E129" s="509"/>
      <c r="F129" s="509"/>
      <c r="G129" s="509"/>
      <c r="H129" s="509"/>
      <c r="I129" s="509"/>
      <c r="J129" s="509"/>
      <c r="K129" s="509"/>
      <c r="L129" s="509"/>
      <c r="M129" s="509"/>
      <c r="N129" s="509"/>
      <c r="O129" s="969"/>
      <c r="Q129" s="512"/>
      <c r="R129" s="512"/>
      <c r="S129" s="512"/>
    </row>
    <row r="130" spans="1:19" ht="15.6">
      <c r="A130" s="509"/>
      <c r="B130" s="509"/>
      <c r="C130" s="509"/>
      <c r="D130" s="509"/>
      <c r="E130" s="509"/>
      <c r="F130" s="509"/>
      <c r="G130" s="509"/>
      <c r="H130" s="509"/>
      <c r="I130" s="509"/>
      <c r="J130" s="509"/>
      <c r="K130" s="509"/>
      <c r="L130" s="509"/>
      <c r="M130" s="509"/>
      <c r="N130" s="509"/>
      <c r="O130" s="969"/>
      <c r="Q130" s="512"/>
      <c r="R130" s="512"/>
      <c r="S130" s="512"/>
    </row>
    <row r="131" spans="1:19" ht="15.6">
      <c r="A131" s="509"/>
      <c r="B131" s="526"/>
      <c r="C131" s="526"/>
      <c r="D131" s="509"/>
      <c r="E131" s="509"/>
      <c r="F131" s="526"/>
      <c r="G131" s="526"/>
      <c r="H131" s="526"/>
      <c r="I131" s="526"/>
      <c r="J131" s="526"/>
      <c r="K131" s="516"/>
      <c r="L131" s="516"/>
      <c r="M131" s="509"/>
      <c r="N131" s="509"/>
      <c r="O131" s="969"/>
      <c r="Q131" s="512"/>
      <c r="R131" s="512"/>
      <c r="S131" s="512"/>
    </row>
    <row r="132" spans="1:19" ht="15.6">
      <c r="A132" s="509"/>
      <c r="B132" s="520"/>
      <c r="C132" s="520"/>
      <c r="D132" s="509"/>
      <c r="E132" s="509"/>
      <c r="F132" s="520"/>
      <c r="G132" s="520"/>
      <c r="H132" s="520"/>
      <c r="I132" s="520"/>
      <c r="J132" s="520"/>
      <c r="K132" s="520"/>
      <c r="L132" s="520"/>
      <c r="M132" s="509"/>
      <c r="N132" s="509"/>
      <c r="O132" s="969"/>
      <c r="Q132" s="512"/>
      <c r="R132" s="512"/>
      <c r="S132" s="512"/>
    </row>
    <row r="133" spans="1:19" ht="15.6">
      <c r="A133" s="509"/>
      <c r="B133" s="510"/>
      <c r="C133" s="510"/>
      <c r="D133" s="509"/>
      <c r="E133" s="509"/>
      <c r="F133" s="510"/>
      <c r="G133" s="510"/>
      <c r="H133" s="510"/>
      <c r="I133" s="510"/>
      <c r="J133" s="510"/>
      <c r="K133" s="527"/>
      <c r="L133" s="527"/>
      <c r="M133" s="509"/>
      <c r="N133" s="509"/>
      <c r="O133" s="969"/>
      <c r="Q133" s="512"/>
      <c r="R133" s="512"/>
      <c r="S133" s="512"/>
    </row>
    <row r="134" spans="1:19" ht="15.6">
      <c r="A134" s="509"/>
      <c r="B134" s="509"/>
      <c r="C134" s="509"/>
      <c r="D134" s="509"/>
      <c r="E134" s="509"/>
      <c r="F134" s="509"/>
      <c r="G134" s="509"/>
      <c r="H134" s="509"/>
      <c r="I134" s="509"/>
      <c r="J134" s="509"/>
      <c r="K134" s="527"/>
      <c r="L134" s="527"/>
      <c r="M134" s="509"/>
      <c r="N134" s="509"/>
      <c r="O134" s="969"/>
      <c r="Q134" s="512"/>
      <c r="R134" s="512"/>
      <c r="S134" s="512"/>
    </row>
    <row r="135" spans="1:19" ht="15.6">
      <c r="A135" s="509"/>
      <c r="B135" s="509"/>
      <c r="C135" s="509"/>
      <c r="D135" s="509"/>
      <c r="E135" s="509"/>
      <c r="F135" s="509"/>
      <c r="G135" s="509"/>
      <c r="H135" s="509"/>
      <c r="I135" s="509"/>
      <c r="J135" s="509"/>
      <c r="K135" s="527"/>
      <c r="L135" s="527"/>
      <c r="M135" s="509"/>
      <c r="N135" s="509"/>
      <c r="O135" s="969"/>
      <c r="Q135" s="512"/>
      <c r="R135" s="512"/>
      <c r="S135" s="512"/>
    </row>
    <row r="136" spans="1:19" ht="15.6">
      <c r="A136" s="509"/>
      <c r="B136" s="509"/>
      <c r="C136" s="509"/>
      <c r="D136" s="509"/>
      <c r="E136" s="509"/>
      <c r="F136" s="509"/>
      <c r="G136" s="509"/>
      <c r="H136" s="509"/>
      <c r="I136" s="509"/>
      <c r="J136" s="509"/>
      <c r="K136" s="527"/>
      <c r="L136" s="513"/>
      <c r="M136" s="509"/>
      <c r="N136" s="509"/>
      <c r="O136" s="969"/>
      <c r="Q136" s="512"/>
      <c r="R136" s="512"/>
      <c r="S136" s="512"/>
    </row>
    <row r="137" spans="1:19" ht="15.6">
      <c r="A137" s="509"/>
      <c r="B137" s="509"/>
      <c r="C137" s="509"/>
      <c r="D137" s="509"/>
      <c r="E137" s="509"/>
      <c r="F137" s="509"/>
      <c r="G137" s="509"/>
      <c r="H137" s="509"/>
      <c r="I137" s="509"/>
      <c r="J137" s="509"/>
      <c r="K137" s="527"/>
      <c r="L137" s="513"/>
      <c r="M137" s="509"/>
      <c r="N137" s="509"/>
      <c r="O137" s="969"/>
      <c r="Q137" s="512"/>
      <c r="R137" s="512"/>
      <c r="S137" s="512"/>
    </row>
    <row r="138" spans="1:19" ht="15.6">
      <c r="A138" s="509"/>
      <c r="B138" s="509"/>
      <c r="C138" s="509"/>
      <c r="D138" s="509"/>
      <c r="E138" s="509"/>
      <c r="F138" s="509"/>
      <c r="G138" s="509"/>
      <c r="H138" s="509"/>
      <c r="I138" s="509"/>
      <c r="J138" s="509"/>
      <c r="K138" s="527"/>
      <c r="L138" s="513"/>
      <c r="M138" s="509"/>
      <c r="N138" s="509"/>
      <c r="O138" s="969"/>
      <c r="Q138" s="512"/>
      <c r="R138" s="512"/>
      <c r="S138" s="512"/>
    </row>
    <row r="139" spans="1:19" ht="15.6">
      <c r="A139" s="509"/>
      <c r="B139" s="509"/>
      <c r="C139" s="509"/>
      <c r="D139" s="509"/>
      <c r="E139" s="509"/>
      <c r="F139" s="509"/>
      <c r="G139" s="509"/>
      <c r="H139" s="509"/>
      <c r="I139" s="509"/>
      <c r="J139" s="509"/>
      <c r="K139" s="527"/>
      <c r="L139" s="513"/>
      <c r="M139" s="509"/>
      <c r="N139" s="509"/>
      <c r="O139" s="969"/>
      <c r="Q139" s="512"/>
      <c r="R139" s="512"/>
      <c r="S139" s="512"/>
    </row>
    <row r="140" spans="1:19" ht="15.6">
      <c r="A140" s="509"/>
      <c r="B140" s="509"/>
      <c r="C140" s="509"/>
      <c r="D140" s="509"/>
      <c r="E140" s="509"/>
      <c r="F140" s="509"/>
      <c r="G140" s="509"/>
      <c r="H140" s="509"/>
      <c r="I140" s="509"/>
      <c r="J140" s="509"/>
      <c r="K140" s="527"/>
      <c r="L140" s="513"/>
      <c r="M140" s="509"/>
      <c r="N140" s="509"/>
      <c r="O140" s="969"/>
      <c r="Q140" s="512"/>
      <c r="R140" s="512"/>
      <c r="S140" s="512"/>
    </row>
    <row r="141" spans="1:19" ht="15.6">
      <c r="A141" s="509"/>
      <c r="B141" s="509"/>
      <c r="C141" s="509"/>
      <c r="D141" s="509"/>
      <c r="E141" s="509"/>
      <c r="F141" s="509"/>
      <c r="G141" s="509"/>
      <c r="H141" s="509"/>
      <c r="I141" s="509"/>
      <c r="J141" s="509"/>
      <c r="K141" s="527"/>
      <c r="L141" s="513"/>
      <c r="M141" s="509"/>
      <c r="N141" s="509"/>
      <c r="O141" s="969"/>
      <c r="Q141" s="512"/>
      <c r="R141" s="512"/>
      <c r="S141" s="512"/>
    </row>
    <row r="142" spans="1:19" ht="15.6">
      <c r="A142" s="509"/>
      <c r="B142" s="509"/>
      <c r="C142" s="509"/>
      <c r="D142" s="509"/>
      <c r="E142" s="509"/>
      <c r="F142" s="509"/>
      <c r="G142" s="509"/>
      <c r="H142" s="509"/>
      <c r="I142" s="509"/>
      <c r="J142" s="509"/>
      <c r="K142" s="527"/>
      <c r="L142" s="513"/>
      <c r="M142" s="509"/>
      <c r="N142" s="509"/>
      <c r="O142" s="969"/>
      <c r="Q142" s="512"/>
      <c r="R142" s="512"/>
      <c r="S142" s="512"/>
    </row>
    <row r="143" spans="1:19" ht="15.6">
      <c r="A143" s="509"/>
      <c r="B143" s="509"/>
      <c r="C143" s="509"/>
      <c r="D143" s="509"/>
      <c r="E143" s="509"/>
      <c r="F143" s="509"/>
      <c r="G143" s="509"/>
      <c r="H143" s="509"/>
      <c r="I143" s="509"/>
      <c r="J143" s="509"/>
      <c r="K143" s="527"/>
      <c r="L143" s="513"/>
      <c r="M143" s="509"/>
      <c r="N143" s="509"/>
      <c r="O143" s="969"/>
      <c r="Q143" s="512"/>
      <c r="R143" s="512"/>
      <c r="S143" s="512"/>
    </row>
    <row r="144" spans="1:19" ht="15.6">
      <c r="A144" s="509"/>
      <c r="B144" s="509"/>
      <c r="C144" s="509"/>
      <c r="D144" s="509"/>
      <c r="E144" s="509"/>
      <c r="F144" s="509"/>
      <c r="G144" s="509"/>
      <c r="H144" s="509"/>
      <c r="I144" s="509"/>
      <c r="J144" s="509"/>
      <c r="K144" s="527"/>
      <c r="L144" s="513"/>
      <c r="M144" s="509"/>
      <c r="N144" s="509"/>
      <c r="O144" s="969"/>
      <c r="Q144" s="512"/>
      <c r="R144" s="512"/>
      <c r="S144" s="512"/>
    </row>
    <row r="145" spans="1:19" ht="15.6">
      <c r="A145" s="509"/>
      <c r="B145" s="509"/>
      <c r="C145" s="509"/>
      <c r="D145" s="509"/>
      <c r="E145" s="509"/>
      <c r="F145" s="509"/>
      <c r="G145" s="509"/>
      <c r="H145" s="509"/>
      <c r="I145" s="509"/>
      <c r="J145" s="509"/>
      <c r="K145" s="520"/>
      <c r="L145" s="520"/>
      <c r="M145" s="509"/>
      <c r="N145" s="509"/>
      <c r="O145" s="969"/>
      <c r="Q145" s="512"/>
      <c r="R145" s="512"/>
      <c r="S145" s="512"/>
    </row>
    <row r="146" spans="1:19" ht="15.6">
      <c r="A146" s="509"/>
      <c r="B146" s="509"/>
      <c r="C146" s="509"/>
      <c r="D146" s="509"/>
      <c r="E146" s="509"/>
      <c r="F146" s="509"/>
      <c r="G146" s="509"/>
      <c r="H146" s="509"/>
      <c r="I146" s="509"/>
      <c r="J146" s="509"/>
      <c r="K146" s="513"/>
      <c r="L146" s="513"/>
      <c r="M146" s="509"/>
      <c r="N146" s="509"/>
      <c r="O146" s="969"/>
      <c r="Q146" s="512"/>
      <c r="R146" s="512"/>
      <c r="S146" s="512"/>
    </row>
    <row r="147" spans="1:19" ht="15.6">
      <c r="A147" s="509"/>
      <c r="B147" s="509"/>
      <c r="C147" s="509"/>
      <c r="D147" s="509"/>
      <c r="E147" s="509"/>
      <c r="F147" s="509"/>
      <c r="G147" s="509"/>
      <c r="H147" s="509"/>
      <c r="I147" s="509"/>
      <c r="J147" s="509"/>
      <c r="K147" s="520"/>
      <c r="L147" s="520"/>
      <c r="M147" s="509"/>
      <c r="N147" s="509"/>
      <c r="O147" s="969"/>
      <c r="Q147" s="512"/>
      <c r="R147" s="512"/>
      <c r="S147" s="512"/>
    </row>
    <row r="148" spans="1:19" ht="15.6">
      <c r="A148" s="509"/>
      <c r="B148" s="509"/>
      <c r="C148" s="509"/>
      <c r="D148" s="509"/>
      <c r="E148" s="509"/>
      <c r="F148" s="509"/>
      <c r="G148" s="509"/>
      <c r="H148" s="509"/>
      <c r="I148" s="509"/>
      <c r="J148" s="509"/>
      <c r="K148" s="509"/>
      <c r="L148" s="509"/>
      <c r="M148" s="509"/>
      <c r="N148" s="509"/>
      <c r="O148" s="969"/>
      <c r="Q148" s="512"/>
      <c r="R148" s="512"/>
      <c r="S148" s="512"/>
    </row>
    <row r="149" spans="1:19" ht="15.6">
      <c r="A149" s="509"/>
      <c r="B149" s="510"/>
      <c r="C149" s="510"/>
      <c r="D149" s="509"/>
      <c r="E149" s="509"/>
      <c r="F149" s="510"/>
      <c r="G149" s="510"/>
      <c r="H149" s="510"/>
      <c r="I149" s="510"/>
      <c r="J149" s="510"/>
      <c r="K149" s="527"/>
      <c r="L149" s="527"/>
      <c r="M149" s="509"/>
      <c r="N149" s="509"/>
      <c r="O149" s="969"/>
      <c r="Q149" s="512"/>
      <c r="R149" s="512"/>
      <c r="S149" s="512"/>
    </row>
    <row r="150" spans="1:19" ht="15.6">
      <c r="A150" s="509"/>
      <c r="B150" s="509"/>
      <c r="C150" s="509"/>
      <c r="D150" s="509"/>
      <c r="E150" s="509"/>
      <c r="F150" s="509"/>
      <c r="G150" s="509"/>
      <c r="H150" s="509"/>
      <c r="I150" s="509"/>
      <c r="J150" s="509"/>
      <c r="K150" s="527"/>
      <c r="L150" s="527"/>
      <c r="M150" s="509"/>
      <c r="N150" s="509"/>
      <c r="O150" s="969"/>
      <c r="Q150" s="512"/>
      <c r="R150" s="512"/>
      <c r="S150" s="512"/>
    </row>
    <row r="151" spans="1:19" ht="15.6">
      <c r="A151" s="509"/>
      <c r="B151" s="509"/>
      <c r="C151" s="509"/>
      <c r="D151" s="509"/>
      <c r="E151" s="509"/>
      <c r="F151" s="509"/>
      <c r="G151" s="509"/>
      <c r="H151" s="509"/>
      <c r="I151" s="509"/>
      <c r="J151" s="509"/>
      <c r="K151" s="527"/>
      <c r="L151" s="527"/>
      <c r="M151" s="509"/>
      <c r="N151" s="509"/>
      <c r="O151" s="969"/>
      <c r="Q151" s="512"/>
      <c r="R151" s="512"/>
      <c r="S151" s="512"/>
    </row>
    <row r="152" spans="1:19" ht="15.6">
      <c r="A152" s="509"/>
      <c r="B152" s="509"/>
      <c r="C152" s="509"/>
      <c r="D152" s="509"/>
      <c r="E152" s="509"/>
      <c r="F152" s="509"/>
      <c r="G152" s="509"/>
      <c r="H152" s="509"/>
      <c r="I152" s="509"/>
      <c r="J152" s="509"/>
      <c r="K152" s="527"/>
      <c r="L152" s="513"/>
      <c r="M152" s="509"/>
      <c r="N152" s="509"/>
      <c r="O152" s="969"/>
      <c r="Q152" s="512"/>
      <c r="R152" s="512"/>
      <c r="S152" s="512"/>
    </row>
    <row r="153" spans="1:19" ht="15.6">
      <c r="A153" s="509"/>
      <c r="B153" s="509"/>
      <c r="C153" s="509"/>
      <c r="D153" s="509"/>
      <c r="E153" s="509"/>
      <c r="F153" s="509"/>
      <c r="G153" s="509"/>
      <c r="H153" s="509"/>
      <c r="I153" s="509"/>
      <c r="J153" s="509"/>
      <c r="K153" s="527"/>
      <c r="L153" s="513"/>
      <c r="M153" s="509"/>
      <c r="N153" s="509"/>
      <c r="O153" s="969"/>
      <c r="Q153" s="512"/>
      <c r="R153" s="512"/>
      <c r="S153" s="512"/>
    </row>
    <row r="154" spans="1:19" ht="15.6">
      <c r="A154" s="509"/>
      <c r="B154" s="509"/>
      <c r="C154" s="509"/>
      <c r="D154" s="509"/>
      <c r="E154" s="509"/>
      <c r="F154" s="509"/>
      <c r="G154" s="509"/>
      <c r="H154" s="509"/>
      <c r="I154" s="509"/>
      <c r="J154" s="509"/>
      <c r="K154" s="527"/>
      <c r="L154" s="513"/>
      <c r="M154" s="509"/>
      <c r="N154" s="509"/>
      <c r="O154" s="969"/>
      <c r="Q154" s="512"/>
      <c r="R154" s="512"/>
      <c r="S154" s="512"/>
    </row>
    <row r="155" spans="1:19" ht="15.6">
      <c r="A155" s="509"/>
      <c r="B155" s="509"/>
      <c r="C155" s="509"/>
      <c r="D155" s="509"/>
      <c r="E155" s="509"/>
      <c r="F155" s="509"/>
      <c r="G155" s="509"/>
      <c r="H155" s="509"/>
      <c r="I155" s="509"/>
      <c r="J155" s="509"/>
      <c r="K155" s="527"/>
      <c r="L155" s="513"/>
      <c r="M155" s="509"/>
      <c r="N155" s="509"/>
      <c r="O155" s="969"/>
      <c r="Q155" s="512"/>
      <c r="R155" s="512"/>
      <c r="S155" s="512"/>
    </row>
    <row r="156" spans="1:19" ht="15.6">
      <c r="A156" s="509"/>
      <c r="B156" s="509"/>
      <c r="C156" s="509"/>
      <c r="D156" s="509"/>
      <c r="E156" s="509"/>
      <c r="F156" s="509"/>
      <c r="G156" s="509"/>
      <c r="H156" s="509"/>
      <c r="I156" s="509"/>
      <c r="J156" s="509"/>
      <c r="K156" s="527"/>
      <c r="L156" s="513"/>
      <c r="M156" s="509"/>
      <c r="N156" s="509"/>
      <c r="O156" s="969"/>
      <c r="Q156" s="512"/>
      <c r="R156" s="512"/>
      <c r="S156" s="512"/>
    </row>
    <row r="157" spans="1:19" ht="15.6">
      <c r="A157" s="509"/>
      <c r="B157" s="509"/>
      <c r="C157" s="509"/>
      <c r="D157" s="509"/>
      <c r="E157" s="509"/>
      <c r="F157" s="509"/>
      <c r="G157" s="509"/>
      <c r="H157" s="509"/>
      <c r="I157" s="509"/>
      <c r="J157" s="509"/>
      <c r="K157" s="527"/>
      <c r="L157" s="513"/>
      <c r="M157" s="509"/>
      <c r="N157" s="509"/>
      <c r="O157" s="969"/>
      <c r="Q157" s="512"/>
      <c r="R157" s="512"/>
      <c r="S157" s="512"/>
    </row>
    <row r="158" spans="1:19" ht="15.6">
      <c r="A158" s="509"/>
      <c r="B158" s="509"/>
      <c r="C158" s="509"/>
      <c r="D158" s="509"/>
      <c r="E158" s="509"/>
      <c r="F158" s="509"/>
      <c r="G158" s="509"/>
      <c r="H158" s="509"/>
      <c r="I158" s="509"/>
      <c r="J158" s="509"/>
      <c r="K158" s="527"/>
      <c r="L158" s="513"/>
      <c r="M158" s="509"/>
      <c r="N158" s="509"/>
      <c r="O158" s="969"/>
      <c r="Q158" s="512"/>
      <c r="R158" s="512"/>
      <c r="S158" s="512"/>
    </row>
    <row r="159" spans="1:19" ht="15.6">
      <c r="A159" s="509"/>
      <c r="B159" s="509"/>
      <c r="C159" s="509"/>
      <c r="D159" s="509"/>
      <c r="E159" s="509"/>
      <c r="F159" s="509"/>
      <c r="G159" s="509"/>
      <c r="H159" s="509"/>
      <c r="I159" s="509"/>
      <c r="J159" s="509"/>
      <c r="K159" s="527"/>
      <c r="L159" s="513"/>
      <c r="M159" s="509"/>
      <c r="N159" s="509"/>
      <c r="O159" s="969"/>
      <c r="Q159" s="512"/>
      <c r="R159" s="512"/>
      <c r="S159" s="512"/>
    </row>
    <row r="160" spans="1:19" ht="15.6">
      <c r="A160" s="509"/>
      <c r="B160" s="509"/>
      <c r="C160" s="509"/>
      <c r="D160" s="509"/>
      <c r="E160" s="509"/>
      <c r="F160" s="509"/>
      <c r="G160" s="509"/>
      <c r="H160" s="509"/>
      <c r="I160" s="509"/>
      <c r="J160" s="509"/>
      <c r="K160" s="527"/>
      <c r="L160" s="513"/>
      <c r="M160" s="509"/>
      <c r="N160" s="509"/>
      <c r="O160" s="969"/>
      <c r="Q160" s="512"/>
      <c r="R160" s="512"/>
      <c r="S160" s="512"/>
    </row>
    <row r="161" spans="1:19" ht="15.6">
      <c r="A161" s="509"/>
      <c r="B161" s="509"/>
      <c r="C161" s="509"/>
      <c r="D161" s="509"/>
      <c r="E161" s="509"/>
      <c r="F161" s="509"/>
      <c r="G161" s="509"/>
      <c r="H161" s="509"/>
      <c r="I161" s="509"/>
      <c r="J161" s="509"/>
      <c r="K161" s="520"/>
      <c r="L161" s="520"/>
      <c r="M161" s="509"/>
      <c r="N161" s="509"/>
      <c r="O161" s="969"/>
      <c r="Q161" s="512"/>
      <c r="R161" s="512"/>
      <c r="S161" s="512"/>
    </row>
    <row r="162" spans="1:19" ht="15.6">
      <c r="A162" s="509"/>
      <c r="B162" s="509"/>
      <c r="C162" s="509"/>
      <c r="D162" s="509"/>
      <c r="E162" s="509"/>
      <c r="F162" s="509"/>
      <c r="G162" s="509"/>
      <c r="H162" s="509"/>
      <c r="I162" s="509"/>
      <c r="J162" s="509"/>
      <c r="K162" s="513"/>
      <c r="L162" s="513"/>
      <c r="M162" s="509"/>
      <c r="N162" s="509"/>
      <c r="O162" s="969"/>
      <c r="Q162" s="512"/>
      <c r="R162" s="512"/>
      <c r="S162" s="512"/>
    </row>
    <row r="163" spans="1:19" ht="15.6">
      <c r="A163" s="509"/>
      <c r="B163" s="509"/>
      <c r="C163" s="509"/>
      <c r="D163" s="509"/>
      <c r="E163" s="509"/>
      <c r="F163" s="509"/>
      <c r="G163" s="509"/>
      <c r="H163" s="509"/>
      <c r="I163" s="509"/>
      <c r="J163" s="509"/>
      <c r="K163" s="520"/>
      <c r="L163" s="520"/>
      <c r="M163" s="509"/>
      <c r="N163" s="509"/>
      <c r="O163" s="969"/>
      <c r="Q163" s="512"/>
      <c r="R163" s="512"/>
      <c r="S163" s="512"/>
    </row>
    <row r="164" spans="1:19" ht="15.6">
      <c r="A164" s="509"/>
      <c r="B164" s="509"/>
      <c r="C164" s="509"/>
      <c r="D164" s="509"/>
      <c r="E164" s="509"/>
      <c r="F164" s="509"/>
      <c r="G164" s="509"/>
      <c r="H164" s="509"/>
      <c r="I164" s="509"/>
      <c r="J164" s="509"/>
      <c r="K164" s="509"/>
      <c r="L164" s="509"/>
      <c r="M164" s="509"/>
      <c r="N164" s="509"/>
      <c r="O164" s="969"/>
      <c r="Q164" s="512"/>
      <c r="R164" s="512"/>
      <c r="S164" s="512"/>
    </row>
    <row r="165" spans="1:19" ht="15.6">
      <c r="A165" s="509"/>
      <c r="B165" s="510"/>
      <c r="C165" s="510"/>
      <c r="D165" s="509"/>
      <c r="E165" s="509"/>
      <c r="F165" s="510"/>
      <c r="G165" s="510"/>
      <c r="H165" s="510"/>
      <c r="I165" s="510"/>
      <c r="J165" s="510"/>
      <c r="K165" s="527"/>
      <c r="L165" s="527"/>
      <c r="M165" s="509"/>
      <c r="N165" s="509"/>
      <c r="O165" s="969"/>
      <c r="Q165" s="512"/>
      <c r="R165" s="512"/>
      <c r="S165" s="512"/>
    </row>
    <row r="166" spans="1:19" ht="15.6">
      <c r="A166" s="509"/>
      <c r="B166" s="509"/>
      <c r="C166" s="509"/>
      <c r="D166" s="509"/>
      <c r="E166" s="509"/>
      <c r="F166" s="509"/>
      <c r="G166" s="509"/>
      <c r="H166" s="509"/>
      <c r="I166" s="509"/>
      <c r="J166" s="509"/>
      <c r="K166" s="527"/>
      <c r="L166" s="527"/>
      <c r="M166" s="509"/>
      <c r="N166" s="509"/>
      <c r="O166" s="969"/>
      <c r="Q166" s="512"/>
      <c r="R166" s="512"/>
      <c r="S166" s="512"/>
    </row>
    <row r="167" spans="1:19" ht="15.6">
      <c r="A167" s="509"/>
      <c r="B167" s="509"/>
      <c r="C167" s="509"/>
      <c r="D167" s="509"/>
      <c r="E167" s="509"/>
      <c r="F167" s="509"/>
      <c r="G167" s="509"/>
      <c r="H167" s="509"/>
      <c r="I167" s="509"/>
      <c r="J167" s="509"/>
      <c r="K167" s="527"/>
      <c r="L167" s="527"/>
      <c r="M167" s="509"/>
      <c r="N167" s="509"/>
      <c r="O167" s="969"/>
      <c r="Q167" s="512"/>
      <c r="R167" s="512"/>
      <c r="S167" s="512"/>
    </row>
    <row r="168" spans="1:19" ht="15.6">
      <c r="A168" s="509"/>
      <c r="B168" s="509"/>
      <c r="C168" s="509"/>
      <c r="D168" s="509"/>
      <c r="E168" s="509"/>
      <c r="F168" s="509"/>
      <c r="G168" s="509"/>
      <c r="H168" s="509"/>
      <c r="I168" s="509"/>
      <c r="J168" s="509"/>
      <c r="K168" s="527"/>
      <c r="L168" s="513"/>
      <c r="M168" s="509"/>
      <c r="N168" s="509"/>
      <c r="O168" s="969"/>
      <c r="Q168" s="512"/>
      <c r="R168" s="512"/>
      <c r="S168" s="512"/>
    </row>
    <row r="169" spans="1:19" ht="15.6">
      <c r="A169" s="509"/>
      <c r="B169" s="509"/>
      <c r="C169" s="509"/>
      <c r="D169" s="509"/>
      <c r="E169" s="509"/>
      <c r="F169" s="509"/>
      <c r="G169" s="509"/>
      <c r="H169" s="509"/>
      <c r="I169" s="509"/>
      <c r="J169" s="509"/>
      <c r="K169" s="527"/>
      <c r="L169" s="513"/>
      <c r="M169" s="509"/>
      <c r="N169" s="509"/>
      <c r="O169" s="969"/>
      <c r="Q169" s="512"/>
      <c r="R169" s="512"/>
      <c r="S169" s="512"/>
    </row>
    <row r="170" spans="1:19" ht="15.6">
      <c r="A170" s="509"/>
      <c r="B170" s="509"/>
      <c r="C170" s="509"/>
      <c r="D170" s="509"/>
      <c r="E170" s="509"/>
      <c r="F170" s="509"/>
      <c r="G170" s="509"/>
      <c r="H170" s="509"/>
      <c r="I170" s="509"/>
      <c r="J170" s="509"/>
      <c r="K170" s="527"/>
      <c r="L170" s="513"/>
      <c r="M170" s="509"/>
      <c r="N170" s="509"/>
      <c r="O170" s="969"/>
      <c r="Q170" s="512"/>
      <c r="R170" s="512"/>
      <c r="S170" s="512"/>
    </row>
    <row r="171" spans="1:19" ht="15.6">
      <c r="A171" s="509"/>
      <c r="B171" s="509"/>
      <c r="C171" s="509"/>
      <c r="D171" s="509"/>
      <c r="E171" s="509"/>
      <c r="F171" s="509"/>
      <c r="G171" s="509"/>
      <c r="H171" s="509"/>
      <c r="I171" s="509"/>
      <c r="J171" s="509"/>
      <c r="K171" s="527"/>
      <c r="L171" s="513"/>
      <c r="M171" s="509"/>
      <c r="N171" s="509"/>
      <c r="O171" s="969"/>
      <c r="Q171" s="512"/>
      <c r="R171" s="512"/>
      <c r="S171" s="512"/>
    </row>
    <row r="172" spans="1:19">
      <c r="A172" s="512"/>
      <c r="B172" s="512"/>
      <c r="C172" s="512"/>
      <c r="D172" s="512"/>
      <c r="E172" s="512"/>
      <c r="F172" s="512"/>
      <c r="G172" s="512"/>
      <c r="H172" s="512"/>
      <c r="I172" s="512"/>
      <c r="J172" s="512"/>
      <c r="K172" s="528"/>
      <c r="L172" s="529"/>
      <c r="M172" s="512"/>
      <c r="N172" s="512"/>
      <c r="O172" s="978"/>
      <c r="Q172" s="512"/>
      <c r="R172" s="512"/>
      <c r="S172" s="512"/>
    </row>
    <row r="173" spans="1:19">
      <c r="A173" s="512"/>
      <c r="B173" s="512"/>
      <c r="C173" s="512"/>
      <c r="D173" s="512"/>
      <c r="E173" s="512"/>
      <c r="F173" s="512"/>
      <c r="G173" s="512"/>
      <c r="H173" s="512"/>
      <c r="I173" s="512"/>
      <c r="J173" s="512"/>
      <c r="K173" s="528"/>
      <c r="L173" s="529"/>
      <c r="M173" s="512"/>
      <c r="N173" s="512"/>
      <c r="O173" s="978"/>
      <c r="Q173" s="512"/>
      <c r="R173" s="512"/>
      <c r="S173" s="512"/>
    </row>
    <row r="174" spans="1:19">
      <c r="A174" s="512"/>
      <c r="B174" s="512"/>
      <c r="C174" s="512"/>
      <c r="D174" s="512"/>
      <c r="E174" s="512"/>
      <c r="F174" s="512"/>
      <c r="G174" s="512"/>
      <c r="H174" s="512"/>
      <c r="I174" s="512"/>
      <c r="J174" s="512"/>
      <c r="K174" s="528"/>
      <c r="L174" s="529"/>
      <c r="M174" s="512"/>
      <c r="N174" s="512"/>
      <c r="O174" s="978"/>
      <c r="Q174" s="512"/>
      <c r="R174" s="512"/>
      <c r="S174" s="512"/>
    </row>
    <row r="175" spans="1:19">
      <c r="A175" s="512"/>
      <c r="B175" s="512"/>
      <c r="C175" s="512"/>
      <c r="D175" s="512"/>
      <c r="E175" s="512"/>
      <c r="F175" s="512"/>
      <c r="G175" s="512"/>
      <c r="H175" s="512"/>
      <c r="I175" s="512"/>
      <c r="J175" s="512"/>
      <c r="K175" s="528"/>
      <c r="L175" s="529"/>
      <c r="M175" s="512"/>
      <c r="N175" s="512"/>
      <c r="O175" s="978"/>
      <c r="Q175" s="512"/>
      <c r="R175" s="512"/>
      <c r="S175" s="512"/>
    </row>
    <row r="176" spans="1:19">
      <c r="A176" s="512"/>
      <c r="B176" s="512"/>
      <c r="C176" s="512"/>
      <c r="D176" s="512"/>
      <c r="E176" s="512"/>
      <c r="F176" s="512"/>
      <c r="G176" s="512"/>
      <c r="H176" s="512"/>
      <c r="I176" s="512"/>
      <c r="J176" s="512"/>
      <c r="K176" s="528"/>
      <c r="L176" s="529"/>
      <c r="M176" s="512"/>
      <c r="N176" s="512"/>
      <c r="O176" s="978"/>
      <c r="Q176" s="512"/>
      <c r="R176" s="512"/>
      <c r="S176" s="512"/>
    </row>
    <row r="177" spans="1:19">
      <c r="A177" s="512"/>
      <c r="B177" s="512"/>
      <c r="C177" s="512"/>
      <c r="D177" s="512"/>
      <c r="E177" s="512"/>
      <c r="F177" s="512"/>
      <c r="G177" s="512"/>
      <c r="H177" s="512"/>
      <c r="I177" s="512"/>
      <c r="J177" s="512"/>
      <c r="K177" s="530"/>
      <c r="L177" s="530"/>
      <c r="M177" s="512"/>
      <c r="N177" s="512"/>
      <c r="O177" s="978"/>
      <c r="Q177" s="512"/>
      <c r="R177" s="512"/>
      <c r="S177" s="512"/>
    </row>
    <row r="178" spans="1:19">
      <c r="A178" s="512"/>
      <c r="B178" s="512"/>
      <c r="C178" s="512"/>
      <c r="D178" s="512"/>
      <c r="E178" s="512"/>
      <c r="F178" s="512"/>
      <c r="G178" s="512"/>
      <c r="H178" s="512"/>
      <c r="I178" s="512"/>
      <c r="J178" s="512"/>
      <c r="K178" s="529"/>
      <c r="L178" s="529"/>
      <c r="M178" s="512"/>
      <c r="N178" s="512"/>
      <c r="O178" s="978"/>
      <c r="Q178" s="512"/>
      <c r="R178" s="512"/>
      <c r="S178" s="512"/>
    </row>
    <row r="179" spans="1:19">
      <c r="A179" s="531"/>
      <c r="B179" s="531"/>
      <c r="C179" s="531"/>
      <c r="D179" s="531"/>
      <c r="E179" s="531"/>
      <c r="F179" s="531"/>
      <c r="G179" s="531"/>
      <c r="H179" s="531"/>
      <c r="I179" s="531"/>
      <c r="J179" s="531"/>
      <c r="K179" s="531"/>
      <c r="L179" s="531"/>
      <c r="M179" s="531"/>
      <c r="N179" s="531"/>
      <c r="O179" s="979"/>
      <c r="Q179" s="512"/>
      <c r="R179" s="512"/>
      <c r="S179" s="512"/>
    </row>
    <row r="180" spans="1:19">
      <c r="A180" s="512"/>
      <c r="B180" s="512"/>
      <c r="C180" s="512"/>
      <c r="D180" s="512"/>
      <c r="E180" s="512"/>
      <c r="F180" s="512"/>
      <c r="G180" s="512"/>
      <c r="H180" s="512"/>
      <c r="I180" s="512"/>
      <c r="J180" s="512"/>
      <c r="K180" s="530"/>
      <c r="L180" s="530"/>
      <c r="M180" s="512"/>
      <c r="N180" s="512"/>
      <c r="O180" s="978"/>
      <c r="Q180" s="512"/>
      <c r="R180" s="512"/>
      <c r="S180" s="512"/>
    </row>
    <row r="181" spans="1:19">
      <c r="A181" s="512"/>
      <c r="B181" s="512"/>
      <c r="C181" s="512"/>
      <c r="D181" s="512"/>
      <c r="E181" s="512"/>
      <c r="F181" s="512"/>
      <c r="G181" s="512"/>
      <c r="H181" s="512"/>
      <c r="I181" s="512"/>
      <c r="J181" s="512"/>
      <c r="K181" s="512"/>
      <c r="L181" s="512"/>
      <c r="M181" s="512"/>
      <c r="N181" s="512"/>
      <c r="O181" s="978"/>
      <c r="Q181" s="512"/>
      <c r="R181" s="512"/>
      <c r="S181" s="512"/>
    </row>
    <row r="182" spans="1:19">
      <c r="A182" s="512"/>
      <c r="B182" s="532"/>
      <c r="C182" s="532"/>
      <c r="D182" s="512"/>
      <c r="E182" s="512"/>
      <c r="F182" s="532"/>
      <c r="G182" s="532"/>
      <c r="H182" s="532"/>
      <c r="I182" s="532"/>
      <c r="J182" s="532"/>
      <c r="K182" s="528"/>
      <c r="L182" s="528"/>
      <c r="M182" s="512"/>
      <c r="N182" s="512"/>
      <c r="O182" s="978"/>
      <c r="Q182" s="512"/>
      <c r="R182" s="512"/>
      <c r="S182" s="512"/>
    </row>
    <row r="183" spans="1:19">
      <c r="A183" s="512"/>
      <c r="B183" s="512"/>
      <c r="C183" s="512"/>
      <c r="D183" s="512"/>
      <c r="E183" s="512"/>
      <c r="F183" s="512"/>
      <c r="G183" s="512"/>
      <c r="H183" s="512"/>
      <c r="I183" s="512"/>
      <c r="J183" s="512"/>
      <c r="K183" s="528"/>
      <c r="L183" s="528"/>
      <c r="M183" s="512"/>
      <c r="N183" s="512"/>
      <c r="O183" s="978"/>
      <c r="Q183" s="512"/>
      <c r="R183" s="512"/>
      <c r="S183" s="512"/>
    </row>
    <row r="184" spans="1:19">
      <c r="A184" s="512"/>
      <c r="B184" s="512"/>
      <c r="C184" s="512"/>
      <c r="D184" s="512"/>
      <c r="E184" s="512"/>
      <c r="F184" s="512"/>
      <c r="G184" s="512"/>
      <c r="H184" s="512"/>
      <c r="I184" s="512"/>
      <c r="J184" s="512"/>
      <c r="K184" s="528"/>
      <c r="L184" s="528"/>
      <c r="M184" s="512"/>
      <c r="N184" s="512"/>
      <c r="O184" s="978"/>
      <c r="Q184" s="512"/>
      <c r="R184" s="512"/>
      <c r="S184" s="512"/>
    </row>
    <row r="185" spans="1:19">
      <c r="A185" s="512"/>
      <c r="B185" s="512"/>
      <c r="C185" s="512"/>
      <c r="D185" s="512"/>
      <c r="E185" s="512"/>
      <c r="F185" s="512"/>
      <c r="G185" s="512"/>
      <c r="H185" s="512"/>
      <c r="I185" s="512"/>
      <c r="J185" s="512"/>
      <c r="K185" s="528"/>
      <c r="L185" s="529"/>
      <c r="M185" s="512"/>
      <c r="N185" s="512"/>
      <c r="O185" s="978"/>
      <c r="Q185" s="512"/>
      <c r="R185" s="512"/>
      <c r="S185" s="512"/>
    </row>
    <row r="186" spans="1:19">
      <c r="A186" s="512"/>
      <c r="B186" s="512"/>
      <c r="C186" s="512"/>
      <c r="D186" s="512"/>
      <c r="E186" s="512"/>
      <c r="F186" s="512"/>
      <c r="G186" s="512"/>
      <c r="H186" s="512"/>
      <c r="I186" s="512"/>
      <c r="J186" s="512"/>
      <c r="K186" s="528"/>
      <c r="L186" s="529"/>
      <c r="M186" s="512"/>
      <c r="N186" s="512"/>
      <c r="O186" s="978"/>
      <c r="Q186" s="512"/>
      <c r="R186" s="512"/>
      <c r="S186" s="512"/>
    </row>
    <row r="187" spans="1:19">
      <c r="A187" s="512"/>
      <c r="B187" s="512"/>
      <c r="C187" s="512"/>
      <c r="D187" s="512"/>
      <c r="E187" s="512"/>
      <c r="F187" s="512"/>
      <c r="G187" s="512"/>
      <c r="H187" s="512"/>
      <c r="I187" s="512"/>
      <c r="J187" s="512"/>
      <c r="K187" s="528"/>
      <c r="L187" s="529"/>
      <c r="M187" s="512"/>
      <c r="N187" s="512"/>
      <c r="O187" s="978"/>
      <c r="Q187" s="512"/>
      <c r="R187" s="512"/>
      <c r="S187" s="512"/>
    </row>
    <row r="188" spans="1:19">
      <c r="A188" s="512"/>
      <c r="B188" s="512"/>
      <c r="C188" s="512"/>
      <c r="D188" s="512"/>
      <c r="E188" s="512"/>
      <c r="F188" s="512"/>
      <c r="G188" s="512"/>
      <c r="H188" s="512"/>
      <c r="I188" s="512"/>
      <c r="J188" s="512"/>
      <c r="K188" s="528"/>
      <c r="L188" s="529"/>
      <c r="M188" s="512"/>
      <c r="N188" s="512"/>
      <c r="O188" s="978"/>
      <c r="Q188" s="512"/>
      <c r="R188" s="512"/>
      <c r="S188" s="512"/>
    </row>
    <row r="189" spans="1:19">
      <c r="A189" s="512"/>
      <c r="B189" s="512"/>
      <c r="C189" s="512"/>
      <c r="D189" s="512"/>
      <c r="E189" s="512"/>
      <c r="F189" s="512"/>
      <c r="G189" s="512"/>
      <c r="H189" s="512"/>
      <c r="I189" s="512"/>
      <c r="J189" s="512"/>
      <c r="K189" s="528"/>
      <c r="L189" s="529"/>
      <c r="M189" s="512"/>
      <c r="N189" s="512"/>
      <c r="O189" s="978"/>
      <c r="Q189" s="512"/>
      <c r="R189" s="512"/>
      <c r="S189" s="512"/>
    </row>
    <row r="190" spans="1:19">
      <c r="A190" s="512"/>
      <c r="B190" s="512"/>
      <c r="C190" s="512"/>
      <c r="D190" s="512"/>
      <c r="E190" s="512"/>
      <c r="F190" s="512"/>
      <c r="G190" s="512"/>
      <c r="H190" s="512"/>
      <c r="I190" s="512"/>
      <c r="J190" s="512"/>
      <c r="K190" s="528"/>
      <c r="L190" s="529"/>
      <c r="M190" s="512"/>
      <c r="N190" s="512"/>
      <c r="O190" s="978"/>
      <c r="Q190" s="512"/>
      <c r="R190" s="512"/>
      <c r="S190" s="512"/>
    </row>
    <row r="191" spans="1:19">
      <c r="A191" s="512"/>
      <c r="B191" s="512"/>
      <c r="C191" s="512"/>
      <c r="D191" s="512"/>
      <c r="E191" s="512"/>
      <c r="F191" s="512"/>
      <c r="G191" s="512"/>
      <c r="H191" s="512"/>
      <c r="I191" s="512"/>
      <c r="J191" s="512"/>
      <c r="K191" s="528"/>
      <c r="L191" s="529"/>
      <c r="M191" s="512"/>
      <c r="N191" s="512"/>
      <c r="O191" s="978"/>
      <c r="Q191" s="512"/>
      <c r="R191" s="512"/>
      <c r="S191" s="512"/>
    </row>
    <row r="192" spans="1:19">
      <c r="A192" s="512"/>
      <c r="B192" s="512"/>
      <c r="C192" s="512"/>
      <c r="D192" s="512"/>
      <c r="E192" s="512"/>
      <c r="F192" s="512"/>
      <c r="G192" s="512"/>
      <c r="H192" s="512"/>
      <c r="I192" s="512"/>
      <c r="J192" s="512"/>
      <c r="K192" s="528"/>
      <c r="L192" s="529"/>
      <c r="M192" s="512"/>
      <c r="N192" s="512"/>
      <c r="O192" s="978"/>
      <c r="Q192" s="512"/>
      <c r="R192" s="512"/>
      <c r="S192" s="512"/>
    </row>
    <row r="193" spans="1:19">
      <c r="A193" s="512"/>
      <c r="B193" s="512"/>
      <c r="C193" s="512"/>
      <c r="D193" s="512"/>
      <c r="E193" s="512"/>
      <c r="F193" s="512"/>
      <c r="G193" s="512"/>
      <c r="H193" s="512"/>
      <c r="I193" s="512"/>
      <c r="J193" s="512"/>
      <c r="K193" s="528"/>
      <c r="L193" s="529"/>
      <c r="M193" s="512"/>
      <c r="N193" s="512"/>
      <c r="O193" s="978"/>
      <c r="Q193" s="512"/>
      <c r="R193" s="512"/>
      <c r="S193" s="512"/>
    </row>
    <row r="194" spans="1:19">
      <c r="A194" s="512"/>
      <c r="B194" s="512"/>
      <c r="C194" s="512"/>
      <c r="D194" s="512"/>
      <c r="E194" s="512"/>
      <c r="F194" s="512"/>
      <c r="G194" s="512"/>
      <c r="H194" s="512"/>
      <c r="I194" s="512"/>
      <c r="J194" s="512"/>
      <c r="K194" s="530"/>
      <c r="L194" s="530"/>
      <c r="M194" s="512"/>
      <c r="N194" s="512"/>
      <c r="O194" s="978"/>
      <c r="Q194" s="512"/>
      <c r="R194" s="512"/>
      <c r="S194" s="512"/>
    </row>
    <row r="195" spans="1:19">
      <c r="A195" s="512"/>
      <c r="B195" s="512"/>
      <c r="C195" s="512"/>
      <c r="D195" s="512"/>
      <c r="E195" s="512"/>
      <c r="F195" s="512"/>
      <c r="G195" s="512"/>
      <c r="H195" s="512"/>
      <c r="I195" s="512"/>
      <c r="J195" s="512"/>
      <c r="K195" s="529"/>
      <c r="L195" s="529"/>
      <c r="M195" s="512"/>
      <c r="N195" s="512"/>
      <c r="O195" s="978"/>
      <c r="Q195" s="512"/>
      <c r="R195" s="512"/>
      <c r="S195" s="512"/>
    </row>
    <row r="196" spans="1:19">
      <c r="A196" s="512"/>
      <c r="B196" s="512"/>
      <c r="C196" s="512"/>
      <c r="D196" s="512"/>
      <c r="E196" s="512"/>
      <c r="F196" s="512"/>
      <c r="G196" s="512"/>
      <c r="H196" s="512"/>
      <c r="I196" s="512"/>
      <c r="J196" s="512"/>
      <c r="K196" s="530"/>
      <c r="L196" s="530"/>
      <c r="M196" s="512"/>
      <c r="N196" s="512"/>
      <c r="O196" s="978"/>
      <c r="Q196" s="512"/>
      <c r="R196" s="512"/>
      <c r="S196" s="512"/>
    </row>
    <row r="197" spans="1:19">
      <c r="A197" s="512"/>
      <c r="B197" s="512"/>
      <c r="C197" s="512"/>
      <c r="D197" s="512"/>
      <c r="E197" s="512"/>
      <c r="F197" s="512"/>
      <c r="G197" s="512"/>
      <c r="H197" s="512"/>
      <c r="I197" s="512"/>
      <c r="J197" s="512"/>
      <c r="K197" s="512"/>
      <c r="L197" s="512"/>
      <c r="M197" s="512"/>
      <c r="N197" s="512"/>
      <c r="O197" s="978"/>
      <c r="Q197" s="512"/>
      <c r="R197" s="512"/>
      <c r="S197" s="512"/>
    </row>
    <row r="198" spans="1:19">
      <c r="A198" s="512"/>
      <c r="B198" s="512"/>
      <c r="C198" s="512"/>
      <c r="D198" s="512"/>
      <c r="E198" s="512"/>
      <c r="F198" s="512"/>
      <c r="G198" s="512"/>
      <c r="H198" s="512"/>
      <c r="I198" s="512"/>
      <c r="J198" s="512"/>
      <c r="K198" s="512"/>
      <c r="L198" s="512"/>
      <c r="M198" s="512"/>
      <c r="N198" s="512"/>
      <c r="O198" s="978"/>
      <c r="P198" s="512"/>
      <c r="Q198" s="512"/>
      <c r="R198" s="512"/>
      <c r="S198" s="512"/>
    </row>
    <row r="199" spans="1:19">
      <c r="A199" s="512"/>
      <c r="B199" s="512"/>
      <c r="C199" s="512"/>
      <c r="D199" s="512"/>
      <c r="E199" s="512"/>
      <c r="F199" s="512"/>
      <c r="G199" s="512"/>
      <c r="H199" s="512"/>
      <c r="I199" s="512"/>
      <c r="J199" s="512"/>
      <c r="K199" s="512"/>
      <c r="L199" s="512"/>
      <c r="M199" s="512"/>
      <c r="N199" s="512"/>
      <c r="O199" s="978"/>
      <c r="P199" s="512"/>
      <c r="Q199" s="512"/>
      <c r="R199" s="512"/>
      <c r="S199" s="512"/>
    </row>
    <row r="200" spans="1:19">
      <c r="A200" s="512"/>
      <c r="B200" s="512"/>
      <c r="C200" s="512"/>
      <c r="D200" s="512"/>
      <c r="E200" s="512"/>
      <c r="F200" s="512"/>
      <c r="G200" s="512"/>
      <c r="H200" s="512"/>
      <c r="I200" s="512"/>
      <c r="J200" s="512"/>
      <c r="K200" s="512"/>
      <c r="L200" s="512"/>
      <c r="M200" s="512"/>
      <c r="N200" s="512"/>
      <c r="O200" s="978"/>
      <c r="P200" s="512"/>
      <c r="Q200" s="512"/>
      <c r="R200" s="512"/>
      <c r="S200" s="512"/>
    </row>
    <row r="201" spans="1:19">
      <c r="A201" s="512"/>
      <c r="B201" s="512"/>
      <c r="C201" s="512"/>
      <c r="D201" s="512"/>
      <c r="E201" s="512"/>
      <c r="F201" s="512"/>
      <c r="G201" s="512"/>
      <c r="H201" s="512"/>
      <c r="I201" s="512"/>
      <c r="J201" s="512"/>
      <c r="K201" s="512"/>
      <c r="L201" s="512"/>
      <c r="M201" s="512"/>
      <c r="N201" s="512"/>
      <c r="O201" s="978"/>
      <c r="P201" s="512"/>
      <c r="Q201" s="512"/>
      <c r="R201" s="512"/>
      <c r="S201" s="512"/>
    </row>
    <row r="202" spans="1:19">
      <c r="A202" s="512"/>
      <c r="B202" s="512"/>
      <c r="C202" s="512"/>
      <c r="D202" s="512"/>
      <c r="E202" s="512"/>
      <c r="F202" s="512"/>
      <c r="G202" s="512"/>
      <c r="H202" s="512"/>
      <c r="I202" s="512"/>
      <c r="J202" s="512"/>
      <c r="K202" s="512"/>
      <c r="L202" s="512"/>
      <c r="M202" s="512"/>
      <c r="N202" s="512"/>
      <c r="O202" s="978"/>
      <c r="P202" s="512"/>
      <c r="Q202" s="512"/>
      <c r="R202" s="512"/>
      <c r="S202" s="512"/>
    </row>
    <row r="203" spans="1:19">
      <c r="A203" s="512"/>
      <c r="B203" s="512"/>
      <c r="C203" s="512"/>
      <c r="D203" s="512"/>
      <c r="E203" s="512"/>
      <c r="F203" s="512"/>
      <c r="G203" s="512"/>
      <c r="H203" s="512"/>
      <c r="I203" s="512"/>
      <c r="J203" s="512"/>
      <c r="K203" s="512"/>
      <c r="L203" s="512"/>
      <c r="M203" s="512"/>
      <c r="N203" s="512"/>
      <c r="O203" s="978"/>
      <c r="P203" s="512"/>
      <c r="Q203" s="512"/>
      <c r="R203" s="512"/>
      <c r="S203" s="512"/>
    </row>
    <row r="204" spans="1:19">
      <c r="A204" s="512"/>
      <c r="B204" s="512"/>
      <c r="C204" s="512"/>
      <c r="D204" s="512"/>
      <c r="E204" s="512"/>
      <c r="F204" s="512"/>
      <c r="G204" s="512"/>
      <c r="H204" s="512"/>
      <c r="I204" s="512"/>
      <c r="J204" s="512"/>
      <c r="K204" s="512"/>
      <c r="L204" s="512"/>
      <c r="M204" s="512"/>
      <c r="N204" s="512"/>
      <c r="O204" s="978"/>
      <c r="P204" s="512"/>
      <c r="Q204" s="512"/>
      <c r="R204" s="512"/>
      <c r="S204" s="512"/>
    </row>
    <row r="209" spans="1:16">
      <c r="A209" s="533"/>
      <c r="B209" s="533"/>
      <c r="C209" s="533"/>
      <c r="D209" s="533"/>
      <c r="E209" s="533"/>
      <c r="F209" s="533"/>
      <c r="G209" s="533"/>
      <c r="H209" s="533"/>
      <c r="I209" s="533"/>
      <c r="J209" s="533"/>
      <c r="K209" s="533"/>
      <c r="L209" s="533"/>
      <c r="M209" s="533"/>
      <c r="N209" s="533"/>
      <c r="O209" s="980"/>
      <c r="P209" s="533"/>
    </row>
    <row r="223" spans="1:16">
      <c r="A223" s="533"/>
      <c r="B223" s="533"/>
      <c r="C223" s="533"/>
      <c r="D223" s="533"/>
      <c r="E223" s="533"/>
      <c r="F223" s="533"/>
      <c r="G223" s="533"/>
      <c r="H223" s="533"/>
      <c r="I223" s="533"/>
      <c r="J223" s="533"/>
      <c r="K223" s="533"/>
      <c r="L223" s="533"/>
      <c r="M223" s="533"/>
      <c r="N223" s="533"/>
      <c r="O223" s="980"/>
      <c r="P223" s="533"/>
    </row>
    <row r="239" spans="1:16">
      <c r="A239" s="533"/>
      <c r="B239" s="533"/>
      <c r="C239" s="533"/>
      <c r="D239" s="533"/>
      <c r="E239" s="533"/>
      <c r="F239" s="533"/>
      <c r="G239" s="533"/>
      <c r="H239" s="533"/>
      <c r="I239" s="533"/>
      <c r="J239" s="533"/>
      <c r="K239" s="533"/>
      <c r="L239" s="533"/>
      <c r="M239" s="533"/>
      <c r="N239" s="533"/>
      <c r="O239" s="980"/>
      <c r="P239" s="533"/>
    </row>
    <row r="243" spans="1:16">
      <c r="A243" s="533"/>
      <c r="B243" s="533"/>
      <c r="C243" s="533"/>
      <c r="D243" s="533"/>
      <c r="E243" s="533"/>
      <c r="F243" s="533"/>
      <c r="G243" s="533"/>
      <c r="H243" s="533"/>
      <c r="I243" s="533"/>
      <c r="J243" s="533"/>
      <c r="K243" s="533"/>
      <c r="L243" s="533"/>
      <c r="M243" s="533"/>
      <c r="N243" s="533"/>
      <c r="O243" s="980"/>
      <c r="P243" s="533"/>
    </row>
    <row r="247" spans="1:16">
      <c r="A247" s="533"/>
      <c r="B247" s="533"/>
      <c r="C247" s="533"/>
      <c r="D247" s="533"/>
      <c r="E247" s="533"/>
      <c r="F247" s="533"/>
      <c r="G247" s="533"/>
      <c r="H247" s="533"/>
      <c r="I247" s="533"/>
      <c r="J247" s="533"/>
      <c r="K247" s="533"/>
      <c r="L247" s="533"/>
      <c r="M247" s="533"/>
      <c r="N247" s="533"/>
      <c r="O247" s="980"/>
      <c r="P247" s="533"/>
    </row>
    <row r="249" spans="1:16">
      <c r="A249" s="533"/>
      <c r="B249" s="533"/>
      <c r="C249" s="533"/>
      <c r="D249" s="533"/>
      <c r="E249" s="533"/>
      <c r="F249" s="533"/>
      <c r="G249" s="533"/>
      <c r="H249" s="533"/>
      <c r="I249" s="533"/>
      <c r="J249" s="533"/>
      <c r="K249" s="533"/>
      <c r="L249" s="533"/>
      <c r="M249" s="533"/>
      <c r="N249" s="533"/>
      <c r="O249" s="980"/>
      <c r="P249" s="533"/>
    </row>
    <row r="268" spans="1:16">
      <c r="A268" s="533"/>
      <c r="B268" s="533"/>
      <c r="C268" s="533"/>
      <c r="D268" s="533"/>
      <c r="E268" s="533"/>
      <c r="F268" s="533"/>
      <c r="G268" s="533"/>
      <c r="H268" s="533"/>
      <c r="I268" s="533"/>
      <c r="J268" s="533"/>
      <c r="K268" s="533"/>
      <c r="L268" s="533"/>
      <c r="M268" s="533"/>
      <c r="N268" s="533"/>
      <c r="O268" s="980"/>
      <c r="P268" s="533"/>
    </row>
    <row r="280" spans="1:16">
      <c r="A280" s="533"/>
      <c r="B280" s="533"/>
      <c r="C280" s="533"/>
      <c r="D280" s="533"/>
      <c r="E280" s="533"/>
      <c r="F280" s="533"/>
      <c r="G280" s="533"/>
      <c r="H280" s="533"/>
      <c r="I280" s="533"/>
      <c r="J280" s="533"/>
      <c r="K280" s="533"/>
      <c r="L280" s="533"/>
      <c r="M280" s="533"/>
      <c r="N280" s="533"/>
      <c r="O280" s="980"/>
      <c r="P280" s="533"/>
    </row>
    <row r="299" spans="1:16">
      <c r="A299" s="533"/>
      <c r="B299" s="533"/>
      <c r="C299" s="533"/>
      <c r="D299" s="533"/>
      <c r="E299" s="533"/>
      <c r="F299" s="533"/>
      <c r="G299" s="533"/>
      <c r="H299" s="533"/>
      <c r="I299" s="533"/>
      <c r="J299" s="533"/>
      <c r="K299" s="533"/>
      <c r="L299" s="533"/>
      <c r="M299" s="533"/>
      <c r="N299" s="533"/>
      <c r="O299" s="980"/>
      <c r="P299" s="533"/>
    </row>
    <row r="304" spans="1:16">
      <c r="A304" s="533"/>
      <c r="B304" s="533"/>
      <c r="C304" s="533"/>
      <c r="D304" s="533"/>
      <c r="E304" s="533"/>
      <c r="F304" s="533"/>
      <c r="G304" s="533"/>
      <c r="H304" s="533"/>
      <c r="I304" s="533"/>
      <c r="J304" s="533"/>
      <c r="K304" s="533"/>
      <c r="L304" s="533"/>
      <c r="M304" s="533"/>
      <c r="N304" s="533"/>
      <c r="O304" s="980"/>
      <c r="P304" s="533"/>
    </row>
    <row r="330" spans="1:16">
      <c r="A330" s="533"/>
      <c r="B330" s="533"/>
      <c r="C330" s="533"/>
      <c r="D330" s="533"/>
      <c r="E330" s="533"/>
      <c r="F330" s="533"/>
      <c r="G330" s="533"/>
      <c r="H330" s="533"/>
      <c r="I330" s="533"/>
      <c r="J330" s="533"/>
      <c r="K330" s="533"/>
      <c r="L330" s="533"/>
      <c r="M330" s="533"/>
      <c r="N330" s="533"/>
      <c r="O330" s="980"/>
      <c r="P330" s="533"/>
    </row>
  </sheetData>
  <phoneticPr fontId="4" type="noConversion"/>
  <pageMargins left="0.94999999999999984" right="0.75" top="1" bottom="1" header="0.5" footer="0.5"/>
  <pageSetup scale="42" orientation="portrait" blackAndWhite="1" horizontalDpi="300" verticalDpi="300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tabColor rgb="FF00B050"/>
    <pageSetUpPr fitToPage="1"/>
  </sheetPr>
  <dimension ref="A1:Z196"/>
  <sheetViews>
    <sheetView zoomScale="75" workbookViewId="0"/>
  </sheetViews>
  <sheetFormatPr defaultColWidth="6.88671875" defaultRowHeight="15"/>
  <cols>
    <col min="1" max="1" width="6.88671875" style="569" customWidth="1"/>
    <col min="2" max="2" width="34" style="569" customWidth="1"/>
    <col min="3" max="3" width="1.88671875" style="569" customWidth="1"/>
    <col min="4" max="5" width="14.6640625" style="569" customWidth="1"/>
    <col min="6" max="6" width="1.44140625" style="569" customWidth="1"/>
    <col min="7" max="7" width="16.44140625" style="569" customWidth="1"/>
    <col min="8" max="8" width="1.44140625" style="569" customWidth="1"/>
    <col min="9" max="9" width="14" style="569" customWidth="1"/>
    <col min="10" max="10" width="2.33203125" style="569" customWidth="1"/>
    <col min="11" max="12" width="15.88671875" style="569" customWidth="1"/>
    <col min="13" max="13" width="16.44140625" style="569" customWidth="1"/>
    <col min="14" max="14" width="14.6640625" style="569" customWidth="1"/>
    <col min="15" max="15" width="17" style="569" customWidth="1"/>
    <col min="16" max="19" width="6.88671875" style="569" customWidth="1"/>
    <col min="20" max="20" width="11.6640625" style="569" customWidth="1"/>
    <col min="21" max="21" width="12" style="569" customWidth="1"/>
    <col min="22" max="22" width="13.88671875" style="569" customWidth="1"/>
    <col min="23" max="23" width="14.33203125" style="569" customWidth="1"/>
    <col min="24" max="24" width="14" style="569" customWidth="1"/>
    <col min="25" max="25" width="13.44140625" style="569" customWidth="1"/>
    <col min="26" max="26" width="14.109375" style="569" customWidth="1"/>
    <col min="27" max="16384" width="6.88671875" style="569"/>
  </cols>
  <sheetData>
    <row r="1" spans="1:26">
      <c r="A1" s="981" t="str">
        <f>COMPANY</f>
        <v>DUKE ENERGY KENTUCKY, INC.</v>
      </c>
      <c r="B1" s="982"/>
      <c r="C1" s="982"/>
      <c r="D1" s="982"/>
      <c r="E1" s="982"/>
      <c r="F1" s="982"/>
      <c r="G1" s="982"/>
      <c r="H1" s="982"/>
      <c r="I1" s="982"/>
      <c r="J1" s="982"/>
      <c r="K1" s="982"/>
      <c r="L1" s="982"/>
      <c r="M1" s="982"/>
      <c r="N1" s="982"/>
      <c r="O1" s="982"/>
      <c r="P1" s="815"/>
      <c r="S1" s="983"/>
      <c r="U1" s="984"/>
    </row>
    <row r="2" spans="1:26">
      <c r="A2" s="985" t="str">
        <f>CASE</f>
        <v>CASE NO. 2018-00261</v>
      </c>
      <c r="B2" s="982"/>
      <c r="C2" s="982"/>
      <c r="D2" s="982"/>
      <c r="E2" s="982"/>
      <c r="F2" s="982"/>
      <c r="G2" s="982"/>
      <c r="H2" s="982"/>
      <c r="I2" s="982"/>
      <c r="J2" s="982"/>
      <c r="K2" s="982"/>
      <c r="L2" s="982"/>
      <c r="M2" s="982"/>
      <c r="N2" s="982"/>
      <c r="O2" s="982"/>
      <c r="P2" s="815"/>
      <c r="S2" s="983"/>
      <c r="U2" s="984"/>
      <c r="Y2" s="984"/>
    </row>
    <row r="3" spans="1:26">
      <c r="A3" s="981" t="s">
        <v>1891</v>
      </c>
      <c r="B3" s="982"/>
      <c r="C3" s="982"/>
      <c r="D3" s="982"/>
      <c r="E3" s="982"/>
      <c r="F3" s="982"/>
      <c r="G3" s="982"/>
      <c r="H3" s="982"/>
      <c r="I3" s="982"/>
      <c r="J3" s="982"/>
      <c r="K3" s="982"/>
      <c r="L3" s="982"/>
      <c r="M3" s="982"/>
      <c r="N3" s="982"/>
      <c r="O3" s="982"/>
      <c r="P3" s="815"/>
      <c r="S3" s="983"/>
      <c r="U3" s="984"/>
    </row>
    <row r="4" spans="1:26">
      <c r="A4" s="570" t="str">
        <f>PERIOD</f>
        <v>FOR THE TWELVE MONTHS ENDED NOVEMBER 30, 2018</v>
      </c>
      <c r="B4" s="982"/>
      <c r="C4" s="982"/>
      <c r="D4" s="982"/>
      <c r="E4" s="982"/>
      <c r="F4" s="982"/>
      <c r="G4" s="982"/>
      <c r="H4" s="982"/>
      <c r="I4" s="982"/>
      <c r="J4" s="982"/>
      <c r="K4" s="982"/>
      <c r="L4" s="982"/>
      <c r="M4" s="982"/>
      <c r="N4" s="982"/>
      <c r="O4" s="982"/>
      <c r="U4" s="984"/>
    </row>
    <row r="5" spans="1:26">
      <c r="A5" s="570" t="str">
        <f>PeriodF</f>
        <v>FOR THE TWELVE MONTHS ENDED MARCH 31, 2020</v>
      </c>
      <c r="B5" s="982"/>
      <c r="C5" s="982"/>
      <c r="D5" s="982"/>
      <c r="E5" s="982"/>
      <c r="F5" s="982"/>
      <c r="G5" s="982"/>
      <c r="H5" s="982"/>
      <c r="I5" s="982"/>
      <c r="J5" s="982"/>
      <c r="K5" s="982"/>
      <c r="L5" s="982"/>
      <c r="M5" s="982"/>
      <c r="N5" s="982"/>
      <c r="O5" s="982"/>
      <c r="U5" s="984"/>
    </row>
    <row r="6" spans="1:26">
      <c r="H6" s="982"/>
      <c r="I6" s="982"/>
      <c r="J6" s="982"/>
      <c r="K6" s="982"/>
      <c r="L6" s="982"/>
      <c r="M6" s="982"/>
      <c r="N6" s="982"/>
      <c r="O6" s="982"/>
      <c r="P6" s="815"/>
      <c r="S6" s="983"/>
    </row>
    <row r="7" spans="1:26">
      <c r="A7" s="986"/>
      <c r="I7" s="984"/>
      <c r="J7" s="984"/>
      <c r="K7" s="984"/>
      <c r="L7" s="984"/>
      <c r="M7" s="984"/>
      <c r="N7" s="984" t="s">
        <v>1892</v>
      </c>
      <c r="O7" s="982"/>
      <c r="P7" s="815"/>
      <c r="S7" s="983"/>
      <c r="T7" s="987"/>
      <c r="U7" s="984"/>
      <c r="V7" s="987"/>
      <c r="W7" s="987"/>
      <c r="X7" s="987"/>
      <c r="Y7" s="987"/>
      <c r="Z7" s="987"/>
    </row>
    <row r="8" spans="1:26">
      <c r="A8" s="986"/>
      <c r="I8" s="984"/>
      <c r="J8" s="984"/>
      <c r="K8" s="984"/>
      <c r="L8" s="984"/>
      <c r="M8" s="984"/>
      <c r="N8" s="984" t="s">
        <v>564</v>
      </c>
      <c r="O8" s="982"/>
      <c r="P8" s="815"/>
      <c r="S8" s="983"/>
      <c r="T8" s="987"/>
      <c r="U8" s="984"/>
      <c r="V8" s="987"/>
      <c r="W8" s="987"/>
      <c r="X8" s="987"/>
      <c r="Y8" s="987"/>
      <c r="Z8" s="987"/>
    </row>
    <row r="9" spans="1:26">
      <c r="A9" s="569" t="str">
        <f>DataB</f>
        <v>DATA: "X" BASE PERIOD  "X" FORECASTED PERIOD</v>
      </c>
      <c r="G9" s="988"/>
      <c r="I9" s="989"/>
      <c r="J9" s="989"/>
      <c r="K9" s="989"/>
      <c r="L9" s="989"/>
      <c r="M9" s="989"/>
      <c r="N9" s="989" t="s">
        <v>566</v>
      </c>
      <c r="O9" s="982"/>
      <c r="P9" s="815"/>
      <c r="S9" s="983"/>
      <c r="T9" s="987"/>
      <c r="U9" s="984"/>
      <c r="V9" s="987"/>
      <c r="W9" s="987"/>
      <c r="X9" s="987"/>
      <c r="Y9" s="987"/>
      <c r="Z9" s="987"/>
    </row>
    <row r="10" spans="1:26">
      <c r="A10" s="989" t="str">
        <f>LOGO!B15</f>
        <v xml:space="preserve">TYPE OF FILING:  "X" ORIGINAL   UPDATED    REVISED  </v>
      </c>
      <c r="G10" s="988"/>
      <c r="I10" s="572"/>
      <c r="J10" s="572"/>
      <c r="K10" s="572"/>
      <c r="L10" s="572"/>
      <c r="M10" s="572"/>
      <c r="N10" s="572" t="str">
        <f>_WIT9</f>
        <v>R. H. PRATT</v>
      </c>
      <c r="O10" s="982"/>
      <c r="P10" s="815"/>
      <c r="S10" s="983"/>
      <c r="T10" s="987"/>
      <c r="U10" s="984"/>
      <c r="V10" s="987"/>
      <c r="W10" s="987"/>
      <c r="X10" s="987"/>
      <c r="Y10" s="987"/>
      <c r="Z10" s="987"/>
    </row>
    <row r="11" spans="1:26">
      <c r="A11" s="984" t="s">
        <v>129</v>
      </c>
      <c r="G11" s="988"/>
      <c r="H11" s="982"/>
      <c r="I11" s="982"/>
      <c r="J11" s="982"/>
      <c r="K11" s="982"/>
      <c r="L11" s="982"/>
      <c r="M11" s="982"/>
      <c r="N11" s="982"/>
      <c r="O11" s="982"/>
      <c r="P11" s="815"/>
      <c r="S11" s="983"/>
      <c r="T11" s="987"/>
      <c r="U11" s="984"/>
      <c r="V11" s="987"/>
      <c r="W11" s="987"/>
      <c r="X11" s="987"/>
      <c r="Y11" s="987"/>
      <c r="Z11" s="987"/>
    </row>
    <row r="12" spans="1:26">
      <c r="A12" s="990"/>
      <c r="B12" s="991"/>
      <c r="C12" s="991"/>
      <c r="D12" s="991"/>
      <c r="E12" s="991"/>
      <c r="F12" s="991"/>
      <c r="G12" s="2731"/>
      <c r="H12" s="993"/>
      <c r="I12" s="993"/>
      <c r="J12" s="992"/>
      <c r="K12" s="992"/>
      <c r="L12" s="992"/>
      <c r="M12" s="992"/>
      <c r="N12" s="992"/>
      <c r="O12" s="992"/>
      <c r="P12" s="815"/>
      <c r="S12" s="983"/>
      <c r="T12" s="987"/>
      <c r="U12" s="984"/>
      <c r="V12" s="987"/>
      <c r="W12" s="987"/>
      <c r="X12" s="987"/>
      <c r="Y12" s="987"/>
      <c r="Z12" s="987"/>
    </row>
    <row r="13" spans="1:26">
      <c r="A13" s="984"/>
      <c r="D13" s="994" t="s">
        <v>409</v>
      </c>
      <c r="E13" s="995"/>
      <c r="F13" s="1558"/>
      <c r="G13" s="2732"/>
      <c r="H13" s="2733"/>
      <c r="I13" s="2732"/>
      <c r="J13" s="1558"/>
      <c r="K13" s="1558"/>
      <c r="L13" s="1558"/>
      <c r="M13" s="1558"/>
      <c r="N13" s="1561"/>
      <c r="O13" s="963"/>
      <c r="P13" s="815"/>
      <c r="S13" s="983"/>
      <c r="T13" s="987"/>
      <c r="U13" s="984"/>
      <c r="V13" s="987"/>
      <c r="W13" s="987"/>
      <c r="X13" s="987"/>
      <c r="Y13" s="987"/>
      <c r="Z13" s="987"/>
    </row>
    <row r="14" spans="1:26">
      <c r="A14" s="987" t="s">
        <v>567</v>
      </c>
      <c r="D14" s="997" t="s">
        <v>1806</v>
      </c>
      <c r="E14" s="995"/>
      <c r="F14" s="1558"/>
      <c r="G14" s="996" t="s">
        <v>1127</v>
      </c>
      <c r="H14" s="1558"/>
      <c r="I14" s="996" t="s">
        <v>740</v>
      </c>
      <c r="J14" s="1558"/>
      <c r="K14" s="2730" t="s">
        <v>2638</v>
      </c>
      <c r="L14" s="965"/>
      <c r="M14" s="965"/>
      <c r="N14" s="965"/>
      <c r="O14" s="965"/>
      <c r="P14" s="815"/>
      <c r="S14" s="983"/>
      <c r="T14" s="998"/>
      <c r="U14" s="998"/>
      <c r="V14" s="998"/>
      <c r="W14" s="998"/>
      <c r="X14" s="998"/>
      <c r="Y14" s="998"/>
      <c r="Z14" s="998"/>
    </row>
    <row r="15" spans="1:26">
      <c r="A15" s="999" t="s">
        <v>766</v>
      </c>
      <c r="B15" s="990" t="s">
        <v>741</v>
      </c>
      <c r="C15" s="990"/>
      <c r="D15" s="407">
        <f>'SCH_I1 - Total Co.'!E14</f>
        <v>2021</v>
      </c>
      <c r="E15" s="407">
        <f>'SCH_I1 - Total Co.'!F14</f>
        <v>2020</v>
      </c>
      <c r="F15" s="1563"/>
      <c r="G15" s="465" t="s">
        <v>743</v>
      </c>
      <c r="H15" s="1563"/>
      <c r="I15" s="465" t="s">
        <v>743</v>
      </c>
      <c r="J15" s="1563"/>
      <c r="K15" s="407">
        <f>'SCH_I1 - Total Co.'!N14</f>
        <v>2017</v>
      </c>
      <c r="L15" s="407">
        <f>$K$15-1</f>
        <v>2016</v>
      </c>
      <c r="M15" s="407">
        <f>$K$15-2</f>
        <v>2015</v>
      </c>
      <c r="N15" s="407">
        <f>$K$15-3</f>
        <v>2014</v>
      </c>
      <c r="O15" s="407">
        <f>$K$15-4</f>
        <v>2013</v>
      </c>
      <c r="P15" s="815"/>
      <c r="S15" s="983"/>
      <c r="T15" s="984"/>
      <c r="U15" s="1000"/>
      <c r="V15" s="1000"/>
      <c r="W15" s="1000"/>
      <c r="X15" s="1000"/>
      <c r="Y15" s="1000"/>
      <c r="Z15" s="1000"/>
    </row>
    <row r="16" spans="1:26">
      <c r="A16" s="987">
        <v>1</v>
      </c>
      <c r="B16" s="984" t="s">
        <v>806</v>
      </c>
      <c r="C16" s="984"/>
      <c r="D16" s="463"/>
      <c r="E16" s="463"/>
      <c r="F16" s="463"/>
      <c r="G16" s="463"/>
      <c r="H16" s="463"/>
      <c r="I16" s="463"/>
      <c r="J16" s="463"/>
      <c r="K16" s="463"/>
      <c r="L16" s="463"/>
      <c r="M16" s="463"/>
      <c r="N16" s="463"/>
      <c r="O16" s="450"/>
      <c r="P16" s="815"/>
    </row>
    <row r="17" spans="1:16">
      <c r="A17" s="987">
        <v>2</v>
      </c>
      <c r="B17" s="1001" t="s">
        <v>1893</v>
      </c>
      <c r="C17" s="1001"/>
      <c r="D17" s="450"/>
      <c r="E17" s="450"/>
      <c r="F17" s="450"/>
      <c r="G17" s="450"/>
      <c r="H17" s="450"/>
      <c r="I17" s="450"/>
      <c r="J17" s="450"/>
      <c r="K17" s="450"/>
      <c r="L17" s="450"/>
      <c r="M17" s="450"/>
      <c r="N17" s="450"/>
      <c r="O17" s="450"/>
      <c r="P17" s="815"/>
    </row>
    <row r="18" spans="1:16">
      <c r="A18" s="987">
        <v>3</v>
      </c>
      <c r="B18" s="573" t="s">
        <v>802</v>
      </c>
      <c r="C18" s="573"/>
      <c r="D18" s="450"/>
      <c r="E18" s="450"/>
      <c r="F18" s="450"/>
      <c r="G18" s="450"/>
      <c r="H18" s="450"/>
      <c r="I18" s="450"/>
      <c r="J18" s="450"/>
      <c r="K18" s="450"/>
      <c r="L18" s="450"/>
      <c r="M18" s="450"/>
      <c r="N18" s="450"/>
      <c r="O18" s="450"/>
      <c r="P18" s="815"/>
    </row>
    <row r="19" spans="1:16">
      <c r="A19" s="987">
        <v>4</v>
      </c>
      <c r="B19" s="984" t="s">
        <v>1810</v>
      </c>
      <c r="C19" s="984"/>
      <c r="D19" s="466"/>
      <c r="E19" s="466"/>
      <c r="F19" s="466"/>
      <c r="G19" s="466"/>
      <c r="H19" s="466"/>
      <c r="I19" s="466"/>
      <c r="J19" s="466"/>
      <c r="K19" s="466"/>
      <c r="L19" s="466"/>
      <c r="M19" s="466"/>
      <c r="N19" s="466"/>
      <c r="O19" s="466"/>
      <c r="P19" s="815"/>
    </row>
    <row r="20" spans="1:16">
      <c r="A20" s="987">
        <v>5</v>
      </c>
      <c r="B20" s="984" t="s">
        <v>1811</v>
      </c>
      <c r="C20" s="984"/>
      <c r="D20" s="466"/>
      <c r="E20" s="466"/>
      <c r="F20" s="466"/>
      <c r="G20" s="466"/>
      <c r="H20" s="466"/>
      <c r="I20" s="466"/>
      <c r="J20" s="466"/>
      <c r="K20" s="466"/>
      <c r="L20" s="466"/>
      <c r="M20" s="466"/>
      <c r="N20" s="466"/>
      <c r="O20" s="466"/>
      <c r="P20" s="815"/>
    </row>
    <row r="21" spans="1:16">
      <c r="A21" s="987">
        <v>6</v>
      </c>
      <c r="B21" s="984" t="s">
        <v>1812</v>
      </c>
      <c r="C21" s="984"/>
      <c r="D21" s="466"/>
      <c r="E21" s="466"/>
      <c r="F21" s="466"/>
      <c r="G21" s="466"/>
      <c r="H21" s="466"/>
      <c r="I21" s="466"/>
      <c r="J21" s="466"/>
      <c r="K21" s="466"/>
      <c r="L21" s="466"/>
      <c r="M21" s="466"/>
      <c r="N21" s="466"/>
      <c r="O21" s="466"/>
      <c r="P21" s="815"/>
    </row>
    <row r="22" spans="1:16">
      <c r="A22" s="987">
        <v>7</v>
      </c>
      <c r="B22" s="984" t="s">
        <v>1813</v>
      </c>
      <c r="C22" s="984"/>
      <c r="D22" s="467"/>
      <c r="E22" s="467"/>
      <c r="F22" s="467"/>
      <c r="G22" s="467"/>
      <c r="H22" s="467"/>
      <c r="I22" s="467"/>
      <c r="J22" s="467"/>
      <c r="K22" s="467"/>
      <c r="L22" s="467"/>
      <c r="M22" s="467"/>
      <c r="N22" s="467"/>
      <c r="O22" s="467"/>
      <c r="P22" s="815"/>
    </row>
    <row r="23" spans="1:16">
      <c r="A23" s="987">
        <v>8</v>
      </c>
      <c r="B23" s="573" t="s">
        <v>1814</v>
      </c>
      <c r="C23" s="573"/>
      <c r="D23" s="468"/>
      <c r="E23" s="468"/>
      <c r="F23" s="468"/>
      <c r="G23" s="468"/>
      <c r="H23" s="468"/>
      <c r="I23" s="468"/>
      <c r="J23" s="468"/>
      <c r="K23" s="468"/>
      <c r="L23" s="468"/>
      <c r="M23" s="468"/>
      <c r="N23" s="468"/>
      <c r="O23" s="468"/>
      <c r="P23" s="815"/>
    </row>
    <row r="24" spans="1:16">
      <c r="A24" s="987">
        <v>9</v>
      </c>
      <c r="B24" s="573" t="s">
        <v>1885</v>
      </c>
      <c r="C24" s="573"/>
      <c r="D24" s="413"/>
      <c r="E24" s="413"/>
      <c r="F24" s="413"/>
      <c r="G24" s="413"/>
      <c r="H24" s="413"/>
      <c r="I24" s="413"/>
      <c r="J24" s="413"/>
      <c r="K24" s="413"/>
      <c r="L24" s="413"/>
      <c r="M24" s="413"/>
      <c r="N24" s="413"/>
      <c r="O24" s="413"/>
      <c r="P24" s="815"/>
    </row>
    <row r="25" spans="1:16">
      <c r="A25" s="987">
        <v>10</v>
      </c>
      <c r="B25" s="573" t="s">
        <v>1811</v>
      </c>
      <c r="C25" s="573"/>
      <c r="D25" s="409"/>
      <c r="E25" s="409"/>
      <c r="F25" s="409"/>
      <c r="G25" s="409"/>
      <c r="H25" s="409"/>
      <c r="I25" s="409"/>
      <c r="J25" s="409"/>
      <c r="K25" s="409"/>
      <c r="L25" s="409"/>
      <c r="M25" s="409"/>
      <c r="N25" s="409"/>
      <c r="O25" s="410"/>
      <c r="P25" s="815"/>
    </row>
    <row r="26" spans="1:16">
      <c r="A26" s="987">
        <v>11</v>
      </c>
      <c r="B26" s="573" t="s">
        <v>1812</v>
      </c>
      <c r="C26" s="573"/>
      <c r="D26" s="409"/>
      <c r="E26" s="409"/>
      <c r="F26" s="409"/>
      <c r="G26" s="409"/>
      <c r="H26" s="409"/>
      <c r="I26" s="409"/>
      <c r="J26" s="409"/>
      <c r="K26" s="409"/>
      <c r="L26" s="409"/>
      <c r="M26" s="409"/>
      <c r="N26" s="409"/>
      <c r="O26" s="410"/>
      <c r="P26" s="815"/>
    </row>
    <row r="27" spans="1:16">
      <c r="A27" s="987">
        <v>12</v>
      </c>
      <c r="B27" s="573" t="s">
        <v>1813</v>
      </c>
      <c r="C27" s="573"/>
      <c r="D27" s="409"/>
      <c r="E27" s="409"/>
      <c r="F27" s="409"/>
      <c r="G27" s="409"/>
      <c r="H27" s="409"/>
      <c r="I27" s="409"/>
      <c r="J27" s="409"/>
      <c r="K27" s="409"/>
      <c r="L27" s="409"/>
      <c r="M27" s="409"/>
      <c r="N27" s="409"/>
      <c r="O27" s="410"/>
      <c r="P27" s="815"/>
    </row>
    <row r="28" spans="1:16">
      <c r="A28" s="987">
        <v>13</v>
      </c>
      <c r="B28" s="400" t="s">
        <v>304</v>
      </c>
      <c r="C28" s="400"/>
      <c r="D28" s="411"/>
      <c r="E28" s="411"/>
      <c r="F28" s="411"/>
      <c r="G28" s="411"/>
      <c r="H28" s="411"/>
      <c r="I28" s="411"/>
      <c r="J28" s="411"/>
      <c r="K28" s="411"/>
      <c r="L28" s="411"/>
      <c r="M28" s="411"/>
      <c r="N28" s="411"/>
      <c r="O28" s="412"/>
      <c r="P28" s="815"/>
    </row>
    <row r="29" spans="1:16">
      <c r="A29" s="987">
        <v>14</v>
      </c>
      <c r="B29" s="573" t="s">
        <v>1886</v>
      </c>
      <c r="C29" s="573"/>
      <c r="D29" s="412"/>
      <c r="E29" s="412"/>
      <c r="F29" s="412"/>
      <c r="G29" s="412"/>
      <c r="H29" s="412"/>
      <c r="I29" s="412"/>
      <c r="J29" s="412"/>
      <c r="K29" s="412"/>
      <c r="L29" s="412"/>
      <c r="M29" s="412"/>
      <c r="N29" s="412"/>
      <c r="O29" s="412"/>
      <c r="P29" s="815"/>
    </row>
    <row r="30" spans="1:16">
      <c r="A30" s="987">
        <v>15</v>
      </c>
      <c r="B30" s="573" t="s">
        <v>808</v>
      </c>
      <c r="C30" s="573"/>
      <c r="D30" s="413"/>
      <c r="E30" s="413"/>
      <c r="F30" s="413"/>
      <c r="G30" s="413"/>
      <c r="H30" s="413"/>
      <c r="I30" s="413"/>
      <c r="J30" s="413"/>
      <c r="K30" s="413"/>
      <c r="L30" s="413"/>
      <c r="M30" s="413"/>
      <c r="N30" s="413"/>
      <c r="O30" s="413"/>
      <c r="P30" s="815"/>
    </row>
    <row r="31" spans="1:16">
      <c r="A31" s="987">
        <v>16</v>
      </c>
      <c r="D31" s="469"/>
      <c r="E31" s="469"/>
      <c r="F31" s="469"/>
      <c r="G31" s="469"/>
      <c r="H31" s="469"/>
      <c r="I31" s="469"/>
      <c r="J31" s="469"/>
      <c r="K31" s="469"/>
      <c r="L31" s="469"/>
      <c r="M31" s="469"/>
      <c r="N31" s="469"/>
      <c r="O31" s="469"/>
      <c r="P31" s="815"/>
    </row>
    <row r="32" spans="1:16">
      <c r="A32" s="987">
        <v>17</v>
      </c>
      <c r="B32" s="984" t="s">
        <v>1071</v>
      </c>
      <c r="C32" s="984"/>
      <c r="D32" s="470"/>
      <c r="E32" s="470"/>
      <c r="F32" s="470"/>
      <c r="G32" s="470"/>
      <c r="H32" s="470"/>
      <c r="I32" s="470"/>
      <c r="J32" s="470"/>
      <c r="K32" s="470"/>
      <c r="L32" s="470"/>
      <c r="M32" s="470"/>
      <c r="N32" s="470"/>
      <c r="O32" s="470"/>
      <c r="P32" s="815"/>
    </row>
    <row r="33" spans="1:16">
      <c r="A33" s="987">
        <v>18</v>
      </c>
      <c r="B33" s="1001" t="s">
        <v>1072</v>
      </c>
      <c r="C33" s="1001"/>
      <c r="D33" s="470"/>
      <c r="E33" s="470"/>
      <c r="F33" s="470"/>
      <c r="G33" s="470"/>
      <c r="H33" s="470"/>
      <c r="I33" s="470"/>
      <c r="J33" s="470"/>
      <c r="K33" s="470"/>
      <c r="L33" s="470"/>
      <c r="M33" s="470"/>
      <c r="N33" s="470"/>
      <c r="O33" s="470"/>
      <c r="P33" s="815"/>
    </row>
    <row r="34" spans="1:16">
      <c r="A34" s="987">
        <v>19</v>
      </c>
      <c r="B34" s="573" t="s">
        <v>802</v>
      </c>
      <c r="C34" s="573"/>
      <c r="D34" s="470"/>
      <c r="E34" s="470"/>
      <c r="F34" s="470"/>
      <c r="G34" s="470"/>
      <c r="H34" s="470"/>
      <c r="I34" s="470"/>
      <c r="J34" s="470"/>
      <c r="K34" s="470"/>
      <c r="L34" s="470"/>
      <c r="M34" s="470"/>
      <c r="N34" s="470"/>
      <c r="O34" s="470"/>
      <c r="P34" s="815"/>
    </row>
    <row r="35" spans="1:16">
      <c r="A35" s="987">
        <v>20</v>
      </c>
      <c r="B35" s="984" t="s">
        <v>1810</v>
      </c>
      <c r="C35" s="984"/>
      <c r="D35" s="466"/>
      <c r="E35" s="466"/>
      <c r="F35" s="466"/>
      <c r="G35" s="466"/>
      <c r="H35" s="466"/>
      <c r="I35" s="466"/>
      <c r="J35" s="466"/>
      <c r="K35" s="466"/>
      <c r="L35" s="466"/>
      <c r="M35" s="466"/>
      <c r="N35" s="466"/>
      <c r="O35" s="466"/>
      <c r="P35" s="815"/>
    </row>
    <row r="36" spans="1:16">
      <c r="A36" s="987">
        <v>21</v>
      </c>
      <c r="B36" s="984" t="s">
        <v>1811</v>
      </c>
      <c r="C36" s="984"/>
      <c r="D36" s="466"/>
      <c r="E36" s="466"/>
      <c r="F36" s="466"/>
      <c r="G36" s="466"/>
      <c r="H36" s="466"/>
      <c r="I36" s="466"/>
      <c r="J36" s="466"/>
      <c r="K36" s="466"/>
      <c r="L36" s="466"/>
      <c r="M36" s="466"/>
      <c r="N36" s="466"/>
      <c r="O36" s="466"/>
      <c r="P36" s="815"/>
    </row>
    <row r="37" spans="1:16">
      <c r="A37" s="987">
        <v>22</v>
      </c>
      <c r="B37" s="984" t="s">
        <v>1812</v>
      </c>
      <c r="C37" s="984"/>
      <c r="D37" s="466"/>
      <c r="E37" s="466"/>
      <c r="F37" s="466"/>
      <c r="G37" s="466"/>
      <c r="H37" s="466"/>
      <c r="I37" s="466"/>
      <c r="J37" s="466"/>
      <c r="K37" s="466"/>
      <c r="L37" s="466"/>
      <c r="M37" s="466"/>
      <c r="N37" s="466"/>
      <c r="O37" s="466"/>
      <c r="P37" s="815"/>
    </row>
    <row r="38" spans="1:16">
      <c r="A38" s="987">
        <v>23</v>
      </c>
      <c r="B38" s="984" t="s">
        <v>1813</v>
      </c>
      <c r="C38" s="984"/>
      <c r="D38" s="467"/>
      <c r="E38" s="467"/>
      <c r="F38" s="467"/>
      <c r="G38" s="467"/>
      <c r="H38" s="467"/>
      <c r="I38" s="467"/>
      <c r="J38" s="467"/>
      <c r="K38" s="467"/>
      <c r="L38" s="467"/>
      <c r="M38" s="467"/>
      <c r="N38" s="467"/>
      <c r="O38" s="471"/>
      <c r="P38" s="815"/>
    </row>
    <row r="39" spans="1:16">
      <c r="A39" s="987">
        <v>24</v>
      </c>
      <c r="B39" s="573" t="s">
        <v>1814</v>
      </c>
      <c r="C39" s="573"/>
      <c r="D39" s="468"/>
      <c r="E39" s="468"/>
      <c r="F39" s="468"/>
      <c r="G39" s="468"/>
      <c r="H39" s="468"/>
      <c r="I39" s="468"/>
      <c r="J39" s="468"/>
      <c r="K39" s="468"/>
      <c r="L39" s="468"/>
      <c r="M39" s="468"/>
      <c r="N39" s="468"/>
      <c r="O39" s="468"/>
      <c r="P39" s="815"/>
    </row>
    <row r="40" spans="1:16">
      <c r="A40" s="987">
        <v>25</v>
      </c>
      <c r="B40" s="573" t="s">
        <v>1885</v>
      </c>
      <c r="C40" s="573"/>
      <c r="D40" s="413"/>
      <c r="E40" s="413"/>
      <c r="F40" s="413"/>
      <c r="G40" s="413"/>
      <c r="H40" s="413"/>
      <c r="I40" s="413"/>
      <c r="J40" s="413"/>
      <c r="K40" s="413"/>
      <c r="L40" s="413"/>
      <c r="M40" s="413"/>
      <c r="N40" s="413"/>
      <c r="O40" s="413"/>
      <c r="P40" s="815"/>
    </row>
    <row r="41" spans="1:16">
      <c r="A41" s="987">
        <v>26</v>
      </c>
      <c r="B41" s="573" t="s">
        <v>1811</v>
      </c>
      <c r="C41" s="573"/>
      <c r="D41" s="409"/>
      <c r="E41" s="409"/>
      <c r="F41" s="409"/>
      <c r="G41" s="409"/>
      <c r="H41" s="409"/>
      <c r="I41" s="409"/>
      <c r="J41" s="409"/>
      <c r="K41" s="409"/>
      <c r="L41" s="409"/>
      <c r="M41" s="409"/>
      <c r="N41" s="409"/>
      <c r="O41" s="409"/>
      <c r="P41" s="815"/>
    </row>
    <row r="42" spans="1:16">
      <c r="A42" s="987">
        <v>27</v>
      </c>
      <c r="B42" s="573" t="s">
        <v>1812</v>
      </c>
      <c r="C42" s="573"/>
      <c r="D42" s="409"/>
      <c r="E42" s="1288" t="s">
        <v>2289</v>
      </c>
      <c r="F42" s="409"/>
      <c r="G42" s="409"/>
      <c r="H42" s="409"/>
      <c r="I42" s="409"/>
      <c r="J42" s="409"/>
      <c r="K42" s="409"/>
      <c r="L42" s="409"/>
      <c r="M42" s="409"/>
      <c r="N42" s="409"/>
      <c r="O42" s="409"/>
      <c r="P42" s="815"/>
    </row>
    <row r="43" spans="1:16">
      <c r="A43" s="987">
        <v>28</v>
      </c>
      <c r="B43" s="573" t="s">
        <v>1813</v>
      </c>
      <c r="C43" s="573"/>
      <c r="D43" s="409"/>
      <c r="E43" s="409"/>
      <c r="F43" s="409"/>
      <c r="G43" s="409"/>
      <c r="H43" s="409"/>
      <c r="I43" s="409"/>
      <c r="J43" s="409"/>
      <c r="K43" s="409"/>
      <c r="L43" s="409"/>
      <c r="M43" s="409"/>
      <c r="N43" s="409"/>
      <c r="O43" s="409"/>
      <c r="P43" s="815"/>
    </row>
    <row r="44" spans="1:16">
      <c r="A44" s="987">
        <v>29</v>
      </c>
      <c r="B44" s="400" t="s">
        <v>304</v>
      </c>
      <c r="C44" s="400"/>
      <c r="D44" s="411"/>
      <c r="E44" s="411"/>
      <c r="F44" s="411"/>
      <c r="G44" s="411"/>
      <c r="H44" s="411"/>
      <c r="I44" s="411"/>
      <c r="J44" s="411"/>
      <c r="K44" s="411"/>
      <c r="L44" s="411"/>
      <c r="M44" s="411"/>
      <c r="N44" s="411"/>
      <c r="O44" s="416"/>
      <c r="P44" s="815"/>
    </row>
    <row r="45" spans="1:16">
      <c r="A45" s="987">
        <v>30</v>
      </c>
      <c r="B45" s="573" t="s">
        <v>1886</v>
      </c>
      <c r="C45" s="573"/>
      <c r="D45" s="412"/>
      <c r="E45" s="412"/>
      <c r="F45" s="412"/>
      <c r="G45" s="412"/>
      <c r="H45" s="412"/>
      <c r="I45" s="412"/>
      <c r="J45" s="412"/>
      <c r="K45" s="412"/>
      <c r="L45" s="412"/>
      <c r="M45" s="412"/>
      <c r="N45" s="412"/>
      <c r="O45" s="412"/>
      <c r="P45" s="815"/>
    </row>
    <row r="46" spans="1:16">
      <c r="A46" s="987">
        <v>31</v>
      </c>
      <c r="B46" s="573" t="s">
        <v>1073</v>
      </c>
      <c r="C46" s="573"/>
      <c r="D46" s="417"/>
      <c r="E46" s="417"/>
      <c r="F46" s="417"/>
      <c r="G46" s="417"/>
      <c r="H46" s="417"/>
      <c r="I46" s="417"/>
      <c r="J46" s="417"/>
      <c r="K46" s="417"/>
      <c r="L46" s="417"/>
      <c r="M46" s="417"/>
      <c r="N46" s="417"/>
      <c r="O46" s="417"/>
      <c r="P46" s="815"/>
    </row>
    <row r="47" spans="1:16">
      <c r="A47" s="987">
        <v>32</v>
      </c>
      <c r="D47" s="418"/>
      <c r="E47" s="418"/>
      <c r="F47" s="472"/>
      <c r="G47" s="472"/>
      <c r="H47" s="472"/>
      <c r="I47" s="472"/>
      <c r="J47" s="472"/>
      <c r="K47" s="472"/>
      <c r="L47" s="472"/>
      <c r="M47" s="472"/>
      <c r="N47" s="472"/>
      <c r="O47" s="472"/>
      <c r="P47" s="815"/>
    </row>
    <row r="48" spans="1:16">
      <c r="A48" s="987">
        <v>33</v>
      </c>
      <c r="B48" s="984" t="s">
        <v>1074</v>
      </c>
      <c r="C48" s="984"/>
      <c r="D48" s="470"/>
      <c r="E48" s="470"/>
      <c r="F48" s="470"/>
      <c r="G48" s="470"/>
      <c r="H48" s="470"/>
      <c r="I48" s="470"/>
      <c r="J48" s="470"/>
      <c r="K48" s="470"/>
      <c r="L48" s="470"/>
      <c r="M48" s="470"/>
      <c r="N48" s="470"/>
      <c r="O48" s="470"/>
      <c r="P48" s="815"/>
    </row>
    <row r="49" spans="1:16">
      <c r="A49" s="987">
        <v>34</v>
      </c>
      <c r="B49" s="1001" t="s">
        <v>1888</v>
      </c>
      <c r="C49" s="1001"/>
      <c r="D49" s="470"/>
      <c r="E49" s="470"/>
      <c r="F49" s="470"/>
      <c r="G49" s="470"/>
      <c r="H49" s="470"/>
      <c r="I49" s="470"/>
      <c r="J49" s="470"/>
      <c r="K49" s="470"/>
      <c r="L49" s="470"/>
      <c r="M49" s="470"/>
      <c r="N49" s="470"/>
      <c r="O49" s="470"/>
      <c r="P49" s="815"/>
    </row>
    <row r="50" spans="1:16">
      <c r="A50" s="987">
        <v>35</v>
      </c>
      <c r="B50" s="573" t="s">
        <v>802</v>
      </c>
      <c r="C50" s="573"/>
      <c r="D50" s="470"/>
      <c r="E50" s="470"/>
      <c r="F50" s="470"/>
      <c r="G50" s="470"/>
      <c r="H50" s="470"/>
      <c r="I50" s="470"/>
      <c r="J50" s="470"/>
      <c r="K50" s="470"/>
      <c r="L50" s="470"/>
      <c r="M50" s="470"/>
      <c r="N50" s="470"/>
      <c r="O50" s="470"/>
      <c r="P50" s="815"/>
    </row>
    <row r="51" spans="1:16">
      <c r="A51" s="987">
        <v>36</v>
      </c>
      <c r="B51" s="984" t="s">
        <v>1810</v>
      </c>
      <c r="C51" s="984"/>
      <c r="D51" s="466"/>
      <c r="E51" s="466"/>
      <c r="F51" s="466"/>
      <c r="G51" s="466"/>
      <c r="H51" s="466"/>
      <c r="I51" s="466"/>
      <c r="J51" s="466"/>
      <c r="K51" s="466"/>
      <c r="L51" s="466"/>
      <c r="M51" s="466"/>
      <c r="N51" s="466"/>
      <c r="O51" s="466"/>
      <c r="P51" s="815"/>
    </row>
    <row r="52" spans="1:16">
      <c r="A52" s="987">
        <v>37</v>
      </c>
      <c r="B52" s="984" t="s">
        <v>1811</v>
      </c>
      <c r="C52" s="984"/>
      <c r="D52" s="466"/>
      <c r="E52" s="466"/>
      <c r="F52" s="466"/>
      <c r="G52" s="466"/>
      <c r="H52" s="466"/>
      <c r="I52" s="466"/>
      <c r="J52" s="466"/>
      <c r="K52" s="466"/>
      <c r="L52" s="466"/>
      <c r="M52" s="466"/>
      <c r="N52" s="466"/>
      <c r="O52" s="466"/>
      <c r="P52" s="815"/>
    </row>
    <row r="53" spans="1:16">
      <c r="A53" s="987">
        <v>38</v>
      </c>
      <c r="B53" s="984" t="s">
        <v>1812</v>
      </c>
      <c r="C53" s="984"/>
      <c r="D53" s="466"/>
      <c r="E53" s="466"/>
      <c r="F53" s="466"/>
      <c r="G53" s="466"/>
      <c r="H53" s="466"/>
      <c r="I53" s="466"/>
      <c r="J53" s="466"/>
      <c r="K53" s="466"/>
      <c r="L53" s="466"/>
      <c r="M53" s="466"/>
      <c r="N53" s="466"/>
      <c r="O53" s="466"/>
      <c r="P53" s="815"/>
    </row>
    <row r="54" spans="1:16">
      <c r="A54" s="987">
        <v>39</v>
      </c>
      <c r="B54" s="984" t="s">
        <v>1813</v>
      </c>
      <c r="C54" s="984"/>
      <c r="D54" s="467"/>
      <c r="E54" s="467"/>
      <c r="F54" s="467"/>
      <c r="G54" s="467"/>
      <c r="H54" s="467"/>
      <c r="I54" s="467"/>
      <c r="J54" s="467"/>
      <c r="K54" s="467"/>
      <c r="L54" s="467"/>
      <c r="M54" s="467"/>
      <c r="N54" s="467"/>
      <c r="O54" s="471"/>
      <c r="P54" s="815"/>
    </row>
    <row r="55" spans="1:16">
      <c r="A55" s="987">
        <v>40</v>
      </c>
      <c r="B55" s="573" t="s">
        <v>1814</v>
      </c>
      <c r="C55" s="573"/>
      <c r="D55" s="468"/>
      <c r="E55" s="468"/>
      <c r="F55" s="468"/>
      <c r="G55" s="468"/>
      <c r="H55" s="468"/>
      <c r="I55" s="468"/>
      <c r="J55" s="468"/>
      <c r="K55" s="468"/>
      <c r="L55" s="468"/>
      <c r="M55" s="468"/>
      <c r="N55" s="468"/>
      <c r="O55" s="416"/>
      <c r="P55" s="815"/>
    </row>
    <row r="56" spans="1:16">
      <c r="A56" s="987">
        <v>41</v>
      </c>
      <c r="B56" s="573" t="s">
        <v>1885</v>
      </c>
      <c r="C56" s="573"/>
      <c r="D56" s="413"/>
      <c r="E56" s="413"/>
      <c r="F56" s="413"/>
      <c r="G56" s="409"/>
      <c r="H56" s="413"/>
      <c r="I56" s="413"/>
      <c r="J56" s="413"/>
      <c r="K56" s="413"/>
      <c r="L56" s="413"/>
      <c r="M56" s="413"/>
      <c r="N56" s="413"/>
      <c r="O56" s="416"/>
      <c r="P56" s="815"/>
    </row>
    <row r="57" spans="1:16">
      <c r="A57" s="987">
        <v>42</v>
      </c>
      <c r="B57" s="573" t="s">
        <v>1811</v>
      </c>
      <c r="C57" s="573"/>
      <c r="D57" s="409"/>
      <c r="E57" s="409"/>
      <c r="F57" s="409"/>
      <c r="G57" s="409"/>
      <c r="H57" s="409"/>
      <c r="I57" s="409"/>
      <c r="J57" s="409"/>
      <c r="K57" s="409"/>
      <c r="L57" s="409"/>
      <c r="M57" s="409"/>
      <c r="N57" s="409"/>
      <c r="O57" s="409"/>
      <c r="P57" s="815"/>
    </row>
    <row r="58" spans="1:16">
      <c r="A58" s="987">
        <v>43</v>
      </c>
      <c r="B58" s="573" t="s">
        <v>1812</v>
      </c>
      <c r="C58" s="573"/>
      <c r="D58" s="409"/>
      <c r="E58" s="409"/>
      <c r="F58" s="409"/>
      <c r="G58" s="409"/>
      <c r="H58" s="409"/>
      <c r="I58" s="409"/>
      <c r="J58" s="409"/>
      <c r="K58" s="409"/>
      <c r="L58" s="409"/>
      <c r="M58" s="409"/>
      <c r="N58" s="409"/>
      <c r="O58" s="409"/>
      <c r="P58" s="815"/>
    </row>
    <row r="59" spans="1:16">
      <c r="A59" s="987">
        <v>44</v>
      </c>
      <c r="B59" s="573" t="s">
        <v>1813</v>
      </c>
      <c r="C59" s="573"/>
      <c r="D59" s="409"/>
      <c r="E59" s="409"/>
      <c r="F59" s="409"/>
      <c r="G59" s="409"/>
      <c r="H59" s="409"/>
      <c r="I59" s="409"/>
      <c r="J59" s="409"/>
      <c r="K59" s="409"/>
      <c r="L59" s="409"/>
      <c r="M59" s="409"/>
      <c r="N59" s="409"/>
      <c r="O59" s="409"/>
      <c r="P59" s="815"/>
    </row>
    <row r="60" spans="1:16">
      <c r="A60" s="987">
        <v>45</v>
      </c>
      <c r="B60" s="400" t="s">
        <v>304</v>
      </c>
      <c r="C60" s="400"/>
      <c r="D60" s="411"/>
      <c r="E60" s="411"/>
      <c r="F60" s="411"/>
      <c r="G60" s="411"/>
      <c r="H60" s="411"/>
      <c r="I60" s="411"/>
      <c r="J60" s="411"/>
      <c r="K60" s="411"/>
      <c r="L60" s="411"/>
      <c r="M60" s="411"/>
      <c r="N60" s="411"/>
      <c r="O60" s="416"/>
      <c r="P60" s="815"/>
    </row>
    <row r="61" spans="1:16">
      <c r="A61" s="987">
        <v>46</v>
      </c>
      <c r="B61" s="573" t="s">
        <v>1886</v>
      </c>
      <c r="C61" s="573"/>
      <c r="D61" s="412"/>
      <c r="E61" s="412"/>
      <c r="F61" s="412"/>
      <c r="G61" s="412"/>
      <c r="H61" s="412"/>
      <c r="I61" s="412"/>
      <c r="J61" s="412"/>
      <c r="K61" s="412"/>
      <c r="L61" s="412"/>
      <c r="M61" s="412"/>
      <c r="N61" s="412"/>
      <c r="O61" s="416"/>
      <c r="P61" s="815"/>
    </row>
    <row r="62" spans="1:16">
      <c r="A62" s="987">
        <v>47</v>
      </c>
      <c r="B62" s="573" t="s">
        <v>1073</v>
      </c>
      <c r="C62" s="573"/>
      <c r="D62" s="413"/>
      <c r="E62" s="413"/>
      <c r="F62" s="413"/>
      <c r="G62" s="413"/>
      <c r="H62" s="413"/>
      <c r="I62" s="413"/>
      <c r="J62" s="413"/>
      <c r="K62" s="413"/>
      <c r="L62" s="413"/>
      <c r="M62" s="413"/>
      <c r="N62" s="413"/>
      <c r="O62" s="473"/>
      <c r="P62" s="815"/>
    </row>
    <row r="63" spans="1:16">
      <c r="A63" s="987">
        <v>48</v>
      </c>
      <c r="D63" s="469"/>
      <c r="E63" s="469"/>
      <c r="F63" s="469"/>
      <c r="G63" s="469"/>
      <c r="H63" s="469"/>
      <c r="I63" s="469"/>
      <c r="J63" s="469"/>
      <c r="K63" s="469"/>
      <c r="L63" s="469"/>
      <c r="M63" s="469"/>
      <c r="N63" s="469"/>
      <c r="O63" s="469"/>
      <c r="P63" s="815"/>
    </row>
    <row r="64" spans="1:16">
      <c r="A64" s="987">
        <v>49</v>
      </c>
      <c r="B64" s="984" t="s">
        <v>1889</v>
      </c>
      <c r="C64" s="984"/>
      <c r="D64" s="450"/>
      <c r="E64" s="450"/>
      <c r="F64" s="450"/>
      <c r="G64" s="450"/>
      <c r="H64" s="450"/>
      <c r="I64" s="450"/>
      <c r="J64" s="450"/>
      <c r="K64" s="450"/>
      <c r="L64" s="450"/>
      <c r="M64" s="450"/>
      <c r="N64" s="450"/>
      <c r="O64" s="450"/>
      <c r="P64" s="815"/>
    </row>
    <row r="65" spans="1:18">
      <c r="A65" s="987">
        <v>50</v>
      </c>
      <c r="B65" s="1001" t="s">
        <v>1890</v>
      </c>
      <c r="C65" s="1001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815"/>
    </row>
    <row r="66" spans="1:18">
      <c r="A66" s="987">
        <v>51</v>
      </c>
      <c r="B66" s="573" t="s">
        <v>1809</v>
      </c>
      <c r="C66" s="573"/>
      <c r="D66" s="450"/>
      <c r="E66" s="450"/>
      <c r="F66" s="450"/>
      <c r="G66" s="450"/>
      <c r="H66" s="450"/>
      <c r="I66" s="450"/>
      <c r="J66" s="450"/>
      <c r="K66" s="450"/>
      <c r="L66" s="450"/>
      <c r="M66" s="450"/>
      <c r="N66" s="450"/>
      <c r="O66" s="450"/>
      <c r="P66" s="815"/>
    </row>
    <row r="67" spans="1:18">
      <c r="A67" s="987">
        <v>52</v>
      </c>
      <c r="B67" s="573" t="s">
        <v>1810</v>
      </c>
      <c r="C67" s="573"/>
      <c r="D67" s="474"/>
      <c r="E67" s="474"/>
      <c r="F67" s="474"/>
      <c r="G67" s="474"/>
      <c r="H67" s="474"/>
      <c r="I67" s="474"/>
      <c r="J67" s="474"/>
      <c r="K67" s="474"/>
      <c r="L67" s="474"/>
      <c r="M67" s="474"/>
      <c r="N67" s="474"/>
      <c r="O67" s="474"/>
      <c r="P67" s="815"/>
    </row>
    <row r="68" spans="1:18">
      <c r="A68" s="987">
        <v>53</v>
      </c>
      <c r="B68" s="573" t="s">
        <v>1811</v>
      </c>
      <c r="C68" s="573"/>
      <c r="D68" s="474"/>
      <c r="E68" s="474"/>
      <c r="F68" s="474"/>
      <c r="G68" s="474"/>
      <c r="H68" s="474"/>
      <c r="I68" s="474"/>
      <c r="J68" s="474"/>
      <c r="K68" s="474"/>
      <c r="L68" s="474"/>
      <c r="M68" s="474"/>
      <c r="N68" s="474"/>
      <c r="O68" s="474"/>
      <c r="P68" s="815"/>
    </row>
    <row r="69" spans="1:18">
      <c r="A69" s="987">
        <v>54</v>
      </c>
      <c r="B69" s="573" t="s">
        <v>1812</v>
      </c>
      <c r="C69" s="573"/>
      <c r="D69" s="474"/>
      <c r="E69" s="474"/>
      <c r="F69" s="474"/>
      <c r="G69" s="474"/>
      <c r="H69" s="474"/>
      <c r="I69" s="474"/>
      <c r="J69" s="474"/>
      <c r="K69" s="474"/>
      <c r="L69" s="474"/>
      <c r="M69" s="474"/>
      <c r="N69" s="474"/>
      <c r="O69" s="474"/>
      <c r="P69" s="815"/>
    </row>
    <row r="70" spans="1:18">
      <c r="A70" s="987">
        <v>55</v>
      </c>
      <c r="B70" s="573" t="s">
        <v>1885</v>
      </c>
      <c r="C70" s="573"/>
      <c r="D70" s="474"/>
      <c r="E70" s="474"/>
      <c r="F70" s="474"/>
      <c r="G70" s="474"/>
      <c r="H70" s="474"/>
      <c r="I70" s="474"/>
      <c r="J70" s="474"/>
      <c r="K70" s="474"/>
      <c r="L70" s="474"/>
      <c r="M70" s="474"/>
      <c r="N70" s="474"/>
      <c r="O70" s="474"/>
      <c r="P70" s="815"/>
    </row>
    <row r="71" spans="1:18">
      <c r="A71" s="1002">
        <v>56</v>
      </c>
      <c r="B71" s="573" t="s">
        <v>1811</v>
      </c>
      <c r="C71" s="573"/>
      <c r="D71" s="410"/>
      <c r="E71" s="410"/>
      <c r="F71" s="410"/>
      <c r="G71" s="410"/>
      <c r="H71" s="410"/>
      <c r="I71" s="410"/>
      <c r="J71" s="410"/>
      <c r="K71" s="410"/>
      <c r="L71" s="410"/>
      <c r="M71" s="410"/>
      <c r="N71" s="410"/>
      <c r="O71" s="410"/>
      <c r="P71" s="1003"/>
      <c r="Q71" s="568"/>
      <c r="R71" s="568"/>
    </row>
    <row r="72" spans="1:18">
      <c r="A72" s="1002">
        <v>57</v>
      </c>
      <c r="B72" s="573" t="s">
        <v>1812</v>
      </c>
      <c r="C72" s="573"/>
      <c r="D72" s="410"/>
      <c r="E72" s="410"/>
      <c r="F72" s="410"/>
      <c r="G72" s="410"/>
      <c r="H72" s="410"/>
      <c r="I72" s="410"/>
      <c r="J72" s="410"/>
      <c r="K72" s="410"/>
      <c r="L72" s="410"/>
      <c r="M72" s="410"/>
      <c r="N72" s="410"/>
      <c r="O72" s="410"/>
      <c r="P72" s="1003"/>
      <c r="Q72" s="568"/>
      <c r="R72" s="568"/>
    </row>
    <row r="73" spans="1:18">
      <c r="A73" s="1002">
        <v>58</v>
      </c>
      <c r="B73" s="400" t="s">
        <v>304</v>
      </c>
      <c r="C73" s="400"/>
      <c r="D73" s="410"/>
      <c r="E73" s="410"/>
      <c r="F73" s="410"/>
      <c r="G73" s="410"/>
      <c r="H73" s="410"/>
      <c r="I73" s="410"/>
      <c r="J73" s="410"/>
      <c r="K73" s="410"/>
      <c r="L73" s="410"/>
      <c r="M73" s="410"/>
      <c r="N73" s="410"/>
      <c r="O73" s="410"/>
      <c r="P73" s="1003"/>
      <c r="Q73" s="568"/>
      <c r="R73" s="568"/>
    </row>
    <row r="74" spans="1:18">
      <c r="A74" s="568"/>
      <c r="B74" s="568"/>
      <c r="C74" s="568"/>
      <c r="D74" s="568"/>
      <c r="E74" s="568"/>
      <c r="F74" s="568"/>
      <c r="G74" s="1004"/>
      <c r="H74" s="568"/>
      <c r="I74" s="568"/>
      <c r="J74" s="568"/>
      <c r="K74" s="568"/>
      <c r="L74" s="568"/>
      <c r="M74" s="568"/>
      <c r="N74" s="568"/>
      <c r="O74" s="568"/>
      <c r="P74" s="1003"/>
      <c r="Q74" s="568"/>
      <c r="R74" s="568"/>
    </row>
    <row r="75" spans="1:18">
      <c r="A75" s="1005" t="s">
        <v>798</v>
      </c>
      <c r="B75" s="568"/>
      <c r="C75" s="568"/>
      <c r="D75" s="568"/>
      <c r="E75" s="568"/>
      <c r="F75" s="568"/>
      <c r="G75" s="568"/>
      <c r="H75" s="568"/>
      <c r="I75" s="568"/>
      <c r="J75" s="568"/>
      <c r="K75" s="568"/>
      <c r="L75" s="568"/>
      <c r="M75" s="568"/>
      <c r="N75" s="568"/>
      <c r="P75" s="1003"/>
      <c r="Q75" s="568"/>
      <c r="R75" s="568"/>
    </row>
    <row r="76" spans="1:18">
      <c r="A76" s="1006"/>
      <c r="B76" s="1007"/>
      <c r="C76" s="1007"/>
      <c r="D76" s="568"/>
      <c r="E76" s="568"/>
      <c r="F76" s="568"/>
      <c r="G76" s="568"/>
      <c r="H76" s="568"/>
      <c r="I76" s="568"/>
      <c r="J76" s="568"/>
      <c r="K76" s="568"/>
      <c r="L76" s="568"/>
      <c r="M76" s="568"/>
      <c r="N76" s="568"/>
      <c r="P76" s="1003"/>
      <c r="Q76" s="568"/>
      <c r="R76" s="568"/>
    </row>
    <row r="77" spans="1:18">
      <c r="A77" s="1008"/>
      <c r="B77" s="1004"/>
      <c r="C77" s="1004"/>
      <c r="D77" s="1009"/>
      <c r="E77" s="1010"/>
      <c r="F77" s="1010"/>
      <c r="G77" s="1010"/>
      <c r="H77" s="1010"/>
      <c r="I77" s="1010"/>
      <c r="J77" s="568"/>
      <c r="K77" s="1010"/>
      <c r="L77" s="568"/>
      <c r="M77" s="1010"/>
      <c r="N77" s="1010"/>
      <c r="P77" s="1003"/>
      <c r="Q77" s="568"/>
      <c r="R77" s="568"/>
    </row>
    <row r="78" spans="1:18">
      <c r="A78" s="1008"/>
      <c r="B78" s="1004"/>
      <c r="C78" s="1004"/>
      <c r="D78" s="1011"/>
      <c r="E78" s="1011"/>
      <c r="F78" s="1011"/>
      <c r="G78" s="1011"/>
      <c r="H78" s="1011"/>
      <c r="I78" s="1011"/>
      <c r="J78" s="1012"/>
      <c r="K78" s="1011"/>
      <c r="L78" s="1012"/>
      <c r="M78" s="1011"/>
      <c r="N78" s="1011"/>
      <c r="P78" s="1003"/>
      <c r="Q78" s="568"/>
      <c r="R78" s="568"/>
    </row>
    <row r="79" spans="1:18">
      <c r="A79" s="1008"/>
      <c r="B79" s="1007"/>
      <c r="C79" s="1007"/>
      <c r="D79" s="534"/>
      <c r="E79" s="534"/>
      <c r="F79" s="534"/>
      <c r="G79" s="534"/>
      <c r="H79" s="534"/>
      <c r="I79" s="534"/>
      <c r="J79" s="535"/>
      <c r="K79" s="534"/>
      <c r="L79" s="535"/>
      <c r="M79" s="534"/>
      <c r="N79" s="534"/>
      <c r="P79" s="568"/>
      <c r="Q79" s="568"/>
      <c r="R79" s="568"/>
    </row>
    <row r="80" spans="1:18">
      <c r="A80" s="1008"/>
      <c r="B80" s="1004"/>
      <c r="C80" s="1004"/>
      <c r="D80" s="1013"/>
      <c r="E80" s="1013"/>
      <c r="F80" s="1013"/>
      <c r="G80" s="1013"/>
      <c r="H80" s="1013"/>
      <c r="I80" s="1013"/>
      <c r="J80" s="1013"/>
      <c r="K80" s="1013"/>
      <c r="L80" s="1013"/>
      <c r="M80" s="1013"/>
      <c r="N80" s="1013"/>
      <c r="P80" s="568"/>
      <c r="Q80" s="568"/>
      <c r="R80" s="568"/>
    </row>
    <row r="81" spans="1:18">
      <c r="A81" s="1008"/>
      <c r="B81" s="1004"/>
      <c r="C81" s="1004"/>
      <c r="D81" s="1013"/>
      <c r="E81" s="1013"/>
      <c r="F81" s="1013"/>
      <c r="G81" s="1013"/>
      <c r="H81" s="1013"/>
      <c r="I81" s="1013"/>
      <c r="J81" s="1013"/>
      <c r="K81" s="1013"/>
      <c r="L81" s="1013"/>
      <c r="M81" s="1013"/>
      <c r="N81" s="1013"/>
      <c r="P81" s="568"/>
      <c r="Q81" s="568"/>
      <c r="R81" s="568"/>
    </row>
    <row r="82" spans="1:18">
      <c r="A82" s="1008"/>
      <c r="B82" s="1004"/>
      <c r="C82" s="1004"/>
      <c r="D82" s="1013"/>
      <c r="E82" s="1013"/>
      <c r="F82" s="1013"/>
      <c r="G82" s="1013"/>
      <c r="H82" s="1013"/>
      <c r="I82" s="1013"/>
      <c r="J82" s="1013"/>
      <c r="K82" s="1013"/>
      <c r="L82" s="1013"/>
      <c r="M82" s="1013"/>
      <c r="N82" s="1013"/>
      <c r="P82" s="568"/>
      <c r="Q82" s="568"/>
      <c r="R82" s="568"/>
    </row>
    <row r="83" spans="1:18">
      <c r="A83" s="1008"/>
      <c r="B83" s="1004"/>
      <c r="C83" s="1004"/>
      <c r="D83" s="1014"/>
      <c r="E83" s="1014"/>
      <c r="F83" s="1014"/>
      <c r="G83" s="1014"/>
      <c r="H83" s="1014"/>
      <c r="I83" s="1014"/>
      <c r="J83" s="1014"/>
      <c r="K83" s="1014"/>
      <c r="L83" s="1014"/>
      <c r="M83" s="1014"/>
      <c r="N83" s="1014"/>
      <c r="P83" s="568"/>
      <c r="Q83" s="568"/>
      <c r="R83" s="568"/>
    </row>
    <row r="84" spans="1:18">
      <c r="A84" s="1008"/>
      <c r="B84" s="1004"/>
      <c r="C84" s="1004"/>
      <c r="D84" s="1015"/>
      <c r="E84" s="1015"/>
      <c r="F84" s="1015"/>
      <c r="G84" s="1015"/>
      <c r="H84" s="1015"/>
      <c r="I84" s="1015"/>
      <c r="J84" s="1015"/>
      <c r="K84" s="1015"/>
      <c r="L84" s="1015"/>
      <c r="M84" s="1015"/>
      <c r="N84" s="1015"/>
      <c r="P84" s="568"/>
      <c r="Q84" s="568"/>
      <c r="R84" s="568"/>
    </row>
    <row r="85" spans="1:18">
      <c r="A85" s="1008"/>
      <c r="B85" s="568"/>
      <c r="C85" s="568"/>
      <c r="D85" s="1016"/>
      <c r="E85" s="1016"/>
      <c r="F85" s="1016"/>
      <c r="G85" s="1016"/>
      <c r="H85" s="1016"/>
      <c r="I85" s="1016"/>
      <c r="J85" s="1016"/>
      <c r="K85" s="1016"/>
      <c r="L85" s="1016"/>
      <c r="M85" s="1016"/>
      <c r="N85" s="1016"/>
      <c r="P85" s="568"/>
      <c r="Q85" s="568"/>
      <c r="R85" s="568"/>
    </row>
    <row r="86" spans="1:18">
      <c r="A86" s="1008"/>
      <c r="B86" s="1004"/>
      <c r="C86" s="1004"/>
      <c r="D86" s="568"/>
      <c r="E86" s="568"/>
      <c r="F86" s="568"/>
      <c r="G86" s="568"/>
      <c r="H86" s="568"/>
      <c r="I86" s="568"/>
      <c r="J86" s="568"/>
      <c r="K86" s="568"/>
      <c r="L86" s="568"/>
      <c r="M86" s="568"/>
      <c r="N86" s="568"/>
      <c r="P86" s="568"/>
      <c r="Q86" s="568"/>
      <c r="R86" s="568"/>
    </row>
    <row r="87" spans="1:18">
      <c r="A87" s="1008"/>
      <c r="B87" s="1007"/>
      <c r="C87" s="1007"/>
      <c r="D87" s="568"/>
      <c r="E87" s="568"/>
      <c r="F87" s="568"/>
      <c r="G87" s="568"/>
      <c r="H87" s="568"/>
      <c r="I87" s="568"/>
      <c r="J87" s="568"/>
      <c r="K87" s="568"/>
      <c r="L87" s="568"/>
      <c r="M87" s="568"/>
      <c r="N87" s="568"/>
      <c r="P87" s="568"/>
      <c r="Q87" s="568"/>
      <c r="R87" s="568"/>
    </row>
    <row r="88" spans="1:18">
      <c r="A88" s="1008"/>
      <c r="B88" s="1004"/>
      <c r="C88" s="1004"/>
      <c r="D88" s="1013"/>
      <c r="E88" s="1013"/>
      <c r="F88" s="1013"/>
      <c r="G88" s="1013"/>
      <c r="H88" s="1013"/>
      <c r="I88" s="1013"/>
      <c r="J88" s="1013"/>
      <c r="K88" s="1013"/>
      <c r="L88" s="1013"/>
      <c r="M88" s="1013"/>
      <c r="N88" s="1013"/>
      <c r="P88" s="568"/>
      <c r="Q88" s="568"/>
      <c r="R88" s="568"/>
    </row>
    <row r="89" spans="1:18">
      <c r="A89" s="1008"/>
      <c r="B89" s="1004"/>
      <c r="C89" s="1004"/>
      <c r="D89" s="1013"/>
      <c r="E89" s="1013"/>
      <c r="F89" s="1013"/>
      <c r="G89" s="1013"/>
      <c r="H89" s="1013"/>
      <c r="I89" s="1013"/>
      <c r="J89" s="1013"/>
      <c r="K89" s="1013"/>
      <c r="L89" s="1013"/>
      <c r="M89" s="1013"/>
      <c r="N89" s="1013"/>
      <c r="P89" s="568"/>
      <c r="Q89" s="568"/>
      <c r="R89" s="568"/>
    </row>
    <row r="90" spans="1:18">
      <c r="A90" s="1008"/>
      <c r="B90" s="1004"/>
      <c r="C90" s="1004"/>
      <c r="D90" s="1013"/>
      <c r="E90" s="1013"/>
      <c r="F90" s="1013"/>
      <c r="G90" s="1013"/>
      <c r="H90" s="1013"/>
      <c r="I90" s="1013"/>
      <c r="J90" s="1013"/>
      <c r="K90" s="1013"/>
      <c r="L90" s="1013"/>
      <c r="M90" s="1013"/>
      <c r="N90" s="1013"/>
      <c r="P90" s="568"/>
      <c r="Q90" s="568"/>
      <c r="R90" s="568"/>
    </row>
    <row r="91" spans="1:18">
      <c r="A91" s="1008"/>
      <c r="B91" s="1004"/>
      <c r="C91" s="1004"/>
      <c r="D91" s="1014"/>
      <c r="E91" s="1014"/>
      <c r="F91" s="1014"/>
      <c r="G91" s="1014"/>
      <c r="H91" s="1014"/>
      <c r="I91" s="1014"/>
      <c r="J91" s="1014"/>
      <c r="K91" s="1014"/>
      <c r="L91" s="1014"/>
      <c r="M91" s="1014"/>
      <c r="N91" s="1014"/>
      <c r="P91" s="568"/>
      <c r="Q91" s="568"/>
      <c r="R91" s="568"/>
    </row>
    <row r="92" spans="1:18">
      <c r="A92" s="1008"/>
      <c r="B92" s="1004"/>
      <c r="C92" s="1004"/>
      <c r="D92" s="1015"/>
      <c r="E92" s="1015"/>
      <c r="F92" s="1015"/>
      <c r="G92" s="1015"/>
      <c r="H92" s="1015"/>
      <c r="I92" s="1015"/>
      <c r="J92" s="1015"/>
      <c r="K92" s="1015"/>
      <c r="L92" s="1015"/>
      <c r="M92" s="1015"/>
      <c r="N92" s="1015"/>
      <c r="P92" s="568"/>
      <c r="Q92" s="568"/>
      <c r="R92" s="568"/>
    </row>
    <row r="93" spans="1:18">
      <c r="A93" s="1008"/>
      <c r="B93" s="568"/>
      <c r="C93" s="568"/>
      <c r="D93" s="1016"/>
      <c r="E93" s="1016"/>
      <c r="F93" s="1016"/>
      <c r="G93" s="1016"/>
      <c r="H93" s="1016"/>
      <c r="I93" s="1016"/>
      <c r="J93" s="1016"/>
      <c r="K93" s="1016"/>
      <c r="L93" s="1016"/>
      <c r="M93" s="1016"/>
      <c r="N93" s="1016"/>
      <c r="P93" s="568"/>
      <c r="Q93" s="568"/>
      <c r="R93" s="568"/>
    </row>
    <row r="94" spans="1:18">
      <c r="A94" s="1008"/>
      <c r="B94" s="1004"/>
      <c r="C94" s="1004"/>
      <c r="D94" s="568"/>
      <c r="E94" s="568"/>
      <c r="F94" s="568"/>
      <c r="G94" s="568"/>
      <c r="H94" s="568"/>
      <c r="I94" s="568"/>
      <c r="J94" s="568"/>
      <c r="K94" s="568"/>
      <c r="L94" s="568"/>
      <c r="M94" s="568"/>
      <c r="N94" s="568"/>
      <c r="P94" s="568"/>
      <c r="Q94" s="568"/>
      <c r="R94" s="568"/>
    </row>
    <row r="95" spans="1:18">
      <c r="A95" s="1008"/>
      <c r="B95" s="1007"/>
      <c r="C95" s="1007"/>
      <c r="D95" s="568"/>
      <c r="E95" s="568"/>
      <c r="F95" s="568"/>
      <c r="G95" s="568"/>
      <c r="H95" s="568"/>
      <c r="I95" s="568"/>
      <c r="J95" s="568"/>
      <c r="K95" s="568"/>
      <c r="L95" s="568"/>
      <c r="M95" s="568"/>
      <c r="N95" s="568"/>
      <c r="P95" s="568"/>
      <c r="Q95" s="568"/>
      <c r="R95" s="568"/>
    </row>
    <row r="96" spans="1:18">
      <c r="A96" s="1008"/>
      <c r="B96" s="1004"/>
      <c r="C96" s="1004"/>
      <c r="D96" s="1013"/>
      <c r="E96" s="1013"/>
      <c r="F96" s="1013"/>
      <c r="G96" s="1013"/>
      <c r="H96" s="1013"/>
      <c r="I96" s="1013"/>
      <c r="J96" s="1013"/>
      <c r="K96" s="1013"/>
      <c r="L96" s="1013"/>
      <c r="M96" s="1013"/>
      <c r="N96" s="1013"/>
      <c r="P96" s="568"/>
      <c r="Q96" s="568"/>
      <c r="R96" s="568"/>
    </row>
    <row r="97" spans="1:18">
      <c r="A97" s="1008"/>
      <c r="B97" s="1004"/>
      <c r="C97" s="1004"/>
      <c r="D97" s="1013"/>
      <c r="E97" s="1013"/>
      <c r="F97" s="1013"/>
      <c r="G97" s="1013"/>
      <c r="H97" s="1013"/>
      <c r="I97" s="1013"/>
      <c r="J97" s="1013"/>
      <c r="K97" s="1013"/>
      <c r="L97" s="1013"/>
      <c r="M97" s="1013"/>
      <c r="N97" s="1013"/>
      <c r="P97" s="568"/>
      <c r="Q97" s="568"/>
      <c r="R97" s="568"/>
    </row>
    <row r="98" spans="1:18">
      <c r="A98" s="1008"/>
      <c r="B98" s="1004"/>
      <c r="C98" s="1004"/>
      <c r="D98" s="1013"/>
      <c r="E98" s="1013"/>
      <c r="F98" s="1013"/>
      <c r="G98" s="1013"/>
      <c r="H98" s="1013"/>
      <c r="I98" s="1013"/>
      <c r="J98" s="1013"/>
      <c r="K98" s="1013"/>
      <c r="L98" s="1013"/>
      <c r="M98" s="1013"/>
      <c r="N98" s="1013"/>
      <c r="P98" s="568"/>
      <c r="Q98" s="568"/>
      <c r="R98" s="568"/>
    </row>
    <row r="99" spans="1:18">
      <c r="A99" s="1008"/>
      <c r="B99" s="1004"/>
      <c r="C99" s="1004"/>
      <c r="D99" s="1014"/>
      <c r="E99" s="1014"/>
      <c r="F99" s="1014"/>
      <c r="G99" s="1014"/>
      <c r="H99" s="1014"/>
      <c r="I99" s="1014"/>
      <c r="J99" s="1014"/>
      <c r="K99" s="1014"/>
      <c r="L99" s="1014"/>
      <c r="M99" s="1014"/>
      <c r="N99" s="1014"/>
      <c r="P99" s="568"/>
      <c r="Q99" s="568"/>
      <c r="R99" s="568"/>
    </row>
    <row r="100" spans="1:18">
      <c r="A100" s="1008"/>
      <c r="B100" s="1004"/>
      <c r="C100" s="1004"/>
      <c r="D100" s="1015"/>
      <c r="E100" s="1015"/>
      <c r="F100" s="1015"/>
      <c r="G100" s="1015"/>
      <c r="H100" s="1015"/>
      <c r="I100" s="1015"/>
      <c r="J100" s="1015"/>
      <c r="K100" s="1015"/>
      <c r="L100" s="1015"/>
      <c r="M100" s="1015"/>
      <c r="N100" s="1015"/>
      <c r="O100" s="1015"/>
      <c r="P100" s="568"/>
      <c r="Q100" s="568"/>
      <c r="R100" s="568"/>
    </row>
    <row r="101" spans="1:18">
      <c r="A101" s="1008"/>
      <c r="B101" s="568"/>
      <c r="C101" s="568"/>
      <c r="D101" s="1016"/>
      <c r="E101" s="1016"/>
      <c r="F101" s="1016"/>
      <c r="G101" s="1016"/>
      <c r="H101" s="1016"/>
      <c r="I101" s="1016"/>
      <c r="J101" s="1016"/>
      <c r="K101" s="1016"/>
      <c r="L101" s="1016"/>
      <c r="M101" s="1016"/>
      <c r="N101" s="1016"/>
      <c r="O101" s="1016"/>
      <c r="P101" s="568"/>
      <c r="Q101" s="568"/>
      <c r="R101" s="568"/>
    </row>
    <row r="102" spans="1:18">
      <c r="A102" s="1008"/>
      <c r="B102" s="1004"/>
      <c r="C102" s="1004"/>
      <c r="D102" s="568"/>
      <c r="E102" s="568"/>
      <c r="F102" s="568"/>
      <c r="G102" s="568"/>
      <c r="H102" s="568"/>
      <c r="I102" s="568"/>
      <c r="J102" s="568"/>
      <c r="K102" s="568"/>
      <c r="L102" s="568"/>
      <c r="M102" s="568"/>
      <c r="N102" s="568"/>
      <c r="O102" s="568"/>
      <c r="P102" s="568"/>
      <c r="Q102" s="568"/>
      <c r="R102" s="568"/>
    </row>
    <row r="103" spans="1:18">
      <c r="A103" s="1008"/>
      <c r="B103" s="1007"/>
      <c r="C103" s="1007"/>
      <c r="D103" s="568"/>
      <c r="E103" s="568"/>
      <c r="F103" s="568"/>
      <c r="G103" s="568"/>
      <c r="H103" s="568"/>
      <c r="I103" s="568"/>
      <c r="J103" s="568"/>
      <c r="K103" s="568"/>
      <c r="L103" s="568"/>
      <c r="M103" s="568"/>
      <c r="N103" s="568"/>
      <c r="O103" s="568"/>
      <c r="P103" s="568"/>
      <c r="Q103" s="568"/>
      <c r="R103" s="568"/>
    </row>
    <row r="104" spans="1:18">
      <c r="A104" s="1008"/>
      <c r="B104" s="1004"/>
      <c r="C104" s="1004"/>
      <c r="D104" s="1013"/>
      <c r="E104" s="1013"/>
      <c r="F104" s="1013"/>
      <c r="G104" s="1013"/>
      <c r="H104" s="1013"/>
      <c r="I104" s="1013"/>
      <c r="J104" s="1013"/>
      <c r="K104" s="1013"/>
      <c r="L104" s="1013"/>
      <c r="M104" s="1013"/>
      <c r="N104" s="1013"/>
      <c r="O104" s="1013"/>
      <c r="P104" s="568"/>
      <c r="Q104" s="568"/>
      <c r="R104" s="568"/>
    </row>
    <row r="105" spans="1:18">
      <c r="A105" s="1008"/>
      <c r="B105" s="1004"/>
      <c r="C105" s="1004"/>
      <c r="D105" s="1013"/>
      <c r="E105" s="1013"/>
      <c r="F105" s="1013"/>
      <c r="G105" s="1013"/>
      <c r="H105" s="1013"/>
      <c r="I105" s="1013"/>
      <c r="J105" s="1013"/>
      <c r="K105" s="1013"/>
      <c r="L105" s="1013"/>
      <c r="M105" s="1013"/>
      <c r="N105" s="1013"/>
      <c r="O105" s="1013"/>
      <c r="P105" s="568"/>
      <c r="Q105" s="568"/>
      <c r="R105" s="568"/>
    </row>
    <row r="106" spans="1:18">
      <c r="A106" s="1008"/>
      <c r="B106" s="1004"/>
      <c r="C106" s="1004"/>
      <c r="D106" s="1013"/>
      <c r="E106" s="1013"/>
      <c r="F106" s="1013"/>
      <c r="G106" s="1013"/>
      <c r="H106" s="1013"/>
      <c r="I106" s="1013"/>
      <c r="J106" s="1013"/>
      <c r="K106" s="1013"/>
      <c r="L106" s="1013"/>
      <c r="M106" s="1013"/>
      <c r="N106" s="1013"/>
      <c r="O106" s="1013"/>
      <c r="P106" s="568"/>
      <c r="Q106" s="568"/>
      <c r="R106" s="568"/>
    </row>
    <row r="107" spans="1:18">
      <c r="A107" s="1008"/>
      <c r="B107" s="1011"/>
      <c r="C107" s="1011"/>
      <c r="D107" s="1008"/>
      <c r="E107" s="1008"/>
      <c r="F107" s="1008"/>
      <c r="G107" s="1008"/>
      <c r="H107" s="1008"/>
      <c r="I107" s="1008"/>
      <c r="J107" s="1008"/>
      <c r="K107" s="1008"/>
      <c r="L107" s="1008"/>
      <c r="M107" s="1008"/>
      <c r="N107" s="1008"/>
      <c r="O107" s="1008"/>
      <c r="P107" s="568"/>
      <c r="Q107" s="568"/>
      <c r="R107" s="568"/>
    </row>
    <row r="108" spans="1:18">
      <c r="A108" s="568"/>
      <c r="B108" s="568"/>
      <c r="C108" s="568"/>
      <c r="D108" s="568"/>
      <c r="E108" s="568"/>
      <c r="F108" s="568"/>
      <c r="G108" s="568"/>
      <c r="H108" s="568"/>
      <c r="I108" s="568"/>
      <c r="J108" s="568"/>
      <c r="K108" s="568"/>
      <c r="L108" s="568"/>
      <c r="M108" s="568"/>
      <c r="N108" s="568"/>
      <c r="O108" s="568"/>
      <c r="P108" s="1003"/>
      <c r="Q108" s="568"/>
      <c r="R108" s="568"/>
    </row>
    <row r="109" spans="1:18">
      <c r="A109" s="568"/>
      <c r="B109" s="568"/>
      <c r="C109" s="568"/>
      <c r="D109" s="568"/>
      <c r="E109" s="568"/>
      <c r="F109" s="568"/>
      <c r="G109" s="568"/>
      <c r="H109" s="568"/>
      <c r="I109" s="568"/>
      <c r="J109" s="568"/>
      <c r="K109" s="568"/>
      <c r="L109" s="568"/>
      <c r="M109" s="568"/>
      <c r="N109" s="568"/>
      <c r="O109" s="568"/>
      <c r="P109" s="1003"/>
      <c r="Q109" s="568"/>
      <c r="R109" s="568"/>
    </row>
    <row r="110" spans="1:18">
      <c r="A110" s="1008"/>
      <c r="B110" s="1004"/>
      <c r="C110" s="1004"/>
      <c r="D110" s="568"/>
      <c r="E110" s="568"/>
      <c r="F110" s="568"/>
      <c r="G110" s="568"/>
      <c r="H110" s="568"/>
      <c r="I110" s="568"/>
      <c r="J110" s="568"/>
      <c r="K110" s="568"/>
      <c r="L110" s="568"/>
      <c r="M110" s="568"/>
      <c r="N110" s="568"/>
      <c r="O110" s="568"/>
      <c r="P110" s="1003"/>
      <c r="Q110" s="568"/>
      <c r="R110" s="568"/>
    </row>
    <row r="111" spans="1:18">
      <c r="A111" s="568"/>
      <c r="B111" s="1004"/>
      <c r="C111" s="1004"/>
      <c r="D111" s="568"/>
      <c r="E111" s="568"/>
      <c r="F111" s="568"/>
      <c r="G111" s="568"/>
      <c r="H111" s="568"/>
      <c r="I111" s="568"/>
      <c r="J111" s="568"/>
      <c r="K111" s="568"/>
      <c r="L111" s="568"/>
      <c r="M111" s="568"/>
      <c r="N111" s="568"/>
      <c r="O111" s="568"/>
      <c r="P111" s="1003"/>
      <c r="Q111" s="568"/>
      <c r="R111" s="568"/>
    </row>
    <row r="112" spans="1:18">
      <c r="A112" s="568"/>
      <c r="B112" s="1004"/>
      <c r="C112" s="1004"/>
      <c r="D112" s="568"/>
      <c r="E112" s="568"/>
      <c r="F112" s="568"/>
      <c r="G112" s="568"/>
      <c r="H112" s="568"/>
      <c r="I112" s="568"/>
      <c r="J112" s="568"/>
      <c r="K112" s="568"/>
      <c r="L112" s="568"/>
      <c r="M112" s="568"/>
      <c r="N112" s="568"/>
      <c r="O112" s="568"/>
      <c r="P112" s="1003"/>
      <c r="Q112" s="568"/>
      <c r="R112" s="568"/>
    </row>
    <row r="113" spans="1:18">
      <c r="A113" s="568"/>
      <c r="B113" s="1004"/>
      <c r="C113" s="1004"/>
      <c r="D113" s="568"/>
      <c r="E113" s="568"/>
      <c r="F113" s="568"/>
      <c r="G113" s="568"/>
      <c r="H113" s="568"/>
      <c r="I113" s="568"/>
      <c r="J113" s="568"/>
      <c r="K113" s="568"/>
      <c r="L113" s="568"/>
      <c r="M113" s="568"/>
      <c r="N113" s="568"/>
      <c r="O113" s="568"/>
      <c r="P113" s="1003"/>
      <c r="Q113" s="568"/>
      <c r="R113" s="568"/>
    </row>
    <row r="114" spans="1:18">
      <c r="A114" s="568"/>
      <c r="B114" s="568"/>
      <c r="C114" s="568"/>
      <c r="D114" s="568"/>
      <c r="E114" s="568"/>
      <c r="F114" s="568"/>
      <c r="G114" s="568"/>
      <c r="H114" s="568"/>
      <c r="I114" s="568"/>
      <c r="J114" s="568"/>
      <c r="K114" s="568"/>
      <c r="L114" s="568"/>
      <c r="M114" s="568"/>
      <c r="N114" s="568"/>
      <c r="O114" s="568"/>
      <c r="P114" s="1003"/>
      <c r="Q114" s="568"/>
      <c r="R114" s="568"/>
    </row>
    <row r="115" spans="1:18">
      <c r="A115" s="568"/>
      <c r="B115" s="568"/>
      <c r="C115" s="568"/>
      <c r="D115" s="568"/>
      <c r="E115" s="568"/>
      <c r="F115" s="568"/>
      <c r="G115" s="568"/>
      <c r="H115" s="568"/>
      <c r="I115" s="568"/>
      <c r="J115" s="568"/>
      <c r="K115" s="568"/>
      <c r="L115" s="568"/>
      <c r="M115" s="568"/>
      <c r="N115" s="568"/>
      <c r="O115" s="568"/>
      <c r="P115" s="1003"/>
      <c r="Q115" s="568"/>
      <c r="R115" s="568"/>
    </row>
    <row r="116" spans="1:18">
      <c r="A116" s="568"/>
      <c r="B116" s="568"/>
      <c r="C116" s="568"/>
      <c r="D116" s="568"/>
      <c r="E116" s="568"/>
      <c r="F116" s="568"/>
      <c r="G116" s="568"/>
      <c r="H116" s="568"/>
      <c r="I116" s="568"/>
      <c r="J116" s="568"/>
      <c r="K116" s="568"/>
      <c r="L116" s="568"/>
      <c r="M116" s="568"/>
      <c r="N116" s="568"/>
      <c r="O116" s="568"/>
      <c r="P116" s="1003"/>
      <c r="Q116" s="568"/>
      <c r="R116" s="568"/>
    </row>
    <row r="117" spans="1:18">
      <c r="A117" s="1008"/>
      <c r="B117" s="1004"/>
      <c r="C117" s="1004"/>
      <c r="D117" s="568"/>
      <c r="E117" s="568"/>
      <c r="F117" s="568"/>
      <c r="G117" s="568"/>
      <c r="H117" s="568"/>
      <c r="I117" s="568"/>
      <c r="J117" s="568"/>
      <c r="K117" s="568"/>
      <c r="L117" s="568"/>
      <c r="M117" s="568"/>
      <c r="N117" s="568"/>
      <c r="O117" s="568"/>
      <c r="P117" s="1003"/>
      <c r="Q117" s="568"/>
      <c r="R117" s="568"/>
    </row>
    <row r="118" spans="1:18">
      <c r="A118" s="568"/>
      <c r="B118" s="568"/>
      <c r="C118" s="568"/>
      <c r="D118" s="568"/>
      <c r="E118" s="568"/>
      <c r="F118" s="568"/>
      <c r="G118" s="568"/>
      <c r="H118" s="568"/>
      <c r="I118" s="568"/>
      <c r="J118" s="568"/>
      <c r="K118" s="568"/>
      <c r="L118" s="568"/>
      <c r="M118" s="568"/>
      <c r="N118" s="568"/>
      <c r="O118" s="568"/>
      <c r="P118" s="1003"/>
      <c r="Q118" s="568"/>
      <c r="R118" s="568"/>
    </row>
    <row r="119" spans="1:18">
      <c r="A119" s="568"/>
      <c r="B119" s="568"/>
      <c r="C119" s="568"/>
      <c r="D119" s="568"/>
      <c r="E119" s="568"/>
      <c r="F119" s="568"/>
      <c r="G119" s="568"/>
      <c r="H119" s="568"/>
      <c r="I119" s="568"/>
      <c r="J119" s="568"/>
      <c r="K119" s="568"/>
      <c r="L119" s="568"/>
      <c r="M119" s="568"/>
      <c r="N119" s="568"/>
      <c r="O119" s="568"/>
      <c r="P119" s="568"/>
      <c r="Q119" s="568"/>
      <c r="R119" s="568"/>
    </row>
    <row r="120" spans="1:18">
      <c r="A120" s="1008"/>
      <c r="B120" s="1004"/>
      <c r="C120" s="1004"/>
      <c r="D120" s="568"/>
      <c r="E120" s="568"/>
      <c r="F120" s="568"/>
      <c r="G120" s="568"/>
      <c r="H120" s="568"/>
      <c r="I120" s="568"/>
      <c r="J120" s="568"/>
      <c r="K120" s="568"/>
      <c r="L120" s="568"/>
      <c r="M120" s="568"/>
      <c r="N120" s="568"/>
      <c r="O120" s="568"/>
      <c r="P120" s="568"/>
      <c r="Q120" s="568"/>
      <c r="R120" s="568"/>
    </row>
    <row r="121" spans="1:18">
      <c r="A121" s="568"/>
      <c r="B121" s="568"/>
      <c r="C121" s="568"/>
      <c r="D121" s="568"/>
      <c r="E121" s="568"/>
      <c r="F121" s="568"/>
      <c r="G121" s="568"/>
      <c r="H121" s="568"/>
      <c r="I121" s="568"/>
      <c r="J121" s="568"/>
      <c r="K121" s="568"/>
      <c r="L121" s="568"/>
      <c r="M121" s="568"/>
      <c r="N121" s="568"/>
      <c r="O121" s="568"/>
      <c r="P121" s="568"/>
      <c r="Q121" s="568"/>
      <c r="R121" s="568"/>
    </row>
    <row r="122" spans="1:18">
      <c r="A122" s="568"/>
      <c r="B122" s="568"/>
      <c r="C122" s="568"/>
      <c r="D122" s="568"/>
      <c r="E122" s="568"/>
      <c r="F122" s="568"/>
      <c r="G122" s="568"/>
      <c r="H122" s="568"/>
      <c r="I122" s="568"/>
      <c r="J122" s="568"/>
      <c r="K122" s="568"/>
      <c r="L122" s="568"/>
      <c r="M122" s="568"/>
      <c r="N122" s="568"/>
      <c r="O122" s="568"/>
      <c r="P122" s="568"/>
      <c r="Q122" s="568"/>
      <c r="R122" s="568"/>
    </row>
    <row r="123" spans="1:18">
      <c r="A123" s="568"/>
      <c r="B123" s="536"/>
      <c r="C123" s="536"/>
      <c r="D123" s="1008"/>
      <c r="E123" s="1008"/>
      <c r="F123" s="568"/>
      <c r="G123" s="568"/>
      <c r="H123" s="568"/>
      <c r="I123" s="568"/>
      <c r="J123" s="568"/>
      <c r="K123" s="568"/>
      <c r="L123" s="568"/>
      <c r="M123" s="568"/>
      <c r="N123" s="568"/>
      <c r="O123" s="568"/>
      <c r="P123" s="568"/>
      <c r="Q123" s="568"/>
      <c r="R123" s="568"/>
    </row>
    <row r="124" spans="1:18">
      <c r="A124" s="568"/>
      <c r="B124" s="1011"/>
      <c r="C124" s="1011"/>
      <c r="D124" s="1011"/>
      <c r="E124" s="1011"/>
      <c r="F124" s="568"/>
      <c r="G124" s="568"/>
      <c r="H124" s="568"/>
      <c r="I124" s="568"/>
      <c r="J124" s="568"/>
      <c r="K124" s="568"/>
      <c r="L124" s="568"/>
      <c r="M124" s="568"/>
      <c r="N124" s="568"/>
      <c r="O124" s="568"/>
      <c r="P124" s="568"/>
      <c r="Q124" s="568"/>
      <c r="R124" s="568"/>
    </row>
    <row r="125" spans="1:18">
      <c r="A125" s="568"/>
      <c r="B125" s="1004"/>
      <c r="C125" s="1004"/>
      <c r="D125" s="1017"/>
      <c r="E125" s="1017"/>
      <c r="F125" s="568"/>
      <c r="G125" s="568"/>
      <c r="H125" s="568"/>
      <c r="I125" s="568"/>
      <c r="J125" s="568"/>
      <c r="K125" s="568"/>
      <c r="L125" s="568"/>
      <c r="M125" s="568"/>
      <c r="N125" s="568"/>
      <c r="O125" s="568"/>
      <c r="P125" s="568"/>
      <c r="Q125" s="568"/>
      <c r="R125" s="568"/>
    </row>
    <row r="126" spans="1:18">
      <c r="A126" s="568"/>
      <c r="B126" s="568"/>
      <c r="C126" s="568"/>
      <c r="D126" s="1017"/>
      <c r="E126" s="1017"/>
      <c r="F126" s="568"/>
      <c r="G126" s="568"/>
      <c r="H126" s="568"/>
      <c r="I126" s="568"/>
      <c r="J126" s="568"/>
      <c r="K126" s="568"/>
      <c r="L126" s="568"/>
      <c r="M126" s="568"/>
      <c r="N126" s="568"/>
      <c r="O126" s="568"/>
      <c r="P126" s="568"/>
      <c r="Q126" s="568"/>
      <c r="R126" s="568"/>
    </row>
    <row r="127" spans="1:18">
      <c r="A127" s="568"/>
      <c r="B127" s="568"/>
      <c r="C127" s="568"/>
      <c r="D127" s="1017"/>
      <c r="E127" s="1017"/>
      <c r="F127" s="568"/>
      <c r="G127" s="568"/>
      <c r="H127" s="568"/>
      <c r="I127" s="568"/>
      <c r="J127" s="568"/>
      <c r="K127" s="568"/>
      <c r="L127" s="568"/>
      <c r="M127" s="568"/>
      <c r="N127" s="568"/>
      <c r="O127" s="568"/>
      <c r="P127" s="568"/>
      <c r="Q127" s="568"/>
      <c r="R127" s="568"/>
    </row>
    <row r="128" spans="1:18">
      <c r="A128" s="568"/>
      <c r="B128" s="568"/>
      <c r="C128" s="568"/>
      <c r="D128" s="1017"/>
      <c r="E128" s="1018"/>
      <c r="F128" s="568"/>
      <c r="G128" s="568"/>
      <c r="H128" s="568"/>
      <c r="I128" s="568"/>
      <c r="J128" s="568"/>
      <c r="K128" s="568"/>
      <c r="L128" s="568"/>
      <c r="M128" s="568"/>
      <c r="N128" s="568"/>
      <c r="O128" s="568"/>
      <c r="P128" s="568"/>
      <c r="Q128" s="568"/>
      <c r="R128" s="568"/>
    </row>
    <row r="129" spans="1:18">
      <c r="A129" s="568"/>
      <c r="B129" s="568"/>
      <c r="C129" s="568"/>
      <c r="D129" s="1017"/>
      <c r="E129" s="1018"/>
      <c r="F129" s="568"/>
      <c r="G129" s="568"/>
      <c r="H129" s="568"/>
      <c r="I129" s="568"/>
      <c r="J129" s="568"/>
      <c r="K129" s="568"/>
      <c r="L129" s="568"/>
      <c r="M129" s="568"/>
      <c r="N129" s="568"/>
      <c r="O129" s="568"/>
      <c r="P129" s="568"/>
      <c r="Q129" s="568"/>
      <c r="R129" s="568"/>
    </row>
    <row r="130" spans="1:18">
      <c r="A130" s="568"/>
      <c r="B130" s="568"/>
      <c r="C130" s="568"/>
      <c r="D130" s="1017"/>
      <c r="E130" s="1018"/>
      <c r="F130" s="568"/>
      <c r="G130" s="568"/>
      <c r="H130" s="568"/>
      <c r="I130" s="568"/>
      <c r="J130" s="568"/>
      <c r="K130" s="568"/>
      <c r="L130" s="568"/>
      <c r="M130" s="568"/>
      <c r="N130" s="568"/>
      <c r="O130" s="568"/>
      <c r="P130" s="568"/>
      <c r="Q130" s="568"/>
      <c r="R130" s="568"/>
    </row>
    <row r="131" spans="1:18">
      <c r="A131" s="568"/>
      <c r="B131" s="568"/>
      <c r="C131" s="568"/>
      <c r="D131" s="1017"/>
      <c r="E131" s="1018"/>
      <c r="F131" s="568"/>
      <c r="G131" s="568"/>
      <c r="H131" s="568"/>
      <c r="I131" s="568"/>
      <c r="J131" s="568"/>
      <c r="K131" s="568"/>
      <c r="L131" s="568"/>
      <c r="M131" s="568"/>
      <c r="N131" s="568"/>
      <c r="O131" s="568"/>
      <c r="P131" s="568"/>
      <c r="Q131" s="568"/>
      <c r="R131" s="568"/>
    </row>
    <row r="132" spans="1:18">
      <c r="A132" s="568"/>
      <c r="B132" s="568"/>
      <c r="C132" s="568"/>
      <c r="D132" s="1017"/>
      <c r="E132" s="1018"/>
      <c r="F132" s="568"/>
      <c r="G132" s="568"/>
      <c r="H132" s="568"/>
      <c r="I132" s="568"/>
      <c r="J132" s="568"/>
      <c r="K132" s="568"/>
      <c r="L132" s="568"/>
      <c r="M132" s="568"/>
      <c r="N132" s="568"/>
      <c r="O132" s="568"/>
      <c r="P132" s="568"/>
      <c r="Q132" s="568"/>
      <c r="R132" s="568"/>
    </row>
    <row r="133" spans="1:18">
      <c r="A133" s="568"/>
      <c r="B133" s="568"/>
      <c r="C133" s="568"/>
      <c r="D133" s="1017"/>
      <c r="E133" s="1018"/>
      <c r="F133" s="568"/>
      <c r="G133" s="568"/>
      <c r="H133" s="568"/>
      <c r="I133" s="568"/>
      <c r="J133" s="568"/>
      <c r="K133" s="568"/>
      <c r="L133" s="568"/>
      <c r="M133" s="568"/>
      <c r="N133" s="568"/>
      <c r="O133" s="568"/>
      <c r="P133" s="568"/>
      <c r="Q133" s="568"/>
      <c r="R133" s="568"/>
    </row>
    <row r="134" spans="1:18">
      <c r="A134" s="568"/>
      <c r="B134" s="568"/>
      <c r="C134" s="568"/>
      <c r="D134" s="1017"/>
      <c r="E134" s="1018"/>
      <c r="F134" s="568"/>
      <c r="G134" s="568"/>
      <c r="H134" s="568"/>
      <c r="I134" s="568"/>
      <c r="J134" s="568"/>
      <c r="K134" s="568"/>
      <c r="L134" s="568"/>
      <c r="M134" s="568"/>
      <c r="N134" s="568"/>
      <c r="O134" s="568"/>
      <c r="P134" s="568"/>
      <c r="Q134" s="568"/>
      <c r="R134" s="568"/>
    </row>
    <row r="135" spans="1:18">
      <c r="A135" s="568"/>
      <c r="B135" s="568"/>
      <c r="C135" s="568"/>
      <c r="D135" s="1017"/>
      <c r="E135" s="1018"/>
      <c r="F135" s="568"/>
      <c r="G135" s="568"/>
      <c r="H135" s="568"/>
      <c r="I135" s="568"/>
      <c r="J135" s="568"/>
      <c r="K135" s="568"/>
      <c r="L135" s="568"/>
      <c r="M135" s="568"/>
      <c r="N135" s="568"/>
      <c r="O135" s="568"/>
      <c r="P135" s="568"/>
      <c r="Q135" s="568"/>
      <c r="R135" s="568"/>
    </row>
    <row r="136" spans="1:18">
      <c r="A136" s="568"/>
      <c r="B136" s="568"/>
      <c r="C136" s="568"/>
      <c r="D136" s="1017"/>
      <c r="E136" s="1018"/>
      <c r="F136" s="568"/>
      <c r="G136" s="568"/>
      <c r="H136" s="568"/>
      <c r="I136" s="568"/>
      <c r="J136" s="568"/>
      <c r="K136" s="568"/>
      <c r="L136" s="568"/>
      <c r="M136" s="568"/>
      <c r="N136" s="568"/>
      <c r="O136" s="568"/>
      <c r="P136" s="568"/>
      <c r="Q136" s="568"/>
      <c r="R136" s="568"/>
    </row>
    <row r="137" spans="1:18">
      <c r="A137" s="568"/>
      <c r="B137" s="568"/>
      <c r="C137" s="568"/>
      <c r="D137" s="1011"/>
      <c r="E137" s="1011"/>
      <c r="F137" s="568"/>
      <c r="G137" s="568"/>
      <c r="H137" s="568"/>
      <c r="I137" s="568"/>
      <c r="J137" s="568"/>
      <c r="K137" s="568"/>
      <c r="L137" s="568"/>
      <c r="M137" s="568"/>
      <c r="N137" s="568"/>
      <c r="O137" s="568"/>
      <c r="P137" s="568"/>
      <c r="Q137" s="568"/>
      <c r="R137" s="568"/>
    </row>
    <row r="138" spans="1:18">
      <c r="A138" s="568"/>
      <c r="B138" s="568"/>
      <c r="C138" s="568"/>
      <c r="D138" s="1018"/>
      <c r="E138" s="1018"/>
      <c r="F138" s="568"/>
      <c r="G138" s="568"/>
      <c r="H138" s="568"/>
      <c r="I138" s="568"/>
      <c r="J138" s="568"/>
      <c r="K138" s="568"/>
      <c r="L138" s="568"/>
      <c r="M138" s="568"/>
      <c r="N138" s="568"/>
      <c r="O138" s="568"/>
      <c r="P138" s="568"/>
      <c r="Q138" s="568"/>
      <c r="R138" s="568"/>
    </row>
    <row r="139" spans="1:18">
      <c r="A139" s="568"/>
      <c r="B139" s="568"/>
      <c r="C139" s="568"/>
      <c r="D139" s="1011"/>
      <c r="E139" s="1011"/>
      <c r="F139" s="568"/>
      <c r="G139" s="568"/>
      <c r="H139" s="568"/>
      <c r="I139" s="568"/>
      <c r="J139" s="568"/>
      <c r="K139" s="568"/>
      <c r="L139" s="568"/>
      <c r="M139" s="568"/>
      <c r="N139" s="568"/>
      <c r="O139" s="568"/>
      <c r="P139" s="568"/>
      <c r="Q139" s="568"/>
      <c r="R139" s="568"/>
    </row>
    <row r="140" spans="1:18">
      <c r="A140" s="568"/>
      <c r="B140" s="568"/>
      <c r="C140" s="568"/>
      <c r="D140" s="568"/>
      <c r="E140" s="568"/>
      <c r="F140" s="568"/>
      <c r="G140" s="568"/>
      <c r="H140" s="568"/>
      <c r="I140" s="568"/>
      <c r="J140" s="568"/>
      <c r="K140" s="568"/>
      <c r="L140" s="568"/>
      <c r="M140" s="568"/>
      <c r="N140" s="568"/>
      <c r="O140" s="568"/>
      <c r="P140" s="568"/>
      <c r="Q140" s="568"/>
      <c r="R140" s="568"/>
    </row>
    <row r="141" spans="1:18">
      <c r="A141" s="568"/>
      <c r="B141" s="1004"/>
      <c r="C141" s="1004"/>
      <c r="D141" s="1017"/>
      <c r="E141" s="1017"/>
      <c r="F141" s="568"/>
      <c r="G141" s="568"/>
      <c r="H141" s="568"/>
      <c r="I141" s="568"/>
      <c r="J141" s="568"/>
      <c r="K141" s="568"/>
      <c r="L141" s="568"/>
      <c r="M141" s="568"/>
      <c r="N141" s="568"/>
      <c r="O141" s="568"/>
      <c r="P141" s="568"/>
      <c r="Q141" s="568"/>
      <c r="R141" s="568"/>
    </row>
    <row r="142" spans="1:18">
      <c r="A142" s="568"/>
      <c r="B142" s="568"/>
      <c r="C142" s="568"/>
      <c r="D142" s="1017"/>
      <c r="E142" s="1017"/>
      <c r="F142" s="568"/>
      <c r="G142" s="568"/>
      <c r="H142" s="568"/>
      <c r="I142" s="568"/>
      <c r="J142" s="568"/>
      <c r="K142" s="568"/>
      <c r="L142" s="568"/>
      <c r="M142" s="568"/>
      <c r="N142" s="568"/>
      <c r="O142" s="568"/>
      <c r="P142" s="568"/>
      <c r="Q142" s="568"/>
      <c r="R142" s="568"/>
    </row>
    <row r="143" spans="1:18">
      <c r="A143" s="568"/>
      <c r="B143" s="568"/>
      <c r="C143" s="568"/>
      <c r="D143" s="1017"/>
      <c r="E143" s="1017"/>
      <c r="F143" s="568"/>
      <c r="G143" s="568"/>
      <c r="H143" s="568"/>
      <c r="I143" s="568"/>
      <c r="J143" s="568"/>
      <c r="K143" s="568"/>
      <c r="L143" s="568"/>
      <c r="M143" s="568"/>
      <c r="N143" s="568"/>
      <c r="O143" s="568"/>
      <c r="P143" s="568"/>
      <c r="Q143" s="568"/>
      <c r="R143" s="568"/>
    </row>
    <row r="144" spans="1:18">
      <c r="A144" s="568"/>
      <c r="B144" s="568"/>
      <c r="C144" s="568"/>
      <c r="D144" s="1017"/>
      <c r="E144" s="1018"/>
      <c r="F144" s="568"/>
      <c r="G144" s="568"/>
      <c r="H144" s="568"/>
      <c r="I144" s="568"/>
      <c r="J144" s="568"/>
      <c r="K144" s="568"/>
      <c r="L144" s="568"/>
      <c r="M144" s="568"/>
      <c r="N144" s="568"/>
      <c r="O144" s="568"/>
      <c r="P144" s="568"/>
      <c r="Q144" s="568"/>
      <c r="R144" s="568"/>
    </row>
    <row r="145" spans="1:18">
      <c r="A145" s="568"/>
      <c r="B145" s="568"/>
      <c r="C145" s="568"/>
      <c r="D145" s="1017"/>
      <c r="E145" s="1018"/>
      <c r="F145" s="568"/>
      <c r="G145" s="568"/>
      <c r="H145" s="568"/>
      <c r="I145" s="568"/>
      <c r="J145" s="568"/>
      <c r="K145" s="568"/>
      <c r="L145" s="568"/>
      <c r="M145" s="568"/>
      <c r="N145" s="568"/>
      <c r="O145" s="568"/>
      <c r="P145" s="568"/>
      <c r="Q145" s="568"/>
      <c r="R145" s="568"/>
    </row>
    <row r="146" spans="1:18">
      <c r="A146" s="568"/>
      <c r="B146" s="568"/>
      <c r="C146" s="568"/>
      <c r="D146" s="1017"/>
      <c r="E146" s="1018"/>
      <c r="F146" s="568"/>
      <c r="G146" s="568"/>
      <c r="H146" s="568"/>
      <c r="I146" s="568"/>
      <c r="J146" s="568"/>
      <c r="K146" s="568"/>
      <c r="L146" s="568"/>
      <c r="M146" s="568"/>
      <c r="N146" s="568"/>
      <c r="O146" s="568"/>
      <c r="P146" s="568"/>
      <c r="Q146" s="568"/>
      <c r="R146" s="568"/>
    </row>
    <row r="147" spans="1:18">
      <c r="A147" s="568"/>
      <c r="B147" s="568"/>
      <c r="C147" s="568"/>
      <c r="D147" s="1017"/>
      <c r="E147" s="1018"/>
      <c r="F147" s="568"/>
      <c r="G147" s="568"/>
      <c r="H147" s="568"/>
      <c r="I147" s="568"/>
      <c r="J147" s="568"/>
      <c r="K147" s="568"/>
      <c r="L147" s="568"/>
      <c r="M147" s="568"/>
      <c r="N147" s="568"/>
      <c r="O147" s="568"/>
      <c r="P147" s="568"/>
      <c r="Q147" s="568"/>
      <c r="R147" s="568"/>
    </row>
    <row r="148" spans="1:18">
      <c r="A148" s="568"/>
      <c r="B148" s="568"/>
      <c r="C148" s="568"/>
      <c r="D148" s="1017"/>
      <c r="E148" s="1018"/>
      <c r="F148" s="568"/>
      <c r="G148" s="568"/>
      <c r="H148" s="568"/>
      <c r="I148" s="568"/>
      <c r="J148" s="568"/>
      <c r="K148" s="568"/>
      <c r="L148" s="568"/>
      <c r="M148" s="568"/>
      <c r="N148" s="568"/>
      <c r="O148" s="568"/>
      <c r="P148" s="568"/>
      <c r="Q148" s="568"/>
      <c r="R148" s="568"/>
    </row>
    <row r="149" spans="1:18">
      <c r="A149" s="568"/>
      <c r="B149" s="568"/>
      <c r="C149" s="568"/>
      <c r="D149" s="1017"/>
      <c r="E149" s="1018"/>
      <c r="F149" s="568"/>
      <c r="G149" s="568"/>
      <c r="H149" s="568"/>
      <c r="I149" s="568"/>
      <c r="J149" s="568"/>
      <c r="K149" s="568"/>
      <c r="L149" s="568"/>
      <c r="M149" s="568"/>
      <c r="N149" s="568"/>
      <c r="O149" s="568"/>
      <c r="P149" s="568"/>
      <c r="Q149" s="568"/>
      <c r="R149" s="568"/>
    </row>
    <row r="150" spans="1:18">
      <c r="A150" s="568"/>
      <c r="B150" s="568"/>
      <c r="C150" s="568"/>
      <c r="D150" s="1017"/>
      <c r="E150" s="1018"/>
      <c r="F150" s="568"/>
      <c r="G150" s="568"/>
      <c r="H150" s="568"/>
      <c r="I150" s="568"/>
      <c r="J150" s="568"/>
      <c r="K150" s="568"/>
      <c r="L150" s="568"/>
      <c r="M150" s="568"/>
      <c r="N150" s="568"/>
      <c r="O150" s="568"/>
      <c r="P150" s="568"/>
      <c r="Q150" s="568"/>
      <c r="R150" s="568"/>
    </row>
    <row r="151" spans="1:18">
      <c r="A151" s="568"/>
      <c r="B151" s="568"/>
      <c r="C151" s="568"/>
      <c r="D151" s="1017"/>
      <c r="E151" s="1018"/>
      <c r="F151" s="568"/>
      <c r="G151" s="568"/>
      <c r="H151" s="568"/>
      <c r="I151" s="568"/>
      <c r="J151" s="568"/>
      <c r="K151" s="568"/>
      <c r="L151" s="568"/>
      <c r="M151" s="568"/>
      <c r="N151" s="568"/>
      <c r="O151" s="568"/>
      <c r="P151" s="568"/>
      <c r="Q151" s="568"/>
      <c r="R151" s="568"/>
    </row>
    <row r="152" spans="1:18">
      <c r="A152" s="568"/>
      <c r="B152" s="568"/>
      <c r="C152" s="568"/>
      <c r="D152" s="1017"/>
      <c r="E152" s="1018"/>
      <c r="F152" s="568"/>
      <c r="G152" s="568"/>
      <c r="H152" s="568"/>
      <c r="I152" s="568"/>
      <c r="J152" s="568"/>
      <c r="K152" s="568"/>
      <c r="L152" s="568"/>
      <c r="M152" s="568"/>
      <c r="N152" s="568"/>
      <c r="O152" s="568"/>
      <c r="P152" s="568"/>
      <c r="Q152" s="568"/>
      <c r="R152" s="568"/>
    </row>
    <row r="153" spans="1:18">
      <c r="A153" s="568"/>
      <c r="B153" s="568"/>
      <c r="C153" s="568"/>
      <c r="D153" s="1011"/>
      <c r="E153" s="1011"/>
      <c r="F153" s="568"/>
      <c r="G153" s="568"/>
      <c r="H153" s="568"/>
      <c r="I153" s="568"/>
      <c r="J153" s="568"/>
      <c r="K153" s="568"/>
      <c r="L153" s="568"/>
      <c r="M153" s="568"/>
      <c r="N153" s="568"/>
      <c r="O153" s="568"/>
      <c r="P153" s="568"/>
      <c r="Q153" s="568"/>
      <c r="R153" s="568"/>
    </row>
    <row r="154" spans="1:18">
      <c r="A154" s="568"/>
      <c r="B154" s="568"/>
      <c r="C154" s="568"/>
      <c r="D154" s="1018"/>
      <c r="E154" s="1018"/>
      <c r="F154" s="568"/>
      <c r="G154" s="568"/>
      <c r="H154" s="568"/>
      <c r="I154" s="568"/>
      <c r="J154" s="568"/>
      <c r="K154" s="568"/>
      <c r="L154" s="568"/>
      <c r="M154" s="568"/>
      <c r="N154" s="568"/>
      <c r="O154" s="568"/>
      <c r="P154" s="568"/>
      <c r="Q154" s="568"/>
      <c r="R154" s="568"/>
    </row>
    <row r="155" spans="1:18">
      <c r="A155" s="568"/>
      <c r="B155" s="568"/>
      <c r="C155" s="568"/>
      <c r="D155" s="1011"/>
      <c r="E155" s="1011"/>
      <c r="F155" s="568"/>
      <c r="G155" s="568"/>
      <c r="H155" s="568"/>
      <c r="I155" s="568"/>
      <c r="J155" s="568"/>
      <c r="K155" s="568"/>
      <c r="L155" s="568"/>
      <c r="M155" s="568"/>
      <c r="N155" s="568"/>
      <c r="O155" s="568"/>
      <c r="P155" s="568"/>
      <c r="Q155" s="568"/>
      <c r="R155" s="568"/>
    </row>
    <row r="156" spans="1:18">
      <c r="A156" s="568"/>
      <c r="B156" s="568"/>
      <c r="C156" s="568"/>
      <c r="D156" s="568"/>
      <c r="E156" s="568"/>
      <c r="F156" s="568"/>
      <c r="G156" s="568"/>
      <c r="H156" s="568"/>
      <c r="I156" s="568"/>
      <c r="J156" s="568"/>
      <c r="K156" s="568"/>
      <c r="L156" s="568"/>
      <c r="M156" s="568"/>
      <c r="N156" s="568"/>
      <c r="O156" s="568"/>
      <c r="P156" s="568"/>
      <c r="Q156" s="568"/>
      <c r="R156" s="568"/>
    </row>
    <row r="157" spans="1:18">
      <c r="A157" s="568"/>
      <c r="B157" s="1004"/>
      <c r="C157" s="1004"/>
      <c r="D157" s="1017"/>
      <c r="E157" s="1017"/>
      <c r="F157" s="568"/>
      <c r="G157" s="568"/>
      <c r="H157" s="568"/>
      <c r="I157" s="568"/>
      <c r="J157" s="568"/>
      <c r="K157" s="568"/>
      <c r="L157" s="568"/>
      <c r="M157" s="568"/>
      <c r="N157" s="568"/>
      <c r="O157" s="568"/>
      <c r="P157" s="568"/>
      <c r="Q157" s="568"/>
      <c r="R157" s="568"/>
    </row>
    <row r="158" spans="1:18">
      <c r="A158" s="568"/>
      <c r="B158" s="568"/>
      <c r="C158" s="568"/>
      <c r="D158" s="1017"/>
      <c r="E158" s="1017"/>
      <c r="F158" s="568"/>
      <c r="G158" s="568"/>
      <c r="H158" s="568"/>
      <c r="I158" s="568"/>
      <c r="J158" s="568"/>
      <c r="K158" s="568"/>
      <c r="L158" s="568"/>
      <c r="M158" s="568"/>
      <c r="N158" s="568"/>
      <c r="O158" s="568"/>
      <c r="P158" s="568"/>
      <c r="Q158" s="568"/>
      <c r="R158" s="568"/>
    </row>
    <row r="159" spans="1:18">
      <c r="A159" s="568"/>
      <c r="B159" s="568"/>
      <c r="C159" s="568"/>
      <c r="D159" s="1017"/>
      <c r="E159" s="1017"/>
      <c r="F159" s="568"/>
      <c r="G159" s="568"/>
      <c r="H159" s="568"/>
      <c r="I159" s="568"/>
      <c r="J159" s="568"/>
      <c r="K159" s="568"/>
      <c r="L159" s="568"/>
      <c r="M159" s="568"/>
      <c r="N159" s="568"/>
      <c r="O159" s="568"/>
      <c r="P159" s="568"/>
      <c r="Q159" s="568"/>
      <c r="R159" s="568"/>
    </row>
    <row r="160" spans="1:18">
      <c r="A160" s="568"/>
      <c r="B160" s="568"/>
      <c r="C160" s="568"/>
      <c r="D160" s="1017"/>
      <c r="E160" s="1018"/>
      <c r="F160" s="568"/>
      <c r="G160" s="568"/>
      <c r="H160" s="568"/>
      <c r="I160" s="568"/>
      <c r="J160" s="568"/>
      <c r="K160" s="568"/>
      <c r="L160" s="568"/>
      <c r="M160" s="568"/>
      <c r="N160" s="568"/>
      <c r="O160" s="568"/>
      <c r="P160" s="568"/>
      <c r="Q160" s="568"/>
      <c r="R160" s="568"/>
    </row>
    <row r="161" spans="1:18">
      <c r="A161" s="568"/>
      <c r="B161" s="568"/>
      <c r="C161" s="568"/>
      <c r="D161" s="1017"/>
      <c r="E161" s="1018"/>
      <c r="F161" s="568"/>
      <c r="G161" s="568"/>
      <c r="H161" s="568"/>
      <c r="I161" s="568"/>
      <c r="J161" s="568"/>
      <c r="K161" s="568"/>
      <c r="L161" s="568"/>
      <c r="M161" s="568"/>
      <c r="N161" s="568"/>
      <c r="O161" s="568"/>
      <c r="P161" s="568"/>
      <c r="Q161" s="568"/>
      <c r="R161" s="568"/>
    </row>
    <row r="162" spans="1:18">
      <c r="A162" s="568"/>
      <c r="B162" s="568"/>
      <c r="C162" s="568"/>
      <c r="D162" s="1017"/>
      <c r="E162" s="1018"/>
      <c r="F162" s="568"/>
      <c r="G162" s="568"/>
      <c r="H162" s="568"/>
      <c r="I162" s="568"/>
      <c r="J162" s="568"/>
      <c r="K162" s="568"/>
      <c r="L162" s="568"/>
      <c r="M162" s="568"/>
      <c r="N162" s="568"/>
      <c r="O162" s="568"/>
      <c r="P162" s="568"/>
      <c r="Q162" s="568"/>
      <c r="R162" s="568"/>
    </row>
    <row r="163" spans="1:18">
      <c r="A163" s="568"/>
      <c r="B163" s="568"/>
      <c r="C163" s="568"/>
      <c r="D163" s="1017"/>
      <c r="E163" s="1018"/>
      <c r="F163" s="568"/>
      <c r="G163" s="568"/>
      <c r="H163" s="568"/>
      <c r="I163" s="568"/>
      <c r="J163" s="568"/>
      <c r="K163" s="568"/>
      <c r="L163" s="568"/>
      <c r="M163" s="568"/>
      <c r="N163" s="568"/>
      <c r="O163" s="568"/>
      <c r="P163" s="568"/>
      <c r="Q163" s="568"/>
      <c r="R163" s="568"/>
    </row>
    <row r="164" spans="1:18">
      <c r="A164" s="568"/>
      <c r="B164" s="568"/>
      <c r="C164" s="568"/>
      <c r="D164" s="1017"/>
      <c r="E164" s="1018"/>
      <c r="F164" s="568"/>
      <c r="G164" s="568"/>
      <c r="H164" s="568"/>
      <c r="I164" s="568"/>
      <c r="J164" s="568"/>
      <c r="K164" s="568"/>
      <c r="L164" s="568"/>
      <c r="M164" s="568"/>
      <c r="N164" s="568"/>
      <c r="O164" s="568"/>
      <c r="P164" s="568"/>
      <c r="Q164" s="568"/>
      <c r="R164" s="568"/>
    </row>
    <row r="165" spans="1:18">
      <c r="A165" s="568"/>
      <c r="B165" s="568"/>
      <c r="C165" s="568"/>
      <c r="D165" s="1017"/>
      <c r="E165" s="1018"/>
      <c r="F165" s="568"/>
      <c r="G165" s="568"/>
      <c r="H165" s="568"/>
      <c r="I165" s="568"/>
      <c r="J165" s="568"/>
      <c r="K165" s="568"/>
      <c r="L165" s="568"/>
      <c r="M165" s="568"/>
      <c r="N165" s="568"/>
      <c r="O165" s="568"/>
      <c r="P165" s="568"/>
      <c r="Q165" s="568"/>
      <c r="R165" s="568"/>
    </row>
    <row r="166" spans="1:18">
      <c r="A166" s="568"/>
      <c r="B166" s="568"/>
      <c r="C166" s="568"/>
      <c r="D166" s="1017"/>
      <c r="E166" s="1018"/>
      <c r="F166" s="568"/>
      <c r="G166" s="568"/>
      <c r="H166" s="568"/>
      <c r="I166" s="568"/>
      <c r="J166" s="568"/>
      <c r="K166" s="568"/>
      <c r="L166" s="568"/>
      <c r="M166" s="568"/>
      <c r="N166" s="568"/>
      <c r="O166" s="568"/>
      <c r="P166" s="568"/>
      <c r="Q166" s="568"/>
      <c r="R166" s="568"/>
    </row>
    <row r="167" spans="1:18">
      <c r="A167" s="568"/>
      <c r="B167" s="568"/>
      <c r="C167" s="568"/>
      <c r="D167" s="1017"/>
      <c r="E167" s="1018"/>
      <c r="F167" s="568"/>
      <c r="G167" s="568"/>
      <c r="H167" s="568"/>
      <c r="I167" s="568"/>
      <c r="J167" s="568"/>
      <c r="K167" s="568"/>
      <c r="L167" s="568"/>
      <c r="M167" s="568"/>
      <c r="N167" s="568"/>
      <c r="O167" s="568"/>
      <c r="P167" s="568"/>
      <c r="Q167" s="568"/>
      <c r="R167" s="568"/>
    </row>
    <row r="168" spans="1:18">
      <c r="A168" s="568"/>
      <c r="B168" s="568"/>
      <c r="C168" s="568"/>
      <c r="D168" s="1017"/>
      <c r="E168" s="1018"/>
      <c r="F168" s="568"/>
      <c r="G168" s="568"/>
      <c r="H168" s="568"/>
      <c r="I168" s="568"/>
      <c r="J168" s="568"/>
      <c r="K168" s="568"/>
      <c r="L168" s="568"/>
      <c r="M168" s="568"/>
      <c r="N168" s="568"/>
      <c r="O168" s="568"/>
      <c r="P168" s="568"/>
      <c r="Q168" s="568"/>
      <c r="R168" s="568"/>
    </row>
    <row r="169" spans="1:18">
      <c r="A169" s="568"/>
      <c r="B169" s="568"/>
      <c r="C169" s="568"/>
      <c r="D169" s="1011"/>
      <c r="E169" s="1011"/>
      <c r="F169" s="568"/>
      <c r="G169" s="568"/>
      <c r="H169" s="568"/>
      <c r="I169" s="568"/>
      <c r="J169" s="568"/>
      <c r="K169" s="568"/>
      <c r="L169" s="568"/>
      <c r="M169" s="568"/>
      <c r="N169" s="568"/>
      <c r="O169" s="568"/>
      <c r="P169" s="568"/>
      <c r="Q169" s="568"/>
      <c r="R169" s="568"/>
    </row>
    <row r="170" spans="1:18">
      <c r="A170" s="568"/>
      <c r="B170" s="568"/>
      <c r="C170" s="568"/>
      <c r="D170" s="1018"/>
      <c r="E170" s="1018"/>
      <c r="F170" s="568"/>
      <c r="G170" s="568"/>
      <c r="H170" s="568"/>
      <c r="I170" s="568"/>
      <c r="J170" s="568"/>
      <c r="K170" s="568"/>
      <c r="L170" s="568"/>
      <c r="M170" s="568"/>
      <c r="N170" s="568"/>
      <c r="O170" s="568"/>
      <c r="P170" s="568"/>
      <c r="Q170" s="568"/>
      <c r="R170" s="568"/>
    </row>
    <row r="171" spans="1:18">
      <c r="A171" s="568"/>
      <c r="B171" s="568"/>
      <c r="C171" s="568"/>
      <c r="D171" s="568"/>
      <c r="E171" s="568"/>
      <c r="F171" s="568"/>
      <c r="G171" s="568"/>
      <c r="H171" s="568"/>
      <c r="I171" s="568"/>
      <c r="J171" s="568"/>
      <c r="K171" s="568"/>
      <c r="L171" s="568"/>
      <c r="M171" s="568"/>
      <c r="N171" s="568"/>
      <c r="O171" s="568"/>
      <c r="P171" s="568"/>
      <c r="Q171" s="568"/>
      <c r="R171" s="568"/>
    </row>
    <row r="172" spans="1:18">
      <c r="A172" s="568"/>
      <c r="B172" s="568"/>
      <c r="C172" s="568"/>
      <c r="D172" s="1011"/>
      <c r="E172" s="1011"/>
      <c r="F172" s="568"/>
      <c r="G172" s="568"/>
      <c r="H172" s="568"/>
      <c r="I172" s="568"/>
      <c r="J172" s="568"/>
      <c r="K172" s="568"/>
      <c r="L172" s="568"/>
      <c r="M172" s="568"/>
      <c r="N172" s="568"/>
      <c r="O172" s="568"/>
      <c r="P172" s="568"/>
      <c r="Q172" s="568"/>
      <c r="R172" s="568"/>
    </row>
    <row r="173" spans="1:18">
      <c r="A173" s="568"/>
      <c r="B173" s="568"/>
      <c r="C173" s="568"/>
      <c r="D173" s="568"/>
      <c r="E173" s="568"/>
      <c r="F173" s="568"/>
      <c r="G173" s="568"/>
      <c r="H173" s="568"/>
      <c r="I173" s="568"/>
      <c r="J173" s="568"/>
      <c r="K173" s="568"/>
      <c r="L173" s="568"/>
      <c r="M173" s="568"/>
      <c r="N173" s="568"/>
      <c r="O173" s="568"/>
      <c r="P173" s="568"/>
      <c r="Q173" s="568"/>
      <c r="R173" s="568"/>
    </row>
    <row r="174" spans="1:18">
      <c r="A174" s="568"/>
      <c r="B174" s="1004"/>
      <c r="C174" s="1004"/>
      <c r="D174" s="1017"/>
      <c r="E174" s="1017"/>
      <c r="F174" s="568"/>
      <c r="G174" s="568"/>
      <c r="H174" s="568"/>
      <c r="I174" s="568"/>
      <c r="J174" s="568"/>
      <c r="K174" s="568"/>
      <c r="L174" s="568"/>
      <c r="M174" s="568"/>
      <c r="N174" s="568"/>
      <c r="O174" s="568"/>
      <c r="P174" s="568"/>
      <c r="Q174" s="568"/>
      <c r="R174" s="568"/>
    </row>
    <row r="175" spans="1:18">
      <c r="A175" s="568"/>
      <c r="B175" s="568"/>
      <c r="C175" s="568"/>
      <c r="D175" s="1017"/>
      <c r="E175" s="1017"/>
      <c r="F175" s="568"/>
      <c r="G175" s="568"/>
      <c r="H175" s="568"/>
      <c r="I175" s="568"/>
      <c r="J175" s="568"/>
      <c r="K175" s="568"/>
      <c r="L175" s="568"/>
      <c r="M175" s="568"/>
      <c r="N175" s="568"/>
      <c r="O175" s="568"/>
      <c r="P175" s="568"/>
      <c r="Q175" s="568"/>
      <c r="R175" s="568"/>
    </row>
    <row r="176" spans="1:18">
      <c r="A176" s="568"/>
      <c r="B176" s="568"/>
      <c r="C176" s="568"/>
      <c r="D176" s="1017"/>
      <c r="E176" s="1017"/>
      <c r="F176" s="568"/>
      <c r="G176" s="568"/>
      <c r="H176" s="568"/>
      <c r="I176" s="568"/>
      <c r="J176" s="568"/>
      <c r="K176" s="568"/>
      <c r="L176" s="568"/>
      <c r="M176" s="568"/>
      <c r="N176" s="568"/>
      <c r="O176" s="568"/>
      <c r="P176" s="568"/>
      <c r="Q176" s="568"/>
      <c r="R176" s="568"/>
    </row>
    <row r="177" spans="1:18">
      <c r="A177" s="568"/>
      <c r="B177" s="568"/>
      <c r="C177" s="568"/>
      <c r="D177" s="1017"/>
      <c r="E177" s="1018"/>
      <c r="F177" s="568"/>
      <c r="G177" s="568"/>
      <c r="H177" s="568"/>
      <c r="I177" s="568"/>
      <c r="J177" s="568"/>
      <c r="K177" s="568"/>
      <c r="L177" s="568"/>
      <c r="M177" s="568"/>
      <c r="N177" s="568"/>
      <c r="O177" s="568"/>
      <c r="P177" s="568"/>
      <c r="Q177" s="568"/>
      <c r="R177" s="568"/>
    </row>
    <row r="178" spans="1:18">
      <c r="A178" s="568"/>
      <c r="B178" s="568"/>
      <c r="C178" s="568"/>
      <c r="D178" s="1017"/>
      <c r="E178" s="1018"/>
      <c r="F178" s="568"/>
      <c r="G178" s="568"/>
      <c r="H178" s="568"/>
      <c r="I178" s="568"/>
      <c r="J178" s="568"/>
      <c r="K178" s="568"/>
      <c r="L178" s="568"/>
      <c r="M178" s="568"/>
      <c r="N178" s="568"/>
      <c r="O178" s="568"/>
      <c r="P178" s="568"/>
      <c r="Q178" s="568"/>
      <c r="R178" s="568"/>
    </row>
    <row r="179" spans="1:18">
      <c r="A179" s="568"/>
      <c r="B179" s="568"/>
      <c r="C179" s="568"/>
      <c r="D179" s="1017"/>
      <c r="E179" s="1018"/>
      <c r="F179" s="568"/>
      <c r="G179" s="568"/>
      <c r="H179" s="568"/>
      <c r="I179" s="568"/>
      <c r="J179" s="568"/>
      <c r="K179" s="568"/>
      <c r="L179" s="568"/>
      <c r="M179" s="568"/>
      <c r="N179" s="568"/>
      <c r="O179" s="568"/>
      <c r="P179" s="568"/>
      <c r="Q179" s="568"/>
      <c r="R179" s="568"/>
    </row>
    <row r="180" spans="1:18">
      <c r="A180" s="568"/>
      <c r="B180" s="568"/>
      <c r="C180" s="568"/>
      <c r="D180" s="1017"/>
      <c r="E180" s="1018"/>
      <c r="F180" s="568"/>
      <c r="G180" s="568"/>
      <c r="H180" s="568"/>
      <c r="I180" s="568"/>
      <c r="J180" s="568"/>
      <c r="K180" s="568"/>
      <c r="L180" s="568"/>
      <c r="M180" s="568"/>
      <c r="N180" s="568"/>
      <c r="O180" s="568"/>
      <c r="P180" s="568"/>
      <c r="Q180" s="568"/>
      <c r="R180" s="568"/>
    </row>
    <row r="181" spans="1:18">
      <c r="A181" s="568"/>
      <c r="B181" s="568"/>
      <c r="C181" s="568"/>
      <c r="D181" s="1017"/>
      <c r="E181" s="1018"/>
      <c r="F181" s="568"/>
      <c r="G181" s="568"/>
      <c r="H181" s="568"/>
      <c r="I181" s="568"/>
      <c r="J181" s="568"/>
      <c r="K181" s="568"/>
      <c r="L181" s="568"/>
      <c r="M181" s="568"/>
      <c r="N181" s="568"/>
      <c r="O181" s="568"/>
      <c r="P181" s="568"/>
      <c r="Q181" s="568"/>
      <c r="R181" s="568"/>
    </row>
    <row r="182" spans="1:18">
      <c r="A182" s="568"/>
      <c r="B182" s="568"/>
      <c r="C182" s="568"/>
      <c r="D182" s="1017"/>
      <c r="E182" s="1018"/>
      <c r="F182" s="568"/>
      <c r="G182" s="568"/>
      <c r="H182" s="568"/>
      <c r="I182" s="568"/>
      <c r="J182" s="568"/>
      <c r="K182" s="568"/>
      <c r="L182" s="568"/>
      <c r="M182" s="568"/>
      <c r="N182" s="568"/>
      <c r="O182" s="568"/>
      <c r="P182" s="568"/>
      <c r="Q182" s="568"/>
      <c r="R182" s="568"/>
    </row>
    <row r="183" spans="1:18">
      <c r="A183" s="568"/>
      <c r="B183" s="568"/>
      <c r="C183" s="568"/>
      <c r="D183" s="1017"/>
      <c r="E183" s="1018"/>
      <c r="F183" s="568"/>
      <c r="G183" s="568"/>
      <c r="H183" s="568"/>
      <c r="I183" s="568"/>
      <c r="J183" s="568"/>
      <c r="K183" s="568"/>
      <c r="L183" s="568"/>
      <c r="M183" s="568"/>
      <c r="N183" s="568"/>
      <c r="O183" s="568"/>
      <c r="P183" s="568"/>
      <c r="Q183" s="568"/>
      <c r="R183" s="568"/>
    </row>
    <row r="184" spans="1:18">
      <c r="A184" s="568"/>
      <c r="B184" s="568"/>
      <c r="C184" s="568"/>
      <c r="D184" s="1017"/>
      <c r="E184" s="1018"/>
      <c r="F184" s="568"/>
      <c r="G184" s="568"/>
      <c r="H184" s="568"/>
      <c r="I184" s="568"/>
      <c r="J184" s="568"/>
      <c r="K184" s="568"/>
      <c r="L184" s="568"/>
      <c r="M184" s="568"/>
      <c r="N184" s="568"/>
      <c r="O184" s="568"/>
      <c r="P184" s="568"/>
      <c r="Q184" s="568"/>
      <c r="R184" s="568"/>
    </row>
    <row r="185" spans="1:18">
      <c r="A185" s="568"/>
      <c r="B185" s="568"/>
      <c r="C185" s="568"/>
      <c r="D185" s="1017"/>
      <c r="E185" s="1018"/>
      <c r="F185" s="568"/>
      <c r="G185" s="568"/>
      <c r="H185" s="568"/>
      <c r="I185" s="568"/>
      <c r="J185" s="568"/>
      <c r="K185" s="568"/>
      <c r="L185" s="568"/>
      <c r="M185" s="568"/>
      <c r="N185" s="568"/>
      <c r="O185" s="568"/>
      <c r="P185" s="568"/>
      <c r="Q185" s="568"/>
      <c r="R185" s="568"/>
    </row>
    <row r="186" spans="1:18">
      <c r="A186" s="568"/>
      <c r="B186" s="568"/>
      <c r="C186" s="568"/>
      <c r="D186" s="1011"/>
      <c r="E186" s="1011"/>
      <c r="F186" s="568"/>
      <c r="G186" s="568"/>
      <c r="H186" s="568"/>
      <c r="I186" s="568"/>
      <c r="J186" s="568"/>
      <c r="K186" s="568"/>
      <c r="L186" s="568"/>
      <c r="M186" s="568"/>
      <c r="N186" s="568"/>
      <c r="O186" s="568"/>
      <c r="P186" s="568"/>
      <c r="Q186" s="568"/>
      <c r="R186" s="568"/>
    </row>
    <row r="187" spans="1:18">
      <c r="A187" s="568"/>
      <c r="B187" s="568"/>
      <c r="C187" s="568"/>
      <c r="D187" s="1018"/>
      <c r="E187" s="1018"/>
      <c r="F187" s="568"/>
      <c r="G187" s="568"/>
      <c r="H187" s="568"/>
      <c r="I187" s="568"/>
      <c r="J187" s="568"/>
      <c r="K187" s="568"/>
      <c r="L187" s="568"/>
      <c r="M187" s="568"/>
      <c r="N187" s="568"/>
      <c r="O187" s="568"/>
      <c r="P187" s="568"/>
      <c r="Q187" s="568"/>
      <c r="R187" s="568"/>
    </row>
    <row r="188" spans="1:18">
      <c r="A188" s="568"/>
      <c r="B188" s="568"/>
      <c r="C188" s="568"/>
      <c r="D188" s="1011"/>
      <c r="E188" s="1011"/>
      <c r="F188" s="568"/>
      <c r="G188" s="568"/>
      <c r="H188" s="568"/>
      <c r="I188" s="568"/>
      <c r="J188" s="568"/>
      <c r="K188" s="568"/>
      <c r="L188" s="568"/>
      <c r="M188" s="568"/>
      <c r="N188" s="568"/>
      <c r="O188" s="568"/>
      <c r="P188" s="568"/>
      <c r="Q188" s="568"/>
      <c r="R188" s="568"/>
    </row>
    <row r="189" spans="1:18">
      <c r="A189" s="568"/>
      <c r="B189" s="568"/>
      <c r="C189" s="568"/>
      <c r="D189" s="568"/>
      <c r="E189" s="568"/>
      <c r="F189" s="568"/>
      <c r="G189" s="568"/>
      <c r="H189" s="568"/>
      <c r="I189" s="568"/>
      <c r="J189" s="568"/>
      <c r="K189" s="568"/>
      <c r="L189" s="568"/>
      <c r="M189" s="568"/>
      <c r="N189" s="568"/>
      <c r="O189" s="568"/>
      <c r="P189" s="568"/>
      <c r="Q189" s="568"/>
      <c r="R189" s="568"/>
    </row>
    <row r="190" spans="1:18">
      <c r="A190" s="568"/>
      <c r="B190" s="568"/>
      <c r="C190" s="568"/>
      <c r="D190" s="568"/>
      <c r="E190" s="568"/>
      <c r="F190" s="568"/>
      <c r="G190" s="568"/>
      <c r="H190" s="568"/>
      <c r="I190" s="568"/>
      <c r="J190" s="568"/>
      <c r="K190" s="568"/>
      <c r="L190" s="568"/>
      <c r="M190" s="568"/>
      <c r="N190" s="568"/>
      <c r="O190" s="568"/>
      <c r="P190" s="568"/>
      <c r="Q190" s="568"/>
      <c r="R190" s="568"/>
    </row>
    <row r="191" spans="1:18">
      <c r="A191" s="568"/>
      <c r="B191" s="568"/>
      <c r="C191" s="568"/>
      <c r="D191" s="568"/>
      <c r="E191" s="568"/>
      <c r="F191" s="568"/>
      <c r="G191" s="568"/>
      <c r="H191" s="568"/>
      <c r="I191" s="568"/>
      <c r="J191" s="568"/>
      <c r="K191" s="568"/>
      <c r="L191" s="568"/>
      <c r="M191" s="568"/>
      <c r="N191" s="568"/>
      <c r="O191" s="568"/>
      <c r="P191" s="568"/>
      <c r="Q191" s="568"/>
      <c r="R191" s="568"/>
    </row>
    <row r="192" spans="1:18">
      <c r="A192" s="568"/>
      <c r="B192" s="568"/>
      <c r="C192" s="568"/>
      <c r="D192" s="568"/>
      <c r="E192" s="568"/>
      <c r="F192" s="568"/>
      <c r="G192" s="568"/>
      <c r="H192" s="568"/>
      <c r="I192" s="568"/>
      <c r="J192" s="568"/>
      <c r="K192" s="568"/>
      <c r="L192" s="568"/>
      <c r="M192" s="568"/>
      <c r="N192" s="568"/>
      <c r="O192" s="568"/>
      <c r="P192" s="568"/>
      <c r="Q192" s="568"/>
      <c r="R192" s="568"/>
    </row>
    <row r="193" spans="1:18">
      <c r="A193" s="568"/>
      <c r="B193" s="568"/>
      <c r="C193" s="568"/>
      <c r="D193" s="568"/>
      <c r="E193" s="568"/>
      <c r="F193" s="568"/>
      <c r="G193" s="568"/>
      <c r="H193" s="568"/>
      <c r="I193" s="568"/>
      <c r="J193" s="568"/>
      <c r="K193" s="568"/>
      <c r="L193" s="568"/>
      <c r="M193" s="568"/>
      <c r="N193" s="568"/>
      <c r="O193" s="568"/>
      <c r="P193" s="568"/>
      <c r="Q193" s="568"/>
      <c r="R193" s="568"/>
    </row>
    <row r="194" spans="1:18">
      <c r="A194" s="568"/>
      <c r="B194" s="568"/>
      <c r="C194" s="568"/>
      <c r="D194" s="568"/>
      <c r="E194" s="568"/>
      <c r="F194" s="568"/>
      <c r="G194" s="568"/>
      <c r="H194" s="568"/>
      <c r="I194" s="568"/>
      <c r="J194" s="568"/>
      <c r="K194" s="568"/>
      <c r="L194" s="568"/>
      <c r="M194" s="568"/>
      <c r="N194" s="568"/>
      <c r="O194" s="568"/>
      <c r="P194" s="568"/>
      <c r="Q194" s="568"/>
      <c r="R194" s="568"/>
    </row>
    <row r="195" spans="1:18">
      <c r="A195" s="568"/>
      <c r="B195" s="568"/>
      <c r="C195" s="568"/>
      <c r="D195" s="568"/>
      <c r="E195" s="568"/>
      <c r="F195" s="568"/>
      <c r="G195" s="568"/>
      <c r="H195" s="568"/>
      <c r="I195" s="568"/>
      <c r="J195" s="568"/>
      <c r="K195" s="568"/>
      <c r="L195" s="568"/>
      <c r="M195" s="568"/>
      <c r="N195" s="568"/>
      <c r="O195" s="568"/>
      <c r="P195" s="568"/>
      <c r="Q195" s="568"/>
      <c r="R195" s="568"/>
    </row>
    <row r="196" spans="1:18">
      <c r="A196" s="568"/>
      <c r="B196" s="568"/>
      <c r="C196" s="568"/>
      <c r="D196" s="568"/>
      <c r="E196" s="568"/>
      <c r="F196" s="568"/>
      <c r="G196" s="568"/>
      <c r="H196" s="568"/>
      <c r="I196" s="568"/>
      <c r="J196" s="568"/>
      <c r="K196" s="568"/>
      <c r="L196" s="568"/>
      <c r="M196" s="568"/>
      <c r="N196" s="568"/>
      <c r="O196" s="568"/>
      <c r="P196" s="568"/>
      <c r="Q196" s="568"/>
      <c r="R196" s="568"/>
    </row>
  </sheetData>
  <phoneticPr fontId="4" type="noConversion"/>
  <pageMargins left="0.94999999999999984" right="0.75" top="1" bottom="1" header="0.5" footer="0.5"/>
  <pageSetup scale="46" orientation="portrait" horizontalDpi="300" verticalDpi="300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tabColor rgb="FF002060"/>
    <pageSetUpPr fitToPage="1"/>
  </sheetPr>
  <dimension ref="A1:X115"/>
  <sheetViews>
    <sheetView zoomScale="90" zoomScaleNormal="90" workbookViewId="0"/>
  </sheetViews>
  <sheetFormatPr defaultColWidth="8" defaultRowHeight="13.2"/>
  <cols>
    <col min="1" max="1" width="6.5546875" style="1632" customWidth="1"/>
    <col min="2" max="2" width="0.88671875" style="1632" customWidth="1"/>
    <col min="3" max="3" width="42" style="1632" customWidth="1"/>
    <col min="4" max="4" width="1.109375" style="1632" customWidth="1"/>
    <col min="5" max="5" width="14.109375" style="1632" customWidth="1"/>
    <col min="6" max="6" width="1.109375" style="1632" customWidth="1"/>
    <col min="7" max="7" width="17.88671875" style="1632" customWidth="1"/>
    <col min="8" max="8" width="1.33203125" style="1632" customWidth="1"/>
    <col min="9" max="9" width="12.88671875" style="1632" customWidth="1"/>
    <col min="10" max="10" width="1.44140625" style="1632" customWidth="1"/>
    <col min="11" max="11" width="10.44140625" style="1632" customWidth="1"/>
    <col min="12" max="12" width="1.5546875" style="1632" customWidth="1"/>
    <col min="13" max="13" width="19" style="1632" customWidth="1"/>
    <col min="14" max="14" width="4.109375" style="1632" customWidth="1"/>
    <col min="15" max="15" width="10.6640625" style="1632" customWidth="1"/>
    <col min="16" max="16" width="2.33203125" style="1632" customWidth="1"/>
    <col min="17" max="17" width="14.88671875" style="1632" customWidth="1"/>
    <col min="18" max="21" width="12.5546875" style="1632" customWidth="1"/>
    <col min="22" max="16384" width="8" style="1632"/>
  </cols>
  <sheetData>
    <row r="1" spans="1:17">
      <c r="A1" s="1625" t="str">
        <f>COMPANY</f>
        <v>DUKE ENERGY KENTUCKY, INC.</v>
      </c>
      <c r="B1" s="1630"/>
      <c r="C1" s="1630"/>
      <c r="D1" s="1630"/>
      <c r="E1" s="1630"/>
      <c r="F1" s="1630"/>
      <c r="G1" s="1630"/>
      <c r="H1" s="1630"/>
      <c r="I1" s="1630"/>
      <c r="J1" s="1630"/>
      <c r="K1" s="1630"/>
      <c r="L1" s="1630"/>
      <c r="M1" s="1630"/>
      <c r="N1" s="1631"/>
    </row>
    <row r="2" spans="1:17">
      <c r="A2" s="1625" t="str">
        <f>CASE</f>
        <v>CASE NO. 2018-00261</v>
      </c>
      <c r="B2" s="1630"/>
      <c r="C2" s="1630"/>
      <c r="D2" s="1630"/>
      <c r="E2" s="1630"/>
      <c r="F2" s="1630"/>
      <c r="G2" s="1630"/>
      <c r="H2" s="1630"/>
      <c r="I2" s="1630"/>
      <c r="J2" s="1630"/>
      <c r="K2" s="1630"/>
      <c r="L2" s="1630"/>
      <c r="M2" s="1630"/>
      <c r="N2" s="1631"/>
    </row>
    <row r="3" spans="1:17">
      <c r="A3" s="1625" t="s">
        <v>1894</v>
      </c>
      <c r="B3" s="1630"/>
      <c r="C3" s="1630"/>
      <c r="D3" s="1630"/>
      <c r="E3" s="1630"/>
      <c r="F3" s="1630"/>
      <c r="G3" s="1630"/>
      <c r="H3" s="1630"/>
      <c r="I3" s="1630"/>
      <c r="J3" s="1630"/>
      <c r="K3" s="1630"/>
      <c r="L3" s="1630"/>
      <c r="M3" s="1630"/>
      <c r="N3" s="1631"/>
    </row>
    <row r="4" spans="1:17">
      <c r="A4" s="1625" t="str">
        <f>"AS OF " &amp;RIGHT(TESTYR,(LEN(TESTYR)-16))</f>
        <v>AS OF NOVEMBER 30, 2018</v>
      </c>
      <c r="B4" s="1630"/>
      <c r="C4" s="1630"/>
      <c r="D4" s="1630"/>
      <c r="E4" s="1630"/>
      <c r="F4" s="1630"/>
      <c r="G4" s="1630"/>
      <c r="H4" s="1630"/>
      <c r="I4" s="1630"/>
      <c r="J4" s="1630"/>
      <c r="K4" s="1630"/>
      <c r="L4" s="1630"/>
      <c r="M4" s="1630"/>
      <c r="N4" s="1631"/>
    </row>
    <row r="5" spans="1:17">
      <c r="A5" s="1633"/>
      <c r="B5" s="1633"/>
      <c r="C5" s="1633"/>
      <c r="D5" s="1633"/>
      <c r="E5" s="1633"/>
      <c r="F5" s="1633"/>
      <c r="G5" s="1633"/>
      <c r="H5" s="1633"/>
      <c r="I5" s="1633"/>
      <c r="J5" s="1633"/>
      <c r="K5" s="1633"/>
      <c r="L5" s="1633"/>
      <c r="M5" s="1633"/>
      <c r="N5" s="1633"/>
    </row>
    <row r="6" spans="1:17">
      <c r="A6" s="1634" t="str">
        <f>Data</f>
        <v>DATA: "X" BASE PERIOD   FORECASTED PERIOD</v>
      </c>
      <c r="K6" s="1635" t="s">
        <v>1895</v>
      </c>
    </row>
    <row r="7" spans="1:17">
      <c r="A7" s="1635" t="s">
        <v>1819</v>
      </c>
      <c r="K7" s="1635" t="s">
        <v>2092</v>
      </c>
      <c r="L7" s="1635"/>
    </row>
    <row r="8" spans="1:17">
      <c r="A8" s="1636" t="str">
        <f>Type</f>
        <v xml:space="preserve">TYPE OF FILING:  "X" ORIGINAL   UPDATED    REVISED  </v>
      </c>
      <c r="K8" s="1635" t="s">
        <v>566</v>
      </c>
      <c r="L8" s="1635"/>
      <c r="O8" s="1637"/>
      <c r="P8" s="1637"/>
      <c r="Q8" s="1637"/>
    </row>
    <row r="9" spans="1:17">
      <c r="A9" s="1635" t="s">
        <v>1694</v>
      </c>
      <c r="K9" s="1635" t="str">
        <f>_WIT9</f>
        <v>R. H. PRATT</v>
      </c>
      <c r="L9" s="1635"/>
      <c r="O9" s="1637"/>
      <c r="P9" s="1637"/>
      <c r="Q9" s="1637"/>
    </row>
    <row r="10" spans="1:17">
      <c r="L10" s="1635"/>
      <c r="O10" s="1637"/>
      <c r="P10" s="1637"/>
      <c r="Q10" s="1637"/>
    </row>
    <row r="11" spans="1:17">
      <c r="A11" s="1638"/>
      <c r="B11" s="1638"/>
      <c r="C11" s="1638"/>
      <c r="D11" s="1638"/>
      <c r="E11" s="1638"/>
      <c r="F11" s="1638"/>
      <c r="G11" s="1638"/>
      <c r="H11" s="1638"/>
      <c r="I11" s="1638"/>
      <c r="J11" s="1638"/>
      <c r="K11" s="1638"/>
      <c r="L11" s="1638"/>
      <c r="M11" s="1638"/>
      <c r="O11" s="1639"/>
      <c r="P11" s="1639"/>
      <c r="Q11" s="1639"/>
    </row>
    <row r="12" spans="1:17">
      <c r="A12" s="1640" t="s">
        <v>567</v>
      </c>
      <c r="G12" s="1640" t="s">
        <v>2098</v>
      </c>
      <c r="H12" s="1640"/>
      <c r="I12" s="1640" t="s">
        <v>1695</v>
      </c>
      <c r="K12" s="1633" t="s">
        <v>2097</v>
      </c>
      <c r="M12" s="1640" t="s">
        <v>1696</v>
      </c>
      <c r="O12" s="1639"/>
      <c r="P12" s="1639"/>
      <c r="Q12" s="3575"/>
    </row>
    <row r="13" spans="1:17">
      <c r="A13" s="1640" t="s">
        <v>2169</v>
      </c>
      <c r="C13" s="1640" t="s">
        <v>1697</v>
      </c>
      <c r="E13" s="1640" t="s">
        <v>742</v>
      </c>
      <c r="F13" s="1640"/>
      <c r="G13" s="1641" t="s">
        <v>1134</v>
      </c>
      <c r="H13" s="1641"/>
      <c r="I13" s="1641" t="s">
        <v>884</v>
      </c>
      <c r="J13" s="1640"/>
      <c r="K13" s="1640" t="s">
        <v>1698</v>
      </c>
      <c r="L13" s="1640"/>
      <c r="M13" s="1640" t="s">
        <v>1699</v>
      </c>
      <c r="O13" s="1639"/>
      <c r="P13" s="1639"/>
      <c r="Q13" s="3575"/>
    </row>
    <row r="14" spans="1:17">
      <c r="A14" s="1638"/>
      <c r="B14" s="1638"/>
      <c r="C14" s="1638"/>
      <c r="D14" s="1638"/>
      <c r="E14" s="1638"/>
      <c r="F14" s="1638"/>
      <c r="G14" s="1643"/>
      <c r="H14" s="1643"/>
      <c r="I14" s="1643"/>
      <c r="J14" s="1644"/>
      <c r="K14" s="1638"/>
      <c r="L14" s="1638"/>
      <c r="M14" s="1638"/>
      <c r="O14" s="1639"/>
      <c r="P14" s="1639"/>
      <c r="Q14" s="3575"/>
    </row>
    <row r="15" spans="1:17">
      <c r="O15" s="1639"/>
      <c r="P15" s="1639"/>
      <c r="Q15" s="1639"/>
    </row>
    <row r="16" spans="1:17">
      <c r="A16" s="1640">
        <v>1</v>
      </c>
      <c r="C16" s="1646" t="s">
        <v>1700</v>
      </c>
      <c r="E16" s="1640"/>
      <c r="F16" s="1640"/>
      <c r="G16" s="3021">
        <v>575707316</v>
      </c>
      <c r="H16" s="1647"/>
      <c r="I16" s="1648">
        <f>1-I17-I18</f>
        <v>0.49865999999999999</v>
      </c>
      <c r="J16" s="1649"/>
      <c r="K16" s="3467">
        <v>9.9000000000000005E-2</v>
      </c>
      <c r="L16" s="1650"/>
      <c r="M16" s="1648">
        <f>ROUND((I16*K16),5)</f>
        <v>4.9369999999999997E-2</v>
      </c>
      <c r="O16" s="1639"/>
      <c r="P16" s="1639"/>
      <c r="Q16" s="3576"/>
    </row>
    <row r="17" spans="1:17">
      <c r="A17" s="1640">
        <f t="shared" ref="A17:A33" si="0">1+A16</f>
        <v>2</v>
      </c>
      <c r="C17" s="1646" t="s">
        <v>1701</v>
      </c>
      <c r="E17" s="1640" t="s">
        <v>1702</v>
      </c>
      <c r="F17" s="1640"/>
      <c r="G17" s="1651">
        <f>'SCH_J3 - Base'!L52</f>
        <v>448447950</v>
      </c>
      <c r="H17" s="1647"/>
      <c r="I17" s="1648">
        <f>ROUND(G17/$G$20,5)</f>
        <v>0.38844000000000001</v>
      </c>
      <c r="J17" s="1649"/>
      <c r="K17" s="1652">
        <f>'SCH_J3 - Base'!M55</f>
        <v>4.3310000000000001E-2</v>
      </c>
      <c r="L17" s="1650"/>
      <c r="M17" s="1648">
        <f>ROUND((I17*K17),5)</f>
        <v>1.6820000000000002E-2</v>
      </c>
      <c r="O17" s="1639"/>
      <c r="P17" s="1639"/>
      <c r="Q17" s="3576"/>
    </row>
    <row r="18" spans="1:17">
      <c r="A18" s="1640">
        <f t="shared" si="0"/>
        <v>3</v>
      </c>
      <c r="C18" s="1653" t="s">
        <v>1703</v>
      </c>
      <c r="E18" s="1654" t="s">
        <v>1704</v>
      </c>
      <c r="F18" s="1655"/>
      <c r="G18" s="1656">
        <f>'SCH_J2 - Base'!D34</f>
        <v>130336352</v>
      </c>
      <c r="I18" s="1657">
        <f>ROUND(G18/$G$20,5)</f>
        <v>0.1129</v>
      </c>
      <c r="J18" s="1658"/>
      <c r="K18" s="1652">
        <f>'SCH_J2 - Base'!J36</f>
        <v>4.3749999999999997E-2</v>
      </c>
      <c r="L18" s="1650"/>
      <c r="M18" s="1657">
        <f>ROUND((I18*K18),5)</f>
        <v>4.9399999999999999E-3</v>
      </c>
      <c r="O18" s="1639"/>
      <c r="P18" s="1639"/>
      <c r="Q18" s="3576"/>
    </row>
    <row r="19" spans="1:17">
      <c r="A19" s="1640">
        <f t="shared" si="0"/>
        <v>4</v>
      </c>
      <c r="I19" s="1659"/>
      <c r="K19" s="1659"/>
      <c r="L19" s="1659"/>
      <c r="M19" s="1659"/>
      <c r="O19" s="1639"/>
      <c r="P19" s="1639"/>
      <c r="Q19" s="3576"/>
    </row>
    <row r="20" spans="1:17">
      <c r="A20" s="1640">
        <f t="shared" si="0"/>
        <v>5</v>
      </c>
      <c r="C20" s="1646" t="s">
        <v>1705</v>
      </c>
      <c r="G20" s="1660">
        <f>SUM(G16:G18)</f>
        <v>1154491618</v>
      </c>
      <c r="H20" s="1655"/>
      <c r="I20" s="1661">
        <f>SUM(I16:I18)</f>
        <v>1</v>
      </c>
      <c r="J20" s="1649"/>
      <c r="K20" s="1648"/>
      <c r="L20" s="1648"/>
      <c r="M20" s="1661">
        <f>SUM(M16:M19)</f>
        <v>7.1129999999999999E-2</v>
      </c>
      <c r="O20" s="1637"/>
      <c r="P20" s="1637"/>
      <c r="Q20" s="3576"/>
    </row>
    <row r="21" spans="1:17">
      <c r="A21" s="1640">
        <f t="shared" si="0"/>
        <v>6</v>
      </c>
      <c r="C21" s="1653"/>
      <c r="E21" s="1655"/>
      <c r="F21" s="1655"/>
      <c r="G21" s="1662"/>
      <c r="H21" s="1662"/>
      <c r="I21" s="1663"/>
      <c r="J21" s="1664"/>
      <c r="K21" s="1665"/>
      <c r="L21" s="1665"/>
      <c r="M21" s="1664"/>
      <c r="O21" s="1637"/>
      <c r="P21" s="1637"/>
      <c r="Q21" s="1637"/>
    </row>
    <row r="22" spans="1:17">
      <c r="A22" s="1640">
        <f t="shared" si="0"/>
        <v>7</v>
      </c>
      <c r="C22" s="1653"/>
      <c r="E22" s="1655"/>
      <c r="F22" s="1655"/>
      <c r="G22" s="1662"/>
      <c r="H22" s="1662"/>
      <c r="I22" s="1664"/>
      <c r="J22" s="1664"/>
      <c r="K22" s="1665"/>
      <c r="L22" s="1665"/>
      <c r="M22" s="1664"/>
      <c r="O22" s="1637"/>
      <c r="P22" s="1637"/>
      <c r="Q22" s="1637"/>
    </row>
    <row r="23" spans="1:17">
      <c r="A23" s="1640">
        <f t="shared" si="0"/>
        <v>8</v>
      </c>
      <c r="C23" s="1653" t="s">
        <v>1706</v>
      </c>
      <c r="E23" s="1655"/>
      <c r="F23" s="1655"/>
      <c r="G23" s="1662"/>
      <c r="H23" s="1662"/>
      <c r="I23" s="1664"/>
      <c r="J23" s="1664"/>
      <c r="K23" s="1665"/>
      <c r="L23" s="1665"/>
      <c r="M23" s="1664"/>
      <c r="O23" s="1637"/>
      <c r="P23" s="1637"/>
      <c r="Q23" s="1637"/>
    </row>
    <row r="24" spans="1:17">
      <c r="A24" s="1640">
        <f t="shared" si="0"/>
        <v>9</v>
      </c>
      <c r="C24" s="1653" t="s">
        <v>1707</v>
      </c>
      <c r="E24" s="1654" t="s">
        <v>2446</v>
      </c>
      <c r="F24" s="1655"/>
      <c r="G24" s="3151">
        <f>-'WPB-6''s'!L24-'WPB-6''s'!L69-'WPB-6''s'!L48</f>
        <v>3764953</v>
      </c>
      <c r="H24" s="1662"/>
      <c r="I24" s="1664"/>
      <c r="J24" s="1664"/>
      <c r="K24" s="1665"/>
      <c r="L24" s="1665"/>
      <c r="M24" s="1664"/>
      <c r="O24" s="1637"/>
      <c r="P24" s="1637"/>
      <c r="Q24" s="1637"/>
    </row>
    <row r="25" spans="1:17">
      <c r="A25" s="1640">
        <f t="shared" si="0"/>
        <v>10</v>
      </c>
      <c r="C25" s="1646"/>
      <c r="G25" s="1655"/>
      <c r="H25" s="1655"/>
      <c r="I25" s="1666"/>
      <c r="J25" s="1666"/>
      <c r="K25" s="1665"/>
      <c r="L25" s="1665"/>
      <c r="M25" s="1665"/>
      <c r="O25" s="1637"/>
      <c r="P25" s="1637"/>
      <c r="Q25" s="1637"/>
    </row>
    <row r="26" spans="1:17">
      <c r="A26" s="1640">
        <f t="shared" si="0"/>
        <v>11</v>
      </c>
      <c r="C26" s="1653"/>
      <c r="G26" s="1662"/>
      <c r="H26" s="1662"/>
      <c r="I26" s="1666"/>
      <c r="J26" s="1666"/>
      <c r="K26" s="1665"/>
      <c r="L26" s="1665"/>
      <c r="M26" s="1665"/>
      <c r="O26" s="1637"/>
      <c r="P26" s="1637"/>
      <c r="Q26" s="1637"/>
    </row>
    <row r="27" spans="1:17">
      <c r="A27" s="1640">
        <f t="shared" si="0"/>
        <v>12</v>
      </c>
      <c r="C27" s="1667" t="s">
        <v>1708</v>
      </c>
      <c r="G27" s="1655"/>
      <c r="H27" s="1655"/>
      <c r="I27" s="1666"/>
      <c r="J27" s="1666"/>
      <c r="K27" s="1665"/>
      <c r="L27" s="1665"/>
      <c r="M27" s="1665"/>
      <c r="O27" s="1637"/>
      <c r="P27" s="1637"/>
      <c r="Q27" s="1637"/>
    </row>
    <row r="28" spans="1:17">
      <c r="A28" s="1640">
        <f t="shared" si="0"/>
        <v>13</v>
      </c>
      <c r="C28" s="1646"/>
      <c r="E28" s="1640"/>
      <c r="F28" s="1640"/>
      <c r="G28" s="1668"/>
      <c r="H28" s="1647"/>
      <c r="I28" s="1666"/>
      <c r="J28" s="1666"/>
      <c r="K28" s="1665"/>
      <c r="L28" s="1665"/>
      <c r="M28" s="1665"/>
      <c r="O28" s="1637"/>
      <c r="P28" s="1637"/>
      <c r="Q28" s="1637"/>
    </row>
    <row r="29" spans="1:17">
      <c r="A29" s="1640">
        <f t="shared" si="0"/>
        <v>14</v>
      </c>
      <c r="C29" s="1646" t="s">
        <v>1700</v>
      </c>
      <c r="G29" s="1662">
        <f>ROUND(G16+(I16*G24),0)</f>
        <v>577584747</v>
      </c>
      <c r="H29" s="1662"/>
      <c r="I29" s="1648">
        <f>I16</f>
        <v>0.49865999999999999</v>
      </c>
      <c r="J29" s="1666"/>
      <c r="K29" s="1652">
        <f>K16</f>
        <v>9.9000000000000005E-2</v>
      </c>
      <c r="L29" s="1648"/>
      <c r="M29" s="1648">
        <f>ROUND((I29*K29),5)</f>
        <v>4.9369999999999997E-2</v>
      </c>
    </row>
    <row r="30" spans="1:17">
      <c r="A30" s="1640">
        <f t="shared" si="0"/>
        <v>15</v>
      </c>
      <c r="C30" s="1646" t="s">
        <v>1701</v>
      </c>
      <c r="G30" s="1662">
        <f>ROUND(G17+(I17*G24),0)</f>
        <v>449910408</v>
      </c>
      <c r="H30" s="1655"/>
      <c r="I30" s="1648">
        <f>I17</f>
        <v>0.38844000000000001</v>
      </c>
      <c r="J30" s="1666"/>
      <c r="K30" s="1652">
        <f>K17</f>
        <v>4.3310000000000001E-2</v>
      </c>
      <c r="L30" s="1648"/>
      <c r="M30" s="1648">
        <f>ROUND((I30*K30),5)</f>
        <v>1.6820000000000002E-2</v>
      </c>
    </row>
    <row r="31" spans="1:17">
      <c r="A31" s="1640">
        <f t="shared" si="0"/>
        <v>16</v>
      </c>
      <c r="C31" s="1653" t="s">
        <v>1703</v>
      </c>
      <c r="E31" s="1640"/>
      <c r="F31" s="1640"/>
      <c r="G31" s="1669">
        <f>ROUND(G18+(I18*G24),0)</f>
        <v>130761415</v>
      </c>
      <c r="H31" s="1647"/>
      <c r="I31" s="1657">
        <f>I18</f>
        <v>0.1129</v>
      </c>
      <c r="J31" s="1666"/>
      <c r="K31" s="1652">
        <f>K18</f>
        <v>4.3749999999999997E-2</v>
      </c>
      <c r="L31" s="1659"/>
      <c r="M31" s="1657">
        <f>ROUND((I31*K31),5)</f>
        <v>4.9399999999999999E-3</v>
      </c>
    </row>
    <row r="32" spans="1:17">
      <c r="A32" s="1640">
        <f t="shared" si="0"/>
        <v>17</v>
      </c>
      <c r="C32" s="1646"/>
      <c r="E32" s="1640"/>
      <c r="F32" s="1640"/>
      <c r="G32" s="1647"/>
      <c r="H32" s="1647"/>
      <c r="I32" s="1648"/>
      <c r="J32" s="1666"/>
      <c r="K32" s="1659"/>
      <c r="L32" s="1659"/>
      <c r="M32" s="1659"/>
    </row>
    <row r="33" spans="1:24">
      <c r="A33" s="1640">
        <f t="shared" si="0"/>
        <v>18</v>
      </c>
      <c r="C33" s="1632" t="s">
        <v>1709</v>
      </c>
      <c r="G33" s="1670">
        <f>SUM(G29:G32)</f>
        <v>1158256570</v>
      </c>
      <c r="H33" s="1662"/>
      <c r="I33" s="1671">
        <f>SUM(I29:I32)</f>
        <v>1</v>
      </c>
      <c r="K33" s="1659"/>
      <c r="L33" s="1659"/>
      <c r="M33" s="1661">
        <f>SUM(M29:M32)</f>
        <v>7.1129999999999999E-2</v>
      </c>
    </row>
    <row r="34" spans="1:24">
      <c r="A34" s="1633"/>
      <c r="I34" s="1659"/>
    </row>
    <row r="35" spans="1:24">
      <c r="A35" s="1633"/>
    </row>
    <row r="36" spans="1:24">
      <c r="M36" s="1665"/>
    </row>
    <row r="38" spans="1:24">
      <c r="I38" s="1666"/>
      <c r="J38" s="1666"/>
    </row>
    <row r="39" spans="1:24">
      <c r="A39" s="1635"/>
      <c r="K39" s="1665"/>
      <c r="L39" s="1665"/>
      <c r="M39" s="1665"/>
    </row>
    <row r="40" spans="1:24">
      <c r="A40" s="1635"/>
      <c r="K40" s="1665"/>
      <c r="L40" s="1665"/>
      <c r="M40" s="1665"/>
    </row>
    <row r="41" spans="1:24">
      <c r="N41" s="1672"/>
      <c r="W41" s="1673"/>
      <c r="X41" s="1673"/>
    </row>
    <row r="42" spans="1:24">
      <c r="N42" s="1672"/>
      <c r="W42" s="1673"/>
      <c r="X42" s="1673"/>
    </row>
    <row r="43" spans="1:24">
      <c r="N43" s="1672"/>
      <c r="W43" s="1673"/>
      <c r="X43" s="1673"/>
    </row>
    <row r="44" spans="1:24">
      <c r="N44" s="1672"/>
      <c r="W44" s="1673"/>
      <c r="X44" s="1673"/>
    </row>
    <row r="45" spans="1:24">
      <c r="N45" s="1672"/>
      <c r="W45" s="1673"/>
      <c r="X45" s="1673"/>
    </row>
    <row r="46" spans="1:24">
      <c r="N46" s="1637"/>
      <c r="W46" s="1673"/>
      <c r="X46" s="1673"/>
    </row>
    <row r="47" spans="1:24">
      <c r="N47" s="1637"/>
      <c r="W47" s="1673"/>
      <c r="X47" s="1673"/>
    </row>
    <row r="48" spans="1:24">
      <c r="N48" s="1637"/>
      <c r="W48" s="1673"/>
      <c r="X48" s="1673"/>
    </row>
    <row r="49" spans="14:24">
      <c r="N49" s="1637"/>
      <c r="W49" s="1674"/>
      <c r="X49" s="1674"/>
    </row>
    <row r="50" spans="14:24">
      <c r="N50" s="1641"/>
      <c r="W50" s="1674"/>
      <c r="X50" s="1674"/>
    </row>
    <row r="51" spans="14:24">
      <c r="N51" s="1675"/>
      <c r="W51" s="1674"/>
      <c r="X51" s="1674"/>
    </row>
    <row r="52" spans="14:24">
      <c r="N52" s="1641"/>
      <c r="W52" s="1674"/>
      <c r="X52" s="1674"/>
    </row>
    <row r="53" spans="14:24">
      <c r="N53" s="1641"/>
      <c r="W53" s="1674"/>
      <c r="X53" s="1674"/>
    </row>
    <row r="54" spans="14:24">
      <c r="N54" s="1641"/>
      <c r="W54" s="1674"/>
      <c r="X54" s="1674"/>
    </row>
    <row r="55" spans="14:24">
      <c r="N55" s="1641"/>
      <c r="W55" s="1674"/>
      <c r="X55" s="1674"/>
    </row>
    <row r="56" spans="14:24">
      <c r="N56" s="1641"/>
      <c r="W56" s="1674"/>
      <c r="X56" s="1674"/>
    </row>
    <row r="57" spans="14:24">
      <c r="N57" s="1641"/>
      <c r="W57" s="1674"/>
      <c r="X57" s="1674"/>
    </row>
    <row r="58" spans="14:24">
      <c r="N58" s="1641"/>
      <c r="W58" s="1674"/>
      <c r="X58" s="1674"/>
    </row>
    <row r="59" spans="14:24">
      <c r="N59" s="1641"/>
      <c r="W59" s="1674"/>
      <c r="X59" s="1674"/>
    </row>
    <row r="60" spans="14:24">
      <c r="N60" s="1641"/>
      <c r="W60" s="1674"/>
      <c r="X60" s="1674"/>
    </row>
    <row r="61" spans="14:24">
      <c r="N61" s="1641"/>
      <c r="W61" s="1674"/>
      <c r="X61" s="1674"/>
    </row>
    <row r="62" spans="14:24">
      <c r="N62" s="1641"/>
      <c r="W62" s="1674"/>
      <c r="X62" s="1674"/>
    </row>
    <row r="63" spans="14:24">
      <c r="N63" s="1641"/>
      <c r="W63" s="1674"/>
      <c r="X63" s="1674"/>
    </row>
    <row r="64" spans="14:24">
      <c r="N64" s="1641"/>
      <c r="W64" s="1674"/>
      <c r="X64" s="1674"/>
    </row>
    <row r="65" spans="14:24">
      <c r="N65" s="1641"/>
      <c r="W65" s="1674"/>
      <c r="X65" s="1674"/>
    </row>
    <row r="66" spans="14:24">
      <c r="N66" s="1641"/>
      <c r="W66" s="1674"/>
      <c r="X66" s="1674"/>
    </row>
    <row r="67" spans="14:24">
      <c r="N67" s="1641"/>
      <c r="W67" s="1673"/>
      <c r="X67" s="1673"/>
    </row>
    <row r="68" spans="14:24">
      <c r="N68" s="1641"/>
      <c r="W68" s="1673"/>
      <c r="X68" s="1673"/>
    </row>
    <row r="69" spans="14:24">
      <c r="N69" s="1672"/>
      <c r="W69" s="1673"/>
      <c r="X69" s="1673"/>
    </row>
    <row r="70" spans="14:24">
      <c r="N70" s="1637"/>
      <c r="W70" s="1673"/>
      <c r="X70" s="1673"/>
    </row>
    <row r="71" spans="14:24">
      <c r="N71" s="1637"/>
      <c r="W71" s="1673"/>
      <c r="X71" s="1673"/>
    </row>
    <row r="72" spans="14:24">
      <c r="N72" s="1637"/>
      <c r="W72" s="1673"/>
      <c r="X72" s="1673"/>
    </row>
    <row r="73" spans="14:24">
      <c r="N73" s="1637"/>
      <c r="W73" s="1673"/>
      <c r="X73" s="1673"/>
    </row>
    <row r="74" spans="14:24">
      <c r="N74" s="1637"/>
    </row>
    <row r="75" spans="14:24">
      <c r="N75" s="1637"/>
    </row>
    <row r="76" spans="14:24">
      <c r="N76" s="1637"/>
    </row>
    <row r="77" spans="14:24">
      <c r="N77" s="1637"/>
    </row>
    <row r="78" spans="14:24">
      <c r="N78" s="1637"/>
    </row>
    <row r="79" spans="14:24">
      <c r="N79" s="1637"/>
    </row>
    <row r="80" spans="14:24">
      <c r="N80" s="1637"/>
    </row>
    <row r="81" spans="14:14">
      <c r="N81" s="1637"/>
    </row>
    <row r="82" spans="14:14">
      <c r="N82" s="1637"/>
    </row>
    <row r="83" spans="14:14">
      <c r="N83" s="1637"/>
    </row>
    <row r="84" spans="14:14">
      <c r="N84" s="1637"/>
    </row>
    <row r="85" spans="14:14">
      <c r="N85" s="1637"/>
    </row>
    <row r="86" spans="14:14">
      <c r="N86" s="1637"/>
    </row>
    <row r="87" spans="14:14">
      <c r="N87" s="1637"/>
    </row>
    <row r="88" spans="14:14">
      <c r="N88" s="1637"/>
    </row>
    <row r="89" spans="14:14">
      <c r="N89" s="1637"/>
    </row>
    <row r="90" spans="14:14">
      <c r="N90" s="1637"/>
    </row>
    <row r="91" spans="14:14">
      <c r="N91" s="1637"/>
    </row>
    <row r="92" spans="14:14">
      <c r="N92" s="1637"/>
    </row>
    <row r="93" spans="14:14">
      <c r="N93" s="1637"/>
    </row>
    <row r="94" spans="14:14">
      <c r="N94" s="1637"/>
    </row>
    <row r="95" spans="14:14">
      <c r="N95" s="1637"/>
    </row>
    <row r="96" spans="14:14">
      <c r="N96" s="1637"/>
    </row>
    <row r="97" spans="14:14">
      <c r="N97" s="1637"/>
    </row>
    <row r="98" spans="14:14">
      <c r="N98" s="1637"/>
    </row>
    <row r="99" spans="14:14">
      <c r="N99" s="1637"/>
    </row>
    <row r="100" spans="14:14">
      <c r="N100" s="1637"/>
    </row>
    <row r="101" spans="14:14">
      <c r="N101" s="1637"/>
    </row>
    <row r="102" spans="14:14">
      <c r="N102" s="1637"/>
    </row>
    <row r="103" spans="14:14">
      <c r="N103" s="1637"/>
    </row>
    <row r="104" spans="14:14">
      <c r="N104" s="1637"/>
    </row>
    <row r="105" spans="14:14">
      <c r="N105" s="1637"/>
    </row>
    <row r="106" spans="14:14">
      <c r="N106" s="1637"/>
    </row>
    <row r="107" spans="14:14">
      <c r="N107" s="1637"/>
    </row>
    <row r="108" spans="14:14">
      <c r="N108" s="1637"/>
    </row>
    <row r="109" spans="14:14">
      <c r="N109" s="1637"/>
    </row>
    <row r="110" spans="14:14">
      <c r="N110" s="1637"/>
    </row>
    <row r="111" spans="14:14">
      <c r="N111" s="1637"/>
    </row>
    <row r="112" spans="14:14">
      <c r="N112" s="1637"/>
    </row>
    <row r="113" spans="14:14">
      <c r="N113" s="1637"/>
    </row>
    <row r="114" spans="14:14">
      <c r="N114" s="1637"/>
    </row>
    <row r="115" spans="14:14">
      <c r="N115" s="1637"/>
    </row>
  </sheetData>
  <phoneticPr fontId="4" type="noConversion"/>
  <pageMargins left="1" right="0.75" top="0.98425196850393704" bottom="0" header="0" footer="0"/>
  <pageSetup scale="67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9">
    <tabColor rgb="FF002060"/>
    <pageSetUpPr fitToPage="1"/>
  </sheetPr>
  <dimension ref="A1:R79"/>
  <sheetViews>
    <sheetView zoomScale="90" zoomScaleNormal="90" workbookViewId="0"/>
  </sheetViews>
  <sheetFormatPr defaultColWidth="8" defaultRowHeight="13.2"/>
  <cols>
    <col min="1" max="1" width="7" style="1632" customWidth="1"/>
    <col min="2" max="2" width="1.88671875" style="1632" customWidth="1"/>
    <col min="3" max="3" width="42.33203125" style="1632" customWidth="1"/>
    <col min="4" max="4" width="1.5546875" style="1632" customWidth="1"/>
    <col min="5" max="5" width="17" style="1632" customWidth="1"/>
    <col min="6" max="6" width="1.109375" style="1632" customWidth="1"/>
    <col min="7" max="7" width="16.88671875" style="1632" customWidth="1"/>
    <col min="8" max="8" width="1.109375" style="1632" customWidth="1"/>
    <col min="9" max="9" width="11.88671875" style="1632" customWidth="1"/>
    <col min="10" max="10" width="1.5546875" style="1632" customWidth="1"/>
    <col min="11" max="11" width="11.88671875" style="1632" customWidth="1"/>
    <col min="12" max="12" width="0.6640625" style="1632" customWidth="1"/>
    <col min="13" max="13" width="16.33203125" style="1632" customWidth="1"/>
    <col min="14" max="14" width="8" style="1632" customWidth="1"/>
    <col min="15" max="15" width="11.5546875" style="1632" customWidth="1"/>
    <col min="16" max="16" width="1.88671875" style="1632" customWidth="1"/>
    <col min="17" max="17" width="15.33203125" style="1632" customWidth="1"/>
    <col min="18" max="22" width="11.5546875" style="1632" customWidth="1"/>
    <col min="23" max="16384" width="8" style="1632"/>
  </cols>
  <sheetData>
    <row r="1" spans="1:18">
      <c r="A1" s="1625" t="str">
        <f>COMPANY</f>
        <v>DUKE ENERGY KENTUCKY, INC.</v>
      </c>
      <c r="B1" s="1630"/>
      <c r="C1" s="1630"/>
      <c r="D1" s="1630"/>
      <c r="E1" s="1630"/>
      <c r="F1" s="1630"/>
      <c r="G1" s="1630"/>
      <c r="H1" s="1630"/>
      <c r="I1" s="1630"/>
      <c r="J1" s="1630"/>
      <c r="K1" s="1630"/>
      <c r="L1" s="1630"/>
      <c r="M1" s="1630"/>
    </row>
    <row r="2" spans="1:18">
      <c r="A2" s="1625" t="str">
        <f>CASE</f>
        <v>CASE NO. 2018-00261</v>
      </c>
      <c r="B2" s="1630"/>
      <c r="C2" s="1630"/>
      <c r="D2" s="1630"/>
      <c r="E2" s="1630"/>
      <c r="F2" s="1630"/>
      <c r="G2" s="1630"/>
      <c r="H2" s="1630"/>
      <c r="I2" s="1630"/>
      <c r="J2" s="1630"/>
      <c r="K2" s="1630"/>
      <c r="L2" s="1630"/>
      <c r="M2" s="1630"/>
    </row>
    <row r="3" spans="1:18">
      <c r="A3" s="1625" t="s">
        <v>1894</v>
      </c>
      <c r="B3" s="1630"/>
      <c r="C3" s="1630"/>
      <c r="D3" s="1630"/>
      <c r="E3" s="1630"/>
      <c r="F3" s="1630"/>
      <c r="G3" s="1630"/>
      <c r="H3" s="1630"/>
      <c r="I3" s="1630"/>
      <c r="J3" s="1630"/>
      <c r="K3" s="1630"/>
      <c r="L3" s="1630"/>
      <c r="M3" s="1630"/>
    </row>
    <row r="4" spans="1:18">
      <c r="A4" s="1625" t="str">
        <f>"THIRTEEN MONTH AVERAGE BALANCE ENDING "&amp;Testyear</f>
        <v>THIRTEEN MONTH AVERAGE BALANCE ENDING MARCH 31, 2020</v>
      </c>
      <c r="B4" s="1630"/>
      <c r="C4" s="1630"/>
      <c r="D4" s="1630"/>
      <c r="E4" s="1630"/>
      <c r="F4" s="1630"/>
      <c r="G4" s="1630"/>
      <c r="H4" s="1630"/>
      <c r="I4" s="1630"/>
      <c r="J4" s="1630"/>
      <c r="K4" s="1630"/>
      <c r="L4" s="1630"/>
      <c r="M4" s="1630"/>
    </row>
    <row r="5" spans="1:18">
      <c r="A5" s="1633"/>
      <c r="B5" s="1633"/>
      <c r="C5" s="1633"/>
      <c r="D5" s="1633"/>
      <c r="E5" s="1633"/>
      <c r="F5" s="1633"/>
      <c r="G5" s="1633"/>
      <c r="H5" s="1633"/>
      <c r="I5" s="1633"/>
      <c r="J5" s="1633"/>
      <c r="K5" s="1633"/>
      <c r="L5" s="1633"/>
      <c r="M5" s="1633"/>
    </row>
    <row r="6" spans="1:18">
      <c r="A6" s="1634" t="str">
        <f>DataF</f>
        <v>DATA:  BASE PERIOD  "X" FORECASTED PERIOD</v>
      </c>
      <c r="K6" s="1635" t="s">
        <v>1895</v>
      </c>
    </row>
    <row r="7" spans="1:18">
      <c r="A7" s="1635" t="s">
        <v>2517</v>
      </c>
      <c r="K7" s="1635" t="s">
        <v>762</v>
      </c>
      <c r="L7" s="1635"/>
    </row>
    <row r="8" spans="1:18">
      <c r="A8" s="1636" t="str">
        <f>Type</f>
        <v xml:space="preserve">TYPE OF FILING:  "X" ORIGINAL   UPDATED    REVISED  </v>
      </c>
      <c r="K8" s="1635" t="s">
        <v>566</v>
      </c>
      <c r="L8" s="1635"/>
    </row>
    <row r="9" spans="1:18">
      <c r="A9" s="1635" t="s">
        <v>1694</v>
      </c>
      <c r="K9" s="1635" t="str">
        <f>_WIT9</f>
        <v>R. H. PRATT</v>
      </c>
      <c r="L9" s="1635"/>
      <c r="O9" s="1637"/>
      <c r="P9" s="1637"/>
      <c r="Q9" s="1637"/>
      <c r="R9" s="1637"/>
    </row>
    <row r="10" spans="1:18">
      <c r="L10" s="1635"/>
      <c r="O10" s="1637"/>
      <c r="P10" s="1637"/>
      <c r="Q10" s="1637"/>
      <c r="R10" s="1637"/>
    </row>
    <row r="11" spans="1:18">
      <c r="A11" s="1638"/>
      <c r="B11" s="1638"/>
      <c r="C11" s="1638"/>
      <c r="D11" s="1638"/>
      <c r="E11" s="1638"/>
      <c r="F11" s="1638"/>
      <c r="G11" s="1638"/>
      <c r="H11" s="1638"/>
      <c r="I11" s="1638"/>
      <c r="J11" s="1638"/>
      <c r="K11" s="1638"/>
      <c r="L11" s="1638"/>
      <c r="M11" s="1638"/>
      <c r="O11" s="1637"/>
      <c r="P11" s="1637"/>
      <c r="Q11" s="1637"/>
      <c r="R11" s="1637"/>
    </row>
    <row r="12" spans="1:18">
      <c r="A12" s="1676"/>
      <c r="B12" s="1676"/>
      <c r="C12" s="1676"/>
      <c r="D12" s="1676"/>
      <c r="E12" s="1676"/>
      <c r="F12" s="1676"/>
      <c r="G12" s="1641" t="s">
        <v>2017</v>
      </c>
      <c r="H12" s="1640"/>
      <c r="I12" s="1676"/>
      <c r="J12" s="1676"/>
      <c r="K12" s="1676"/>
      <c r="L12" s="1676"/>
      <c r="M12" s="1676"/>
      <c r="O12" s="1639"/>
      <c r="P12" s="1639"/>
      <c r="Q12" s="1639"/>
      <c r="R12" s="1637"/>
    </row>
    <row r="13" spans="1:18">
      <c r="A13" s="1640" t="s">
        <v>567</v>
      </c>
      <c r="G13" s="1640" t="s">
        <v>1508</v>
      </c>
      <c r="H13" s="1640"/>
      <c r="I13" s="1640" t="s">
        <v>1695</v>
      </c>
      <c r="K13" s="1633" t="s">
        <v>2097</v>
      </c>
      <c r="M13" s="1640" t="s">
        <v>1696</v>
      </c>
      <c r="O13" s="1639"/>
      <c r="P13" s="1639"/>
      <c r="Q13" s="3575"/>
      <c r="R13" s="1637"/>
    </row>
    <row r="14" spans="1:18">
      <c r="A14" s="1640" t="s">
        <v>2169</v>
      </c>
      <c r="C14" s="1640" t="s">
        <v>1697</v>
      </c>
      <c r="E14" s="1640" t="s">
        <v>742</v>
      </c>
      <c r="F14" s="1640"/>
      <c r="G14" s="1641" t="s">
        <v>1134</v>
      </c>
      <c r="H14" s="1641"/>
      <c r="I14" s="1641" t="s">
        <v>884</v>
      </c>
      <c r="J14" s="1640"/>
      <c r="K14" s="1640" t="s">
        <v>1698</v>
      </c>
      <c r="L14" s="1640"/>
      <c r="M14" s="1640" t="s">
        <v>1699</v>
      </c>
      <c r="O14" s="1639"/>
      <c r="P14" s="1639"/>
      <c r="Q14" s="3575"/>
      <c r="R14" s="1637"/>
    </row>
    <row r="15" spans="1:18">
      <c r="A15" s="1638"/>
      <c r="B15" s="1638"/>
      <c r="C15" s="1638"/>
      <c r="D15" s="1638"/>
      <c r="E15" s="1638"/>
      <c r="F15" s="1638"/>
      <c r="G15" s="1643"/>
      <c r="H15" s="1643"/>
      <c r="I15" s="1643"/>
      <c r="J15" s="1644"/>
      <c r="K15" s="1638"/>
      <c r="L15" s="1638"/>
      <c r="M15" s="1638"/>
      <c r="O15" s="1639"/>
      <c r="P15" s="1639"/>
      <c r="Q15" s="3575"/>
      <c r="R15" s="1637"/>
    </row>
    <row r="16" spans="1:18">
      <c r="O16" s="1639"/>
      <c r="P16" s="1639"/>
      <c r="Q16" s="1639"/>
      <c r="R16" s="1637"/>
    </row>
    <row r="17" spans="1:18">
      <c r="A17" s="1640">
        <v>1</v>
      </c>
      <c r="C17" s="1646" t="s">
        <v>1700</v>
      </c>
      <c r="E17" s="1640"/>
      <c r="F17" s="1640"/>
      <c r="G17" s="3021">
        <v>621113054</v>
      </c>
      <c r="H17" s="1647"/>
      <c r="I17" s="1648">
        <f>1-I18-I19</f>
        <v>0.50755000000000006</v>
      </c>
      <c r="J17" s="1649"/>
      <c r="K17" s="1648">
        <f>'SCH_J1 - Base'!K16</f>
        <v>9.9000000000000005E-2</v>
      </c>
      <c r="L17" s="1650"/>
      <c r="M17" s="1648">
        <f>ROUND((I17*K17),5)</f>
        <v>5.0250000000000003E-2</v>
      </c>
      <c r="O17" s="1639"/>
      <c r="P17" s="1639"/>
      <c r="Q17" s="3576"/>
      <c r="R17" s="1637"/>
    </row>
    <row r="18" spans="1:18">
      <c r="A18" s="1640">
        <f t="shared" ref="A18:A34" si="0">1+A17</f>
        <v>2</v>
      </c>
      <c r="C18" s="1646" t="s">
        <v>1701</v>
      </c>
      <c r="E18" s="1640" t="s">
        <v>1702</v>
      </c>
      <c r="F18" s="1640"/>
      <c r="G18" s="1651">
        <f>'SCH_J3 - Forecast'!L54</f>
        <v>518128763</v>
      </c>
      <c r="H18" s="1647"/>
      <c r="I18" s="1648">
        <f>ROUND(G18/$G$21,5)</f>
        <v>0.42338999999999999</v>
      </c>
      <c r="J18" s="1649"/>
      <c r="K18" s="1652">
        <f>'SCH_J3 - Forecast'!M57</f>
        <v>4.3979999999999998E-2</v>
      </c>
      <c r="L18" s="1650"/>
      <c r="M18" s="1648">
        <f>ROUND((I18*K18),5)</f>
        <v>1.8620000000000001E-2</v>
      </c>
      <c r="O18" s="1639"/>
      <c r="P18" s="1639"/>
      <c r="Q18" s="3576"/>
      <c r="R18" s="1637"/>
    </row>
    <row r="19" spans="1:18">
      <c r="A19" s="1640">
        <f t="shared" si="0"/>
        <v>3</v>
      </c>
      <c r="C19" s="1653" t="s">
        <v>1703</v>
      </c>
      <c r="E19" s="1654" t="s">
        <v>1704</v>
      </c>
      <c r="F19" s="1655"/>
      <c r="G19" s="1656">
        <f>'SCH_J2 - Forecast'!D38</f>
        <v>84508435</v>
      </c>
      <c r="I19" s="1657">
        <f>ROUND(G19/$G$21,5)</f>
        <v>6.9059999999999996E-2</v>
      </c>
      <c r="J19" s="1658"/>
      <c r="K19" s="1652">
        <f>'SCH_J2 - Forecast'!J40</f>
        <v>4.2500000000000003E-2</v>
      </c>
      <c r="L19" s="1650"/>
      <c r="M19" s="1657">
        <f>ROUND((I19*K19),5)</f>
        <v>2.9399999999999999E-3</v>
      </c>
      <c r="O19" s="1639"/>
      <c r="P19" s="1639"/>
      <c r="Q19" s="3576"/>
      <c r="R19" s="1637"/>
    </row>
    <row r="20" spans="1:18">
      <c r="A20" s="1640">
        <f t="shared" si="0"/>
        <v>4</v>
      </c>
      <c r="I20" s="1659"/>
      <c r="K20" s="1659"/>
      <c r="L20" s="1659"/>
      <c r="M20" s="1659"/>
      <c r="O20" s="1639"/>
      <c r="P20" s="1639"/>
      <c r="Q20" s="3576"/>
      <c r="R20" s="1637"/>
    </row>
    <row r="21" spans="1:18">
      <c r="A21" s="1640">
        <f t="shared" si="0"/>
        <v>5</v>
      </c>
      <c r="C21" s="1646" t="s">
        <v>1705</v>
      </c>
      <c r="G21" s="1660">
        <f>SUM(G17:G19)</f>
        <v>1223750252</v>
      </c>
      <c r="H21" s="1655"/>
      <c r="I21" s="1661">
        <f>SUM(I17:I19)</f>
        <v>1</v>
      </c>
      <c r="J21" s="1649"/>
      <c r="K21" s="1648"/>
      <c r="L21" s="1648"/>
      <c r="M21" s="3503">
        <f>SUM(M17:M20)</f>
        <v>7.1809999999999999E-2</v>
      </c>
      <c r="O21" s="1637"/>
      <c r="P21" s="1637"/>
      <c r="Q21" s="3576"/>
      <c r="R21" s="1637"/>
    </row>
    <row r="22" spans="1:18">
      <c r="A22" s="1640">
        <f t="shared" si="0"/>
        <v>6</v>
      </c>
      <c r="C22" s="1653"/>
      <c r="E22" s="1655"/>
      <c r="F22" s="1655"/>
      <c r="G22" s="1662"/>
      <c r="H22" s="1662"/>
      <c r="I22" s="1663"/>
      <c r="J22" s="1664"/>
      <c r="K22" s="1665"/>
      <c r="L22" s="1665"/>
      <c r="M22" s="1664"/>
      <c r="O22" s="1639"/>
      <c r="P22" s="1639"/>
      <c r="Q22" s="3577"/>
      <c r="R22" s="1637"/>
    </row>
    <row r="23" spans="1:18">
      <c r="A23" s="1640">
        <f t="shared" si="0"/>
        <v>7</v>
      </c>
      <c r="C23" s="1653"/>
      <c r="E23" s="1655"/>
      <c r="F23" s="1655"/>
      <c r="G23" s="1662"/>
      <c r="H23" s="1662"/>
      <c r="I23" s="1664"/>
      <c r="J23" s="1664"/>
      <c r="K23" s="1665"/>
      <c r="L23" s="1665"/>
      <c r="M23" s="1664"/>
      <c r="O23" s="1639"/>
      <c r="P23" s="1639"/>
      <c r="Q23" s="1637"/>
      <c r="R23" s="1637"/>
    </row>
    <row r="24" spans="1:18">
      <c r="A24" s="1640">
        <f t="shared" si="0"/>
        <v>8</v>
      </c>
      <c r="C24" s="1653" t="s">
        <v>1706</v>
      </c>
      <c r="E24" s="1655"/>
      <c r="F24" s="1655"/>
      <c r="G24" s="1662"/>
      <c r="H24" s="1662"/>
      <c r="I24" s="1664"/>
      <c r="J24" s="1664"/>
      <c r="K24" s="1665"/>
      <c r="L24" s="1665"/>
      <c r="M24" s="1664"/>
      <c r="O24" s="1637"/>
      <c r="P24" s="1637"/>
      <c r="Q24" s="1637"/>
      <c r="R24" s="1637"/>
    </row>
    <row r="25" spans="1:18">
      <c r="A25" s="1640">
        <f t="shared" si="0"/>
        <v>9</v>
      </c>
      <c r="C25" s="1653" t="s">
        <v>1707</v>
      </c>
      <c r="E25" s="1654" t="s">
        <v>2446</v>
      </c>
      <c r="F25" s="1655"/>
      <c r="G25" s="3151">
        <f>-('WPB-6''s'!T105+'WPB-6''s'!T106+'WPB-6''s'!T107+'WPB-6''s'!T134+'WPB-6''s'!T135+'WPB-6''s'!T136+'WPB-6''s'!T161+'WPB-6''s'!T162)</f>
        <v>3708551</v>
      </c>
      <c r="H25" s="1662"/>
      <c r="I25" s="1664"/>
      <c r="J25" s="1664"/>
      <c r="K25" s="1665"/>
      <c r="L25" s="1665"/>
      <c r="M25" s="1664"/>
      <c r="O25" s="1637"/>
      <c r="P25" s="1637"/>
      <c r="Q25" s="1637"/>
      <c r="R25" s="1637"/>
    </row>
    <row r="26" spans="1:18">
      <c r="A26" s="1640">
        <f t="shared" si="0"/>
        <v>10</v>
      </c>
      <c r="C26" s="1646"/>
      <c r="G26" s="1655"/>
      <c r="H26" s="1655"/>
      <c r="I26" s="1666"/>
      <c r="J26" s="1666"/>
      <c r="K26" s="1665"/>
      <c r="L26" s="1665"/>
      <c r="M26" s="1665"/>
      <c r="O26" s="1637"/>
      <c r="P26" s="1637"/>
      <c r="Q26" s="1637"/>
      <c r="R26" s="1637"/>
    </row>
    <row r="27" spans="1:18">
      <c r="A27" s="1640">
        <f t="shared" si="0"/>
        <v>11</v>
      </c>
      <c r="C27" s="1653"/>
      <c r="G27" s="1662"/>
      <c r="H27" s="1662"/>
      <c r="I27" s="1666"/>
      <c r="J27" s="1666"/>
      <c r="K27" s="1665"/>
      <c r="L27" s="1665"/>
      <c r="M27" s="1665"/>
      <c r="O27" s="1637"/>
      <c r="P27" s="1637"/>
      <c r="Q27" s="1637"/>
      <c r="R27" s="1637"/>
    </row>
    <row r="28" spans="1:18">
      <c r="A28" s="1640">
        <f t="shared" si="0"/>
        <v>12</v>
      </c>
      <c r="C28" s="1667" t="s">
        <v>1708</v>
      </c>
      <c r="G28" s="1655"/>
      <c r="H28" s="1655"/>
      <c r="I28" s="1666"/>
      <c r="J28" s="1666"/>
      <c r="K28" s="1665"/>
      <c r="L28" s="1665"/>
      <c r="M28" s="1665"/>
      <c r="O28" s="1637"/>
      <c r="P28" s="1637"/>
      <c r="Q28" s="1637"/>
      <c r="R28" s="1637"/>
    </row>
    <row r="29" spans="1:18">
      <c r="A29" s="1640">
        <f t="shared" si="0"/>
        <v>13</v>
      </c>
      <c r="C29" s="1646"/>
      <c r="E29" s="1640"/>
      <c r="F29" s="1640"/>
      <c r="G29" s="1668"/>
      <c r="H29" s="1647"/>
      <c r="I29" s="1666"/>
      <c r="J29" s="1666"/>
      <c r="K29" s="1665"/>
      <c r="L29" s="1665"/>
      <c r="M29" s="1665"/>
      <c r="O29" s="1637"/>
      <c r="P29" s="1637"/>
      <c r="Q29" s="1637"/>
      <c r="R29" s="1637"/>
    </row>
    <row r="30" spans="1:18">
      <c r="A30" s="1640">
        <f t="shared" si="0"/>
        <v>14</v>
      </c>
      <c r="C30" s="1646" t="s">
        <v>1700</v>
      </c>
      <c r="G30" s="1662">
        <f>ROUND(G17+(I17*G25),0)</f>
        <v>622995329</v>
      </c>
      <c r="H30" s="1662"/>
      <c r="I30" s="1648">
        <f>I17</f>
        <v>0.50755000000000006</v>
      </c>
      <c r="J30" s="1666"/>
      <c r="K30" s="1652">
        <f>K17</f>
        <v>9.9000000000000005E-2</v>
      </c>
      <c r="L30" s="1648"/>
      <c r="M30" s="1648">
        <f>ROUND((I30*K30),5)</f>
        <v>5.0250000000000003E-2</v>
      </c>
    </row>
    <row r="31" spans="1:18">
      <c r="A31" s="1640">
        <f t="shared" si="0"/>
        <v>15</v>
      </c>
      <c r="C31" s="1646" t="s">
        <v>1701</v>
      </c>
      <c r="G31" s="1662">
        <f>ROUND(G18+(I18*G25),0)</f>
        <v>519698926</v>
      </c>
      <c r="H31" s="1655"/>
      <c r="I31" s="1648">
        <f>I18</f>
        <v>0.42338999999999999</v>
      </c>
      <c r="J31" s="1666"/>
      <c r="K31" s="1652">
        <f>K18</f>
        <v>4.3979999999999998E-2</v>
      </c>
      <c r="L31" s="1648"/>
      <c r="M31" s="1648">
        <f>ROUND((I31*K31),5)</f>
        <v>1.8620000000000001E-2</v>
      </c>
    </row>
    <row r="32" spans="1:18">
      <c r="A32" s="1640">
        <f t="shared" si="0"/>
        <v>16</v>
      </c>
      <c r="C32" s="1653" t="s">
        <v>1703</v>
      </c>
      <c r="E32" s="1640"/>
      <c r="F32" s="1640"/>
      <c r="G32" s="1669">
        <f>ROUND(G19+(I19*G25),0)</f>
        <v>84764548</v>
      </c>
      <c r="H32" s="1647"/>
      <c r="I32" s="1657">
        <f>I19</f>
        <v>6.9059999999999996E-2</v>
      </c>
      <c r="J32" s="1666"/>
      <c r="K32" s="1652">
        <f>K19</f>
        <v>4.2500000000000003E-2</v>
      </c>
      <c r="L32" s="1659"/>
      <c r="M32" s="1657">
        <f>ROUND((I32*K32),5)</f>
        <v>2.9399999999999999E-3</v>
      </c>
    </row>
    <row r="33" spans="1:13">
      <c r="A33" s="1640">
        <f t="shared" si="0"/>
        <v>17</v>
      </c>
      <c r="C33" s="1646"/>
      <c r="E33" s="1640"/>
      <c r="F33" s="1640"/>
      <c r="G33" s="1647"/>
      <c r="H33" s="1647"/>
      <c r="I33" s="1648"/>
      <c r="J33" s="1666"/>
      <c r="K33" s="1659"/>
      <c r="L33" s="1659"/>
      <c r="M33" s="1659"/>
    </row>
    <row r="34" spans="1:13">
      <c r="A34" s="1640">
        <f t="shared" si="0"/>
        <v>18</v>
      </c>
      <c r="C34" s="1632" t="s">
        <v>1709</v>
      </c>
      <c r="G34" s="1670">
        <f>SUM(G30:G33)</f>
        <v>1227458803</v>
      </c>
      <c r="H34" s="1662"/>
      <c r="I34" s="1671">
        <f>SUM(I30:I33)</f>
        <v>1</v>
      </c>
      <c r="K34" s="1659"/>
      <c r="L34" s="1659"/>
      <c r="M34" s="1661">
        <f>SUM(M30:M33)</f>
        <v>7.1809999999999999E-2</v>
      </c>
    </row>
    <row r="35" spans="1:13">
      <c r="A35" s="1633"/>
      <c r="I35" s="1659"/>
    </row>
    <row r="36" spans="1:13">
      <c r="A36" s="1637"/>
      <c r="B36" s="1637"/>
      <c r="C36" s="1637"/>
      <c r="D36" s="1677"/>
    </row>
    <row r="37" spans="1:13">
      <c r="A37" s="1637"/>
      <c r="B37" s="1637"/>
      <c r="C37" s="1637"/>
      <c r="D37" s="1637"/>
    </row>
    <row r="38" spans="1:13">
      <c r="A38" s="1637"/>
      <c r="B38" s="1637"/>
      <c r="C38" s="1637"/>
      <c r="D38" s="1637"/>
    </row>
    <row r="39" spans="1:13">
      <c r="A39" s="1637"/>
      <c r="B39" s="1637"/>
      <c r="C39" s="1637"/>
      <c r="D39" s="1637"/>
    </row>
    <row r="40" spans="1:13">
      <c r="A40" s="1637"/>
      <c r="B40" s="1637"/>
      <c r="C40" s="1637"/>
      <c r="D40" s="1637"/>
    </row>
    <row r="41" spans="1:13">
      <c r="A41" s="1637"/>
      <c r="B41" s="1637"/>
      <c r="C41" s="1637"/>
      <c r="D41" s="1637"/>
    </row>
    <row r="42" spans="1:13">
      <c r="A42" s="1637"/>
      <c r="B42" s="1637"/>
      <c r="C42" s="1637"/>
      <c r="D42" s="1637"/>
    </row>
    <row r="43" spans="1:13">
      <c r="A43" s="1637"/>
      <c r="B43" s="1637"/>
      <c r="C43" s="1637"/>
      <c r="D43" s="1637"/>
    </row>
    <row r="44" spans="1:13">
      <c r="A44" s="1637"/>
      <c r="B44" s="1637"/>
      <c r="C44" s="1637"/>
      <c r="D44" s="1637"/>
    </row>
    <row r="45" spans="1:13">
      <c r="A45" s="1637"/>
      <c r="B45" s="1637"/>
      <c r="C45" s="1637"/>
      <c r="D45" s="1637"/>
    </row>
    <row r="46" spans="1:13">
      <c r="A46" s="1637"/>
      <c r="B46" s="1637"/>
      <c r="C46" s="1637"/>
      <c r="D46" s="1637"/>
    </row>
    <row r="47" spans="1:13">
      <c r="A47" s="1637"/>
      <c r="B47" s="1637"/>
      <c r="C47" s="1637"/>
      <c r="D47" s="1637"/>
    </row>
    <row r="48" spans="1:13">
      <c r="A48" s="1637"/>
      <c r="B48" s="1637"/>
      <c r="C48" s="1637"/>
      <c r="D48" s="1637"/>
    </row>
    <row r="49" spans="1:4">
      <c r="A49" s="1637"/>
      <c r="B49" s="1637"/>
      <c r="C49" s="1637"/>
      <c r="D49" s="1637"/>
    </row>
    <row r="50" spans="1:4">
      <c r="A50" s="1637"/>
      <c r="B50" s="1637"/>
      <c r="C50" s="1637"/>
      <c r="D50" s="1637"/>
    </row>
    <row r="51" spans="1:4">
      <c r="A51" s="1637"/>
      <c r="B51" s="1637"/>
      <c r="C51" s="1637"/>
      <c r="D51" s="1637"/>
    </row>
    <row r="52" spans="1:4">
      <c r="A52" s="1637"/>
      <c r="B52" s="1637"/>
      <c r="C52" s="1637"/>
      <c r="D52" s="1637"/>
    </row>
    <row r="53" spans="1:4">
      <c r="A53" s="1637"/>
      <c r="B53" s="1637"/>
      <c r="C53" s="1637"/>
      <c r="D53" s="1637"/>
    </row>
    <row r="54" spans="1:4">
      <c r="A54" s="1637"/>
      <c r="B54" s="1637"/>
      <c r="C54" s="1637"/>
      <c r="D54" s="1637"/>
    </row>
    <row r="55" spans="1:4">
      <c r="A55" s="1637"/>
      <c r="B55" s="1637"/>
      <c r="C55" s="1637"/>
      <c r="D55" s="1637"/>
    </row>
    <row r="56" spans="1:4">
      <c r="A56" s="1637"/>
      <c r="B56" s="1637"/>
      <c r="C56" s="1637"/>
      <c r="D56" s="1637"/>
    </row>
    <row r="57" spans="1:4">
      <c r="A57" s="1637"/>
      <c r="B57" s="1637"/>
      <c r="C57" s="1637"/>
      <c r="D57" s="1637"/>
    </row>
    <row r="58" spans="1:4">
      <c r="A58" s="1637"/>
      <c r="B58" s="1637"/>
      <c r="C58" s="1637"/>
      <c r="D58" s="1637"/>
    </row>
    <row r="59" spans="1:4">
      <c r="A59" s="1637"/>
      <c r="B59" s="1637"/>
      <c r="C59" s="1637"/>
      <c r="D59" s="1637"/>
    </row>
    <row r="60" spans="1:4">
      <c r="A60" s="1637"/>
      <c r="B60" s="1637"/>
      <c r="C60" s="1637"/>
      <c r="D60" s="1637"/>
    </row>
    <row r="61" spans="1:4">
      <c r="A61" s="1637"/>
      <c r="B61" s="1637"/>
      <c r="C61" s="1637"/>
      <c r="D61" s="1637"/>
    </row>
    <row r="62" spans="1:4">
      <c r="A62" s="1637"/>
      <c r="B62" s="1637"/>
      <c r="C62" s="1637"/>
      <c r="D62" s="1637"/>
    </row>
    <row r="63" spans="1:4">
      <c r="A63" s="1637"/>
      <c r="B63" s="1637"/>
      <c r="C63" s="1637"/>
      <c r="D63" s="1637"/>
    </row>
    <row r="64" spans="1:4">
      <c r="A64" s="1637"/>
      <c r="B64" s="1637"/>
      <c r="C64" s="1637"/>
      <c r="D64" s="1637"/>
    </row>
    <row r="65" spans="1:4">
      <c r="A65" s="1637"/>
      <c r="B65" s="1637"/>
      <c r="C65" s="1637"/>
      <c r="D65" s="1637"/>
    </row>
    <row r="66" spans="1:4">
      <c r="A66" s="1637"/>
      <c r="B66" s="1637"/>
      <c r="C66" s="1637"/>
      <c r="D66" s="1637"/>
    </row>
    <row r="67" spans="1:4">
      <c r="A67" s="1637"/>
      <c r="B67" s="1637"/>
      <c r="C67" s="1637"/>
      <c r="D67" s="1637"/>
    </row>
    <row r="68" spans="1:4">
      <c r="A68" s="1637"/>
      <c r="B68" s="1637"/>
      <c r="C68" s="1637"/>
      <c r="D68" s="1637"/>
    </row>
    <row r="69" spans="1:4">
      <c r="A69" s="1637"/>
      <c r="B69" s="1637"/>
      <c r="C69" s="1637"/>
      <c r="D69" s="1637"/>
    </row>
    <row r="70" spans="1:4">
      <c r="A70" s="1637"/>
      <c r="B70" s="1637"/>
      <c r="C70" s="1637"/>
      <c r="D70" s="1637"/>
    </row>
    <row r="71" spans="1:4">
      <c r="A71" s="1637"/>
      <c r="B71" s="1637"/>
      <c r="C71" s="1637"/>
      <c r="D71" s="1637"/>
    </row>
    <row r="72" spans="1:4">
      <c r="A72" s="1637"/>
      <c r="B72" s="1637"/>
      <c r="C72" s="1637"/>
      <c r="D72" s="1637"/>
    </row>
    <row r="73" spans="1:4">
      <c r="A73" s="1637"/>
      <c r="B73" s="1637"/>
      <c r="C73" s="1637"/>
      <c r="D73" s="1637"/>
    </row>
    <row r="74" spans="1:4">
      <c r="A74" s="1637"/>
      <c r="B74" s="1637"/>
      <c r="C74" s="1637"/>
      <c r="D74" s="1637"/>
    </row>
    <row r="75" spans="1:4">
      <c r="A75" s="1637"/>
      <c r="B75" s="1637"/>
      <c r="C75" s="1637"/>
      <c r="D75" s="1637"/>
    </row>
    <row r="76" spans="1:4">
      <c r="A76" s="1637"/>
      <c r="B76" s="1637"/>
      <c r="C76" s="1637"/>
      <c r="D76" s="1637"/>
    </row>
    <row r="77" spans="1:4">
      <c r="A77" s="1637"/>
      <c r="B77" s="1637"/>
      <c r="C77" s="1637"/>
      <c r="D77" s="1637"/>
    </row>
    <row r="78" spans="1:4">
      <c r="A78" s="1637"/>
      <c r="B78" s="1637"/>
      <c r="C78" s="1637"/>
      <c r="D78" s="1637"/>
    </row>
    <row r="79" spans="1:4">
      <c r="A79" s="1637"/>
      <c r="B79" s="1637"/>
      <c r="C79" s="1637"/>
      <c r="D79" s="1637"/>
    </row>
  </sheetData>
  <phoneticPr fontId="4" type="noConversion"/>
  <pageMargins left="1" right="0.75" top="0.98425196850393704" bottom="0" header="0" footer="0"/>
  <pageSetup scale="65" orientation="portrait" r:id="rId1"/>
  <headerFooter alignWithMargins="0"/>
  <legacy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tabColor rgb="FF002060"/>
    <pageSetUpPr fitToPage="1"/>
  </sheetPr>
  <dimension ref="A1:M37"/>
  <sheetViews>
    <sheetView zoomScale="90" zoomScaleNormal="90" workbookViewId="0"/>
  </sheetViews>
  <sheetFormatPr defaultColWidth="8" defaultRowHeight="13.2"/>
  <cols>
    <col min="1" max="1" width="6" style="1627" customWidth="1"/>
    <col min="2" max="2" width="1.44140625" style="1627" customWidth="1"/>
    <col min="3" max="3" width="51.33203125" style="1627" customWidth="1"/>
    <col min="4" max="4" width="17.33203125" style="1627" customWidth="1"/>
    <col min="5" max="7" width="13.33203125" style="1627" customWidth="1"/>
    <col min="8" max="8" width="17.109375" style="1627" customWidth="1"/>
    <col min="9" max="9" width="12.5546875" style="1627" customWidth="1"/>
    <col min="10" max="10" width="17.88671875" style="1627" customWidth="1"/>
    <col min="11" max="12" width="8" style="1627"/>
    <col min="13" max="13" width="9.88671875" style="1627" bestFit="1" customWidth="1"/>
    <col min="14" max="16384" width="8" style="1627"/>
  </cols>
  <sheetData>
    <row r="1" spans="1:10">
      <c r="A1" s="1622" t="str">
        <f>COMPANY</f>
        <v>DUKE ENERGY KENTUCKY, INC.</v>
      </c>
      <c r="B1" s="1623"/>
      <c r="C1" s="1623"/>
      <c r="D1" s="1623"/>
      <c r="E1" s="1623"/>
      <c r="F1" s="1623"/>
      <c r="G1" s="1623"/>
      <c r="H1" s="1623"/>
      <c r="I1" s="1623"/>
      <c r="J1" s="1623"/>
    </row>
    <row r="2" spans="1:10">
      <c r="A2" s="1622" t="str">
        <f>CASE</f>
        <v>CASE NO. 2018-00261</v>
      </c>
      <c r="B2" s="1623"/>
      <c r="C2" s="1623"/>
      <c r="D2" s="1623"/>
      <c r="E2" s="1623"/>
      <c r="F2" s="1623"/>
      <c r="G2" s="1623"/>
      <c r="H2" s="1623"/>
      <c r="I2" s="1623"/>
      <c r="J2" s="1623"/>
    </row>
    <row r="3" spans="1:10">
      <c r="A3" s="1624" t="s">
        <v>1712</v>
      </c>
      <c r="B3" s="1623"/>
      <c r="C3" s="1623"/>
      <c r="D3" s="1623"/>
      <c r="E3" s="1623"/>
      <c r="F3" s="1623"/>
      <c r="G3" s="1623"/>
      <c r="H3" s="1623"/>
      <c r="I3" s="1623"/>
      <c r="J3" s="1623"/>
    </row>
    <row r="4" spans="1:10">
      <c r="A4" s="1625" t="str">
        <f>"AS OF " &amp;RIGHT(TESTYR,(LEN(TESTYR)-16))</f>
        <v>AS OF NOVEMBER 30, 2018</v>
      </c>
      <c r="B4" s="1623"/>
      <c r="C4" s="1623"/>
      <c r="D4" s="1623"/>
      <c r="E4" s="1623"/>
      <c r="F4" s="1623"/>
      <c r="G4" s="1623"/>
      <c r="H4" s="1623"/>
      <c r="I4" s="1623"/>
      <c r="J4" s="1623"/>
    </row>
    <row r="5" spans="1:10">
      <c r="A5" s="1622" t="s">
        <v>1711</v>
      </c>
      <c r="B5" s="1623"/>
      <c r="C5" s="1623"/>
      <c r="D5" s="1623"/>
      <c r="E5" s="1623"/>
      <c r="F5" s="1623"/>
      <c r="G5" s="1623"/>
      <c r="H5" s="1623"/>
      <c r="I5" s="1623"/>
      <c r="J5" s="1623"/>
    </row>
    <row r="6" spans="1:10">
      <c r="A6" s="1622"/>
      <c r="B6" s="1623"/>
      <c r="C6" s="1623"/>
      <c r="D6" s="1623"/>
      <c r="E6" s="1623"/>
      <c r="F6" s="1623"/>
      <c r="G6" s="1623"/>
      <c r="H6" s="1623"/>
      <c r="I6" s="1623"/>
      <c r="J6" s="1623"/>
    </row>
    <row r="7" spans="1:10">
      <c r="A7" s="1626" t="str">
        <f>Data</f>
        <v>DATA: "X" BASE PERIOD   FORECASTED PERIOD</v>
      </c>
      <c r="I7" s="1628" t="s">
        <v>1713</v>
      </c>
      <c r="J7" s="1628"/>
    </row>
    <row r="8" spans="1:10">
      <c r="A8" s="1629" t="s">
        <v>1819</v>
      </c>
      <c r="I8" s="1628" t="s">
        <v>1056</v>
      </c>
      <c r="J8" s="1628"/>
    </row>
    <row r="9" spans="1:10">
      <c r="A9" s="1628" t="str">
        <f>Type</f>
        <v xml:space="preserve">TYPE OF FILING:  "X" ORIGINAL   UPDATED    REVISED  </v>
      </c>
      <c r="I9" s="1628" t="s">
        <v>506</v>
      </c>
      <c r="J9" s="1628"/>
    </row>
    <row r="10" spans="1:10">
      <c r="A10" s="1628" t="s">
        <v>852</v>
      </c>
      <c r="I10" s="1628" t="str">
        <f>"   "&amp;_WIT9</f>
        <v xml:space="preserve">   R. H. PRATT</v>
      </c>
      <c r="J10" s="1628"/>
    </row>
    <row r="12" spans="1:10">
      <c r="A12" s="1678"/>
      <c r="B12" s="1678"/>
      <c r="C12" s="1678"/>
      <c r="D12" s="1678"/>
      <c r="E12" s="1678"/>
      <c r="F12" s="1678"/>
      <c r="G12" s="1678"/>
      <c r="H12" s="1678"/>
      <c r="I12" s="1678"/>
      <c r="J12" s="1678"/>
    </row>
    <row r="13" spans="1:10">
      <c r="A13" s="2979"/>
      <c r="B13" s="2979"/>
      <c r="C13" s="2979"/>
      <c r="D13" s="2979"/>
      <c r="E13" s="2979"/>
      <c r="F13" s="2980" t="s">
        <v>1129</v>
      </c>
      <c r="G13" s="2980" t="s">
        <v>1129</v>
      </c>
      <c r="H13" s="2980"/>
      <c r="I13" s="2979"/>
      <c r="J13" s="2979"/>
    </row>
    <row r="14" spans="1:10">
      <c r="A14" s="1684"/>
      <c r="B14" s="1684"/>
      <c r="C14" s="1684"/>
      <c r="D14" s="1684"/>
      <c r="E14" s="1684"/>
      <c r="F14" s="2753" t="s">
        <v>89</v>
      </c>
      <c r="G14" s="2753" t="s">
        <v>89</v>
      </c>
      <c r="H14" s="1680" t="s">
        <v>90</v>
      </c>
      <c r="J14" s="1684"/>
    </row>
    <row r="15" spans="1:10">
      <c r="A15" s="1680" t="s">
        <v>567</v>
      </c>
      <c r="D15" s="1680" t="s">
        <v>2098</v>
      </c>
      <c r="E15" s="1680" t="s">
        <v>1904</v>
      </c>
      <c r="F15" s="1680" t="s">
        <v>95</v>
      </c>
      <c r="G15" s="1680" t="s">
        <v>2130</v>
      </c>
      <c r="H15" s="1680" t="s">
        <v>96</v>
      </c>
      <c r="I15" s="1680" t="s">
        <v>97</v>
      </c>
      <c r="J15" s="1680" t="s">
        <v>1904</v>
      </c>
    </row>
    <row r="16" spans="1:10">
      <c r="A16" s="1680" t="s">
        <v>2169</v>
      </c>
      <c r="C16" s="1680" t="s">
        <v>1714</v>
      </c>
      <c r="D16" s="1680" t="s">
        <v>1715</v>
      </c>
      <c r="E16" s="1680" t="s">
        <v>1902</v>
      </c>
      <c r="F16" s="1680" t="s">
        <v>99</v>
      </c>
      <c r="G16" s="1680" t="s">
        <v>1845</v>
      </c>
      <c r="H16" s="1680" t="s">
        <v>2130</v>
      </c>
      <c r="I16" s="1680" t="s">
        <v>100</v>
      </c>
      <c r="J16" s="1680" t="s">
        <v>1716</v>
      </c>
    </row>
    <row r="17" spans="1:13">
      <c r="C17" s="1680" t="s">
        <v>837</v>
      </c>
      <c r="D17" s="1681" t="s">
        <v>873</v>
      </c>
      <c r="E17" s="1682" t="s">
        <v>845</v>
      </c>
      <c r="F17" s="1682" t="s">
        <v>1042</v>
      </c>
      <c r="G17" s="1682" t="s">
        <v>718</v>
      </c>
      <c r="H17" s="1680" t="s">
        <v>842</v>
      </c>
      <c r="I17" s="1680" t="s">
        <v>102</v>
      </c>
      <c r="J17" s="2961" t="s">
        <v>1043</v>
      </c>
    </row>
    <row r="18" spans="1:13">
      <c r="A18" s="1678"/>
      <c r="B18" s="1678"/>
      <c r="C18" s="1678"/>
      <c r="D18" s="1678"/>
      <c r="E18" s="1678"/>
      <c r="F18"/>
      <c r="G18"/>
      <c r="H18"/>
      <c r="I18" s="1678"/>
      <c r="J18" s="1678"/>
    </row>
    <row r="19" spans="1:13">
      <c r="A19" s="1679"/>
      <c r="B19" s="1679"/>
      <c r="C19" s="1679"/>
      <c r="D19" s="1683" t="s">
        <v>1134</v>
      </c>
      <c r="E19" s="1683" t="s">
        <v>1717</v>
      </c>
      <c r="F19" s="1683"/>
      <c r="G19" s="1683"/>
      <c r="H19" s="1683"/>
      <c r="I19" s="1679"/>
      <c r="J19" s="1683" t="s">
        <v>1134</v>
      </c>
    </row>
    <row r="20" spans="1:13">
      <c r="A20" s="1602">
        <v>1</v>
      </c>
      <c r="C20" s="1609" t="s">
        <v>2442</v>
      </c>
      <c r="D20" s="1684"/>
      <c r="E20" s="1685"/>
      <c r="F20" s="1685"/>
      <c r="G20" s="1685"/>
      <c r="H20" s="1685"/>
    </row>
    <row r="21" spans="1:13">
      <c r="A21" s="1182">
        <v>2</v>
      </c>
      <c r="C21" s="1611" t="s">
        <v>2440</v>
      </c>
      <c r="D21" s="2962"/>
      <c r="E21" s="2963"/>
      <c r="F21" s="2963"/>
      <c r="G21" s="2963"/>
      <c r="H21" s="2963"/>
      <c r="J21" s="1699"/>
    </row>
    <row r="22" spans="1:13">
      <c r="A22" s="1602">
        <v>3</v>
      </c>
      <c r="C22" s="1611" t="s">
        <v>2441</v>
      </c>
      <c r="D22" s="2962">
        <v>177474</v>
      </c>
      <c r="E22" s="2963">
        <v>3.3301555648229231E-2</v>
      </c>
      <c r="F22" s="2964">
        <v>0</v>
      </c>
      <c r="G22" s="2964">
        <v>0</v>
      </c>
      <c r="H22" s="2964">
        <v>0</v>
      </c>
      <c r="I22" s="1686">
        <f>D22+F22-G22-H22</f>
        <v>177474</v>
      </c>
      <c r="J22" s="1686">
        <f>ROUND(I22*E22,0)</f>
        <v>5910</v>
      </c>
      <c r="M22" s="1687"/>
    </row>
    <row r="23" spans="1:13">
      <c r="A23" s="2952">
        <v>4</v>
      </c>
      <c r="C23" s="1611" t="s">
        <v>2262</v>
      </c>
      <c r="D23" s="2962">
        <v>226719</v>
      </c>
      <c r="E23" s="2963">
        <v>8.6337730154361636E-2</v>
      </c>
      <c r="F23" s="2964">
        <v>0</v>
      </c>
      <c r="G23" s="2964">
        <v>0</v>
      </c>
      <c r="H23" s="2964">
        <v>0</v>
      </c>
      <c r="I23" s="1686">
        <f>D23+F23-G23-H23</f>
        <v>226719</v>
      </c>
      <c r="J23" s="1699">
        <f>ROUND(I23*E23,0)</f>
        <v>19574</v>
      </c>
      <c r="M23" s="1687"/>
    </row>
    <row r="24" spans="1:13">
      <c r="A24" s="1182">
        <v>5</v>
      </c>
      <c r="D24" s="2962"/>
      <c r="E24" s="2965"/>
      <c r="F24" s="2966"/>
      <c r="G24" s="2966"/>
      <c r="H24" s="2966"/>
      <c r="I24" s="1686"/>
      <c r="J24" s="1699"/>
      <c r="M24" s="1687"/>
    </row>
    <row r="25" spans="1:13">
      <c r="A25" s="2952">
        <v>6</v>
      </c>
      <c r="C25" s="1609" t="s">
        <v>80</v>
      </c>
      <c r="D25" s="1688"/>
      <c r="E25" s="1689"/>
      <c r="F25" s="2967"/>
      <c r="G25" s="2967"/>
      <c r="H25" s="2967"/>
      <c r="I25" s="1686"/>
    </row>
    <row r="26" spans="1:13">
      <c r="A26" s="2952">
        <v>7</v>
      </c>
      <c r="C26" s="1628" t="s">
        <v>81</v>
      </c>
      <c r="D26" s="2968">
        <v>29932159</v>
      </c>
      <c r="E26" s="2969">
        <v>3.0646E-2</v>
      </c>
      <c r="F26" s="2970">
        <v>0</v>
      </c>
      <c r="G26" s="2970">
        <v>0</v>
      </c>
      <c r="H26" s="2970">
        <v>0</v>
      </c>
      <c r="I26" s="1686">
        <f>D26+F26-G26-H26</f>
        <v>29932159</v>
      </c>
      <c r="J26" s="2971">
        <f>ROUND(I26*E26,0)</f>
        <v>917301</v>
      </c>
    </row>
    <row r="27" spans="1:13">
      <c r="A27" s="1182">
        <v>8</v>
      </c>
      <c r="C27" s="1628"/>
      <c r="D27" s="2968"/>
      <c r="E27" s="2972"/>
      <c r="F27" s="2964"/>
      <c r="G27" s="2964"/>
      <c r="H27" s="2972"/>
      <c r="I27" s="1686"/>
      <c r="J27" s="2971"/>
    </row>
    <row r="28" spans="1:13">
      <c r="A28" s="2952">
        <v>9</v>
      </c>
      <c r="C28" s="2973" t="s">
        <v>2710</v>
      </c>
      <c r="D28" s="2968"/>
      <c r="E28" s="2972"/>
      <c r="F28" s="2972"/>
      <c r="G28" s="2972"/>
      <c r="H28" s="2972"/>
      <c r="I28" s="1686"/>
      <c r="J28" s="1699"/>
    </row>
    <row r="29" spans="1:13">
      <c r="A29" s="2952">
        <v>10</v>
      </c>
      <c r="C29" s="1627" t="s">
        <v>104</v>
      </c>
      <c r="D29" s="2968"/>
      <c r="E29" s="2972"/>
      <c r="F29" s="2972"/>
      <c r="G29" s="2972"/>
      <c r="H29" s="2968">
        <v>39081</v>
      </c>
      <c r="I29" s="1686">
        <f>D29+F29-G29-H29</f>
        <v>-39081</v>
      </c>
      <c r="J29" s="1699">
        <f>H29</f>
        <v>39081</v>
      </c>
    </row>
    <row r="30" spans="1:13">
      <c r="A30" s="1182">
        <v>11</v>
      </c>
      <c r="C30" s="2974"/>
      <c r="D30" s="2968"/>
      <c r="E30" s="2972"/>
      <c r="F30" s="2972"/>
      <c r="G30" s="2972"/>
      <c r="H30" s="2972"/>
      <c r="I30" s="1686"/>
      <c r="J30" s="1699"/>
    </row>
    <row r="31" spans="1:13">
      <c r="A31" s="2952">
        <v>12</v>
      </c>
      <c r="C31" s="1609" t="s">
        <v>2444</v>
      </c>
      <c r="D31" s="2968"/>
      <c r="E31" s="2972"/>
      <c r="F31" s="2972"/>
      <c r="G31" s="2972"/>
      <c r="H31" s="2972"/>
      <c r="I31" s="1686"/>
      <c r="J31" s="1699"/>
    </row>
    <row r="32" spans="1:13">
      <c r="A32" s="2952">
        <v>13</v>
      </c>
      <c r="C32" s="2975" t="s">
        <v>2445</v>
      </c>
      <c r="D32" s="2976">
        <v>100000000</v>
      </c>
      <c r="E32" s="2972">
        <v>4.65E-2</v>
      </c>
      <c r="F32" s="2976">
        <v>-31090</v>
      </c>
      <c r="G32" s="2976">
        <v>35120</v>
      </c>
      <c r="H32" s="2977">
        <v>0</v>
      </c>
      <c r="I32" s="2978">
        <f>D32+F32-G32-H32</f>
        <v>99933790</v>
      </c>
      <c r="J32" s="2976">
        <v>4716210</v>
      </c>
    </row>
    <row r="33" spans="1:10">
      <c r="A33" s="1182">
        <v>14</v>
      </c>
      <c r="C33" s="1628"/>
      <c r="D33" s="1688"/>
      <c r="E33" s="1689"/>
      <c r="F33" s="1689"/>
      <c r="G33" s="1689"/>
      <c r="H33" s="1689"/>
    </row>
    <row r="34" spans="1:10" ht="13.8" thickBot="1">
      <c r="A34" s="2952">
        <v>15</v>
      </c>
      <c r="C34" s="1628" t="s">
        <v>82</v>
      </c>
      <c r="D34" s="1690">
        <f>SUM(D21:D33)</f>
        <v>130336352</v>
      </c>
      <c r="E34" s="2971"/>
      <c r="F34" s="1690">
        <f>SUM(F21:F33)</f>
        <v>-31090</v>
      </c>
      <c r="G34" s="1690">
        <f>SUM(G21:G33)</f>
        <v>35120</v>
      </c>
      <c r="H34" s="1690">
        <f>SUM(H21:H33)</f>
        <v>39081</v>
      </c>
      <c r="I34" s="1690">
        <f>SUM(I21:I33)</f>
        <v>130231061</v>
      </c>
      <c r="J34" s="1690">
        <f>SUM(J21:J33)</f>
        <v>5698076</v>
      </c>
    </row>
    <row r="35" spans="1:10" ht="13.8" thickTop="1">
      <c r="A35" s="2952">
        <v>16</v>
      </c>
    </row>
    <row r="36" spans="1:10" ht="13.8" thickBot="1">
      <c r="A36" s="2952">
        <v>17</v>
      </c>
      <c r="C36" s="1628" t="s">
        <v>83</v>
      </c>
      <c r="J36" s="1691">
        <f>ROUND(J34/I34,5)</f>
        <v>4.3749999999999997E-2</v>
      </c>
    </row>
    <row r="37" spans="1:10" ht="13.8" thickTop="1"/>
  </sheetData>
  <phoneticPr fontId="4" type="noConversion"/>
  <pageMargins left="1" right="0.75" top="1" bottom="1" header="0.5" footer="0.5"/>
  <pageSetup scale="53" orientation="portrait" horizontalDpi="300" verticalDpi="300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tabColor rgb="FF002060"/>
    <pageSetUpPr fitToPage="1"/>
  </sheetPr>
  <dimension ref="A1:J41"/>
  <sheetViews>
    <sheetView zoomScale="90" zoomScaleNormal="90" workbookViewId="0"/>
  </sheetViews>
  <sheetFormatPr defaultColWidth="8" defaultRowHeight="15"/>
  <cols>
    <col min="1" max="1" width="6" style="65" customWidth="1"/>
    <col min="2" max="2" width="1.44140625" style="65" customWidth="1"/>
    <col min="3" max="3" width="51.33203125" style="65" customWidth="1"/>
    <col min="4" max="4" width="17.33203125" style="65" customWidth="1"/>
    <col min="5" max="7" width="13.33203125" style="65" customWidth="1"/>
    <col min="8" max="8" width="19.33203125" style="65" customWidth="1"/>
    <col min="9" max="9" width="12.5546875" style="65" customWidth="1"/>
    <col min="10" max="10" width="17.88671875" style="65" customWidth="1"/>
    <col min="11" max="11" width="8" style="65"/>
    <col min="12" max="12" width="8.33203125" style="65" bestFit="1" customWidth="1"/>
    <col min="13" max="16384" width="8" style="65"/>
  </cols>
  <sheetData>
    <row r="1" spans="1:10">
      <c r="A1" s="1622" t="str">
        <f>COMPANY</f>
        <v>DUKE ENERGY KENTUCKY, INC.</v>
      </c>
      <c r="B1" s="1623"/>
      <c r="C1" s="1623"/>
      <c r="D1" s="1623"/>
      <c r="E1" s="1623"/>
      <c r="F1" s="1623"/>
      <c r="G1" s="1623"/>
      <c r="H1" s="1623"/>
      <c r="I1" s="1623"/>
      <c r="J1" s="1623"/>
    </row>
    <row r="2" spans="1:10">
      <c r="A2" s="1622" t="str">
        <f>CASE</f>
        <v>CASE NO. 2018-00261</v>
      </c>
      <c r="B2" s="1623"/>
      <c r="C2" s="1623"/>
      <c r="D2" s="1623"/>
      <c r="E2" s="1623"/>
      <c r="F2" s="1623"/>
      <c r="G2" s="1623"/>
      <c r="H2" s="1623"/>
      <c r="I2" s="1623"/>
      <c r="J2" s="1623"/>
    </row>
    <row r="3" spans="1:10">
      <c r="A3" s="1624" t="s">
        <v>1712</v>
      </c>
      <c r="B3" s="1623"/>
      <c r="C3" s="1623"/>
      <c r="D3" s="1623"/>
      <c r="E3" s="1623"/>
      <c r="F3" s="1623"/>
      <c r="G3" s="1623"/>
      <c r="H3" s="1623"/>
      <c r="I3" s="1623"/>
      <c r="J3" s="1623"/>
    </row>
    <row r="4" spans="1:10">
      <c r="A4" s="1625" t="str">
        <f>"THIRTEEN MONTH AVERAGE BALANCE ENDING "&amp;Testyear</f>
        <v>THIRTEEN MONTH AVERAGE BALANCE ENDING MARCH 31, 2020</v>
      </c>
      <c r="B4" s="1623"/>
      <c r="C4" s="1623"/>
      <c r="D4" s="1623"/>
      <c r="E4" s="1623"/>
      <c r="F4" s="1623"/>
      <c r="G4" s="1623"/>
      <c r="H4" s="1623"/>
      <c r="I4" s="1623"/>
      <c r="J4" s="1623"/>
    </row>
    <row r="5" spans="1:10">
      <c r="A5" s="1622" t="s">
        <v>1711</v>
      </c>
      <c r="B5" s="1623"/>
      <c r="C5" s="1623"/>
      <c r="D5" s="1623"/>
      <c r="E5" s="1623"/>
      <c r="F5" s="1623"/>
      <c r="G5" s="1623"/>
      <c r="H5" s="1623"/>
      <c r="I5" s="1623"/>
      <c r="J5" s="1623"/>
    </row>
    <row r="6" spans="1:10">
      <c r="A6" s="1622"/>
      <c r="B6" s="1623"/>
      <c r="C6" s="1623"/>
      <c r="D6" s="1623"/>
      <c r="E6" s="1623"/>
      <c r="F6" s="1623"/>
      <c r="G6" s="1623"/>
      <c r="H6" s="1623"/>
      <c r="I6" s="1623"/>
      <c r="J6" s="1623"/>
    </row>
    <row r="7" spans="1:10">
      <c r="A7" s="1626" t="str">
        <f>DataF</f>
        <v>DATA:  BASE PERIOD  "X" FORECASTED PERIOD</v>
      </c>
      <c r="B7" s="1627"/>
      <c r="C7" s="1627"/>
      <c r="D7" s="1627"/>
      <c r="E7" s="1627"/>
      <c r="F7" s="1627"/>
      <c r="G7" s="1627"/>
      <c r="H7" s="1628" t="s">
        <v>1713</v>
      </c>
      <c r="I7" s="1628"/>
      <c r="J7" s="1628"/>
    </row>
    <row r="8" spans="1:10">
      <c r="A8" s="1629" t="s">
        <v>2517</v>
      </c>
      <c r="B8" s="1627"/>
      <c r="C8" s="1627"/>
      <c r="D8" s="1627"/>
      <c r="E8" s="1627"/>
      <c r="F8" s="1627"/>
      <c r="G8" s="1627"/>
      <c r="H8" s="1628" t="s">
        <v>1057</v>
      </c>
      <c r="I8" s="1628"/>
      <c r="J8" s="1628"/>
    </row>
    <row r="9" spans="1:10">
      <c r="A9" s="1628" t="str">
        <f>Type</f>
        <v xml:space="preserve">TYPE OF FILING:  "X" ORIGINAL   UPDATED    REVISED  </v>
      </c>
      <c r="B9" s="1627"/>
      <c r="C9" s="1627"/>
      <c r="D9" s="1627"/>
      <c r="E9" s="1627"/>
      <c r="F9" s="1627"/>
      <c r="G9" s="1627"/>
      <c r="H9" s="1628" t="s">
        <v>506</v>
      </c>
      <c r="I9" s="1628"/>
      <c r="J9" s="1628"/>
    </row>
    <row r="10" spans="1:10">
      <c r="A10" s="1628" t="s">
        <v>852</v>
      </c>
      <c r="B10" s="1627"/>
      <c r="C10" s="1627"/>
      <c r="D10" s="1627"/>
      <c r="E10" s="1627"/>
      <c r="F10" s="1627"/>
      <c r="G10" s="1627"/>
      <c r="H10" s="1628" t="str">
        <f>"   "&amp;_WIT9</f>
        <v xml:space="preserve">   R. H. PRATT</v>
      </c>
      <c r="I10" s="1628"/>
      <c r="J10" s="1628"/>
    </row>
    <row r="12" spans="1:10">
      <c r="A12" s="68"/>
      <c r="B12" s="68"/>
      <c r="C12" s="68"/>
      <c r="D12" s="68"/>
      <c r="E12" s="68"/>
      <c r="F12" s="68"/>
      <c r="G12" s="68"/>
      <c r="H12" s="68"/>
      <c r="I12" s="68"/>
      <c r="J12" s="68"/>
    </row>
    <row r="13" spans="1:10">
      <c r="A13" s="1599"/>
      <c r="B13" s="1599"/>
      <c r="C13" s="1599"/>
      <c r="D13" s="1599"/>
      <c r="E13" s="1599"/>
      <c r="F13" s="1600" t="s">
        <v>1129</v>
      </c>
      <c r="G13" s="1600" t="s">
        <v>1129</v>
      </c>
      <c r="H13" s="1600"/>
      <c r="I13" s="2991"/>
      <c r="J13" s="1599"/>
    </row>
    <row r="14" spans="1:10">
      <c r="A14" s="582"/>
      <c r="B14" s="582"/>
      <c r="C14" s="582"/>
      <c r="D14" s="582"/>
      <c r="E14" s="582"/>
      <c r="F14" s="1601" t="s">
        <v>89</v>
      </c>
      <c r="G14" s="1601" t="s">
        <v>89</v>
      </c>
      <c r="H14" s="1066" t="s">
        <v>90</v>
      </c>
      <c r="I14" s="1066"/>
      <c r="J14" s="582"/>
    </row>
    <row r="15" spans="1:10">
      <c r="A15" s="1602" t="s">
        <v>567</v>
      </c>
      <c r="B15" s="1603"/>
      <c r="C15" s="1603"/>
      <c r="D15" s="1602" t="s">
        <v>2098</v>
      </c>
      <c r="E15" s="1602" t="s">
        <v>1904</v>
      </c>
      <c r="F15" s="1602" t="s">
        <v>95</v>
      </c>
      <c r="G15" s="1602" t="s">
        <v>2130</v>
      </c>
      <c r="H15" s="1602" t="s">
        <v>96</v>
      </c>
      <c r="I15" s="2952" t="s">
        <v>97</v>
      </c>
      <c r="J15" s="1602" t="s">
        <v>1904</v>
      </c>
    </row>
    <row r="16" spans="1:10">
      <c r="A16" s="1602" t="s">
        <v>2169</v>
      </c>
      <c r="B16" s="1603"/>
      <c r="C16" s="1602" t="s">
        <v>1714</v>
      </c>
      <c r="D16" s="1602" t="s">
        <v>1715</v>
      </c>
      <c r="E16" s="1602" t="s">
        <v>1902</v>
      </c>
      <c r="F16" s="1602" t="s">
        <v>99</v>
      </c>
      <c r="G16" s="1602" t="s">
        <v>1845</v>
      </c>
      <c r="H16" s="1602" t="s">
        <v>2130</v>
      </c>
      <c r="I16" s="2952" t="s">
        <v>100</v>
      </c>
      <c r="J16" s="1602" t="s">
        <v>1716</v>
      </c>
    </row>
    <row r="17" spans="1:10">
      <c r="A17" s="1603"/>
      <c r="B17" s="1603"/>
      <c r="C17" s="1602" t="s">
        <v>837</v>
      </c>
      <c r="D17" s="1604" t="s">
        <v>873</v>
      </c>
      <c r="E17" s="1605" t="s">
        <v>845</v>
      </c>
      <c r="F17" s="1605" t="s">
        <v>1042</v>
      </c>
      <c r="G17" s="1605" t="s">
        <v>718</v>
      </c>
      <c r="H17" s="1605" t="s">
        <v>842</v>
      </c>
      <c r="I17" s="1605" t="s">
        <v>102</v>
      </c>
      <c r="J17" s="1606" t="s">
        <v>1043</v>
      </c>
    </row>
    <row r="18" spans="1:10">
      <c r="A18" s="1607"/>
      <c r="B18" s="1607"/>
      <c r="C18" s="1607"/>
      <c r="D18" s="1607"/>
      <c r="E18" s="1607"/>
      <c r="F18" s="1607"/>
      <c r="G18" s="1607"/>
      <c r="H18" s="1607"/>
      <c r="I18" s="1607"/>
      <c r="J18" s="1607"/>
    </row>
    <row r="19" spans="1:10">
      <c r="A19" s="1599"/>
      <c r="B19" s="1599"/>
      <c r="C19" s="1599"/>
      <c r="D19" s="1608" t="s">
        <v>1134</v>
      </c>
      <c r="E19" s="1608" t="s">
        <v>1717</v>
      </c>
      <c r="F19" s="1608"/>
      <c r="G19" s="1608"/>
      <c r="H19" s="1608"/>
      <c r="I19" s="2992"/>
      <c r="J19" s="1608" t="s">
        <v>1134</v>
      </c>
    </row>
    <row r="20" spans="1:10">
      <c r="A20" s="1602">
        <v>1</v>
      </c>
      <c r="B20" s="1603"/>
      <c r="C20" s="1609" t="s">
        <v>2442</v>
      </c>
      <c r="D20" s="1684"/>
      <c r="E20" s="1685"/>
      <c r="F20" s="1685"/>
      <c r="G20" s="1685"/>
      <c r="H20" s="1685"/>
      <c r="I20" s="1685"/>
      <c r="J20" s="1627"/>
    </row>
    <row r="21" spans="1:10">
      <c r="A21" s="1182">
        <v>2</v>
      </c>
      <c r="B21" s="1603"/>
      <c r="C21" s="1611" t="s">
        <v>2441</v>
      </c>
      <c r="D21" s="2962">
        <v>30698</v>
      </c>
      <c r="E21" s="2963">
        <v>3.3301999999999998E-2</v>
      </c>
      <c r="F21" s="2966">
        <v>0</v>
      </c>
      <c r="G21" s="2966">
        <v>0</v>
      </c>
      <c r="H21" s="2966">
        <v>0</v>
      </c>
      <c r="I21" s="1686">
        <f>D21+F21-G21-H21</f>
        <v>30698</v>
      </c>
      <c r="J21" s="1686">
        <f>ROUND(E21*I21,0)</f>
        <v>1022</v>
      </c>
    </row>
    <row r="22" spans="1:10">
      <c r="A22" s="1602">
        <v>3</v>
      </c>
      <c r="B22" s="1603"/>
      <c r="C22" s="1611" t="s">
        <v>2262</v>
      </c>
      <c r="D22" s="2962">
        <v>208337</v>
      </c>
      <c r="E22" s="2963">
        <v>8.6337999999999998E-2</v>
      </c>
      <c r="F22" s="2966">
        <v>0</v>
      </c>
      <c r="G22" s="2966">
        <v>0</v>
      </c>
      <c r="H22" s="2966">
        <v>0</v>
      </c>
      <c r="I22" s="1686">
        <f t="shared" ref="I22:I36" si="0">D22+F22-G22-H22</f>
        <v>208337</v>
      </c>
      <c r="J22" s="1699">
        <f>ROUND(D22*E22,0)</f>
        <v>17987</v>
      </c>
    </row>
    <row r="23" spans="1:10">
      <c r="A23" s="1602">
        <v>4</v>
      </c>
      <c r="B23" s="1603"/>
      <c r="C23" s="1627"/>
      <c r="D23" s="2962"/>
      <c r="E23" s="2965"/>
      <c r="F23" s="2966"/>
      <c r="G23" s="2966"/>
      <c r="H23" s="2966"/>
      <c r="I23" s="1686"/>
      <c r="J23" s="1699"/>
    </row>
    <row r="24" spans="1:10">
      <c r="A24" s="1182">
        <v>5</v>
      </c>
      <c r="B24" s="1603"/>
      <c r="C24" s="1609" t="s">
        <v>80</v>
      </c>
      <c r="D24" s="2962"/>
      <c r="E24" s="2965"/>
      <c r="F24" s="2966"/>
      <c r="G24" s="2966"/>
      <c r="H24" s="2966"/>
      <c r="I24" s="1686"/>
      <c r="J24" s="1699"/>
    </row>
    <row r="25" spans="1:10">
      <c r="A25" s="1602">
        <v>6</v>
      </c>
      <c r="B25" s="1603"/>
      <c r="C25" s="1603" t="s">
        <v>81</v>
      </c>
      <c r="D25" s="2962">
        <v>29932159</v>
      </c>
      <c r="E25" s="2965">
        <v>3.3834692307692309E-2</v>
      </c>
      <c r="F25" s="2966">
        <v>0</v>
      </c>
      <c r="G25" s="2966">
        <v>0</v>
      </c>
      <c r="H25" s="2966">
        <v>0</v>
      </c>
      <c r="I25" s="1686">
        <f t="shared" si="0"/>
        <v>29932159</v>
      </c>
      <c r="J25" s="1699">
        <f>ROUND(D25*E25,0)</f>
        <v>1012745</v>
      </c>
    </row>
    <row r="26" spans="1:10">
      <c r="A26" s="1602">
        <v>7</v>
      </c>
      <c r="B26" s="1603"/>
      <c r="C26" s="1603"/>
      <c r="D26" s="2962"/>
      <c r="E26" s="2965"/>
      <c r="F26" s="2966"/>
      <c r="G26" s="2966"/>
      <c r="H26" s="2966"/>
      <c r="I26" s="1686"/>
      <c r="J26" s="1699"/>
    </row>
    <row r="27" spans="1:10">
      <c r="A27" s="1182">
        <v>8</v>
      </c>
      <c r="B27" s="1603"/>
      <c r="C27" s="1609" t="s">
        <v>2443</v>
      </c>
      <c r="D27" s="2962"/>
      <c r="E27" s="2965"/>
      <c r="F27" s="2966"/>
      <c r="G27" s="2966"/>
      <c r="H27" s="2966"/>
      <c r="I27" s="1686"/>
      <c r="J27" s="1699"/>
    </row>
    <row r="28" spans="1:10">
      <c r="A28" s="1602">
        <v>9</v>
      </c>
      <c r="B28" s="1603"/>
      <c r="C28" s="2974" t="s">
        <v>2263</v>
      </c>
      <c r="D28" s="2962">
        <v>491087</v>
      </c>
      <c r="E28" s="2963">
        <v>2.6334692307692305E-2</v>
      </c>
      <c r="F28" s="2966">
        <v>0</v>
      </c>
      <c r="G28" s="2966">
        <v>0</v>
      </c>
      <c r="H28" s="2966">
        <v>0</v>
      </c>
      <c r="I28" s="1686">
        <f t="shared" si="0"/>
        <v>491087</v>
      </c>
      <c r="J28" s="1699">
        <f>ROUND(D28*E28,0)</f>
        <v>12933</v>
      </c>
    </row>
    <row r="29" spans="1:10">
      <c r="A29" s="1602">
        <v>10</v>
      </c>
      <c r="B29" s="1603"/>
      <c r="C29" s="1628"/>
      <c r="D29" s="1688"/>
      <c r="E29" s="1689"/>
      <c r="F29" s="1688"/>
      <c r="G29" s="1688"/>
      <c r="H29" s="1688"/>
      <c r="I29" s="1686"/>
      <c r="J29" s="1627"/>
    </row>
    <row r="30" spans="1:10">
      <c r="A30" s="1182">
        <v>11</v>
      </c>
      <c r="B30" s="1603"/>
      <c r="C30" s="2973" t="s">
        <v>2710</v>
      </c>
      <c r="D30" s="1688"/>
      <c r="E30" s="1689"/>
      <c r="F30" s="1688"/>
      <c r="G30" s="1688"/>
      <c r="H30" s="1688"/>
      <c r="I30" s="1686"/>
      <c r="J30" s="1627"/>
    </row>
    <row r="31" spans="1:10">
      <c r="A31" s="1602">
        <v>12</v>
      </c>
      <c r="B31" s="1603"/>
      <c r="C31" s="2993" t="s">
        <v>2711</v>
      </c>
      <c r="D31" s="2317"/>
      <c r="E31" s="1689"/>
      <c r="F31" s="1688"/>
      <c r="G31" s="1688"/>
      <c r="H31" s="2962">
        <v>2577</v>
      </c>
      <c r="I31" s="1686">
        <f t="shared" si="0"/>
        <v>-2577</v>
      </c>
      <c r="J31" s="1687">
        <f>H31</f>
        <v>2577</v>
      </c>
    </row>
    <row r="32" spans="1:10">
      <c r="A32" s="1602">
        <v>13</v>
      </c>
      <c r="B32" s="1603"/>
      <c r="C32" s="2993" t="s">
        <v>2712</v>
      </c>
      <c r="D32" s="2317"/>
      <c r="E32" s="1689"/>
      <c r="F32" s="1688"/>
      <c r="G32" s="1688"/>
      <c r="H32" s="2962">
        <v>16365</v>
      </c>
      <c r="I32" s="1686">
        <f t="shared" si="0"/>
        <v>-16365</v>
      </c>
      <c r="J32" s="1687">
        <f>H32</f>
        <v>16365</v>
      </c>
    </row>
    <row r="33" spans="1:10">
      <c r="A33" s="1182">
        <v>14</v>
      </c>
      <c r="B33" s="1603"/>
      <c r="C33" s="2993" t="s">
        <v>2713</v>
      </c>
      <c r="D33" s="2317"/>
      <c r="E33" s="1689"/>
      <c r="F33" s="1688"/>
      <c r="G33" s="1688"/>
      <c r="H33" s="2962">
        <v>11372</v>
      </c>
      <c r="I33" s="1686">
        <f t="shared" si="0"/>
        <v>-11372</v>
      </c>
      <c r="J33" s="1687">
        <f>H33</f>
        <v>11372</v>
      </c>
    </row>
    <row r="34" spans="1:10">
      <c r="A34" s="1602">
        <v>15</v>
      </c>
      <c r="B34" s="1603"/>
      <c r="C34" s="1628"/>
      <c r="D34" s="1688"/>
      <c r="E34" s="1689"/>
      <c r="F34" s="1688"/>
      <c r="G34" s="1688"/>
      <c r="H34" s="1688"/>
      <c r="I34" s="1686"/>
      <c r="J34" s="1627"/>
    </row>
    <row r="35" spans="1:10">
      <c r="A35" s="1602">
        <v>16</v>
      </c>
      <c r="B35" s="1603"/>
      <c r="C35" s="1609" t="s">
        <v>2444</v>
      </c>
      <c r="D35" s="1688"/>
      <c r="E35" s="1689"/>
      <c r="F35" s="1688"/>
      <c r="G35" s="1688"/>
      <c r="H35" s="1688"/>
      <c r="I35" s="1686"/>
      <c r="J35" s="1627"/>
    </row>
    <row r="36" spans="1:10">
      <c r="A36" s="1182">
        <v>17</v>
      </c>
      <c r="B36" s="1603"/>
      <c r="C36" s="2975" t="s">
        <v>2445</v>
      </c>
      <c r="D36" s="2994">
        <v>53846154</v>
      </c>
      <c r="E36" s="2963">
        <v>4.65E-2</v>
      </c>
      <c r="F36" s="2962">
        <v>-5023</v>
      </c>
      <c r="G36" s="2962">
        <v>5673</v>
      </c>
      <c r="H36" s="2962"/>
      <c r="I36" s="1686">
        <f t="shared" si="0"/>
        <v>53835458</v>
      </c>
      <c r="J36" s="2995">
        <v>2514542</v>
      </c>
    </row>
    <row r="37" spans="1:10">
      <c r="A37" s="1602">
        <v>18</v>
      </c>
      <c r="B37" s="1603"/>
      <c r="C37" s="1628"/>
      <c r="D37" s="1688"/>
      <c r="E37" s="1689"/>
      <c r="F37" s="2996"/>
      <c r="G37" s="2996"/>
      <c r="H37" s="2996"/>
      <c r="I37" s="2996"/>
      <c r="J37" s="1679"/>
    </row>
    <row r="38" spans="1:10" ht="15.6" thickBot="1">
      <c r="A38" s="2952">
        <v>19</v>
      </c>
      <c r="B38" s="1603"/>
      <c r="C38" s="1628" t="s">
        <v>82</v>
      </c>
      <c r="D38" s="1690">
        <f>SUM(D21:D36)</f>
        <v>84508435</v>
      </c>
      <c r="E38" s="1689"/>
      <c r="F38" s="1690">
        <f>SUM(F21:F36)</f>
        <v>-5023</v>
      </c>
      <c r="G38" s="1690">
        <f>SUM(G21:G36)</f>
        <v>5673</v>
      </c>
      <c r="H38" s="1690">
        <f>SUM(H21:H36)</f>
        <v>30314</v>
      </c>
      <c r="I38" s="1690">
        <f>SUM(I21:I36)</f>
        <v>84467425</v>
      </c>
      <c r="J38" s="1690">
        <f>SUM(J21:J36)</f>
        <v>3589543</v>
      </c>
    </row>
    <row r="39" spans="1:10" ht="15.6" thickTop="1">
      <c r="A39" s="1182">
        <v>20</v>
      </c>
      <c r="B39" s="1603"/>
      <c r="C39" s="1627"/>
      <c r="D39" s="1627"/>
      <c r="E39" s="1627"/>
      <c r="F39" s="1627"/>
      <c r="G39" s="1627"/>
      <c r="H39" s="1627"/>
      <c r="I39" s="1627"/>
      <c r="J39" s="1627"/>
    </row>
    <row r="40" spans="1:10" ht="15.6" thickBot="1">
      <c r="A40" s="2952">
        <v>21</v>
      </c>
      <c r="B40" s="1603"/>
      <c r="C40" s="1628" t="s">
        <v>83</v>
      </c>
      <c r="D40" s="1627"/>
      <c r="E40" s="1627"/>
      <c r="F40" s="1627"/>
      <c r="G40" s="1627"/>
      <c r="H40" s="1627"/>
      <c r="I40" s="1627"/>
      <c r="J40" s="1691">
        <f>ROUND(J38/I38,5)</f>
        <v>4.2500000000000003E-2</v>
      </c>
    </row>
    <row r="41" spans="1:10" ht="15.6" thickTop="1"/>
  </sheetData>
  <phoneticPr fontId="4" type="noConversion"/>
  <pageMargins left="1" right="0.75" top="1" bottom="1" header="0.5" footer="0.5"/>
  <pageSetup scale="53" orientation="portrait" horizontalDpi="300" verticalDpi="300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tabColor rgb="FF002060"/>
    <pageSetUpPr fitToPage="1"/>
  </sheetPr>
  <dimension ref="A1:P68"/>
  <sheetViews>
    <sheetView zoomScale="80" zoomScaleNormal="80" workbookViewId="0"/>
  </sheetViews>
  <sheetFormatPr defaultColWidth="8" defaultRowHeight="13.2"/>
  <cols>
    <col min="1" max="1" width="6" style="1627" customWidth="1"/>
    <col min="2" max="2" width="46.88671875" style="1627" customWidth="1"/>
    <col min="3" max="3" width="9.44140625" style="1627" customWidth="1"/>
    <col min="4" max="4" width="18.6640625" style="1697" customWidth="1"/>
    <col min="5" max="5" width="14.109375" style="1627" customWidth="1"/>
    <col min="6" max="6" width="14.33203125" style="1627" customWidth="1"/>
    <col min="7" max="7" width="15.5546875" style="1627" customWidth="1"/>
    <col min="8" max="8" width="16.5546875" style="1627" customWidth="1"/>
    <col min="9" max="9" width="16.44140625" style="1627" customWidth="1"/>
    <col min="10" max="10" width="14.33203125" style="1627" customWidth="1"/>
    <col min="11" max="11" width="21.109375" style="1627" customWidth="1"/>
    <col min="12" max="12" width="16.6640625" style="1627" customWidth="1"/>
    <col min="13" max="13" width="16.109375" style="1627" customWidth="1"/>
    <col min="14" max="14" width="15.6640625" style="1627" bestFit="1" customWidth="1"/>
    <col min="15" max="15" width="12.6640625" style="1627" bestFit="1" customWidth="1"/>
    <col min="16" max="16384" width="8" style="1627"/>
  </cols>
  <sheetData>
    <row r="1" spans="1:14">
      <c r="A1" s="1622" t="str">
        <f>COMPANY</f>
        <v>DUKE ENERGY KENTUCKY, INC.</v>
      </c>
      <c r="B1" s="1622"/>
      <c r="C1" s="1622"/>
      <c r="D1" s="1622"/>
      <c r="E1" s="1622"/>
      <c r="F1" s="1622"/>
      <c r="G1" s="1622"/>
      <c r="H1" s="1622"/>
      <c r="I1" s="1622"/>
      <c r="J1" s="1622"/>
      <c r="K1" s="1622"/>
      <c r="L1" s="1622"/>
      <c r="M1" s="1622"/>
      <c r="N1" s="1628"/>
    </row>
    <row r="2" spans="1:14">
      <c r="A2" s="1622" t="str">
        <f>CASE</f>
        <v>CASE NO. 2018-00261</v>
      </c>
      <c r="B2" s="1622"/>
      <c r="C2" s="1622"/>
      <c r="D2" s="1622"/>
      <c r="E2" s="1622"/>
      <c r="F2" s="1622"/>
      <c r="G2" s="1622"/>
      <c r="H2" s="1622"/>
      <c r="I2" s="1622"/>
      <c r="J2" s="1622"/>
      <c r="K2" s="1622"/>
      <c r="L2" s="1622"/>
      <c r="M2" s="1622"/>
      <c r="N2" s="1628"/>
    </row>
    <row r="3" spans="1:14">
      <c r="A3" s="1692" t="s">
        <v>84</v>
      </c>
      <c r="B3" s="1692"/>
      <c r="C3" s="1692"/>
      <c r="D3" s="1692"/>
      <c r="E3" s="1692"/>
      <c r="F3" s="1692"/>
      <c r="G3" s="1692"/>
      <c r="H3" s="1692"/>
      <c r="I3" s="1692"/>
      <c r="J3" s="1692"/>
      <c r="K3" s="1692"/>
      <c r="L3" s="1692"/>
      <c r="M3" s="1692"/>
      <c r="N3" s="1693"/>
    </row>
    <row r="4" spans="1:14">
      <c r="A4" s="1625" t="str">
        <f>"AS OF " &amp;RIGHT(TESTYR,(LEN(TESTYR)-16))</f>
        <v>AS OF NOVEMBER 30, 2018</v>
      </c>
      <c r="B4" s="1692"/>
      <c r="C4" s="1692"/>
      <c r="D4" s="1692"/>
      <c r="E4" s="1692"/>
      <c r="F4" s="1692"/>
      <c r="G4" s="1692"/>
      <c r="H4" s="1692"/>
      <c r="I4" s="1692"/>
      <c r="J4" s="1692"/>
      <c r="K4" s="1692"/>
      <c r="L4" s="1692"/>
      <c r="M4" s="1692"/>
      <c r="N4" s="1693"/>
    </row>
    <row r="5" spans="1:14">
      <c r="A5" s="1622" t="s">
        <v>1711</v>
      </c>
      <c r="B5" s="1622"/>
      <c r="C5" s="1622"/>
      <c r="D5" s="1622"/>
      <c r="E5" s="1622"/>
      <c r="F5" s="1622"/>
      <c r="G5" s="1622"/>
      <c r="H5" s="1622"/>
      <c r="I5" s="1622"/>
      <c r="J5" s="1622"/>
      <c r="K5" s="1622"/>
      <c r="L5" s="1622"/>
      <c r="M5" s="1622"/>
      <c r="N5" s="1628"/>
    </row>
    <row r="6" spans="1:14">
      <c r="A6" s="1622"/>
      <c r="B6" s="1622"/>
      <c r="C6" s="1622"/>
      <c r="D6" s="1623"/>
      <c r="E6" s="1694"/>
      <c r="F6" s="1623"/>
      <c r="G6" s="1695"/>
      <c r="H6" s="1695"/>
      <c r="I6" s="1623"/>
      <c r="J6" s="1623"/>
      <c r="K6" s="1695"/>
      <c r="L6" s="1695"/>
      <c r="M6" s="1696"/>
    </row>
    <row r="7" spans="1:14">
      <c r="A7" s="1626" t="str">
        <f>Data</f>
        <v>DATA: "X" BASE PERIOD   FORECASTED PERIOD</v>
      </c>
      <c r="E7" s="1698"/>
      <c r="G7" s="1699"/>
      <c r="H7" s="1699"/>
      <c r="I7" s="1699"/>
      <c r="J7" s="1699"/>
      <c r="L7" s="1628" t="s">
        <v>85</v>
      </c>
    </row>
    <row r="8" spans="1:14">
      <c r="A8" s="1629" t="s">
        <v>1819</v>
      </c>
      <c r="G8" s="1699"/>
      <c r="H8" s="1699"/>
      <c r="I8" s="1699"/>
      <c r="J8" s="1699"/>
      <c r="L8" s="1628" t="s">
        <v>2092</v>
      </c>
    </row>
    <row r="9" spans="1:14">
      <c r="A9" s="1628" t="str">
        <f>Type</f>
        <v xml:space="preserve">TYPE OF FILING:  "X" ORIGINAL   UPDATED    REVISED  </v>
      </c>
      <c r="G9" s="1699"/>
      <c r="H9" s="1699"/>
      <c r="I9" s="1699"/>
      <c r="L9" s="1628" t="s">
        <v>566</v>
      </c>
      <c r="N9" s="1698"/>
    </row>
    <row r="10" spans="1:14">
      <c r="A10" s="1628" t="s">
        <v>852</v>
      </c>
      <c r="L10" s="1629" t="str">
        <f>_WIT9</f>
        <v>R. H. PRATT</v>
      </c>
      <c r="N10" s="1698"/>
    </row>
    <row r="11" spans="1:14">
      <c r="A11" s="1678"/>
      <c r="B11" s="1678"/>
      <c r="C11" s="1678"/>
      <c r="D11" s="1678"/>
      <c r="E11" s="1678"/>
      <c r="F11" s="1678"/>
      <c r="G11" s="1678"/>
      <c r="H11" s="1678"/>
      <c r="I11" s="1678"/>
      <c r="J11" s="1678"/>
      <c r="K11" s="1678"/>
      <c r="L11" s="1678"/>
      <c r="M11" s="1678"/>
      <c r="N11" s="1678"/>
    </row>
    <row r="12" spans="1:14">
      <c r="A12" s="1599"/>
      <c r="B12" s="1599"/>
      <c r="C12" s="1599"/>
      <c r="D12" s="1599"/>
      <c r="E12" s="1599"/>
      <c r="F12" s="1599"/>
      <c r="G12" s="1599"/>
      <c r="H12" s="1599"/>
      <c r="I12" s="1599"/>
      <c r="J12" s="1599"/>
      <c r="K12" s="1599"/>
      <c r="L12" s="1599"/>
      <c r="M12" s="1714"/>
    </row>
    <row r="13" spans="1:14">
      <c r="A13" s="1603"/>
      <c r="B13" s="3599" t="s">
        <v>86</v>
      </c>
      <c r="C13" s="3599"/>
      <c r="D13" s="3599"/>
      <c r="E13" s="1602" t="s">
        <v>568</v>
      </c>
      <c r="F13" s="1602" t="s">
        <v>87</v>
      </c>
      <c r="G13" s="1603"/>
      <c r="H13" s="1602" t="s">
        <v>88</v>
      </c>
      <c r="I13" s="1602" t="s">
        <v>89</v>
      </c>
      <c r="J13" s="1602" t="s">
        <v>89</v>
      </c>
      <c r="K13" s="1602" t="s">
        <v>90</v>
      </c>
      <c r="L13" s="1603"/>
      <c r="M13" s="1602" t="s">
        <v>91</v>
      </c>
    </row>
    <row r="14" spans="1:14">
      <c r="A14" s="1602" t="s">
        <v>567</v>
      </c>
      <c r="B14" s="3599" t="s">
        <v>92</v>
      </c>
      <c r="C14" s="3599"/>
      <c r="D14" s="3599"/>
      <c r="E14" s="1602" t="s">
        <v>93</v>
      </c>
      <c r="F14" s="1602" t="s">
        <v>568</v>
      </c>
      <c r="G14" s="1602" t="s">
        <v>94</v>
      </c>
      <c r="H14" s="1602" t="s">
        <v>2098</v>
      </c>
      <c r="I14" s="1602" t="s">
        <v>95</v>
      </c>
      <c r="J14" s="1602" t="s">
        <v>2130</v>
      </c>
      <c r="K14" s="1602" t="s">
        <v>96</v>
      </c>
      <c r="L14" s="1602" t="s">
        <v>97</v>
      </c>
      <c r="M14" s="1602" t="s">
        <v>1904</v>
      </c>
    </row>
    <row r="15" spans="1:14">
      <c r="A15" s="1602" t="s">
        <v>2169</v>
      </c>
      <c r="B15" s="3599" t="s">
        <v>1902</v>
      </c>
      <c r="C15" s="3599"/>
      <c r="D15" s="3599"/>
      <c r="E15" s="1602" t="s">
        <v>98</v>
      </c>
      <c r="F15" s="1602" t="s">
        <v>98</v>
      </c>
      <c r="G15" s="1602" t="s">
        <v>2098</v>
      </c>
      <c r="H15" s="1602" t="s">
        <v>1715</v>
      </c>
      <c r="I15" s="1602" t="s">
        <v>99</v>
      </c>
      <c r="J15" s="1602" t="s">
        <v>1845</v>
      </c>
      <c r="K15" s="1602" t="s">
        <v>2130</v>
      </c>
      <c r="L15" s="1602" t="s">
        <v>100</v>
      </c>
      <c r="M15" s="1602" t="s">
        <v>101</v>
      </c>
    </row>
    <row r="16" spans="1:14">
      <c r="A16" s="1603"/>
      <c r="B16" s="1603"/>
      <c r="C16" s="1603"/>
      <c r="D16" s="1603"/>
      <c r="E16" s="1602" t="s">
        <v>837</v>
      </c>
      <c r="F16" s="1602" t="s">
        <v>873</v>
      </c>
      <c r="G16" s="1602" t="s">
        <v>845</v>
      </c>
      <c r="H16" s="1602" t="s">
        <v>1042</v>
      </c>
      <c r="I16" s="1602" t="s">
        <v>718</v>
      </c>
      <c r="J16" s="1602" t="s">
        <v>840</v>
      </c>
      <c r="K16" s="1602" t="s">
        <v>842</v>
      </c>
      <c r="L16" s="1602" t="s">
        <v>102</v>
      </c>
      <c r="M16" s="1602" t="s">
        <v>1043</v>
      </c>
    </row>
    <row r="17" spans="1:16">
      <c r="A17" s="1607"/>
      <c r="B17" s="1607"/>
      <c r="C17" s="1607"/>
      <c r="D17" s="1607"/>
      <c r="E17" s="1607"/>
      <c r="F17" s="1607"/>
      <c r="G17" s="1607"/>
      <c r="H17" s="1607"/>
      <c r="I17" s="1607"/>
      <c r="J17" s="1607"/>
      <c r="K17" s="1607"/>
      <c r="L17" s="1607"/>
      <c r="M17" s="1607"/>
    </row>
    <row r="18" spans="1:16">
      <c r="A18" s="1599"/>
      <c r="B18" s="1599"/>
      <c r="C18" s="1599"/>
      <c r="D18" s="1599"/>
      <c r="E18" s="1599"/>
      <c r="F18" s="1599"/>
      <c r="G18" s="1599"/>
      <c r="H18" s="1599"/>
      <c r="I18" s="1599"/>
      <c r="J18" s="1599"/>
      <c r="K18" s="1599"/>
      <c r="L18" s="1599"/>
      <c r="M18" s="1599"/>
    </row>
    <row r="19" spans="1:16">
      <c r="A19" s="1602">
        <v>1</v>
      </c>
      <c r="B19" s="1609" t="s">
        <v>2448</v>
      </c>
      <c r="C19" s="1628"/>
      <c r="D19" s="1627"/>
    </row>
    <row r="20" spans="1:16">
      <c r="A20" s="1602">
        <v>2</v>
      </c>
      <c r="B20" s="1611" t="s">
        <v>2262</v>
      </c>
      <c r="C20" s="1715"/>
      <c r="D20" s="1716">
        <v>8.6337730154361636E-2</v>
      </c>
      <c r="E20" s="1717">
        <v>39081</v>
      </c>
      <c r="F20" s="1717">
        <v>44104</v>
      </c>
      <c r="G20" s="1718">
        <v>2100000</v>
      </c>
      <c r="H20" s="1718">
        <v>202975</v>
      </c>
      <c r="I20" s="1719">
        <v>0</v>
      </c>
      <c r="J20" s="1719">
        <v>0</v>
      </c>
      <c r="K20" s="1719">
        <v>0</v>
      </c>
      <c r="L20" s="2981">
        <f>H20+I20-J20-K20</f>
        <v>202975</v>
      </c>
      <c r="M20" s="1708">
        <f>ROUND(L20*D20,0)</f>
        <v>17524</v>
      </c>
    </row>
    <row r="21" spans="1:16">
      <c r="A21" s="1602">
        <v>3</v>
      </c>
      <c r="B21" s="1611"/>
      <c r="C21" s="1715"/>
      <c r="D21" s="1716"/>
      <c r="E21" s="1717"/>
      <c r="F21" s="1717"/>
      <c r="G21" s="1719"/>
      <c r="H21" s="1718"/>
      <c r="I21" s="1719"/>
      <c r="J21" s="1719"/>
      <c r="K21" s="1719"/>
      <c r="L21" s="1613"/>
      <c r="M21" s="1708"/>
      <c r="N21" s="1702"/>
      <c r="O21" s="1702"/>
      <c r="P21" s="1702"/>
    </row>
    <row r="22" spans="1:16">
      <c r="A22" s="1602">
        <v>4</v>
      </c>
      <c r="B22" s="2973" t="s">
        <v>2449</v>
      </c>
      <c r="C22" s="2982"/>
      <c r="D22" s="2983"/>
      <c r="E22" s="2984"/>
      <c r="F22" s="2984"/>
      <c r="G22" s="2984"/>
      <c r="H22" s="2984"/>
      <c r="I22" s="2984"/>
      <c r="J22" s="2984"/>
      <c r="K22" s="2984"/>
      <c r="N22" s="1702"/>
      <c r="O22" s="1702"/>
      <c r="P22" s="1702"/>
    </row>
    <row r="23" spans="1:16">
      <c r="A23" s="1602">
        <v>5</v>
      </c>
      <c r="B23" s="1627" t="s">
        <v>103</v>
      </c>
      <c r="C23" s="2984"/>
      <c r="D23" s="2983"/>
      <c r="E23" s="2984"/>
      <c r="F23" s="2984"/>
      <c r="G23" s="2984"/>
      <c r="H23" s="2984"/>
      <c r="I23" s="2984"/>
      <c r="J23" s="2984"/>
      <c r="K23" s="2985">
        <v>58914</v>
      </c>
      <c r="L23" s="1613">
        <f t="shared" ref="L23:L28" si="0">H23+I23-J23-K23</f>
        <v>-58914</v>
      </c>
      <c r="M23" s="1719">
        <v>39276</v>
      </c>
      <c r="N23" s="1702"/>
      <c r="O23" s="1702"/>
      <c r="P23" s="1702"/>
    </row>
    <row r="24" spans="1:16">
      <c r="A24" s="1602">
        <v>6</v>
      </c>
      <c r="B24" s="1627" t="s">
        <v>1373</v>
      </c>
      <c r="C24" s="2984"/>
      <c r="D24" s="2983"/>
      <c r="E24" s="2984"/>
      <c r="F24" s="2984"/>
      <c r="G24" s="2984"/>
      <c r="H24" s="2984"/>
      <c r="I24" s="2984"/>
      <c r="J24" s="2984"/>
      <c r="K24" s="2985">
        <v>73293</v>
      </c>
      <c r="L24" s="1613">
        <f t="shared" si="0"/>
        <v>-73293</v>
      </c>
      <c r="M24" s="1719">
        <v>37479</v>
      </c>
      <c r="N24" s="1702"/>
      <c r="O24" s="1702"/>
      <c r="P24" s="1702"/>
    </row>
    <row r="25" spans="1:16">
      <c r="A25" s="1602">
        <v>7</v>
      </c>
      <c r="B25" s="1627" t="s">
        <v>2264</v>
      </c>
      <c r="C25" s="2984"/>
      <c r="D25" s="2983"/>
      <c r="E25" s="2984"/>
      <c r="F25" s="2984"/>
      <c r="G25" s="2984"/>
      <c r="H25" s="2984"/>
      <c r="I25" s="2984"/>
      <c r="J25" s="2984"/>
      <c r="K25" s="2985">
        <v>423409</v>
      </c>
      <c r="L25" s="1613">
        <f t="shared" si="0"/>
        <v>-423409</v>
      </c>
      <c r="M25" s="1719">
        <v>63938</v>
      </c>
      <c r="N25" s="1702"/>
      <c r="O25" s="1702"/>
      <c r="P25" s="1702"/>
    </row>
    <row r="26" spans="1:16">
      <c r="A26" s="1602">
        <v>8</v>
      </c>
      <c r="B26" s="1627" t="s">
        <v>2265</v>
      </c>
      <c r="C26" s="2984"/>
      <c r="D26" s="2983"/>
      <c r="E26" s="2984"/>
      <c r="F26" s="2984"/>
      <c r="G26" s="2984"/>
      <c r="H26" s="2984"/>
      <c r="I26" s="2984"/>
      <c r="J26" s="2984"/>
      <c r="K26" s="2985">
        <v>196490</v>
      </c>
      <c r="L26" s="1613">
        <f t="shared" si="0"/>
        <v>-196490</v>
      </c>
      <c r="M26" s="1719">
        <v>38654</v>
      </c>
      <c r="N26" s="1702"/>
      <c r="O26" s="1702"/>
      <c r="P26" s="1702"/>
    </row>
    <row r="27" spans="1:16">
      <c r="A27" s="1602">
        <v>9</v>
      </c>
      <c r="B27" s="1627" t="s">
        <v>2266</v>
      </c>
      <c r="C27" s="2984"/>
      <c r="D27" s="2983"/>
      <c r="E27" s="2984"/>
      <c r="F27" s="2984"/>
      <c r="G27" s="2984"/>
      <c r="H27" s="2984"/>
      <c r="I27" s="2984"/>
      <c r="J27" s="2984"/>
      <c r="K27" s="2985">
        <v>18049</v>
      </c>
      <c r="L27" s="1613">
        <f t="shared" si="0"/>
        <v>-18049</v>
      </c>
      <c r="M27" s="1719">
        <v>4563</v>
      </c>
      <c r="N27" s="1702"/>
      <c r="O27" s="1702"/>
      <c r="P27" s="1702"/>
    </row>
    <row r="28" spans="1:16">
      <c r="A28" s="1602">
        <v>10</v>
      </c>
      <c r="B28" s="1627" t="s">
        <v>2267</v>
      </c>
      <c r="C28" s="2984"/>
      <c r="D28" s="2983"/>
      <c r="E28" s="2984"/>
      <c r="F28" s="2984"/>
      <c r="G28" s="2984"/>
      <c r="H28" s="2984"/>
      <c r="I28" s="2984"/>
      <c r="J28" s="2984"/>
      <c r="K28" s="2985">
        <v>134929</v>
      </c>
      <c r="L28" s="1613">
        <f t="shared" si="0"/>
        <v>-134929</v>
      </c>
      <c r="M28" s="1719">
        <v>15569</v>
      </c>
      <c r="N28" s="1702"/>
      <c r="O28" s="1702"/>
      <c r="P28" s="1702"/>
    </row>
    <row r="29" spans="1:16">
      <c r="A29" s="1602">
        <v>11</v>
      </c>
      <c r="B29" s="1628"/>
      <c r="C29" s="2982"/>
      <c r="D29" s="2983"/>
      <c r="E29" s="2984"/>
      <c r="F29" s="2984"/>
      <c r="G29" s="2984"/>
      <c r="H29" s="2984"/>
      <c r="I29" s="2984"/>
      <c r="J29" s="2984"/>
      <c r="K29" s="2986"/>
      <c r="L29" s="2987"/>
      <c r="M29" s="2986"/>
      <c r="N29" s="1702"/>
    </row>
    <row r="30" spans="1:16">
      <c r="A30" s="1602">
        <v>12</v>
      </c>
      <c r="B30" s="2973" t="s">
        <v>2450</v>
      </c>
      <c r="C30" s="2982"/>
      <c r="D30" s="2983"/>
      <c r="E30" s="2984"/>
      <c r="F30" s="2984"/>
      <c r="G30" s="2984"/>
      <c r="H30" s="2984"/>
      <c r="I30" s="2984"/>
      <c r="J30" s="2984"/>
      <c r="K30" s="2986"/>
      <c r="L30" s="2987"/>
      <c r="M30" s="2986"/>
      <c r="N30" s="1702"/>
    </row>
    <row r="31" spans="1:16">
      <c r="A31" s="1602">
        <v>13</v>
      </c>
      <c r="B31" s="2973"/>
      <c r="C31" s="2982"/>
      <c r="D31" s="2983"/>
      <c r="E31" s="2984"/>
      <c r="F31" s="2984"/>
      <c r="G31" s="2984"/>
      <c r="H31" s="2984"/>
      <c r="I31" s="2984"/>
      <c r="J31" s="2984"/>
      <c r="K31" s="2986"/>
      <c r="L31" s="2987"/>
      <c r="M31" s="2986"/>
      <c r="N31" s="1702"/>
    </row>
    <row r="32" spans="1:16">
      <c r="A32" s="1602">
        <v>14</v>
      </c>
      <c r="B32" s="1704" t="s">
        <v>2451</v>
      </c>
      <c r="C32" s="1716">
        <v>2.5645999999999999E-2</v>
      </c>
      <c r="D32" s="1716" t="s">
        <v>1374</v>
      </c>
      <c r="E32" s="1726"/>
      <c r="F32" s="1726">
        <v>45001</v>
      </c>
      <c r="G32" s="1718">
        <v>25000000</v>
      </c>
      <c r="H32" s="1718">
        <v>25000000</v>
      </c>
      <c r="I32" s="1719">
        <v>0</v>
      </c>
      <c r="J32" s="1719">
        <v>0</v>
      </c>
      <c r="K32" s="1719">
        <v>0</v>
      </c>
      <c r="L32" s="1613">
        <f>H32+I32-J32-K32</f>
        <v>25000000</v>
      </c>
      <c r="M32" s="1719">
        <v>641150</v>
      </c>
      <c r="N32" s="1702"/>
    </row>
    <row r="33" spans="1:14">
      <c r="A33" s="1602">
        <v>15</v>
      </c>
      <c r="B33" s="1704" t="s">
        <v>166</v>
      </c>
      <c r="C33" s="1716">
        <v>3.8600000000000002E-2</v>
      </c>
      <c r="D33" s="1716" t="s">
        <v>1374</v>
      </c>
      <c r="E33" s="1726">
        <v>38924</v>
      </c>
      <c r="F33" s="1726">
        <v>46600</v>
      </c>
      <c r="G33" s="1718">
        <v>26720000</v>
      </c>
      <c r="H33" s="2985">
        <v>26720000</v>
      </c>
      <c r="I33" s="1719">
        <v>0</v>
      </c>
      <c r="J33" s="2985">
        <v>172632</v>
      </c>
      <c r="K33" s="2986">
        <v>0</v>
      </c>
      <c r="L33" s="1613">
        <f t="shared" ref="L33:L45" si="1">H33+I33-J33-K33</f>
        <v>26547368</v>
      </c>
      <c r="M33" s="1719">
        <v>1051311</v>
      </c>
      <c r="N33" s="1702"/>
    </row>
    <row r="34" spans="1:14">
      <c r="A34" s="1602">
        <v>16</v>
      </c>
      <c r="B34" s="1704" t="s">
        <v>166</v>
      </c>
      <c r="C34" s="1716">
        <v>1.669E-2</v>
      </c>
      <c r="D34" s="1716" t="s">
        <v>1374</v>
      </c>
      <c r="E34" s="1726">
        <v>39785</v>
      </c>
      <c r="F34" s="1726">
        <v>46600</v>
      </c>
      <c r="G34" s="1718">
        <v>50000000</v>
      </c>
      <c r="H34" s="2985">
        <v>50000000</v>
      </c>
      <c r="I34" s="1719">
        <v>0</v>
      </c>
      <c r="J34" s="2985">
        <v>203822</v>
      </c>
      <c r="K34" s="2986">
        <v>0</v>
      </c>
      <c r="L34" s="1613">
        <f t="shared" si="1"/>
        <v>49796178</v>
      </c>
      <c r="M34" s="1719">
        <v>1226859</v>
      </c>
      <c r="N34" s="1702"/>
    </row>
    <row r="35" spans="1:14">
      <c r="A35" s="1602">
        <v>17</v>
      </c>
      <c r="B35" s="1704" t="s">
        <v>166</v>
      </c>
      <c r="C35" s="1716">
        <v>6.2E-2</v>
      </c>
      <c r="D35" s="1716" t="s">
        <v>1374</v>
      </c>
      <c r="E35" s="1726">
        <v>38786</v>
      </c>
      <c r="F35" s="1726">
        <v>49744</v>
      </c>
      <c r="G35" s="1718">
        <v>65000000</v>
      </c>
      <c r="H35" s="2985">
        <v>65000000</v>
      </c>
      <c r="I35" s="1718">
        <v>-211849</v>
      </c>
      <c r="J35" s="2985">
        <v>376342</v>
      </c>
      <c r="K35" s="2986">
        <v>0</v>
      </c>
      <c r="L35" s="1613">
        <f t="shared" si="1"/>
        <v>64411809</v>
      </c>
      <c r="M35" s="1719">
        <v>4064049</v>
      </c>
      <c r="N35" s="1702"/>
    </row>
    <row r="36" spans="1:14">
      <c r="A36" s="1602">
        <v>18</v>
      </c>
      <c r="B36" s="1704" t="s">
        <v>166</v>
      </c>
      <c r="C36" s="1716">
        <v>4.65E-2</v>
      </c>
      <c r="D36" s="1716" t="s">
        <v>1374</v>
      </c>
      <c r="E36" s="1726">
        <v>40078</v>
      </c>
      <c r="F36" s="1726">
        <v>43739</v>
      </c>
      <c r="G36" s="1718">
        <v>100000000</v>
      </c>
      <c r="H36" s="2985">
        <v>100000000</v>
      </c>
      <c r="I36" s="1718">
        <v>-31090</v>
      </c>
      <c r="J36" s="2985">
        <v>35120</v>
      </c>
      <c r="K36" s="2986">
        <v>0</v>
      </c>
      <c r="L36" s="1613">
        <f t="shared" si="1"/>
        <v>99933790</v>
      </c>
      <c r="M36" s="1719">
        <v>4716210</v>
      </c>
      <c r="N36" s="1702"/>
    </row>
    <row r="37" spans="1:14">
      <c r="A37" s="1602">
        <v>19</v>
      </c>
      <c r="B37" s="1704" t="s">
        <v>166</v>
      </c>
      <c r="C37" s="1716">
        <v>3.4200000000000001E-2</v>
      </c>
      <c r="D37" s="1716" t="s">
        <v>1374</v>
      </c>
      <c r="E37" s="1726">
        <v>42374</v>
      </c>
      <c r="F37" s="1726">
        <v>46037</v>
      </c>
      <c r="G37" s="1718">
        <v>45000000</v>
      </c>
      <c r="H37" s="1718">
        <v>45000000</v>
      </c>
      <c r="I37" s="1719">
        <v>0</v>
      </c>
      <c r="J37" s="2985">
        <v>169588</v>
      </c>
      <c r="K37" s="1719">
        <v>0</v>
      </c>
      <c r="L37" s="1613">
        <f t="shared" si="1"/>
        <v>44830412</v>
      </c>
      <c r="M37" s="1719">
        <v>1562811</v>
      </c>
      <c r="N37" s="1702"/>
    </row>
    <row r="38" spans="1:14">
      <c r="A38" s="1602">
        <v>20</v>
      </c>
      <c r="B38" s="1704" t="s">
        <v>166</v>
      </c>
      <c r="C38" s="1716">
        <v>4.4499999999999998E-2</v>
      </c>
      <c r="D38" s="1716" t="s">
        <v>1374</v>
      </c>
      <c r="E38" s="1726">
        <v>42374</v>
      </c>
      <c r="F38" s="1726">
        <v>53342</v>
      </c>
      <c r="G38" s="1718">
        <v>50000000</v>
      </c>
      <c r="H38" s="1718">
        <v>50000000</v>
      </c>
      <c r="I38" s="1719">
        <v>0</v>
      </c>
      <c r="J38" s="2985">
        <v>240463</v>
      </c>
      <c r="K38" s="1719">
        <v>0</v>
      </c>
      <c r="L38" s="1613">
        <f t="shared" si="1"/>
        <v>49759537</v>
      </c>
      <c r="M38" s="1719">
        <v>2233866</v>
      </c>
      <c r="N38" s="1702"/>
    </row>
    <row r="39" spans="1:14">
      <c r="A39" s="1602">
        <v>21</v>
      </c>
      <c r="B39" s="1704" t="s">
        <v>166</v>
      </c>
      <c r="C39" s="1716">
        <v>3.3500000000000002E-2</v>
      </c>
      <c r="D39" s="1716" t="s">
        <v>1374</v>
      </c>
      <c r="E39" s="1726">
        <v>42985</v>
      </c>
      <c r="F39" s="1726">
        <v>47376</v>
      </c>
      <c r="G39" s="1718">
        <v>30000000</v>
      </c>
      <c r="H39" s="1718">
        <v>30000000</v>
      </c>
      <c r="I39" s="1719">
        <v>0</v>
      </c>
      <c r="J39" s="2985">
        <v>111705</v>
      </c>
      <c r="K39" s="1719">
        <v>0</v>
      </c>
      <c r="L39" s="1613">
        <f t="shared" si="1"/>
        <v>29888295</v>
      </c>
      <c r="M39" s="1719">
        <v>1015354</v>
      </c>
      <c r="N39" s="1702"/>
    </row>
    <row r="40" spans="1:14">
      <c r="A40" s="1602">
        <v>22</v>
      </c>
      <c r="B40" s="1704" t="s">
        <v>166</v>
      </c>
      <c r="C40" s="1716">
        <v>4.1099999999999998E-2</v>
      </c>
      <c r="D40" s="1716" t="s">
        <v>1374</v>
      </c>
      <c r="E40" s="1726">
        <v>42985</v>
      </c>
      <c r="F40" s="1726">
        <v>53950</v>
      </c>
      <c r="G40" s="1718">
        <v>30000000</v>
      </c>
      <c r="H40" s="1718">
        <v>30000000</v>
      </c>
      <c r="I40" s="1719">
        <v>0</v>
      </c>
      <c r="J40" s="2985">
        <v>119361</v>
      </c>
      <c r="K40" s="1719">
        <v>0</v>
      </c>
      <c r="L40" s="1613">
        <f t="shared" si="1"/>
        <v>29880639</v>
      </c>
      <c r="M40" s="1719">
        <v>1237146</v>
      </c>
      <c r="N40" s="1702"/>
    </row>
    <row r="41" spans="1:14">
      <c r="A41" s="1602">
        <v>23</v>
      </c>
      <c r="B41" s="1704" t="s">
        <v>166</v>
      </c>
      <c r="C41" s="1716">
        <v>4.2599999999999999E-2</v>
      </c>
      <c r="D41" s="1716" t="s">
        <v>1374</v>
      </c>
      <c r="E41" s="1726">
        <v>42985</v>
      </c>
      <c r="F41" s="1726">
        <v>57603</v>
      </c>
      <c r="G41" s="1718">
        <v>30000000</v>
      </c>
      <c r="H41" s="1718">
        <v>30000000</v>
      </c>
      <c r="I41" s="1719">
        <v>0</v>
      </c>
      <c r="J41" s="2985">
        <v>120639</v>
      </c>
      <c r="K41" s="1719">
        <v>0</v>
      </c>
      <c r="L41" s="1613">
        <f>H41+I41-J41-K41</f>
        <v>29879361</v>
      </c>
      <c r="M41" s="1719">
        <v>1281110</v>
      </c>
      <c r="N41" s="1702"/>
    </row>
    <row r="42" spans="1:14">
      <c r="A42" s="1602">
        <v>24</v>
      </c>
      <c r="B42" s="1729" t="s">
        <v>2452</v>
      </c>
      <c r="C42" s="1716">
        <v>4.3499999999999997E-2</v>
      </c>
      <c r="D42" s="1716" t="s">
        <v>1374</v>
      </c>
      <c r="E42" s="1726">
        <v>43358</v>
      </c>
      <c r="F42" s="1726">
        <v>47011</v>
      </c>
      <c r="G42" s="1718">
        <v>50000000</v>
      </c>
      <c r="H42" s="1718">
        <v>50000000</v>
      </c>
      <c r="I42" s="1719">
        <v>0</v>
      </c>
      <c r="J42" s="2985">
        <v>209625</v>
      </c>
      <c r="K42" s="1719">
        <v>0</v>
      </c>
      <c r="L42" s="1613">
        <f>H42+I42-J42-K42</f>
        <v>49790375</v>
      </c>
      <c r="M42" s="1719">
        <v>2196500</v>
      </c>
      <c r="N42" s="1702"/>
    </row>
    <row r="43" spans="1:14">
      <c r="A43" s="1602">
        <v>25</v>
      </c>
      <c r="B43" s="1729" t="s">
        <v>2452</v>
      </c>
      <c r="C43" s="1716">
        <v>4.6600000000000003E-2</v>
      </c>
      <c r="D43" s="1716" t="s">
        <v>1374</v>
      </c>
      <c r="E43" s="1726">
        <v>43358</v>
      </c>
      <c r="F43" s="1726">
        <v>54316</v>
      </c>
      <c r="G43" s="1718">
        <v>50000000</v>
      </c>
      <c r="H43" s="1718">
        <v>50000000</v>
      </c>
      <c r="I43" s="1719">
        <v>0</v>
      </c>
      <c r="J43" s="2985">
        <v>213208</v>
      </c>
      <c r="K43" s="1719">
        <v>0</v>
      </c>
      <c r="L43" s="1613">
        <f>H43+I43-J43-K43</f>
        <v>49786792</v>
      </c>
      <c r="M43" s="1719">
        <v>2337167</v>
      </c>
      <c r="N43" s="1702"/>
    </row>
    <row r="44" spans="1:14">
      <c r="A44" s="1602">
        <v>26</v>
      </c>
      <c r="B44" s="1704"/>
      <c r="C44" s="1716"/>
      <c r="D44" s="1716"/>
      <c r="E44" s="1726"/>
      <c r="F44" s="1726"/>
      <c r="G44" s="1718"/>
      <c r="H44" s="1718"/>
      <c r="I44" s="1719"/>
      <c r="J44" s="1719"/>
      <c r="K44" s="1719"/>
      <c r="L44" s="1613"/>
      <c r="M44" s="1719"/>
      <c r="N44" s="1702"/>
    </row>
    <row r="45" spans="1:14">
      <c r="A45" s="1602">
        <v>27</v>
      </c>
      <c r="B45" s="1704" t="s">
        <v>2453</v>
      </c>
      <c r="C45" s="2988"/>
      <c r="D45" s="1728"/>
      <c r="E45" s="1719">
        <v>0</v>
      </c>
      <c r="F45" s="1726">
        <v>45001</v>
      </c>
      <c r="G45" s="1719"/>
      <c r="H45" s="1719">
        <v>0</v>
      </c>
      <c r="I45" s="1719">
        <v>0</v>
      </c>
      <c r="J45" s="2985">
        <v>372801</v>
      </c>
      <c r="K45" s="1719">
        <v>0</v>
      </c>
      <c r="L45" s="1613">
        <f t="shared" si="1"/>
        <v>-372801</v>
      </c>
      <c r="M45" s="2986">
        <v>86866</v>
      </c>
      <c r="N45" s="1702"/>
    </row>
    <row r="46" spans="1:14">
      <c r="A46" s="1602">
        <v>28</v>
      </c>
      <c r="B46" s="1704" t="s">
        <v>2454</v>
      </c>
      <c r="C46" s="2988"/>
      <c r="D46" s="1728"/>
      <c r="E46" s="1719">
        <v>0</v>
      </c>
      <c r="F46" s="1726">
        <v>44971</v>
      </c>
      <c r="G46" s="1719">
        <v>0</v>
      </c>
      <c r="H46" s="1719">
        <v>0</v>
      </c>
      <c r="I46" s="1719">
        <v>0</v>
      </c>
      <c r="J46" s="2985">
        <v>47906</v>
      </c>
      <c r="K46" s="1719">
        <v>0</v>
      </c>
      <c r="L46" s="1613">
        <f>H46+I46-J46-K46</f>
        <v>-47906</v>
      </c>
      <c r="M46" s="2986">
        <v>11498</v>
      </c>
      <c r="N46" s="1702"/>
    </row>
    <row r="47" spans="1:14">
      <c r="A47" s="1602">
        <v>29</v>
      </c>
      <c r="B47" s="1729" t="s">
        <v>2455</v>
      </c>
      <c r="C47" s="1706"/>
      <c r="D47" s="1731"/>
      <c r="E47" s="1700"/>
      <c r="F47" s="1705"/>
      <c r="G47" s="1700"/>
      <c r="H47" s="1700"/>
      <c r="I47" s="1700"/>
      <c r="J47" s="2989"/>
      <c r="K47" s="1700"/>
      <c r="L47" s="1613"/>
      <c r="M47" s="2986">
        <v>257500</v>
      </c>
      <c r="N47" s="1702"/>
    </row>
    <row r="48" spans="1:14">
      <c r="A48" s="1602">
        <v>30</v>
      </c>
      <c r="B48" s="1729"/>
      <c r="C48" s="1706"/>
      <c r="D48" s="1731"/>
      <c r="E48" s="1700"/>
      <c r="F48" s="1705"/>
      <c r="G48" s="1700"/>
      <c r="H48" s="1700"/>
      <c r="I48" s="1700"/>
      <c r="J48" s="2989"/>
      <c r="K48" s="1700"/>
      <c r="L48" s="1613"/>
      <c r="M48" s="2986"/>
      <c r="N48" s="1702"/>
    </row>
    <row r="49" spans="1:14">
      <c r="A49" s="1602">
        <v>31</v>
      </c>
      <c r="B49" s="1720" t="s">
        <v>2457</v>
      </c>
      <c r="C49" s="2990"/>
      <c r="D49" s="1728"/>
      <c r="E49" s="1719"/>
      <c r="F49" s="1726"/>
      <c r="G49" s="1719"/>
      <c r="H49" s="1719"/>
      <c r="I49" s="1719"/>
      <c r="J49" s="2985"/>
      <c r="K49" s="1719"/>
      <c r="L49" s="1613"/>
      <c r="M49" s="2986"/>
      <c r="N49" s="1702"/>
    </row>
    <row r="50" spans="1:14">
      <c r="A50" s="1602">
        <v>32</v>
      </c>
      <c r="B50" s="1611" t="s">
        <v>166</v>
      </c>
      <c r="C50" s="1716">
        <v>4.65E-2</v>
      </c>
      <c r="D50" s="1716" t="s">
        <v>1374</v>
      </c>
      <c r="E50" s="1726">
        <v>40078</v>
      </c>
      <c r="F50" s="1726">
        <v>43739</v>
      </c>
      <c r="G50" s="1719"/>
      <c r="H50" s="1718">
        <v>-100000000</v>
      </c>
      <c r="I50" s="1719">
        <v>31090</v>
      </c>
      <c r="J50" s="1719">
        <v>-35120</v>
      </c>
      <c r="K50" s="1719"/>
      <c r="L50" s="1613">
        <f>H50+I50-J50-K50</f>
        <v>-99933790</v>
      </c>
      <c r="M50" s="2985">
        <v>-4716210</v>
      </c>
      <c r="N50" s="1702"/>
    </row>
    <row r="51" spans="1:14">
      <c r="A51" s="1602">
        <v>33</v>
      </c>
      <c r="B51" s="1704"/>
      <c r="C51" s="1706"/>
      <c r="D51" s="1707"/>
      <c r="E51" s="1703"/>
      <c r="F51" s="1703"/>
      <c r="G51" s="1701"/>
      <c r="H51" s="1701"/>
      <c r="I51" s="1700"/>
      <c r="J51" s="1700"/>
      <c r="K51" s="1700"/>
      <c r="L51" s="1613"/>
      <c r="M51" s="1708"/>
    </row>
    <row r="52" spans="1:14" ht="13.8" thickBot="1">
      <c r="A52" s="1602">
        <v>34</v>
      </c>
      <c r="B52" s="1704"/>
      <c r="C52" s="1603"/>
      <c r="D52" s="1616" t="s">
        <v>1375</v>
      </c>
      <c r="E52" s="1603"/>
      <c r="F52" s="1603"/>
      <c r="G52" s="1709">
        <f>SUM(G20:G47)</f>
        <v>553820000</v>
      </c>
      <c r="H52" s="1709">
        <f>SUM(H20:H47)</f>
        <v>551922975</v>
      </c>
      <c r="I52" s="1709">
        <f>SUM(I20:I43)</f>
        <v>-242939</v>
      </c>
      <c r="J52" s="1709">
        <f>SUM(J20:J47)</f>
        <v>2393212</v>
      </c>
      <c r="K52" s="1709">
        <f>SUM(K20:K43)</f>
        <v>905084</v>
      </c>
      <c r="L52" s="1709">
        <f>SUM(L20:L51)</f>
        <v>448447950</v>
      </c>
      <c r="M52" s="1709">
        <f>SUM(M20:M50)</f>
        <v>19420190</v>
      </c>
    </row>
    <row r="53" spans="1:14" ht="13.8" thickTop="1">
      <c r="A53" s="1602">
        <v>35</v>
      </c>
      <c r="B53" s="1603"/>
      <c r="D53" s="1627"/>
      <c r="G53" s="1710"/>
      <c r="H53" s="1711"/>
      <c r="I53" s="1711"/>
      <c r="J53" s="1711"/>
      <c r="K53" s="1711"/>
      <c r="L53" s="1711"/>
      <c r="M53" s="1711"/>
    </row>
    <row r="54" spans="1:14">
      <c r="A54" s="1602">
        <v>36</v>
      </c>
      <c r="D54" s="1627"/>
      <c r="G54" s="1712"/>
      <c r="H54" s="1711"/>
      <c r="I54" s="1711"/>
      <c r="J54" s="1711"/>
      <c r="K54" s="1711"/>
      <c r="L54" s="1711"/>
      <c r="M54" s="1711"/>
    </row>
    <row r="55" spans="1:14" ht="13.8" thickBot="1">
      <c r="A55" s="1602">
        <v>37</v>
      </c>
      <c r="D55" s="1628" t="s">
        <v>1376</v>
      </c>
      <c r="M55" s="1691">
        <f>ROUND(M52/L52,5)</f>
        <v>4.3310000000000001E-2</v>
      </c>
      <c r="N55" s="1685"/>
    </row>
    <row r="56" spans="1:14" ht="13.8" thickTop="1">
      <c r="D56" s="1627"/>
      <c r="M56" s="1713"/>
    </row>
    <row r="57" spans="1:14">
      <c r="A57" s="1628" t="s">
        <v>1377</v>
      </c>
      <c r="D57" s="1627"/>
    </row>
    <row r="58" spans="1:14">
      <c r="A58" s="1628" t="s">
        <v>32</v>
      </c>
      <c r="D58" s="1627"/>
    </row>
    <row r="61" spans="1:14">
      <c r="I61" s="1687"/>
      <c r="J61" s="1687"/>
    </row>
    <row r="62" spans="1:14">
      <c r="I62" s="1687"/>
      <c r="J62" s="1687"/>
    </row>
    <row r="63" spans="1:14">
      <c r="I63" s="1687"/>
      <c r="J63" s="1687"/>
    </row>
    <row r="64" spans="1:14">
      <c r="I64" s="1687"/>
      <c r="J64" s="1687"/>
    </row>
    <row r="65" spans="9:10">
      <c r="I65" s="1687"/>
      <c r="J65" s="1687"/>
    </row>
    <row r="66" spans="9:10">
      <c r="I66" s="1687"/>
      <c r="J66" s="1687"/>
    </row>
    <row r="67" spans="9:10">
      <c r="I67" s="1687"/>
      <c r="J67" s="1687"/>
    </row>
    <row r="68" spans="9:10">
      <c r="I68" s="1687"/>
      <c r="J68" s="1687"/>
    </row>
  </sheetData>
  <mergeCells count="3">
    <mergeCell ref="B13:D13"/>
    <mergeCell ref="B14:D14"/>
    <mergeCell ref="B15:D15"/>
  </mergeCells>
  <phoneticPr fontId="4" type="noConversion"/>
  <pageMargins left="1" right="0.75" top="1" bottom="1" header="0.5" footer="0.5"/>
  <pageSetup scale="53" orientation="landscape" horizontalDpi="300" verticalDpi="300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6AAC2DF297EF4AAAB18C12C14394A6" ma:contentTypeVersion="3" ma:contentTypeDescription="Create a new document." ma:contentTypeScope="" ma:versionID="7fc2e36abf7e4763f7a3830366bb39e6">
  <xsd:schema xmlns:xsd="http://www.w3.org/2001/XMLSchema" xmlns:xs="http://www.w3.org/2001/XMLSchema" xmlns:p="http://schemas.microsoft.com/office/2006/metadata/properties" xmlns:ns2="b9d8ba39-ee9f-49d4-886c-5a19d7852603" xmlns:ns3="e8140ab9-1a87-4657-a6c4-99cca0129bf1" targetNamespace="http://schemas.microsoft.com/office/2006/metadata/properties" ma:root="true" ma:fieldsID="d278129e1cff69c7909c0d1b013fbb82" ns2:_="" ns3:_="">
    <xsd:import namespace="b9d8ba39-ee9f-49d4-886c-5a19d7852603"/>
    <xsd:import namespace="e8140ab9-1a87-4657-a6c4-99cca0129bf1"/>
    <xsd:element name="properties">
      <xsd:complexType>
        <xsd:sequence>
          <xsd:element name="documentManagement">
            <xsd:complexType>
              <xsd:all>
                <xsd:element ref="ns2:Witness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d8ba39-ee9f-49d4-886c-5a19d7852603" elementFormDefault="qualified">
    <xsd:import namespace="http://schemas.microsoft.com/office/2006/documentManagement/types"/>
    <xsd:import namespace="http://schemas.microsoft.com/office/infopath/2007/PartnerControls"/>
    <xsd:element name="Witness" ma:index="9" nillable="true" ma:displayName="Witness" ma:internalName="Witness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8140ab9-1a87-4657-a6c4-99cca0129bf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 ma:index="8" ma:displayName="Subject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Witness xmlns="b9d8ba39-ee9f-49d4-886c-5a19d7852603">Lawler</Witness>
  </documentManagement>
</p:properties>
</file>

<file path=customXml/itemProps1.xml><?xml version="1.0" encoding="utf-8"?>
<ds:datastoreItem xmlns:ds="http://schemas.openxmlformats.org/officeDocument/2006/customXml" ds:itemID="{97A40FD9-05E6-4FB0-A8D5-34A8904937CC}"/>
</file>

<file path=customXml/itemProps2.xml><?xml version="1.0" encoding="utf-8"?>
<ds:datastoreItem xmlns:ds="http://schemas.openxmlformats.org/officeDocument/2006/customXml" ds:itemID="{6E1945F0-42A6-4A46-ACF4-8DE8032DADEF}"/>
</file>

<file path=customXml/itemProps3.xml><?xml version="1.0" encoding="utf-8"?>
<ds:datastoreItem xmlns:ds="http://schemas.openxmlformats.org/officeDocument/2006/customXml" ds:itemID="{CE9807FF-0053-40D3-93E8-C1AA2457D7A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101</vt:i4>
      </vt:variant>
      <vt:variant>
        <vt:lpstr>Named Ranges</vt:lpstr>
      </vt:variant>
      <vt:variant>
        <vt:i4>452</vt:i4>
      </vt:variant>
    </vt:vector>
  </HeadingPairs>
  <TitlesOfParts>
    <vt:vector size="553" baseType="lpstr">
      <vt:lpstr>LOGO</vt:lpstr>
      <vt:lpstr>ALLOCTABLE</vt:lpstr>
      <vt:lpstr>BASE PERIOD</vt:lpstr>
      <vt:lpstr>BP Rev by Product</vt:lpstr>
      <vt:lpstr>FORECASTED PERIOD</vt:lpstr>
      <vt:lpstr>FP Rev by Product</vt:lpstr>
      <vt:lpstr>SCH_A</vt:lpstr>
      <vt:lpstr>SCH_B1</vt:lpstr>
      <vt:lpstr>SCH B-2</vt:lpstr>
      <vt:lpstr>SCH B-2.1</vt:lpstr>
      <vt:lpstr>SCH B-2.2</vt:lpstr>
      <vt:lpstr>WPB-2.2a-f - Base</vt:lpstr>
      <vt:lpstr>WPB-2.2g</vt:lpstr>
      <vt:lpstr>WPB-2.2h</vt:lpstr>
      <vt:lpstr>WPB-2.2i Erlanger</vt:lpstr>
      <vt:lpstr>SCH B-2.3</vt:lpstr>
      <vt:lpstr>SCH B-2.4</vt:lpstr>
      <vt:lpstr>SCH B-2.5</vt:lpstr>
      <vt:lpstr>SCH B-2.6</vt:lpstr>
      <vt:lpstr>SCH B-2.7</vt:lpstr>
      <vt:lpstr>SCH B-3</vt:lpstr>
      <vt:lpstr>SCH B-3.1</vt:lpstr>
      <vt:lpstr>WPB-3.1a</vt:lpstr>
      <vt:lpstr>SCH B-3.2 - Proposed Rate</vt:lpstr>
      <vt:lpstr>SCH B-3.2 - Current Rate</vt:lpstr>
      <vt:lpstr>SCH B-4</vt:lpstr>
      <vt:lpstr>SCH_B5s</vt:lpstr>
      <vt:lpstr>WPB-5's</vt:lpstr>
      <vt:lpstr>SCH_B6</vt:lpstr>
      <vt:lpstr>WPB-6's</vt:lpstr>
      <vt:lpstr>SCH_B7s</vt:lpstr>
      <vt:lpstr>SCH_B8</vt:lpstr>
      <vt:lpstr>SCH_C1</vt:lpstr>
      <vt:lpstr>SCH_C2</vt:lpstr>
      <vt:lpstr>WPC_2</vt:lpstr>
      <vt:lpstr>WPC-2e - Adj Summary</vt:lpstr>
      <vt:lpstr>SCH_C2.1 - Base Period</vt:lpstr>
      <vt:lpstr>SCH_C2.1 - Forecasted Period</vt:lpstr>
      <vt:lpstr>SCH_D1</vt:lpstr>
      <vt:lpstr>SCH_D2.1</vt:lpstr>
      <vt:lpstr>SCH_D2.2</vt:lpstr>
      <vt:lpstr>SCH_D2.3</vt:lpstr>
      <vt:lpstr>SCH_D2.4</vt:lpstr>
      <vt:lpstr>SCH_D2.5</vt:lpstr>
      <vt:lpstr>SCH_D2.6</vt:lpstr>
      <vt:lpstr>SCH_D2.7</vt:lpstr>
      <vt:lpstr>SCH_D2.8</vt:lpstr>
      <vt:lpstr>SCH_D2.9</vt:lpstr>
      <vt:lpstr>SCH_D2.10</vt:lpstr>
      <vt:lpstr>SCH_D2.11</vt:lpstr>
      <vt:lpstr>SCH_D2.12</vt:lpstr>
      <vt:lpstr>SCH_D2.13</vt:lpstr>
      <vt:lpstr>SCH_D2.14</vt:lpstr>
      <vt:lpstr>SCH_D2.15</vt:lpstr>
      <vt:lpstr>SCH_D2.16</vt:lpstr>
      <vt:lpstr>SCH_D2.17</vt:lpstr>
      <vt:lpstr>SCH_D2.18</vt:lpstr>
      <vt:lpstr>SCH_D2.19</vt:lpstr>
      <vt:lpstr>SCH_D2.20</vt:lpstr>
      <vt:lpstr>SCH_D2.21</vt:lpstr>
      <vt:lpstr>SCH_D2.22</vt:lpstr>
      <vt:lpstr>SCH_D2.23</vt:lpstr>
      <vt:lpstr>SCH_D2.24</vt:lpstr>
      <vt:lpstr>SCH_D2.25</vt:lpstr>
      <vt:lpstr>SCH_D2.26</vt:lpstr>
      <vt:lpstr>SCH_D2.27</vt:lpstr>
      <vt:lpstr>SCH_D2.28</vt:lpstr>
      <vt:lpstr>SCH_D2.29</vt:lpstr>
      <vt:lpstr>SCH_D3</vt:lpstr>
      <vt:lpstr>SCH_D4</vt:lpstr>
      <vt:lpstr>SCH_D5</vt:lpstr>
      <vt:lpstr>SCH_E1</vt:lpstr>
      <vt:lpstr>SCH_E2</vt:lpstr>
      <vt:lpstr>SCH_F1</vt:lpstr>
      <vt:lpstr>SCH_F2.1</vt:lpstr>
      <vt:lpstr>SCH_F2.2</vt:lpstr>
      <vt:lpstr>SCH_F2.3</vt:lpstr>
      <vt:lpstr>SCH_F3</vt:lpstr>
      <vt:lpstr>SCH_F4</vt:lpstr>
      <vt:lpstr>SCH_F5</vt:lpstr>
      <vt:lpstr>SCH_F6</vt:lpstr>
      <vt:lpstr>SCH_F7</vt:lpstr>
      <vt:lpstr>SCH_G1</vt:lpstr>
      <vt:lpstr>SCH_G2</vt:lpstr>
      <vt:lpstr>SCH_G3</vt:lpstr>
      <vt:lpstr>SCH_H</vt:lpstr>
      <vt:lpstr>SCH_I1 - Total Co.</vt:lpstr>
      <vt:lpstr>SCH_I1 - Gas Only</vt:lpstr>
      <vt:lpstr>SCH_I2.1</vt:lpstr>
      <vt:lpstr>Base Period Cust</vt:lpstr>
      <vt:lpstr>MCF Sales</vt:lpstr>
      <vt:lpstr>SCH_I3</vt:lpstr>
      <vt:lpstr>SCH_I4</vt:lpstr>
      <vt:lpstr>SCH_I5</vt:lpstr>
      <vt:lpstr>SCH_J1 - Base</vt:lpstr>
      <vt:lpstr>SCH_J1 - Forecast</vt:lpstr>
      <vt:lpstr>SCH_J2 - Base</vt:lpstr>
      <vt:lpstr>SCH_J2 - Forecast</vt:lpstr>
      <vt:lpstr>SCH_J3 - Base</vt:lpstr>
      <vt:lpstr>SCH_J3 - Forecast</vt:lpstr>
      <vt:lpstr>SCH K DEK</vt:lpstr>
      <vt:lpstr>_WIT1</vt:lpstr>
      <vt:lpstr>_WIT10</vt:lpstr>
      <vt:lpstr>_WIT2</vt:lpstr>
      <vt:lpstr>_WIT3</vt:lpstr>
      <vt:lpstr>_WIT4</vt:lpstr>
      <vt:lpstr>_WIT5</vt:lpstr>
      <vt:lpstr>_WIT6</vt:lpstr>
      <vt:lpstr>_WIT7</vt:lpstr>
      <vt:lpstr>_Wit8</vt:lpstr>
      <vt:lpstr>_WIT9</vt:lpstr>
      <vt:lpstr>AccountBP</vt:lpstr>
      <vt:lpstr>ALLOCTABLE</vt:lpstr>
      <vt:lpstr>AmountBP</vt:lpstr>
      <vt:lpstr>AmountFP</vt:lpstr>
      <vt:lpstr>APPORT</vt:lpstr>
      <vt:lpstr>Base_Period</vt:lpstr>
      <vt:lpstr>Base1</vt:lpstr>
      <vt:lpstr>Base10</vt:lpstr>
      <vt:lpstr>Base11</vt:lpstr>
      <vt:lpstr>Base12</vt:lpstr>
      <vt:lpstr>Base2</vt:lpstr>
      <vt:lpstr>Base3</vt:lpstr>
      <vt:lpstr>Base4</vt:lpstr>
      <vt:lpstr>Base5</vt:lpstr>
      <vt:lpstr>Base6</vt:lpstr>
      <vt:lpstr>Base7</vt:lpstr>
      <vt:lpstr>Base8</vt:lpstr>
      <vt:lpstr>Base9</vt:lpstr>
      <vt:lpstr>BaseFuelCurrent</vt:lpstr>
      <vt:lpstr>BaseFuelProposed</vt:lpstr>
      <vt:lpstr>BasePeriod</vt:lpstr>
      <vt:lpstr>BPRev1</vt:lpstr>
      <vt:lpstr>BPRev10</vt:lpstr>
      <vt:lpstr>BPrev11</vt:lpstr>
      <vt:lpstr>BPRev12</vt:lpstr>
      <vt:lpstr>BPRev2</vt:lpstr>
      <vt:lpstr>BPRev3</vt:lpstr>
      <vt:lpstr>BPRev4</vt:lpstr>
      <vt:lpstr>BPRev5</vt:lpstr>
      <vt:lpstr>BPRev6</vt:lpstr>
      <vt:lpstr>BPRev7</vt:lpstr>
      <vt:lpstr>BPRev8</vt:lpstr>
      <vt:lpstr>BPRev9</vt:lpstr>
      <vt:lpstr>BPREVACCT</vt:lpstr>
      <vt:lpstr>BPREVPROD</vt:lpstr>
      <vt:lpstr>BPrevTotal</vt:lpstr>
      <vt:lpstr>C_1_PROEXP</vt:lpstr>
      <vt:lpstr>CASE</vt:lpstr>
      <vt:lpstr>CheckTotal</vt:lpstr>
      <vt:lpstr>CODE</vt:lpstr>
      <vt:lpstr>CodeF</vt:lpstr>
      <vt:lpstr>CommonE</vt:lpstr>
      <vt:lpstr>CommonG</vt:lpstr>
      <vt:lpstr>COMPANY</vt:lpstr>
      <vt:lpstr>D_1_DEPR</vt:lpstr>
      <vt:lpstr>D_1_INTADJ</vt:lpstr>
      <vt:lpstr>D_1_OMEXP</vt:lpstr>
      <vt:lpstr>D_1_OTHTX</vt:lpstr>
      <vt:lpstr>D_1_REV</vt:lpstr>
      <vt:lpstr>Data</vt:lpstr>
      <vt:lpstr>DataB</vt:lpstr>
      <vt:lpstr>Database</vt:lpstr>
      <vt:lpstr>DataF</vt:lpstr>
      <vt:lpstr>DEPT</vt:lpstr>
      <vt:lpstr>ExpGRCF</vt:lpstr>
      <vt:lpstr>FERCBP</vt:lpstr>
      <vt:lpstr>FERCFP</vt:lpstr>
      <vt:lpstr>FIT</vt:lpstr>
      <vt:lpstr>Forecast</vt:lpstr>
      <vt:lpstr>Forecast1</vt:lpstr>
      <vt:lpstr>Forecast10</vt:lpstr>
      <vt:lpstr>Forecast11</vt:lpstr>
      <vt:lpstr>Forecast12</vt:lpstr>
      <vt:lpstr>Forecast2</vt:lpstr>
      <vt:lpstr>Forecast3</vt:lpstr>
      <vt:lpstr>forecast4</vt:lpstr>
      <vt:lpstr>Forecast5</vt:lpstr>
      <vt:lpstr>Forecast6</vt:lpstr>
      <vt:lpstr>Forecast7</vt:lpstr>
      <vt:lpstr>Forecast8</vt:lpstr>
      <vt:lpstr>Forecast9</vt:lpstr>
      <vt:lpstr>FPERIOD</vt:lpstr>
      <vt:lpstr>FPRev1</vt:lpstr>
      <vt:lpstr>FPrev10</vt:lpstr>
      <vt:lpstr>FPRev11</vt:lpstr>
      <vt:lpstr>FPRev12</vt:lpstr>
      <vt:lpstr>FPRev2</vt:lpstr>
      <vt:lpstr>FPRev3</vt:lpstr>
      <vt:lpstr>FPRev4</vt:lpstr>
      <vt:lpstr>FPRev5</vt:lpstr>
      <vt:lpstr>FPRev6</vt:lpstr>
      <vt:lpstr>FPrev7</vt:lpstr>
      <vt:lpstr>FPRev8</vt:lpstr>
      <vt:lpstr>FPrev9</vt:lpstr>
      <vt:lpstr>FPRevAcct</vt:lpstr>
      <vt:lpstr>FPRevProd</vt:lpstr>
      <vt:lpstr>FPrevTotal</vt:lpstr>
      <vt:lpstr>FPunbilled</vt:lpstr>
      <vt:lpstr>GRCF</vt:lpstr>
      <vt:lpstr>GROSS_REVENUE_CONVERSION_FACTOR</vt:lpstr>
      <vt:lpstr>KPSC</vt:lpstr>
      <vt:lpstr>KPSCMaint</vt:lpstr>
      <vt:lpstr>MINCR</vt:lpstr>
      <vt:lpstr>PayrollWit</vt:lpstr>
      <vt:lpstr>PERIOD</vt:lpstr>
      <vt:lpstr>PeriodF</vt:lpstr>
      <vt:lpstr>PLANT_IN_SERVICE</vt:lpstr>
      <vt:lpstr>'Base Period Cust'!Print_Area</vt:lpstr>
      <vt:lpstr>'FORECASTED PERIOD'!Print_Area</vt:lpstr>
      <vt:lpstr>'SCH B-2'!Print_Area</vt:lpstr>
      <vt:lpstr>'SCH B-2.1'!Print_Area</vt:lpstr>
      <vt:lpstr>'SCH B-2.2'!Print_Area</vt:lpstr>
      <vt:lpstr>'SCH B-2.3'!Print_Area</vt:lpstr>
      <vt:lpstr>'SCH B-2.4'!Print_Area</vt:lpstr>
      <vt:lpstr>'SCH B-2.5'!Print_Area</vt:lpstr>
      <vt:lpstr>'SCH B-2.6'!Print_Area</vt:lpstr>
      <vt:lpstr>'SCH B-2.7'!Print_Area</vt:lpstr>
      <vt:lpstr>'SCH B-3'!Print_Area</vt:lpstr>
      <vt:lpstr>'SCH B-3.1'!Print_Area</vt:lpstr>
      <vt:lpstr>'SCH B-3.2 - Current Rate'!Print_Area</vt:lpstr>
      <vt:lpstr>'SCH B-3.2 - Proposed Rate'!Print_Area</vt:lpstr>
      <vt:lpstr>'SCH B-4'!Print_Area</vt:lpstr>
      <vt:lpstr>'SCH K DEK'!Print_Area</vt:lpstr>
      <vt:lpstr>SCH_A!Print_Area</vt:lpstr>
      <vt:lpstr>SCH_B1!Print_Area</vt:lpstr>
      <vt:lpstr>SCH_B5s!Print_Area</vt:lpstr>
      <vt:lpstr>SCH_B6!Print_Area</vt:lpstr>
      <vt:lpstr>SCH_B7s!Print_Area</vt:lpstr>
      <vt:lpstr>SCH_B8!Print_Area</vt:lpstr>
      <vt:lpstr>SCH_C1!Print_Area</vt:lpstr>
      <vt:lpstr>SCH_C2!Print_Area</vt:lpstr>
      <vt:lpstr>'SCH_C2.1 - Base Period'!Print_Area</vt:lpstr>
      <vt:lpstr>'SCH_C2.1 - Forecasted Period'!Print_Area</vt:lpstr>
      <vt:lpstr>SCH_D1!Print_Area</vt:lpstr>
      <vt:lpstr>SCH_D2.1!Print_Area</vt:lpstr>
      <vt:lpstr>SCH_D2.10!Print_Area</vt:lpstr>
      <vt:lpstr>SCH_D2.11!Print_Area</vt:lpstr>
      <vt:lpstr>SCH_D2.12!Print_Area</vt:lpstr>
      <vt:lpstr>SCH_D2.13!Print_Area</vt:lpstr>
      <vt:lpstr>SCH_D2.14!Print_Area</vt:lpstr>
      <vt:lpstr>SCH_D2.15!Print_Area</vt:lpstr>
      <vt:lpstr>SCH_D2.16!Print_Area</vt:lpstr>
      <vt:lpstr>SCH_D2.17!Print_Area</vt:lpstr>
      <vt:lpstr>SCH_D2.18!Print_Area</vt:lpstr>
      <vt:lpstr>SCH_D2.19!Print_Area</vt:lpstr>
      <vt:lpstr>SCH_D2.2!Print_Area</vt:lpstr>
      <vt:lpstr>SCH_D2.20!Print_Area</vt:lpstr>
      <vt:lpstr>SCH_D2.21!Print_Area</vt:lpstr>
      <vt:lpstr>SCH_D2.22!Print_Area</vt:lpstr>
      <vt:lpstr>SCH_D2.23!Print_Area</vt:lpstr>
      <vt:lpstr>SCH_D2.24!Print_Area</vt:lpstr>
      <vt:lpstr>SCH_D2.25!Print_Area</vt:lpstr>
      <vt:lpstr>SCH_D2.26!Print_Area</vt:lpstr>
      <vt:lpstr>SCH_D2.27!Print_Area</vt:lpstr>
      <vt:lpstr>SCH_D2.28!Print_Area</vt:lpstr>
      <vt:lpstr>SCH_D2.3!Print_Area</vt:lpstr>
      <vt:lpstr>SCH_D2.4!Print_Area</vt:lpstr>
      <vt:lpstr>SCH_D2.5!Print_Area</vt:lpstr>
      <vt:lpstr>SCH_D2.6!Print_Area</vt:lpstr>
      <vt:lpstr>SCH_D2.7!Print_Area</vt:lpstr>
      <vt:lpstr>SCH_D2.8!Print_Area</vt:lpstr>
      <vt:lpstr>SCH_D2.9!Print_Area</vt:lpstr>
      <vt:lpstr>SCH_D3!Print_Area</vt:lpstr>
      <vt:lpstr>SCH_D4!Print_Area</vt:lpstr>
      <vt:lpstr>SCH_D5!Print_Area</vt:lpstr>
      <vt:lpstr>SCH_E1!Print_Area</vt:lpstr>
      <vt:lpstr>SCH_E2!Print_Area</vt:lpstr>
      <vt:lpstr>SCH_F1!Print_Area</vt:lpstr>
      <vt:lpstr>SCH_F2.1!Print_Area</vt:lpstr>
      <vt:lpstr>SCH_F2.2!Print_Area</vt:lpstr>
      <vt:lpstr>SCH_F2.3!Print_Area</vt:lpstr>
      <vt:lpstr>SCH_F3!Print_Area</vt:lpstr>
      <vt:lpstr>SCH_F4!Print_Area</vt:lpstr>
      <vt:lpstr>SCH_F5!Print_Area</vt:lpstr>
      <vt:lpstr>SCH_F6!Print_Area</vt:lpstr>
      <vt:lpstr>SCH_F7!Print_Area</vt:lpstr>
      <vt:lpstr>SCH_G1!Print_Area</vt:lpstr>
      <vt:lpstr>SCH_G2!Print_Area</vt:lpstr>
      <vt:lpstr>SCH_G3!Print_Area</vt:lpstr>
      <vt:lpstr>SCH_H!Print_Area</vt:lpstr>
      <vt:lpstr>'SCH_I1 - Gas Only'!Print_Area</vt:lpstr>
      <vt:lpstr>'SCH_I1 - Total Co.'!Print_Area</vt:lpstr>
      <vt:lpstr>SCH_I2.1!Print_Area</vt:lpstr>
      <vt:lpstr>SCH_I3!Print_Area</vt:lpstr>
      <vt:lpstr>SCH_I4!Print_Area</vt:lpstr>
      <vt:lpstr>SCH_I5!Print_Area</vt:lpstr>
      <vt:lpstr>'SCH_J1 - Base'!Print_Area</vt:lpstr>
      <vt:lpstr>'SCH_J1 - Forecast'!Print_Area</vt:lpstr>
      <vt:lpstr>'SCH_J2 - Base'!Print_Area</vt:lpstr>
      <vt:lpstr>'SCH_J2 - Forecast'!Print_Area</vt:lpstr>
      <vt:lpstr>'SCH_J3 - Base'!Print_Area</vt:lpstr>
      <vt:lpstr>'SCH_J3 - Forecast'!Print_Area</vt:lpstr>
      <vt:lpstr>'WPB-2.2a-f - Base'!Print_Area</vt:lpstr>
      <vt:lpstr>'WPB-2.2g'!Print_Area</vt:lpstr>
      <vt:lpstr>'WPB-2.2h'!Print_Area</vt:lpstr>
      <vt:lpstr>'WPB-2.2i Erlanger'!Print_Area</vt:lpstr>
      <vt:lpstr>'WPB-3.1a'!Print_Area</vt:lpstr>
      <vt:lpstr>'WPB-5''s'!Print_Area</vt:lpstr>
      <vt:lpstr>'WPB-6''s'!Print_Area</vt:lpstr>
      <vt:lpstr>WPC_2!Print_Area</vt:lpstr>
      <vt:lpstr>'WPC-2e - Adj Summary'!Print_Area</vt:lpstr>
      <vt:lpstr>'BASE PERIOD'!Print_Titles</vt:lpstr>
      <vt:lpstr>'FORECASTED PERIOD'!Print_Titles</vt:lpstr>
      <vt:lpstr>'WPB-2.2i Erlanger'!Print_Titles</vt:lpstr>
      <vt:lpstr>RofR</vt:lpstr>
      <vt:lpstr>SCH_A_RB</vt:lpstr>
      <vt:lpstr>SCH_B1</vt:lpstr>
      <vt:lpstr>SCH_B2.1P1</vt:lpstr>
      <vt:lpstr>SCH_B2.1P2</vt:lpstr>
      <vt:lpstr>SCH_B2.1P3</vt:lpstr>
      <vt:lpstr>SCH_B2.1P4</vt:lpstr>
      <vt:lpstr>SCH_B2.1P5</vt:lpstr>
      <vt:lpstr>SCH_B2.1P6</vt:lpstr>
      <vt:lpstr>SCH_B2.1P7</vt:lpstr>
      <vt:lpstr>SCH_B2.1P8</vt:lpstr>
      <vt:lpstr>SCH_B2.2P1</vt:lpstr>
      <vt:lpstr>SCH_B2.2P2</vt:lpstr>
      <vt:lpstr>SCH_B2.3P1</vt:lpstr>
      <vt:lpstr>SCH_B2.3P2</vt:lpstr>
      <vt:lpstr>SCH_B2.3P3</vt:lpstr>
      <vt:lpstr>SCH_B2.3P4</vt:lpstr>
      <vt:lpstr>SCH_B2.3P5</vt:lpstr>
      <vt:lpstr>SCH_B2.3P6</vt:lpstr>
      <vt:lpstr>SCH_B2.3P7</vt:lpstr>
      <vt:lpstr>SCH_B2.3P8</vt:lpstr>
      <vt:lpstr>SCH_B2.4</vt:lpstr>
      <vt:lpstr>SCH_B2.5P1</vt:lpstr>
      <vt:lpstr>SCH_B2.5P2</vt:lpstr>
      <vt:lpstr>SCH_B2.6P1</vt:lpstr>
      <vt:lpstr>SCH_B2.6P2</vt:lpstr>
      <vt:lpstr>SCH_B2.7P1</vt:lpstr>
      <vt:lpstr>SCH_B2.7P2</vt:lpstr>
      <vt:lpstr>SCH_B2P1</vt:lpstr>
      <vt:lpstr>SCH_B2P2</vt:lpstr>
      <vt:lpstr>SCH_B3.1P1</vt:lpstr>
      <vt:lpstr>SCH_B3.1P2</vt:lpstr>
      <vt:lpstr>'SCH B-3.2 - Current Rate'!SCH_B3.2_Current_P1</vt:lpstr>
      <vt:lpstr>'SCH B-3.2 - Current Rate'!SCH_B3.2_Current_P2</vt:lpstr>
      <vt:lpstr>'SCH B-3.2 - Current Rate'!SCH_B3.2_Current_P3</vt:lpstr>
      <vt:lpstr>'SCH B-3.2 - Current Rate'!SCH_B3.2_Current_P4</vt:lpstr>
      <vt:lpstr>SCH_B3.2P1</vt:lpstr>
      <vt:lpstr>SCH_B3.2P2</vt:lpstr>
      <vt:lpstr>SCH_B3.2P3</vt:lpstr>
      <vt:lpstr>SCH_B3.2P4</vt:lpstr>
      <vt:lpstr>SCH_B3P1</vt:lpstr>
      <vt:lpstr>SCH_B3P2</vt:lpstr>
      <vt:lpstr>SCH_B3P3</vt:lpstr>
      <vt:lpstr>SCH_B3P4</vt:lpstr>
      <vt:lpstr>SCH_B3P5</vt:lpstr>
      <vt:lpstr>SCH_B3P6</vt:lpstr>
      <vt:lpstr>SCH_B3P7</vt:lpstr>
      <vt:lpstr>SCH_B3P8</vt:lpstr>
      <vt:lpstr>SCH_B4P1</vt:lpstr>
      <vt:lpstr>SCH_B4P2</vt:lpstr>
      <vt:lpstr>SCH_B5</vt:lpstr>
      <vt:lpstr>SCH_B5.1</vt:lpstr>
      <vt:lpstr>SCH_B5.1P2</vt:lpstr>
      <vt:lpstr>SCH_B6P1</vt:lpstr>
      <vt:lpstr>SCH_B6P2</vt:lpstr>
      <vt:lpstr>SCH_B7.1</vt:lpstr>
      <vt:lpstr>SCH_B7.2</vt:lpstr>
      <vt:lpstr>SCH_B7P1</vt:lpstr>
      <vt:lpstr>SCH_B8P1</vt:lpstr>
      <vt:lpstr>SCH_B8P2</vt:lpstr>
      <vt:lpstr>SCH_C1</vt:lpstr>
      <vt:lpstr>SCH_C2</vt:lpstr>
      <vt:lpstr>SCH_C2.1FP1</vt:lpstr>
      <vt:lpstr>SCH_C2.1FP2</vt:lpstr>
      <vt:lpstr>SCH_C2.1FP3</vt:lpstr>
      <vt:lpstr>SCH_C2.1FP4</vt:lpstr>
      <vt:lpstr>SCH_C2.1FP5</vt:lpstr>
      <vt:lpstr>SCH_C2.1FP6</vt:lpstr>
      <vt:lpstr>SCH_C2.1FP7</vt:lpstr>
      <vt:lpstr>SCH_C2.1FP8</vt:lpstr>
      <vt:lpstr>SCH_C2.1P1</vt:lpstr>
      <vt:lpstr>SCH_C2.1P2</vt:lpstr>
      <vt:lpstr>SCH_C2.1P3</vt:lpstr>
      <vt:lpstr>SCH_C2.1P4</vt:lpstr>
      <vt:lpstr>SCH_C2.1P5</vt:lpstr>
      <vt:lpstr>SCH_C2.1P6</vt:lpstr>
      <vt:lpstr>SCH_C2.1P7</vt:lpstr>
      <vt:lpstr>SCH_C2.1P8</vt:lpstr>
      <vt:lpstr>SCH_D1P1</vt:lpstr>
      <vt:lpstr>SCH_D1P2</vt:lpstr>
      <vt:lpstr>SCH_D1P3</vt:lpstr>
      <vt:lpstr>SCH_D1P4</vt:lpstr>
      <vt:lpstr>SCH_D1P5</vt:lpstr>
      <vt:lpstr>SCH_D1P6</vt:lpstr>
      <vt:lpstr>SCH_D1P7</vt:lpstr>
      <vt:lpstr>SCH_D2.1</vt:lpstr>
      <vt:lpstr>SCH_D2.10</vt:lpstr>
      <vt:lpstr>SCH_D2.11</vt:lpstr>
      <vt:lpstr>SCH_D2.12</vt:lpstr>
      <vt:lpstr>SCH_D2.13</vt:lpstr>
      <vt:lpstr>SCH_D2.14</vt:lpstr>
      <vt:lpstr>SCH_D2.15</vt:lpstr>
      <vt:lpstr>SCH_D2.16</vt:lpstr>
      <vt:lpstr>SCH_D2.17</vt:lpstr>
      <vt:lpstr>SCH_D2.18P1</vt:lpstr>
      <vt:lpstr>SCH_D2.18P2</vt:lpstr>
      <vt:lpstr>SCH_D2.19P1</vt:lpstr>
      <vt:lpstr>SCH_D2.19P2</vt:lpstr>
      <vt:lpstr>SCH_D2.19P3</vt:lpstr>
      <vt:lpstr>SCH_D2.19P4</vt:lpstr>
      <vt:lpstr>SCH_D2.2</vt:lpstr>
      <vt:lpstr>SCH_D2.20</vt:lpstr>
      <vt:lpstr>SCH_D2.21</vt:lpstr>
      <vt:lpstr>SCH_D2.22</vt:lpstr>
      <vt:lpstr>SCH_D2.23</vt:lpstr>
      <vt:lpstr>SCH_D2.24</vt:lpstr>
      <vt:lpstr>SCH_D2.24P2</vt:lpstr>
      <vt:lpstr>SCH_D2.24P3</vt:lpstr>
      <vt:lpstr>SCH_D2.25</vt:lpstr>
      <vt:lpstr>SCH_D2.26</vt:lpstr>
      <vt:lpstr>SCH_D2.27</vt:lpstr>
      <vt:lpstr>SCH_D2.28</vt:lpstr>
      <vt:lpstr>SCH_D2.29</vt:lpstr>
      <vt:lpstr>SCH_D2.3</vt:lpstr>
      <vt:lpstr>SCH_D2.4</vt:lpstr>
      <vt:lpstr>SCH_D2.5</vt:lpstr>
      <vt:lpstr>SCH_D2.6</vt:lpstr>
      <vt:lpstr>SCH_D2.7</vt:lpstr>
      <vt:lpstr>SCH_D2.8</vt:lpstr>
      <vt:lpstr>SCH_D2.9</vt:lpstr>
      <vt:lpstr>SCH_D3</vt:lpstr>
      <vt:lpstr>SCH_D4</vt:lpstr>
      <vt:lpstr>SCH_D5</vt:lpstr>
      <vt:lpstr>Sch_E1P1</vt:lpstr>
      <vt:lpstr>Sch_E1P2</vt:lpstr>
      <vt:lpstr>Sch_E1P3</vt:lpstr>
      <vt:lpstr>Sch_E2P1</vt:lpstr>
      <vt:lpstr>Sch_F1</vt:lpstr>
      <vt:lpstr>SCH_F2.1</vt:lpstr>
      <vt:lpstr>SCH_F2.2</vt:lpstr>
      <vt:lpstr>SCH_F2.3</vt:lpstr>
      <vt:lpstr>SCH_F3P1</vt:lpstr>
      <vt:lpstr>SCH_F4P1</vt:lpstr>
      <vt:lpstr>SCH_F4P2</vt:lpstr>
      <vt:lpstr>SCH_F5</vt:lpstr>
      <vt:lpstr>SCH_F5P2</vt:lpstr>
      <vt:lpstr>SCH_F6</vt:lpstr>
      <vt:lpstr>SCH_F7</vt:lpstr>
      <vt:lpstr>SCH_G1</vt:lpstr>
      <vt:lpstr>SCH_G2</vt:lpstr>
      <vt:lpstr>SCH_G3</vt:lpstr>
      <vt:lpstr>SCH_H</vt:lpstr>
      <vt:lpstr>SCH_H_FP</vt:lpstr>
      <vt:lpstr>SCH_I1_Gas</vt:lpstr>
      <vt:lpstr>SCH_I1_Total</vt:lpstr>
      <vt:lpstr>SCH_I2.1</vt:lpstr>
      <vt:lpstr>SCH_I3</vt:lpstr>
      <vt:lpstr>SCH_I4</vt:lpstr>
      <vt:lpstr>SCH_I5</vt:lpstr>
      <vt:lpstr>SCH_J1_Base</vt:lpstr>
      <vt:lpstr>SCH_J1_Forecast</vt:lpstr>
      <vt:lpstr>SCH_J2_Base</vt:lpstr>
      <vt:lpstr>SCH_J2_Forecast</vt:lpstr>
      <vt:lpstr>SCH_J3_Base</vt:lpstr>
      <vt:lpstr>SCH_J3_Forecast</vt:lpstr>
      <vt:lpstr>SCH_K1P1</vt:lpstr>
      <vt:lpstr>SCH_K1P2</vt:lpstr>
      <vt:lpstr>SCH_K1P3</vt:lpstr>
      <vt:lpstr>SCH_K1P4</vt:lpstr>
      <vt:lpstr>SCH_K1P5</vt:lpstr>
      <vt:lpstr>SIT</vt:lpstr>
      <vt:lpstr>TAXRECONTABLE</vt:lpstr>
      <vt:lpstr>Testyear</vt:lpstr>
      <vt:lpstr>TESTYR</vt:lpstr>
      <vt:lpstr>Type</vt:lpstr>
      <vt:lpstr>UncollExp</vt:lpstr>
      <vt:lpstr>UncollRatio</vt:lpstr>
      <vt:lpstr>WCD</vt:lpstr>
      <vt:lpstr>WORKING_CAPITAL</vt:lpstr>
      <vt:lpstr>WPB_2.2a</vt:lpstr>
      <vt:lpstr>WPB_2.2b</vt:lpstr>
      <vt:lpstr>WPB_2.2c</vt:lpstr>
      <vt:lpstr>WPB_2.2d</vt:lpstr>
      <vt:lpstr>WPB_2.2e</vt:lpstr>
      <vt:lpstr>WPB_2.2f</vt:lpstr>
      <vt:lpstr>WPB_2.2g</vt:lpstr>
      <vt:lpstr>WPB_2.2h</vt:lpstr>
      <vt:lpstr>WPB_2.2i</vt:lpstr>
      <vt:lpstr>WPB_3.1a</vt:lpstr>
      <vt:lpstr>WPB_5.1a</vt:lpstr>
      <vt:lpstr>WPB_5.1b</vt:lpstr>
      <vt:lpstr>WPB_5.1c</vt:lpstr>
      <vt:lpstr>WPB_5.1d</vt:lpstr>
      <vt:lpstr>WPB_5.1e</vt:lpstr>
      <vt:lpstr>WPB_5.1f</vt:lpstr>
      <vt:lpstr>WPB_5.1g</vt:lpstr>
      <vt:lpstr>WPB_5.1h</vt:lpstr>
      <vt:lpstr>WPB_5.1i</vt:lpstr>
      <vt:lpstr>WPB_5.1j</vt:lpstr>
      <vt:lpstr>WPB_6a</vt:lpstr>
      <vt:lpstr>WPB_6b</vt:lpstr>
      <vt:lpstr>WPB_6c</vt:lpstr>
      <vt:lpstr>WPB_6d</vt:lpstr>
      <vt:lpstr>WPB2.2_iAccount</vt:lpstr>
      <vt:lpstr>WPB2.2_iAllocCost</vt:lpstr>
      <vt:lpstr>WPB2.2_iBook</vt:lpstr>
      <vt:lpstr>WPB2.2i_AllocRes</vt:lpstr>
      <vt:lpstr>WPB2_2iCode</vt:lpstr>
      <vt:lpstr>WPC_1a</vt:lpstr>
      <vt:lpstr>WPC_2.1a</vt:lpstr>
      <vt:lpstr>WPC_2a</vt:lpstr>
      <vt:lpstr>WPC_2b</vt:lpstr>
      <vt:lpstr>WPC_2c</vt:lpstr>
      <vt:lpstr>WPC_2d</vt:lpstr>
      <vt:lpstr>WPC_2e</vt:lpstr>
      <vt:lpstr>WPD_2.10a</vt:lpstr>
      <vt:lpstr>WPD_2.11a</vt:lpstr>
      <vt:lpstr>WPD_2.12a</vt:lpstr>
      <vt:lpstr>WPD_2.13a</vt:lpstr>
      <vt:lpstr>WPD_2.13b</vt:lpstr>
      <vt:lpstr>WPD_2.14a</vt:lpstr>
      <vt:lpstr>WPD_2.15a</vt:lpstr>
      <vt:lpstr>WPD_2.15b</vt:lpstr>
      <vt:lpstr>WPD_2.16a</vt:lpstr>
      <vt:lpstr>WPD_2.17a</vt:lpstr>
      <vt:lpstr>WPD_2.18a</vt:lpstr>
      <vt:lpstr>WPD_2.19aP1</vt:lpstr>
      <vt:lpstr>WPD_2.19aP2</vt:lpstr>
      <vt:lpstr>WPD_2.19b</vt:lpstr>
      <vt:lpstr>WPD_2.19c</vt:lpstr>
      <vt:lpstr>WPD_2.19d</vt:lpstr>
      <vt:lpstr>WPD_2.19e</vt:lpstr>
      <vt:lpstr>WPD_2.19f</vt:lpstr>
      <vt:lpstr>WPD_2.1a</vt:lpstr>
      <vt:lpstr>WPD_2.1e</vt:lpstr>
      <vt:lpstr>WPD_2.20a</vt:lpstr>
      <vt:lpstr>WPD_2.21a</vt:lpstr>
      <vt:lpstr>WPD_2.22a</vt:lpstr>
      <vt:lpstr>WPD_2.23a</vt:lpstr>
      <vt:lpstr>WPD_2.24a</vt:lpstr>
      <vt:lpstr>WPD_2.24b</vt:lpstr>
      <vt:lpstr>WPD_2.26a</vt:lpstr>
      <vt:lpstr>WPD_2.26b</vt:lpstr>
      <vt:lpstr>WPD_2.2a</vt:lpstr>
      <vt:lpstr>WPD_2.3a</vt:lpstr>
      <vt:lpstr>WPD_2.4a</vt:lpstr>
      <vt:lpstr>WPD_2.5a</vt:lpstr>
      <vt:lpstr>WPD_2.6a</vt:lpstr>
      <vt:lpstr>WPD_2.7a</vt:lpstr>
      <vt:lpstr>WPD_2.7b</vt:lpstr>
      <vt:lpstr>WPD_2.8a</vt:lpstr>
      <vt:lpstr>WPD_2.9a</vt:lpstr>
      <vt:lpstr>WPE_1a</vt:lpstr>
      <vt:lpstr>WPE_1b</vt:lpstr>
      <vt:lpstr>WPF_4a</vt:lpstr>
      <vt:lpstr>WPF_4b</vt:lpstr>
      <vt:lpstr>WPF_5a</vt:lpstr>
      <vt:lpstr>WPF_5b</vt:lpstr>
    </vt:vector>
  </TitlesOfParts>
  <Company>Cinergy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>SFR Model - Schedule Book</dc:subject>
  <dc:creator>Ted Czupik</dc:creator>
  <cp:lastModifiedBy>Czupik, Ted Jr</cp:lastModifiedBy>
  <cp:lastPrinted>2018-08-08T13:53:27Z</cp:lastPrinted>
  <dcterms:created xsi:type="dcterms:W3CDTF">2004-07-23T13:25:20Z</dcterms:created>
  <dcterms:modified xsi:type="dcterms:W3CDTF">2018-08-16T17:47:52Z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ContentTypeId">
    <vt:lpwstr>0x010100B46AAC2DF297EF4AAAB18C12C14394A6</vt:lpwstr>
  </property>
</Properties>
</file>